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slicers/slicer1.xml" ContentType="application/vnd.ms-excel.slicer+xml"/>
  <Override PartName="/xl/drawings/drawing9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3.xml" ContentType="application/vnd.openxmlformats-officedocument.spreadsheetml.comments+xml"/>
  <Override PartName="/xl/drawings/drawing11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6.xml" ContentType="application/vnd.openxmlformats-officedocument.spreadsheetml.comments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8.xml" ContentType="application/vnd.openxmlformats-officedocument.spreadsheetml.comments+xml"/>
  <Override PartName="/xl/drawings/drawing16.xml" ContentType="application/vnd.openxmlformats-officedocument.drawing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9.xml" ContentType="application/vnd.openxmlformats-officedocument.spreadsheetml.comments+xml"/>
  <Override PartName="/xl/drawings/drawing17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0.xml" ContentType="application/vnd.openxmlformats-officedocument.spreadsheetml.comments+xml"/>
  <Override PartName="/xl/drawings/drawing18.xml" ContentType="application/vnd.openxmlformats-officedocument.drawing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omments11.xml" ContentType="application/vnd.openxmlformats-officedocument.spreadsheetml.comments+xml"/>
  <Override PartName="/xl/drawings/drawing19.xml" ContentType="application/vnd.openxmlformats-officedocument.drawing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omments12.xml" ContentType="application/vnd.openxmlformats-officedocument.spreadsheetml.comments+xml"/>
  <Override PartName="/xl/drawings/drawing20.xml" ContentType="application/vnd.openxmlformats-officedocument.drawing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omments13.xml" ContentType="application/vnd.openxmlformats-officedocument.spreadsheetml.comments+xml"/>
  <Override PartName="/xl/drawings/drawing21.xml" ContentType="application/vnd.openxmlformats-officedocument.drawing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omments14.xml" ContentType="application/vnd.openxmlformats-officedocument.spreadsheetml.comments+xml"/>
  <Override PartName="/xl/drawings/drawing22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comments15.xml" ContentType="application/vnd.openxmlformats-officedocument.spreadsheetml.comments+xml"/>
  <Override PartName="/xl/drawings/drawing23.xml" ContentType="application/vnd.openxmlformats-officedocument.drawing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omments16.xml" ContentType="application/vnd.openxmlformats-officedocument.spreadsheetml.comments+xml"/>
  <Override PartName="/xl/drawings/drawing24.xml" ContentType="application/vnd.openxmlformats-officedocument.drawing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comments17.xml" ContentType="application/vnd.openxmlformats-officedocument.spreadsheetml.comments+xml"/>
  <Override PartName="/xl/drawings/drawing25.xml" ContentType="application/vnd.openxmlformats-officedocument.drawing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comments18.xml" ContentType="application/vnd.openxmlformats-officedocument.spreadsheetml.comments+xml"/>
  <Override PartName="/xl/drawings/drawing26.xml" ContentType="application/vnd.openxmlformats-officedocument.drawing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comments19.xml" ContentType="application/vnd.openxmlformats-officedocument.spreadsheetml.comments+xml"/>
  <Override PartName="/xl/drawings/drawing27.xml" ContentType="application/vnd.openxmlformats-officedocument.drawing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comments20.xml" ContentType="application/vnd.openxmlformats-officedocument.spreadsheetml.comments+xml"/>
  <Override PartName="/xl/drawings/drawing28.xml" ContentType="application/vnd.openxmlformats-officedocument.drawing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comments21.xml" ContentType="application/vnd.openxmlformats-officedocument.spreadsheetml.comments+xml"/>
  <Override PartName="/xl/drawings/drawing29.xml" ContentType="application/vnd.openxmlformats-officedocument.drawing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comments22.xml" ContentType="application/vnd.openxmlformats-officedocument.spreadsheetml.comments+xml"/>
  <Override PartName="/xl/drawings/drawing30.xml" ContentType="application/vnd.openxmlformats-officedocument.drawing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comments23.xml" ContentType="application/vnd.openxmlformats-officedocument.spreadsheetml.comments+xml"/>
  <Override PartName="/xl/drawings/drawing31.xml" ContentType="application/vnd.openxmlformats-officedocument.drawing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comments24.xml" ContentType="application/vnd.openxmlformats-officedocument.spreadsheetml.comments+xml"/>
  <Override PartName="/xl/drawings/drawing32.xml" ContentType="application/vnd.openxmlformats-officedocument.drawing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comments25.xml" ContentType="application/vnd.openxmlformats-officedocument.spreadsheetml.comments+xml"/>
  <Override PartName="/xl/drawings/drawing33.xml" ContentType="application/vnd.openxmlformats-officedocument.drawing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comments26.xml" ContentType="application/vnd.openxmlformats-officedocument.spreadsheetml.comments+xml"/>
  <Override PartName="/xl/drawings/drawing34.xml" ContentType="application/vnd.openxmlformats-officedocument.drawing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comments27.xml" ContentType="application/vnd.openxmlformats-officedocument.spreadsheetml.comments+xml"/>
  <Override PartName="/xl/drawings/drawing35.xml" ContentType="application/vnd.openxmlformats-officedocument.drawing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comments28.xml" ContentType="application/vnd.openxmlformats-officedocument.spreadsheetml.comments+xml"/>
  <Override PartName="/xl/drawings/drawing36.xml" ContentType="application/vnd.openxmlformats-officedocument.drawing+xml"/>
  <Override PartName="/xl/tables/table58.xml" ContentType="application/vnd.openxmlformats-officedocument.spreadsheetml.tab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tables/table59.xml" ContentType="application/vnd.openxmlformats-officedocument.spreadsheetml.table+xml"/>
  <Override PartName="/xl/comments29.xml" ContentType="application/vnd.openxmlformats-officedocument.spreadsheetml.comments+xml"/>
  <Override PartName="/xl/drawings/drawing39.xml" ContentType="application/vnd.openxmlformats-officedocument.drawing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queryTables/queryTable1.xml" ContentType="application/vnd.openxmlformats-officedocument.spreadsheetml.queryTable+xml"/>
  <Override PartName="/xl/tables/table6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drawings/drawing40.xml" ContentType="application/vnd.openxmlformats-officedocument.drawing+xml"/>
  <Override PartName="/xl/tables/table6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tecpav-my.sharepoint.com/personal/acompanhamento_tecpav_com_br/Documents/6.508 - RVG/03 - Planejamento/06 - Formulario Planejamento/"/>
    </mc:Choice>
  </mc:AlternateContent>
  <xr:revisionPtr revIDLastSave="578" documentId="8_{37D7ABF5-5F78-4FE7-B34D-21439BF31C13}" xr6:coauthVersionLast="47" xr6:coauthVersionMax="47" xr10:uidLastSave="{14E4068C-4F15-4E1E-AD1C-BCD040109D5C}"/>
  <bookViews>
    <workbookView xWindow="9510" yWindow="-90" windowWidth="19380" windowHeight="10260" tabRatio="879" firstSheet="3" activeTab="6" xr2:uid="{00000000-000D-0000-FFFF-FFFF00000000}"/>
  </bookViews>
  <sheets>
    <sheet name="Pagina_Inicial" sheetId="12" r:id="rId1"/>
    <sheet name="Plan_Orc" sheetId="2" r:id="rId2"/>
    <sheet name="Resumo_Agrupamento" sheetId="7" r:id="rId3"/>
    <sheet name="PARAMETROS" sheetId="39" r:id="rId4"/>
    <sheet name="ORGANOGRAMA" sheetId="52" r:id="rId5"/>
    <sheet name="INDIRETO" sheetId="38" r:id="rId6"/>
    <sheet name="Lucratividade" sheetId="9" r:id="rId7"/>
    <sheet name="Histograma" sheetId="59" r:id="rId8"/>
    <sheet name="CPU" sheetId="41" r:id="rId9"/>
    <sheet name="CPU_PinturadeLigação" sheetId="85" r:id="rId10"/>
    <sheet name="CPU_Recomposiçãocerca" sheetId="84" r:id="rId11"/>
    <sheet name="CPU_Cerca" sheetId="83" r:id="rId12"/>
    <sheet name="CPU_Transportecbuq" sheetId="82" r:id="rId13"/>
    <sheet name="CPU_Instalaçãoestruturam" sheetId="79" r:id="rId14"/>
    <sheet name="CPU_Fundaçãoestruturamet" sheetId="78" r:id="rId15"/>
    <sheet name="CPU_Passeiodeconcreto" sheetId="77" r:id="rId16"/>
    <sheet name="CPU_DrenagemSuperficial" sheetId="76" r:id="rId17"/>
    <sheet name="CPU_CapaConcreto" sheetId="75" r:id="rId18"/>
    <sheet name="CPU_IluminaçãoBSOeSAL" sheetId="74" r:id="rId19"/>
    <sheet name="CPU_Iluminaçãodeaproxima" sheetId="73" r:id="rId20"/>
    <sheet name="CPU_Alambrado" sheetId="72" r:id="rId21"/>
    <sheet name="CPU_SinalizaçãoverticalS" sheetId="71" r:id="rId22"/>
    <sheet name="CPU_SinalizaçãohorizSAUS" sheetId="70" r:id="rId23"/>
    <sheet name="CPU_Grama" sheetId="69" r:id="rId24"/>
    <sheet name="CPU_Reservatorio" sheetId="68" r:id="rId25"/>
    <sheet name="CPU_CapaSAUS" sheetId="67" r:id="rId26"/>
    <sheet name="CPU_TachaRefletiva" sheetId="66" r:id="rId27"/>
    <sheet name="CPU_MicroRevestimento" sheetId="62" r:id="rId28"/>
    <sheet name="CPU_SinalizaçãoHorizonta" sheetId="65" r:id="rId29"/>
    <sheet name="CPU_Conserva" sheetId="64" r:id="rId30"/>
    <sheet name="CPU_ConservaMec" sheetId="80" r:id="rId31"/>
    <sheet name="CPU_ConservaMan" sheetId="81" r:id="rId32"/>
    <sheet name="CPU_Administracaolocaldi" sheetId="63" r:id="rId33"/>
    <sheet name="CPU_CapaCBUQ" sheetId="61" r:id="rId34"/>
    <sheet name="CPU_FresagemDescontinua" sheetId="60" r:id="rId35"/>
    <sheet name="Premissas" sheetId="55" r:id="rId36"/>
    <sheet name="Calendario" sheetId="53" r:id="rId37"/>
    <sheet name="Cadastro_Resumo_Agrupamento" sheetId="4" r:id="rId38"/>
    <sheet name="Cadastro_Recursos" sheetId="3" r:id="rId39"/>
    <sheet name="DADOS_PLAN_ORC" sheetId="6" state="hidden" r:id="rId40"/>
    <sheet name="DADOS_RESUMO_AGRUPAMENTO" sheetId="13" state="hidden" r:id="rId41"/>
    <sheet name="ABC" sheetId="57" r:id="rId42"/>
    <sheet name="ABC_INSUMOS" sheetId="54" state="hidden" r:id="rId43"/>
  </sheets>
  <definedNames>
    <definedName name="_xlnm._FilterDatabase" localSheetId="36" hidden="1">Calendario!$B$28:$D$169</definedName>
    <definedName name="_xlnm._FilterDatabase" localSheetId="5" hidden="1">INDIRETO!$C$3:$X$341</definedName>
    <definedName name="_xlnm._FilterDatabase" localSheetId="6" hidden="1">Lucratividade!$H$3:$H$94</definedName>
    <definedName name="_xlnm.Print_Area" localSheetId="38">Tabela7[#All]</definedName>
    <definedName name="COMBUSTIVEL">Cadastro_Recursos!$B$110:$B$112</definedName>
    <definedName name="DadosExternos_1" localSheetId="42" hidden="1">ABC_INSUMOS!$A$1:$N$180</definedName>
    <definedName name="DadosExternos_1" localSheetId="39" hidden="1">DADOS_PLAN_ORC!$A$1:$O$1999</definedName>
    <definedName name="DadosExternos_1" localSheetId="40" hidden="1">DADOS_RESUMO_AGRUPAMENTO!$A$1:$F$31</definedName>
    <definedName name="EQUIPAMENTO">Cadastro_Recursos!$B$35:$B$61</definedName>
    <definedName name="MATERIAL">Cadastro_Recursos!$B$63:$B$108</definedName>
    <definedName name="MO">Cadastro_Recursos!$B$2:$B$33</definedName>
    <definedName name="SegmentaçãodeDados_Codigo">#N/A</definedName>
    <definedName name="SERVIÇO" localSheetId="32">fServico[NOME SERVIÇO]</definedName>
    <definedName name="SERVIÇO" localSheetId="20">fServico[NOME SERVIÇO]</definedName>
    <definedName name="SERVIÇO" localSheetId="33">fServico[NOME SERVIÇO]</definedName>
    <definedName name="SERVIÇO" localSheetId="17">fServico[NOME SERVIÇO]</definedName>
    <definedName name="SERVIÇO" localSheetId="25">fServico[NOME SERVIÇO]</definedName>
    <definedName name="SERVIÇO" localSheetId="11">fServico[NOME SERVIÇO]</definedName>
    <definedName name="SERVIÇO" localSheetId="29">fServico[NOME SERVIÇO]</definedName>
    <definedName name="SERVIÇO" localSheetId="31">fServico[NOME SERVIÇO]</definedName>
    <definedName name="SERVIÇO" localSheetId="30">fServico[NOME SERVIÇO]</definedName>
    <definedName name="SERVIÇO" localSheetId="16">fServico[NOME SERVIÇO]</definedName>
    <definedName name="SERVIÇO" localSheetId="34">fServico[NOME SERVIÇO]</definedName>
    <definedName name="SERVIÇO" localSheetId="14">fServico[NOME SERVIÇO]</definedName>
    <definedName name="SERVIÇO" localSheetId="23">fServico[NOME SERVIÇO]</definedName>
    <definedName name="SERVIÇO" localSheetId="18">fServico[NOME SERVIÇO]</definedName>
    <definedName name="SERVIÇO" localSheetId="19">fServico[NOME SERVIÇO]</definedName>
    <definedName name="SERVIÇO" localSheetId="13">fServico[NOME SERVIÇO]</definedName>
    <definedName name="SERVIÇO" localSheetId="27">fServico[NOME SERVIÇO]</definedName>
    <definedName name="SERVIÇO" localSheetId="15">fServico[NOME SERVIÇO]</definedName>
    <definedName name="SERVIÇO" localSheetId="9">fServico[NOME SERVIÇO]</definedName>
    <definedName name="SERVIÇO" localSheetId="10">fServico[NOME SERVIÇO]</definedName>
    <definedName name="SERVIÇO" localSheetId="24">fServico[NOME SERVIÇO]</definedName>
    <definedName name="SERVIÇO" localSheetId="28">fServico[NOME SERVIÇO]</definedName>
    <definedName name="SERVIÇO" localSheetId="22">fServico[NOME SERVIÇO]</definedName>
    <definedName name="SERVIÇO" localSheetId="21">fServico[NOME SERVIÇO]</definedName>
    <definedName name="SERVIÇO" localSheetId="26">fServico[NOME SERVIÇO]</definedName>
    <definedName name="SERVIÇO" localSheetId="12">fServico[NOME SERVIÇO]</definedName>
    <definedName name="SERVIÇO" localSheetId="4">fServico[NOME SERVIÇO]</definedName>
    <definedName name="SERVIÇO">fServico[NOME SERVIÇO]</definedName>
    <definedName name="SERVIÇO_CODIGO" localSheetId="32">fServico[SERVICO]</definedName>
    <definedName name="SERVIÇO_CODIGO" localSheetId="20">fServico[SERVICO]</definedName>
    <definedName name="SERVIÇO_CODIGO" localSheetId="33">fServico[SERVICO]</definedName>
    <definedName name="SERVIÇO_CODIGO" localSheetId="17">fServico[SERVICO]</definedName>
    <definedName name="SERVIÇO_CODIGO" localSheetId="25">fServico[SERVICO]</definedName>
    <definedName name="SERVIÇO_CODIGO" localSheetId="11">fServico[SERVICO]</definedName>
    <definedName name="SERVIÇO_CODIGO" localSheetId="29">fServico[SERVICO]</definedName>
    <definedName name="SERVIÇO_CODIGO" localSheetId="31">fServico[SERVICO]</definedName>
    <definedName name="SERVIÇO_CODIGO" localSheetId="30">fServico[SERVICO]</definedName>
    <definedName name="SERVIÇO_CODIGO" localSheetId="16">fServico[SERVICO]</definedName>
    <definedName name="SERVIÇO_CODIGO" localSheetId="34">fServico[SERVICO]</definedName>
    <definedName name="SERVIÇO_CODIGO" localSheetId="14">fServico[SERVICO]</definedName>
    <definedName name="SERVIÇO_CODIGO" localSheetId="23">fServico[SERVICO]</definedName>
    <definedName name="SERVIÇO_CODIGO" localSheetId="18">fServico[SERVICO]</definedName>
    <definedName name="SERVIÇO_CODIGO" localSheetId="19">fServico[SERVICO]</definedName>
    <definedName name="SERVIÇO_CODIGO" localSheetId="13">fServico[SERVICO]</definedName>
    <definedName name="SERVIÇO_CODIGO" localSheetId="27">fServico[SERVICO]</definedName>
    <definedName name="SERVIÇO_CODIGO" localSheetId="15">fServico[SERVICO]</definedName>
    <definedName name="SERVIÇO_CODIGO" localSheetId="9">fServico[SERVICO]</definedName>
    <definedName name="SERVIÇO_CODIGO" localSheetId="10">fServico[SERVICO]</definedName>
    <definedName name="SERVIÇO_CODIGO" localSheetId="24">fServico[SERVICO]</definedName>
    <definedName name="SERVIÇO_CODIGO" localSheetId="28">fServico[SERVICO]</definedName>
    <definedName name="SERVIÇO_CODIGO" localSheetId="22">fServico[SERVICO]</definedName>
    <definedName name="SERVIÇO_CODIGO" localSheetId="21">fServico[SERVICO]</definedName>
    <definedName name="SERVIÇO_CODIGO" localSheetId="26">fServico[SERVICO]</definedName>
    <definedName name="SERVIÇO_CODIGO" localSheetId="12">fServico[SERVICO]</definedName>
    <definedName name="SERVIÇO_CODIGO">fServico[SERVICO]</definedName>
  </definedNames>
  <calcPr calcId="191028"/>
  <pivotCaches>
    <pivotCache cacheId="304" r:id="rId44"/>
    <pivotCache cacheId="305" r:id="rId45"/>
    <pivotCache cacheId="306" r:id="rId46"/>
  </pivotCaches>
  <extLst>
    <ext xmlns:x14="http://schemas.microsoft.com/office/spreadsheetml/2009/9/main" uri="{876F7934-8845-4945-9796-88D515C7AA90}">
      <x14:pivotCaches>
        <pivotCache cacheId="307" r:id="rId47"/>
      </x14:pivotCaches>
    </ext>
    <ext xmlns:x14="http://schemas.microsoft.com/office/spreadsheetml/2009/9/main" uri="{BBE1A952-AA13-448e-AADC-164F8A28A991}">
      <x14:slicerCaches>
        <x14:slicerCache r:id="rId4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Orcamento_ce4c43cf-734d-49f7-90ae-a0e1c3482f92" name="fOrcamento" connection="Consulta - fOrcamento"/>
          <x15:modelTable id="fHistograma_7894a827-05b6-492f-ba68-8845af325eae" name="fHistograma" connection="Consulta - fHistogram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83" l="1"/>
  <c r="C19" i="39"/>
  <c r="K13" i="2"/>
  <c r="K12" i="2"/>
  <c r="K8" i="2"/>
  <c r="K7" i="2"/>
  <c r="K6" i="2"/>
  <c r="M53" i="84" l="1"/>
  <c r="M52" i="84"/>
  <c r="M51" i="84"/>
  <c r="M52" i="83"/>
  <c r="M51" i="83"/>
  <c r="M105" i="9"/>
  <c r="M104" i="9"/>
  <c r="N110" i="9"/>
  <c r="N109" i="9"/>
  <c r="T111" i="9"/>
  <c r="J52" i="61"/>
  <c r="M12" i="85"/>
  <c r="H41" i="60"/>
  <c r="G19" i="3" l="1"/>
  <c r="G11" i="3"/>
  <c r="R11" i="3" s="1"/>
  <c r="H39" i="85"/>
  <c r="H38" i="85"/>
  <c r="I12" i="85"/>
  <c r="CD62" i="85"/>
  <c r="BZ62" i="85"/>
  <c r="BV62" i="85"/>
  <c r="BR62" i="85"/>
  <c r="BN62" i="85"/>
  <c r="BJ62" i="85"/>
  <c r="BF62" i="85"/>
  <c r="BB62" i="85"/>
  <c r="AX62" i="85"/>
  <c r="AT62" i="85"/>
  <c r="AP62" i="85"/>
  <c r="AH62" i="85" s="1"/>
  <c r="AG62" i="85" s="1"/>
  <c r="AL62" i="85"/>
  <c r="AF62" i="85"/>
  <c r="AD62" i="85"/>
  <c r="J62" i="85"/>
  <c r="I62" i="85"/>
  <c r="G62" i="85"/>
  <c r="D62" i="85"/>
  <c r="C62" i="85"/>
  <c r="CD61" i="85"/>
  <c r="BZ61" i="85"/>
  <c r="BV61" i="85"/>
  <c r="BR61" i="85"/>
  <c r="BN61" i="85"/>
  <c r="BJ61" i="85"/>
  <c r="BF61" i="85"/>
  <c r="BB61" i="85"/>
  <c r="AX61" i="85"/>
  <c r="AT61" i="85"/>
  <c r="AP61" i="85"/>
  <c r="AH61" i="85" s="1"/>
  <c r="AG61" i="85" s="1"/>
  <c r="AL61" i="85"/>
  <c r="AF61" i="85"/>
  <c r="AD61" i="85"/>
  <c r="J61" i="85"/>
  <c r="I61" i="85"/>
  <c r="G61" i="85"/>
  <c r="D61" i="85"/>
  <c r="C61" i="85"/>
  <c r="CD60" i="85"/>
  <c r="BZ60" i="85"/>
  <c r="BV60" i="85"/>
  <c r="BR60" i="85"/>
  <c r="BN60" i="85"/>
  <c r="BJ60" i="85"/>
  <c r="BF60" i="85"/>
  <c r="BB60" i="85"/>
  <c r="AX60" i="85"/>
  <c r="AT60" i="85"/>
  <c r="AP60" i="85"/>
  <c r="AL60" i="85"/>
  <c r="AH60" i="85"/>
  <c r="AG60" i="85" s="1"/>
  <c r="AF60" i="85"/>
  <c r="AD60" i="85"/>
  <c r="J60" i="85"/>
  <c r="I60" i="85"/>
  <c r="G60" i="85"/>
  <c r="D60" i="85"/>
  <c r="C60" i="85"/>
  <c r="CD59" i="85"/>
  <c r="BZ59" i="85"/>
  <c r="BV59" i="85"/>
  <c r="BR59" i="85"/>
  <c r="BN59" i="85"/>
  <c r="BJ59" i="85"/>
  <c r="BF59" i="85"/>
  <c r="BB59" i="85"/>
  <c r="AX59" i="85"/>
  <c r="AT59" i="85"/>
  <c r="AP59" i="85"/>
  <c r="AH59" i="85" s="1"/>
  <c r="AG59" i="85" s="1"/>
  <c r="AL59" i="85"/>
  <c r="AF59" i="85"/>
  <c r="AD59" i="85"/>
  <c r="J59" i="85"/>
  <c r="I59" i="85"/>
  <c r="G59" i="85"/>
  <c r="D59" i="85"/>
  <c r="C59" i="85"/>
  <c r="CD58" i="85"/>
  <c r="BZ58" i="85"/>
  <c r="AH58" i="85" s="1"/>
  <c r="AG58" i="85" s="1"/>
  <c r="BV58" i="85"/>
  <c r="BR58" i="85"/>
  <c r="BN58" i="85"/>
  <c r="BJ58" i="85"/>
  <c r="BF58" i="85"/>
  <c r="BB58" i="85"/>
  <c r="AX58" i="85"/>
  <c r="AT58" i="85"/>
  <c r="AP58" i="85"/>
  <c r="AL58" i="85"/>
  <c r="AF58" i="85"/>
  <c r="AD58" i="85"/>
  <c r="J58" i="85"/>
  <c r="I58" i="85"/>
  <c r="G58" i="85"/>
  <c r="D58" i="85"/>
  <c r="CD57" i="85"/>
  <c r="BZ57" i="85"/>
  <c r="BV57" i="85"/>
  <c r="BR57" i="85"/>
  <c r="BN57" i="85"/>
  <c r="BJ57" i="85"/>
  <c r="BF57" i="85"/>
  <c r="BB57" i="85"/>
  <c r="AX57" i="85"/>
  <c r="AT57" i="85"/>
  <c r="AP57" i="85"/>
  <c r="AH57" i="85" s="1"/>
  <c r="AG57" i="85" s="1"/>
  <c r="AL57" i="85"/>
  <c r="AF57" i="85"/>
  <c r="AD57" i="85"/>
  <c r="J57" i="85"/>
  <c r="K57" i="85" s="1"/>
  <c r="I57" i="85"/>
  <c r="G57" i="85"/>
  <c r="D57" i="85"/>
  <c r="C57" i="85"/>
  <c r="CD56" i="85"/>
  <c r="BZ56" i="85"/>
  <c r="BV56" i="85"/>
  <c r="BR56" i="85"/>
  <c r="BN56" i="85"/>
  <c r="BJ56" i="85"/>
  <c r="BF56" i="85"/>
  <c r="BB56" i="85"/>
  <c r="AX56" i="85"/>
  <c r="AT56" i="85"/>
  <c r="AP56" i="85"/>
  <c r="AH56" i="85" s="1"/>
  <c r="AG56" i="85" s="1"/>
  <c r="AL56" i="85"/>
  <c r="AF56" i="85"/>
  <c r="AD56" i="85"/>
  <c r="J56" i="85"/>
  <c r="I56" i="85"/>
  <c r="G56" i="85"/>
  <c r="D56" i="85"/>
  <c r="CD55" i="85"/>
  <c r="BZ55" i="85"/>
  <c r="BV55" i="85"/>
  <c r="BR55" i="85"/>
  <c r="BN55" i="85"/>
  <c r="BJ55" i="85"/>
  <c r="BF55" i="85"/>
  <c r="BB55" i="85"/>
  <c r="AX55" i="85"/>
  <c r="AT55" i="85"/>
  <c r="AH55" i="85" s="1"/>
  <c r="AG55" i="85" s="1"/>
  <c r="AP55" i="85"/>
  <c r="AL55" i="85"/>
  <c r="AF55" i="85"/>
  <c r="AD55" i="85"/>
  <c r="J55" i="85"/>
  <c r="I55" i="85"/>
  <c r="G55" i="85"/>
  <c r="D55" i="85"/>
  <c r="C55" i="85"/>
  <c r="CD54" i="85"/>
  <c r="BZ54" i="85"/>
  <c r="BV54" i="85"/>
  <c r="BV50" i="85" s="1"/>
  <c r="BR54" i="85"/>
  <c r="BN54" i="85"/>
  <c r="BJ54" i="85"/>
  <c r="BF54" i="85"/>
  <c r="BB54" i="85"/>
  <c r="AH54" i="85" s="1"/>
  <c r="AG54" i="85" s="1"/>
  <c r="AX54" i="85"/>
  <c r="AT54" i="85"/>
  <c r="AP54" i="85"/>
  <c r="AL54" i="85"/>
  <c r="AF54" i="85"/>
  <c r="AD54" i="85"/>
  <c r="J54" i="85"/>
  <c r="I54" i="85"/>
  <c r="K54" i="85" s="1"/>
  <c r="G54" i="85"/>
  <c r="D54" i="85"/>
  <c r="CD53" i="85"/>
  <c r="BZ53" i="85"/>
  <c r="BV53" i="85"/>
  <c r="BR53" i="85"/>
  <c r="BN53" i="85"/>
  <c r="BJ53" i="85"/>
  <c r="BF53" i="85"/>
  <c r="BB53" i="85"/>
  <c r="AX53" i="85"/>
  <c r="AX50" i="85" s="1"/>
  <c r="AT53" i="85"/>
  <c r="AP53" i="85"/>
  <c r="AP50" i="85" s="1"/>
  <c r="AL53" i="85"/>
  <c r="AH53" i="85" s="1"/>
  <c r="AG53" i="85" s="1"/>
  <c r="AF53" i="85"/>
  <c r="AD53" i="85"/>
  <c r="J53" i="85"/>
  <c r="I53" i="85"/>
  <c r="K53" i="85" s="1"/>
  <c r="G53" i="85"/>
  <c r="D53" i="85"/>
  <c r="CD52" i="85"/>
  <c r="BZ52" i="85"/>
  <c r="BZ50" i="85" s="1"/>
  <c r="BV52" i="85"/>
  <c r="BR52" i="85"/>
  <c r="BN52" i="85"/>
  <c r="BN50" i="85" s="1"/>
  <c r="BJ52" i="85"/>
  <c r="BJ50" i="85" s="1"/>
  <c r="BF52" i="85"/>
  <c r="BB52" i="85"/>
  <c r="AX52" i="85"/>
  <c r="AT52" i="85"/>
  <c r="AT50" i="85" s="1"/>
  <c r="AP52" i="85"/>
  <c r="AL52" i="85"/>
  <c r="AH52" i="85" s="1"/>
  <c r="AG52" i="85" s="1"/>
  <c r="AF52" i="85"/>
  <c r="AD52" i="85"/>
  <c r="J52" i="85"/>
  <c r="I52" i="85"/>
  <c r="G52" i="85"/>
  <c r="D52" i="85"/>
  <c r="C52" i="85"/>
  <c r="CD51" i="85"/>
  <c r="AH51" i="85" s="1"/>
  <c r="BZ51" i="85"/>
  <c r="BV51" i="85"/>
  <c r="BR51" i="85"/>
  <c r="BN51" i="85"/>
  <c r="BJ51" i="85"/>
  <c r="BF51" i="85"/>
  <c r="BF50" i="85" s="1"/>
  <c r="BB51" i="85"/>
  <c r="BB50" i="85" s="1"/>
  <c r="AX51" i="85"/>
  <c r="AT51" i="85"/>
  <c r="AP51" i="85"/>
  <c r="AL51" i="85"/>
  <c r="AF51" i="85"/>
  <c r="AD51" i="85"/>
  <c r="J51" i="85"/>
  <c r="I51" i="85"/>
  <c r="G51" i="85"/>
  <c r="D51" i="85"/>
  <c r="BR50" i="85"/>
  <c r="AL50" i="85"/>
  <c r="AD50" i="85"/>
  <c r="D50" i="85"/>
  <c r="C50" i="85"/>
  <c r="CD49" i="85"/>
  <c r="BZ49" i="85"/>
  <c r="BV49" i="85"/>
  <c r="BR49" i="85"/>
  <c r="BN49" i="85"/>
  <c r="BJ49" i="85"/>
  <c r="BF49" i="85"/>
  <c r="BB49" i="85"/>
  <c r="AX49" i="85"/>
  <c r="AT49" i="85"/>
  <c r="AP49" i="85"/>
  <c r="AH49" i="85" s="1"/>
  <c r="AG49" i="85" s="1"/>
  <c r="AL49" i="85"/>
  <c r="AF49" i="85"/>
  <c r="AD49" i="85"/>
  <c r="J49" i="85"/>
  <c r="K49" i="85" s="1"/>
  <c r="G49" i="85"/>
  <c r="D49" i="85"/>
  <c r="C49" i="85"/>
  <c r="CD48" i="85"/>
  <c r="BZ48" i="85"/>
  <c r="BV48" i="85"/>
  <c r="BR48" i="85"/>
  <c r="BN48" i="85"/>
  <c r="AH48" i="85" s="1"/>
  <c r="AG48" i="85" s="1"/>
  <c r="BJ48" i="85"/>
  <c r="BF48" i="85"/>
  <c r="BB48" i="85"/>
  <c r="AX48" i="85"/>
  <c r="AT48" i="85"/>
  <c r="AP48" i="85"/>
  <c r="AL48" i="85"/>
  <c r="AF48" i="85"/>
  <c r="AD48" i="85"/>
  <c r="J48" i="85"/>
  <c r="K48" i="85" s="1"/>
  <c r="G48" i="85"/>
  <c r="D48" i="85"/>
  <c r="CD47" i="85"/>
  <c r="BZ47" i="85"/>
  <c r="BV47" i="85"/>
  <c r="BR47" i="85"/>
  <c r="BN47" i="85"/>
  <c r="BJ47" i="85"/>
  <c r="BF47" i="85"/>
  <c r="BB47" i="85"/>
  <c r="AX47" i="85"/>
  <c r="AT47" i="85"/>
  <c r="AH47" i="85" s="1"/>
  <c r="AG47" i="85" s="1"/>
  <c r="AP47" i="85"/>
  <c r="AL47" i="85"/>
  <c r="AF47" i="85"/>
  <c r="AD47" i="85"/>
  <c r="J47" i="85"/>
  <c r="K47" i="85" s="1"/>
  <c r="G47" i="85"/>
  <c r="D47" i="85"/>
  <c r="C47" i="85"/>
  <c r="CD46" i="85"/>
  <c r="BZ46" i="85"/>
  <c r="BV46" i="85"/>
  <c r="BR46" i="85"/>
  <c r="BN46" i="85"/>
  <c r="BJ46" i="85"/>
  <c r="BF46" i="85"/>
  <c r="BB46" i="85"/>
  <c r="AX46" i="85"/>
  <c r="AT46" i="85"/>
  <c r="AP46" i="85"/>
  <c r="AH46" i="85" s="1"/>
  <c r="AG46" i="85" s="1"/>
  <c r="AL46" i="85"/>
  <c r="AF46" i="85"/>
  <c r="AD46" i="85"/>
  <c r="J46" i="85"/>
  <c r="K46" i="85" s="1"/>
  <c r="G46" i="85"/>
  <c r="D46" i="85"/>
  <c r="C46" i="85"/>
  <c r="CD45" i="85"/>
  <c r="AH45" i="85" s="1"/>
  <c r="AG45" i="85" s="1"/>
  <c r="BZ45" i="85"/>
  <c r="BV45" i="85"/>
  <c r="BR45" i="85"/>
  <c r="BN45" i="85"/>
  <c r="BJ45" i="85"/>
  <c r="BF45" i="85"/>
  <c r="BB45" i="85"/>
  <c r="AX45" i="85"/>
  <c r="AT45" i="85"/>
  <c r="AP45" i="85"/>
  <c r="AL45" i="85"/>
  <c r="AF45" i="85"/>
  <c r="AD45" i="85"/>
  <c r="J45" i="85"/>
  <c r="K45" i="85" s="1"/>
  <c r="G45" i="85"/>
  <c r="D45" i="85"/>
  <c r="CD44" i="85"/>
  <c r="BZ44" i="85"/>
  <c r="BV44" i="85"/>
  <c r="BR44" i="85"/>
  <c r="BN44" i="85"/>
  <c r="BJ44" i="85"/>
  <c r="BF44" i="85"/>
  <c r="BB44" i="85"/>
  <c r="AX44" i="85"/>
  <c r="AT44" i="85"/>
  <c r="AP44" i="85"/>
  <c r="AH44" i="85" s="1"/>
  <c r="AG44" i="85" s="1"/>
  <c r="AL44" i="85"/>
  <c r="AF44" i="85"/>
  <c r="AD44" i="85"/>
  <c r="J44" i="85"/>
  <c r="K44" i="85" s="1"/>
  <c r="G44" i="85"/>
  <c r="D44" i="85"/>
  <c r="C44" i="85"/>
  <c r="CD43" i="85"/>
  <c r="BZ43" i="85"/>
  <c r="BV43" i="85"/>
  <c r="BR43" i="85"/>
  <c r="BN43" i="85"/>
  <c r="BJ43" i="85"/>
  <c r="BF43" i="85"/>
  <c r="BB43" i="85"/>
  <c r="AX43" i="85"/>
  <c r="AT43" i="85"/>
  <c r="AP43" i="85"/>
  <c r="AL43" i="85"/>
  <c r="AH43" i="85" s="1"/>
  <c r="AG43" i="85" s="1"/>
  <c r="AF43" i="85"/>
  <c r="AD43" i="85"/>
  <c r="J43" i="85"/>
  <c r="K43" i="85" s="1"/>
  <c r="G43" i="85"/>
  <c r="D43" i="85"/>
  <c r="CD42" i="85"/>
  <c r="BZ42" i="85"/>
  <c r="BV42" i="85"/>
  <c r="BR42" i="85"/>
  <c r="BN42" i="85"/>
  <c r="BJ42" i="85"/>
  <c r="BF42" i="85"/>
  <c r="BB42" i="85"/>
  <c r="AX42" i="85"/>
  <c r="AT42" i="85"/>
  <c r="AP42" i="85"/>
  <c r="AL42" i="85"/>
  <c r="AH42" i="85" s="1"/>
  <c r="AG42" i="85" s="1"/>
  <c r="AF42" i="85"/>
  <c r="AD42" i="85"/>
  <c r="J42" i="85"/>
  <c r="K42" i="85" s="1"/>
  <c r="G42" i="85"/>
  <c r="D42" i="85"/>
  <c r="C42" i="85"/>
  <c r="CD41" i="85"/>
  <c r="BZ41" i="85"/>
  <c r="BV41" i="85"/>
  <c r="BR41" i="85"/>
  <c r="BN41" i="85"/>
  <c r="BJ41" i="85"/>
  <c r="BF41" i="85"/>
  <c r="BB41" i="85"/>
  <c r="AX41" i="85"/>
  <c r="AT41" i="85"/>
  <c r="AP41" i="85"/>
  <c r="AH41" i="85" s="1"/>
  <c r="AG41" i="85" s="1"/>
  <c r="AL41" i="85"/>
  <c r="AF41" i="85"/>
  <c r="AD41" i="85"/>
  <c r="J41" i="85"/>
  <c r="K41" i="85" s="1"/>
  <c r="G41" i="85"/>
  <c r="D41" i="85"/>
  <c r="C41" i="85"/>
  <c r="CD40" i="85"/>
  <c r="BZ40" i="85"/>
  <c r="BZ37" i="85" s="1"/>
  <c r="BV40" i="85"/>
  <c r="BR40" i="85"/>
  <c r="BN40" i="85"/>
  <c r="BJ40" i="85"/>
  <c r="BF40" i="85"/>
  <c r="BB40" i="85"/>
  <c r="AX40" i="85"/>
  <c r="AT40" i="85"/>
  <c r="AH40" i="85" s="1"/>
  <c r="AG40" i="85" s="1"/>
  <c r="AP40" i="85"/>
  <c r="AL40" i="85"/>
  <c r="AF40" i="85"/>
  <c r="AD40" i="85"/>
  <c r="J40" i="85"/>
  <c r="K40" i="85" s="1"/>
  <c r="G40" i="85"/>
  <c r="D40" i="85"/>
  <c r="CD39" i="85"/>
  <c r="BZ39" i="85"/>
  <c r="BV39" i="85"/>
  <c r="BR39" i="85"/>
  <c r="BN39" i="85"/>
  <c r="BJ39" i="85"/>
  <c r="BF39" i="85"/>
  <c r="BB39" i="85"/>
  <c r="BB37" i="85" s="1"/>
  <c r="AX39" i="85"/>
  <c r="AT39" i="85"/>
  <c r="AH39" i="85" s="1"/>
  <c r="AG39" i="85" s="1"/>
  <c r="AP39" i="85"/>
  <c r="AP37" i="85" s="1"/>
  <c r="AL39" i="85"/>
  <c r="AL37" i="85" s="1"/>
  <c r="AF39" i="85"/>
  <c r="AD39" i="85"/>
  <c r="G39" i="85"/>
  <c r="D39" i="85"/>
  <c r="C39" i="85"/>
  <c r="CD38" i="85"/>
  <c r="BZ38" i="85"/>
  <c r="BV38" i="85"/>
  <c r="BV37" i="85" s="1"/>
  <c r="BR38" i="85"/>
  <c r="BR37" i="85" s="1"/>
  <c r="BN38" i="85"/>
  <c r="BN37" i="85" s="1"/>
  <c r="BJ38" i="85"/>
  <c r="BJ37" i="85" s="1"/>
  <c r="BF38" i="85"/>
  <c r="BF37" i="85" s="1"/>
  <c r="BB38" i="85"/>
  <c r="AX38" i="85"/>
  <c r="AT38" i="85"/>
  <c r="AP38" i="85"/>
  <c r="AH38" i="85" s="1"/>
  <c r="AL38" i="85"/>
  <c r="AF38" i="85"/>
  <c r="AD38" i="85"/>
  <c r="G38" i="85"/>
  <c r="D38" i="85"/>
  <c r="C38" i="85"/>
  <c r="CD37" i="85"/>
  <c r="AX37" i="85"/>
  <c r="AD37" i="85"/>
  <c r="D37" i="85"/>
  <c r="C37" i="85"/>
  <c r="CD36" i="85"/>
  <c r="AH36" i="85" s="1"/>
  <c r="AG36" i="85" s="1"/>
  <c r="BZ36" i="85"/>
  <c r="BV36" i="85"/>
  <c r="BR36" i="85"/>
  <c r="BN36" i="85"/>
  <c r="BJ36" i="85"/>
  <c r="BF36" i="85"/>
  <c r="BB36" i="85"/>
  <c r="AX36" i="85"/>
  <c r="AT36" i="85"/>
  <c r="AP36" i="85"/>
  <c r="AL36" i="85"/>
  <c r="AF36" i="85"/>
  <c r="AD36" i="85"/>
  <c r="J36" i="85"/>
  <c r="K36" i="85" s="1"/>
  <c r="G36" i="85"/>
  <c r="D36" i="85"/>
  <c r="CD35" i="85"/>
  <c r="BZ35" i="85"/>
  <c r="BV35" i="85"/>
  <c r="BR35" i="85"/>
  <c r="BN35" i="85"/>
  <c r="BJ35" i="85"/>
  <c r="BF35" i="85"/>
  <c r="BB35" i="85"/>
  <c r="AX35" i="85"/>
  <c r="AT35" i="85"/>
  <c r="AP35" i="85"/>
  <c r="AH35" i="85" s="1"/>
  <c r="AG35" i="85" s="1"/>
  <c r="AL35" i="85"/>
  <c r="AF35" i="85"/>
  <c r="AD35" i="85"/>
  <c r="J35" i="85"/>
  <c r="K35" i="85" s="1"/>
  <c r="G35" i="85"/>
  <c r="D35" i="85"/>
  <c r="C35" i="85"/>
  <c r="CD34" i="85"/>
  <c r="BZ34" i="85"/>
  <c r="BV34" i="85"/>
  <c r="BR34" i="85"/>
  <c r="BN34" i="85"/>
  <c r="BJ34" i="85"/>
  <c r="BF34" i="85"/>
  <c r="BB34" i="85"/>
  <c r="AX34" i="85"/>
  <c r="AT34" i="85"/>
  <c r="AP34" i="85"/>
  <c r="AL34" i="85"/>
  <c r="AH34" i="85" s="1"/>
  <c r="AG34" i="85" s="1"/>
  <c r="AF34" i="85"/>
  <c r="AD34" i="85"/>
  <c r="J34" i="85"/>
  <c r="K34" i="85" s="1"/>
  <c r="G34" i="85"/>
  <c r="D34" i="85"/>
  <c r="CD33" i="85"/>
  <c r="BZ33" i="85"/>
  <c r="BV33" i="85"/>
  <c r="BR33" i="85"/>
  <c r="BN33" i="85"/>
  <c r="BJ33" i="85"/>
  <c r="BF33" i="85"/>
  <c r="BB33" i="85"/>
  <c r="AX33" i="85"/>
  <c r="AT33" i="85"/>
  <c r="AP33" i="85"/>
  <c r="AL33" i="85"/>
  <c r="AH33" i="85" s="1"/>
  <c r="AG33" i="85" s="1"/>
  <c r="AF33" i="85"/>
  <c r="AD33" i="85"/>
  <c r="J33" i="85"/>
  <c r="K33" i="85" s="1"/>
  <c r="G33" i="85"/>
  <c r="D33" i="85"/>
  <c r="C33" i="85"/>
  <c r="CD32" i="85"/>
  <c r="BZ32" i="85"/>
  <c r="BV32" i="85"/>
  <c r="BR32" i="85"/>
  <c r="BN32" i="85"/>
  <c r="BJ32" i="85"/>
  <c r="BF32" i="85"/>
  <c r="BB32" i="85"/>
  <c r="AX32" i="85"/>
  <c r="AT32" i="85"/>
  <c r="AP32" i="85"/>
  <c r="AH32" i="85" s="1"/>
  <c r="AG32" i="85" s="1"/>
  <c r="AL32" i="85"/>
  <c r="AF32" i="85"/>
  <c r="AD32" i="85"/>
  <c r="J32" i="85"/>
  <c r="K32" i="85" s="1"/>
  <c r="G32" i="85"/>
  <c r="D32" i="85"/>
  <c r="C32" i="85"/>
  <c r="CD31" i="85"/>
  <c r="BZ31" i="85"/>
  <c r="BV31" i="85"/>
  <c r="BR31" i="85"/>
  <c r="BN31" i="85"/>
  <c r="BJ31" i="85"/>
  <c r="BF31" i="85"/>
  <c r="BB31" i="85"/>
  <c r="AX31" i="85"/>
  <c r="AT31" i="85"/>
  <c r="AH31" i="85" s="1"/>
  <c r="AG31" i="85" s="1"/>
  <c r="AP31" i="85"/>
  <c r="AL31" i="85"/>
  <c r="AF31" i="85"/>
  <c r="AD31" i="85"/>
  <c r="J31" i="85"/>
  <c r="K31" i="85" s="1"/>
  <c r="G31" i="85"/>
  <c r="D31" i="85"/>
  <c r="CD30" i="85"/>
  <c r="BZ30" i="85"/>
  <c r="BV30" i="85"/>
  <c r="BR30" i="85"/>
  <c r="BN30" i="85"/>
  <c r="BJ30" i="85"/>
  <c r="BF30" i="85"/>
  <c r="BB30" i="85"/>
  <c r="AX30" i="85"/>
  <c r="AT30" i="85"/>
  <c r="AH30" i="85" s="1"/>
  <c r="AG30" i="85" s="1"/>
  <c r="AP30" i="85"/>
  <c r="AL30" i="85"/>
  <c r="AF30" i="85"/>
  <c r="AD30" i="85"/>
  <c r="J30" i="85"/>
  <c r="K30" i="85" s="1"/>
  <c r="G30" i="85"/>
  <c r="D30" i="85"/>
  <c r="C30" i="85"/>
  <c r="CD29" i="85"/>
  <c r="BZ29" i="85"/>
  <c r="BV29" i="85"/>
  <c r="BR29" i="85"/>
  <c r="BR24" i="85" s="1"/>
  <c r="BN29" i="85"/>
  <c r="BJ29" i="85"/>
  <c r="BF29" i="85"/>
  <c r="BB29" i="85"/>
  <c r="AX29" i="85"/>
  <c r="AT29" i="85"/>
  <c r="AP29" i="85"/>
  <c r="AH29" i="85" s="1"/>
  <c r="AG29" i="85" s="1"/>
  <c r="AL29" i="85"/>
  <c r="AF29" i="85"/>
  <c r="AD29" i="85"/>
  <c r="J29" i="85"/>
  <c r="K29" i="85" s="1"/>
  <c r="G29" i="85"/>
  <c r="D29" i="85"/>
  <c r="C29" i="85"/>
  <c r="CD28" i="85"/>
  <c r="AH28" i="85" s="1"/>
  <c r="AG28" i="85" s="1"/>
  <c r="BZ28" i="85"/>
  <c r="BV28" i="85"/>
  <c r="BR28" i="85"/>
  <c r="BN28" i="85"/>
  <c r="BJ28" i="85"/>
  <c r="BF28" i="85"/>
  <c r="BB28" i="85"/>
  <c r="AX28" i="85"/>
  <c r="AT28" i="85"/>
  <c r="AP28" i="85"/>
  <c r="AL28" i="85"/>
  <c r="AF28" i="85"/>
  <c r="AD28" i="85"/>
  <c r="J28" i="85"/>
  <c r="K28" i="85" s="1"/>
  <c r="G28" i="85"/>
  <c r="D28" i="85"/>
  <c r="CD27" i="85"/>
  <c r="BZ27" i="85"/>
  <c r="BV27" i="85"/>
  <c r="BR27" i="85"/>
  <c r="BN27" i="85"/>
  <c r="BJ27" i="85"/>
  <c r="BF27" i="85"/>
  <c r="BB27" i="85"/>
  <c r="BB24" i="85" s="1"/>
  <c r="AX27" i="85"/>
  <c r="AT27" i="85"/>
  <c r="AT24" i="85" s="1"/>
  <c r="AP27" i="85"/>
  <c r="AH27" i="85" s="1"/>
  <c r="AG27" i="85" s="1"/>
  <c r="AL27" i="85"/>
  <c r="AF27" i="85"/>
  <c r="AD27" i="85"/>
  <c r="J27" i="85"/>
  <c r="K27" i="85" s="1"/>
  <c r="G27" i="85"/>
  <c r="D27" i="85"/>
  <c r="C27" i="85"/>
  <c r="CD26" i="85"/>
  <c r="BZ26" i="85"/>
  <c r="BZ24" i="85" s="1"/>
  <c r="BV26" i="85"/>
  <c r="BR26" i="85"/>
  <c r="BN26" i="85"/>
  <c r="BN24" i="85" s="1"/>
  <c r="BJ26" i="85"/>
  <c r="BF26" i="85"/>
  <c r="BF24" i="85" s="1"/>
  <c r="BB26" i="85"/>
  <c r="AX26" i="85"/>
  <c r="AT26" i="85"/>
  <c r="AP26" i="85"/>
  <c r="AL26" i="85"/>
  <c r="AH26" i="85" s="1"/>
  <c r="AG26" i="85" s="1"/>
  <c r="AF26" i="85"/>
  <c r="AD26" i="85"/>
  <c r="J26" i="85"/>
  <c r="K26" i="85" s="1"/>
  <c r="G26" i="85"/>
  <c r="D26" i="85"/>
  <c r="C26" i="85"/>
  <c r="CD25" i="85"/>
  <c r="CD24" i="85" s="1"/>
  <c r="BZ25" i="85"/>
  <c r="BV25" i="85"/>
  <c r="BR25" i="85"/>
  <c r="BN25" i="85"/>
  <c r="BJ25" i="85"/>
  <c r="BJ24" i="85" s="1"/>
  <c r="BF25" i="85"/>
  <c r="BB25" i="85"/>
  <c r="AX25" i="85"/>
  <c r="AX24" i="85" s="1"/>
  <c r="AT25" i="85"/>
  <c r="AP25" i="85"/>
  <c r="AL25" i="85"/>
  <c r="AH25" i="85" s="1"/>
  <c r="AF25" i="85"/>
  <c r="AD25" i="85"/>
  <c r="J25" i="85"/>
  <c r="I25" i="85"/>
  <c r="G25" i="85"/>
  <c r="D25" i="85"/>
  <c r="BV24" i="85"/>
  <c r="AP24" i="85"/>
  <c r="AD24" i="85"/>
  <c r="D24" i="85"/>
  <c r="CD23" i="85"/>
  <c r="BZ23" i="85"/>
  <c r="BV23" i="85"/>
  <c r="BR23" i="85"/>
  <c r="BN23" i="85"/>
  <c r="BJ23" i="85"/>
  <c r="BF23" i="85"/>
  <c r="BB23" i="85"/>
  <c r="AX23" i="85"/>
  <c r="AT23" i="85"/>
  <c r="AP23" i="85"/>
  <c r="AL23" i="85"/>
  <c r="AH23" i="85" s="1"/>
  <c r="AG23" i="85" s="1"/>
  <c r="AF23" i="85"/>
  <c r="AD23" i="85"/>
  <c r="O23" i="85"/>
  <c r="J23" i="85"/>
  <c r="K23" i="85" s="1"/>
  <c r="G23" i="85"/>
  <c r="D23" i="85"/>
  <c r="C23" i="85"/>
  <c r="CD22" i="85"/>
  <c r="AH22" i="85" s="1"/>
  <c r="AG22" i="85" s="1"/>
  <c r="BZ22" i="85"/>
  <c r="BV22" i="85"/>
  <c r="BR22" i="85"/>
  <c r="BN22" i="85"/>
  <c r="BJ22" i="85"/>
  <c r="BF22" i="85"/>
  <c r="BB22" i="85"/>
  <c r="AX22" i="85"/>
  <c r="AT22" i="85"/>
  <c r="AP22" i="85"/>
  <c r="AL22" i="85"/>
  <c r="AF22" i="85"/>
  <c r="AD22" i="85"/>
  <c r="O22" i="85"/>
  <c r="J22" i="85"/>
  <c r="K22" i="85" s="1"/>
  <c r="G22" i="85"/>
  <c r="D22" i="85"/>
  <c r="C22" i="85"/>
  <c r="CD21" i="85"/>
  <c r="BZ21" i="85"/>
  <c r="BV21" i="85"/>
  <c r="BR21" i="85"/>
  <c r="BN21" i="85"/>
  <c r="BJ21" i="85"/>
  <c r="BF21" i="85"/>
  <c r="BB21" i="85"/>
  <c r="AX21" i="85"/>
  <c r="AT21" i="85"/>
  <c r="AP21" i="85"/>
  <c r="AL21" i="85"/>
  <c r="AH21" i="85" s="1"/>
  <c r="AG21" i="85" s="1"/>
  <c r="AF21" i="85"/>
  <c r="AD21" i="85"/>
  <c r="O21" i="85"/>
  <c r="J21" i="85"/>
  <c r="K21" i="85" s="1"/>
  <c r="G21" i="85"/>
  <c r="D21" i="85"/>
  <c r="C21" i="85"/>
  <c r="CD20" i="85"/>
  <c r="BZ20" i="85"/>
  <c r="BV20" i="85"/>
  <c r="BR20" i="85"/>
  <c r="BN20" i="85"/>
  <c r="BJ20" i="85"/>
  <c r="BF20" i="85"/>
  <c r="BB20" i="85"/>
  <c r="AX20" i="85"/>
  <c r="AT20" i="85"/>
  <c r="AH20" i="85" s="1"/>
  <c r="AG20" i="85" s="1"/>
  <c r="AP20" i="85"/>
  <c r="AL20" i="85"/>
  <c r="AF20" i="85"/>
  <c r="AD20" i="85"/>
  <c r="O20" i="85"/>
  <c r="J20" i="85"/>
  <c r="K20" i="85" s="1"/>
  <c r="G20" i="85"/>
  <c r="D20" i="85"/>
  <c r="C20" i="85"/>
  <c r="CD19" i="85"/>
  <c r="BZ19" i="85"/>
  <c r="BV19" i="85"/>
  <c r="BR19" i="85"/>
  <c r="BN19" i="85"/>
  <c r="BJ19" i="85"/>
  <c r="BF19" i="85"/>
  <c r="BB19" i="85"/>
  <c r="AX19" i="85"/>
  <c r="AT19" i="85"/>
  <c r="AP19" i="85"/>
  <c r="AL19" i="85"/>
  <c r="AH19" i="85" s="1"/>
  <c r="AG19" i="85" s="1"/>
  <c r="AF19" i="85"/>
  <c r="AD19" i="85"/>
  <c r="O19" i="85"/>
  <c r="J19" i="85"/>
  <c r="K19" i="85" s="1"/>
  <c r="G19" i="85"/>
  <c r="D19" i="85"/>
  <c r="C19" i="85"/>
  <c r="CD18" i="85"/>
  <c r="BZ18" i="85"/>
  <c r="BV18" i="85"/>
  <c r="BR18" i="85"/>
  <c r="BN18" i="85"/>
  <c r="BJ18" i="85"/>
  <c r="BF18" i="85"/>
  <c r="BB18" i="85"/>
  <c r="AX18" i="85"/>
  <c r="AT18" i="85"/>
  <c r="AP18" i="85"/>
  <c r="AL18" i="85"/>
  <c r="AH18" i="85" s="1"/>
  <c r="AG18" i="85" s="1"/>
  <c r="AF18" i="85"/>
  <c r="AD18" i="85"/>
  <c r="O18" i="85"/>
  <c r="J18" i="85"/>
  <c r="K18" i="85" s="1"/>
  <c r="G18" i="85"/>
  <c r="D18" i="85"/>
  <c r="C18" i="85"/>
  <c r="CD17" i="85"/>
  <c r="BZ17" i="85"/>
  <c r="BV17" i="85"/>
  <c r="BR17" i="85"/>
  <c r="BN17" i="85"/>
  <c r="BJ17" i="85"/>
  <c r="BF17" i="85"/>
  <c r="BB17" i="85"/>
  <c r="AX17" i="85"/>
  <c r="AT17" i="85"/>
  <c r="AT11" i="85" s="1"/>
  <c r="AP17" i="85"/>
  <c r="AH17" i="85" s="1"/>
  <c r="AG17" i="85" s="1"/>
  <c r="AL17" i="85"/>
  <c r="AF17" i="85"/>
  <c r="AD17" i="85"/>
  <c r="O17" i="85"/>
  <c r="J17" i="85"/>
  <c r="K17" i="85" s="1"/>
  <c r="G17" i="85"/>
  <c r="D17" i="85"/>
  <c r="C17" i="85"/>
  <c r="CD16" i="85"/>
  <c r="BZ16" i="85"/>
  <c r="BV16" i="85"/>
  <c r="BR16" i="85"/>
  <c r="BN16" i="85"/>
  <c r="BJ16" i="85"/>
  <c r="BF16" i="85"/>
  <c r="BB16" i="85"/>
  <c r="AX16" i="85"/>
  <c r="AT16" i="85"/>
  <c r="AP16" i="85"/>
  <c r="AH16" i="85" s="1"/>
  <c r="AG16" i="85" s="1"/>
  <c r="AL16" i="85"/>
  <c r="AF16" i="85"/>
  <c r="AD16" i="85"/>
  <c r="O16" i="85"/>
  <c r="J16" i="85"/>
  <c r="K16" i="85" s="1"/>
  <c r="G16" i="85"/>
  <c r="D16" i="85"/>
  <c r="C16" i="85"/>
  <c r="CD15" i="85"/>
  <c r="BZ15" i="85"/>
  <c r="BV15" i="85"/>
  <c r="BR15" i="85"/>
  <c r="BN15" i="85"/>
  <c r="BJ15" i="85"/>
  <c r="BF15" i="85"/>
  <c r="BB15" i="85"/>
  <c r="AX15" i="85"/>
  <c r="AT15" i="85"/>
  <c r="AP15" i="85"/>
  <c r="AL15" i="85"/>
  <c r="AH15" i="85"/>
  <c r="AG15" i="85" s="1"/>
  <c r="AF15" i="85"/>
  <c r="AD15" i="85"/>
  <c r="O15" i="85"/>
  <c r="J15" i="85"/>
  <c r="K15" i="85" s="1"/>
  <c r="G15" i="85"/>
  <c r="D15" i="85"/>
  <c r="C15" i="85"/>
  <c r="CD14" i="85"/>
  <c r="BZ14" i="85"/>
  <c r="BV14" i="85"/>
  <c r="BV11" i="85" s="1"/>
  <c r="BR14" i="85"/>
  <c r="BN14" i="85"/>
  <c r="BJ14" i="85"/>
  <c r="BF14" i="85"/>
  <c r="BB14" i="85"/>
  <c r="AX14" i="85"/>
  <c r="AT14" i="85"/>
  <c r="AP14" i="85"/>
  <c r="AH14" i="85" s="1"/>
  <c r="AG14" i="85" s="1"/>
  <c r="AL14" i="85"/>
  <c r="AF14" i="85"/>
  <c r="AD14" i="85"/>
  <c r="O14" i="85"/>
  <c r="J14" i="85"/>
  <c r="K14" i="85" s="1"/>
  <c r="G14" i="85"/>
  <c r="D14" i="85"/>
  <c r="C14" i="85"/>
  <c r="CD13" i="85"/>
  <c r="BZ13" i="85"/>
  <c r="BZ11" i="85" s="1"/>
  <c r="BV13" i="85"/>
  <c r="BR13" i="85"/>
  <c r="AH13" i="85" s="1"/>
  <c r="AG13" i="85" s="1"/>
  <c r="BN13" i="85"/>
  <c r="BJ13" i="85"/>
  <c r="BF13" i="85"/>
  <c r="BB13" i="85"/>
  <c r="AX13" i="85"/>
  <c r="AT13" i="85"/>
  <c r="AP13" i="85"/>
  <c r="AL13" i="85"/>
  <c r="AF13" i="85"/>
  <c r="AD13" i="85"/>
  <c r="O13" i="85"/>
  <c r="J13" i="85"/>
  <c r="K13" i="85" s="1"/>
  <c r="G13" i="85"/>
  <c r="D13" i="85"/>
  <c r="CD12" i="85"/>
  <c r="BZ12" i="85"/>
  <c r="BV12" i="85"/>
  <c r="BR12" i="85"/>
  <c r="BR11" i="85" s="1"/>
  <c r="BN12" i="85"/>
  <c r="BN11" i="85" s="1"/>
  <c r="BJ12" i="85"/>
  <c r="BJ11" i="85" s="1"/>
  <c r="BF12" i="85"/>
  <c r="BF11" i="85" s="1"/>
  <c r="BB12" i="85"/>
  <c r="BB11" i="85" s="1"/>
  <c r="AX12" i="85"/>
  <c r="AT12" i="85"/>
  <c r="AP12" i="85"/>
  <c r="AP11" i="85" s="1"/>
  <c r="AL12" i="85"/>
  <c r="AL11" i="85" s="1"/>
  <c r="AF12" i="85"/>
  <c r="AD12" i="85"/>
  <c r="O12" i="85"/>
  <c r="G12" i="85"/>
  <c r="D12" i="85"/>
  <c r="C12" i="85"/>
  <c r="CD11" i="85"/>
  <c r="AX11" i="85"/>
  <c r="AD11" i="85"/>
  <c r="D11" i="85"/>
  <c r="C11" i="85"/>
  <c r="AF6" i="85"/>
  <c r="J3" i="85"/>
  <c r="M50" i="85" s="1"/>
  <c r="A3" i="85"/>
  <c r="C56" i="85" s="1"/>
  <c r="K61" i="85" l="1"/>
  <c r="K59" i="85"/>
  <c r="K55" i="85"/>
  <c r="R19" i="3"/>
  <c r="K56" i="85"/>
  <c r="K51" i="85"/>
  <c r="K52" i="85"/>
  <c r="K25" i="85"/>
  <c r="K24" i="85" s="1"/>
  <c r="K62" i="85"/>
  <c r="K58" i="85"/>
  <c r="K60" i="85"/>
  <c r="AW6" i="85"/>
  <c r="AH50" i="85"/>
  <c r="AG51" i="85"/>
  <c r="AG25" i="85"/>
  <c r="AH24" i="85"/>
  <c r="BU6" i="85"/>
  <c r="AG38" i="85"/>
  <c r="AH37" i="85"/>
  <c r="AO6" i="85"/>
  <c r="BY6" i="85"/>
  <c r="BA6" i="85"/>
  <c r="BE6" i="85"/>
  <c r="BI6" i="85"/>
  <c r="BM6" i="85"/>
  <c r="BQ6" i="85"/>
  <c r="AH12" i="85"/>
  <c r="AT37" i="85"/>
  <c r="C34" i="85"/>
  <c r="C43" i="85"/>
  <c r="C54" i="85"/>
  <c r="AL24" i="85"/>
  <c r="C24" i="85"/>
  <c r="C25" i="85"/>
  <c r="C53" i="85"/>
  <c r="CD50" i="85"/>
  <c r="C51" i="85"/>
  <c r="C13" i="85"/>
  <c r="C28" i="85"/>
  <c r="C36" i="85"/>
  <c r="C45" i="85"/>
  <c r="C58" i="85"/>
  <c r="C31" i="85"/>
  <c r="C40" i="85"/>
  <c r="C48" i="85"/>
  <c r="K50" i="85" l="1"/>
  <c r="N6" i="85" s="1"/>
  <c r="BN6" i="85"/>
  <c r="BV6" i="85"/>
  <c r="AK6" i="85"/>
  <c r="BJ6" i="85"/>
  <c r="J24" i="85"/>
  <c r="N4" i="85"/>
  <c r="BZ6" i="85"/>
  <c r="BF6" i="85"/>
  <c r="BB6" i="85"/>
  <c r="CC6" i="85"/>
  <c r="AX6" i="85"/>
  <c r="AG12" i="85"/>
  <c r="AH11" i="85"/>
  <c r="BR6" i="85"/>
  <c r="AP6" i="85"/>
  <c r="AS6" i="85"/>
  <c r="J50" i="85" l="1"/>
  <c r="AG6" i="85"/>
  <c r="CD6" i="85"/>
  <c r="AL6" i="85"/>
  <c r="AT6" i="85"/>
  <c r="AH6" i="85" l="1"/>
  <c r="G29" i="3" l="1"/>
  <c r="R29" i="3" s="1"/>
  <c r="G25" i="3"/>
  <c r="R25" i="3" s="1"/>
  <c r="I51" i="61" l="1"/>
  <c r="M14" i="60"/>
  <c r="T31" i="61" l="1"/>
  <c r="G4" i="57" l="1"/>
  <c r="G31" i="3"/>
  <c r="R31" i="3" s="1"/>
  <c r="G8" i="3"/>
  <c r="R8" i="3"/>
  <c r="R35" i="3"/>
  <c r="S35" i="3" s="1"/>
  <c r="T35" i="3" s="1"/>
  <c r="G23" i="3"/>
  <c r="R23" i="3" s="1"/>
  <c r="G9" i="3"/>
  <c r="R9" i="3" s="1"/>
  <c r="G20" i="3"/>
  <c r="R20" i="3" s="1"/>
  <c r="R13" i="3"/>
  <c r="S6" i="2"/>
  <c r="Q22" i="2"/>
  <c r="Q21" i="2"/>
  <c r="R2" i="2" l="1"/>
  <c r="I52" i="84" l="1"/>
  <c r="B6" i="84"/>
  <c r="D28" i="84" s="1"/>
  <c r="CD62" i="84"/>
  <c r="BZ62" i="84"/>
  <c r="BV62" i="84"/>
  <c r="BR62" i="84"/>
  <c r="BN62" i="84"/>
  <c r="BJ62" i="84"/>
  <c r="BF62" i="84"/>
  <c r="BB62" i="84"/>
  <c r="AX62" i="84"/>
  <c r="AT62" i="84"/>
  <c r="AP62" i="84"/>
  <c r="AH62" i="84" s="1"/>
  <c r="AG62" i="84" s="1"/>
  <c r="AL62" i="84"/>
  <c r="AF62" i="84"/>
  <c r="AD62" i="84"/>
  <c r="J62" i="84"/>
  <c r="I62" i="84"/>
  <c r="G62" i="84"/>
  <c r="CD61" i="84"/>
  <c r="BZ61" i="84"/>
  <c r="BV61" i="84"/>
  <c r="BR61" i="84"/>
  <c r="BN61" i="84"/>
  <c r="BJ61" i="84"/>
  <c r="BF61" i="84"/>
  <c r="BB61" i="84"/>
  <c r="AX61" i="84"/>
  <c r="AT61" i="84"/>
  <c r="AP61" i="84"/>
  <c r="AL61" i="84"/>
  <c r="AH61" i="84"/>
  <c r="AG61" i="84" s="1"/>
  <c r="AF61" i="84"/>
  <c r="AD61" i="84"/>
  <c r="J61" i="84"/>
  <c r="I61" i="84"/>
  <c r="G61" i="84"/>
  <c r="CD60" i="84"/>
  <c r="BZ60" i="84"/>
  <c r="BV60" i="84"/>
  <c r="BR60" i="84"/>
  <c r="BN60" i="84"/>
  <c r="BJ60" i="84"/>
  <c r="AH60" i="84" s="1"/>
  <c r="AG60" i="84" s="1"/>
  <c r="BF60" i="84"/>
  <c r="BB60" i="84"/>
  <c r="AX60" i="84"/>
  <c r="AT60" i="84"/>
  <c r="AP60" i="84"/>
  <c r="AL60" i="84"/>
  <c r="AF60" i="84"/>
  <c r="AD60" i="84"/>
  <c r="J60" i="84"/>
  <c r="G60" i="84"/>
  <c r="D60" i="84"/>
  <c r="CD59" i="84"/>
  <c r="BZ59" i="84"/>
  <c r="BV59" i="84"/>
  <c r="BR59" i="84"/>
  <c r="BN59" i="84"/>
  <c r="BJ59" i="84"/>
  <c r="AH59" i="84" s="1"/>
  <c r="AG59" i="84" s="1"/>
  <c r="BF59" i="84"/>
  <c r="BB59" i="84"/>
  <c r="AX59" i="84"/>
  <c r="AT59" i="84"/>
  <c r="AP59" i="84"/>
  <c r="AL59" i="84"/>
  <c r="AF59" i="84"/>
  <c r="AD59" i="84"/>
  <c r="J59" i="84"/>
  <c r="G59" i="84"/>
  <c r="D59" i="84"/>
  <c r="CD58" i="84"/>
  <c r="BZ58" i="84"/>
  <c r="BV58" i="84"/>
  <c r="BR58" i="84"/>
  <c r="BN58" i="84"/>
  <c r="BJ58" i="84"/>
  <c r="BF58" i="84"/>
  <c r="BB58" i="84"/>
  <c r="AH58" i="84" s="1"/>
  <c r="AG58" i="84" s="1"/>
  <c r="AX58" i="84"/>
  <c r="AT58" i="84"/>
  <c r="AP58" i="84"/>
  <c r="AL58" i="84"/>
  <c r="AF58" i="84"/>
  <c r="AD58" i="84"/>
  <c r="J58" i="84"/>
  <c r="G58" i="84"/>
  <c r="D58" i="84"/>
  <c r="C58" i="84"/>
  <c r="CD57" i="84"/>
  <c r="BZ57" i="84"/>
  <c r="BV57" i="84"/>
  <c r="BR57" i="84"/>
  <c r="BN57" i="84"/>
  <c r="BJ57" i="84"/>
  <c r="BF57" i="84"/>
  <c r="BB57" i="84"/>
  <c r="AX57" i="84"/>
  <c r="AT57" i="84"/>
  <c r="AP57" i="84"/>
  <c r="AH57" i="84" s="1"/>
  <c r="AG57" i="84" s="1"/>
  <c r="AL57" i="84"/>
  <c r="AF57" i="84"/>
  <c r="AD57" i="84"/>
  <c r="J57" i="84"/>
  <c r="G57" i="84"/>
  <c r="D57" i="84"/>
  <c r="C57" i="84"/>
  <c r="CD56" i="84"/>
  <c r="BZ56" i="84"/>
  <c r="BV56" i="84"/>
  <c r="BR56" i="84"/>
  <c r="BN56" i="84"/>
  <c r="BJ56" i="84"/>
  <c r="BF56" i="84"/>
  <c r="BB56" i="84"/>
  <c r="AX56" i="84"/>
  <c r="AT56" i="84"/>
  <c r="AH56" i="84" s="1"/>
  <c r="AG56" i="84" s="1"/>
  <c r="AP56" i="84"/>
  <c r="AL56" i="84"/>
  <c r="AF56" i="84"/>
  <c r="AD56" i="84"/>
  <c r="J56" i="84"/>
  <c r="G56" i="84"/>
  <c r="CD55" i="84"/>
  <c r="BZ55" i="84"/>
  <c r="BV55" i="84"/>
  <c r="BR55" i="84"/>
  <c r="BN55" i="84"/>
  <c r="BJ55" i="84"/>
  <c r="BF55" i="84"/>
  <c r="BB55" i="84"/>
  <c r="AX55" i="84"/>
  <c r="AX50" i="84" s="1"/>
  <c r="AT55" i="84"/>
  <c r="AH55" i="84" s="1"/>
  <c r="AG55" i="84" s="1"/>
  <c r="AP55" i="84"/>
  <c r="AL55" i="84"/>
  <c r="AF55" i="84"/>
  <c r="AD55" i="84"/>
  <c r="J55" i="84"/>
  <c r="I55" i="84"/>
  <c r="G55" i="84"/>
  <c r="CD54" i="84"/>
  <c r="BZ54" i="84"/>
  <c r="BZ50" i="84" s="1"/>
  <c r="BV54" i="84"/>
  <c r="BR54" i="84"/>
  <c r="BN54" i="84"/>
  <c r="BJ54" i="84"/>
  <c r="BF54" i="84"/>
  <c r="BB54" i="84"/>
  <c r="AX54" i="84"/>
  <c r="AT54" i="84"/>
  <c r="AT50" i="84" s="1"/>
  <c r="AP54" i="84"/>
  <c r="AL54" i="84"/>
  <c r="AH54" i="84" s="1"/>
  <c r="AG54" i="84" s="1"/>
  <c r="AF54" i="84"/>
  <c r="AD54" i="84"/>
  <c r="J54" i="84"/>
  <c r="I54" i="84"/>
  <c r="G54" i="84"/>
  <c r="CD53" i="84"/>
  <c r="CD50" i="84" s="1"/>
  <c r="BZ53" i="84"/>
  <c r="BV53" i="84"/>
  <c r="BR53" i="84"/>
  <c r="BN53" i="84"/>
  <c r="BJ53" i="84"/>
  <c r="BF53" i="84"/>
  <c r="BB53" i="84"/>
  <c r="AX53" i="84"/>
  <c r="AT53" i="84"/>
  <c r="AP53" i="84"/>
  <c r="AL53" i="84"/>
  <c r="AH53" i="84" s="1"/>
  <c r="AG53" i="84" s="1"/>
  <c r="AF53" i="84"/>
  <c r="AD53" i="84"/>
  <c r="J53" i="84"/>
  <c r="I53" i="84"/>
  <c r="G53" i="84"/>
  <c r="CD52" i="84"/>
  <c r="BZ52" i="84"/>
  <c r="BV52" i="84"/>
  <c r="BR52" i="84"/>
  <c r="BN52" i="84"/>
  <c r="BJ52" i="84"/>
  <c r="BF52" i="84"/>
  <c r="BB52" i="84"/>
  <c r="BB50" i="84" s="1"/>
  <c r="AX52" i="84"/>
  <c r="AT52" i="84"/>
  <c r="AP52" i="84"/>
  <c r="AL52" i="84"/>
  <c r="AH52" i="84"/>
  <c r="AG52" i="84" s="1"/>
  <c r="AF52" i="84"/>
  <c r="AD52" i="84"/>
  <c r="J52" i="84"/>
  <c r="G52" i="84"/>
  <c r="CD51" i="84"/>
  <c r="BZ51" i="84"/>
  <c r="BV51" i="84"/>
  <c r="BR51" i="84"/>
  <c r="BR50" i="84" s="1"/>
  <c r="BN51" i="84"/>
  <c r="AH51" i="84" s="1"/>
  <c r="BJ51" i="84"/>
  <c r="BJ50" i="84" s="1"/>
  <c r="BF51" i="84"/>
  <c r="BB51" i="84"/>
  <c r="AX51" i="84"/>
  <c r="AT51" i="84"/>
  <c r="AP51" i="84"/>
  <c r="AL51" i="84"/>
  <c r="AL50" i="84" s="1"/>
  <c r="AF51" i="84"/>
  <c r="AD51" i="84"/>
  <c r="J51" i="84"/>
  <c r="I51" i="84"/>
  <c r="G51" i="84"/>
  <c r="BV50" i="84"/>
  <c r="BF50" i="84"/>
  <c r="AP50" i="84"/>
  <c r="AD50" i="84"/>
  <c r="M50" i="84"/>
  <c r="CD49" i="84"/>
  <c r="BZ49" i="84"/>
  <c r="BV49" i="84"/>
  <c r="BR49" i="84"/>
  <c r="BN49" i="84"/>
  <c r="BJ49" i="84"/>
  <c r="BF49" i="84"/>
  <c r="BB49" i="84"/>
  <c r="AX49" i="84"/>
  <c r="AT49" i="84"/>
  <c r="AP49" i="84"/>
  <c r="AL49" i="84"/>
  <c r="AH49" i="84" s="1"/>
  <c r="AG49" i="84" s="1"/>
  <c r="AF49" i="84"/>
  <c r="AD49" i="84"/>
  <c r="J49" i="84"/>
  <c r="K49" i="84" s="1"/>
  <c r="G49" i="84"/>
  <c r="CD48" i="84"/>
  <c r="BZ48" i="84"/>
  <c r="BV48" i="84"/>
  <c r="BR48" i="84"/>
  <c r="BN48" i="84"/>
  <c r="BJ48" i="84"/>
  <c r="BF48" i="84"/>
  <c r="AH48" i="84" s="1"/>
  <c r="AG48" i="84" s="1"/>
  <c r="BB48" i="84"/>
  <c r="AX48" i="84"/>
  <c r="AT48" i="84"/>
  <c r="AP48" i="84"/>
  <c r="AL48" i="84"/>
  <c r="AF48" i="84"/>
  <c r="AD48" i="84"/>
  <c r="J48" i="84"/>
  <c r="K48" i="84" s="1"/>
  <c r="G48" i="84"/>
  <c r="D48" i="84"/>
  <c r="C48" i="84"/>
  <c r="CD47" i="84"/>
  <c r="BZ47" i="84"/>
  <c r="BV47" i="84"/>
  <c r="BR47" i="84"/>
  <c r="BN47" i="84"/>
  <c r="BJ47" i="84"/>
  <c r="BF47" i="84"/>
  <c r="BB47" i="84"/>
  <c r="AX47" i="84"/>
  <c r="AT47" i="84"/>
  <c r="AP47" i="84"/>
  <c r="AH47" i="84" s="1"/>
  <c r="AG47" i="84" s="1"/>
  <c r="AL47" i="84"/>
  <c r="AF47" i="84"/>
  <c r="AD47" i="84"/>
  <c r="J47" i="84"/>
  <c r="K47" i="84" s="1"/>
  <c r="G47" i="84"/>
  <c r="CD46" i="84"/>
  <c r="BZ46" i="84"/>
  <c r="BV46" i="84"/>
  <c r="BR46" i="84"/>
  <c r="BN46" i="84"/>
  <c r="BJ46" i="84"/>
  <c r="BF46" i="84"/>
  <c r="BB46" i="84"/>
  <c r="AX46" i="84"/>
  <c r="AT46" i="84"/>
  <c r="AP46" i="84"/>
  <c r="AL46" i="84"/>
  <c r="AH46" i="84" s="1"/>
  <c r="AG46" i="84" s="1"/>
  <c r="AF46" i="84"/>
  <c r="AD46" i="84"/>
  <c r="J46" i="84"/>
  <c r="K46" i="84" s="1"/>
  <c r="G46" i="84"/>
  <c r="D46" i="84"/>
  <c r="CD45" i="84"/>
  <c r="BZ45" i="84"/>
  <c r="BV45" i="84"/>
  <c r="BR45" i="84"/>
  <c r="BN45" i="84"/>
  <c r="BJ45" i="84"/>
  <c r="BF45" i="84"/>
  <c r="BB45" i="84"/>
  <c r="AX45" i="84"/>
  <c r="AT45" i="84"/>
  <c r="AP45" i="84"/>
  <c r="AL45" i="84"/>
  <c r="AH45" i="84" s="1"/>
  <c r="AG45" i="84" s="1"/>
  <c r="AF45" i="84"/>
  <c r="AD45" i="84"/>
  <c r="J45" i="84"/>
  <c r="K45" i="84" s="1"/>
  <c r="G45" i="84"/>
  <c r="D45" i="84"/>
  <c r="CD44" i="84"/>
  <c r="BZ44" i="84"/>
  <c r="BV44" i="84"/>
  <c r="BR44" i="84"/>
  <c r="BN44" i="84"/>
  <c r="BJ44" i="84"/>
  <c r="AH44" i="84" s="1"/>
  <c r="AG44" i="84" s="1"/>
  <c r="BF44" i="84"/>
  <c r="BB44" i="84"/>
  <c r="AX44" i="84"/>
  <c r="AT44" i="84"/>
  <c r="AP44" i="84"/>
  <c r="AL44" i="84"/>
  <c r="AF44" i="84"/>
  <c r="AD44" i="84"/>
  <c r="J44" i="84"/>
  <c r="K44" i="84" s="1"/>
  <c r="G44" i="84"/>
  <c r="D44" i="84"/>
  <c r="CD43" i="84"/>
  <c r="BZ43" i="84"/>
  <c r="BV43" i="84"/>
  <c r="BR43" i="84"/>
  <c r="BN43" i="84"/>
  <c r="BJ43" i="84"/>
  <c r="BF43" i="84"/>
  <c r="BB43" i="84"/>
  <c r="AX43" i="84"/>
  <c r="AT43" i="84"/>
  <c r="AP43" i="84"/>
  <c r="AL43" i="84"/>
  <c r="AH43" i="84" s="1"/>
  <c r="AG43" i="84" s="1"/>
  <c r="AF43" i="84"/>
  <c r="AD43" i="84"/>
  <c r="J43" i="84"/>
  <c r="K43" i="84" s="1"/>
  <c r="G43" i="84"/>
  <c r="CD42" i="84"/>
  <c r="BZ42" i="84"/>
  <c r="BV42" i="84"/>
  <c r="BR42" i="84"/>
  <c r="BN42" i="84"/>
  <c r="BJ42" i="84"/>
  <c r="BF42" i="84"/>
  <c r="BB42" i="84"/>
  <c r="AX42" i="84"/>
  <c r="AT42" i="84"/>
  <c r="AH42" i="84" s="1"/>
  <c r="AG42" i="84" s="1"/>
  <c r="AP42" i="84"/>
  <c r="AL42" i="84"/>
  <c r="AF42" i="84"/>
  <c r="AD42" i="84"/>
  <c r="J42" i="84"/>
  <c r="K42" i="84" s="1"/>
  <c r="G42" i="84"/>
  <c r="CD41" i="84"/>
  <c r="BZ41" i="84"/>
  <c r="BV41" i="84"/>
  <c r="BR41" i="84"/>
  <c r="BN41" i="84"/>
  <c r="BJ41" i="84"/>
  <c r="BF41" i="84"/>
  <c r="BB41" i="84"/>
  <c r="AX41" i="84"/>
  <c r="AT41" i="84"/>
  <c r="AP41" i="84"/>
  <c r="AL41" i="84"/>
  <c r="AH41" i="84" s="1"/>
  <c r="AG41" i="84" s="1"/>
  <c r="AF41" i="84"/>
  <c r="AD41" i="84"/>
  <c r="J41" i="84"/>
  <c r="K41" i="84" s="1"/>
  <c r="G41" i="84"/>
  <c r="CD40" i="84"/>
  <c r="BZ40" i="84"/>
  <c r="BV40" i="84"/>
  <c r="BR40" i="84"/>
  <c r="BN40" i="84"/>
  <c r="BJ40" i="84"/>
  <c r="BJ37" i="84" s="1"/>
  <c r="BF40" i="84"/>
  <c r="AH40" i="84" s="1"/>
  <c r="AG40" i="84" s="1"/>
  <c r="BB40" i="84"/>
  <c r="AX40" i="84"/>
  <c r="AT40" i="84"/>
  <c r="AP40" i="84"/>
  <c r="AL40" i="84"/>
  <c r="AF40" i="84"/>
  <c r="AD40" i="84"/>
  <c r="J40" i="84"/>
  <c r="K40" i="84" s="1"/>
  <c r="G40" i="84"/>
  <c r="D40" i="84"/>
  <c r="CD39" i="84"/>
  <c r="BZ39" i="84"/>
  <c r="BV39" i="84"/>
  <c r="BR39" i="84"/>
  <c r="BR37" i="84" s="1"/>
  <c r="BN39" i="84"/>
  <c r="BJ39" i="84"/>
  <c r="BF39" i="84"/>
  <c r="BB39" i="84"/>
  <c r="BB37" i="84" s="1"/>
  <c r="AX39" i="84"/>
  <c r="AT39" i="84"/>
  <c r="AP39" i="84"/>
  <c r="AH39" i="84" s="1"/>
  <c r="AG39" i="84" s="1"/>
  <c r="AL39" i="84"/>
  <c r="AF39" i="84"/>
  <c r="AD39" i="84"/>
  <c r="G39" i="84"/>
  <c r="C39" i="84"/>
  <c r="CD38" i="84"/>
  <c r="CD37" i="84" s="1"/>
  <c r="BZ38" i="84"/>
  <c r="BZ37" i="84" s="1"/>
  <c r="BV38" i="84"/>
  <c r="BR38" i="84"/>
  <c r="BN38" i="84"/>
  <c r="BN37" i="84" s="1"/>
  <c r="BJ38" i="84"/>
  <c r="BF38" i="84"/>
  <c r="BF37" i="84" s="1"/>
  <c r="BB38" i="84"/>
  <c r="AX38" i="84"/>
  <c r="AX37" i="84" s="1"/>
  <c r="AT38" i="84"/>
  <c r="AT37" i="84" s="1"/>
  <c r="AP38" i="84"/>
  <c r="AL38" i="84"/>
  <c r="AH38" i="84" s="1"/>
  <c r="AF38" i="84"/>
  <c r="AD38" i="84"/>
  <c r="G38" i="84"/>
  <c r="D38" i="84"/>
  <c r="BV37" i="84"/>
  <c r="AP37" i="84"/>
  <c r="AD37" i="84"/>
  <c r="D37" i="84"/>
  <c r="CD36" i="84"/>
  <c r="BZ36" i="84"/>
  <c r="BV36" i="84"/>
  <c r="BR36" i="84"/>
  <c r="BN36" i="84"/>
  <c r="BJ36" i="84"/>
  <c r="BF36" i="84"/>
  <c r="BB36" i="84"/>
  <c r="AX36" i="84"/>
  <c r="AT36" i="84"/>
  <c r="AP36" i="84"/>
  <c r="AL36" i="84"/>
  <c r="AH36" i="84" s="1"/>
  <c r="AG36" i="84" s="1"/>
  <c r="AF36" i="84"/>
  <c r="AD36" i="84"/>
  <c r="J36" i="84"/>
  <c r="K36" i="84" s="1"/>
  <c r="G36" i="84"/>
  <c r="D36" i="84"/>
  <c r="CD35" i="84"/>
  <c r="BZ35" i="84"/>
  <c r="BV35" i="84"/>
  <c r="BR35" i="84"/>
  <c r="BN35" i="84"/>
  <c r="BJ35" i="84"/>
  <c r="AH35" i="84" s="1"/>
  <c r="AG35" i="84" s="1"/>
  <c r="BF35" i="84"/>
  <c r="BB35" i="84"/>
  <c r="AX35" i="84"/>
  <c r="AT35" i="84"/>
  <c r="AP35" i="84"/>
  <c r="AL35" i="84"/>
  <c r="AF35" i="84"/>
  <c r="AD35" i="84"/>
  <c r="J35" i="84"/>
  <c r="K35" i="84" s="1"/>
  <c r="G35" i="84"/>
  <c r="D35" i="84"/>
  <c r="CD34" i="84"/>
  <c r="BZ34" i="84"/>
  <c r="BV34" i="84"/>
  <c r="BR34" i="84"/>
  <c r="BN34" i="84"/>
  <c r="BJ34" i="84"/>
  <c r="BF34" i="84"/>
  <c r="BB34" i="84"/>
  <c r="AX34" i="84"/>
  <c r="AT34" i="84"/>
  <c r="AP34" i="84"/>
  <c r="AL34" i="84"/>
  <c r="AH34" i="84" s="1"/>
  <c r="AG34" i="84" s="1"/>
  <c r="AF34" i="84"/>
  <c r="AD34" i="84"/>
  <c r="J34" i="84"/>
  <c r="K34" i="84" s="1"/>
  <c r="G34" i="84"/>
  <c r="CD33" i="84"/>
  <c r="BZ33" i="84"/>
  <c r="BV33" i="84"/>
  <c r="BR33" i="84"/>
  <c r="BN33" i="84"/>
  <c r="BJ33" i="84"/>
  <c r="BF33" i="84"/>
  <c r="BB33" i="84"/>
  <c r="AX33" i="84"/>
  <c r="AT33" i="84"/>
  <c r="AH33" i="84" s="1"/>
  <c r="AG33" i="84" s="1"/>
  <c r="AP33" i="84"/>
  <c r="AL33" i="84"/>
  <c r="AF33" i="84"/>
  <c r="AD33" i="84"/>
  <c r="J33" i="84"/>
  <c r="K33" i="84" s="1"/>
  <c r="G33" i="84"/>
  <c r="CD32" i="84"/>
  <c r="BZ32" i="84"/>
  <c r="BV32" i="84"/>
  <c r="BR32" i="84"/>
  <c r="BN32" i="84"/>
  <c r="BJ32" i="84"/>
  <c r="BF32" i="84"/>
  <c r="BB32" i="84"/>
  <c r="AX32" i="84"/>
  <c r="AT32" i="84"/>
  <c r="AP32" i="84"/>
  <c r="AL32" i="84"/>
  <c r="AH32" i="84" s="1"/>
  <c r="AG32" i="84" s="1"/>
  <c r="AF32" i="84"/>
  <c r="AD32" i="84"/>
  <c r="J32" i="84"/>
  <c r="K32" i="84" s="1"/>
  <c r="G32" i="84"/>
  <c r="CD31" i="84"/>
  <c r="BZ31" i="84"/>
  <c r="BV31" i="84"/>
  <c r="BR31" i="84"/>
  <c r="BN31" i="84"/>
  <c r="BJ31" i="84"/>
  <c r="BF31" i="84"/>
  <c r="AH31" i="84" s="1"/>
  <c r="AG31" i="84" s="1"/>
  <c r="BB31" i="84"/>
  <c r="AX31" i="84"/>
  <c r="AT31" i="84"/>
  <c r="AP31" i="84"/>
  <c r="AL31" i="84"/>
  <c r="AF31" i="84"/>
  <c r="AD31" i="84"/>
  <c r="J31" i="84"/>
  <c r="K31" i="84" s="1"/>
  <c r="G31" i="84"/>
  <c r="D31" i="84"/>
  <c r="C31" i="84"/>
  <c r="CD30" i="84"/>
  <c r="BZ30" i="84"/>
  <c r="BV30" i="84"/>
  <c r="BR30" i="84"/>
  <c r="BN30" i="84"/>
  <c r="BJ30" i="84"/>
  <c r="BF30" i="84"/>
  <c r="BB30" i="84"/>
  <c r="AX30" i="84"/>
  <c r="AT30" i="84"/>
  <c r="AP30" i="84"/>
  <c r="AH30" i="84" s="1"/>
  <c r="AG30" i="84" s="1"/>
  <c r="AL30" i="84"/>
  <c r="AF30" i="84"/>
  <c r="AD30" i="84"/>
  <c r="J30" i="84"/>
  <c r="K30" i="84" s="1"/>
  <c r="G30" i="84"/>
  <c r="CD29" i="84"/>
  <c r="BZ29" i="84"/>
  <c r="BV29" i="84"/>
  <c r="BR29" i="84"/>
  <c r="BN29" i="84"/>
  <c r="BJ29" i="84"/>
  <c r="BF29" i="84"/>
  <c r="BB29" i="84"/>
  <c r="AX29" i="84"/>
  <c r="AT29" i="84"/>
  <c r="AT24" i="84" s="1"/>
  <c r="AP29" i="84"/>
  <c r="AL29" i="84"/>
  <c r="AH29" i="84" s="1"/>
  <c r="AG29" i="84" s="1"/>
  <c r="AF29" i="84"/>
  <c r="AD29" i="84"/>
  <c r="J29" i="84"/>
  <c r="K29" i="84" s="1"/>
  <c r="G29" i="84"/>
  <c r="D29" i="84"/>
  <c r="CD28" i="84"/>
  <c r="BZ28" i="84"/>
  <c r="BV28" i="84"/>
  <c r="BR28" i="84"/>
  <c r="BN28" i="84"/>
  <c r="BJ28" i="84"/>
  <c r="BF28" i="84"/>
  <c r="BB28" i="84"/>
  <c r="AX28" i="84"/>
  <c r="AT28" i="84"/>
  <c r="AP28" i="84"/>
  <c r="AL28" i="84"/>
  <c r="AH28" i="84" s="1"/>
  <c r="AG28" i="84" s="1"/>
  <c r="AF28" i="84"/>
  <c r="AD28" i="84"/>
  <c r="J28" i="84"/>
  <c r="K28" i="84" s="1"/>
  <c r="G28" i="84"/>
  <c r="CD27" i="84"/>
  <c r="BZ27" i="84"/>
  <c r="BV27" i="84"/>
  <c r="BR27" i="84"/>
  <c r="BN27" i="84"/>
  <c r="BJ27" i="84"/>
  <c r="AH27" i="84" s="1"/>
  <c r="AG27" i="84" s="1"/>
  <c r="BF27" i="84"/>
  <c r="BB27" i="84"/>
  <c r="AX27" i="84"/>
  <c r="AT27" i="84"/>
  <c r="AP27" i="84"/>
  <c r="AL27" i="84"/>
  <c r="AF27" i="84"/>
  <c r="AD27" i="84"/>
  <c r="J27" i="84"/>
  <c r="K27" i="84" s="1"/>
  <c r="G27" i="84"/>
  <c r="D27" i="84"/>
  <c r="CD26" i="84"/>
  <c r="BZ26" i="84"/>
  <c r="BV26" i="84"/>
  <c r="BR26" i="84"/>
  <c r="BN26" i="84"/>
  <c r="BJ26" i="84"/>
  <c r="BF26" i="84"/>
  <c r="BF24" i="84" s="1"/>
  <c r="BB26" i="84"/>
  <c r="AX26" i="84"/>
  <c r="AT26" i="84"/>
  <c r="AP26" i="84"/>
  <c r="AL26" i="84"/>
  <c r="AH26" i="84" s="1"/>
  <c r="AG26" i="84" s="1"/>
  <c r="AF26" i="84"/>
  <c r="AD26" i="84"/>
  <c r="J26" i="84"/>
  <c r="K26" i="84" s="1"/>
  <c r="G26" i="84"/>
  <c r="CD25" i="84"/>
  <c r="CD24" i="84" s="1"/>
  <c r="BZ25" i="84"/>
  <c r="BZ24" i="84" s="1"/>
  <c r="BV25" i="84"/>
  <c r="BV24" i="84" s="1"/>
  <c r="BR25" i="84"/>
  <c r="BR24" i="84" s="1"/>
  <c r="BN25" i="84"/>
  <c r="BN24" i="84" s="1"/>
  <c r="BJ25" i="84"/>
  <c r="BF25" i="84"/>
  <c r="BB25" i="84"/>
  <c r="BB24" i="84" s="1"/>
  <c r="AX25" i="84"/>
  <c r="AX24" i="84" s="1"/>
  <c r="AT25" i="84"/>
  <c r="AH25" i="84" s="1"/>
  <c r="AP25" i="84"/>
  <c r="AP24" i="84" s="1"/>
  <c r="AL25" i="84"/>
  <c r="AF25" i="84"/>
  <c r="AD25" i="84"/>
  <c r="J25" i="84"/>
  <c r="I25" i="84"/>
  <c r="G25" i="84"/>
  <c r="BJ24" i="84"/>
  <c r="AD24" i="84"/>
  <c r="CD23" i="84"/>
  <c r="BZ23" i="84"/>
  <c r="BV23" i="84"/>
  <c r="BR23" i="84"/>
  <c r="BN23" i="84"/>
  <c r="BJ23" i="84"/>
  <c r="BF23" i="84"/>
  <c r="BB23" i="84"/>
  <c r="AX23" i="84"/>
  <c r="AT23" i="84"/>
  <c r="AP23" i="84"/>
  <c r="AL23" i="84"/>
  <c r="AH23" i="84" s="1"/>
  <c r="AG23" i="84" s="1"/>
  <c r="AF23" i="84"/>
  <c r="AD23" i="84"/>
  <c r="J23" i="84"/>
  <c r="K23" i="84" s="1"/>
  <c r="G23" i="84"/>
  <c r="D23" i="84"/>
  <c r="CD22" i="84"/>
  <c r="BZ22" i="84"/>
  <c r="BV22" i="84"/>
  <c r="BR22" i="84"/>
  <c r="BN22" i="84"/>
  <c r="BJ22" i="84"/>
  <c r="BF22" i="84"/>
  <c r="BB22" i="84"/>
  <c r="AX22" i="84"/>
  <c r="AT22" i="84"/>
  <c r="AP22" i="84"/>
  <c r="AL22" i="84"/>
  <c r="AH22" i="84" s="1"/>
  <c r="AG22" i="84" s="1"/>
  <c r="AF22" i="84"/>
  <c r="AD22" i="84"/>
  <c r="J22" i="84"/>
  <c r="K22" i="84" s="1"/>
  <c r="G22" i="84"/>
  <c r="CD21" i="84"/>
  <c r="BZ21" i="84"/>
  <c r="BV21" i="84"/>
  <c r="BR21" i="84"/>
  <c r="BN21" i="84"/>
  <c r="BJ21" i="84"/>
  <c r="BF21" i="84"/>
  <c r="BB21" i="84"/>
  <c r="AX21" i="84"/>
  <c r="AT21" i="84"/>
  <c r="AP21" i="84"/>
  <c r="AL21" i="84"/>
  <c r="AH21" i="84"/>
  <c r="AG21" i="84" s="1"/>
  <c r="AF21" i="84"/>
  <c r="AD21" i="84"/>
  <c r="J21" i="84"/>
  <c r="K21" i="84" s="1"/>
  <c r="G21" i="84"/>
  <c r="CD20" i="84"/>
  <c r="BZ20" i="84"/>
  <c r="BV20" i="84"/>
  <c r="BR20" i="84"/>
  <c r="BN20" i="84"/>
  <c r="BJ20" i="84"/>
  <c r="BF20" i="84"/>
  <c r="AH20" i="84" s="1"/>
  <c r="AG20" i="84" s="1"/>
  <c r="BB20" i="84"/>
  <c r="AX20" i="84"/>
  <c r="AT20" i="84"/>
  <c r="AP20" i="84"/>
  <c r="AL20" i="84"/>
  <c r="AF20" i="84"/>
  <c r="AD20" i="84"/>
  <c r="O20" i="84"/>
  <c r="J20" i="84"/>
  <c r="K20" i="84" s="1"/>
  <c r="G20" i="84"/>
  <c r="D20" i="84"/>
  <c r="CD19" i="84"/>
  <c r="BZ19" i="84"/>
  <c r="BV19" i="84"/>
  <c r="BR19" i="84"/>
  <c r="BN19" i="84"/>
  <c r="BJ19" i="84"/>
  <c r="BF19" i="84"/>
  <c r="BB19" i="84"/>
  <c r="AX19" i="84"/>
  <c r="AT19" i="84"/>
  <c r="AP19" i="84"/>
  <c r="AL19" i="84"/>
  <c r="AH19" i="84" s="1"/>
  <c r="AG19" i="84" s="1"/>
  <c r="AF19" i="84"/>
  <c r="AD19" i="84"/>
  <c r="J19" i="84"/>
  <c r="K19" i="84" s="1"/>
  <c r="G19" i="84"/>
  <c r="D19" i="84"/>
  <c r="C19" i="84"/>
  <c r="CD18" i="84"/>
  <c r="BZ18" i="84"/>
  <c r="BV18" i="84"/>
  <c r="BR18" i="84"/>
  <c r="BN18" i="84"/>
  <c r="BJ18" i="84"/>
  <c r="BF18" i="84"/>
  <c r="BB18" i="84"/>
  <c r="AX18" i="84"/>
  <c r="AT18" i="84"/>
  <c r="AP18" i="84"/>
  <c r="AL18" i="84"/>
  <c r="AH18" i="84" s="1"/>
  <c r="AG18" i="84" s="1"/>
  <c r="AF18" i="84"/>
  <c r="AD18" i="84"/>
  <c r="J18" i="84"/>
  <c r="K18" i="84" s="1"/>
  <c r="G18" i="84"/>
  <c r="C18" i="84"/>
  <c r="CD17" i="84"/>
  <c r="BZ17" i="84"/>
  <c r="BV17" i="84"/>
  <c r="BR17" i="84"/>
  <c r="BN17" i="84"/>
  <c r="BJ17" i="84"/>
  <c r="BF17" i="84"/>
  <c r="BB17" i="84"/>
  <c r="AX17" i="84"/>
  <c r="AT17" i="84"/>
  <c r="AP17" i="84"/>
  <c r="AL17" i="84"/>
  <c r="AH17" i="84" s="1"/>
  <c r="AG17" i="84" s="1"/>
  <c r="AF17" i="84"/>
  <c r="AD17" i="84"/>
  <c r="O17" i="84"/>
  <c r="J17" i="84"/>
  <c r="K17" i="84" s="1"/>
  <c r="G17" i="84"/>
  <c r="CD16" i="84"/>
  <c r="CD11" i="84" s="1"/>
  <c r="BZ16" i="84"/>
  <c r="BV16" i="84"/>
  <c r="BR16" i="84"/>
  <c r="BN16" i="84"/>
  <c r="BJ16" i="84"/>
  <c r="BF16" i="84"/>
  <c r="BB16" i="84"/>
  <c r="AX16" i="84"/>
  <c r="AT16" i="84"/>
  <c r="AP16" i="84"/>
  <c r="AL16" i="84"/>
  <c r="AH16" i="84" s="1"/>
  <c r="AG16" i="84" s="1"/>
  <c r="AF16" i="84"/>
  <c r="AD16" i="84"/>
  <c r="O16" i="84"/>
  <c r="J16" i="84"/>
  <c r="K16" i="84" s="1"/>
  <c r="G16" i="84"/>
  <c r="C16" i="84"/>
  <c r="CD15" i="84"/>
  <c r="BZ15" i="84"/>
  <c r="BV15" i="84"/>
  <c r="BR15" i="84"/>
  <c r="BN15" i="84"/>
  <c r="BJ15" i="84"/>
  <c r="BF15" i="84"/>
  <c r="BB15" i="84"/>
  <c r="AX15" i="84"/>
  <c r="AT15" i="84"/>
  <c r="AP15" i="84"/>
  <c r="AL15" i="84"/>
  <c r="AH15" i="84" s="1"/>
  <c r="AG15" i="84" s="1"/>
  <c r="AF15" i="84"/>
  <c r="AD15" i="84"/>
  <c r="J15" i="84"/>
  <c r="K15" i="84" s="1"/>
  <c r="G15" i="84"/>
  <c r="CD14" i="84"/>
  <c r="BZ14" i="84"/>
  <c r="BV14" i="84"/>
  <c r="BR14" i="84"/>
  <c r="BN14" i="84"/>
  <c r="BJ14" i="84"/>
  <c r="BF14" i="84"/>
  <c r="BB14" i="84"/>
  <c r="AX14" i="84"/>
  <c r="AT14" i="84"/>
  <c r="AP14" i="84"/>
  <c r="AL14" i="84"/>
  <c r="AH14" i="84" s="1"/>
  <c r="AG14" i="84" s="1"/>
  <c r="AF14" i="84"/>
  <c r="AD14" i="84"/>
  <c r="J14" i="84"/>
  <c r="K14" i="84" s="1"/>
  <c r="G14" i="84"/>
  <c r="C14" i="84"/>
  <c r="CD13" i="84"/>
  <c r="BZ13" i="84"/>
  <c r="BZ11" i="84" s="1"/>
  <c r="BV13" i="84"/>
  <c r="BR13" i="84"/>
  <c r="BN13" i="84"/>
  <c r="BJ13" i="84"/>
  <c r="AH13" i="84" s="1"/>
  <c r="AG13" i="84" s="1"/>
  <c r="BF13" i="84"/>
  <c r="BB13" i="84"/>
  <c r="BB11" i="84" s="1"/>
  <c r="AX13" i="84"/>
  <c r="AT13" i="84"/>
  <c r="AP13" i="84"/>
  <c r="AL13" i="84"/>
  <c r="AL11" i="84" s="1"/>
  <c r="AF13" i="84"/>
  <c r="AD13" i="84"/>
  <c r="J13" i="84"/>
  <c r="K13" i="84" s="1"/>
  <c r="G13" i="84"/>
  <c r="D13" i="84"/>
  <c r="CD12" i="84"/>
  <c r="BZ12" i="84"/>
  <c r="BV12" i="84"/>
  <c r="BR12" i="84"/>
  <c r="BR11" i="84" s="1"/>
  <c r="BN12" i="84"/>
  <c r="BN11" i="84" s="1"/>
  <c r="BJ12" i="84"/>
  <c r="AH12" i="84" s="1"/>
  <c r="BF12" i="84"/>
  <c r="BB12" i="84"/>
  <c r="AX12" i="84"/>
  <c r="AX11" i="84" s="1"/>
  <c r="AT12" i="84"/>
  <c r="AT11" i="84" s="1"/>
  <c r="AP12" i="84"/>
  <c r="AL12" i="84"/>
  <c r="AF12" i="84"/>
  <c r="AD12" i="84"/>
  <c r="M12" i="84"/>
  <c r="I12" i="84"/>
  <c r="G12" i="84"/>
  <c r="BV11" i="84"/>
  <c r="AP11" i="84"/>
  <c r="AD11" i="84"/>
  <c r="C11" i="84"/>
  <c r="AF6" i="84"/>
  <c r="I60" i="84"/>
  <c r="J3" i="84"/>
  <c r="A3" i="84"/>
  <c r="C56" i="84" s="1"/>
  <c r="D57" i="83"/>
  <c r="D52" i="83"/>
  <c r="M12" i="83"/>
  <c r="I12" i="83"/>
  <c r="CD62" i="83"/>
  <c r="BZ62" i="83"/>
  <c r="BV62" i="83"/>
  <c r="BR62" i="83"/>
  <c r="BN62" i="83"/>
  <c r="BJ62" i="83"/>
  <c r="BF62" i="83"/>
  <c r="BB62" i="83"/>
  <c r="AX62" i="83"/>
  <c r="AT62" i="83"/>
  <c r="AP62" i="83"/>
  <c r="AL62" i="83"/>
  <c r="AH62" i="83"/>
  <c r="AG62" i="83"/>
  <c r="AF62" i="83"/>
  <c r="AD62" i="83"/>
  <c r="J62" i="83"/>
  <c r="I62" i="83"/>
  <c r="G62" i="83"/>
  <c r="D62" i="83"/>
  <c r="CD61" i="83"/>
  <c r="BZ61" i="83"/>
  <c r="BV61" i="83"/>
  <c r="BR61" i="83"/>
  <c r="BN61" i="83"/>
  <c r="BJ61" i="83"/>
  <c r="BF61" i="83"/>
  <c r="BB61" i="83"/>
  <c r="AX61" i="83"/>
  <c r="AT61" i="83"/>
  <c r="AP61" i="83"/>
  <c r="AH61" i="83" s="1"/>
  <c r="AG61" i="83" s="1"/>
  <c r="AL61" i="83"/>
  <c r="AF61" i="83"/>
  <c r="AD61" i="83"/>
  <c r="J61" i="83"/>
  <c r="I61" i="83"/>
  <c r="G61" i="83"/>
  <c r="D61" i="83"/>
  <c r="CD60" i="83"/>
  <c r="BZ60" i="83"/>
  <c r="BV60" i="83"/>
  <c r="BR60" i="83"/>
  <c r="BN60" i="83"/>
  <c r="BJ60" i="83"/>
  <c r="BF60" i="83"/>
  <c r="BB60" i="83"/>
  <c r="AX60" i="83"/>
  <c r="AT60" i="83"/>
  <c r="AP60" i="83"/>
  <c r="AL60" i="83"/>
  <c r="AH60" i="83"/>
  <c r="AG60" i="83" s="1"/>
  <c r="AF60" i="83"/>
  <c r="AD60" i="83"/>
  <c r="J60" i="83"/>
  <c r="I60" i="83"/>
  <c r="G60" i="83"/>
  <c r="D60" i="83"/>
  <c r="C60" i="83"/>
  <c r="CD59" i="83"/>
  <c r="BZ59" i="83"/>
  <c r="BV59" i="83"/>
  <c r="BR59" i="83"/>
  <c r="BN59" i="83"/>
  <c r="BJ59" i="83"/>
  <c r="BF59" i="83"/>
  <c r="BB59" i="83"/>
  <c r="AX59" i="83"/>
  <c r="AX50" i="83" s="1"/>
  <c r="AT59" i="83"/>
  <c r="AP59" i="83"/>
  <c r="AH59" i="83" s="1"/>
  <c r="AG59" i="83" s="1"/>
  <c r="AL59" i="83"/>
  <c r="AF59" i="83"/>
  <c r="AD59" i="83"/>
  <c r="J59" i="83"/>
  <c r="G59" i="83"/>
  <c r="D59" i="83"/>
  <c r="CD58" i="83"/>
  <c r="BZ58" i="83"/>
  <c r="BV58" i="83"/>
  <c r="BR58" i="83"/>
  <c r="BN58" i="83"/>
  <c r="BJ58" i="83"/>
  <c r="BF58" i="83"/>
  <c r="BB58" i="83"/>
  <c r="AX58" i="83"/>
  <c r="AH58" i="83" s="1"/>
  <c r="AG58" i="83" s="1"/>
  <c r="AT58" i="83"/>
  <c r="AP58" i="83"/>
  <c r="AL58" i="83"/>
  <c r="AF58" i="83"/>
  <c r="AD58" i="83"/>
  <c r="J58" i="83"/>
  <c r="I58" i="83"/>
  <c r="G58" i="83"/>
  <c r="CD57" i="83"/>
  <c r="BZ57" i="83"/>
  <c r="BV57" i="83"/>
  <c r="BR57" i="83"/>
  <c r="BN57" i="83"/>
  <c r="BJ57" i="83"/>
  <c r="BF57" i="83"/>
  <c r="BB57" i="83"/>
  <c r="AX57" i="83"/>
  <c r="AT57" i="83"/>
  <c r="AP57" i="83"/>
  <c r="AH57" i="83" s="1"/>
  <c r="AG57" i="83" s="1"/>
  <c r="AL57" i="83"/>
  <c r="AF57" i="83"/>
  <c r="AD57" i="83"/>
  <c r="J57" i="83"/>
  <c r="G57" i="83"/>
  <c r="CD56" i="83"/>
  <c r="BZ56" i="83"/>
  <c r="BV56" i="83"/>
  <c r="BR56" i="83"/>
  <c r="BR50" i="83" s="1"/>
  <c r="BN56" i="83"/>
  <c r="BJ56" i="83"/>
  <c r="BF56" i="83"/>
  <c r="BB56" i="83"/>
  <c r="AX56" i="83"/>
  <c r="AT56" i="83"/>
  <c r="AP56" i="83"/>
  <c r="AH56" i="83" s="1"/>
  <c r="AG56" i="83" s="1"/>
  <c r="AL56" i="83"/>
  <c r="AF56" i="83"/>
  <c r="AD56" i="83"/>
  <c r="J56" i="83"/>
  <c r="G56" i="83"/>
  <c r="D56" i="83"/>
  <c r="CD55" i="83"/>
  <c r="BZ55" i="83"/>
  <c r="BV55" i="83"/>
  <c r="BR55" i="83"/>
  <c r="BN55" i="83"/>
  <c r="BJ55" i="83"/>
  <c r="BF55" i="83"/>
  <c r="BB55" i="83"/>
  <c r="AX55" i="83"/>
  <c r="AT55" i="83"/>
  <c r="AP55" i="83"/>
  <c r="AL55" i="83"/>
  <c r="AL50" i="83" s="1"/>
  <c r="AH55" i="83"/>
  <c r="AG55" i="83" s="1"/>
  <c r="AF55" i="83"/>
  <c r="AD55" i="83"/>
  <c r="J55" i="83"/>
  <c r="I55" i="83"/>
  <c r="G55" i="83"/>
  <c r="D55" i="83"/>
  <c r="C55" i="83"/>
  <c r="CD54" i="83"/>
  <c r="BZ54" i="83"/>
  <c r="BV54" i="83"/>
  <c r="BR54" i="83"/>
  <c r="BN54" i="83"/>
  <c r="BJ54" i="83"/>
  <c r="AH54" i="83" s="1"/>
  <c r="AG54" i="83" s="1"/>
  <c r="BF54" i="83"/>
  <c r="BB54" i="83"/>
  <c r="AX54" i="83"/>
  <c r="AT54" i="83"/>
  <c r="AP54" i="83"/>
  <c r="AL54" i="83"/>
  <c r="AF54" i="83"/>
  <c r="AD54" i="83"/>
  <c r="J54" i="83"/>
  <c r="I54" i="83"/>
  <c r="G54" i="83"/>
  <c r="D54" i="83"/>
  <c r="CD53" i="83"/>
  <c r="BZ53" i="83"/>
  <c r="BZ50" i="83" s="1"/>
  <c r="BV53" i="83"/>
  <c r="BR53" i="83"/>
  <c r="BN53" i="83"/>
  <c r="BJ53" i="83"/>
  <c r="BJ50" i="83" s="1"/>
  <c r="BF53" i="83"/>
  <c r="BB53" i="83"/>
  <c r="AX53" i="83"/>
  <c r="AT53" i="83"/>
  <c r="AP53" i="83"/>
  <c r="AP50" i="83" s="1"/>
  <c r="AL53" i="83"/>
  <c r="AH53" i="83" s="1"/>
  <c r="AG53" i="83" s="1"/>
  <c r="AF53" i="83"/>
  <c r="AD53" i="83"/>
  <c r="J53" i="83"/>
  <c r="I53" i="83"/>
  <c r="G53" i="83"/>
  <c r="D53" i="83"/>
  <c r="CD52" i="83"/>
  <c r="BZ52" i="83"/>
  <c r="BV52" i="83"/>
  <c r="BR52" i="83"/>
  <c r="BN52" i="83"/>
  <c r="BJ52" i="83"/>
  <c r="BF52" i="83"/>
  <c r="BF50" i="83" s="1"/>
  <c r="BB52" i="83"/>
  <c r="AX52" i="83"/>
  <c r="AT52" i="83"/>
  <c r="AT50" i="83" s="1"/>
  <c r="AP52" i="83"/>
  <c r="AL52" i="83"/>
  <c r="AH52" i="83" s="1"/>
  <c r="AF52" i="83"/>
  <c r="AD52" i="83"/>
  <c r="J52" i="83"/>
  <c r="I52" i="83"/>
  <c r="G52" i="83"/>
  <c r="CD51" i="83"/>
  <c r="CD50" i="83" s="1"/>
  <c r="BZ51" i="83"/>
  <c r="BV51" i="83"/>
  <c r="BV50" i="83" s="1"/>
  <c r="BR51" i="83"/>
  <c r="BN51" i="83"/>
  <c r="BJ51" i="83"/>
  <c r="BF51" i="83"/>
  <c r="BB51" i="83"/>
  <c r="AX51" i="83"/>
  <c r="AT51" i="83"/>
  <c r="AP51" i="83"/>
  <c r="AL51" i="83"/>
  <c r="AF51" i="83"/>
  <c r="AD51" i="83"/>
  <c r="J51" i="83"/>
  <c r="G51" i="83"/>
  <c r="BN50" i="83"/>
  <c r="AD50" i="83"/>
  <c r="D50" i="83"/>
  <c r="C50" i="83"/>
  <c r="CD49" i="83"/>
  <c r="BZ49" i="83"/>
  <c r="BV49" i="83"/>
  <c r="BR49" i="83"/>
  <c r="BN49" i="83"/>
  <c r="BJ49" i="83"/>
  <c r="BF49" i="83"/>
  <c r="BB49" i="83"/>
  <c r="AX49" i="83"/>
  <c r="AT49" i="83"/>
  <c r="AP49" i="83"/>
  <c r="AL49" i="83"/>
  <c r="AH49" i="83" s="1"/>
  <c r="AG49" i="83" s="1"/>
  <c r="AF49" i="83"/>
  <c r="AD49" i="83"/>
  <c r="J49" i="83"/>
  <c r="K49" i="83" s="1"/>
  <c r="G49" i="83"/>
  <c r="D49" i="83"/>
  <c r="CD48" i="83"/>
  <c r="BZ48" i="83"/>
  <c r="BV48" i="83"/>
  <c r="BR48" i="83"/>
  <c r="BN48" i="83"/>
  <c r="BJ48" i="83"/>
  <c r="BF48" i="83"/>
  <c r="BB48" i="83"/>
  <c r="AX48" i="83"/>
  <c r="AT48" i="83"/>
  <c r="AP48" i="83"/>
  <c r="AL48" i="83"/>
  <c r="AH48" i="83" s="1"/>
  <c r="AG48" i="83" s="1"/>
  <c r="AF48" i="83"/>
  <c r="AD48" i="83"/>
  <c r="J48" i="83"/>
  <c r="K48" i="83" s="1"/>
  <c r="G48" i="83"/>
  <c r="D48" i="83"/>
  <c r="CD47" i="83"/>
  <c r="BZ47" i="83"/>
  <c r="BV47" i="83"/>
  <c r="BR47" i="83"/>
  <c r="BN47" i="83"/>
  <c r="BJ47" i="83"/>
  <c r="BF47" i="83"/>
  <c r="BB47" i="83"/>
  <c r="AX47" i="83"/>
  <c r="AT47" i="83"/>
  <c r="AP47" i="83"/>
  <c r="AL47" i="83"/>
  <c r="AH47" i="83"/>
  <c r="AG47" i="83" s="1"/>
  <c r="AF47" i="83"/>
  <c r="AD47" i="83"/>
  <c r="J47" i="83"/>
  <c r="K47" i="83" s="1"/>
  <c r="G47" i="83"/>
  <c r="D47" i="83"/>
  <c r="CD46" i="83"/>
  <c r="BZ46" i="83"/>
  <c r="BV46" i="83"/>
  <c r="BR46" i="83"/>
  <c r="BN46" i="83"/>
  <c r="BJ46" i="83"/>
  <c r="BF46" i="83"/>
  <c r="BB46" i="83"/>
  <c r="AX46" i="83"/>
  <c r="AT46" i="83"/>
  <c r="AP46" i="83"/>
  <c r="AH46" i="83" s="1"/>
  <c r="AG46" i="83" s="1"/>
  <c r="AL46" i="83"/>
  <c r="AF46" i="83"/>
  <c r="AD46" i="83"/>
  <c r="J46" i="83"/>
  <c r="K46" i="83" s="1"/>
  <c r="G46" i="83"/>
  <c r="D46" i="83"/>
  <c r="CD45" i="83"/>
  <c r="AH45" i="83" s="1"/>
  <c r="AG45" i="83" s="1"/>
  <c r="BZ45" i="83"/>
  <c r="BV45" i="83"/>
  <c r="BR45" i="83"/>
  <c r="BN45" i="83"/>
  <c r="BJ45" i="83"/>
  <c r="BF45" i="83"/>
  <c r="BB45" i="83"/>
  <c r="AX45" i="83"/>
  <c r="AT45" i="83"/>
  <c r="AP45" i="83"/>
  <c r="AL45" i="83"/>
  <c r="AF45" i="83"/>
  <c r="AD45" i="83"/>
  <c r="J45" i="83"/>
  <c r="K45" i="83" s="1"/>
  <c r="G45" i="83"/>
  <c r="D45" i="83"/>
  <c r="CD44" i="83"/>
  <c r="BZ44" i="83"/>
  <c r="BV44" i="83"/>
  <c r="BR44" i="83"/>
  <c r="BN44" i="83"/>
  <c r="BJ44" i="83"/>
  <c r="BF44" i="83"/>
  <c r="BB44" i="83"/>
  <c r="AX44" i="83"/>
  <c r="AT44" i="83"/>
  <c r="AP44" i="83"/>
  <c r="AH44" i="83" s="1"/>
  <c r="AG44" i="83" s="1"/>
  <c r="AL44" i="83"/>
  <c r="AF44" i="83"/>
  <c r="AD44" i="83"/>
  <c r="J44" i="83"/>
  <c r="K44" i="83" s="1"/>
  <c r="G44" i="83"/>
  <c r="C44" i="83"/>
  <c r="CD43" i="83"/>
  <c r="BZ43" i="83"/>
  <c r="BV43" i="83"/>
  <c r="BR43" i="83"/>
  <c r="BN43" i="83"/>
  <c r="BJ43" i="83"/>
  <c r="BF43" i="83"/>
  <c r="BB43" i="83"/>
  <c r="AX43" i="83"/>
  <c r="AT43" i="83"/>
  <c r="AP43" i="83"/>
  <c r="AL43" i="83"/>
  <c r="AH43" i="83" s="1"/>
  <c r="AG43" i="83" s="1"/>
  <c r="AF43" i="83"/>
  <c r="AD43" i="83"/>
  <c r="J43" i="83"/>
  <c r="K43" i="83" s="1"/>
  <c r="G43" i="83"/>
  <c r="C43" i="83"/>
  <c r="CD42" i="83"/>
  <c r="BZ42" i="83"/>
  <c r="BV42" i="83"/>
  <c r="BR42" i="83"/>
  <c r="BN42" i="83"/>
  <c r="BJ42" i="83"/>
  <c r="BF42" i="83"/>
  <c r="BB42" i="83"/>
  <c r="AX42" i="83"/>
  <c r="AT42" i="83"/>
  <c r="AP42" i="83"/>
  <c r="AL42" i="83"/>
  <c r="AH42" i="83" s="1"/>
  <c r="AG42" i="83" s="1"/>
  <c r="AF42" i="83"/>
  <c r="AD42" i="83"/>
  <c r="J42" i="83"/>
  <c r="K42" i="83" s="1"/>
  <c r="G42" i="83"/>
  <c r="CD41" i="83"/>
  <c r="BZ41" i="83"/>
  <c r="BV41" i="83"/>
  <c r="BR41" i="83"/>
  <c r="BN41" i="83"/>
  <c r="BJ41" i="83"/>
  <c r="BF41" i="83"/>
  <c r="BB41" i="83"/>
  <c r="AX41" i="83"/>
  <c r="AT41" i="83"/>
  <c r="AP41" i="83"/>
  <c r="AP37" i="83" s="1"/>
  <c r="AL41" i="83"/>
  <c r="AH41" i="83" s="1"/>
  <c r="AG41" i="83" s="1"/>
  <c r="AF41" i="83"/>
  <c r="AD41" i="83"/>
  <c r="J41" i="83"/>
  <c r="K41" i="83" s="1"/>
  <c r="G41" i="83"/>
  <c r="D41" i="83"/>
  <c r="CD40" i="83"/>
  <c r="BZ40" i="83"/>
  <c r="BZ37" i="83" s="1"/>
  <c r="BV40" i="83"/>
  <c r="BR40" i="83"/>
  <c r="BN40" i="83"/>
  <c r="BN37" i="83" s="1"/>
  <c r="BJ40" i="83"/>
  <c r="BF40" i="83"/>
  <c r="BB40" i="83"/>
  <c r="AX40" i="83"/>
  <c r="AT40" i="83"/>
  <c r="AP40" i="83"/>
  <c r="AL40" i="83"/>
  <c r="AH40" i="83" s="1"/>
  <c r="AG40" i="83" s="1"/>
  <c r="AF40" i="83"/>
  <c r="AD40" i="83"/>
  <c r="J40" i="83"/>
  <c r="K40" i="83" s="1"/>
  <c r="G40" i="83"/>
  <c r="D40" i="83"/>
  <c r="CD39" i="83"/>
  <c r="BZ39" i="83"/>
  <c r="BV39" i="83"/>
  <c r="BR39" i="83"/>
  <c r="BN39" i="83"/>
  <c r="BJ39" i="83"/>
  <c r="BF39" i="83"/>
  <c r="BB39" i="83"/>
  <c r="AX39" i="83"/>
  <c r="AT39" i="83"/>
  <c r="AT37" i="83" s="1"/>
  <c r="AP39" i="83"/>
  <c r="AL39" i="83"/>
  <c r="AL37" i="83" s="1"/>
  <c r="AH39" i="83"/>
  <c r="AG39" i="83" s="1"/>
  <c r="AF39" i="83"/>
  <c r="AD39" i="83"/>
  <c r="G39" i="83"/>
  <c r="D39" i="83"/>
  <c r="CD38" i="83"/>
  <c r="BZ38" i="83"/>
  <c r="BV38" i="83"/>
  <c r="BV37" i="83" s="1"/>
  <c r="BR38" i="83"/>
  <c r="BR37" i="83" s="1"/>
  <c r="BN38" i="83"/>
  <c r="BJ38" i="83"/>
  <c r="BJ37" i="83" s="1"/>
  <c r="BF38" i="83"/>
  <c r="BF37" i="83" s="1"/>
  <c r="BB38" i="83"/>
  <c r="BB37" i="83" s="1"/>
  <c r="AX38" i="83"/>
  <c r="AT38" i="83"/>
  <c r="AP38" i="83"/>
  <c r="AH38" i="83" s="1"/>
  <c r="AL38" i="83"/>
  <c r="AF38" i="83"/>
  <c r="AD38" i="83"/>
  <c r="G38" i="83"/>
  <c r="D38" i="83"/>
  <c r="C38" i="83"/>
  <c r="CD37" i="83"/>
  <c r="AX37" i="83"/>
  <c r="AD37" i="83"/>
  <c r="D37" i="83"/>
  <c r="C37" i="83"/>
  <c r="CD36" i="83"/>
  <c r="AH36" i="83" s="1"/>
  <c r="AG36" i="83" s="1"/>
  <c r="BZ36" i="83"/>
  <c r="BV36" i="83"/>
  <c r="BR36" i="83"/>
  <c r="BN36" i="83"/>
  <c r="BJ36" i="83"/>
  <c r="BF36" i="83"/>
  <c r="BB36" i="83"/>
  <c r="AX36" i="83"/>
  <c r="AT36" i="83"/>
  <c r="AP36" i="83"/>
  <c r="AL36" i="83"/>
  <c r="AF36" i="83"/>
  <c r="AD36" i="83"/>
  <c r="J36" i="83"/>
  <c r="K36" i="83" s="1"/>
  <c r="G36" i="83"/>
  <c r="D36" i="83"/>
  <c r="CD35" i="83"/>
  <c r="BZ35" i="83"/>
  <c r="BV35" i="83"/>
  <c r="BR35" i="83"/>
  <c r="BN35" i="83"/>
  <c r="BJ35" i="83"/>
  <c r="BF35" i="83"/>
  <c r="BB35" i="83"/>
  <c r="AX35" i="83"/>
  <c r="AT35" i="83"/>
  <c r="AP35" i="83"/>
  <c r="AH35" i="83" s="1"/>
  <c r="AG35" i="83" s="1"/>
  <c r="AL35" i="83"/>
  <c r="AF35" i="83"/>
  <c r="AD35" i="83"/>
  <c r="J35" i="83"/>
  <c r="K35" i="83" s="1"/>
  <c r="G35" i="83"/>
  <c r="D35" i="83"/>
  <c r="CD34" i="83"/>
  <c r="BZ34" i="83"/>
  <c r="BV34" i="83"/>
  <c r="BR34" i="83"/>
  <c r="BN34" i="83"/>
  <c r="BJ34" i="83"/>
  <c r="BF34" i="83"/>
  <c r="BB34" i="83"/>
  <c r="AX34" i="83"/>
  <c r="AT34" i="83"/>
  <c r="AP34" i="83"/>
  <c r="AL34" i="83"/>
  <c r="AH34" i="83" s="1"/>
  <c r="AG34" i="83" s="1"/>
  <c r="AF34" i="83"/>
  <c r="AD34" i="83"/>
  <c r="J34" i="83"/>
  <c r="K34" i="83" s="1"/>
  <c r="G34" i="83"/>
  <c r="CD33" i="83"/>
  <c r="BZ33" i="83"/>
  <c r="BV33" i="83"/>
  <c r="BR33" i="83"/>
  <c r="BN33" i="83"/>
  <c r="BJ33" i="83"/>
  <c r="BF33" i="83"/>
  <c r="BB33" i="83"/>
  <c r="AX33" i="83"/>
  <c r="AT33" i="83"/>
  <c r="AP33" i="83"/>
  <c r="AL33" i="83"/>
  <c r="AH33" i="83" s="1"/>
  <c r="AG33" i="83" s="1"/>
  <c r="AF33" i="83"/>
  <c r="AD33" i="83"/>
  <c r="J33" i="83"/>
  <c r="K33" i="83" s="1"/>
  <c r="G33" i="83"/>
  <c r="CD32" i="83"/>
  <c r="BZ32" i="83"/>
  <c r="BV32" i="83"/>
  <c r="BR32" i="83"/>
  <c r="BN32" i="83"/>
  <c r="BJ32" i="83"/>
  <c r="BF32" i="83"/>
  <c r="BB32" i="83"/>
  <c r="AX32" i="83"/>
  <c r="AT32" i="83"/>
  <c r="AP32" i="83"/>
  <c r="AL32" i="83"/>
  <c r="AH32" i="83" s="1"/>
  <c r="AG32" i="83" s="1"/>
  <c r="AF32" i="83"/>
  <c r="AD32" i="83"/>
  <c r="J32" i="83"/>
  <c r="K32" i="83" s="1"/>
  <c r="G32" i="83"/>
  <c r="C32" i="83"/>
  <c r="CD31" i="83"/>
  <c r="BZ31" i="83"/>
  <c r="BV31" i="83"/>
  <c r="BV24" i="83" s="1"/>
  <c r="BR31" i="83"/>
  <c r="BN31" i="83"/>
  <c r="BJ31" i="83"/>
  <c r="BF31" i="83"/>
  <c r="BB31" i="83"/>
  <c r="AX31" i="83"/>
  <c r="AT31" i="83"/>
  <c r="AP31" i="83"/>
  <c r="AL31" i="83"/>
  <c r="AH31" i="83" s="1"/>
  <c r="AG31" i="83" s="1"/>
  <c r="AF31" i="83"/>
  <c r="AD31" i="83"/>
  <c r="J31" i="83"/>
  <c r="K31" i="83" s="1"/>
  <c r="G31" i="83"/>
  <c r="D31" i="83"/>
  <c r="C31" i="83"/>
  <c r="CD30" i="83"/>
  <c r="BZ30" i="83"/>
  <c r="BV30" i="83"/>
  <c r="BR30" i="83"/>
  <c r="BN30" i="83"/>
  <c r="BJ30" i="83"/>
  <c r="BF30" i="83"/>
  <c r="BB30" i="83"/>
  <c r="AX30" i="83"/>
  <c r="AT30" i="83"/>
  <c r="AP30" i="83"/>
  <c r="AL30" i="83"/>
  <c r="AH30" i="83"/>
  <c r="AG30" i="83" s="1"/>
  <c r="AF30" i="83"/>
  <c r="AD30" i="83"/>
  <c r="J30" i="83"/>
  <c r="K30" i="83" s="1"/>
  <c r="G30" i="83"/>
  <c r="D30" i="83"/>
  <c r="CD29" i="83"/>
  <c r="BZ29" i="83"/>
  <c r="BV29" i="83"/>
  <c r="BR29" i="83"/>
  <c r="BN29" i="83"/>
  <c r="BJ29" i="83"/>
  <c r="BF29" i="83"/>
  <c r="BB29" i="83"/>
  <c r="AX29" i="83"/>
  <c r="AX24" i="83" s="1"/>
  <c r="AT29" i="83"/>
  <c r="AP29" i="83"/>
  <c r="AH29" i="83" s="1"/>
  <c r="AG29" i="83" s="1"/>
  <c r="AL29" i="83"/>
  <c r="AF29" i="83"/>
  <c r="AD29" i="83"/>
  <c r="J29" i="83"/>
  <c r="K29" i="83" s="1"/>
  <c r="G29" i="83"/>
  <c r="D29" i="83"/>
  <c r="CD28" i="83"/>
  <c r="AH28" i="83" s="1"/>
  <c r="AG28" i="83" s="1"/>
  <c r="BZ28" i="83"/>
  <c r="BV28" i="83"/>
  <c r="BR28" i="83"/>
  <c r="BN28" i="83"/>
  <c r="BJ28" i="83"/>
  <c r="BF28" i="83"/>
  <c r="BB28" i="83"/>
  <c r="AX28" i="83"/>
  <c r="AT28" i="83"/>
  <c r="AP28" i="83"/>
  <c r="AL28" i="83"/>
  <c r="AF28" i="83"/>
  <c r="AD28" i="83"/>
  <c r="J28" i="83"/>
  <c r="K28" i="83" s="1"/>
  <c r="G28" i="83"/>
  <c r="D28" i="83"/>
  <c r="CD27" i="83"/>
  <c r="BZ27" i="83"/>
  <c r="BV27" i="83"/>
  <c r="BR27" i="83"/>
  <c r="BN27" i="83"/>
  <c r="BJ27" i="83"/>
  <c r="BF27" i="83"/>
  <c r="BB27" i="83"/>
  <c r="BB24" i="83" s="1"/>
  <c r="AX27" i="83"/>
  <c r="AT27" i="83"/>
  <c r="AT24" i="83" s="1"/>
  <c r="AP27" i="83"/>
  <c r="AP24" i="83" s="1"/>
  <c r="AL27" i="83"/>
  <c r="AF27" i="83"/>
  <c r="AD27" i="83"/>
  <c r="J27" i="83"/>
  <c r="K27" i="83" s="1"/>
  <c r="G27" i="83"/>
  <c r="D27" i="83"/>
  <c r="CD26" i="83"/>
  <c r="BZ26" i="83"/>
  <c r="BZ24" i="83" s="1"/>
  <c r="BV26" i="83"/>
  <c r="BR26" i="83"/>
  <c r="BN26" i="83"/>
  <c r="BJ26" i="83"/>
  <c r="BF26" i="83"/>
  <c r="BB26" i="83"/>
  <c r="AX26" i="83"/>
  <c r="AT26" i="83"/>
  <c r="AP26" i="83"/>
  <c r="AL26" i="83"/>
  <c r="AH26" i="83" s="1"/>
  <c r="AG26" i="83" s="1"/>
  <c r="AF26" i="83"/>
  <c r="AD26" i="83"/>
  <c r="J26" i="83"/>
  <c r="K26" i="83" s="1"/>
  <c r="G26" i="83"/>
  <c r="C26" i="83"/>
  <c r="CD25" i="83"/>
  <c r="CD24" i="83" s="1"/>
  <c r="BZ25" i="83"/>
  <c r="BV25" i="83"/>
  <c r="BR25" i="83"/>
  <c r="BN25" i="83"/>
  <c r="BN24" i="83" s="1"/>
  <c r="BJ25" i="83"/>
  <c r="BJ24" i="83" s="1"/>
  <c r="BF25" i="83"/>
  <c r="BF24" i="83" s="1"/>
  <c r="BB25" i="83"/>
  <c r="AX25" i="83"/>
  <c r="AT25" i="83"/>
  <c r="AP25" i="83"/>
  <c r="AL25" i="83"/>
  <c r="AH25" i="83" s="1"/>
  <c r="AF25" i="83"/>
  <c r="AD25" i="83"/>
  <c r="J25" i="83"/>
  <c r="I25" i="83"/>
  <c r="G25" i="83"/>
  <c r="BR24" i="83"/>
  <c r="AL24" i="83"/>
  <c r="AD24" i="83"/>
  <c r="D24" i="83"/>
  <c r="CD23" i="83"/>
  <c r="BZ23" i="83"/>
  <c r="BV23" i="83"/>
  <c r="BR23" i="83"/>
  <c r="BN23" i="83"/>
  <c r="BJ23" i="83"/>
  <c r="BF23" i="83"/>
  <c r="BB23" i="83"/>
  <c r="AX23" i="83"/>
  <c r="AT23" i="83"/>
  <c r="AP23" i="83"/>
  <c r="AL23" i="83"/>
  <c r="AH23" i="83" s="1"/>
  <c r="AG23" i="83" s="1"/>
  <c r="AF23" i="83"/>
  <c r="AD23" i="83"/>
  <c r="O23" i="83"/>
  <c r="J23" i="83"/>
  <c r="K23" i="83" s="1"/>
  <c r="G23" i="83"/>
  <c r="D23" i="83"/>
  <c r="C23" i="83"/>
  <c r="CD22" i="83"/>
  <c r="AH22" i="83" s="1"/>
  <c r="AG22" i="83" s="1"/>
  <c r="BZ22" i="83"/>
  <c r="BV22" i="83"/>
  <c r="BR22" i="83"/>
  <c r="BN22" i="83"/>
  <c r="BJ22" i="83"/>
  <c r="BF22" i="83"/>
  <c r="BB22" i="83"/>
  <c r="AX22" i="83"/>
  <c r="AT22" i="83"/>
  <c r="AP22" i="83"/>
  <c r="AL22" i="83"/>
  <c r="AF22" i="83"/>
  <c r="AD22" i="83"/>
  <c r="O22" i="83"/>
  <c r="J22" i="83"/>
  <c r="K22" i="83" s="1"/>
  <c r="G22" i="83"/>
  <c r="D22" i="83"/>
  <c r="C22" i="83"/>
  <c r="CD21" i="83"/>
  <c r="BZ21" i="83"/>
  <c r="BV21" i="83"/>
  <c r="BR21" i="83"/>
  <c r="BN21" i="83"/>
  <c r="BJ21" i="83"/>
  <c r="BF21" i="83"/>
  <c r="BB21" i="83"/>
  <c r="AX21" i="83"/>
  <c r="AT21" i="83"/>
  <c r="AT11" i="83" s="1"/>
  <c r="AP21" i="83"/>
  <c r="AL21" i="83"/>
  <c r="AH21" i="83" s="1"/>
  <c r="AG21" i="83" s="1"/>
  <c r="AF21" i="83"/>
  <c r="AD21" i="83"/>
  <c r="O21" i="83"/>
  <c r="J21" i="83"/>
  <c r="K21" i="83" s="1"/>
  <c r="G21" i="83"/>
  <c r="CD20" i="83"/>
  <c r="BZ20" i="83"/>
  <c r="BV20" i="83"/>
  <c r="BR20" i="83"/>
  <c r="BN20" i="83"/>
  <c r="BJ20" i="83"/>
  <c r="BF20" i="83"/>
  <c r="BB20" i="83"/>
  <c r="AX20" i="83"/>
  <c r="AT20" i="83"/>
  <c r="AP20" i="83"/>
  <c r="AL20" i="83"/>
  <c r="AH20" i="83" s="1"/>
  <c r="AG20" i="83" s="1"/>
  <c r="AF20" i="83"/>
  <c r="AD20" i="83"/>
  <c r="O20" i="83"/>
  <c r="J20" i="83"/>
  <c r="K20" i="83" s="1"/>
  <c r="G20" i="83"/>
  <c r="CD19" i="83"/>
  <c r="BZ19" i="83"/>
  <c r="BV19" i="83"/>
  <c r="BR19" i="83"/>
  <c r="BN19" i="83"/>
  <c r="BJ19" i="83"/>
  <c r="BF19" i="83"/>
  <c r="BB19" i="83"/>
  <c r="AX19" i="83"/>
  <c r="AT19" i="83"/>
  <c r="AP19" i="83"/>
  <c r="AL19" i="83"/>
  <c r="AH19" i="83" s="1"/>
  <c r="AG19" i="83" s="1"/>
  <c r="AF19" i="83"/>
  <c r="AD19" i="83"/>
  <c r="O19" i="83"/>
  <c r="J19" i="83"/>
  <c r="K19" i="83" s="1"/>
  <c r="G19" i="83"/>
  <c r="CD18" i="83"/>
  <c r="BZ18" i="83"/>
  <c r="BV18" i="83"/>
  <c r="BR18" i="83"/>
  <c r="BN18" i="83"/>
  <c r="BJ18" i="83"/>
  <c r="BF18" i="83"/>
  <c r="BB18" i="83"/>
  <c r="AX18" i="83"/>
  <c r="AT18" i="83"/>
  <c r="AP18" i="83"/>
  <c r="AL18" i="83"/>
  <c r="AH18" i="83" s="1"/>
  <c r="AG18" i="83" s="1"/>
  <c r="AF18" i="83"/>
  <c r="AD18" i="83"/>
  <c r="J18" i="83"/>
  <c r="K18" i="83" s="1"/>
  <c r="G18" i="83"/>
  <c r="D18" i="83"/>
  <c r="C18" i="83"/>
  <c r="CD17" i="83"/>
  <c r="BZ17" i="83"/>
  <c r="BV17" i="83"/>
  <c r="BR17" i="83"/>
  <c r="BN17" i="83"/>
  <c r="BJ17" i="83"/>
  <c r="BF17" i="83"/>
  <c r="BB17" i="83"/>
  <c r="AX17" i="83"/>
  <c r="AT17" i="83"/>
  <c r="AP17" i="83"/>
  <c r="AL17" i="83"/>
  <c r="AH17" i="83"/>
  <c r="AG17" i="83"/>
  <c r="AF17" i="83"/>
  <c r="AD17" i="83"/>
  <c r="O17" i="83"/>
  <c r="J17" i="83"/>
  <c r="K17" i="83" s="1"/>
  <c r="G17" i="83"/>
  <c r="D17" i="83"/>
  <c r="CD16" i="83"/>
  <c r="BZ16" i="83"/>
  <c r="BV16" i="83"/>
  <c r="BR16" i="83"/>
  <c r="BN16" i="83"/>
  <c r="BJ16" i="83"/>
  <c r="BF16" i="83"/>
  <c r="BB16" i="83"/>
  <c r="AX16" i="83"/>
  <c r="AT16" i="83"/>
  <c r="AP16" i="83"/>
  <c r="AH16" i="83" s="1"/>
  <c r="AG16" i="83" s="1"/>
  <c r="AL16" i="83"/>
  <c r="AF16" i="83"/>
  <c r="AD16" i="83"/>
  <c r="O16" i="83"/>
  <c r="J16" i="83"/>
  <c r="K16" i="83" s="1"/>
  <c r="G16" i="83"/>
  <c r="D16" i="83"/>
  <c r="CD15" i="83"/>
  <c r="BZ15" i="83"/>
  <c r="BV15" i="83"/>
  <c r="BR15" i="83"/>
  <c r="BN15" i="83"/>
  <c r="BJ15" i="83"/>
  <c r="BF15" i="83"/>
  <c r="BB15" i="83"/>
  <c r="AX15" i="83"/>
  <c r="AT15" i="83"/>
  <c r="AP15" i="83"/>
  <c r="AL15" i="83"/>
  <c r="AH15" i="83"/>
  <c r="AG15" i="83" s="1"/>
  <c r="AF15" i="83"/>
  <c r="AD15" i="83"/>
  <c r="O15" i="83"/>
  <c r="J15" i="83"/>
  <c r="K15" i="83" s="1"/>
  <c r="G15" i="83"/>
  <c r="D15" i="83"/>
  <c r="CD14" i="83"/>
  <c r="BZ14" i="83"/>
  <c r="BV14" i="83"/>
  <c r="BR14" i="83"/>
  <c r="BN14" i="83"/>
  <c r="BJ14" i="83"/>
  <c r="BJ11" i="83" s="1"/>
  <c r="BF14" i="83"/>
  <c r="BB14" i="83"/>
  <c r="AX14" i="83"/>
  <c r="AX11" i="83" s="1"/>
  <c r="AT14" i="83"/>
  <c r="AP14" i="83"/>
  <c r="AL14" i="83"/>
  <c r="AH14" i="83" s="1"/>
  <c r="AG14" i="83" s="1"/>
  <c r="AF14" i="83"/>
  <c r="AD14" i="83"/>
  <c r="J14" i="83"/>
  <c r="K14" i="83" s="1"/>
  <c r="G14" i="83"/>
  <c r="CD13" i="83"/>
  <c r="CD11" i="83" s="1"/>
  <c r="BZ13" i="83"/>
  <c r="BZ11" i="83" s="1"/>
  <c r="BV13" i="83"/>
  <c r="BR13" i="83"/>
  <c r="BN13" i="83"/>
  <c r="BJ13" i="83"/>
  <c r="BF13" i="83"/>
  <c r="BB13" i="83"/>
  <c r="AX13" i="83"/>
  <c r="AT13" i="83"/>
  <c r="AP13" i="83"/>
  <c r="AL13" i="83"/>
  <c r="AL11" i="83" s="1"/>
  <c r="AF13" i="83"/>
  <c r="AD13" i="83"/>
  <c r="O13" i="83"/>
  <c r="J13" i="83"/>
  <c r="K13" i="83" s="1"/>
  <c r="G13" i="83"/>
  <c r="CD12" i="83"/>
  <c r="BZ12" i="83"/>
  <c r="BV12" i="83"/>
  <c r="BV11" i="83" s="1"/>
  <c r="BR12" i="83"/>
  <c r="BR11" i="83" s="1"/>
  <c r="BN12" i="83"/>
  <c r="BN11" i="83" s="1"/>
  <c r="BJ12" i="83"/>
  <c r="BF12" i="83"/>
  <c r="BF11" i="83" s="1"/>
  <c r="BB12" i="83"/>
  <c r="BB11" i="83" s="1"/>
  <c r="AX12" i="83"/>
  <c r="AT12" i="83"/>
  <c r="AP12" i="83"/>
  <c r="AP11" i="83" s="1"/>
  <c r="AL12" i="83"/>
  <c r="AF12" i="83"/>
  <c r="AD12" i="83"/>
  <c r="G12" i="83"/>
  <c r="D12" i="83"/>
  <c r="AD11" i="83"/>
  <c r="D11" i="83"/>
  <c r="AF6" i="83"/>
  <c r="J3" i="83"/>
  <c r="M50" i="83" s="1"/>
  <c r="A3" i="83"/>
  <c r="C58" i="83" s="1"/>
  <c r="CD62" i="82"/>
  <c r="BZ62" i="82"/>
  <c r="BV62" i="82"/>
  <c r="BR62" i="82"/>
  <c r="BN62" i="82"/>
  <c r="BJ62" i="82"/>
  <c r="BF62" i="82"/>
  <c r="BB62" i="82"/>
  <c r="AX62" i="82"/>
  <c r="AT62" i="82"/>
  <c r="AP62" i="82"/>
  <c r="AL62" i="82"/>
  <c r="AH62" i="82"/>
  <c r="AG62" i="82"/>
  <c r="AF62" i="82"/>
  <c r="AD62" i="82"/>
  <c r="J62" i="82"/>
  <c r="I62" i="82"/>
  <c r="G62" i="82"/>
  <c r="D62" i="82"/>
  <c r="CD61" i="82"/>
  <c r="BZ61" i="82"/>
  <c r="BV61" i="82"/>
  <c r="BR61" i="82"/>
  <c r="BN61" i="82"/>
  <c r="BJ61" i="82"/>
  <c r="BF61" i="82"/>
  <c r="BB61" i="82"/>
  <c r="AX61" i="82"/>
  <c r="AH61" i="82" s="1"/>
  <c r="AG61" i="82" s="1"/>
  <c r="AT61" i="82"/>
  <c r="AP61" i="82"/>
  <c r="AL61" i="82"/>
  <c r="AF61" i="82"/>
  <c r="AD61" i="82"/>
  <c r="J61" i="82"/>
  <c r="I61" i="82"/>
  <c r="G61" i="82"/>
  <c r="D61" i="82"/>
  <c r="CD60" i="82"/>
  <c r="BZ60" i="82"/>
  <c r="BV60" i="82"/>
  <c r="BR60" i="82"/>
  <c r="BN60" i="82"/>
  <c r="BJ60" i="82"/>
  <c r="BF60" i="82"/>
  <c r="BB60" i="82"/>
  <c r="AX60" i="82"/>
  <c r="AT60" i="82"/>
  <c r="AP60" i="82"/>
  <c r="AL60" i="82"/>
  <c r="AH60" i="82"/>
  <c r="AF60" i="82"/>
  <c r="AG60" i="82" s="1"/>
  <c r="AD60" i="82"/>
  <c r="J60" i="82"/>
  <c r="I60" i="82"/>
  <c r="G60" i="82"/>
  <c r="D60" i="82"/>
  <c r="CD59" i="82"/>
  <c r="BZ59" i="82"/>
  <c r="BV59" i="82"/>
  <c r="BR59" i="82"/>
  <c r="BN59" i="82"/>
  <c r="BJ59" i="82"/>
  <c r="BF59" i="82"/>
  <c r="BB59" i="82"/>
  <c r="AX59" i="82"/>
  <c r="AT59" i="82"/>
  <c r="AP59" i="82"/>
  <c r="AH59" i="82" s="1"/>
  <c r="AG59" i="82" s="1"/>
  <c r="AL59" i="82"/>
  <c r="AF59" i="82"/>
  <c r="AD59" i="82"/>
  <c r="J59" i="82"/>
  <c r="I59" i="82"/>
  <c r="G59" i="82"/>
  <c r="D59" i="82"/>
  <c r="C59" i="82"/>
  <c r="CD58" i="82"/>
  <c r="BZ58" i="82"/>
  <c r="AH58" i="82" s="1"/>
  <c r="AG58" i="82" s="1"/>
  <c r="BV58" i="82"/>
  <c r="BR58" i="82"/>
  <c r="BN58" i="82"/>
  <c r="BJ58" i="82"/>
  <c r="BF58" i="82"/>
  <c r="BB58" i="82"/>
  <c r="AX58" i="82"/>
  <c r="AT58" i="82"/>
  <c r="AP58" i="82"/>
  <c r="AL58" i="82"/>
  <c r="AF58" i="82"/>
  <c r="AD58" i="82"/>
  <c r="J58" i="82"/>
  <c r="I58" i="82"/>
  <c r="G58" i="82"/>
  <c r="D58" i="82"/>
  <c r="CD57" i="82"/>
  <c r="BZ57" i="82"/>
  <c r="BV57" i="82"/>
  <c r="BR57" i="82"/>
  <c r="BN57" i="82"/>
  <c r="BJ57" i="82"/>
  <c r="BF57" i="82"/>
  <c r="BB57" i="82"/>
  <c r="AX57" i="82"/>
  <c r="AT57" i="82"/>
  <c r="AP57" i="82"/>
  <c r="AH57" i="82" s="1"/>
  <c r="AG57" i="82" s="1"/>
  <c r="AL57" i="82"/>
  <c r="AF57" i="82"/>
  <c r="AD57" i="82"/>
  <c r="J57" i="82"/>
  <c r="I57" i="82"/>
  <c r="G57" i="82"/>
  <c r="D57" i="82"/>
  <c r="CD56" i="82"/>
  <c r="BZ56" i="82"/>
  <c r="BV56" i="82"/>
  <c r="BR56" i="82"/>
  <c r="BN56" i="82"/>
  <c r="BJ56" i="82"/>
  <c r="AH56" i="82" s="1"/>
  <c r="AG56" i="82" s="1"/>
  <c r="BF56" i="82"/>
  <c r="BB56" i="82"/>
  <c r="AX56" i="82"/>
  <c r="AT56" i="82"/>
  <c r="AP56" i="82"/>
  <c r="AL56" i="82"/>
  <c r="AF56" i="82"/>
  <c r="AD56" i="82"/>
  <c r="J56" i="82"/>
  <c r="I56" i="82"/>
  <c r="G56" i="82"/>
  <c r="D56" i="82"/>
  <c r="CD55" i="82"/>
  <c r="BZ55" i="82"/>
  <c r="BV55" i="82"/>
  <c r="BR55" i="82"/>
  <c r="BN55" i="82"/>
  <c r="BJ55" i="82"/>
  <c r="BF55" i="82"/>
  <c r="BB55" i="82"/>
  <c r="AX55" i="82"/>
  <c r="AT55" i="82"/>
  <c r="AP55" i="82"/>
  <c r="AL55" i="82"/>
  <c r="AL50" i="82" s="1"/>
  <c r="AH55" i="82"/>
  <c r="AG55" i="82" s="1"/>
  <c r="AF55" i="82"/>
  <c r="AD55" i="82"/>
  <c r="J55" i="82"/>
  <c r="I55" i="82"/>
  <c r="G55" i="82"/>
  <c r="D55" i="82"/>
  <c r="CD54" i="82"/>
  <c r="BZ54" i="82"/>
  <c r="BZ50" i="82" s="1"/>
  <c r="BV54" i="82"/>
  <c r="BR54" i="82"/>
  <c r="BR50" i="82" s="1"/>
  <c r="BN54" i="82"/>
  <c r="BJ54" i="82"/>
  <c r="BF54" i="82"/>
  <c r="BB54" i="82"/>
  <c r="AX54" i="82"/>
  <c r="AT54" i="82"/>
  <c r="AP54" i="82"/>
  <c r="AL54" i="82"/>
  <c r="AH54" i="82" s="1"/>
  <c r="AG54" i="82" s="1"/>
  <c r="AF54" i="82"/>
  <c r="AD54" i="82"/>
  <c r="J54" i="82"/>
  <c r="I54" i="82"/>
  <c r="G54" i="82"/>
  <c r="D54" i="82"/>
  <c r="CD53" i="82"/>
  <c r="BZ53" i="82"/>
  <c r="BV53" i="82"/>
  <c r="BR53" i="82"/>
  <c r="BN53" i="82"/>
  <c r="BJ53" i="82"/>
  <c r="BF53" i="82"/>
  <c r="BB53" i="82"/>
  <c r="AX53" i="82"/>
  <c r="AT53" i="82"/>
  <c r="AP53" i="82"/>
  <c r="AP50" i="82" s="1"/>
  <c r="AL53" i="82"/>
  <c r="AH53" i="82"/>
  <c r="AF53" i="82"/>
  <c r="AG53" i="82" s="1"/>
  <c r="AD53" i="82"/>
  <c r="J53" i="82"/>
  <c r="I53" i="82"/>
  <c r="G53" i="82"/>
  <c r="D53" i="82"/>
  <c r="CD52" i="82"/>
  <c r="BZ52" i="82"/>
  <c r="BV52" i="82"/>
  <c r="BR52" i="82"/>
  <c r="BN52" i="82"/>
  <c r="BJ52" i="82"/>
  <c r="BJ50" i="82" s="1"/>
  <c r="BF52" i="82"/>
  <c r="BB52" i="82"/>
  <c r="AX52" i="82"/>
  <c r="AX50" i="82" s="1"/>
  <c r="AT52" i="82"/>
  <c r="AH52" i="82" s="1"/>
  <c r="AG52" i="82" s="1"/>
  <c r="AP52" i="82"/>
  <c r="AL52" i="82"/>
  <c r="AF52" i="82"/>
  <c r="AD52" i="82"/>
  <c r="J52" i="82"/>
  <c r="I52" i="82"/>
  <c r="G52" i="82"/>
  <c r="D52" i="82"/>
  <c r="CD51" i="82"/>
  <c r="AH51" i="82" s="1"/>
  <c r="BZ51" i="82"/>
  <c r="BV51" i="82"/>
  <c r="BV50" i="82" s="1"/>
  <c r="BR51" i="82"/>
  <c r="BN51" i="82"/>
  <c r="BJ51" i="82"/>
  <c r="BF51" i="82"/>
  <c r="BF50" i="82" s="1"/>
  <c r="BB51" i="82"/>
  <c r="BB50" i="82" s="1"/>
  <c r="AX51" i="82"/>
  <c r="AT51" i="82"/>
  <c r="AP51" i="82"/>
  <c r="AL51" i="82"/>
  <c r="AF51" i="82"/>
  <c r="AD51" i="82"/>
  <c r="J51" i="82"/>
  <c r="I51" i="82"/>
  <c r="G51" i="82"/>
  <c r="D51" i="82"/>
  <c r="BN50" i="82"/>
  <c r="AD50" i="82"/>
  <c r="M50" i="82"/>
  <c r="D50" i="82"/>
  <c r="CD49" i="82"/>
  <c r="BZ49" i="82"/>
  <c r="BV49" i="82"/>
  <c r="BR49" i="82"/>
  <c r="BN49" i="82"/>
  <c r="BJ49" i="82"/>
  <c r="BF49" i="82"/>
  <c r="BB49" i="82"/>
  <c r="AX49" i="82"/>
  <c r="AT49" i="82"/>
  <c r="AP49" i="82"/>
  <c r="AH49" i="82" s="1"/>
  <c r="AG49" i="82" s="1"/>
  <c r="AL49" i="82"/>
  <c r="AF49" i="82"/>
  <c r="AD49" i="82"/>
  <c r="J49" i="82"/>
  <c r="K49" i="82" s="1"/>
  <c r="G49" i="82"/>
  <c r="D49" i="82"/>
  <c r="C49" i="82"/>
  <c r="CD48" i="82"/>
  <c r="BZ48" i="82"/>
  <c r="BV48" i="82"/>
  <c r="BR48" i="82"/>
  <c r="BN48" i="82"/>
  <c r="BJ48" i="82"/>
  <c r="BF48" i="82"/>
  <c r="BB48" i="82"/>
  <c r="AX48" i="82"/>
  <c r="AT48" i="82"/>
  <c r="AP48" i="82"/>
  <c r="AL48" i="82"/>
  <c r="AH48" i="82" s="1"/>
  <c r="AG48" i="82" s="1"/>
  <c r="AF48" i="82"/>
  <c r="AD48" i="82"/>
  <c r="J48" i="82"/>
  <c r="K48" i="82" s="1"/>
  <c r="G48" i="82"/>
  <c r="D48" i="82"/>
  <c r="CD47" i="82"/>
  <c r="BZ47" i="82"/>
  <c r="BV47" i="82"/>
  <c r="BR47" i="82"/>
  <c r="BN47" i="82"/>
  <c r="BJ47" i="82"/>
  <c r="BF47" i="82"/>
  <c r="BB47" i="82"/>
  <c r="AX47" i="82"/>
  <c r="AT47" i="82"/>
  <c r="AP47" i="82"/>
  <c r="AL47" i="82"/>
  <c r="AH47" i="82"/>
  <c r="AG47" i="82" s="1"/>
  <c r="AF47" i="82"/>
  <c r="AD47" i="82"/>
  <c r="J47" i="82"/>
  <c r="K47" i="82" s="1"/>
  <c r="G47" i="82"/>
  <c r="D47" i="82"/>
  <c r="CD46" i="82"/>
  <c r="BZ46" i="82"/>
  <c r="BV46" i="82"/>
  <c r="BR46" i="82"/>
  <c r="BN46" i="82"/>
  <c r="BJ46" i="82"/>
  <c r="BF46" i="82"/>
  <c r="BB46" i="82"/>
  <c r="AX46" i="82"/>
  <c r="AH46" i="82" s="1"/>
  <c r="AG46" i="82" s="1"/>
  <c r="AT46" i="82"/>
  <c r="AP46" i="82"/>
  <c r="AL46" i="82"/>
  <c r="AF46" i="82"/>
  <c r="AD46" i="82"/>
  <c r="J46" i="82"/>
  <c r="K46" i="82" s="1"/>
  <c r="G46" i="82"/>
  <c r="D46" i="82"/>
  <c r="CD45" i="82"/>
  <c r="AH45" i="82" s="1"/>
  <c r="AG45" i="82" s="1"/>
  <c r="BZ45" i="82"/>
  <c r="BV45" i="82"/>
  <c r="BR45" i="82"/>
  <c r="BN45" i="82"/>
  <c r="BJ45" i="82"/>
  <c r="BF45" i="82"/>
  <c r="BB45" i="82"/>
  <c r="AX45" i="82"/>
  <c r="AT45" i="82"/>
  <c r="AP45" i="82"/>
  <c r="AL45" i="82"/>
  <c r="AF45" i="82"/>
  <c r="AD45" i="82"/>
  <c r="J45" i="82"/>
  <c r="K45" i="82" s="1"/>
  <c r="G45" i="82"/>
  <c r="D45" i="82"/>
  <c r="CD44" i="82"/>
  <c r="BZ44" i="82"/>
  <c r="BV44" i="82"/>
  <c r="BR44" i="82"/>
  <c r="BN44" i="82"/>
  <c r="BJ44" i="82"/>
  <c r="BF44" i="82"/>
  <c r="BB44" i="82"/>
  <c r="AX44" i="82"/>
  <c r="AT44" i="82"/>
  <c r="AP44" i="82"/>
  <c r="AH44" i="82" s="1"/>
  <c r="AG44" i="82" s="1"/>
  <c r="AL44" i="82"/>
  <c r="AF44" i="82"/>
  <c r="AD44" i="82"/>
  <c r="J44" i="82"/>
  <c r="K44" i="82" s="1"/>
  <c r="G44" i="82"/>
  <c r="D44" i="82"/>
  <c r="C44" i="82"/>
  <c r="CD43" i="82"/>
  <c r="BZ43" i="82"/>
  <c r="BV43" i="82"/>
  <c r="BR43" i="82"/>
  <c r="BN43" i="82"/>
  <c r="BJ43" i="82"/>
  <c r="BF43" i="82"/>
  <c r="BB43" i="82"/>
  <c r="AX43" i="82"/>
  <c r="AT43" i="82"/>
  <c r="AP43" i="82"/>
  <c r="AL43" i="82"/>
  <c r="AH43" i="82" s="1"/>
  <c r="AG43" i="82" s="1"/>
  <c r="AF43" i="82"/>
  <c r="AD43" i="82"/>
  <c r="J43" i="82"/>
  <c r="K43" i="82" s="1"/>
  <c r="G43" i="82"/>
  <c r="D43" i="82"/>
  <c r="C43" i="82"/>
  <c r="CD42" i="82"/>
  <c r="BZ42" i="82"/>
  <c r="BV42" i="82"/>
  <c r="BR42" i="82"/>
  <c r="BN42" i="82"/>
  <c r="BJ42" i="82"/>
  <c r="BF42" i="82"/>
  <c r="BB42" i="82"/>
  <c r="AX42" i="82"/>
  <c r="AT42" i="82"/>
  <c r="AP42" i="82"/>
  <c r="AL42" i="82"/>
  <c r="AH42" i="82"/>
  <c r="AF42" i="82"/>
  <c r="AG42" i="82" s="1"/>
  <c r="AD42" i="82"/>
  <c r="J42" i="82"/>
  <c r="K42" i="82" s="1"/>
  <c r="G42" i="82"/>
  <c r="D42" i="82"/>
  <c r="CD41" i="82"/>
  <c r="BZ41" i="82"/>
  <c r="BV41" i="82"/>
  <c r="BR41" i="82"/>
  <c r="BN41" i="82"/>
  <c r="BJ41" i="82"/>
  <c r="BF41" i="82"/>
  <c r="BB41" i="82"/>
  <c r="BB37" i="82" s="1"/>
  <c r="AX41" i="82"/>
  <c r="AT41" i="82"/>
  <c r="AP41" i="82"/>
  <c r="AH41" i="82" s="1"/>
  <c r="AG41" i="82" s="1"/>
  <c r="AL41" i="82"/>
  <c r="AF41" i="82"/>
  <c r="AD41" i="82"/>
  <c r="J41" i="82"/>
  <c r="K41" i="82" s="1"/>
  <c r="G41" i="82"/>
  <c r="D41" i="82"/>
  <c r="CD40" i="82"/>
  <c r="BZ40" i="82"/>
  <c r="BZ37" i="82" s="1"/>
  <c r="BV40" i="82"/>
  <c r="BR40" i="82"/>
  <c r="BN40" i="82"/>
  <c r="BJ40" i="82"/>
  <c r="BF40" i="82"/>
  <c r="BB40" i="82"/>
  <c r="AX40" i="82"/>
  <c r="AT40" i="82"/>
  <c r="AP40" i="82"/>
  <c r="AL40" i="82"/>
  <c r="AH40" i="82" s="1"/>
  <c r="AG40" i="82" s="1"/>
  <c r="AF40" i="82"/>
  <c r="AD40" i="82"/>
  <c r="J40" i="82"/>
  <c r="K40" i="82" s="1"/>
  <c r="G40" i="82"/>
  <c r="D40" i="82"/>
  <c r="CD39" i="82"/>
  <c r="BZ39" i="82"/>
  <c r="BV39" i="82"/>
  <c r="BR39" i="82"/>
  <c r="BN39" i="82"/>
  <c r="BJ39" i="82"/>
  <c r="BF39" i="82"/>
  <c r="BB39" i="82"/>
  <c r="AX39" i="82"/>
  <c r="AT39" i="82"/>
  <c r="AT37" i="82" s="1"/>
  <c r="AP39" i="82"/>
  <c r="AP37" i="82" s="1"/>
  <c r="AL39" i="82"/>
  <c r="AL37" i="82" s="1"/>
  <c r="AH39" i="82"/>
  <c r="AG39" i="82" s="1"/>
  <c r="AF39" i="82"/>
  <c r="AD39" i="82"/>
  <c r="J39" i="82"/>
  <c r="K39" i="82" s="1"/>
  <c r="G39" i="82"/>
  <c r="D39" i="82"/>
  <c r="CD38" i="82"/>
  <c r="BZ38" i="82"/>
  <c r="BV38" i="82"/>
  <c r="BV37" i="82" s="1"/>
  <c r="BR38" i="82"/>
  <c r="BR37" i="82" s="1"/>
  <c r="BN38" i="82"/>
  <c r="BN37" i="82" s="1"/>
  <c r="BJ38" i="82"/>
  <c r="BJ37" i="82" s="1"/>
  <c r="BF38" i="82"/>
  <c r="BF37" i="82" s="1"/>
  <c r="BB38" i="82"/>
  <c r="AX38" i="82"/>
  <c r="AH38" i="82" s="1"/>
  <c r="AT38" i="82"/>
  <c r="AP38" i="82"/>
  <c r="AL38" i="82"/>
  <c r="AF38" i="82"/>
  <c r="AD38" i="82"/>
  <c r="J38" i="82"/>
  <c r="K38" i="82" s="1"/>
  <c r="G38" i="82"/>
  <c r="D38" i="82"/>
  <c r="CD37" i="82"/>
  <c r="AX37" i="82"/>
  <c r="AD37" i="82"/>
  <c r="D37" i="82"/>
  <c r="C37" i="82"/>
  <c r="CD36" i="82"/>
  <c r="AH36" i="82" s="1"/>
  <c r="AG36" i="82" s="1"/>
  <c r="BZ36" i="82"/>
  <c r="BV36" i="82"/>
  <c r="BR36" i="82"/>
  <c r="BN36" i="82"/>
  <c r="BJ36" i="82"/>
  <c r="BF36" i="82"/>
  <c r="BB36" i="82"/>
  <c r="AX36" i="82"/>
  <c r="AT36" i="82"/>
  <c r="AP36" i="82"/>
  <c r="AL36" i="82"/>
  <c r="AF36" i="82"/>
  <c r="AD36" i="82"/>
  <c r="J36" i="82"/>
  <c r="K36" i="82" s="1"/>
  <c r="G36" i="82"/>
  <c r="D36" i="82"/>
  <c r="CD35" i="82"/>
  <c r="BZ35" i="82"/>
  <c r="BV35" i="82"/>
  <c r="BR35" i="82"/>
  <c r="BN35" i="82"/>
  <c r="BJ35" i="82"/>
  <c r="BF35" i="82"/>
  <c r="BB35" i="82"/>
  <c r="AX35" i="82"/>
  <c r="AT35" i="82"/>
  <c r="AP35" i="82"/>
  <c r="AH35" i="82" s="1"/>
  <c r="AG35" i="82" s="1"/>
  <c r="AL35" i="82"/>
  <c r="AF35" i="82"/>
  <c r="AD35" i="82"/>
  <c r="J35" i="82"/>
  <c r="K35" i="82" s="1"/>
  <c r="G35" i="82"/>
  <c r="D35" i="82"/>
  <c r="CD34" i="82"/>
  <c r="BZ34" i="82"/>
  <c r="BV34" i="82"/>
  <c r="BR34" i="82"/>
  <c r="BN34" i="82"/>
  <c r="BJ34" i="82"/>
  <c r="BF34" i="82"/>
  <c r="BB34" i="82"/>
  <c r="AX34" i="82"/>
  <c r="AT34" i="82"/>
  <c r="AP34" i="82"/>
  <c r="AL34" i="82"/>
  <c r="AH34" i="82" s="1"/>
  <c r="AG34" i="82" s="1"/>
  <c r="AF34" i="82"/>
  <c r="AD34" i="82"/>
  <c r="J34" i="82"/>
  <c r="K34" i="82" s="1"/>
  <c r="G34" i="82"/>
  <c r="D34" i="82"/>
  <c r="C34" i="82"/>
  <c r="CD33" i="82"/>
  <c r="BZ33" i="82"/>
  <c r="BV33" i="82"/>
  <c r="BR33" i="82"/>
  <c r="BN33" i="82"/>
  <c r="BJ33" i="82"/>
  <c r="BF33" i="82"/>
  <c r="BB33" i="82"/>
  <c r="AX33" i="82"/>
  <c r="AT33" i="82"/>
  <c r="AP33" i="82"/>
  <c r="AL33" i="82"/>
  <c r="AH33" i="82"/>
  <c r="AF33" i="82"/>
  <c r="AG33" i="82" s="1"/>
  <c r="AD33" i="82"/>
  <c r="J33" i="82"/>
  <c r="K33" i="82" s="1"/>
  <c r="G33" i="82"/>
  <c r="D33" i="82"/>
  <c r="CD32" i="82"/>
  <c r="BZ32" i="82"/>
  <c r="BV32" i="82"/>
  <c r="BR32" i="82"/>
  <c r="BN32" i="82"/>
  <c r="BJ32" i="82"/>
  <c r="BF32" i="82"/>
  <c r="BB32" i="82"/>
  <c r="AX32" i="82"/>
  <c r="AT32" i="82"/>
  <c r="AP32" i="82"/>
  <c r="AH32" i="82" s="1"/>
  <c r="AG32" i="82" s="1"/>
  <c r="AL32" i="82"/>
  <c r="AF32" i="82"/>
  <c r="AD32" i="82"/>
  <c r="J32" i="82"/>
  <c r="K32" i="82" s="1"/>
  <c r="G32" i="82"/>
  <c r="D32" i="82"/>
  <c r="C32" i="82"/>
  <c r="CD31" i="82"/>
  <c r="BZ31" i="82"/>
  <c r="BV31" i="82"/>
  <c r="BR31" i="82"/>
  <c r="BN31" i="82"/>
  <c r="BJ31" i="82"/>
  <c r="BF31" i="82"/>
  <c r="BB31" i="82"/>
  <c r="AX31" i="82"/>
  <c r="AT31" i="82"/>
  <c r="AP31" i="82"/>
  <c r="AL31" i="82"/>
  <c r="AH31" i="82" s="1"/>
  <c r="AG31" i="82" s="1"/>
  <c r="AF31" i="82"/>
  <c r="AD31" i="82"/>
  <c r="J31" i="82"/>
  <c r="K31" i="82" s="1"/>
  <c r="G31" i="82"/>
  <c r="D31" i="82"/>
  <c r="CD30" i="82"/>
  <c r="BZ30" i="82"/>
  <c r="BV30" i="82"/>
  <c r="BR30" i="82"/>
  <c r="BN30" i="82"/>
  <c r="BJ30" i="82"/>
  <c r="BF30" i="82"/>
  <c r="BB30" i="82"/>
  <c r="AX30" i="82"/>
  <c r="AT30" i="82"/>
  <c r="AP30" i="82"/>
  <c r="AL30" i="82"/>
  <c r="AH30" i="82"/>
  <c r="AG30" i="82" s="1"/>
  <c r="AF30" i="82"/>
  <c r="AD30" i="82"/>
  <c r="J30" i="82"/>
  <c r="K30" i="82" s="1"/>
  <c r="G30" i="82"/>
  <c r="D30" i="82"/>
  <c r="C30" i="82"/>
  <c r="CD29" i="82"/>
  <c r="BZ29" i="82"/>
  <c r="BV29" i="82"/>
  <c r="BR29" i="82"/>
  <c r="BN29" i="82"/>
  <c r="BJ29" i="82"/>
  <c r="BF29" i="82"/>
  <c r="BB29" i="82"/>
  <c r="AX29" i="82"/>
  <c r="AH29" i="82" s="1"/>
  <c r="AG29" i="82" s="1"/>
  <c r="AT29" i="82"/>
  <c r="AP29" i="82"/>
  <c r="AL29" i="82"/>
  <c r="AF29" i="82"/>
  <c r="AD29" i="82"/>
  <c r="J29" i="82"/>
  <c r="K29" i="82" s="1"/>
  <c r="G29" i="82"/>
  <c r="D29" i="82"/>
  <c r="CD28" i="82"/>
  <c r="AH28" i="82" s="1"/>
  <c r="AG28" i="82" s="1"/>
  <c r="BZ28" i="82"/>
  <c r="BV28" i="82"/>
  <c r="BR28" i="82"/>
  <c r="BN28" i="82"/>
  <c r="BJ28" i="82"/>
  <c r="BF28" i="82"/>
  <c r="BB28" i="82"/>
  <c r="AX28" i="82"/>
  <c r="AT28" i="82"/>
  <c r="AP28" i="82"/>
  <c r="AL28" i="82"/>
  <c r="AF28" i="82"/>
  <c r="AD28" i="82"/>
  <c r="J28" i="82"/>
  <c r="K28" i="82" s="1"/>
  <c r="G28" i="82"/>
  <c r="D28" i="82"/>
  <c r="CD27" i="82"/>
  <c r="BZ27" i="82"/>
  <c r="BV27" i="82"/>
  <c r="BR27" i="82"/>
  <c r="BN27" i="82"/>
  <c r="BJ27" i="82"/>
  <c r="BF27" i="82"/>
  <c r="BB27" i="82"/>
  <c r="AX27" i="82"/>
  <c r="AX24" i="82" s="1"/>
  <c r="AT27" i="82"/>
  <c r="AT24" i="82" s="1"/>
  <c r="AP27" i="82"/>
  <c r="AP24" i="82" s="1"/>
  <c r="AL27" i="82"/>
  <c r="AF27" i="82"/>
  <c r="AD27" i="82"/>
  <c r="J27" i="82"/>
  <c r="K27" i="82" s="1"/>
  <c r="G27" i="82"/>
  <c r="D27" i="82"/>
  <c r="CD26" i="82"/>
  <c r="BZ26" i="82"/>
  <c r="BZ24" i="82" s="1"/>
  <c r="BV26" i="82"/>
  <c r="BV24" i="82" s="1"/>
  <c r="BR26" i="82"/>
  <c r="BN26" i="82"/>
  <c r="BN24" i="82" s="1"/>
  <c r="BJ26" i="82"/>
  <c r="BF26" i="82"/>
  <c r="BF24" i="82" s="1"/>
  <c r="BB26" i="82"/>
  <c r="AX26" i="82"/>
  <c r="AT26" i="82"/>
  <c r="AP26" i="82"/>
  <c r="AL26" i="82"/>
  <c r="AH26" i="82" s="1"/>
  <c r="AG26" i="82" s="1"/>
  <c r="AF26" i="82"/>
  <c r="AD26" i="82"/>
  <c r="J26" i="82"/>
  <c r="K26" i="82" s="1"/>
  <c r="G26" i="82"/>
  <c r="D26" i="82"/>
  <c r="C26" i="82"/>
  <c r="CD25" i="82"/>
  <c r="CD24" i="82" s="1"/>
  <c r="BZ25" i="82"/>
  <c r="BV25" i="82"/>
  <c r="BR25" i="82"/>
  <c r="BN25" i="82"/>
  <c r="BJ25" i="82"/>
  <c r="BJ24" i="82" s="1"/>
  <c r="BF25" i="82"/>
  <c r="BB25" i="82"/>
  <c r="BB24" i="82" s="1"/>
  <c r="AX25" i="82"/>
  <c r="AT25" i="82"/>
  <c r="AP25" i="82"/>
  <c r="AL25" i="82"/>
  <c r="AH25" i="82"/>
  <c r="AF25" i="82"/>
  <c r="AG25" i="82" s="1"/>
  <c r="AD25" i="82"/>
  <c r="J25" i="82"/>
  <c r="I25" i="82"/>
  <c r="G25" i="82"/>
  <c r="D25" i="82"/>
  <c r="BR24" i="82"/>
  <c r="AL24" i="82"/>
  <c r="AD24" i="82"/>
  <c r="D24" i="82"/>
  <c r="CD23" i="82"/>
  <c r="BZ23" i="82"/>
  <c r="BV23" i="82"/>
  <c r="BR23" i="82"/>
  <c r="BN23" i="82"/>
  <c r="BJ23" i="82"/>
  <c r="BF23" i="82"/>
  <c r="BB23" i="82"/>
  <c r="AX23" i="82"/>
  <c r="AT23" i="82"/>
  <c r="AH23" i="82" s="1"/>
  <c r="AG23" i="82" s="1"/>
  <c r="AP23" i="82"/>
  <c r="AL23" i="82"/>
  <c r="AF23" i="82"/>
  <c r="AD23" i="82"/>
  <c r="O23" i="82"/>
  <c r="J23" i="82"/>
  <c r="K23" i="82" s="1"/>
  <c r="G23" i="82"/>
  <c r="D23" i="82"/>
  <c r="C23" i="82"/>
  <c r="CD22" i="82"/>
  <c r="AH22" i="82" s="1"/>
  <c r="AG22" i="82" s="1"/>
  <c r="BZ22" i="82"/>
  <c r="BV22" i="82"/>
  <c r="BR22" i="82"/>
  <c r="BN22" i="82"/>
  <c r="BJ22" i="82"/>
  <c r="BF22" i="82"/>
  <c r="BB22" i="82"/>
  <c r="AX22" i="82"/>
  <c r="AT22" i="82"/>
  <c r="AP22" i="82"/>
  <c r="AL22" i="82"/>
  <c r="AF22" i="82"/>
  <c r="AD22" i="82"/>
  <c r="O22" i="82"/>
  <c r="J22" i="82"/>
  <c r="K22" i="82" s="1"/>
  <c r="G22" i="82"/>
  <c r="D22" i="82"/>
  <c r="C22" i="82"/>
  <c r="CD21" i="82"/>
  <c r="BZ21" i="82"/>
  <c r="BV21" i="82"/>
  <c r="BR21" i="82"/>
  <c r="BN21" i="82"/>
  <c r="BJ21" i="82"/>
  <c r="BF21" i="82"/>
  <c r="BB21" i="82"/>
  <c r="AX21" i="82"/>
  <c r="AT21" i="82"/>
  <c r="AT11" i="82" s="1"/>
  <c r="AP21" i="82"/>
  <c r="AL21" i="82"/>
  <c r="AH21" i="82" s="1"/>
  <c r="AG21" i="82" s="1"/>
  <c r="AF21" i="82"/>
  <c r="AD21" i="82"/>
  <c r="O21" i="82"/>
  <c r="J21" i="82"/>
  <c r="K21" i="82" s="1"/>
  <c r="G21" i="82"/>
  <c r="D21" i="82"/>
  <c r="C21" i="82"/>
  <c r="CD20" i="82"/>
  <c r="BZ20" i="82"/>
  <c r="BV20" i="82"/>
  <c r="BR20" i="82"/>
  <c r="BN20" i="82"/>
  <c r="BJ20" i="82"/>
  <c r="BF20" i="82"/>
  <c r="BB20" i="82"/>
  <c r="AX20" i="82"/>
  <c r="AT20" i="82"/>
  <c r="AP20" i="82"/>
  <c r="AL20" i="82"/>
  <c r="AH20" i="82" s="1"/>
  <c r="AG20" i="82" s="1"/>
  <c r="AF20" i="82"/>
  <c r="AD20" i="82"/>
  <c r="O20" i="82"/>
  <c r="J20" i="82"/>
  <c r="K20" i="82" s="1"/>
  <c r="G20" i="82"/>
  <c r="D20" i="82"/>
  <c r="CD19" i="82"/>
  <c r="BZ19" i="82"/>
  <c r="BV19" i="82"/>
  <c r="BR19" i="82"/>
  <c r="BN19" i="82"/>
  <c r="BJ19" i="82"/>
  <c r="BF19" i="82"/>
  <c r="BB19" i="82"/>
  <c r="AX19" i="82"/>
  <c r="AT19" i="82"/>
  <c r="AP19" i="82"/>
  <c r="AL19" i="82"/>
  <c r="AH19" i="82" s="1"/>
  <c r="AG19" i="82" s="1"/>
  <c r="AF19" i="82"/>
  <c r="AD19" i="82"/>
  <c r="O19" i="82"/>
  <c r="J19" i="82"/>
  <c r="K19" i="82" s="1"/>
  <c r="G19" i="82"/>
  <c r="D19" i="82"/>
  <c r="CD18" i="82"/>
  <c r="BZ18" i="82"/>
  <c r="BV18" i="82"/>
  <c r="BR18" i="82"/>
  <c r="BN18" i="82"/>
  <c r="BJ18" i="82"/>
  <c r="BF18" i="82"/>
  <c r="BB18" i="82"/>
  <c r="AX18" i="82"/>
  <c r="AT18" i="82"/>
  <c r="AP18" i="82"/>
  <c r="AL18" i="82"/>
  <c r="AH18" i="82" s="1"/>
  <c r="AG18" i="82" s="1"/>
  <c r="AF18" i="82"/>
  <c r="AD18" i="82"/>
  <c r="O18" i="82"/>
  <c r="J18" i="82"/>
  <c r="K18" i="82" s="1"/>
  <c r="G18" i="82"/>
  <c r="D18" i="82"/>
  <c r="C18" i="82"/>
  <c r="CD17" i="82"/>
  <c r="BZ17" i="82"/>
  <c r="BV17" i="82"/>
  <c r="BR17" i="82"/>
  <c r="BN17" i="82"/>
  <c r="BJ17" i="82"/>
  <c r="BF17" i="82"/>
  <c r="BB17" i="82"/>
  <c r="AX17" i="82"/>
  <c r="AT17" i="82"/>
  <c r="AP17" i="82"/>
  <c r="AL17" i="82"/>
  <c r="AH17" i="82"/>
  <c r="AG17" i="82"/>
  <c r="AF17" i="82"/>
  <c r="AD17" i="82"/>
  <c r="O17" i="82"/>
  <c r="J17" i="82"/>
  <c r="K17" i="82" s="1"/>
  <c r="G17" i="82"/>
  <c r="D17" i="82"/>
  <c r="C17" i="82"/>
  <c r="CD16" i="82"/>
  <c r="BZ16" i="82"/>
  <c r="BV16" i="82"/>
  <c r="BV11" i="82" s="1"/>
  <c r="BR16" i="82"/>
  <c r="BN16" i="82"/>
  <c r="BJ16" i="82"/>
  <c r="BF16" i="82"/>
  <c r="BB16" i="82"/>
  <c r="AX16" i="82"/>
  <c r="AH16" i="82" s="1"/>
  <c r="AG16" i="82" s="1"/>
  <c r="AT16" i="82"/>
  <c r="AP16" i="82"/>
  <c r="AL16" i="82"/>
  <c r="AF16" i="82"/>
  <c r="AD16" i="82"/>
  <c r="O16" i="82"/>
  <c r="J16" i="82"/>
  <c r="K16" i="82" s="1"/>
  <c r="G16" i="82"/>
  <c r="D16" i="82"/>
  <c r="C16" i="82"/>
  <c r="CD15" i="82"/>
  <c r="BZ15" i="82"/>
  <c r="BV15" i="82"/>
  <c r="BR15" i="82"/>
  <c r="BN15" i="82"/>
  <c r="BJ15" i="82"/>
  <c r="BF15" i="82"/>
  <c r="BB15" i="82"/>
  <c r="AX15" i="82"/>
  <c r="AT15" i="82"/>
  <c r="AP15" i="82"/>
  <c r="AL15" i="82"/>
  <c r="AH15" i="82"/>
  <c r="AF15" i="82"/>
  <c r="AG15" i="82" s="1"/>
  <c r="AD15" i="82"/>
  <c r="O15" i="82"/>
  <c r="J15" i="82"/>
  <c r="K15" i="82" s="1"/>
  <c r="G15" i="82"/>
  <c r="D15" i="82"/>
  <c r="CD14" i="82"/>
  <c r="BZ14" i="82"/>
  <c r="BV14" i="82"/>
  <c r="BR14" i="82"/>
  <c r="BN14" i="82"/>
  <c r="BJ14" i="82"/>
  <c r="BF14" i="82"/>
  <c r="BB14" i="82"/>
  <c r="AX14" i="82"/>
  <c r="AT14" i="82"/>
  <c r="AP14" i="82"/>
  <c r="AH14" i="82" s="1"/>
  <c r="AG14" i="82" s="1"/>
  <c r="AL14" i="82"/>
  <c r="AF14" i="82"/>
  <c r="AD14" i="82"/>
  <c r="O14" i="82"/>
  <c r="J14" i="82"/>
  <c r="K14" i="82" s="1"/>
  <c r="G14" i="82"/>
  <c r="D14" i="82"/>
  <c r="C14" i="82"/>
  <c r="CD13" i="82"/>
  <c r="CD11" i="82" s="1"/>
  <c r="BZ13" i="82"/>
  <c r="BZ11" i="82" s="1"/>
  <c r="BV13" i="82"/>
  <c r="BR13" i="82"/>
  <c r="AH13" i="82" s="1"/>
  <c r="AG13" i="82" s="1"/>
  <c r="BN13" i="82"/>
  <c r="BJ13" i="82"/>
  <c r="BF13" i="82"/>
  <c r="BB13" i="82"/>
  <c r="AX13" i="82"/>
  <c r="AT13" i="82"/>
  <c r="AP13" i="82"/>
  <c r="AL13" i="82"/>
  <c r="AF13" i="82"/>
  <c r="AD13" i="82"/>
  <c r="O13" i="82"/>
  <c r="J13" i="82"/>
  <c r="K13" i="82" s="1"/>
  <c r="G13" i="82"/>
  <c r="D13" i="82"/>
  <c r="CD12" i="82"/>
  <c r="BZ12" i="82"/>
  <c r="BV12" i="82"/>
  <c r="BR12" i="82"/>
  <c r="BR11" i="82" s="1"/>
  <c r="BN12" i="82"/>
  <c r="BN11" i="82" s="1"/>
  <c r="BJ12" i="82"/>
  <c r="BJ11" i="82" s="1"/>
  <c r="BF12" i="82"/>
  <c r="BF11" i="82" s="1"/>
  <c r="BB12" i="82"/>
  <c r="BB11" i="82" s="1"/>
  <c r="AX12" i="82"/>
  <c r="AX11" i="82" s="1"/>
  <c r="AT12" i="82"/>
  <c r="AP12" i="82"/>
  <c r="AP11" i="82" s="1"/>
  <c r="AL12" i="82"/>
  <c r="AL11" i="82" s="1"/>
  <c r="AF12" i="82"/>
  <c r="AD12" i="82"/>
  <c r="O12" i="82"/>
  <c r="J12" i="82"/>
  <c r="K12" i="82" s="1"/>
  <c r="G12" i="82"/>
  <c r="D12" i="82"/>
  <c r="C12" i="82"/>
  <c r="AD11" i="82"/>
  <c r="D11" i="82"/>
  <c r="AF6" i="82"/>
  <c r="J3" i="82"/>
  <c r="A3" i="82"/>
  <c r="C56" i="82" s="1"/>
  <c r="J22" i="2"/>
  <c r="D22" i="2"/>
  <c r="D21" i="2"/>
  <c r="D20" i="2"/>
  <c r="D19" i="2"/>
  <c r="D18" i="2"/>
  <c r="E17" i="2"/>
  <c r="D17" i="2"/>
  <c r="E16" i="2"/>
  <c r="D16" i="2"/>
  <c r="E15" i="2"/>
  <c r="D15" i="2"/>
  <c r="E14" i="2"/>
  <c r="D14" i="2"/>
  <c r="E13" i="2"/>
  <c r="D13" i="2"/>
  <c r="E12" i="2"/>
  <c r="D12" i="2"/>
  <c r="E11" i="2"/>
  <c r="D11" i="2"/>
  <c r="E10" i="2"/>
  <c r="D10" i="2"/>
  <c r="E9" i="2"/>
  <c r="D9" i="2"/>
  <c r="B9" i="2"/>
  <c r="E8" i="2"/>
  <c r="D8" i="2"/>
  <c r="B8" i="2"/>
  <c r="E7" i="2"/>
  <c r="D7" i="2"/>
  <c r="BL3" i="85" l="1"/>
  <c r="BH3" i="85"/>
  <c r="BD3" i="85"/>
  <c r="AZ3" i="85"/>
  <c r="AV3" i="85"/>
  <c r="AR3" i="85"/>
  <c r="AN3" i="85"/>
  <c r="AJ3" i="85"/>
  <c r="BT3" i="85"/>
  <c r="BP3" i="85"/>
  <c r="CB3" i="85"/>
  <c r="BX3" i="85"/>
  <c r="K61" i="84"/>
  <c r="K55" i="84"/>
  <c r="K62" i="84"/>
  <c r="K51" i="84"/>
  <c r="K60" i="84"/>
  <c r="K53" i="84"/>
  <c r="K60" i="83"/>
  <c r="K54" i="84"/>
  <c r="K25" i="84"/>
  <c r="K24" i="84" s="1"/>
  <c r="K55" i="82"/>
  <c r="K52" i="84"/>
  <c r="O23" i="84"/>
  <c r="C47" i="84"/>
  <c r="C17" i="84"/>
  <c r="C27" i="84"/>
  <c r="C30" i="84"/>
  <c r="C12" i="84"/>
  <c r="C20" i="84"/>
  <c r="C40" i="84"/>
  <c r="C61" i="84"/>
  <c r="C13" i="84"/>
  <c r="C44" i="84"/>
  <c r="C35" i="84"/>
  <c r="C52" i="84"/>
  <c r="AS6" i="84"/>
  <c r="CC6" i="84"/>
  <c r="AW6" i="84"/>
  <c r="AG12" i="84"/>
  <c r="AH11" i="84"/>
  <c r="BM6" i="84"/>
  <c r="BA6" i="84"/>
  <c r="BQ6" i="84"/>
  <c r="AH24" i="84"/>
  <c r="AG25" i="84"/>
  <c r="AG51" i="84"/>
  <c r="AH50" i="84"/>
  <c r="AG38" i="84"/>
  <c r="AH37" i="84"/>
  <c r="BY6" i="84"/>
  <c r="O22" i="84"/>
  <c r="D26" i="84"/>
  <c r="D34" i="84"/>
  <c r="D43" i="84"/>
  <c r="D56" i="84"/>
  <c r="O13" i="84"/>
  <c r="D16" i="84"/>
  <c r="C23" i="84"/>
  <c r="AL24" i="84"/>
  <c r="C29" i="84"/>
  <c r="C37" i="84"/>
  <c r="C38" i="84"/>
  <c r="C46" i="84"/>
  <c r="BN50" i="84"/>
  <c r="C54" i="84"/>
  <c r="I58" i="84"/>
  <c r="K58" i="84" s="1"/>
  <c r="D54" i="84"/>
  <c r="D11" i="84"/>
  <c r="D12" i="84"/>
  <c r="D14" i="84"/>
  <c r="C21" i="84"/>
  <c r="C32" i="84"/>
  <c r="C41" i="84"/>
  <c r="C49" i="84"/>
  <c r="D52" i="84"/>
  <c r="I56" i="84"/>
  <c r="K56" i="84" s="1"/>
  <c r="D61" i="84"/>
  <c r="O18" i="84"/>
  <c r="D21" i="84"/>
  <c r="D32" i="84"/>
  <c r="D41" i="84"/>
  <c r="D49" i="84"/>
  <c r="C59" i="84"/>
  <c r="BF11" i="84"/>
  <c r="AO6" i="84"/>
  <c r="BU6" i="84"/>
  <c r="BJ11" i="84"/>
  <c r="O14" i="84"/>
  <c r="D17" i="84"/>
  <c r="C24" i="84"/>
  <c r="C25" i="84"/>
  <c r="D30" i="84"/>
  <c r="D39" i="84"/>
  <c r="D47" i="84"/>
  <c r="C55" i="84"/>
  <c r="I59" i="84"/>
  <c r="K59" i="84" s="1"/>
  <c r="C15" i="84"/>
  <c r="O21" i="84"/>
  <c r="D24" i="84"/>
  <c r="D25" i="84"/>
  <c r="C33" i="84"/>
  <c r="C42" i="84"/>
  <c r="C50" i="84"/>
  <c r="D55" i="84"/>
  <c r="C62" i="84"/>
  <c r="O12" i="84"/>
  <c r="D15" i="84"/>
  <c r="C22" i="84"/>
  <c r="D33" i="84"/>
  <c r="AL37" i="84"/>
  <c r="D42" i="84"/>
  <c r="D50" i="84"/>
  <c r="C51" i="84"/>
  <c r="C53" i="84"/>
  <c r="I57" i="84"/>
  <c r="K57" i="84" s="1"/>
  <c r="D62" i="84"/>
  <c r="O19" i="84"/>
  <c r="D22" i="84"/>
  <c r="C28" i="84"/>
  <c r="C36" i="84"/>
  <c r="C45" i="84"/>
  <c r="D51" i="84"/>
  <c r="D53" i="84"/>
  <c r="C60" i="84"/>
  <c r="O15" i="84"/>
  <c r="D18" i="84"/>
  <c r="C26" i="84"/>
  <c r="C34" i="84"/>
  <c r="C43" i="84"/>
  <c r="D20" i="83"/>
  <c r="I56" i="83"/>
  <c r="O14" i="83"/>
  <c r="D21" i="83"/>
  <c r="D26" i="83"/>
  <c r="D44" i="83"/>
  <c r="I59" i="83"/>
  <c r="K59" i="83" s="1"/>
  <c r="D13" i="83"/>
  <c r="D32" i="83"/>
  <c r="D42" i="83"/>
  <c r="D51" i="83"/>
  <c r="O12" i="83"/>
  <c r="D19" i="83"/>
  <c r="D33" i="83"/>
  <c r="I57" i="83"/>
  <c r="K57" i="83" s="1"/>
  <c r="D58" i="83"/>
  <c r="D14" i="83"/>
  <c r="O18" i="83"/>
  <c r="D25" i="83"/>
  <c r="D34" i="83"/>
  <c r="D43" i="83"/>
  <c r="I51" i="83"/>
  <c r="K51" i="83" s="1"/>
  <c r="K62" i="83"/>
  <c r="K58" i="83"/>
  <c r="K55" i="83"/>
  <c r="K53" i="83"/>
  <c r="AG52" i="83"/>
  <c r="BB50" i="83"/>
  <c r="K25" i="83"/>
  <c r="K24" i="83" s="1"/>
  <c r="K54" i="83"/>
  <c r="K56" i="82"/>
  <c r="K61" i="82"/>
  <c r="K52" i="83"/>
  <c r="K52" i="82"/>
  <c r="K56" i="83"/>
  <c r="K62" i="82"/>
  <c r="K57" i="82"/>
  <c r="K61" i="83"/>
  <c r="K25" i="82"/>
  <c r="K24" i="82" s="1"/>
  <c r="C49" i="83"/>
  <c r="C15" i="83"/>
  <c r="C27" i="83"/>
  <c r="C33" i="83"/>
  <c r="C39" i="83"/>
  <c r="C51" i="83"/>
  <c r="C61" i="83"/>
  <c r="C16" i="83"/>
  <c r="C40" i="83"/>
  <c r="C47" i="83"/>
  <c r="C52" i="83"/>
  <c r="C62" i="83"/>
  <c r="C11" i="83"/>
  <c r="C20" i="83"/>
  <c r="C35" i="83"/>
  <c r="C12" i="83"/>
  <c r="C41" i="83"/>
  <c r="C57" i="83"/>
  <c r="C29" i="83"/>
  <c r="C56" i="83"/>
  <c r="C17" i="83"/>
  <c r="C30" i="83"/>
  <c r="C53" i="83"/>
  <c r="C19" i="83"/>
  <c r="C24" i="83"/>
  <c r="C34" i="83"/>
  <c r="C46" i="83"/>
  <c r="C21" i="83"/>
  <c r="C25" i="83"/>
  <c r="C42" i="83"/>
  <c r="C48" i="83"/>
  <c r="AO6" i="83"/>
  <c r="AG25" i="83"/>
  <c r="AK6" i="83"/>
  <c r="AS6" i="83"/>
  <c r="BA6" i="83"/>
  <c r="BU6" i="83"/>
  <c r="BI6" i="83"/>
  <c r="BY6" i="83"/>
  <c r="CC6" i="83"/>
  <c r="BE6" i="83"/>
  <c r="BM6" i="83"/>
  <c r="AG38" i="83"/>
  <c r="AH37" i="83"/>
  <c r="BQ6" i="83"/>
  <c r="AW6" i="83"/>
  <c r="AH12" i="83"/>
  <c r="AH27" i="83"/>
  <c r="AG27" i="83" s="1"/>
  <c r="C54" i="83"/>
  <c r="C14" i="83"/>
  <c r="C59" i="83"/>
  <c r="AH51" i="83"/>
  <c r="AH13" i="83"/>
  <c r="AG13" i="83" s="1"/>
  <c r="C13" i="83"/>
  <c r="C28" i="83"/>
  <c r="C36" i="83"/>
  <c r="C45" i="83"/>
  <c r="K59" i="82"/>
  <c r="K53" i="82"/>
  <c r="K54" i="82"/>
  <c r="K51" i="82"/>
  <c r="K58" i="82"/>
  <c r="K60" i="82"/>
  <c r="C38" i="82"/>
  <c r="C61" i="82"/>
  <c r="C27" i="82"/>
  <c r="C39" i="82"/>
  <c r="C15" i="82"/>
  <c r="C46" i="82"/>
  <c r="C52" i="82"/>
  <c r="C57" i="82"/>
  <c r="C62" i="82"/>
  <c r="C35" i="82"/>
  <c r="C11" i="82"/>
  <c r="C19" i="82"/>
  <c r="C29" i="82"/>
  <c r="C41" i="82"/>
  <c r="C47" i="82"/>
  <c r="AG38" i="82"/>
  <c r="AH37" i="82"/>
  <c r="BY6" i="82"/>
  <c r="AO6" i="82"/>
  <c r="K37" i="82"/>
  <c r="BU6" i="82"/>
  <c r="AK6" i="82"/>
  <c r="AH24" i="82"/>
  <c r="BA6" i="82"/>
  <c r="K11" i="82"/>
  <c r="AH50" i="82"/>
  <c r="AG51" i="82"/>
  <c r="AW6" i="82"/>
  <c r="BE6" i="82"/>
  <c r="BI6" i="82"/>
  <c r="BQ6" i="82"/>
  <c r="BM6" i="82"/>
  <c r="AH12" i="82"/>
  <c r="AH27" i="82"/>
  <c r="AG27" i="82" s="1"/>
  <c r="C54" i="82"/>
  <c r="C55" i="82"/>
  <c r="C24" i="82"/>
  <c r="C25" i="82"/>
  <c r="C53" i="82"/>
  <c r="C33" i="82"/>
  <c r="C42" i="82"/>
  <c r="C50" i="82"/>
  <c r="CD50" i="82"/>
  <c r="C60" i="82"/>
  <c r="AT50" i="82"/>
  <c r="C51" i="82"/>
  <c r="C13" i="82"/>
  <c r="C28" i="82"/>
  <c r="C36" i="82"/>
  <c r="C45" i="82"/>
  <c r="C58" i="82"/>
  <c r="C20" i="82"/>
  <c r="C31" i="82"/>
  <c r="C40" i="82"/>
  <c r="C48" i="82"/>
  <c r="D30" i="2"/>
  <c r="D29" i="2"/>
  <c r="D28" i="2"/>
  <c r="D27" i="2"/>
  <c r="E26" i="2"/>
  <c r="D26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B27" i="2"/>
  <c r="E25" i="2"/>
  <c r="D25" i="2"/>
  <c r="E24" i="2"/>
  <c r="D24" i="2"/>
  <c r="E23" i="2"/>
  <c r="D23" i="2"/>
  <c r="B23" i="2"/>
  <c r="I52" i="61"/>
  <c r="BY24" i="85" l="1"/>
  <c r="BY11" i="85"/>
  <c r="BY37" i="85"/>
  <c r="BY50" i="85"/>
  <c r="BZ3" i="85"/>
  <c r="BQ37" i="85"/>
  <c r="BQ11" i="85"/>
  <c r="BQ50" i="85"/>
  <c r="BQ24" i="85"/>
  <c r="BR3" i="85"/>
  <c r="BU11" i="85"/>
  <c r="BU37" i="85"/>
  <c r="BU50" i="85"/>
  <c r="BU24" i="85"/>
  <c r="BV3" i="85"/>
  <c r="AO37" i="85"/>
  <c r="AO11" i="85"/>
  <c r="AO24" i="85"/>
  <c r="AO50" i="85"/>
  <c r="AP3" i="85"/>
  <c r="AW11" i="85"/>
  <c r="AW50" i="85"/>
  <c r="AW24" i="85"/>
  <c r="AW37" i="85"/>
  <c r="AX3" i="85"/>
  <c r="CC11" i="85"/>
  <c r="CC37" i="85"/>
  <c r="CC24" i="85"/>
  <c r="CC50" i="85"/>
  <c r="CD3" i="85"/>
  <c r="AF3" i="85"/>
  <c r="AK37" i="85"/>
  <c r="AK50" i="85"/>
  <c r="AK11" i="85"/>
  <c r="AK24" i="85"/>
  <c r="AL3" i="85"/>
  <c r="AS11" i="85"/>
  <c r="AS24" i="85"/>
  <c r="AS50" i="85"/>
  <c r="AS37" i="85"/>
  <c r="AT3" i="85"/>
  <c r="BA24" i="85"/>
  <c r="BA50" i="85"/>
  <c r="BA37" i="85"/>
  <c r="BA11" i="85"/>
  <c r="BB3" i="85"/>
  <c r="BE24" i="85"/>
  <c r="BE11" i="85"/>
  <c r="BE37" i="85"/>
  <c r="BE50" i="85"/>
  <c r="BF3" i="85"/>
  <c r="BI24" i="85"/>
  <c r="BI50" i="85"/>
  <c r="BI37" i="85"/>
  <c r="BI11" i="85"/>
  <c r="BJ3" i="85"/>
  <c r="BM50" i="85"/>
  <c r="BM37" i="85"/>
  <c r="BM11" i="85"/>
  <c r="BM24" i="85"/>
  <c r="BN3" i="85"/>
  <c r="K50" i="84"/>
  <c r="N6" i="84" s="1"/>
  <c r="BZ6" i="84"/>
  <c r="AG6" i="84"/>
  <c r="AX6" i="84"/>
  <c r="BN6" i="84"/>
  <c r="BI6" i="84"/>
  <c r="AK6" i="84"/>
  <c r="BV6" i="84"/>
  <c r="AP6" i="84"/>
  <c r="J24" i="84"/>
  <c r="N4" i="84"/>
  <c r="BR6" i="84"/>
  <c r="AT6" i="84"/>
  <c r="CD6" i="84"/>
  <c r="BE6" i="84"/>
  <c r="BB6" i="84"/>
  <c r="K50" i="83"/>
  <c r="J50" i="83" s="1"/>
  <c r="K50" i="82"/>
  <c r="J6" i="82" s="1"/>
  <c r="K3" i="82" s="1"/>
  <c r="AT6" i="83"/>
  <c r="AL6" i="83"/>
  <c r="AG51" i="83"/>
  <c r="AH50" i="83"/>
  <c r="BZ6" i="83"/>
  <c r="AX6" i="83"/>
  <c r="BJ6" i="83"/>
  <c r="AP6" i="83"/>
  <c r="BR6" i="83"/>
  <c r="BV6" i="83"/>
  <c r="BB6" i="83"/>
  <c r="BN6" i="83"/>
  <c r="BF6" i="83"/>
  <c r="J24" i="83"/>
  <c r="N4" i="83"/>
  <c r="CD6" i="83"/>
  <c r="AH24" i="83"/>
  <c r="AG12" i="83"/>
  <c r="AH11" i="83"/>
  <c r="BJ6" i="82"/>
  <c r="BR6" i="82"/>
  <c r="BV6" i="82"/>
  <c r="CC6" i="82"/>
  <c r="AX6" i="82"/>
  <c r="AG12" i="82"/>
  <c r="AH11" i="82"/>
  <c r="AL6" i="82"/>
  <c r="BN6" i="82"/>
  <c r="AS6" i="82"/>
  <c r="BZ6" i="82"/>
  <c r="BF6" i="82"/>
  <c r="AP6" i="82"/>
  <c r="BB6" i="82"/>
  <c r="N5" i="82"/>
  <c r="J37" i="82"/>
  <c r="J11" i="82"/>
  <c r="N3" i="82"/>
  <c r="J24" i="82"/>
  <c r="N4" i="82"/>
  <c r="F171" i="38"/>
  <c r="F170" i="38"/>
  <c r="K165" i="2"/>
  <c r="K164" i="2"/>
  <c r="K163" i="2"/>
  <c r="K162" i="2"/>
  <c r="K161" i="2"/>
  <c r="K160" i="2"/>
  <c r="K159" i="2"/>
  <c r="K158" i="2"/>
  <c r="K157" i="2"/>
  <c r="K156" i="2"/>
  <c r="K155" i="2"/>
  <c r="K154" i="2"/>
  <c r="K153" i="2"/>
  <c r="K152" i="2"/>
  <c r="K151" i="2"/>
  <c r="K150" i="2"/>
  <c r="K149" i="2"/>
  <c r="K148" i="2"/>
  <c r="K147" i="2"/>
  <c r="K146" i="2"/>
  <c r="K145" i="2"/>
  <c r="K144" i="2"/>
  <c r="K143" i="2"/>
  <c r="K142" i="2"/>
  <c r="K141" i="2"/>
  <c r="K140" i="2"/>
  <c r="K139" i="2"/>
  <c r="K138" i="2"/>
  <c r="K137" i="2"/>
  <c r="K136" i="2"/>
  <c r="K135" i="2"/>
  <c r="K134" i="2"/>
  <c r="K133" i="2"/>
  <c r="K132" i="2"/>
  <c r="K131" i="2"/>
  <c r="K130" i="2"/>
  <c r="K129" i="2"/>
  <c r="K128" i="2"/>
  <c r="K127" i="2"/>
  <c r="K126" i="2"/>
  <c r="K125" i="2"/>
  <c r="K124" i="2"/>
  <c r="K123" i="2"/>
  <c r="K122" i="2"/>
  <c r="K121" i="2"/>
  <c r="K120" i="2"/>
  <c r="K119" i="2"/>
  <c r="K118" i="2"/>
  <c r="K117" i="2"/>
  <c r="K116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/>
  <c r="K81" i="2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F30" i="38"/>
  <c r="AG24" i="85" l="1"/>
  <c r="AG50" i="85"/>
  <c r="AG37" i="85"/>
  <c r="AG11" i="85"/>
  <c r="AH3" i="85"/>
  <c r="J50" i="84"/>
  <c r="BF6" i="84"/>
  <c r="AH6" i="84"/>
  <c r="AL6" i="84"/>
  <c r="BJ6" i="84"/>
  <c r="J50" i="82"/>
  <c r="N6" i="82"/>
  <c r="N7" i="82" s="1"/>
  <c r="N6" i="83"/>
  <c r="AG6" i="83"/>
  <c r="AG6" i="82"/>
  <c r="CD6" i="82"/>
  <c r="AT6" i="82"/>
  <c r="O52" i="61"/>
  <c r="O6" i="82" l="1"/>
  <c r="O5" i="82"/>
  <c r="O3" i="82"/>
  <c r="AH6" i="83"/>
  <c r="AH6" i="82"/>
  <c r="O4" i="82"/>
  <c r="T1" i="9"/>
  <c r="D71" i="3"/>
  <c r="R6" i="65"/>
  <c r="R4" i="65"/>
  <c r="B6" i="80" l="1"/>
  <c r="N27" i="64" l="1"/>
  <c r="N26" i="64"/>
  <c r="N25" i="64"/>
  <c r="N4" i="3"/>
  <c r="M15" i="64" l="1"/>
  <c r="D49" i="3"/>
  <c r="O13" i="80"/>
  <c r="B6" i="81"/>
  <c r="N28" i="64" s="1"/>
  <c r="N29" i="64" s="1"/>
  <c r="N17" i="3"/>
  <c r="M14" i="80"/>
  <c r="H41" i="81"/>
  <c r="M14" i="81"/>
  <c r="I14" i="81"/>
  <c r="I14" i="64"/>
  <c r="I26" i="64" s="1"/>
  <c r="D40" i="3"/>
  <c r="J12" i="83" l="1"/>
  <c r="K12" i="83" s="1"/>
  <c r="K11" i="83" s="1"/>
  <c r="J12" i="84"/>
  <c r="K12" i="84" s="1"/>
  <c r="K11" i="84" s="1"/>
  <c r="D46" i="80"/>
  <c r="V25" i="2"/>
  <c r="M12" i="64"/>
  <c r="H41" i="64"/>
  <c r="H39" i="64"/>
  <c r="H38" i="80"/>
  <c r="H38" i="81"/>
  <c r="CD62" i="81"/>
  <c r="BZ62" i="81"/>
  <c r="BV62" i="81"/>
  <c r="BR62" i="81"/>
  <c r="BN62" i="81"/>
  <c r="BJ62" i="81"/>
  <c r="BF62" i="81"/>
  <c r="BB62" i="81"/>
  <c r="AX62" i="81"/>
  <c r="AT62" i="81"/>
  <c r="AP62" i="81"/>
  <c r="AL62" i="81"/>
  <c r="AH62" i="81"/>
  <c r="AF62" i="81"/>
  <c r="AG62" i="81" s="1"/>
  <c r="AD62" i="81"/>
  <c r="J62" i="81"/>
  <c r="G62" i="81"/>
  <c r="CD61" i="81"/>
  <c r="BZ61" i="81"/>
  <c r="BV61" i="81"/>
  <c r="BR61" i="81"/>
  <c r="BN61" i="81"/>
  <c r="BJ61" i="81"/>
  <c r="BF61" i="81"/>
  <c r="BB61" i="81"/>
  <c r="AX61" i="81"/>
  <c r="AH61" i="81" s="1"/>
  <c r="AG61" i="81" s="1"/>
  <c r="AT61" i="81"/>
  <c r="AP61" i="81"/>
  <c r="AL61" i="81"/>
  <c r="AF61" i="81"/>
  <c r="AD61" i="81"/>
  <c r="J61" i="81"/>
  <c r="G61" i="81"/>
  <c r="C61" i="81"/>
  <c r="CD60" i="81"/>
  <c r="BZ60" i="81"/>
  <c r="BV60" i="81"/>
  <c r="BR60" i="81"/>
  <c r="BN60" i="81"/>
  <c r="BJ60" i="81"/>
  <c r="BF60" i="81"/>
  <c r="BB60" i="81"/>
  <c r="AH60" i="81" s="1"/>
  <c r="AG60" i="81" s="1"/>
  <c r="AX60" i="81"/>
  <c r="AT60" i="81"/>
  <c r="AP60" i="81"/>
  <c r="AL60" i="81"/>
  <c r="AF60" i="81"/>
  <c r="AD60" i="81"/>
  <c r="J60" i="81"/>
  <c r="G60" i="81"/>
  <c r="CD59" i="81"/>
  <c r="BZ59" i="81"/>
  <c r="BV59" i="81"/>
  <c r="BR59" i="81"/>
  <c r="BN59" i="81"/>
  <c r="BJ59" i="81"/>
  <c r="BF59" i="81"/>
  <c r="BB59" i="81"/>
  <c r="AX59" i="81"/>
  <c r="AT59" i="81"/>
  <c r="AP59" i="81"/>
  <c r="AH59" i="81" s="1"/>
  <c r="AG59" i="81" s="1"/>
  <c r="AL59" i="81"/>
  <c r="AF59" i="81"/>
  <c r="AD59" i="81"/>
  <c r="J59" i="81"/>
  <c r="G59" i="81"/>
  <c r="CD58" i="81"/>
  <c r="BZ58" i="81"/>
  <c r="BV58" i="81"/>
  <c r="BR58" i="81"/>
  <c r="BN58" i="81"/>
  <c r="BJ58" i="81"/>
  <c r="BF58" i="81"/>
  <c r="BB58" i="81"/>
  <c r="AX58" i="81"/>
  <c r="AT58" i="81"/>
  <c r="AP58" i="81"/>
  <c r="AL58" i="81"/>
  <c r="AF58" i="81"/>
  <c r="AD58" i="81"/>
  <c r="J58" i="81"/>
  <c r="G58" i="81"/>
  <c r="CD57" i="81"/>
  <c r="BZ57" i="81"/>
  <c r="BV57" i="81"/>
  <c r="BR57" i="81"/>
  <c r="BN57" i="81"/>
  <c r="BJ57" i="81"/>
  <c r="BF57" i="81"/>
  <c r="BB57" i="81"/>
  <c r="AX57" i="81"/>
  <c r="AT57" i="81"/>
  <c r="AP57" i="81"/>
  <c r="AL57" i="81"/>
  <c r="AH57" i="81" s="1"/>
  <c r="AG57" i="81" s="1"/>
  <c r="AF57" i="81"/>
  <c r="AD57" i="81"/>
  <c r="J57" i="81"/>
  <c r="G57" i="81"/>
  <c r="CD56" i="81"/>
  <c r="BZ56" i="81"/>
  <c r="BV56" i="81"/>
  <c r="BR56" i="81"/>
  <c r="BN56" i="81"/>
  <c r="BN50" i="81" s="1"/>
  <c r="BJ56" i="81"/>
  <c r="BF56" i="81"/>
  <c r="BB56" i="81"/>
  <c r="AX56" i="81"/>
  <c r="AT56" i="81"/>
  <c r="AP56" i="81"/>
  <c r="AL56" i="81"/>
  <c r="AH56" i="81" s="1"/>
  <c r="AG56" i="81" s="1"/>
  <c r="AF56" i="81"/>
  <c r="AD56" i="81"/>
  <c r="J56" i="81"/>
  <c r="G56" i="81"/>
  <c r="CD55" i="81"/>
  <c r="BZ55" i="81"/>
  <c r="BV55" i="81"/>
  <c r="BR55" i="81"/>
  <c r="BN55" i="81"/>
  <c r="BJ55" i="81"/>
  <c r="BF55" i="81"/>
  <c r="BB55" i="81"/>
  <c r="AX55" i="81"/>
  <c r="AT55" i="81"/>
  <c r="AP55" i="81"/>
  <c r="AL55" i="81"/>
  <c r="AL50" i="81" s="1"/>
  <c r="AH55" i="81"/>
  <c r="AG55" i="81"/>
  <c r="AF55" i="81"/>
  <c r="AD55" i="81"/>
  <c r="J55" i="81"/>
  <c r="G55" i="81"/>
  <c r="CD54" i="81"/>
  <c r="BZ54" i="81"/>
  <c r="BV54" i="81"/>
  <c r="BR54" i="81"/>
  <c r="BR50" i="81" s="1"/>
  <c r="BN54" i="81"/>
  <c r="BJ54" i="81"/>
  <c r="BF54" i="81"/>
  <c r="BB54" i="81"/>
  <c r="AX54" i="81"/>
  <c r="AT54" i="81"/>
  <c r="AP54" i="81"/>
  <c r="AL54" i="81"/>
  <c r="AF54" i="81"/>
  <c r="AD54" i="81"/>
  <c r="J54" i="81"/>
  <c r="G54" i="81"/>
  <c r="C54" i="81"/>
  <c r="CD53" i="81"/>
  <c r="BZ53" i="81"/>
  <c r="BV53" i="81"/>
  <c r="BR53" i="81"/>
  <c r="BN53" i="81"/>
  <c r="BJ53" i="81"/>
  <c r="BF53" i="81"/>
  <c r="BB53" i="81"/>
  <c r="AX53" i="81"/>
  <c r="AT53" i="81"/>
  <c r="AT50" i="81" s="1"/>
  <c r="AP53" i="81"/>
  <c r="AL53" i="81"/>
  <c r="AH53" i="81"/>
  <c r="AF53" i="81"/>
  <c r="AG53" i="81" s="1"/>
  <c r="AD53" i="81"/>
  <c r="J53" i="81"/>
  <c r="G53" i="81"/>
  <c r="CD52" i="81"/>
  <c r="BZ52" i="81"/>
  <c r="BV52" i="81"/>
  <c r="BR52" i="81"/>
  <c r="BN52" i="81"/>
  <c r="BJ52" i="81"/>
  <c r="BF52" i="81"/>
  <c r="BB52" i="81"/>
  <c r="AX52" i="81"/>
  <c r="AT52" i="81"/>
  <c r="AP52" i="81"/>
  <c r="AL52" i="81"/>
  <c r="AF52" i="81"/>
  <c r="AD52" i="81"/>
  <c r="J52" i="81"/>
  <c r="G52" i="81"/>
  <c r="C52" i="81"/>
  <c r="CD51" i="81"/>
  <c r="CD50" i="81" s="1"/>
  <c r="BZ51" i="81"/>
  <c r="BZ50" i="81" s="1"/>
  <c r="BV51" i="81"/>
  <c r="BR51" i="81"/>
  <c r="BN51" i="81"/>
  <c r="BJ51" i="81"/>
  <c r="BF51" i="81"/>
  <c r="BB51" i="81"/>
  <c r="AX51" i="81"/>
  <c r="AX50" i="81" s="1"/>
  <c r="AT51" i="81"/>
  <c r="AP51" i="81"/>
  <c r="AL51" i="81"/>
  <c r="AF51" i="81"/>
  <c r="AD51" i="81"/>
  <c r="J51" i="81"/>
  <c r="G51" i="81"/>
  <c r="BJ50" i="81"/>
  <c r="AD50" i="81"/>
  <c r="CD49" i="81"/>
  <c r="BZ49" i="81"/>
  <c r="BV49" i="81"/>
  <c r="BR49" i="81"/>
  <c r="BN49" i="81"/>
  <c r="BJ49" i="81"/>
  <c r="BF49" i="81"/>
  <c r="BB49" i="81"/>
  <c r="AX49" i="81"/>
  <c r="AT49" i="81"/>
  <c r="AP49" i="81"/>
  <c r="AL49" i="81"/>
  <c r="AH49" i="81" s="1"/>
  <c r="AG49" i="81" s="1"/>
  <c r="AF49" i="81"/>
  <c r="AD49" i="81"/>
  <c r="J49" i="81"/>
  <c r="K49" i="81" s="1"/>
  <c r="G49" i="81"/>
  <c r="CD48" i="81"/>
  <c r="BZ48" i="81"/>
  <c r="BV48" i="81"/>
  <c r="BR48" i="81"/>
  <c r="BN48" i="81"/>
  <c r="BJ48" i="81"/>
  <c r="BF48" i="81"/>
  <c r="BB48" i="81"/>
  <c r="AX48" i="81"/>
  <c r="AT48" i="81"/>
  <c r="AP48" i="81"/>
  <c r="AL48" i="81"/>
  <c r="AH48" i="81" s="1"/>
  <c r="AG48" i="81" s="1"/>
  <c r="AF48" i="81"/>
  <c r="AD48" i="81"/>
  <c r="J48" i="81"/>
  <c r="K48" i="81" s="1"/>
  <c r="G48" i="81"/>
  <c r="CD47" i="81"/>
  <c r="BZ47" i="81"/>
  <c r="BV47" i="81"/>
  <c r="BR47" i="81"/>
  <c r="BN47" i="81"/>
  <c r="BJ47" i="81"/>
  <c r="BF47" i="81"/>
  <c r="BB47" i="81"/>
  <c r="AX47" i="81"/>
  <c r="AT47" i="81"/>
  <c r="AP47" i="81"/>
  <c r="AL47" i="81"/>
  <c r="AH47" i="81"/>
  <c r="AG47" i="81"/>
  <c r="AF47" i="81"/>
  <c r="AD47" i="81"/>
  <c r="J47" i="81"/>
  <c r="K47" i="81" s="1"/>
  <c r="G47" i="81"/>
  <c r="CD46" i="81"/>
  <c r="BZ46" i="81"/>
  <c r="BV46" i="81"/>
  <c r="BR46" i="81"/>
  <c r="BN46" i="81"/>
  <c r="BJ46" i="81"/>
  <c r="BF46" i="81"/>
  <c r="BF37" i="81" s="1"/>
  <c r="BB46" i="81"/>
  <c r="AX46" i="81"/>
  <c r="AT46" i="81"/>
  <c r="AP46" i="81"/>
  <c r="AL46" i="81"/>
  <c r="AF46" i="81"/>
  <c r="AD46" i="81"/>
  <c r="J46" i="81"/>
  <c r="K46" i="81" s="1"/>
  <c r="G46" i="81"/>
  <c r="C46" i="81"/>
  <c r="CD45" i="81"/>
  <c r="BZ45" i="81"/>
  <c r="BV45" i="81"/>
  <c r="BR45" i="81"/>
  <c r="BN45" i="81"/>
  <c r="BJ45" i="81"/>
  <c r="BF45" i="81"/>
  <c r="BB45" i="81"/>
  <c r="AX45" i="81"/>
  <c r="AT45" i="81"/>
  <c r="AP45" i="81"/>
  <c r="AL45" i="81"/>
  <c r="AF45" i="81"/>
  <c r="AD45" i="81"/>
  <c r="J45" i="81"/>
  <c r="K45" i="81" s="1"/>
  <c r="G45" i="81"/>
  <c r="CD44" i="81"/>
  <c r="BZ44" i="81"/>
  <c r="BV44" i="81"/>
  <c r="BR44" i="81"/>
  <c r="BN44" i="81"/>
  <c r="BJ44" i="81"/>
  <c r="BF44" i="81"/>
  <c r="BB44" i="81"/>
  <c r="AX44" i="81"/>
  <c r="AT44" i="81"/>
  <c r="AP44" i="81"/>
  <c r="AL44" i="81"/>
  <c r="AH44" i="81" s="1"/>
  <c r="AG44" i="81" s="1"/>
  <c r="AF44" i="81"/>
  <c r="AD44" i="81"/>
  <c r="J44" i="81"/>
  <c r="K44" i="81" s="1"/>
  <c r="G44" i="81"/>
  <c r="CD43" i="81"/>
  <c r="BZ43" i="81"/>
  <c r="BV43" i="81"/>
  <c r="BR43" i="81"/>
  <c r="BN43" i="81"/>
  <c r="BJ43" i="81"/>
  <c r="AH43" i="81" s="1"/>
  <c r="AG43" i="81" s="1"/>
  <c r="BF43" i="81"/>
  <c r="BB43" i="81"/>
  <c r="AX43" i="81"/>
  <c r="AT43" i="81"/>
  <c r="AP43" i="81"/>
  <c r="AL43" i="81"/>
  <c r="AF43" i="81"/>
  <c r="AD43" i="81"/>
  <c r="J43" i="81"/>
  <c r="K43" i="81" s="1"/>
  <c r="G43" i="81"/>
  <c r="C43" i="81"/>
  <c r="CD42" i="81"/>
  <c r="BZ42" i="81"/>
  <c r="BV42" i="81"/>
  <c r="BR42" i="81"/>
  <c r="BN42" i="81"/>
  <c r="BJ42" i="81"/>
  <c r="BF42" i="81"/>
  <c r="BB42" i="81"/>
  <c r="AX42" i="81"/>
  <c r="AT42" i="81"/>
  <c r="AP42" i="81"/>
  <c r="AL42" i="81"/>
  <c r="AH42" i="81"/>
  <c r="AF42" i="81"/>
  <c r="AG42" i="81" s="1"/>
  <c r="AD42" i="81"/>
  <c r="J42" i="81"/>
  <c r="K42" i="81" s="1"/>
  <c r="G42" i="81"/>
  <c r="CD41" i="81"/>
  <c r="BZ41" i="81"/>
  <c r="BV41" i="81"/>
  <c r="BR41" i="81"/>
  <c r="BN41" i="81"/>
  <c r="BJ41" i="81"/>
  <c r="BF41" i="81"/>
  <c r="BB41" i="81"/>
  <c r="AX41" i="81"/>
  <c r="AT41" i="81"/>
  <c r="AP41" i="81"/>
  <c r="AL41" i="81"/>
  <c r="AH41" i="81" s="1"/>
  <c r="AG41" i="81" s="1"/>
  <c r="AF41" i="81"/>
  <c r="AD41" i="81"/>
  <c r="G41" i="81"/>
  <c r="CD40" i="81"/>
  <c r="BZ40" i="81"/>
  <c r="BV40" i="81"/>
  <c r="BR40" i="81"/>
  <c r="BN40" i="81"/>
  <c r="BJ40" i="81"/>
  <c r="BF40" i="81"/>
  <c r="BB40" i="81"/>
  <c r="AX40" i="81"/>
  <c r="AT40" i="81"/>
  <c r="AP40" i="81"/>
  <c r="AL40" i="81"/>
  <c r="AF40" i="81"/>
  <c r="AD40" i="81"/>
  <c r="G40" i="81"/>
  <c r="CD39" i="81"/>
  <c r="BZ39" i="81"/>
  <c r="BV39" i="81"/>
  <c r="BR39" i="81"/>
  <c r="BN39" i="81"/>
  <c r="BJ39" i="81"/>
  <c r="BF39" i="81"/>
  <c r="BB39" i="81"/>
  <c r="AX39" i="81"/>
  <c r="AX37" i="81" s="1"/>
  <c r="AT39" i="81"/>
  <c r="AP39" i="81"/>
  <c r="AL39" i="81"/>
  <c r="AH39" i="81"/>
  <c r="AG39" i="81" s="1"/>
  <c r="AF39" i="81"/>
  <c r="AD39" i="81"/>
  <c r="H39" i="81"/>
  <c r="G39" i="81"/>
  <c r="CD38" i="81"/>
  <c r="BZ38" i="81"/>
  <c r="BV38" i="81"/>
  <c r="BV37" i="81" s="1"/>
  <c r="BR38" i="81"/>
  <c r="BR37" i="81" s="1"/>
  <c r="BN38" i="81"/>
  <c r="BN37" i="81" s="1"/>
  <c r="BJ38" i="81"/>
  <c r="BF38" i="81"/>
  <c r="BB38" i="81"/>
  <c r="AX38" i="81"/>
  <c r="AT38" i="81"/>
  <c r="AP38" i="81"/>
  <c r="AL38" i="81"/>
  <c r="AF38" i="81"/>
  <c r="AD38" i="81"/>
  <c r="G38" i="81"/>
  <c r="C38" i="81"/>
  <c r="BB37" i="81"/>
  <c r="AD37" i="81"/>
  <c r="C37" i="81"/>
  <c r="CD36" i="81"/>
  <c r="BZ36" i="81"/>
  <c r="BV36" i="81"/>
  <c r="BR36" i="81"/>
  <c r="BN36" i="81"/>
  <c r="BJ36" i="81"/>
  <c r="BF36" i="81"/>
  <c r="BB36" i="81"/>
  <c r="AX36" i="81"/>
  <c r="AT36" i="81"/>
  <c r="AP36" i="81"/>
  <c r="AL36" i="81"/>
  <c r="AH36" i="81"/>
  <c r="AF36" i="81"/>
  <c r="AG36" i="81" s="1"/>
  <c r="AD36" i="81"/>
  <c r="J36" i="81"/>
  <c r="K36" i="81" s="1"/>
  <c r="G36" i="81"/>
  <c r="CD35" i="81"/>
  <c r="BZ35" i="81"/>
  <c r="BV35" i="81"/>
  <c r="BR35" i="81"/>
  <c r="BN35" i="81"/>
  <c r="BJ35" i="81"/>
  <c r="BF35" i="81"/>
  <c r="BB35" i="81"/>
  <c r="AX35" i="81"/>
  <c r="AT35" i="81"/>
  <c r="AP35" i="81"/>
  <c r="AL35" i="81"/>
  <c r="AF35" i="81"/>
  <c r="AD35" i="81"/>
  <c r="J35" i="81"/>
  <c r="K35" i="81" s="1"/>
  <c r="G35" i="81"/>
  <c r="CD34" i="81"/>
  <c r="BZ34" i="81"/>
  <c r="BV34" i="81"/>
  <c r="BR34" i="81"/>
  <c r="BN34" i="81"/>
  <c r="BJ34" i="81"/>
  <c r="BF34" i="81"/>
  <c r="BB34" i="81"/>
  <c r="AX34" i="81"/>
  <c r="AT34" i="81"/>
  <c r="AP34" i="81"/>
  <c r="AL34" i="81"/>
  <c r="AF34" i="81"/>
  <c r="AD34" i="81"/>
  <c r="J34" i="81"/>
  <c r="K34" i="81" s="1"/>
  <c r="G34" i="81"/>
  <c r="CD33" i="81"/>
  <c r="BZ33" i="81"/>
  <c r="BV33" i="81"/>
  <c r="BR33" i="81"/>
  <c r="BN33" i="81"/>
  <c r="BJ33" i="81"/>
  <c r="BF33" i="81"/>
  <c r="BB33" i="81"/>
  <c r="AX33" i="81"/>
  <c r="AT33" i="81"/>
  <c r="AP33" i="81"/>
  <c r="AL33" i="81"/>
  <c r="AH33" i="81"/>
  <c r="AG33" i="81"/>
  <c r="AF33" i="81"/>
  <c r="AD33" i="81"/>
  <c r="J33" i="81"/>
  <c r="K33" i="81" s="1"/>
  <c r="G33" i="81"/>
  <c r="CD32" i="81"/>
  <c r="BZ32" i="81"/>
  <c r="BV32" i="81"/>
  <c r="BR32" i="81"/>
  <c r="BN32" i="81"/>
  <c r="BJ32" i="81"/>
  <c r="BF32" i="81"/>
  <c r="BB32" i="81"/>
  <c r="AX32" i="81"/>
  <c r="AT32" i="81"/>
  <c r="AP32" i="81"/>
  <c r="AL32" i="81"/>
  <c r="AF32" i="81"/>
  <c r="AD32" i="81"/>
  <c r="J32" i="81"/>
  <c r="K32" i="81" s="1"/>
  <c r="G32" i="81"/>
  <c r="C32" i="81"/>
  <c r="CD31" i="81"/>
  <c r="BZ31" i="81"/>
  <c r="BV31" i="81"/>
  <c r="BR31" i="81"/>
  <c r="BN31" i="81"/>
  <c r="BJ31" i="81"/>
  <c r="BF31" i="81"/>
  <c r="BB31" i="81"/>
  <c r="AX31" i="81"/>
  <c r="AH31" i="81" s="1"/>
  <c r="AG31" i="81" s="1"/>
  <c r="AT31" i="81"/>
  <c r="AP31" i="81"/>
  <c r="AL31" i="81"/>
  <c r="AF31" i="81"/>
  <c r="AD31" i="81"/>
  <c r="J31" i="81"/>
  <c r="K31" i="81" s="1"/>
  <c r="G31" i="81"/>
  <c r="CD30" i="81"/>
  <c r="BZ30" i="81"/>
  <c r="BV30" i="81"/>
  <c r="BR30" i="81"/>
  <c r="BN30" i="81"/>
  <c r="BJ30" i="81"/>
  <c r="BF30" i="81"/>
  <c r="BB30" i="81"/>
  <c r="AX30" i="81"/>
  <c r="AT30" i="81"/>
  <c r="AP30" i="81"/>
  <c r="AP24" i="81" s="1"/>
  <c r="AL30" i="81"/>
  <c r="AH30" i="81" s="1"/>
  <c r="AG30" i="81" s="1"/>
  <c r="AF30" i="81"/>
  <c r="AD30" i="81"/>
  <c r="J30" i="81"/>
  <c r="K30" i="81" s="1"/>
  <c r="G30" i="81"/>
  <c r="CD29" i="81"/>
  <c r="BZ29" i="81"/>
  <c r="BV29" i="81"/>
  <c r="BR29" i="81"/>
  <c r="BN29" i="81"/>
  <c r="BJ29" i="81"/>
  <c r="BF29" i="81"/>
  <c r="BB29" i="81"/>
  <c r="AX29" i="81"/>
  <c r="AT29" i="81"/>
  <c r="AP29" i="81"/>
  <c r="AL29" i="81"/>
  <c r="AH29" i="81" s="1"/>
  <c r="AG29" i="81" s="1"/>
  <c r="AF29" i="81"/>
  <c r="AD29" i="81"/>
  <c r="J29" i="81"/>
  <c r="K29" i="81" s="1"/>
  <c r="G29" i="81"/>
  <c r="CD28" i="81"/>
  <c r="BZ28" i="81"/>
  <c r="BV28" i="81"/>
  <c r="BR28" i="81"/>
  <c r="BN28" i="81"/>
  <c r="BJ28" i="81"/>
  <c r="BF28" i="81"/>
  <c r="BB28" i="81"/>
  <c r="AX28" i="81"/>
  <c r="AT28" i="81"/>
  <c r="AP28" i="81"/>
  <c r="AL28" i="81"/>
  <c r="AH28" i="81"/>
  <c r="AF28" i="81"/>
  <c r="AG28" i="81" s="1"/>
  <c r="AD28" i="81"/>
  <c r="J28" i="81"/>
  <c r="K28" i="81" s="1"/>
  <c r="G28" i="81"/>
  <c r="CD27" i="81"/>
  <c r="BZ27" i="81"/>
  <c r="BV27" i="81"/>
  <c r="BR27" i="81"/>
  <c r="BN27" i="81"/>
  <c r="BJ27" i="81"/>
  <c r="BJ24" i="81" s="1"/>
  <c r="BF27" i="81"/>
  <c r="BF24" i="81" s="1"/>
  <c r="BB27" i="81"/>
  <c r="AX27" i="81"/>
  <c r="AT27" i="81"/>
  <c r="AP27" i="81"/>
  <c r="AL27" i="81"/>
  <c r="AF27" i="81"/>
  <c r="AD27" i="81"/>
  <c r="J27" i="81"/>
  <c r="K27" i="81" s="1"/>
  <c r="G27" i="81"/>
  <c r="CD26" i="81"/>
  <c r="CD24" i="81" s="1"/>
  <c r="BZ26" i="81"/>
  <c r="BZ24" i="81" s="1"/>
  <c r="BV26" i="81"/>
  <c r="BR26" i="81"/>
  <c r="BN26" i="81"/>
  <c r="BJ26" i="81"/>
  <c r="BF26" i="81"/>
  <c r="BB26" i="81"/>
  <c r="AX26" i="81"/>
  <c r="AT26" i="81"/>
  <c r="AP26" i="81"/>
  <c r="AL26" i="81"/>
  <c r="AF26" i="81"/>
  <c r="AD26" i="81"/>
  <c r="J26" i="81"/>
  <c r="K26" i="81" s="1"/>
  <c r="G26" i="81"/>
  <c r="CD25" i="81"/>
  <c r="BZ25" i="81"/>
  <c r="BV25" i="81"/>
  <c r="BR25" i="81"/>
  <c r="BR24" i="81" s="1"/>
  <c r="BN25" i="81"/>
  <c r="BN24" i="81" s="1"/>
  <c r="BJ25" i="81"/>
  <c r="BF25" i="81"/>
  <c r="BB25" i="81"/>
  <c r="AX25" i="81"/>
  <c r="AT25" i="81"/>
  <c r="AP25" i="81"/>
  <c r="AL25" i="81"/>
  <c r="AL24" i="81" s="1"/>
  <c r="AF25" i="81"/>
  <c r="AD25" i="81"/>
  <c r="J25" i="81"/>
  <c r="G25" i="81"/>
  <c r="BV24" i="81"/>
  <c r="AD24" i="81"/>
  <c r="CD23" i="81"/>
  <c r="BZ23" i="81"/>
  <c r="BV23" i="81"/>
  <c r="BR23" i="81"/>
  <c r="BN23" i="81"/>
  <c r="BJ23" i="81"/>
  <c r="BF23" i="81"/>
  <c r="BB23" i="81"/>
  <c r="AX23" i="81"/>
  <c r="AT23" i="81"/>
  <c r="AP23" i="81"/>
  <c r="AL23" i="81"/>
  <c r="AF23" i="81"/>
  <c r="AD23" i="81"/>
  <c r="J23" i="81"/>
  <c r="K23" i="81" s="1"/>
  <c r="G23" i="81"/>
  <c r="CD22" i="81"/>
  <c r="BZ22" i="81"/>
  <c r="BV22" i="81"/>
  <c r="BR22" i="81"/>
  <c r="BN22" i="81"/>
  <c r="BJ22" i="81"/>
  <c r="BF22" i="81"/>
  <c r="BB22" i="81"/>
  <c r="AX22" i="81"/>
  <c r="AT22" i="81"/>
  <c r="AP22" i="81"/>
  <c r="AL22" i="81"/>
  <c r="AH22" i="81"/>
  <c r="AG22" i="81" s="1"/>
  <c r="AF22" i="81"/>
  <c r="AD22" i="81"/>
  <c r="J22" i="81"/>
  <c r="K22" i="81" s="1"/>
  <c r="G22" i="81"/>
  <c r="CD21" i="81"/>
  <c r="BZ21" i="81"/>
  <c r="BV21" i="81"/>
  <c r="BR21" i="81"/>
  <c r="BN21" i="81"/>
  <c r="BJ21" i="81"/>
  <c r="BF21" i="81"/>
  <c r="BB21" i="81"/>
  <c r="AX21" i="81"/>
  <c r="AT21" i="81"/>
  <c r="AP21" i="81"/>
  <c r="AL21" i="81"/>
  <c r="AF21" i="81"/>
  <c r="AD21" i="81"/>
  <c r="J21" i="81"/>
  <c r="K21" i="81" s="1"/>
  <c r="G21" i="81"/>
  <c r="C21" i="81"/>
  <c r="CD20" i="81"/>
  <c r="BZ20" i="81"/>
  <c r="BV20" i="81"/>
  <c r="BR20" i="81"/>
  <c r="BN20" i="81"/>
  <c r="BJ20" i="81"/>
  <c r="BF20" i="81"/>
  <c r="BB20" i="81"/>
  <c r="AX20" i="81"/>
  <c r="AT20" i="81"/>
  <c r="AP20" i="81"/>
  <c r="AL20" i="81"/>
  <c r="AF20" i="81"/>
  <c r="AD20" i="81"/>
  <c r="J20" i="81"/>
  <c r="K20" i="81" s="1"/>
  <c r="G20" i="81"/>
  <c r="CD19" i="81"/>
  <c r="BZ19" i="81"/>
  <c r="BV19" i="81"/>
  <c r="BR19" i="81"/>
  <c r="BN19" i="81"/>
  <c r="BJ19" i="81"/>
  <c r="BF19" i="81"/>
  <c r="BB19" i="81"/>
  <c r="AX19" i="81"/>
  <c r="AT19" i="81"/>
  <c r="AP19" i="81"/>
  <c r="AL19" i="81"/>
  <c r="AH19" i="81" s="1"/>
  <c r="AG19" i="81" s="1"/>
  <c r="AF19" i="81"/>
  <c r="AD19" i="81"/>
  <c r="J19" i="81"/>
  <c r="K19" i="81" s="1"/>
  <c r="G19" i="81"/>
  <c r="CD18" i="81"/>
  <c r="BZ18" i="81"/>
  <c r="BV18" i="81"/>
  <c r="BR18" i="81"/>
  <c r="BN18" i="81"/>
  <c r="BJ18" i="81"/>
  <c r="BF18" i="81"/>
  <c r="BB18" i="81"/>
  <c r="AX18" i="81"/>
  <c r="AT18" i="81"/>
  <c r="AH18" i="81" s="1"/>
  <c r="AG18" i="81" s="1"/>
  <c r="AP18" i="81"/>
  <c r="AL18" i="81"/>
  <c r="AF18" i="81"/>
  <c r="AD18" i="81"/>
  <c r="J18" i="81"/>
  <c r="K18" i="81" s="1"/>
  <c r="G18" i="81"/>
  <c r="CD17" i="81"/>
  <c r="BZ17" i="81"/>
  <c r="BV17" i="81"/>
  <c r="BR17" i="81"/>
  <c r="BN17" i="81"/>
  <c r="BJ17" i="81"/>
  <c r="BF17" i="81"/>
  <c r="BB17" i="81"/>
  <c r="AX17" i="81"/>
  <c r="AT17" i="81"/>
  <c r="AP17" i="81"/>
  <c r="AL17" i="81"/>
  <c r="AF17" i="81"/>
  <c r="AD17" i="81"/>
  <c r="J17" i="81"/>
  <c r="K17" i="81" s="1"/>
  <c r="G17" i="81"/>
  <c r="CD16" i="81"/>
  <c r="BZ16" i="81"/>
  <c r="BV16" i="81"/>
  <c r="BR16" i="81"/>
  <c r="BN16" i="81"/>
  <c r="BJ16" i="81"/>
  <c r="BF16" i="81"/>
  <c r="BB16" i="81"/>
  <c r="AX16" i="81"/>
  <c r="AT16" i="81"/>
  <c r="AP16" i="81"/>
  <c r="AL16" i="81"/>
  <c r="AF16" i="81"/>
  <c r="AD16" i="81"/>
  <c r="J16" i="81"/>
  <c r="K16" i="81" s="1"/>
  <c r="G16" i="81"/>
  <c r="CD15" i="81"/>
  <c r="BZ15" i="81"/>
  <c r="BV15" i="81"/>
  <c r="BR15" i="81"/>
  <c r="BN15" i="81"/>
  <c r="BJ15" i="81"/>
  <c r="BF15" i="81"/>
  <c r="BB15" i="81"/>
  <c r="AX15" i="81"/>
  <c r="AT15" i="81"/>
  <c r="AP15" i="81"/>
  <c r="AL15" i="81"/>
  <c r="AH15" i="81"/>
  <c r="AG15" i="81"/>
  <c r="AF15" i="81"/>
  <c r="AD15" i="81"/>
  <c r="M15" i="81"/>
  <c r="J15" i="81"/>
  <c r="I15" i="81"/>
  <c r="G15" i="81"/>
  <c r="CD14" i="81"/>
  <c r="BZ14" i="81"/>
  <c r="BV14" i="81"/>
  <c r="BR14" i="81"/>
  <c r="BN14" i="81"/>
  <c r="BJ14" i="81"/>
  <c r="BF14" i="81"/>
  <c r="BB14" i="81"/>
  <c r="AX14" i="81"/>
  <c r="AT14" i="81"/>
  <c r="AP14" i="81"/>
  <c r="AL14" i="81"/>
  <c r="AF14" i="81"/>
  <c r="AD14" i="81"/>
  <c r="J14" i="81"/>
  <c r="G14" i="81"/>
  <c r="CD13" i="81"/>
  <c r="BZ13" i="81"/>
  <c r="BV13" i="81"/>
  <c r="BR13" i="81"/>
  <c r="BN13" i="81"/>
  <c r="BJ13" i="81"/>
  <c r="BF13" i="81"/>
  <c r="BB13" i="81"/>
  <c r="AX13" i="81"/>
  <c r="AT13" i="81"/>
  <c r="AP13" i="81"/>
  <c r="AL13" i="81"/>
  <c r="AH13" i="81" s="1"/>
  <c r="AG13" i="81" s="1"/>
  <c r="AF13" i="81"/>
  <c r="AD13" i="81"/>
  <c r="J13" i="81"/>
  <c r="K13" i="81" s="1"/>
  <c r="G13" i="81"/>
  <c r="CD12" i="81"/>
  <c r="CD11" i="81" s="1"/>
  <c r="BZ12" i="81"/>
  <c r="BV12" i="81"/>
  <c r="BR12" i="81"/>
  <c r="BN12" i="81"/>
  <c r="BJ12" i="81"/>
  <c r="AH12" i="81" s="1"/>
  <c r="BF12" i="81"/>
  <c r="BB12" i="81"/>
  <c r="AX12" i="81"/>
  <c r="AT12" i="81"/>
  <c r="AP12" i="81"/>
  <c r="AL12" i="81"/>
  <c r="AL11" i="81" s="1"/>
  <c r="AF12" i="81"/>
  <c r="AD12" i="81"/>
  <c r="M12" i="81"/>
  <c r="I12" i="81"/>
  <c r="G12" i="81"/>
  <c r="BF11" i="81"/>
  <c r="AD11" i="81"/>
  <c r="AF6" i="81"/>
  <c r="J3" i="81"/>
  <c r="M50" i="81" s="1"/>
  <c r="A3" i="81"/>
  <c r="C56" i="81" s="1"/>
  <c r="CD62" i="80"/>
  <c r="BZ62" i="80"/>
  <c r="BV62" i="80"/>
  <c r="BR62" i="80"/>
  <c r="BN62" i="80"/>
  <c r="BJ62" i="80"/>
  <c r="BF62" i="80"/>
  <c r="BB62" i="80"/>
  <c r="AX62" i="80"/>
  <c r="AT62" i="80"/>
  <c r="AP62" i="80"/>
  <c r="AL62" i="80"/>
  <c r="AH62" i="80" s="1"/>
  <c r="AG62" i="80" s="1"/>
  <c r="AF62" i="80"/>
  <c r="AD62" i="80"/>
  <c r="J62" i="80"/>
  <c r="G62" i="80"/>
  <c r="CD61" i="80"/>
  <c r="BZ61" i="80"/>
  <c r="BV61" i="80"/>
  <c r="BR61" i="80"/>
  <c r="BN61" i="80"/>
  <c r="BJ61" i="80"/>
  <c r="BF61" i="80"/>
  <c r="BB61" i="80"/>
  <c r="AX61" i="80"/>
  <c r="AT61" i="80"/>
  <c r="AP61" i="80"/>
  <c r="AL61" i="80"/>
  <c r="AH61" i="80" s="1"/>
  <c r="AG61" i="80" s="1"/>
  <c r="AF61" i="80"/>
  <c r="AD61" i="80"/>
  <c r="J61" i="80"/>
  <c r="G61" i="80"/>
  <c r="CD60" i="80"/>
  <c r="BZ60" i="80"/>
  <c r="BV60" i="80"/>
  <c r="BR60" i="80"/>
  <c r="BN60" i="80"/>
  <c r="BJ60" i="80"/>
  <c r="BF60" i="80"/>
  <c r="BB60" i="80"/>
  <c r="AX60" i="80"/>
  <c r="AT60" i="80"/>
  <c r="AH60" i="80" s="1"/>
  <c r="AG60" i="80" s="1"/>
  <c r="AP60" i="80"/>
  <c r="AL60" i="80"/>
  <c r="AF60" i="80"/>
  <c r="AD60" i="80"/>
  <c r="J60" i="80"/>
  <c r="G60" i="80"/>
  <c r="CD59" i="80"/>
  <c r="BZ59" i="80"/>
  <c r="BV59" i="80"/>
  <c r="BR59" i="80"/>
  <c r="BN59" i="80"/>
  <c r="BJ59" i="80"/>
  <c r="BF59" i="80"/>
  <c r="BB59" i="80"/>
  <c r="AX59" i="80"/>
  <c r="AT59" i="80"/>
  <c r="AP59" i="80"/>
  <c r="AH59" i="80" s="1"/>
  <c r="AG59" i="80" s="1"/>
  <c r="AL59" i="80"/>
  <c r="AF59" i="80"/>
  <c r="AD59" i="80"/>
  <c r="J59" i="80"/>
  <c r="G59" i="80"/>
  <c r="CD58" i="80"/>
  <c r="BZ58" i="80"/>
  <c r="BV58" i="80"/>
  <c r="BR58" i="80"/>
  <c r="BN58" i="80"/>
  <c r="BJ58" i="80"/>
  <c r="BF58" i="80"/>
  <c r="BB58" i="80"/>
  <c r="AX58" i="80"/>
  <c r="AT58" i="80"/>
  <c r="AP58" i="80"/>
  <c r="AL58" i="80"/>
  <c r="AH58" i="80" s="1"/>
  <c r="AG58" i="80" s="1"/>
  <c r="AF58" i="80"/>
  <c r="AD58" i="80"/>
  <c r="J58" i="80"/>
  <c r="G58" i="80"/>
  <c r="CD57" i="80"/>
  <c r="BZ57" i="80"/>
  <c r="BV57" i="80"/>
  <c r="BR57" i="80"/>
  <c r="BN57" i="80"/>
  <c r="BJ57" i="80"/>
  <c r="BF57" i="80"/>
  <c r="BB57" i="80"/>
  <c r="AX57" i="80"/>
  <c r="AT57" i="80"/>
  <c r="AP57" i="80"/>
  <c r="AL57" i="80"/>
  <c r="AH57" i="80" s="1"/>
  <c r="AG57" i="80" s="1"/>
  <c r="AF57" i="80"/>
  <c r="AD57" i="80"/>
  <c r="J57" i="80"/>
  <c r="G57" i="80"/>
  <c r="CD56" i="80"/>
  <c r="BZ56" i="80"/>
  <c r="BV56" i="80"/>
  <c r="BR56" i="80"/>
  <c r="BN56" i="80"/>
  <c r="AH56" i="80" s="1"/>
  <c r="AG56" i="80" s="1"/>
  <c r="BJ56" i="80"/>
  <c r="BF56" i="80"/>
  <c r="BB56" i="80"/>
  <c r="AX56" i="80"/>
  <c r="AT56" i="80"/>
  <c r="AP56" i="80"/>
  <c r="AL56" i="80"/>
  <c r="AF56" i="80"/>
  <c r="AD56" i="80"/>
  <c r="J56" i="80"/>
  <c r="G56" i="80"/>
  <c r="CD55" i="80"/>
  <c r="BZ55" i="80"/>
  <c r="BV55" i="80"/>
  <c r="BR55" i="80"/>
  <c r="BN55" i="80"/>
  <c r="BJ55" i="80"/>
  <c r="BF55" i="80"/>
  <c r="BB55" i="80"/>
  <c r="AX55" i="80"/>
  <c r="AT55" i="80"/>
  <c r="AT50" i="80" s="1"/>
  <c r="AP55" i="80"/>
  <c r="AL55" i="80"/>
  <c r="AL50" i="80" s="1"/>
  <c r="AH55" i="80"/>
  <c r="AG55" i="80"/>
  <c r="AF55" i="80"/>
  <c r="AD55" i="80"/>
  <c r="J55" i="80"/>
  <c r="G55" i="80"/>
  <c r="CD54" i="80"/>
  <c r="BZ54" i="80"/>
  <c r="BV54" i="80"/>
  <c r="BV50" i="80" s="1"/>
  <c r="BR54" i="80"/>
  <c r="BR50" i="80" s="1"/>
  <c r="BN54" i="80"/>
  <c r="BJ54" i="80"/>
  <c r="BF54" i="80"/>
  <c r="BB54" i="80"/>
  <c r="AX54" i="80"/>
  <c r="AT54" i="80"/>
  <c r="AP54" i="80"/>
  <c r="AL54" i="80"/>
  <c r="AH54" i="80" s="1"/>
  <c r="AG54" i="80" s="1"/>
  <c r="AF54" i="80"/>
  <c r="AD54" i="80"/>
  <c r="J54" i="80"/>
  <c r="G54" i="80"/>
  <c r="C54" i="80"/>
  <c r="CD53" i="80"/>
  <c r="BZ53" i="80"/>
  <c r="BV53" i="80"/>
  <c r="BR53" i="80"/>
  <c r="BN53" i="80"/>
  <c r="BJ53" i="80"/>
  <c r="BF53" i="80"/>
  <c r="BB53" i="80"/>
  <c r="AX53" i="80"/>
  <c r="AT53" i="80"/>
  <c r="AP53" i="80"/>
  <c r="AL53" i="80"/>
  <c r="AH53" i="80"/>
  <c r="AG53" i="80" s="1"/>
  <c r="AF53" i="80"/>
  <c r="AD53" i="80"/>
  <c r="J53" i="80"/>
  <c r="G53" i="80"/>
  <c r="CD52" i="80"/>
  <c r="BZ52" i="80"/>
  <c r="BV52" i="80"/>
  <c r="BR52" i="80"/>
  <c r="BN52" i="80"/>
  <c r="BJ52" i="80"/>
  <c r="BF52" i="80"/>
  <c r="BB52" i="80"/>
  <c r="BB50" i="80" s="1"/>
  <c r="AX52" i="80"/>
  <c r="AH52" i="80" s="1"/>
  <c r="AG52" i="80" s="1"/>
  <c r="AT52" i="80"/>
  <c r="AP52" i="80"/>
  <c r="AL52" i="80"/>
  <c r="AF52" i="80"/>
  <c r="AD52" i="80"/>
  <c r="J52" i="80"/>
  <c r="G52" i="80"/>
  <c r="CD51" i="80"/>
  <c r="CD50" i="80" s="1"/>
  <c r="BZ51" i="80"/>
  <c r="BZ50" i="80" s="1"/>
  <c r="BV51" i="80"/>
  <c r="BR51" i="80"/>
  <c r="BN51" i="80"/>
  <c r="BJ51" i="80"/>
  <c r="BF51" i="80"/>
  <c r="BF50" i="80" s="1"/>
  <c r="BB51" i="80"/>
  <c r="AX51" i="80"/>
  <c r="AT51" i="80"/>
  <c r="AP51" i="80"/>
  <c r="AP50" i="80" s="1"/>
  <c r="AL51" i="80"/>
  <c r="AF51" i="80"/>
  <c r="AD51" i="80"/>
  <c r="J51" i="80"/>
  <c r="G51" i="80"/>
  <c r="BJ50" i="80"/>
  <c r="AD50" i="80"/>
  <c r="CD49" i="80"/>
  <c r="BZ49" i="80"/>
  <c r="BV49" i="80"/>
  <c r="BR49" i="80"/>
  <c r="BN49" i="80"/>
  <c r="BJ49" i="80"/>
  <c r="BF49" i="80"/>
  <c r="BB49" i="80"/>
  <c r="AX49" i="80"/>
  <c r="AT49" i="80"/>
  <c r="AP49" i="80"/>
  <c r="AH49" i="80" s="1"/>
  <c r="AG49" i="80" s="1"/>
  <c r="AL49" i="80"/>
  <c r="AF49" i="80"/>
  <c r="AD49" i="80"/>
  <c r="J49" i="80"/>
  <c r="K49" i="80" s="1"/>
  <c r="G49" i="80"/>
  <c r="CD48" i="80"/>
  <c r="BZ48" i="80"/>
  <c r="BV48" i="80"/>
  <c r="BR48" i="80"/>
  <c r="AH48" i="80" s="1"/>
  <c r="AG48" i="80" s="1"/>
  <c r="BN48" i="80"/>
  <c r="BJ48" i="80"/>
  <c r="BF48" i="80"/>
  <c r="BB48" i="80"/>
  <c r="AX48" i="80"/>
  <c r="AT48" i="80"/>
  <c r="AP48" i="80"/>
  <c r="AL48" i="80"/>
  <c r="AF48" i="80"/>
  <c r="AD48" i="80"/>
  <c r="J48" i="80"/>
  <c r="K48" i="80" s="1"/>
  <c r="G48" i="80"/>
  <c r="CD47" i="80"/>
  <c r="BZ47" i="80"/>
  <c r="BV47" i="80"/>
  <c r="BR47" i="80"/>
  <c r="BN47" i="80"/>
  <c r="BJ47" i="80"/>
  <c r="BF47" i="80"/>
  <c r="BB47" i="80"/>
  <c r="AX47" i="80"/>
  <c r="AT47" i="80"/>
  <c r="AP47" i="80"/>
  <c r="AL47" i="80"/>
  <c r="AH47" i="80"/>
  <c r="AG47" i="80"/>
  <c r="AF47" i="80"/>
  <c r="AD47" i="80"/>
  <c r="J47" i="80"/>
  <c r="K47" i="80" s="1"/>
  <c r="G47" i="80"/>
  <c r="CD46" i="80"/>
  <c r="BZ46" i="80"/>
  <c r="BV46" i="80"/>
  <c r="BR46" i="80"/>
  <c r="BN46" i="80"/>
  <c r="BJ46" i="80"/>
  <c r="BF46" i="80"/>
  <c r="BF37" i="80" s="1"/>
  <c r="BB46" i="80"/>
  <c r="BB37" i="80" s="1"/>
  <c r="AX46" i="80"/>
  <c r="AT46" i="80"/>
  <c r="AP46" i="80"/>
  <c r="AL46" i="80"/>
  <c r="AH46" i="80" s="1"/>
  <c r="AG46" i="80" s="1"/>
  <c r="AF46" i="80"/>
  <c r="AD46" i="80"/>
  <c r="J46" i="80"/>
  <c r="K46" i="80" s="1"/>
  <c r="G46" i="80"/>
  <c r="CD45" i="80"/>
  <c r="BZ45" i="80"/>
  <c r="BV45" i="80"/>
  <c r="BR45" i="80"/>
  <c r="BN45" i="80"/>
  <c r="BJ45" i="80"/>
  <c r="BF45" i="80"/>
  <c r="BB45" i="80"/>
  <c r="AX45" i="80"/>
  <c r="AT45" i="80"/>
  <c r="AP45" i="80"/>
  <c r="AH45" i="80" s="1"/>
  <c r="AG45" i="80" s="1"/>
  <c r="AL45" i="80"/>
  <c r="AF45" i="80"/>
  <c r="AD45" i="80"/>
  <c r="J45" i="80"/>
  <c r="K45" i="80" s="1"/>
  <c r="G45" i="80"/>
  <c r="CD44" i="80"/>
  <c r="BZ44" i="80"/>
  <c r="BV44" i="80"/>
  <c r="BR44" i="80"/>
  <c r="BN44" i="80"/>
  <c r="BJ44" i="80"/>
  <c r="BF44" i="80"/>
  <c r="BB44" i="80"/>
  <c r="AX44" i="80"/>
  <c r="AT44" i="80"/>
  <c r="AP44" i="80"/>
  <c r="AL44" i="80"/>
  <c r="AH44" i="80" s="1"/>
  <c r="AG44" i="80" s="1"/>
  <c r="AF44" i="80"/>
  <c r="AD44" i="80"/>
  <c r="J44" i="80"/>
  <c r="K44" i="80" s="1"/>
  <c r="G44" i="80"/>
  <c r="CD43" i="80"/>
  <c r="BZ43" i="80"/>
  <c r="BV43" i="80"/>
  <c r="BR43" i="80"/>
  <c r="BN43" i="80"/>
  <c r="BJ43" i="80"/>
  <c r="BF43" i="80"/>
  <c r="BB43" i="80"/>
  <c r="AX43" i="80"/>
  <c r="AT43" i="80"/>
  <c r="AP43" i="80"/>
  <c r="AL43" i="80"/>
  <c r="AH43" i="80" s="1"/>
  <c r="AG43" i="80" s="1"/>
  <c r="AF43" i="80"/>
  <c r="AD43" i="80"/>
  <c r="J43" i="80"/>
  <c r="K43" i="80" s="1"/>
  <c r="G43" i="80"/>
  <c r="C43" i="80"/>
  <c r="CD42" i="80"/>
  <c r="BZ42" i="80"/>
  <c r="BV42" i="80"/>
  <c r="BR42" i="80"/>
  <c r="BN42" i="80"/>
  <c r="BJ42" i="80"/>
  <c r="BF42" i="80"/>
  <c r="BB42" i="80"/>
  <c r="AX42" i="80"/>
  <c r="AT42" i="80"/>
  <c r="AP42" i="80"/>
  <c r="AL42" i="80"/>
  <c r="AH42" i="80"/>
  <c r="AG42" i="80" s="1"/>
  <c r="AF42" i="80"/>
  <c r="AD42" i="80"/>
  <c r="J42" i="80"/>
  <c r="K42" i="80" s="1"/>
  <c r="G42" i="80"/>
  <c r="CD41" i="80"/>
  <c r="BZ41" i="80"/>
  <c r="BV41" i="80"/>
  <c r="BR41" i="80"/>
  <c r="BN41" i="80"/>
  <c r="BJ41" i="80"/>
  <c r="BF41" i="80"/>
  <c r="BB41" i="80"/>
  <c r="AX41" i="80"/>
  <c r="AT41" i="80"/>
  <c r="AP41" i="80"/>
  <c r="AH41" i="80" s="1"/>
  <c r="AG41" i="80" s="1"/>
  <c r="AL41" i="80"/>
  <c r="AF41" i="80"/>
  <c r="AD41" i="80"/>
  <c r="H41" i="80"/>
  <c r="G41" i="80"/>
  <c r="CD40" i="80"/>
  <c r="BZ40" i="80"/>
  <c r="BV40" i="80"/>
  <c r="BR40" i="80"/>
  <c r="BN40" i="80"/>
  <c r="BJ40" i="80"/>
  <c r="BF40" i="80"/>
  <c r="BB40" i="80"/>
  <c r="AX40" i="80"/>
  <c r="AT40" i="80"/>
  <c r="AP40" i="80"/>
  <c r="AL40" i="80"/>
  <c r="AH40" i="80" s="1"/>
  <c r="AG40" i="80" s="1"/>
  <c r="AF40" i="80"/>
  <c r="AD40" i="80"/>
  <c r="G40" i="80"/>
  <c r="CD39" i="80"/>
  <c r="BZ39" i="80"/>
  <c r="BV39" i="80"/>
  <c r="BR39" i="80"/>
  <c r="BN39" i="80"/>
  <c r="BJ39" i="80"/>
  <c r="BF39" i="80"/>
  <c r="BB39" i="80"/>
  <c r="AX39" i="80"/>
  <c r="AX37" i="80" s="1"/>
  <c r="AT39" i="80"/>
  <c r="AP39" i="80"/>
  <c r="AP37" i="80" s="1"/>
  <c r="AL39" i="80"/>
  <c r="AH39" i="80"/>
  <c r="AG39" i="80" s="1"/>
  <c r="AF39" i="80"/>
  <c r="AD39" i="80"/>
  <c r="H39" i="80"/>
  <c r="G39" i="80"/>
  <c r="CD38" i="80"/>
  <c r="CD37" i="80" s="1"/>
  <c r="BZ38" i="80"/>
  <c r="BZ37" i="80" s="1"/>
  <c r="BV38" i="80"/>
  <c r="BV37" i="80" s="1"/>
  <c r="BR38" i="80"/>
  <c r="BR37" i="80" s="1"/>
  <c r="BN38" i="80"/>
  <c r="BN37" i="80" s="1"/>
  <c r="BJ38" i="80"/>
  <c r="BJ37" i="80" s="1"/>
  <c r="BF38" i="80"/>
  <c r="BB38" i="80"/>
  <c r="AX38" i="80"/>
  <c r="AT38" i="80"/>
  <c r="AT37" i="80" s="1"/>
  <c r="AP38" i="80"/>
  <c r="AL38" i="80"/>
  <c r="AH38" i="80" s="1"/>
  <c r="AF38" i="80"/>
  <c r="AD38" i="80"/>
  <c r="G38" i="80"/>
  <c r="C38" i="80"/>
  <c r="AD37" i="80"/>
  <c r="C37" i="80"/>
  <c r="CD36" i="80"/>
  <c r="BZ36" i="80"/>
  <c r="BV36" i="80"/>
  <c r="BR36" i="80"/>
  <c r="BN36" i="80"/>
  <c r="BJ36" i="80"/>
  <c r="BF36" i="80"/>
  <c r="BB36" i="80"/>
  <c r="AX36" i="80"/>
  <c r="AT36" i="80"/>
  <c r="AP36" i="80"/>
  <c r="AL36" i="80"/>
  <c r="AH36" i="80"/>
  <c r="AG36" i="80" s="1"/>
  <c r="AF36" i="80"/>
  <c r="AD36" i="80"/>
  <c r="J36" i="80"/>
  <c r="K36" i="80" s="1"/>
  <c r="G36" i="80"/>
  <c r="CD35" i="80"/>
  <c r="BZ35" i="80"/>
  <c r="BV35" i="80"/>
  <c r="BR35" i="80"/>
  <c r="BN35" i="80"/>
  <c r="BJ35" i="80"/>
  <c r="BF35" i="80"/>
  <c r="BB35" i="80"/>
  <c r="AX35" i="80"/>
  <c r="AT35" i="80"/>
  <c r="AP35" i="80"/>
  <c r="AH35" i="80" s="1"/>
  <c r="AG35" i="80" s="1"/>
  <c r="AL35" i="80"/>
  <c r="AF35" i="80"/>
  <c r="AD35" i="80"/>
  <c r="J35" i="80"/>
  <c r="K35" i="80" s="1"/>
  <c r="G35" i="80"/>
  <c r="CD34" i="80"/>
  <c r="BZ34" i="80"/>
  <c r="BV34" i="80"/>
  <c r="BR34" i="80"/>
  <c r="AH34" i="80" s="1"/>
  <c r="AG34" i="80" s="1"/>
  <c r="BN34" i="80"/>
  <c r="BJ34" i="80"/>
  <c r="BF34" i="80"/>
  <c r="BB34" i="80"/>
  <c r="AX34" i="80"/>
  <c r="AT34" i="80"/>
  <c r="AP34" i="80"/>
  <c r="AL34" i="80"/>
  <c r="AF34" i="80"/>
  <c r="AD34" i="80"/>
  <c r="J34" i="80"/>
  <c r="K34" i="80" s="1"/>
  <c r="G34" i="80"/>
  <c r="CD33" i="80"/>
  <c r="BZ33" i="80"/>
  <c r="BV33" i="80"/>
  <c r="BR33" i="80"/>
  <c r="BN33" i="80"/>
  <c r="BJ33" i="80"/>
  <c r="BF33" i="80"/>
  <c r="BB33" i="80"/>
  <c r="AX33" i="80"/>
  <c r="AT33" i="80"/>
  <c r="AP33" i="80"/>
  <c r="AL33" i="80"/>
  <c r="AH33" i="80"/>
  <c r="AG33" i="80"/>
  <c r="AF33" i="80"/>
  <c r="AD33" i="80"/>
  <c r="J33" i="80"/>
  <c r="K33" i="80" s="1"/>
  <c r="G33" i="80"/>
  <c r="CD32" i="80"/>
  <c r="BZ32" i="80"/>
  <c r="BV32" i="80"/>
  <c r="BR32" i="80"/>
  <c r="BN32" i="80"/>
  <c r="BJ32" i="80"/>
  <c r="BF32" i="80"/>
  <c r="BB32" i="80"/>
  <c r="AX32" i="80"/>
  <c r="AT32" i="80"/>
  <c r="AP32" i="80"/>
  <c r="AL32" i="80"/>
  <c r="AH32" i="80" s="1"/>
  <c r="AG32" i="80" s="1"/>
  <c r="AF32" i="80"/>
  <c r="AD32" i="80"/>
  <c r="J32" i="80"/>
  <c r="K32" i="80" s="1"/>
  <c r="G32" i="80"/>
  <c r="CD31" i="80"/>
  <c r="BZ31" i="80"/>
  <c r="BV31" i="80"/>
  <c r="BR31" i="80"/>
  <c r="BN31" i="80"/>
  <c r="BJ31" i="80"/>
  <c r="BF31" i="80"/>
  <c r="BB31" i="80"/>
  <c r="AX31" i="80"/>
  <c r="AT31" i="80"/>
  <c r="AP31" i="80"/>
  <c r="AL31" i="80"/>
  <c r="AH31" i="80" s="1"/>
  <c r="AG31" i="80" s="1"/>
  <c r="AF31" i="80"/>
  <c r="AD31" i="80"/>
  <c r="J31" i="80"/>
  <c r="K31" i="80" s="1"/>
  <c r="G31" i="80"/>
  <c r="CD30" i="80"/>
  <c r="BZ30" i="80"/>
  <c r="BV30" i="80"/>
  <c r="BR30" i="80"/>
  <c r="BN30" i="80"/>
  <c r="BJ30" i="80"/>
  <c r="BF30" i="80"/>
  <c r="BB30" i="80"/>
  <c r="AX30" i="80"/>
  <c r="AT30" i="80"/>
  <c r="AT24" i="80" s="1"/>
  <c r="AP30" i="80"/>
  <c r="AP24" i="80" s="1"/>
  <c r="AL30" i="80"/>
  <c r="AH30" i="80" s="1"/>
  <c r="AG30" i="80" s="1"/>
  <c r="AF30" i="80"/>
  <c r="AD30" i="80"/>
  <c r="J30" i="80"/>
  <c r="K30" i="80" s="1"/>
  <c r="G30" i="80"/>
  <c r="CD29" i="80"/>
  <c r="BZ29" i="80"/>
  <c r="BV29" i="80"/>
  <c r="BR29" i="80"/>
  <c r="BR24" i="80" s="1"/>
  <c r="BN29" i="80"/>
  <c r="AH29" i="80" s="1"/>
  <c r="AG29" i="80" s="1"/>
  <c r="BJ29" i="80"/>
  <c r="BF29" i="80"/>
  <c r="BB29" i="80"/>
  <c r="AX29" i="80"/>
  <c r="AT29" i="80"/>
  <c r="AP29" i="80"/>
  <c r="AL29" i="80"/>
  <c r="AF29" i="80"/>
  <c r="AD29" i="80"/>
  <c r="J29" i="80"/>
  <c r="K29" i="80" s="1"/>
  <c r="G29" i="80"/>
  <c r="CD28" i="80"/>
  <c r="BZ28" i="80"/>
  <c r="BV28" i="80"/>
  <c r="BR28" i="80"/>
  <c r="BN28" i="80"/>
  <c r="BJ28" i="80"/>
  <c r="BF28" i="80"/>
  <c r="BB28" i="80"/>
  <c r="AX28" i="80"/>
  <c r="AT28" i="80"/>
  <c r="AP28" i="80"/>
  <c r="AL28" i="80"/>
  <c r="AH28" i="80" s="1"/>
  <c r="AG28" i="80" s="1"/>
  <c r="AF28" i="80"/>
  <c r="AD28" i="80"/>
  <c r="J28" i="80"/>
  <c r="K28" i="80" s="1"/>
  <c r="G28" i="80"/>
  <c r="CD27" i="80"/>
  <c r="BZ27" i="80"/>
  <c r="BV27" i="80"/>
  <c r="BR27" i="80"/>
  <c r="BN27" i="80"/>
  <c r="BJ27" i="80"/>
  <c r="BF27" i="80"/>
  <c r="BB27" i="80"/>
  <c r="BB24" i="80" s="1"/>
  <c r="AX27" i="80"/>
  <c r="AH27" i="80" s="1"/>
  <c r="AG27" i="80" s="1"/>
  <c r="AT27" i="80"/>
  <c r="AP27" i="80"/>
  <c r="AL27" i="80"/>
  <c r="AF27" i="80"/>
  <c r="AD27" i="80"/>
  <c r="J27" i="80"/>
  <c r="K27" i="80" s="1"/>
  <c r="G27" i="80"/>
  <c r="CD26" i="80"/>
  <c r="BZ26" i="80"/>
  <c r="BZ24" i="80" s="1"/>
  <c r="BV26" i="80"/>
  <c r="BV24" i="80" s="1"/>
  <c r="BR26" i="80"/>
  <c r="BN26" i="80"/>
  <c r="BJ26" i="80"/>
  <c r="BF26" i="80"/>
  <c r="BB26" i="80"/>
  <c r="AX26" i="80"/>
  <c r="AT26" i="80"/>
  <c r="AP26" i="80"/>
  <c r="AL26" i="80"/>
  <c r="AH26" i="80" s="1"/>
  <c r="AG26" i="80" s="1"/>
  <c r="AF26" i="80"/>
  <c r="AD26" i="80"/>
  <c r="J26" i="80"/>
  <c r="K26" i="80" s="1"/>
  <c r="G26" i="80"/>
  <c r="CD25" i="80"/>
  <c r="CD24" i="80" s="1"/>
  <c r="BZ25" i="80"/>
  <c r="BV25" i="80"/>
  <c r="BR25" i="80"/>
  <c r="BN25" i="80"/>
  <c r="BN24" i="80" s="1"/>
  <c r="BJ25" i="80"/>
  <c r="BJ24" i="80" s="1"/>
  <c r="BF25" i="80"/>
  <c r="BF24" i="80" s="1"/>
  <c r="BB25" i="80"/>
  <c r="AX25" i="80"/>
  <c r="AX24" i="80" s="1"/>
  <c r="AT25" i="80"/>
  <c r="AP25" i="80"/>
  <c r="AL25" i="80"/>
  <c r="AL24" i="80" s="1"/>
  <c r="AH25" i="80"/>
  <c r="AF25" i="80"/>
  <c r="AD25" i="80"/>
  <c r="J25" i="80"/>
  <c r="G25" i="80"/>
  <c r="AD24" i="80"/>
  <c r="CD23" i="80"/>
  <c r="BZ23" i="80"/>
  <c r="BV23" i="80"/>
  <c r="BR23" i="80"/>
  <c r="BN23" i="80"/>
  <c r="BJ23" i="80"/>
  <c r="BF23" i="80"/>
  <c r="BB23" i="80"/>
  <c r="AX23" i="80"/>
  <c r="AT23" i="80"/>
  <c r="AP23" i="80"/>
  <c r="AL23" i="80"/>
  <c r="AH23" i="80" s="1"/>
  <c r="AG23" i="80" s="1"/>
  <c r="AF23" i="80"/>
  <c r="AD23" i="80"/>
  <c r="J23" i="80"/>
  <c r="K23" i="80" s="1"/>
  <c r="G23" i="80"/>
  <c r="CD22" i="80"/>
  <c r="BZ22" i="80"/>
  <c r="BV22" i="80"/>
  <c r="BR22" i="80"/>
  <c r="BN22" i="80"/>
  <c r="BJ22" i="80"/>
  <c r="BF22" i="80"/>
  <c r="BB22" i="80"/>
  <c r="AX22" i="80"/>
  <c r="AT22" i="80"/>
  <c r="AP22" i="80"/>
  <c r="AL22" i="80"/>
  <c r="AH22" i="80" s="1"/>
  <c r="AG22" i="80" s="1"/>
  <c r="AF22" i="80"/>
  <c r="AD22" i="80"/>
  <c r="J22" i="80"/>
  <c r="K22" i="80" s="1"/>
  <c r="G22" i="80"/>
  <c r="CD21" i="80"/>
  <c r="BZ21" i="80"/>
  <c r="BV21" i="80"/>
  <c r="BR21" i="80"/>
  <c r="BN21" i="80"/>
  <c r="BJ21" i="80"/>
  <c r="BF21" i="80"/>
  <c r="BB21" i="80"/>
  <c r="AX21" i="80"/>
  <c r="AT21" i="80"/>
  <c r="AP21" i="80"/>
  <c r="AL21" i="80"/>
  <c r="AH21" i="80" s="1"/>
  <c r="AG21" i="80" s="1"/>
  <c r="AF21" i="80"/>
  <c r="AD21" i="80"/>
  <c r="J21" i="80"/>
  <c r="K21" i="80" s="1"/>
  <c r="G21" i="80"/>
  <c r="C21" i="80"/>
  <c r="CD20" i="80"/>
  <c r="BZ20" i="80"/>
  <c r="BV20" i="80"/>
  <c r="BR20" i="80"/>
  <c r="BN20" i="80"/>
  <c r="BJ20" i="80"/>
  <c r="BF20" i="80"/>
  <c r="BB20" i="80"/>
  <c r="AX20" i="80"/>
  <c r="AT20" i="80"/>
  <c r="AH20" i="80" s="1"/>
  <c r="AG20" i="80" s="1"/>
  <c r="AP20" i="80"/>
  <c r="AL20" i="80"/>
  <c r="AF20" i="80"/>
  <c r="AD20" i="80"/>
  <c r="J20" i="80"/>
  <c r="K20" i="80" s="1"/>
  <c r="G20" i="80"/>
  <c r="CD19" i="80"/>
  <c r="BZ19" i="80"/>
  <c r="BV19" i="80"/>
  <c r="BR19" i="80"/>
  <c r="BN19" i="80"/>
  <c r="BJ19" i="80"/>
  <c r="BF19" i="80"/>
  <c r="BB19" i="80"/>
  <c r="AX19" i="80"/>
  <c r="AT19" i="80"/>
  <c r="AP19" i="80"/>
  <c r="AH19" i="80" s="1"/>
  <c r="AG19" i="80" s="1"/>
  <c r="AL19" i="80"/>
  <c r="AF19" i="80"/>
  <c r="AD19" i="80"/>
  <c r="J19" i="80"/>
  <c r="K19" i="80" s="1"/>
  <c r="G19" i="80"/>
  <c r="CD18" i="80"/>
  <c r="BZ18" i="80"/>
  <c r="BV18" i="80"/>
  <c r="BR18" i="80"/>
  <c r="BN18" i="80"/>
  <c r="BJ18" i="80"/>
  <c r="BF18" i="80"/>
  <c r="BB18" i="80"/>
  <c r="AX18" i="80"/>
  <c r="AT18" i="80"/>
  <c r="AP18" i="80"/>
  <c r="AL18" i="80"/>
  <c r="AH18" i="80" s="1"/>
  <c r="AG18" i="80" s="1"/>
  <c r="AF18" i="80"/>
  <c r="AD18" i="80"/>
  <c r="J18" i="80"/>
  <c r="K18" i="80" s="1"/>
  <c r="G18" i="80"/>
  <c r="CD17" i="80"/>
  <c r="BZ17" i="80"/>
  <c r="BV17" i="80"/>
  <c r="BR17" i="80"/>
  <c r="BN17" i="80"/>
  <c r="BJ17" i="80"/>
  <c r="BF17" i="80"/>
  <c r="BB17" i="80"/>
  <c r="AX17" i="80"/>
  <c r="AT17" i="80"/>
  <c r="AP17" i="80"/>
  <c r="AL17" i="80"/>
  <c r="AH17" i="80" s="1"/>
  <c r="AG17" i="80" s="1"/>
  <c r="AF17" i="80"/>
  <c r="AD17" i="80"/>
  <c r="J17" i="80"/>
  <c r="K17" i="80" s="1"/>
  <c r="G17" i="80"/>
  <c r="CD16" i="80"/>
  <c r="BZ16" i="80"/>
  <c r="BV16" i="80"/>
  <c r="BR16" i="80"/>
  <c r="BN16" i="80"/>
  <c r="AH16" i="80" s="1"/>
  <c r="AG16" i="80" s="1"/>
  <c r="BJ16" i="80"/>
  <c r="BF16" i="80"/>
  <c r="BB16" i="80"/>
  <c r="AX16" i="80"/>
  <c r="AT16" i="80"/>
  <c r="AP16" i="80"/>
  <c r="AL16" i="80"/>
  <c r="AF16" i="80"/>
  <c r="AD16" i="80"/>
  <c r="J16" i="80"/>
  <c r="K16" i="80" s="1"/>
  <c r="G16" i="80"/>
  <c r="CD15" i="80"/>
  <c r="BZ15" i="80"/>
  <c r="BV15" i="80"/>
  <c r="BR15" i="80"/>
  <c r="BN15" i="80"/>
  <c r="BJ15" i="80"/>
  <c r="BF15" i="80"/>
  <c r="BB15" i="80"/>
  <c r="AX15" i="80"/>
  <c r="AT15" i="80"/>
  <c r="AP15" i="80"/>
  <c r="AL15" i="80"/>
  <c r="AH15" i="80"/>
  <c r="AG15" i="80"/>
  <c r="AF15" i="80"/>
  <c r="AD15" i="80"/>
  <c r="M15" i="80"/>
  <c r="J15" i="80"/>
  <c r="I15" i="80"/>
  <c r="O15" i="80" s="1"/>
  <c r="G15" i="80"/>
  <c r="CD14" i="80"/>
  <c r="CD11" i="80" s="1"/>
  <c r="BZ14" i="80"/>
  <c r="BV14" i="80"/>
  <c r="BR14" i="80"/>
  <c r="BN14" i="80"/>
  <c r="AH14" i="80" s="1"/>
  <c r="AG14" i="80" s="1"/>
  <c r="BJ14" i="80"/>
  <c r="BF14" i="80"/>
  <c r="BB14" i="80"/>
  <c r="AX14" i="80"/>
  <c r="AT14" i="80"/>
  <c r="AP14" i="80"/>
  <c r="AL14" i="80"/>
  <c r="AF14" i="80"/>
  <c r="AD14" i="80"/>
  <c r="J14" i="80"/>
  <c r="I14" i="80"/>
  <c r="G14" i="80"/>
  <c r="CD13" i="80"/>
  <c r="BZ13" i="80"/>
  <c r="BV13" i="80"/>
  <c r="BR13" i="80"/>
  <c r="BN13" i="80"/>
  <c r="BJ13" i="80"/>
  <c r="BF13" i="80"/>
  <c r="BB13" i="80"/>
  <c r="BB11" i="80" s="1"/>
  <c r="AX13" i="80"/>
  <c r="AX11" i="80" s="1"/>
  <c r="AT13" i="80"/>
  <c r="AP13" i="80"/>
  <c r="AP11" i="80" s="1"/>
  <c r="AL13" i="80"/>
  <c r="AL11" i="80" s="1"/>
  <c r="AH13" i="80"/>
  <c r="AG13" i="80" s="1"/>
  <c r="AF13" i="80"/>
  <c r="AD13" i="80"/>
  <c r="J13" i="80"/>
  <c r="K13" i="80" s="1"/>
  <c r="G13" i="80"/>
  <c r="CD12" i="80"/>
  <c r="BZ12" i="80"/>
  <c r="BZ11" i="80" s="1"/>
  <c r="BV12" i="80"/>
  <c r="BV11" i="80" s="1"/>
  <c r="BR12" i="80"/>
  <c r="BR11" i="80" s="1"/>
  <c r="BN12" i="80"/>
  <c r="BN11" i="80" s="1"/>
  <c r="BJ12" i="80"/>
  <c r="BJ11" i="80" s="1"/>
  <c r="BF12" i="80"/>
  <c r="BB12" i="80"/>
  <c r="AX12" i="80"/>
  <c r="AT12" i="80"/>
  <c r="AT11" i="80" s="1"/>
  <c r="AP12" i="80"/>
  <c r="AL12" i="80"/>
  <c r="AH12" i="80" s="1"/>
  <c r="AF12" i="80"/>
  <c r="AD12" i="80"/>
  <c r="M12" i="80"/>
  <c r="I12" i="80"/>
  <c r="G12" i="80"/>
  <c r="BF11" i="80"/>
  <c r="AD11" i="80"/>
  <c r="AF6" i="80"/>
  <c r="J3" i="80"/>
  <c r="M50" i="80" s="1"/>
  <c r="A3" i="80"/>
  <c r="C56" i="80" s="1"/>
  <c r="D36" i="3"/>
  <c r="J12" i="81" s="1"/>
  <c r="B6" i="67"/>
  <c r="N2001" i="2"/>
  <c r="M2001" i="2"/>
  <c r="L2001" i="2"/>
  <c r="N2000" i="2"/>
  <c r="M2000" i="2"/>
  <c r="L2000" i="2"/>
  <c r="N1999" i="2"/>
  <c r="M1999" i="2"/>
  <c r="L1999" i="2"/>
  <c r="N1998" i="2"/>
  <c r="M1998" i="2"/>
  <c r="L1998" i="2"/>
  <c r="N1997" i="2"/>
  <c r="M1997" i="2"/>
  <c r="L1997" i="2"/>
  <c r="N1996" i="2"/>
  <c r="M1996" i="2"/>
  <c r="L1996" i="2"/>
  <c r="N1995" i="2"/>
  <c r="M1995" i="2"/>
  <c r="L1995" i="2"/>
  <c r="N1994" i="2"/>
  <c r="M1994" i="2"/>
  <c r="L1994" i="2"/>
  <c r="N1993" i="2"/>
  <c r="M1993" i="2"/>
  <c r="L1993" i="2"/>
  <c r="N1992" i="2"/>
  <c r="M1992" i="2"/>
  <c r="L1992" i="2"/>
  <c r="N1991" i="2"/>
  <c r="M1991" i="2"/>
  <c r="L1991" i="2"/>
  <c r="N1990" i="2"/>
  <c r="M1990" i="2"/>
  <c r="L1990" i="2"/>
  <c r="N1989" i="2"/>
  <c r="M1989" i="2"/>
  <c r="L1989" i="2"/>
  <c r="N1988" i="2"/>
  <c r="M1988" i="2"/>
  <c r="L1988" i="2"/>
  <c r="N1987" i="2"/>
  <c r="M1987" i="2"/>
  <c r="L1987" i="2"/>
  <c r="N1986" i="2"/>
  <c r="M1986" i="2"/>
  <c r="L1986" i="2"/>
  <c r="N1985" i="2"/>
  <c r="M1985" i="2"/>
  <c r="L1985" i="2"/>
  <c r="N1984" i="2"/>
  <c r="M1984" i="2"/>
  <c r="L1984" i="2"/>
  <c r="N1983" i="2"/>
  <c r="M1983" i="2"/>
  <c r="L1983" i="2"/>
  <c r="N1982" i="2"/>
  <c r="M1982" i="2"/>
  <c r="L1982" i="2"/>
  <c r="N1981" i="2"/>
  <c r="M1981" i="2"/>
  <c r="L1981" i="2"/>
  <c r="N1980" i="2"/>
  <c r="M1980" i="2"/>
  <c r="L1980" i="2"/>
  <c r="N1979" i="2"/>
  <c r="M1979" i="2"/>
  <c r="L1979" i="2"/>
  <c r="N1978" i="2"/>
  <c r="M1978" i="2"/>
  <c r="L1978" i="2"/>
  <c r="N1977" i="2"/>
  <c r="M1977" i="2"/>
  <c r="L1977" i="2"/>
  <c r="N1976" i="2"/>
  <c r="M1976" i="2"/>
  <c r="L1976" i="2"/>
  <c r="N1975" i="2"/>
  <c r="M1975" i="2"/>
  <c r="L1975" i="2"/>
  <c r="N1974" i="2"/>
  <c r="M1974" i="2"/>
  <c r="L1974" i="2"/>
  <c r="N1973" i="2"/>
  <c r="M1973" i="2"/>
  <c r="L1973" i="2"/>
  <c r="N1972" i="2"/>
  <c r="M1972" i="2"/>
  <c r="L1972" i="2"/>
  <c r="N1971" i="2"/>
  <c r="M1971" i="2"/>
  <c r="L1971" i="2"/>
  <c r="N1970" i="2"/>
  <c r="M1970" i="2"/>
  <c r="L1970" i="2"/>
  <c r="N1969" i="2"/>
  <c r="M1969" i="2"/>
  <c r="L1969" i="2"/>
  <c r="N1968" i="2"/>
  <c r="M1968" i="2"/>
  <c r="L1968" i="2"/>
  <c r="N1967" i="2"/>
  <c r="M1967" i="2"/>
  <c r="L1967" i="2"/>
  <c r="N1966" i="2"/>
  <c r="M1966" i="2"/>
  <c r="L1966" i="2"/>
  <c r="N1965" i="2"/>
  <c r="M1965" i="2"/>
  <c r="L1965" i="2"/>
  <c r="N1964" i="2"/>
  <c r="M1964" i="2"/>
  <c r="L1964" i="2"/>
  <c r="N1963" i="2"/>
  <c r="M1963" i="2"/>
  <c r="L1963" i="2"/>
  <c r="N1962" i="2"/>
  <c r="M1962" i="2"/>
  <c r="L1962" i="2"/>
  <c r="N1961" i="2"/>
  <c r="M1961" i="2"/>
  <c r="L1961" i="2"/>
  <c r="N1960" i="2"/>
  <c r="M1960" i="2"/>
  <c r="L1960" i="2"/>
  <c r="N1959" i="2"/>
  <c r="M1959" i="2"/>
  <c r="L1959" i="2"/>
  <c r="N1958" i="2"/>
  <c r="M1958" i="2"/>
  <c r="L1958" i="2"/>
  <c r="N1957" i="2"/>
  <c r="M1957" i="2"/>
  <c r="L1957" i="2"/>
  <c r="N1956" i="2"/>
  <c r="M1956" i="2"/>
  <c r="L1956" i="2"/>
  <c r="N1955" i="2"/>
  <c r="M1955" i="2"/>
  <c r="L1955" i="2"/>
  <c r="N1954" i="2"/>
  <c r="M1954" i="2"/>
  <c r="L1954" i="2"/>
  <c r="N1953" i="2"/>
  <c r="M1953" i="2"/>
  <c r="L1953" i="2"/>
  <c r="N1952" i="2"/>
  <c r="M1952" i="2"/>
  <c r="L1952" i="2"/>
  <c r="N1951" i="2"/>
  <c r="M1951" i="2"/>
  <c r="L1951" i="2"/>
  <c r="N1950" i="2"/>
  <c r="M1950" i="2"/>
  <c r="L1950" i="2"/>
  <c r="N1949" i="2"/>
  <c r="M1949" i="2"/>
  <c r="L1949" i="2"/>
  <c r="N1948" i="2"/>
  <c r="M1948" i="2"/>
  <c r="L1948" i="2"/>
  <c r="N1947" i="2"/>
  <c r="M1947" i="2"/>
  <c r="L1947" i="2"/>
  <c r="N1946" i="2"/>
  <c r="M1946" i="2"/>
  <c r="L1946" i="2"/>
  <c r="N1945" i="2"/>
  <c r="M1945" i="2"/>
  <c r="L1945" i="2"/>
  <c r="N1944" i="2"/>
  <c r="M1944" i="2"/>
  <c r="L1944" i="2"/>
  <c r="N1943" i="2"/>
  <c r="M1943" i="2"/>
  <c r="L1943" i="2"/>
  <c r="N1942" i="2"/>
  <c r="M1942" i="2"/>
  <c r="L1942" i="2"/>
  <c r="N1941" i="2"/>
  <c r="M1941" i="2"/>
  <c r="L1941" i="2"/>
  <c r="N1940" i="2"/>
  <c r="M1940" i="2"/>
  <c r="L1940" i="2"/>
  <c r="N1939" i="2"/>
  <c r="M1939" i="2"/>
  <c r="L1939" i="2"/>
  <c r="N1938" i="2"/>
  <c r="M1938" i="2"/>
  <c r="L1938" i="2"/>
  <c r="N1937" i="2"/>
  <c r="M1937" i="2"/>
  <c r="L1937" i="2"/>
  <c r="N1936" i="2"/>
  <c r="M1936" i="2"/>
  <c r="L1936" i="2"/>
  <c r="N1935" i="2"/>
  <c r="M1935" i="2"/>
  <c r="L1935" i="2"/>
  <c r="N1934" i="2"/>
  <c r="M1934" i="2"/>
  <c r="L1934" i="2"/>
  <c r="N1933" i="2"/>
  <c r="M1933" i="2"/>
  <c r="L1933" i="2"/>
  <c r="N1932" i="2"/>
  <c r="M1932" i="2"/>
  <c r="L1932" i="2"/>
  <c r="N1931" i="2"/>
  <c r="M1931" i="2"/>
  <c r="L1931" i="2"/>
  <c r="N1930" i="2"/>
  <c r="M1930" i="2"/>
  <c r="L1930" i="2"/>
  <c r="N1929" i="2"/>
  <c r="M1929" i="2"/>
  <c r="L1929" i="2"/>
  <c r="N1928" i="2"/>
  <c r="M1928" i="2"/>
  <c r="L1928" i="2"/>
  <c r="N1927" i="2"/>
  <c r="M1927" i="2"/>
  <c r="L1927" i="2"/>
  <c r="N1926" i="2"/>
  <c r="M1926" i="2"/>
  <c r="L1926" i="2"/>
  <c r="N1925" i="2"/>
  <c r="M1925" i="2"/>
  <c r="L1925" i="2"/>
  <c r="N1924" i="2"/>
  <c r="M1924" i="2"/>
  <c r="L1924" i="2"/>
  <c r="N1923" i="2"/>
  <c r="M1923" i="2"/>
  <c r="L1923" i="2"/>
  <c r="N1922" i="2"/>
  <c r="M1922" i="2"/>
  <c r="L1922" i="2"/>
  <c r="N1921" i="2"/>
  <c r="M1921" i="2"/>
  <c r="L1921" i="2"/>
  <c r="N1920" i="2"/>
  <c r="M1920" i="2"/>
  <c r="L1920" i="2"/>
  <c r="N1919" i="2"/>
  <c r="M1919" i="2"/>
  <c r="L1919" i="2"/>
  <c r="N1918" i="2"/>
  <c r="M1918" i="2"/>
  <c r="L1918" i="2"/>
  <c r="N1917" i="2"/>
  <c r="M1917" i="2"/>
  <c r="L1917" i="2"/>
  <c r="N1916" i="2"/>
  <c r="M1916" i="2"/>
  <c r="L1916" i="2"/>
  <c r="N1915" i="2"/>
  <c r="M1915" i="2"/>
  <c r="L1915" i="2"/>
  <c r="N1914" i="2"/>
  <c r="M1914" i="2"/>
  <c r="L1914" i="2"/>
  <c r="N1913" i="2"/>
  <c r="M1913" i="2"/>
  <c r="L1913" i="2"/>
  <c r="N1912" i="2"/>
  <c r="M1912" i="2"/>
  <c r="L1912" i="2"/>
  <c r="N1911" i="2"/>
  <c r="M1911" i="2"/>
  <c r="L1911" i="2"/>
  <c r="N1910" i="2"/>
  <c r="M1910" i="2"/>
  <c r="L1910" i="2"/>
  <c r="N1909" i="2"/>
  <c r="M1909" i="2"/>
  <c r="L1909" i="2"/>
  <c r="N1908" i="2"/>
  <c r="M1908" i="2"/>
  <c r="L1908" i="2"/>
  <c r="N1907" i="2"/>
  <c r="M1907" i="2"/>
  <c r="L1907" i="2"/>
  <c r="N1906" i="2"/>
  <c r="M1906" i="2"/>
  <c r="L1906" i="2"/>
  <c r="N1905" i="2"/>
  <c r="M1905" i="2"/>
  <c r="L1905" i="2"/>
  <c r="N1904" i="2"/>
  <c r="M1904" i="2"/>
  <c r="L1904" i="2"/>
  <c r="N1903" i="2"/>
  <c r="M1903" i="2"/>
  <c r="L1903" i="2"/>
  <c r="N1902" i="2"/>
  <c r="M1902" i="2"/>
  <c r="L1902" i="2"/>
  <c r="N1901" i="2"/>
  <c r="M1901" i="2"/>
  <c r="L1901" i="2"/>
  <c r="N1900" i="2"/>
  <c r="M1900" i="2"/>
  <c r="L1900" i="2"/>
  <c r="N1899" i="2"/>
  <c r="M1899" i="2"/>
  <c r="L1899" i="2"/>
  <c r="N1898" i="2"/>
  <c r="M1898" i="2"/>
  <c r="L1898" i="2"/>
  <c r="N1897" i="2"/>
  <c r="M1897" i="2"/>
  <c r="L1897" i="2"/>
  <c r="N1896" i="2"/>
  <c r="M1896" i="2"/>
  <c r="L1896" i="2"/>
  <c r="N1895" i="2"/>
  <c r="M1895" i="2"/>
  <c r="L1895" i="2"/>
  <c r="N1894" i="2"/>
  <c r="M1894" i="2"/>
  <c r="L1894" i="2"/>
  <c r="N1893" i="2"/>
  <c r="M1893" i="2"/>
  <c r="L1893" i="2"/>
  <c r="N1892" i="2"/>
  <c r="M1892" i="2"/>
  <c r="L1892" i="2"/>
  <c r="N1891" i="2"/>
  <c r="M1891" i="2"/>
  <c r="L1891" i="2"/>
  <c r="N1890" i="2"/>
  <c r="M1890" i="2"/>
  <c r="L1890" i="2"/>
  <c r="N1889" i="2"/>
  <c r="M1889" i="2"/>
  <c r="L1889" i="2"/>
  <c r="N1888" i="2"/>
  <c r="M1888" i="2"/>
  <c r="L1888" i="2"/>
  <c r="N1887" i="2"/>
  <c r="M1887" i="2"/>
  <c r="L1887" i="2"/>
  <c r="N1886" i="2"/>
  <c r="M1886" i="2"/>
  <c r="L1886" i="2"/>
  <c r="N1885" i="2"/>
  <c r="M1885" i="2"/>
  <c r="L1885" i="2"/>
  <c r="N1884" i="2"/>
  <c r="M1884" i="2"/>
  <c r="L1884" i="2"/>
  <c r="N1883" i="2"/>
  <c r="M1883" i="2"/>
  <c r="L1883" i="2"/>
  <c r="N1882" i="2"/>
  <c r="M1882" i="2"/>
  <c r="L1882" i="2"/>
  <c r="N1881" i="2"/>
  <c r="M1881" i="2"/>
  <c r="L1881" i="2"/>
  <c r="N1880" i="2"/>
  <c r="M1880" i="2"/>
  <c r="L1880" i="2"/>
  <c r="N1879" i="2"/>
  <c r="M1879" i="2"/>
  <c r="L1879" i="2"/>
  <c r="N1878" i="2"/>
  <c r="M1878" i="2"/>
  <c r="L1878" i="2"/>
  <c r="N1877" i="2"/>
  <c r="M1877" i="2"/>
  <c r="L1877" i="2"/>
  <c r="N1876" i="2"/>
  <c r="M1876" i="2"/>
  <c r="L1876" i="2"/>
  <c r="N1875" i="2"/>
  <c r="M1875" i="2"/>
  <c r="L1875" i="2"/>
  <c r="N1874" i="2"/>
  <c r="M1874" i="2"/>
  <c r="L1874" i="2"/>
  <c r="N1873" i="2"/>
  <c r="M1873" i="2"/>
  <c r="L1873" i="2"/>
  <c r="N1872" i="2"/>
  <c r="M1872" i="2"/>
  <c r="L1872" i="2"/>
  <c r="N1871" i="2"/>
  <c r="M1871" i="2"/>
  <c r="L1871" i="2"/>
  <c r="N1870" i="2"/>
  <c r="M1870" i="2"/>
  <c r="L1870" i="2"/>
  <c r="N1869" i="2"/>
  <c r="M1869" i="2"/>
  <c r="L1869" i="2"/>
  <c r="N1868" i="2"/>
  <c r="M1868" i="2"/>
  <c r="L1868" i="2"/>
  <c r="N1867" i="2"/>
  <c r="M1867" i="2"/>
  <c r="L1867" i="2"/>
  <c r="N1866" i="2"/>
  <c r="M1866" i="2"/>
  <c r="L1866" i="2"/>
  <c r="N1865" i="2"/>
  <c r="M1865" i="2"/>
  <c r="L1865" i="2"/>
  <c r="N1864" i="2"/>
  <c r="M1864" i="2"/>
  <c r="L1864" i="2"/>
  <c r="N1863" i="2"/>
  <c r="M1863" i="2"/>
  <c r="L1863" i="2"/>
  <c r="N1862" i="2"/>
  <c r="M1862" i="2"/>
  <c r="L1862" i="2"/>
  <c r="N1861" i="2"/>
  <c r="M1861" i="2"/>
  <c r="L1861" i="2"/>
  <c r="N1860" i="2"/>
  <c r="M1860" i="2"/>
  <c r="L1860" i="2"/>
  <c r="N1859" i="2"/>
  <c r="M1859" i="2"/>
  <c r="L1859" i="2"/>
  <c r="N1858" i="2"/>
  <c r="M1858" i="2"/>
  <c r="L1858" i="2"/>
  <c r="N1857" i="2"/>
  <c r="M1857" i="2"/>
  <c r="L1857" i="2"/>
  <c r="N1856" i="2"/>
  <c r="M1856" i="2"/>
  <c r="L1856" i="2"/>
  <c r="N1855" i="2"/>
  <c r="M1855" i="2"/>
  <c r="L1855" i="2"/>
  <c r="N1854" i="2"/>
  <c r="M1854" i="2"/>
  <c r="L1854" i="2"/>
  <c r="N1853" i="2"/>
  <c r="M1853" i="2"/>
  <c r="L1853" i="2"/>
  <c r="N1852" i="2"/>
  <c r="M1852" i="2"/>
  <c r="L1852" i="2"/>
  <c r="N1851" i="2"/>
  <c r="M1851" i="2"/>
  <c r="L1851" i="2"/>
  <c r="N1850" i="2"/>
  <c r="M1850" i="2"/>
  <c r="L1850" i="2"/>
  <c r="N1849" i="2"/>
  <c r="M1849" i="2"/>
  <c r="L1849" i="2"/>
  <c r="N1848" i="2"/>
  <c r="M1848" i="2"/>
  <c r="L1848" i="2"/>
  <c r="N1847" i="2"/>
  <c r="M1847" i="2"/>
  <c r="L1847" i="2"/>
  <c r="N1846" i="2"/>
  <c r="M1846" i="2"/>
  <c r="L1846" i="2"/>
  <c r="N1845" i="2"/>
  <c r="M1845" i="2"/>
  <c r="L1845" i="2"/>
  <c r="N1844" i="2"/>
  <c r="M1844" i="2"/>
  <c r="L1844" i="2"/>
  <c r="N1843" i="2"/>
  <c r="M1843" i="2"/>
  <c r="L1843" i="2"/>
  <c r="N1842" i="2"/>
  <c r="M1842" i="2"/>
  <c r="L1842" i="2"/>
  <c r="N1841" i="2"/>
  <c r="M1841" i="2"/>
  <c r="L1841" i="2"/>
  <c r="N1840" i="2"/>
  <c r="M1840" i="2"/>
  <c r="L1840" i="2"/>
  <c r="N1839" i="2"/>
  <c r="M1839" i="2"/>
  <c r="L1839" i="2"/>
  <c r="N1838" i="2"/>
  <c r="M1838" i="2"/>
  <c r="L1838" i="2"/>
  <c r="N1837" i="2"/>
  <c r="M1837" i="2"/>
  <c r="L1837" i="2"/>
  <c r="N1836" i="2"/>
  <c r="M1836" i="2"/>
  <c r="L1836" i="2"/>
  <c r="N1835" i="2"/>
  <c r="M1835" i="2"/>
  <c r="L1835" i="2"/>
  <c r="N1834" i="2"/>
  <c r="M1834" i="2"/>
  <c r="L1834" i="2"/>
  <c r="N1833" i="2"/>
  <c r="M1833" i="2"/>
  <c r="L1833" i="2"/>
  <c r="N1832" i="2"/>
  <c r="M1832" i="2"/>
  <c r="L1832" i="2"/>
  <c r="N1831" i="2"/>
  <c r="M1831" i="2"/>
  <c r="L1831" i="2"/>
  <c r="N1830" i="2"/>
  <c r="M1830" i="2"/>
  <c r="L1830" i="2"/>
  <c r="N1829" i="2"/>
  <c r="M1829" i="2"/>
  <c r="L1829" i="2"/>
  <c r="N1828" i="2"/>
  <c r="M1828" i="2"/>
  <c r="L1828" i="2"/>
  <c r="N1827" i="2"/>
  <c r="M1827" i="2"/>
  <c r="L1827" i="2"/>
  <c r="N1826" i="2"/>
  <c r="M1826" i="2"/>
  <c r="L1826" i="2"/>
  <c r="N1825" i="2"/>
  <c r="M1825" i="2"/>
  <c r="L1825" i="2"/>
  <c r="N1824" i="2"/>
  <c r="M1824" i="2"/>
  <c r="L1824" i="2"/>
  <c r="N1823" i="2"/>
  <c r="M1823" i="2"/>
  <c r="L1823" i="2"/>
  <c r="N1822" i="2"/>
  <c r="M1822" i="2"/>
  <c r="L1822" i="2"/>
  <c r="N1821" i="2"/>
  <c r="M1821" i="2"/>
  <c r="L1821" i="2"/>
  <c r="N1820" i="2"/>
  <c r="M1820" i="2"/>
  <c r="L1820" i="2"/>
  <c r="N1819" i="2"/>
  <c r="M1819" i="2"/>
  <c r="L1819" i="2"/>
  <c r="N1818" i="2"/>
  <c r="M1818" i="2"/>
  <c r="L1818" i="2"/>
  <c r="N1817" i="2"/>
  <c r="M1817" i="2"/>
  <c r="L1817" i="2"/>
  <c r="N1816" i="2"/>
  <c r="M1816" i="2"/>
  <c r="L1816" i="2"/>
  <c r="N1815" i="2"/>
  <c r="M1815" i="2"/>
  <c r="L1815" i="2"/>
  <c r="N1814" i="2"/>
  <c r="M1814" i="2"/>
  <c r="L1814" i="2"/>
  <c r="N1813" i="2"/>
  <c r="M1813" i="2"/>
  <c r="L1813" i="2"/>
  <c r="N1812" i="2"/>
  <c r="M1812" i="2"/>
  <c r="L1812" i="2"/>
  <c r="N1811" i="2"/>
  <c r="M1811" i="2"/>
  <c r="L1811" i="2"/>
  <c r="N1810" i="2"/>
  <c r="M1810" i="2"/>
  <c r="L1810" i="2"/>
  <c r="N1809" i="2"/>
  <c r="M1809" i="2"/>
  <c r="L1809" i="2"/>
  <c r="N1808" i="2"/>
  <c r="M1808" i="2"/>
  <c r="L1808" i="2"/>
  <c r="N1807" i="2"/>
  <c r="M1807" i="2"/>
  <c r="L1807" i="2"/>
  <c r="N1806" i="2"/>
  <c r="M1806" i="2"/>
  <c r="L1806" i="2"/>
  <c r="N1805" i="2"/>
  <c r="M1805" i="2"/>
  <c r="L1805" i="2"/>
  <c r="N1804" i="2"/>
  <c r="M1804" i="2"/>
  <c r="L1804" i="2"/>
  <c r="N1803" i="2"/>
  <c r="M1803" i="2"/>
  <c r="L1803" i="2"/>
  <c r="N1802" i="2"/>
  <c r="M1802" i="2"/>
  <c r="L1802" i="2"/>
  <c r="N1801" i="2"/>
  <c r="M1801" i="2"/>
  <c r="L1801" i="2"/>
  <c r="N1800" i="2"/>
  <c r="M1800" i="2"/>
  <c r="L1800" i="2"/>
  <c r="N1799" i="2"/>
  <c r="M1799" i="2"/>
  <c r="L1799" i="2"/>
  <c r="N1798" i="2"/>
  <c r="M1798" i="2"/>
  <c r="L1798" i="2"/>
  <c r="N1797" i="2"/>
  <c r="M1797" i="2"/>
  <c r="L1797" i="2"/>
  <c r="N1796" i="2"/>
  <c r="M1796" i="2"/>
  <c r="L1796" i="2"/>
  <c r="N1795" i="2"/>
  <c r="M1795" i="2"/>
  <c r="L1795" i="2"/>
  <c r="N1794" i="2"/>
  <c r="M1794" i="2"/>
  <c r="L1794" i="2"/>
  <c r="N1793" i="2"/>
  <c r="M1793" i="2"/>
  <c r="L1793" i="2"/>
  <c r="N1792" i="2"/>
  <c r="M1792" i="2"/>
  <c r="L1792" i="2"/>
  <c r="N1791" i="2"/>
  <c r="M1791" i="2"/>
  <c r="L1791" i="2"/>
  <c r="N1790" i="2"/>
  <c r="M1790" i="2"/>
  <c r="L1790" i="2"/>
  <c r="N1789" i="2"/>
  <c r="M1789" i="2"/>
  <c r="L1789" i="2"/>
  <c r="N1788" i="2"/>
  <c r="M1788" i="2"/>
  <c r="L1788" i="2"/>
  <c r="N1787" i="2"/>
  <c r="M1787" i="2"/>
  <c r="L1787" i="2"/>
  <c r="N1786" i="2"/>
  <c r="M1786" i="2"/>
  <c r="L1786" i="2"/>
  <c r="N1785" i="2"/>
  <c r="M1785" i="2"/>
  <c r="L1785" i="2"/>
  <c r="N1784" i="2"/>
  <c r="M1784" i="2"/>
  <c r="L1784" i="2"/>
  <c r="N1783" i="2"/>
  <c r="M1783" i="2"/>
  <c r="L1783" i="2"/>
  <c r="N1782" i="2"/>
  <c r="M1782" i="2"/>
  <c r="L1782" i="2"/>
  <c r="N1781" i="2"/>
  <c r="M1781" i="2"/>
  <c r="L1781" i="2"/>
  <c r="N1780" i="2"/>
  <c r="M1780" i="2"/>
  <c r="L1780" i="2"/>
  <c r="N1779" i="2"/>
  <c r="M1779" i="2"/>
  <c r="L1779" i="2"/>
  <c r="N1778" i="2"/>
  <c r="M1778" i="2"/>
  <c r="L1778" i="2"/>
  <c r="N1777" i="2"/>
  <c r="M1777" i="2"/>
  <c r="L1777" i="2"/>
  <c r="N1776" i="2"/>
  <c r="M1776" i="2"/>
  <c r="L1776" i="2"/>
  <c r="N1775" i="2"/>
  <c r="M1775" i="2"/>
  <c r="L1775" i="2"/>
  <c r="N1774" i="2"/>
  <c r="M1774" i="2"/>
  <c r="L1774" i="2"/>
  <c r="N1773" i="2"/>
  <c r="M1773" i="2"/>
  <c r="L1773" i="2"/>
  <c r="N1772" i="2"/>
  <c r="M1772" i="2"/>
  <c r="L1772" i="2"/>
  <c r="N1771" i="2"/>
  <c r="M1771" i="2"/>
  <c r="L1771" i="2"/>
  <c r="N1770" i="2"/>
  <c r="M1770" i="2"/>
  <c r="L1770" i="2"/>
  <c r="N1769" i="2"/>
  <c r="M1769" i="2"/>
  <c r="L1769" i="2"/>
  <c r="N1768" i="2"/>
  <c r="M1768" i="2"/>
  <c r="L1768" i="2"/>
  <c r="N1767" i="2"/>
  <c r="M1767" i="2"/>
  <c r="L1767" i="2"/>
  <c r="N1766" i="2"/>
  <c r="M1766" i="2"/>
  <c r="L1766" i="2"/>
  <c r="N1765" i="2"/>
  <c r="M1765" i="2"/>
  <c r="L1765" i="2"/>
  <c r="N1764" i="2"/>
  <c r="M1764" i="2"/>
  <c r="L1764" i="2"/>
  <c r="N1763" i="2"/>
  <c r="M1763" i="2"/>
  <c r="L1763" i="2"/>
  <c r="N1762" i="2"/>
  <c r="M1762" i="2"/>
  <c r="L1762" i="2"/>
  <c r="N1761" i="2"/>
  <c r="M1761" i="2"/>
  <c r="L1761" i="2"/>
  <c r="N1760" i="2"/>
  <c r="M1760" i="2"/>
  <c r="L1760" i="2"/>
  <c r="N1759" i="2"/>
  <c r="M1759" i="2"/>
  <c r="L1759" i="2"/>
  <c r="N1758" i="2"/>
  <c r="M1758" i="2"/>
  <c r="L1758" i="2"/>
  <c r="N1757" i="2"/>
  <c r="M1757" i="2"/>
  <c r="L1757" i="2"/>
  <c r="N1756" i="2"/>
  <c r="M1756" i="2"/>
  <c r="L1756" i="2"/>
  <c r="N1755" i="2"/>
  <c r="M1755" i="2"/>
  <c r="L1755" i="2"/>
  <c r="N1754" i="2"/>
  <c r="M1754" i="2"/>
  <c r="L1754" i="2"/>
  <c r="N1753" i="2"/>
  <c r="M1753" i="2"/>
  <c r="L1753" i="2"/>
  <c r="N1752" i="2"/>
  <c r="M1752" i="2"/>
  <c r="L1752" i="2"/>
  <c r="N1751" i="2"/>
  <c r="M1751" i="2"/>
  <c r="L1751" i="2"/>
  <c r="N1750" i="2"/>
  <c r="M1750" i="2"/>
  <c r="L1750" i="2"/>
  <c r="N1749" i="2"/>
  <c r="M1749" i="2"/>
  <c r="L1749" i="2"/>
  <c r="N1748" i="2"/>
  <c r="M1748" i="2"/>
  <c r="L1748" i="2"/>
  <c r="N1747" i="2"/>
  <c r="M1747" i="2"/>
  <c r="L1747" i="2"/>
  <c r="N1746" i="2"/>
  <c r="M1746" i="2"/>
  <c r="L1746" i="2"/>
  <c r="N1745" i="2"/>
  <c r="M1745" i="2"/>
  <c r="L1745" i="2"/>
  <c r="N1744" i="2"/>
  <c r="M1744" i="2"/>
  <c r="L1744" i="2"/>
  <c r="N1743" i="2"/>
  <c r="M1743" i="2"/>
  <c r="L1743" i="2"/>
  <c r="N1742" i="2"/>
  <c r="M1742" i="2"/>
  <c r="L1742" i="2"/>
  <c r="N1741" i="2"/>
  <c r="M1741" i="2"/>
  <c r="L1741" i="2"/>
  <c r="N1740" i="2"/>
  <c r="M1740" i="2"/>
  <c r="L1740" i="2"/>
  <c r="N1739" i="2"/>
  <c r="M1739" i="2"/>
  <c r="L1739" i="2"/>
  <c r="N1738" i="2"/>
  <c r="M1738" i="2"/>
  <c r="L1738" i="2"/>
  <c r="N1737" i="2"/>
  <c r="M1737" i="2"/>
  <c r="L1737" i="2"/>
  <c r="N1736" i="2"/>
  <c r="M1736" i="2"/>
  <c r="L1736" i="2"/>
  <c r="N1735" i="2"/>
  <c r="M1735" i="2"/>
  <c r="L1735" i="2"/>
  <c r="N1734" i="2"/>
  <c r="M1734" i="2"/>
  <c r="L1734" i="2"/>
  <c r="N1733" i="2"/>
  <c r="M1733" i="2"/>
  <c r="L1733" i="2"/>
  <c r="N1732" i="2"/>
  <c r="M1732" i="2"/>
  <c r="L1732" i="2"/>
  <c r="N1731" i="2"/>
  <c r="M1731" i="2"/>
  <c r="L1731" i="2"/>
  <c r="N1730" i="2"/>
  <c r="M1730" i="2"/>
  <c r="L1730" i="2"/>
  <c r="N1729" i="2"/>
  <c r="M1729" i="2"/>
  <c r="L1729" i="2"/>
  <c r="N1728" i="2"/>
  <c r="M1728" i="2"/>
  <c r="L1728" i="2"/>
  <c r="N1727" i="2"/>
  <c r="M1727" i="2"/>
  <c r="L1727" i="2"/>
  <c r="N1726" i="2"/>
  <c r="M1726" i="2"/>
  <c r="L1726" i="2"/>
  <c r="N1725" i="2"/>
  <c r="M1725" i="2"/>
  <c r="L1725" i="2"/>
  <c r="N1724" i="2"/>
  <c r="M1724" i="2"/>
  <c r="L1724" i="2"/>
  <c r="N1723" i="2"/>
  <c r="M1723" i="2"/>
  <c r="L1723" i="2"/>
  <c r="N1722" i="2"/>
  <c r="M1722" i="2"/>
  <c r="L1722" i="2"/>
  <c r="N1721" i="2"/>
  <c r="M1721" i="2"/>
  <c r="L1721" i="2"/>
  <c r="N1720" i="2"/>
  <c r="M1720" i="2"/>
  <c r="L1720" i="2"/>
  <c r="N1719" i="2"/>
  <c r="M1719" i="2"/>
  <c r="L1719" i="2"/>
  <c r="N1718" i="2"/>
  <c r="M1718" i="2"/>
  <c r="L1718" i="2"/>
  <c r="N1717" i="2"/>
  <c r="M1717" i="2"/>
  <c r="L1717" i="2"/>
  <c r="N1716" i="2"/>
  <c r="M1716" i="2"/>
  <c r="L1716" i="2"/>
  <c r="N1715" i="2"/>
  <c r="M1715" i="2"/>
  <c r="L1715" i="2"/>
  <c r="N1714" i="2"/>
  <c r="M1714" i="2"/>
  <c r="L1714" i="2"/>
  <c r="N1713" i="2"/>
  <c r="M1713" i="2"/>
  <c r="L1713" i="2"/>
  <c r="N1712" i="2"/>
  <c r="M1712" i="2"/>
  <c r="L1712" i="2"/>
  <c r="N1711" i="2"/>
  <c r="M1711" i="2"/>
  <c r="L1711" i="2"/>
  <c r="N1710" i="2"/>
  <c r="M1710" i="2"/>
  <c r="L1710" i="2"/>
  <c r="N1709" i="2"/>
  <c r="M1709" i="2"/>
  <c r="L1709" i="2"/>
  <c r="N1708" i="2"/>
  <c r="M1708" i="2"/>
  <c r="L1708" i="2"/>
  <c r="N1707" i="2"/>
  <c r="M1707" i="2"/>
  <c r="L1707" i="2"/>
  <c r="N1706" i="2"/>
  <c r="M1706" i="2"/>
  <c r="L1706" i="2"/>
  <c r="N1705" i="2"/>
  <c r="M1705" i="2"/>
  <c r="L1705" i="2"/>
  <c r="N1704" i="2"/>
  <c r="M1704" i="2"/>
  <c r="L1704" i="2"/>
  <c r="N1703" i="2"/>
  <c r="M1703" i="2"/>
  <c r="L1703" i="2"/>
  <c r="N1702" i="2"/>
  <c r="M1702" i="2"/>
  <c r="L1702" i="2"/>
  <c r="N1701" i="2"/>
  <c r="M1701" i="2"/>
  <c r="L1701" i="2"/>
  <c r="N1700" i="2"/>
  <c r="M1700" i="2"/>
  <c r="L1700" i="2"/>
  <c r="N1699" i="2"/>
  <c r="M1699" i="2"/>
  <c r="L1699" i="2"/>
  <c r="N1698" i="2"/>
  <c r="M1698" i="2"/>
  <c r="L1698" i="2"/>
  <c r="N1697" i="2"/>
  <c r="M1697" i="2"/>
  <c r="L1697" i="2"/>
  <c r="N1696" i="2"/>
  <c r="M1696" i="2"/>
  <c r="L1696" i="2"/>
  <c r="N1695" i="2"/>
  <c r="M1695" i="2"/>
  <c r="L1695" i="2"/>
  <c r="N1694" i="2"/>
  <c r="M1694" i="2"/>
  <c r="L1694" i="2"/>
  <c r="N1693" i="2"/>
  <c r="M1693" i="2"/>
  <c r="L1693" i="2"/>
  <c r="N1692" i="2"/>
  <c r="M1692" i="2"/>
  <c r="L1692" i="2"/>
  <c r="N1691" i="2"/>
  <c r="M1691" i="2"/>
  <c r="L1691" i="2"/>
  <c r="N1690" i="2"/>
  <c r="M1690" i="2"/>
  <c r="L1690" i="2"/>
  <c r="N1689" i="2"/>
  <c r="M1689" i="2"/>
  <c r="L1689" i="2"/>
  <c r="N1688" i="2"/>
  <c r="M1688" i="2"/>
  <c r="L1688" i="2"/>
  <c r="N1687" i="2"/>
  <c r="M1687" i="2"/>
  <c r="L1687" i="2"/>
  <c r="N1686" i="2"/>
  <c r="M1686" i="2"/>
  <c r="L1686" i="2"/>
  <c r="N1685" i="2"/>
  <c r="M1685" i="2"/>
  <c r="L1685" i="2"/>
  <c r="N1684" i="2"/>
  <c r="M1684" i="2"/>
  <c r="L1684" i="2"/>
  <c r="N1683" i="2"/>
  <c r="M1683" i="2"/>
  <c r="L1683" i="2"/>
  <c r="N1682" i="2"/>
  <c r="M1682" i="2"/>
  <c r="L1682" i="2"/>
  <c r="N1681" i="2"/>
  <c r="M1681" i="2"/>
  <c r="L1681" i="2"/>
  <c r="N1680" i="2"/>
  <c r="M1680" i="2"/>
  <c r="L1680" i="2"/>
  <c r="N1679" i="2"/>
  <c r="M1679" i="2"/>
  <c r="L1679" i="2"/>
  <c r="N1678" i="2"/>
  <c r="M1678" i="2"/>
  <c r="L1678" i="2"/>
  <c r="N1677" i="2"/>
  <c r="M1677" i="2"/>
  <c r="L1677" i="2"/>
  <c r="N1676" i="2"/>
  <c r="M1676" i="2"/>
  <c r="L1676" i="2"/>
  <c r="N1675" i="2"/>
  <c r="M1675" i="2"/>
  <c r="L1675" i="2"/>
  <c r="N1674" i="2"/>
  <c r="M1674" i="2"/>
  <c r="L1674" i="2"/>
  <c r="N1673" i="2"/>
  <c r="M1673" i="2"/>
  <c r="L1673" i="2"/>
  <c r="N1672" i="2"/>
  <c r="M1672" i="2"/>
  <c r="L1672" i="2"/>
  <c r="N1671" i="2"/>
  <c r="M1671" i="2"/>
  <c r="L1671" i="2"/>
  <c r="N1670" i="2"/>
  <c r="M1670" i="2"/>
  <c r="L1670" i="2"/>
  <c r="N1669" i="2"/>
  <c r="M1669" i="2"/>
  <c r="L1669" i="2"/>
  <c r="N1668" i="2"/>
  <c r="M1668" i="2"/>
  <c r="L1668" i="2"/>
  <c r="N1667" i="2"/>
  <c r="M1667" i="2"/>
  <c r="L1667" i="2"/>
  <c r="N1666" i="2"/>
  <c r="M1666" i="2"/>
  <c r="L1666" i="2"/>
  <c r="N1665" i="2"/>
  <c r="M1665" i="2"/>
  <c r="L1665" i="2"/>
  <c r="N1664" i="2"/>
  <c r="M1664" i="2"/>
  <c r="L1664" i="2"/>
  <c r="N1663" i="2"/>
  <c r="M1663" i="2"/>
  <c r="L1663" i="2"/>
  <c r="N1662" i="2"/>
  <c r="M1662" i="2"/>
  <c r="L1662" i="2"/>
  <c r="N1661" i="2"/>
  <c r="M1661" i="2"/>
  <c r="L1661" i="2"/>
  <c r="N1660" i="2"/>
  <c r="M1660" i="2"/>
  <c r="L1660" i="2"/>
  <c r="N1659" i="2"/>
  <c r="M1659" i="2"/>
  <c r="L1659" i="2"/>
  <c r="N1658" i="2"/>
  <c r="M1658" i="2"/>
  <c r="L1658" i="2"/>
  <c r="N1657" i="2"/>
  <c r="M1657" i="2"/>
  <c r="L1657" i="2"/>
  <c r="N1656" i="2"/>
  <c r="M1656" i="2"/>
  <c r="L1656" i="2"/>
  <c r="N1655" i="2"/>
  <c r="M1655" i="2"/>
  <c r="L1655" i="2"/>
  <c r="N1654" i="2"/>
  <c r="M1654" i="2"/>
  <c r="L1654" i="2"/>
  <c r="N1653" i="2"/>
  <c r="M1653" i="2"/>
  <c r="L1653" i="2"/>
  <c r="N1652" i="2"/>
  <c r="M1652" i="2"/>
  <c r="L1652" i="2"/>
  <c r="N1651" i="2"/>
  <c r="M1651" i="2"/>
  <c r="L1651" i="2"/>
  <c r="N1650" i="2"/>
  <c r="M1650" i="2"/>
  <c r="L1650" i="2"/>
  <c r="N1649" i="2"/>
  <c r="M1649" i="2"/>
  <c r="L1649" i="2"/>
  <c r="N1648" i="2"/>
  <c r="M1648" i="2"/>
  <c r="L1648" i="2"/>
  <c r="N1647" i="2"/>
  <c r="M1647" i="2"/>
  <c r="L1647" i="2"/>
  <c r="N1646" i="2"/>
  <c r="M1646" i="2"/>
  <c r="L1646" i="2"/>
  <c r="N1645" i="2"/>
  <c r="M1645" i="2"/>
  <c r="L1645" i="2"/>
  <c r="N1644" i="2"/>
  <c r="M1644" i="2"/>
  <c r="L1644" i="2"/>
  <c r="N1643" i="2"/>
  <c r="M1643" i="2"/>
  <c r="L1643" i="2"/>
  <c r="N1642" i="2"/>
  <c r="M1642" i="2"/>
  <c r="L1642" i="2"/>
  <c r="N1641" i="2"/>
  <c r="M1641" i="2"/>
  <c r="L1641" i="2"/>
  <c r="N1640" i="2"/>
  <c r="M1640" i="2"/>
  <c r="L1640" i="2"/>
  <c r="N1639" i="2"/>
  <c r="M1639" i="2"/>
  <c r="L1639" i="2"/>
  <c r="N1638" i="2"/>
  <c r="M1638" i="2"/>
  <c r="L1638" i="2"/>
  <c r="N1637" i="2"/>
  <c r="M1637" i="2"/>
  <c r="L1637" i="2"/>
  <c r="N1636" i="2"/>
  <c r="M1636" i="2"/>
  <c r="L1636" i="2"/>
  <c r="N1635" i="2"/>
  <c r="M1635" i="2"/>
  <c r="L1635" i="2"/>
  <c r="N1634" i="2"/>
  <c r="M1634" i="2"/>
  <c r="L1634" i="2"/>
  <c r="N1633" i="2"/>
  <c r="M1633" i="2"/>
  <c r="L1633" i="2"/>
  <c r="N1632" i="2"/>
  <c r="M1632" i="2"/>
  <c r="L1632" i="2"/>
  <c r="N1631" i="2"/>
  <c r="M1631" i="2"/>
  <c r="L1631" i="2"/>
  <c r="N1630" i="2"/>
  <c r="M1630" i="2"/>
  <c r="L1630" i="2"/>
  <c r="N1629" i="2"/>
  <c r="M1629" i="2"/>
  <c r="L1629" i="2"/>
  <c r="N1628" i="2"/>
  <c r="M1628" i="2"/>
  <c r="L1628" i="2"/>
  <c r="N1627" i="2"/>
  <c r="M1627" i="2"/>
  <c r="L1627" i="2"/>
  <c r="N1626" i="2"/>
  <c r="M1626" i="2"/>
  <c r="L1626" i="2"/>
  <c r="N1625" i="2"/>
  <c r="M1625" i="2"/>
  <c r="L1625" i="2"/>
  <c r="N1624" i="2"/>
  <c r="M1624" i="2"/>
  <c r="L1624" i="2"/>
  <c r="N1623" i="2"/>
  <c r="M1623" i="2"/>
  <c r="L1623" i="2"/>
  <c r="N1622" i="2"/>
  <c r="M1622" i="2"/>
  <c r="L1622" i="2"/>
  <c r="N1621" i="2"/>
  <c r="M1621" i="2"/>
  <c r="L1621" i="2"/>
  <c r="N1620" i="2"/>
  <c r="M1620" i="2"/>
  <c r="L1620" i="2"/>
  <c r="N1619" i="2"/>
  <c r="M1619" i="2"/>
  <c r="L1619" i="2"/>
  <c r="N1618" i="2"/>
  <c r="M1618" i="2"/>
  <c r="L1618" i="2"/>
  <c r="N1617" i="2"/>
  <c r="M1617" i="2"/>
  <c r="L1617" i="2"/>
  <c r="N1616" i="2"/>
  <c r="M1616" i="2"/>
  <c r="L1616" i="2"/>
  <c r="N1615" i="2"/>
  <c r="M1615" i="2"/>
  <c r="L1615" i="2"/>
  <c r="N1614" i="2"/>
  <c r="M1614" i="2"/>
  <c r="L1614" i="2"/>
  <c r="N1613" i="2"/>
  <c r="M1613" i="2"/>
  <c r="L1613" i="2"/>
  <c r="N1612" i="2"/>
  <c r="M1612" i="2"/>
  <c r="L1612" i="2"/>
  <c r="N1611" i="2"/>
  <c r="M1611" i="2"/>
  <c r="L1611" i="2"/>
  <c r="N1610" i="2"/>
  <c r="M1610" i="2"/>
  <c r="L1610" i="2"/>
  <c r="N1609" i="2"/>
  <c r="M1609" i="2"/>
  <c r="L1609" i="2"/>
  <c r="N1608" i="2"/>
  <c r="M1608" i="2"/>
  <c r="L1608" i="2"/>
  <c r="N1607" i="2"/>
  <c r="M1607" i="2"/>
  <c r="L1607" i="2"/>
  <c r="N1606" i="2"/>
  <c r="M1606" i="2"/>
  <c r="L1606" i="2"/>
  <c r="N1605" i="2"/>
  <c r="M1605" i="2"/>
  <c r="L1605" i="2"/>
  <c r="N1604" i="2"/>
  <c r="M1604" i="2"/>
  <c r="L1604" i="2"/>
  <c r="N1603" i="2"/>
  <c r="M1603" i="2"/>
  <c r="L1603" i="2"/>
  <c r="N1602" i="2"/>
  <c r="M1602" i="2"/>
  <c r="L1602" i="2"/>
  <c r="N1601" i="2"/>
  <c r="M1601" i="2"/>
  <c r="L1601" i="2"/>
  <c r="N1600" i="2"/>
  <c r="M1600" i="2"/>
  <c r="L1600" i="2"/>
  <c r="N1599" i="2"/>
  <c r="M1599" i="2"/>
  <c r="L1599" i="2"/>
  <c r="N1598" i="2"/>
  <c r="M1598" i="2"/>
  <c r="L1598" i="2"/>
  <c r="N1597" i="2"/>
  <c r="M1597" i="2"/>
  <c r="L1597" i="2"/>
  <c r="N1596" i="2"/>
  <c r="M1596" i="2"/>
  <c r="L1596" i="2"/>
  <c r="N1595" i="2"/>
  <c r="M1595" i="2"/>
  <c r="L1595" i="2"/>
  <c r="N1594" i="2"/>
  <c r="M1594" i="2"/>
  <c r="L1594" i="2"/>
  <c r="N1593" i="2"/>
  <c r="M1593" i="2"/>
  <c r="L1593" i="2"/>
  <c r="N1592" i="2"/>
  <c r="M1592" i="2"/>
  <c r="L1592" i="2"/>
  <c r="N1591" i="2"/>
  <c r="M1591" i="2"/>
  <c r="L1591" i="2"/>
  <c r="N1590" i="2"/>
  <c r="M1590" i="2"/>
  <c r="L1590" i="2"/>
  <c r="N1589" i="2"/>
  <c r="M1589" i="2"/>
  <c r="L1589" i="2"/>
  <c r="N1588" i="2"/>
  <c r="M1588" i="2"/>
  <c r="L1588" i="2"/>
  <c r="N1587" i="2"/>
  <c r="M1587" i="2"/>
  <c r="L1587" i="2"/>
  <c r="N1586" i="2"/>
  <c r="M1586" i="2"/>
  <c r="L1586" i="2"/>
  <c r="N1585" i="2"/>
  <c r="M1585" i="2"/>
  <c r="L1585" i="2"/>
  <c r="N1584" i="2"/>
  <c r="M1584" i="2"/>
  <c r="L1584" i="2"/>
  <c r="N1583" i="2"/>
  <c r="M1583" i="2"/>
  <c r="L1583" i="2"/>
  <c r="N1582" i="2"/>
  <c r="M1582" i="2"/>
  <c r="L1582" i="2"/>
  <c r="N1581" i="2"/>
  <c r="M1581" i="2"/>
  <c r="L1581" i="2"/>
  <c r="N1580" i="2"/>
  <c r="M1580" i="2"/>
  <c r="L1580" i="2"/>
  <c r="N1579" i="2"/>
  <c r="M1579" i="2"/>
  <c r="L1579" i="2"/>
  <c r="N1578" i="2"/>
  <c r="M1578" i="2"/>
  <c r="L1578" i="2"/>
  <c r="N1577" i="2"/>
  <c r="M1577" i="2"/>
  <c r="L1577" i="2"/>
  <c r="N1576" i="2"/>
  <c r="M1576" i="2"/>
  <c r="L1576" i="2"/>
  <c r="N1575" i="2"/>
  <c r="M1575" i="2"/>
  <c r="L1575" i="2"/>
  <c r="N1574" i="2"/>
  <c r="M1574" i="2"/>
  <c r="L1574" i="2"/>
  <c r="N1573" i="2"/>
  <c r="M1573" i="2"/>
  <c r="L1573" i="2"/>
  <c r="N1572" i="2"/>
  <c r="M1572" i="2"/>
  <c r="L1572" i="2"/>
  <c r="N1571" i="2"/>
  <c r="M1571" i="2"/>
  <c r="L1571" i="2"/>
  <c r="N1570" i="2"/>
  <c r="M1570" i="2"/>
  <c r="L1570" i="2"/>
  <c r="N1569" i="2"/>
  <c r="M1569" i="2"/>
  <c r="L1569" i="2"/>
  <c r="N1568" i="2"/>
  <c r="M1568" i="2"/>
  <c r="L1568" i="2"/>
  <c r="N1567" i="2"/>
  <c r="M1567" i="2"/>
  <c r="L1567" i="2"/>
  <c r="N1566" i="2"/>
  <c r="M1566" i="2"/>
  <c r="L1566" i="2"/>
  <c r="N1565" i="2"/>
  <c r="M1565" i="2"/>
  <c r="L1565" i="2"/>
  <c r="N1564" i="2"/>
  <c r="M1564" i="2"/>
  <c r="L1564" i="2"/>
  <c r="N1563" i="2"/>
  <c r="M1563" i="2"/>
  <c r="L1563" i="2"/>
  <c r="N1562" i="2"/>
  <c r="M1562" i="2"/>
  <c r="L1562" i="2"/>
  <c r="N1561" i="2"/>
  <c r="M1561" i="2"/>
  <c r="L1561" i="2"/>
  <c r="N1560" i="2"/>
  <c r="M1560" i="2"/>
  <c r="L1560" i="2"/>
  <c r="N1559" i="2"/>
  <c r="M1559" i="2"/>
  <c r="L1559" i="2"/>
  <c r="N1558" i="2"/>
  <c r="M1558" i="2"/>
  <c r="L1558" i="2"/>
  <c r="N1557" i="2"/>
  <c r="M1557" i="2"/>
  <c r="L1557" i="2"/>
  <c r="N1556" i="2"/>
  <c r="M1556" i="2"/>
  <c r="L1556" i="2"/>
  <c r="N1555" i="2"/>
  <c r="M1555" i="2"/>
  <c r="L1555" i="2"/>
  <c r="N1554" i="2"/>
  <c r="M1554" i="2"/>
  <c r="L1554" i="2"/>
  <c r="N1553" i="2"/>
  <c r="M1553" i="2"/>
  <c r="L1553" i="2"/>
  <c r="N1552" i="2"/>
  <c r="M1552" i="2"/>
  <c r="L1552" i="2"/>
  <c r="N1551" i="2"/>
  <c r="M1551" i="2"/>
  <c r="L1551" i="2"/>
  <c r="N1550" i="2"/>
  <c r="M1550" i="2"/>
  <c r="L1550" i="2"/>
  <c r="N1549" i="2"/>
  <c r="M1549" i="2"/>
  <c r="L1549" i="2"/>
  <c r="N1548" i="2"/>
  <c r="M1548" i="2"/>
  <c r="L1548" i="2"/>
  <c r="N1547" i="2"/>
  <c r="M1547" i="2"/>
  <c r="L1547" i="2"/>
  <c r="N1546" i="2"/>
  <c r="M1546" i="2"/>
  <c r="L1546" i="2"/>
  <c r="N1545" i="2"/>
  <c r="M1545" i="2"/>
  <c r="L1545" i="2"/>
  <c r="N1544" i="2"/>
  <c r="M1544" i="2"/>
  <c r="L1544" i="2"/>
  <c r="N1543" i="2"/>
  <c r="M1543" i="2"/>
  <c r="L1543" i="2"/>
  <c r="N1542" i="2"/>
  <c r="M1542" i="2"/>
  <c r="L1542" i="2"/>
  <c r="N1541" i="2"/>
  <c r="M1541" i="2"/>
  <c r="L1541" i="2"/>
  <c r="N1540" i="2"/>
  <c r="M1540" i="2"/>
  <c r="L1540" i="2"/>
  <c r="N1539" i="2"/>
  <c r="M1539" i="2"/>
  <c r="L1539" i="2"/>
  <c r="N1538" i="2"/>
  <c r="M1538" i="2"/>
  <c r="L1538" i="2"/>
  <c r="N1537" i="2"/>
  <c r="M1537" i="2"/>
  <c r="L1537" i="2"/>
  <c r="N1536" i="2"/>
  <c r="M1536" i="2"/>
  <c r="L1536" i="2"/>
  <c r="N1535" i="2"/>
  <c r="M1535" i="2"/>
  <c r="L1535" i="2"/>
  <c r="N1534" i="2"/>
  <c r="M1534" i="2"/>
  <c r="L1534" i="2"/>
  <c r="N1533" i="2"/>
  <c r="M1533" i="2"/>
  <c r="L1533" i="2"/>
  <c r="N1532" i="2"/>
  <c r="M1532" i="2"/>
  <c r="L1532" i="2"/>
  <c r="N1531" i="2"/>
  <c r="M1531" i="2"/>
  <c r="L1531" i="2"/>
  <c r="N1530" i="2"/>
  <c r="M1530" i="2"/>
  <c r="L1530" i="2"/>
  <c r="N1529" i="2"/>
  <c r="M1529" i="2"/>
  <c r="L1529" i="2"/>
  <c r="N1528" i="2"/>
  <c r="M1528" i="2"/>
  <c r="L1528" i="2"/>
  <c r="N1527" i="2"/>
  <c r="M1527" i="2"/>
  <c r="L1527" i="2"/>
  <c r="N1526" i="2"/>
  <c r="M1526" i="2"/>
  <c r="L1526" i="2"/>
  <c r="N1525" i="2"/>
  <c r="M1525" i="2"/>
  <c r="L1525" i="2"/>
  <c r="N1524" i="2"/>
  <c r="M1524" i="2"/>
  <c r="L1524" i="2"/>
  <c r="N1523" i="2"/>
  <c r="M1523" i="2"/>
  <c r="L1523" i="2"/>
  <c r="N1522" i="2"/>
  <c r="M1522" i="2"/>
  <c r="L1522" i="2"/>
  <c r="N1521" i="2"/>
  <c r="M1521" i="2"/>
  <c r="L1521" i="2"/>
  <c r="N1520" i="2"/>
  <c r="M1520" i="2"/>
  <c r="L1520" i="2"/>
  <c r="N1519" i="2"/>
  <c r="M1519" i="2"/>
  <c r="L1519" i="2"/>
  <c r="N1518" i="2"/>
  <c r="M1518" i="2"/>
  <c r="L1518" i="2"/>
  <c r="N1517" i="2"/>
  <c r="M1517" i="2"/>
  <c r="L1517" i="2"/>
  <c r="N1516" i="2"/>
  <c r="M1516" i="2"/>
  <c r="L1516" i="2"/>
  <c r="N1515" i="2"/>
  <c r="M1515" i="2"/>
  <c r="L1515" i="2"/>
  <c r="N1514" i="2"/>
  <c r="M1514" i="2"/>
  <c r="L1514" i="2"/>
  <c r="N1513" i="2"/>
  <c r="M1513" i="2"/>
  <c r="L1513" i="2"/>
  <c r="N1512" i="2"/>
  <c r="M1512" i="2"/>
  <c r="L1512" i="2"/>
  <c r="N1511" i="2"/>
  <c r="M1511" i="2"/>
  <c r="L1511" i="2"/>
  <c r="N1510" i="2"/>
  <c r="M1510" i="2"/>
  <c r="L1510" i="2"/>
  <c r="N1509" i="2"/>
  <c r="M1509" i="2"/>
  <c r="L1509" i="2"/>
  <c r="N1508" i="2"/>
  <c r="M1508" i="2"/>
  <c r="L1508" i="2"/>
  <c r="N1507" i="2"/>
  <c r="M1507" i="2"/>
  <c r="L1507" i="2"/>
  <c r="N1506" i="2"/>
  <c r="M1506" i="2"/>
  <c r="L1506" i="2"/>
  <c r="N1505" i="2"/>
  <c r="M1505" i="2"/>
  <c r="L1505" i="2"/>
  <c r="N1504" i="2"/>
  <c r="M1504" i="2"/>
  <c r="L1504" i="2"/>
  <c r="N1503" i="2"/>
  <c r="M1503" i="2"/>
  <c r="L1503" i="2"/>
  <c r="N1502" i="2"/>
  <c r="M1502" i="2"/>
  <c r="L1502" i="2"/>
  <c r="N1501" i="2"/>
  <c r="M1501" i="2"/>
  <c r="L1501" i="2"/>
  <c r="N1500" i="2"/>
  <c r="M1500" i="2"/>
  <c r="L1500" i="2"/>
  <c r="N1499" i="2"/>
  <c r="M1499" i="2"/>
  <c r="L1499" i="2"/>
  <c r="N1498" i="2"/>
  <c r="M1498" i="2"/>
  <c r="L1498" i="2"/>
  <c r="N1497" i="2"/>
  <c r="M1497" i="2"/>
  <c r="L1497" i="2"/>
  <c r="N1496" i="2"/>
  <c r="M1496" i="2"/>
  <c r="L1496" i="2"/>
  <c r="N1495" i="2"/>
  <c r="M1495" i="2"/>
  <c r="L1495" i="2"/>
  <c r="N1494" i="2"/>
  <c r="M1494" i="2"/>
  <c r="L1494" i="2"/>
  <c r="N1493" i="2"/>
  <c r="M1493" i="2"/>
  <c r="L1493" i="2"/>
  <c r="N1492" i="2"/>
  <c r="M1492" i="2"/>
  <c r="L1492" i="2"/>
  <c r="N1491" i="2"/>
  <c r="M1491" i="2"/>
  <c r="L1491" i="2"/>
  <c r="N1490" i="2"/>
  <c r="M1490" i="2"/>
  <c r="L1490" i="2"/>
  <c r="N1489" i="2"/>
  <c r="M1489" i="2"/>
  <c r="L1489" i="2"/>
  <c r="N1488" i="2"/>
  <c r="M1488" i="2"/>
  <c r="L1488" i="2"/>
  <c r="N1487" i="2"/>
  <c r="M1487" i="2"/>
  <c r="L1487" i="2"/>
  <c r="N1486" i="2"/>
  <c r="M1486" i="2"/>
  <c r="L1486" i="2"/>
  <c r="N1485" i="2"/>
  <c r="M1485" i="2"/>
  <c r="L1485" i="2"/>
  <c r="N1484" i="2"/>
  <c r="M1484" i="2"/>
  <c r="L1484" i="2"/>
  <c r="N1483" i="2"/>
  <c r="M1483" i="2"/>
  <c r="L1483" i="2"/>
  <c r="N1482" i="2"/>
  <c r="M1482" i="2"/>
  <c r="L1482" i="2"/>
  <c r="N1481" i="2"/>
  <c r="M1481" i="2"/>
  <c r="L1481" i="2"/>
  <c r="N1480" i="2"/>
  <c r="M1480" i="2"/>
  <c r="L1480" i="2"/>
  <c r="N1479" i="2"/>
  <c r="M1479" i="2"/>
  <c r="L1479" i="2"/>
  <c r="N1478" i="2"/>
  <c r="M1478" i="2"/>
  <c r="L1478" i="2"/>
  <c r="N1477" i="2"/>
  <c r="M1477" i="2"/>
  <c r="L1477" i="2"/>
  <c r="N1476" i="2"/>
  <c r="M1476" i="2"/>
  <c r="L1476" i="2"/>
  <c r="N1475" i="2"/>
  <c r="M1475" i="2"/>
  <c r="L1475" i="2"/>
  <c r="N1474" i="2"/>
  <c r="M1474" i="2"/>
  <c r="L1474" i="2"/>
  <c r="N1473" i="2"/>
  <c r="M1473" i="2"/>
  <c r="L1473" i="2"/>
  <c r="N1472" i="2"/>
  <c r="M1472" i="2"/>
  <c r="L1472" i="2"/>
  <c r="N1471" i="2"/>
  <c r="M1471" i="2"/>
  <c r="L1471" i="2"/>
  <c r="N1470" i="2"/>
  <c r="M1470" i="2"/>
  <c r="L1470" i="2"/>
  <c r="N1469" i="2"/>
  <c r="M1469" i="2"/>
  <c r="L1469" i="2"/>
  <c r="N1468" i="2"/>
  <c r="M1468" i="2"/>
  <c r="L1468" i="2"/>
  <c r="N1467" i="2"/>
  <c r="M1467" i="2"/>
  <c r="L1467" i="2"/>
  <c r="N1466" i="2"/>
  <c r="M1466" i="2"/>
  <c r="L1466" i="2"/>
  <c r="N1465" i="2"/>
  <c r="M1465" i="2"/>
  <c r="L1465" i="2"/>
  <c r="N1464" i="2"/>
  <c r="M1464" i="2"/>
  <c r="L1464" i="2"/>
  <c r="N1463" i="2"/>
  <c r="M1463" i="2"/>
  <c r="L1463" i="2"/>
  <c r="N1462" i="2"/>
  <c r="M1462" i="2"/>
  <c r="L1462" i="2"/>
  <c r="N1461" i="2"/>
  <c r="M1461" i="2"/>
  <c r="L1461" i="2"/>
  <c r="N1460" i="2"/>
  <c r="M1460" i="2"/>
  <c r="L1460" i="2"/>
  <c r="N1459" i="2"/>
  <c r="M1459" i="2"/>
  <c r="L1459" i="2"/>
  <c r="N1458" i="2"/>
  <c r="M1458" i="2"/>
  <c r="L1458" i="2"/>
  <c r="N1457" i="2"/>
  <c r="M1457" i="2"/>
  <c r="L1457" i="2"/>
  <c r="N1456" i="2"/>
  <c r="M1456" i="2"/>
  <c r="L1456" i="2"/>
  <c r="N1455" i="2"/>
  <c r="M1455" i="2"/>
  <c r="L1455" i="2"/>
  <c r="N1454" i="2"/>
  <c r="M1454" i="2"/>
  <c r="L1454" i="2"/>
  <c r="N1453" i="2"/>
  <c r="M1453" i="2"/>
  <c r="L1453" i="2"/>
  <c r="N1452" i="2"/>
  <c r="M1452" i="2"/>
  <c r="L1452" i="2"/>
  <c r="N1451" i="2"/>
  <c r="M1451" i="2"/>
  <c r="L1451" i="2"/>
  <c r="N1450" i="2"/>
  <c r="M1450" i="2"/>
  <c r="L1450" i="2"/>
  <c r="N1449" i="2"/>
  <c r="M1449" i="2"/>
  <c r="L1449" i="2"/>
  <c r="N1448" i="2"/>
  <c r="M1448" i="2"/>
  <c r="L1448" i="2"/>
  <c r="N1447" i="2"/>
  <c r="M1447" i="2"/>
  <c r="L1447" i="2"/>
  <c r="N1446" i="2"/>
  <c r="M1446" i="2"/>
  <c r="L1446" i="2"/>
  <c r="N1445" i="2"/>
  <c r="M1445" i="2"/>
  <c r="L1445" i="2"/>
  <c r="N1444" i="2"/>
  <c r="M1444" i="2"/>
  <c r="L1444" i="2"/>
  <c r="N1443" i="2"/>
  <c r="M1443" i="2"/>
  <c r="L1443" i="2"/>
  <c r="N1442" i="2"/>
  <c r="M1442" i="2"/>
  <c r="L1442" i="2"/>
  <c r="N1441" i="2"/>
  <c r="M1441" i="2"/>
  <c r="L1441" i="2"/>
  <c r="N1440" i="2"/>
  <c r="M1440" i="2"/>
  <c r="L1440" i="2"/>
  <c r="N1439" i="2"/>
  <c r="M1439" i="2"/>
  <c r="L1439" i="2"/>
  <c r="N1438" i="2"/>
  <c r="M1438" i="2"/>
  <c r="L1438" i="2"/>
  <c r="N1437" i="2"/>
  <c r="M1437" i="2"/>
  <c r="L1437" i="2"/>
  <c r="N1436" i="2"/>
  <c r="M1436" i="2"/>
  <c r="L1436" i="2"/>
  <c r="N1435" i="2"/>
  <c r="M1435" i="2"/>
  <c r="L1435" i="2"/>
  <c r="N1434" i="2"/>
  <c r="M1434" i="2"/>
  <c r="L1434" i="2"/>
  <c r="N1433" i="2"/>
  <c r="M1433" i="2"/>
  <c r="L1433" i="2"/>
  <c r="N1432" i="2"/>
  <c r="M1432" i="2"/>
  <c r="L1432" i="2"/>
  <c r="N1431" i="2"/>
  <c r="M1431" i="2"/>
  <c r="L1431" i="2"/>
  <c r="N1430" i="2"/>
  <c r="M1430" i="2"/>
  <c r="L1430" i="2"/>
  <c r="N1429" i="2"/>
  <c r="M1429" i="2"/>
  <c r="L1429" i="2"/>
  <c r="N1428" i="2"/>
  <c r="M1428" i="2"/>
  <c r="L1428" i="2"/>
  <c r="N1427" i="2"/>
  <c r="M1427" i="2"/>
  <c r="L1427" i="2"/>
  <c r="N1426" i="2"/>
  <c r="M1426" i="2"/>
  <c r="L1426" i="2"/>
  <c r="N1425" i="2"/>
  <c r="M1425" i="2"/>
  <c r="L1425" i="2"/>
  <c r="N1424" i="2"/>
  <c r="M1424" i="2"/>
  <c r="L1424" i="2"/>
  <c r="N1423" i="2"/>
  <c r="M1423" i="2"/>
  <c r="L1423" i="2"/>
  <c r="N1422" i="2"/>
  <c r="M1422" i="2"/>
  <c r="L1422" i="2"/>
  <c r="N1421" i="2"/>
  <c r="M1421" i="2"/>
  <c r="L1421" i="2"/>
  <c r="N1420" i="2"/>
  <c r="M1420" i="2"/>
  <c r="L1420" i="2"/>
  <c r="N1419" i="2"/>
  <c r="M1419" i="2"/>
  <c r="L1419" i="2"/>
  <c r="N1418" i="2"/>
  <c r="M1418" i="2"/>
  <c r="L1418" i="2"/>
  <c r="N1417" i="2"/>
  <c r="M1417" i="2"/>
  <c r="L1417" i="2"/>
  <c r="N1416" i="2"/>
  <c r="M1416" i="2"/>
  <c r="L1416" i="2"/>
  <c r="N1415" i="2"/>
  <c r="M1415" i="2"/>
  <c r="L1415" i="2"/>
  <c r="N1414" i="2"/>
  <c r="M1414" i="2"/>
  <c r="L1414" i="2"/>
  <c r="N1413" i="2"/>
  <c r="M1413" i="2"/>
  <c r="L1413" i="2"/>
  <c r="N1412" i="2"/>
  <c r="M1412" i="2"/>
  <c r="L1412" i="2"/>
  <c r="N1411" i="2"/>
  <c r="M1411" i="2"/>
  <c r="L1411" i="2"/>
  <c r="N1410" i="2"/>
  <c r="M1410" i="2"/>
  <c r="L1410" i="2"/>
  <c r="N1409" i="2"/>
  <c r="M1409" i="2"/>
  <c r="L1409" i="2"/>
  <c r="N1408" i="2"/>
  <c r="M1408" i="2"/>
  <c r="L1408" i="2"/>
  <c r="N1407" i="2"/>
  <c r="M1407" i="2"/>
  <c r="L1407" i="2"/>
  <c r="N1406" i="2"/>
  <c r="M1406" i="2"/>
  <c r="L1406" i="2"/>
  <c r="N1405" i="2"/>
  <c r="M1405" i="2"/>
  <c r="L1405" i="2"/>
  <c r="N1404" i="2"/>
  <c r="M1404" i="2"/>
  <c r="L1404" i="2"/>
  <c r="N1403" i="2"/>
  <c r="M1403" i="2"/>
  <c r="L1403" i="2"/>
  <c r="N1402" i="2"/>
  <c r="M1402" i="2"/>
  <c r="L1402" i="2"/>
  <c r="N1401" i="2"/>
  <c r="M1401" i="2"/>
  <c r="L1401" i="2"/>
  <c r="N1400" i="2"/>
  <c r="M1400" i="2"/>
  <c r="L1400" i="2"/>
  <c r="N1399" i="2"/>
  <c r="M1399" i="2"/>
  <c r="L1399" i="2"/>
  <c r="N1398" i="2"/>
  <c r="M1398" i="2"/>
  <c r="L1398" i="2"/>
  <c r="N1397" i="2"/>
  <c r="M1397" i="2"/>
  <c r="L1397" i="2"/>
  <c r="N1396" i="2"/>
  <c r="M1396" i="2"/>
  <c r="L1396" i="2"/>
  <c r="N1395" i="2"/>
  <c r="M1395" i="2"/>
  <c r="L1395" i="2"/>
  <c r="N1394" i="2"/>
  <c r="M1394" i="2"/>
  <c r="L1394" i="2"/>
  <c r="N1393" i="2"/>
  <c r="M1393" i="2"/>
  <c r="L1393" i="2"/>
  <c r="N1392" i="2"/>
  <c r="M1392" i="2"/>
  <c r="L1392" i="2"/>
  <c r="N1391" i="2"/>
  <c r="M1391" i="2"/>
  <c r="L1391" i="2"/>
  <c r="N1390" i="2"/>
  <c r="M1390" i="2"/>
  <c r="L1390" i="2"/>
  <c r="N1389" i="2"/>
  <c r="M1389" i="2"/>
  <c r="L1389" i="2"/>
  <c r="N1388" i="2"/>
  <c r="M1388" i="2"/>
  <c r="L1388" i="2"/>
  <c r="N1387" i="2"/>
  <c r="M1387" i="2"/>
  <c r="L1387" i="2"/>
  <c r="N1386" i="2"/>
  <c r="M1386" i="2"/>
  <c r="L1386" i="2"/>
  <c r="N1385" i="2"/>
  <c r="M1385" i="2"/>
  <c r="L1385" i="2"/>
  <c r="N1384" i="2"/>
  <c r="M1384" i="2"/>
  <c r="L1384" i="2"/>
  <c r="N1383" i="2"/>
  <c r="M1383" i="2"/>
  <c r="L1383" i="2"/>
  <c r="N1382" i="2"/>
  <c r="M1382" i="2"/>
  <c r="L1382" i="2"/>
  <c r="N1381" i="2"/>
  <c r="M1381" i="2"/>
  <c r="L1381" i="2"/>
  <c r="N1380" i="2"/>
  <c r="M1380" i="2"/>
  <c r="L1380" i="2"/>
  <c r="N1379" i="2"/>
  <c r="M1379" i="2"/>
  <c r="L1379" i="2"/>
  <c r="N1378" i="2"/>
  <c r="M1378" i="2"/>
  <c r="L1378" i="2"/>
  <c r="N1377" i="2"/>
  <c r="M1377" i="2"/>
  <c r="L1377" i="2"/>
  <c r="N1376" i="2"/>
  <c r="M1376" i="2"/>
  <c r="L1376" i="2"/>
  <c r="N1375" i="2"/>
  <c r="M1375" i="2"/>
  <c r="L1375" i="2"/>
  <c r="N1374" i="2"/>
  <c r="M1374" i="2"/>
  <c r="L1374" i="2"/>
  <c r="N1373" i="2"/>
  <c r="M1373" i="2"/>
  <c r="L1373" i="2"/>
  <c r="N1372" i="2"/>
  <c r="M1372" i="2"/>
  <c r="L1372" i="2"/>
  <c r="N1371" i="2"/>
  <c r="M1371" i="2"/>
  <c r="L1371" i="2"/>
  <c r="N1370" i="2"/>
  <c r="M1370" i="2"/>
  <c r="L1370" i="2"/>
  <c r="N1369" i="2"/>
  <c r="M1369" i="2"/>
  <c r="L1369" i="2"/>
  <c r="N1368" i="2"/>
  <c r="M1368" i="2"/>
  <c r="L1368" i="2"/>
  <c r="N1367" i="2"/>
  <c r="M1367" i="2"/>
  <c r="L1367" i="2"/>
  <c r="N1366" i="2"/>
  <c r="M1366" i="2"/>
  <c r="L1366" i="2"/>
  <c r="N1365" i="2"/>
  <c r="M1365" i="2"/>
  <c r="L1365" i="2"/>
  <c r="N1364" i="2"/>
  <c r="M1364" i="2"/>
  <c r="L1364" i="2"/>
  <c r="N1363" i="2"/>
  <c r="M1363" i="2"/>
  <c r="L1363" i="2"/>
  <c r="N1362" i="2"/>
  <c r="M1362" i="2"/>
  <c r="L1362" i="2"/>
  <c r="N1361" i="2"/>
  <c r="M1361" i="2"/>
  <c r="L1361" i="2"/>
  <c r="N1360" i="2"/>
  <c r="M1360" i="2"/>
  <c r="L1360" i="2"/>
  <c r="N1359" i="2"/>
  <c r="M1359" i="2"/>
  <c r="L1359" i="2"/>
  <c r="N1358" i="2"/>
  <c r="M1358" i="2"/>
  <c r="L1358" i="2"/>
  <c r="N1357" i="2"/>
  <c r="M1357" i="2"/>
  <c r="L1357" i="2"/>
  <c r="N1356" i="2"/>
  <c r="M1356" i="2"/>
  <c r="L1356" i="2"/>
  <c r="N1355" i="2"/>
  <c r="M1355" i="2"/>
  <c r="L1355" i="2"/>
  <c r="N1354" i="2"/>
  <c r="M1354" i="2"/>
  <c r="L1354" i="2"/>
  <c r="N1353" i="2"/>
  <c r="M1353" i="2"/>
  <c r="L1353" i="2"/>
  <c r="N1352" i="2"/>
  <c r="M1352" i="2"/>
  <c r="L1352" i="2"/>
  <c r="N1351" i="2"/>
  <c r="M1351" i="2"/>
  <c r="L1351" i="2"/>
  <c r="N1350" i="2"/>
  <c r="M1350" i="2"/>
  <c r="L1350" i="2"/>
  <c r="N1349" i="2"/>
  <c r="M1349" i="2"/>
  <c r="L1349" i="2"/>
  <c r="N1348" i="2"/>
  <c r="M1348" i="2"/>
  <c r="L1348" i="2"/>
  <c r="N1347" i="2"/>
  <c r="M1347" i="2"/>
  <c r="L1347" i="2"/>
  <c r="N1346" i="2"/>
  <c r="M1346" i="2"/>
  <c r="L1346" i="2"/>
  <c r="N1345" i="2"/>
  <c r="M1345" i="2"/>
  <c r="L1345" i="2"/>
  <c r="N1344" i="2"/>
  <c r="M1344" i="2"/>
  <c r="L1344" i="2"/>
  <c r="N1343" i="2"/>
  <c r="M1343" i="2"/>
  <c r="L1343" i="2"/>
  <c r="N1342" i="2"/>
  <c r="M1342" i="2"/>
  <c r="L1342" i="2"/>
  <c r="N1341" i="2"/>
  <c r="M1341" i="2"/>
  <c r="L1341" i="2"/>
  <c r="N1340" i="2"/>
  <c r="M1340" i="2"/>
  <c r="L1340" i="2"/>
  <c r="N1339" i="2"/>
  <c r="M1339" i="2"/>
  <c r="L1339" i="2"/>
  <c r="N1338" i="2"/>
  <c r="M1338" i="2"/>
  <c r="L1338" i="2"/>
  <c r="N1337" i="2"/>
  <c r="M1337" i="2"/>
  <c r="L1337" i="2"/>
  <c r="N1336" i="2"/>
  <c r="M1336" i="2"/>
  <c r="L1336" i="2"/>
  <c r="N1335" i="2"/>
  <c r="M1335" i="2"/>
  <c r="L1335" i="2"/>
  <c r="N1334" i="2"/>
  <c r="M1334" i="2"/>
  <c r="L1334" i="2"/>
  <c r="N1333" i="2"/>
  <c r="M1333" i="2"/>
  <c r="L1333" i="2"/>
  <c r="N1332" i="2"/>
  <c r="M1332" i="2"/>
  <c r="L1332" i="2"/>
  <c r="N1331" i="2"/>
  <c r="M1331" i="2"/>
  <c r="L1331" i="2"/>
  <c r="N1330" i="2"/>
  <c r="M1330" i="2"/>
  <c r="L1330" i="2"/>
  <c r="N1329" i="2"/>
  <c r="M1329" i="2"/>
  <c r="L1329" i="2"/>
  <c r="N1328" i="2"/>
  <c r="M1328" i="2"/>
  <c r="L1328" i="2"/>
  <c r="N1327" i="2"/>
  <c r="M1327" i="2"/>
  <c r="L1327" i="2"/>
  <c r="N1326" i="2"/>
  <c r="M1326" i="2"/>
  <c r="L1326" i="2"/>
  <c r="N1325" i="2"/>
  <c r="M1325" i="2"/>
  <c r="L1325" i="2"/>
  <c r="N1324" i="2"/>
  <c r="M1324" i="2"/>
  <c r="L1324" i="2"/>
  <c r="N1323" i="2"/>
  <c r="M1323" i="2"/>
  <c r="L1323" i="2"/>
  <c r="N1322" i="2"/>
  <c r="M1322" i="2"/>
  <c r="L1322" i="2"/>
  <c r="N1321" i="2"/>
  <c r="M1321" i="2"/>
  <c r="L1321" i="2"/>
  <c r="N1320" i="2"/>
  <c r="M1320" i="2"/>
  <c r="L1320" i="2"/>
  <c r="N1319" i="2"/>
  <c r="M1319" i="2"/>
  <c r="L1319" i="2"/>
  <c r="N1318" i="2"/>
  <c r="M1318" i="2"/>
  <c r="L1318" i="2"/>
  <c r="N1317" i="2"/>
  <c r="M1317" i="2"/>
  <c r="L1317" i="2"/>
  <c r="N1316" i="2"/>
  <c r="M1316" i="2"/>
  <c r="L1316" i="2"/>
  <c r="N1315" i="2"/>
  <c r="M1315" i="2"/>
  <c r="L1315" i="2"/>
  <c r="N1314" i="2"/>
  <c r="M1314" i="2"/>
  <c r="L1314" i="2"/>
  <c r="N1313" i="2"/>
  <c r="M1313" i="2"/>
  <c r="L1313" i="2"/>
  <c r="N1312" i="2"/>
  <c r="M1312" i="2"/>
  <c r="L1312" i="2"/>
  <c r="N1311" i="2"/>
  <c r="M1311" i="2"/>
  <c r="L1311" i="2"/>
  <c r="N1310" i="2"/>
  <c r="M1310" i="2"/>
  <c r="L1310" i="2"/>
  <c r="N1309" i="2"/>
  <c r="M1309" i="2"/>
  <c r="L1309" i="2"/>
  <c r="N1308" i="2"/>
  <c r="M1308" i="2"/>
  <c r="L1308" i="2"/>
  <c r="N1307" i="2"/>
  <c r="M1307" i="2"/>
  <c r="L1307" i="2"/>
  <c r="N1306" i="2"/>
  <c r="M1306" i="2"/>
  <c r="L1306" i="2"/>
  <c r="N1305" i="2"/>
  <c r="M1305" i="2"/>
  <c r="L1305" i="2"/>
  <c r="N1304" i="2"/>
  <c r="M1304" i="2"/>
  <c r="L1304" i="2"/>
  <c r="N1303" i="2"/>
  <c r="M1303" i="2"/>
  <c r="L1303" i="2"/>
  <c r="N1302" i="2"/>
  <c r="M1302" i="2"/>
  <c r="L1302" i="2"/>
  <c r="N1301" i="2"/>
  <c r="M1301" i="2"/>
  <c r="L1301" i="2"/>
  <c r="N1300" i="2"/>
  <c r="M1300" i="2"/>
  <c r="L1300" i="2"/>
  <c r="N1299" i="2"/>
  <c r="M1299" i="2"/>
  <c r="L1299" i="2"/>
  <c r="N1298" i="2"/>
  <c r="M1298" i="2"/>
  <c r="L1298" i="2"/>
  <c r="N1297" i="2"/>
  <c r="M1297" i="2"/>
  <c r="L1297" i="2"/>
  <c r="N1296" i="2"/>
  <c r="M1296" i="2"/>
  <c r="L1296" i="2"/>
  <c r="N1295" i="2"/>
  <c r="M1295" i="2"/>
  <c r="L1295" i="2"/>
  <c r="N1294" i="2"/>
  <c r="M1294" i="2"/>
  <c r="L1294" i="2"/>
  <c r="N1293" i="2"/>
  <c r="M1293" i="2"/>
  <c r="L1293" i="2"/>
  <c r="N1292" i="2"/>
  <c r="M1292" i="2"/>
  <c r="L1292" i="2"/>
  <c r="N1291" i="2"/>
  <c r="M1291" i="2"/>
  <c r="L1291" i="2"/>
  <c r="N1290" i="2"/>
  <c r="M1290" i="2"/>
  <c r="L1290" i="2"/>
  <c r="N1289" i="2"/>
  <c r="M1289" i="2"/>
  <c r="L1289" i="2"/>
  <c r="N1288" i="2"/>
  <c r="M1288" i="2"/>
  <c r="L1288" i="2"/>
  <c r="N1287" i="2"/>
  <c r="M1287" i="2"/>
  <c r="L1287" i="2"/>
  <c r="N1286" i="2"/>
  <c r="M1286" i="2"/>
  <c r="L1286" i="2"/>
  <c r="N1285" i="2"/>
  <c r="M1285" i="2"/>
  <c r="L1285" i="2"/>
  <c r="N1284" i="2"/>
  <c r="M1284" i="2"/>
  <c r="L1284" i="2"/>
  <c r="N1283" i="2"/>
  <c r="M1283" i="2"/>
  <c r="L1283" i="2"/>
  <c r="N1282" i="2"/>
  <c r="M1282" i="2"/>
  <c r="L1282" i="2"/>
  <c r="N1281" i="2"/>
  <c r="M1281" i="2"/>
  <c r="L1281" i="2"/>
  <c r="N1280" i="2"/>
  <c r="M1280" i="2"/>
  <c r="L1280" i="2"/>
  <c r="N1279" i="2"/>
  <c r="M1279" i="2"/>
  <c r="L1279" i="2"/>
  <c r="N1278" i="2"/>
  <c r="M1278" i="2"/>
  <c r="L1278" i="2"/>
  <c r="N1277" i="2"/>
  <c r="M1277" i="2"/>
  <c r="L1277" i="2"/>
  <c r="N1276" i="2"/>
  <c r="M1276" i="2"/>
  <c r="L1276" i="2"/>
  <c r="N1275" i="2"/>
  <c r="M1275" i="2"/>
  <c r="L1275" i="2"/>
  <c r="N1274" i="2"/>
  <c r="M1274" i="2"/>
  <c r="L1274" i="2"/>
  <c r="N1273" i="2"/>
  <c r="M1273" i="2"/>
  <c r="L1273" i="2"/>
  <c r="N1272" i="2"/>
  <c r="M1272" i="2"/>
  <c r="L1272" i="2"/>
  <c r="N1271" i="2"/>
  <c r="M1271" i="2"/>
  <c r="L1271" i="2"/>
  <c r="N1270" i="2"/>
  <c r="M1270" i="2"/>
  <c r="L1270" i="2"/>
  <c r="N1269" i="2"/>
  <c r="M1269" i="2"/>
  <c r="L1269" i="2"/>
  <c r="N1268" i="2"/>
  <c r="M1268" i="2"/>
  <c r="L1268" i="2"/>
  <c r="N1267" i="2"/>
  <c r="M1267" i="2"/>
  <c r="L1267" i="2"/>
  <c r="N1266" i="2"/>
  <c r="M1266" i="2"/>
  <c r="L1266" i="2"/>
  <c r="N1265" i="2"/>
  <c r="M1265" i="2"/>
  <c r="L1265" i="2"/>
  <c r="N1264" i="2"/>
  <c r="M1264" i="2"/>
  <c r="L1264" i="2"/>
  <c r="N1263" i="2"/>
  <c r="M1263" i="2"/>
  <c r="L1263" i="2"/>
  <c r="N1262" i="2"/>
  <c r="M1262" i="2"/>
  <c r="L1262" i="2"/>
  <c r="N1261" i="2"/>
  <c r="M1261" i="2"/>
  <c r="L1261" i="2"/>
  <c r="N1260" i="2"/>
  <c r="M1260" i="2"/>
  <c r="L1260" i="2"/>
  <c r="N1259" i="2"/>
  <c r="M1259" i="2"/>
  <c r="L1259" i="2"/>
  <c r="N1258" i="2"/>
  <c r="M1258" i="2"/>
  <c r="L1258" i="2"/>
  <c r="N1257" i="2"/>
  <c r="M1257" i="2"/>
  <c r="L1257" i="2"/>
  <c r="N1256" i="2"/>
  <c r="M1256" i="2"/>
  <c r="L1256" i="2"/>
  <c r="N1255" i="2"/>
  <c r="M1255" i="2"/>
  <c r="L1255" i="2"/>
  <c r="N1254" i="2"/>
  <c r="M1254" i="2"/>
  <c r="L1254" i="2"/>
  <c r="N1253" i="2"/>
  <c r="M1253" i="2"/>
  <c r="L1253" i="2"/>
  <c r="N1252" i="2"/>
  <c r="M1252" i="2"/>
  <c r="L1252" i="2"/>
  <c r="N1251" i="2"/>
  <c r="M1251" i="2"/>
  <c r="L1251" i="2"/>
  <c r="N1250" i="2"/>
  <c r="M1250" i="2"/>
  <c r="L1250" i="2"/>
  <c r="N1249" i="2"/>
  <c r="M1249" i="2"/>
  <c r="L1249" i="2"/>
  <c r="N1248" i="2"/>
  <c r="M1248" i="2"/>
  <c r="L1248" i="2"/>
  <c r="N1247" i="2"/>
  <c r="M1247" i="2"/>
  <c r="L1247" i="2"/>
  <c r="N1246" i="2"/>
  <c r="M1246" i="2"/>
  <c r="L1246" i="2"/>
  <c r="N1245" i="2"/>
  <c r="M1245" i="2"/>
  <c r="L1245" i="2"/>
  <c r="N1244" i="2"/>
  <c r="M1244" i="2"/>
  <c r="L1244" i="2"/>
  <c r="N1243" i="2"/>
  <c r="M1243" i="2"/>
  <c r="L1243" i="2"/>
  <c r="N1242" i="2"/>
  <c r="M1242" i="2"/>
  <c r="L1242" i="2"/>
  <c r="N1241" i="2"/>
  <c r="M1241" i="2"/>
  <c r="L1241" i="2"/>
  <c r="N1240" i="2"/>
  <c r="M1240" i="2"/>
  <c r="L1240" i="2"/>
  <c r="N1239" i="2"/>
  <c r="M1239" i="2"/>
  <c r="L1239" i="2"/>
  <c r="N1238" i="2"/>
  <c r="M1238" i="2"/>
  <c r="L1238" i="2"/>
  <c r="N1237" i="2"/>
  <c r="M1237" i="2"/>
  <c r="L1237" i="2"/>
  <c r="N1236" i="2"/>
  <c r="M1236" i="2"/>
  <c r="L1236" i="2"/>
  <c r="N1235" i="2"/>
  <c r="M1235" i="2"/>
  <c r="L1235" i="2"/>
  <c r="N1234" i="2"/>
  <c r="M1234" i="2"/>
  <c r="L1234" i="2"/>
  <c r="N1233" i="2"/>
  <c r="M1233" i="2"/>
  <c r="L1233" i="2"/>
  <c r="N1232" i="2"/>
  <c r="M1232" i="2"/>
  <c r="L1232" i="2"/>
  <c r="N1231" i="2"/>
  <c r="M1231" i="2"/>
  <c r="L1231" i="2"/>
  <c r="N1230" i="2"/>
  <c r="M1230" i="2"/>
  <c r="L1230" i="2"/>
  <c r="N1229" i="2"/>
  <c r="M1229" i="2"/>
  <c r="L1229" i="2"/>
  <c r="N1228" i="2"/>
  <c r="M1228" i="2"/>
  <c r="L1228" i="2"/>
  <c r="N1227" i="2"/>
  <c r="M1227" i="2"/>
  <c r="L1227" i="2"/>
  <c r="N1226" i="2"/>
  <c r="M1226" i="2"/>
  <c r="L1226" i="2"/>
  <c r="N1225" i="2"/>
  <c r="M1225" i="2"/>
  <c r="L1225" i="2"/>
  <c r="N1224" i="2"/>
  <c r="M1224" i="2"/>
  <c r="L1224" i="2"/>
  <c r="N1223" i="2"/>
  <c r="M1223" i="2"/>
  <c r="L1223" i="2"/>
  <c r="N1222" i="2"/>
  <c r="M1222" i="2"/>
  <c r="L1222" i="2"/>
  <c r="N1221" i="2"/>
  <c r="M1221" i="2"/>
  <c r="L1221" i="2"/>
  <c r="N1220" i="2"/>
  <c r="M1220" i="2"/>
  <c r="L1220" i="2"/>
  <c r="N1219" i="2"/>
  <c r="M1219" i="2"/>
  <c r="L1219" i="2"/>
  <c r="N1218" i="2"/>
  <c r="M1218" i="2"/>
  <c r="L1218" i="2"/>
  <c r="N1217" i="2"/>
  <c r="M1217" i="2"/>
  <c r="L1217" i="2"/>
  <c r="N1216" i="2"/>
  <c r="M1216" i="2"/>
  <c r="L1216" i="2"/>
  <c r="N1215" i="2"/>
  <c r="M1215" i="2"/>
  <c r="L1215" i="2"/>
  <c r="N1214" i="2"/>
  <c r="M1214" i="2"/>
  <c r="L1214" i="2"/>
  <c r="N1213" i="2"/>
  <c r="M1213" i="2"/>
  <c r="L1213" i="2"/>
  <c r="N1212" i="2"/>
  <c r="M1212" i="2"/>
  <c r="L1212" i="2"/>
  <c r="N1211" i="2"/>
  <c r="M1211" i="2"/>
  <c r="L1211" i="2"/>
  <c r="N1210" i="2"/>
  <c r="M1210" i="2"/>
  <c r="L1210" i="2"/>
  <c r="N1209" i="2"/>
  <c r="M1209" i="2"/>
  <c r="L1209" i="2"/>
  <c r="N1208" i="2"/>
  <c r="M1208" i="2"/>
  <c r="L1208" i="2"/>
  <c r="N1207" i="2"/>
  <c r="M1207" i="2"/>
  <c r="L1207" i="2"/>
  <c r="N1206" i="2"/>
  <c r="M1206" i="2"/>
  <c r="L1206" i="2"/>
  <c r="N1205" i="2"/>
  <c r="M1205" i="2"/>
  <c r="L1205" i="2"/>
  <c r="N1204" i="2"/>
  <c r="M1204" i="2"/>
  <c r="L1204" i="2"/>
  <c r="N1203" i="2"/>
  <c r="M1203" i="2"/>
  <c r="L1203" i="2"/>
  <c r="N1202" i="2"/>
  <c r="M1202" i="2"/>
  <c r="L1202" i="2"/>
  <c r="N1201" i="2"/>
  <c r="M1201" i="2"/>
  <c r="L1201" i="2"/>
  <c r="N1200" i="2"/>
  <c r="M1200" i="2"/>
  <c r="L1200" i="2"/>
  <c r="N1199" i="2"/>
  <c r="M1199" i="2"/>
  <c r="L1199" i="2"/>
  <c r="N1198" i="2"/>
  <c r="M1198" i="2"/>
  <c r="L1198" i="2"/>
  <c r="N1197" i="2"/>
  <c r="M1197" i="2"/>
  <c r="L1197" i="2"/>
  <c r="N1196" i="2"/>
  <c r="M1196" i="2"/>
  <c r="L1196" i="2"/>
  <c r="N1195" i="2"/>
  <c r="M1195" i="2"/>
  <c r="L1195" i="2"/>
  <c r="N1194" i="2"/>
  <c r="M1194" i="2"/>
  <c r="L1194" i="2"/>
  <c r="N1193" i="2"/>
  <c r="M1193" i="2"/>
  <c r="L1193" i="2"/>
  <c r="N1192" i="2"/>
  <c r="M1192" i="2"/>
  <c r="L1192" i="2"/>
  <c r="N1191" i="2"/>
  <c r="M1191" i="2"/>
  <c r="L1191" i="2"/>
  <c r="N1190" i="2"/>
  <c r="M1190" i="2"/>
  <c r="L1190" i="2"/>
  <c r="N1189" i="2"/>
  <c r="M1189" i="2"/>
  <c r="L1189" i="2"/>
  <c r="N1188" i="2"/>
  <c r="M1188" i="2"/>
  <c r="L1188" i="2"/>
  <c r="N1187" i="2"/>
  <c r="M1187" i="2"/>
  <c r="L1187" i="2"/>
  <c r="N1186" i="2"/>
  <c r="M1186" i="2"/>
  <c r="L1186" i="2"/>
  <c r="N1185" i="2"/>
  <c r="M1185" i="2"/>
  <c r="L1185" i="2"/>
  <c r="N1184" i="2"/>
  <c r="M1184" i="2"/>
  <c r="L1184" i="2"/>
  <c r="N1183" i="2"/>
  <c r="M1183" i="2"/>
  <c r="L1183" i="2"/>
  <c r="N1182" i="2"/>
  <c r="M1182" i="2"/>
  <c r="L1182" i="2"/>
  <c r="N1181" i="2"/>
  <c r="M1181" i="2"/>
  <c r="L1181" i="2"/>
  <c r="N1180" i="2"/>
  <c r="M1180" i="2"/>
  <c r="L1180" i="2"/>
  <c r="N1179" i="2"/>
  <c r="M1179" i="2"/>
  <c r="L1179" i="2"/>
  <c r="N1178" i="2"/>
  <c r="M1178" i="2"/>
  <c r="L1178" i="2"/>
  <c r="N1177" i="2"/>
  <c r="M1177" i="2"/>
  <c r="L1177" i="2"/>
  <c r="N1176" i="2"/>
  <c r="M1176" i="2"/>
  <c r="L1176" i="2"/>
  <c r="N1175" i="2"/>
  <c r="M1175" i="2"/>
  <c r="L1175" i="2"/>
  <c r="N1174" i="2"/>
  <c r="M1174" i="2"/>
  <c r="L1174" i="2"/>
  <c r="N1173" i="2"/>
  <c r="M1173" i="2"/>
  <c r="L1173" i="2"/>
  <c r="N1172" i="2"/>
  <c r="M1172" i="2"/>
  <c r="L1172" i="2"/>
  <c r="N1171" i="2"/>
  <c r="M1171" i="2"/>
  <c r="L1171" i="2"/>
  <c r="N1170" i="2"/>
  <c r="M1170" i="2"/>
  <c r="L1170" i="2"/>
  <c r="N1169" i="2"/>
  <c r="M1169" i="2"/>
  <c r="L1169" i="2"/>
  <c r="N1168" i="2"/>
  <c r="M1168" i="2"/>
  <c r="L1168" i="2"/>
  <c r="N1167" i="2"/>
  <c r="M1167" i="2"/>
  <c r="L1167" i="2"/>
  <c r="N1166" i="2"/>
  <c r="M1166" i="2"/>
  <c r="L1166" i="2"/>
  <c r="N1165" i="2"/>
  <c r="M1165" i="2"/>
  <c r="L1165" i="2"/>
  <c r="N1164" i="2"/>
  <c r="M1164" i="2"/>
  <c r="L1164" i="2"/>
  <c r="N1163" i="2"/>
  <c r="M1163" i="2"/>
  <c r="L1163" i="2"/>
  <c r="N1162" i="2"/>
  <c r="M1162" i="2"/>
  <c r="L1162" i="2"/>
  <c r="N1161" i="2"/>
  <c r="M1161" i="2"/>
  <c r="L1161" i="2"/>
  <c r="N1160" i="2"/>
  <c r="M1160" i="2"/>
  <c r="L1160" i="2"/>
  <c r="N1159" i="2"/>
  <c r="M1159" i="2"/>
  <c r="L1159" i="2"/>
  <c r="N1158" i="2"/>
  <c r="M1158" i="2"/>
  <c r="L1158" i="2"/>
  <c r="N1157" i="2"/>
  <c r="M1157" i="2"/>
  <c r="L1157" i="2"/>
  <c r="N1156" i="2"/>
  <c r="M1156" i="2"/>
  <c r="L1156" i="2"/>
  <c r="N1155" i="2"/>
  <c r="M1155" i="2"/>
  <c r="L1155" i="2"/>
  <c r="N1154" i="2"/>
  <c r="M1154" i="2"/>
  <c r="L1154" i="2"/>
  <c r="N1153" i="2"/>
  <c r="M1153" i="2"/>
  <c r="L1153" i="2"/>
  <c r="N1152" i="2"/>
  <c r="M1152" i="2"/>
  <c r="L1152" i="2"/>
  <c r="N1151" i="2"/>
  <c r="M1151" i="2"/>
  <c r="L1151" i="2"/>
  <c r="N1150" i="2"/>
  <c r="M1150" i="2"/>
  <c r="L1150" i="2"/>
  <c r="N1149" i="2"/>
  <c r="M1149" i="2"/>
  <c r="L1149" i="2"/>
  <c r="N1148" i="2"/>
  <c r="M1148" i="2"/>
  <c r="L1148" i="2"/>
  <c r="N1147" i="2"/>
  <c r="M1147" i="2"/>
  <c r="L1147" i="2"/>
  <c r="N1146" i="2"/>
  <c r="M1146" i="2"/>
  <c r="L1146" i="2"/>
  <c r="N1145" i="2"/>
  <c r="M1145" i="2"/>
  <c r="L1145" i="2"/>
  <c r="N1144" i="2"/>
  <c r="M1144" i="2"/>
  <c r="L1144" i="2"/>
  <c r="N1143" i="2"/>
  <c r="M1143" i="2"/>
  <c r="L1143" i="2"/>
  <c r="N1142" i="2"/>
  <c r="M1142" i="2"/>
  <c r="L1142" i="2"/>
  <c r="N1141" i="2"/>
  <c r="M1141" i="2"/>
  <c r="L1141" i="2"/>
  <c r="N1140" i="2"/>
  <c r="M1140" i="2"/>
  <c r="L1140" i="2"/>
  <c r="N1139" i="2"/>
  <c r="M1139" i="2"/>
  <c r="L1139" i="2"/>
  <c r="N1138" i="2"/>
  <c r="M1138" i="2"/>
  <c r="L1138" i="2"/>
  <c r="N1137" i="2"/>
  <c r="M1137" i="2"/>
  <c r="L1137" i="2"/>
  <c r="N1136" i="2"/>
  <c r="M1136" i="2"/>
  <c r="L1136" i="2"/>
  <c r="N1135" i="2"/>
  <c r="M1135" i="2"/>
  <c r="L1135" i="2"/>
  <c r="N1134" i="2"/>
  <c r="M1134" i="2"/>
  <c r="L1134" i="2"/>
  <c r="N1133" i="2"/>
  <c r="M1133" i="2"/>
  <c r="L1133" i="2"/>
  <c r="N1132" i="2"/>
  <c r="M1132" i="2"/>
  <c r="L1132" i="2"/>
  <c r="N1131" i="2"/>
  <c r="M1131" i="2"/>
  <c r="L1131" i="2"/>
  <c r="N1130" i="2"/>
  <c r="M1130" i="2"/>
  <c r="L1130" i="2"/>
  <c r="N1129" i="2"/>
  <c r="M1129" i="2"/>
  <c r="L1129" i="2"/>
  <c r="N1128" i="2"/>
  <c r="M1128" i="2"/>
  <c r="L1128" i="2"/>
  <c r="N1127" i="2"/>
  <c r="M1127" i="2"/>
  <c r="L1127" i="2"/>
  <c r="N1126" i="2"/>
  <c r="M1126" i="2"/>
  <c r="L1126" i="2"/>
  <c r="N1125" i="2"/>
  <c r="M1125" i="2"/>
  <c r="L1125" i="2"/>
  <c r="N1124" i="2"/>
  <c r="M1124" i="2"/>
  <c r="L1124" i="2"/>
  <c r="N1123" i="2"/>
  <c r="M1123" i="2"/>
  <c r="L1123" i="2"/>
  <c r="N1122" i="2"/>
  <c r="M1122" i="2"/>
  <c r="L1122" i="2"/>
  <c r="N1121" i="2"/>
  <c r="M1121" i="2"/>
  <c r="L1121" i="2"/>
  <c r="N1120" i="2"/>
  <c r="M1120" i="2"/>
  <c r="L1120" i="2"/>
  <c r="N1119" i="2"/>
  <c r="M1119" i="2"/>
  <c r="L1119" i="2"/>
  <c r="N1118" i="2"/>
  <c r="M1118" i="2"/>
  <c r="L1118" i="2"/>
  <c r="N1117" i="2"/>
  <c r="M1117" i="2"/>
  <c r="L1117" i="2"/>
  <c r="N1116" i="2"/>
  <c r="M1116" i="2"/>
  <c r="L1116" i="2"/>
  <c r="N1115" i="2"/>
  <c r="M1115" i="2"/>
  <c r="L1115" i="2"/>
  <c r="N1114" i="2"/>
  <c r="M1114" i="2"/>
  <c r="L1114" i="2"/>
  <c r="N1113" i="2"/>
  <c r="M1113" i="2"/>
  <c r="L1113" i="2"/>
  <c r="N1112" i="2"/>
  <c r="M1112" i="2"/>
  <c r="L1112" i="2"/>
  <c r="N1111" i="2"/>
  <c r="M1111" i="2"/>
  <c r="L1111" i="2"/>
  <c r="N1110" i="2"/>
  <c r="M1110" i="2"/>
  <c r="L1110" i="2"/>
  <c r="N1109" i="2"/>
  <c r="M1109" i="2"/>
  <c r="L1109" i="2"/>
  <c r="N1108" i="2"/>
  <c r="M1108" i="2"/>
  <c r="L1108" i="2"/>
  <c r="N1107" i="2"/>
  <c r="M1107" i="2"/>
  <c r="L1107" i="2"/>
  <c r="N1106" i="2"/>
  <c r="M1106" i="2"/>
  <c r="L1106" i="2"/>
  <c r="N1105" i="2"/>
  <c r="M1105" i="2"/>
  <c r="L1105" i="2"/>
  <c r="N1104" i="2"/>
  <c r="M1104" i="2"/>
  <c r="L1104" i="2"/>
  <c r="N1103" i="2"/>
  <c r="M1103" i="2"/>
  <c r="L1103" i="2"/>
  <c r="N1102" i="2"/>
  <c r="M1102" i="2"/>
  <c r="L1102" i="2"/>
  <c r="N1101" i="2"/>
  <c r="M1101" i="2"/>
  <c r="L1101" i="2"/>
  <c r="N1100" i="2"/>
  <c r="M1100" i="2"/>
  <c r="L1100" i="2"/>
  <c r="N1099" i="2"/>
  <c r="M1099" i="2"/>
  <c r="L1099" i="2"/>
  <c r="N1098" i="2"/>
  <c r="M1098" i="2"/>
  <c r="L1098" i="2"/>
  <c r="N1097" i="2"/>
  <c r="M1097" i="2"/>
  <c r="L1097" i="2"/>
  <c r="N1096" i="2"/>
  <c r="M1096" i="2"/>
  <c r="L1096" i="2"/>
  <c r="N1095" i="2"/>
  <c r="M1095" i="2"/>
  <c r="L1095" i="2"/>
  <c r="N1094" i="2"/>
  <c r="M1094" i="2"/>
  <c r="L1094" i="2"/>
  <c r="N1093" i="2"/>
  <c r="M1093" i="2"/>
  <c r="L1093" i="2"/>
  <c r="N1092" i="2"/>
  <c r="M1092" i="2"/>
  <c r="L1092" i="2"/>
  <c r="N1091" i="2"/>
  <c r="M1091" i="2"/>
  <c r="L1091" i="2"/>
  <c r="N1090" i="2"/>
  <c r="M1090" i="2"/>
  <c r="L1090" i="2"/>
  <c r="N1089" i="2"/>
  <c r="M1089" i="2"/>
  <c r="L1089" i="2"/>
  <c r="N1088" i="2"/>
  <c r="M1088" i="2"/>
  <c r="L1088" i="2"/>
  <c r="N1087" i="2"/>
  <c r="M1087" i="2"/>
  <c r="L1087" i="2"/>
  <c r="N1086" i="2"/>
  <c r="M1086" i="2"/>
  <c r="L1086" i="2"/>
  <c r="N1085" i="2"/>
  <c r="M1085" i="2"/>
  <c r="L1085" i="2"/>
  <c r="N1084" i="2"/>
  <c r="M1084" i="2"/>
  <c r="L1084" i="2"/>
  <c r="N1083" i="2"/>
  <c r="M1083" i="2"/>
  <c r="L1083" i="2"/>
  <c r="N1082" i="2"/>
  <c r="M1082" i="2"/>
  <c r="L1082" i="2"/>
  <c r="N1081" i="2"/>
  <c r="M1081" i="2"/>
  <c r="L1081" i="2"/>
  <c r="N1080" i="2"/>
  <c r="M1080" i="2"/>
  <c r="L1080" i="2"/>
  <c r="N1079" i="2"/>
  <c r="M1079" i="2"/>
  <c r="L1079" i="2"/>
  <c r="N1078" i="2"/>
  <c r="M1078" i="2"/>
  <c r="L1078" i="2"/>
  <c r="N1077" i="2"/>
  <c r="M1077" i="2"/>
  <c r="L1077" i="2"/>
  <c r="N1076" i="2"/>
  <c r="M1076" i="2"/>
  <c r="L1076" i="2"/>
  <c r="N1075" i="2"/>
  <c r="M1075" i="2"/>
  <c r="L1075" i="2"/>
  <c r="N1074" i="2"/>
  <c r="M1074" i="2"/>
  <c r="L1074" i="2"/>
  <c r="N1073" i="2"/>
  <c r="M1073" i="2"/>
  <c r="L1073" i="2"/>
  <c r="N1072" i="2"/>
  <c r="M1072" i="2"/>
  <c r="L1072" i="2"/>
  <c r="N1071" i="2"/>
  <c r="M1071" i="2"/>
  <c r="L1071" i="2"/>
  <c r="N1070" i="2"/>
  <c r="M1070" i="2"/>
  <c r="L1070" i="2"/>
  <c r="N1069" i="2"/>
  <c r="M1069" i="2"/>
  <c r="L1069" i="2"/>
  <c r="N1068" i="2"/>
  <c r="M1068" i="2"/>
  <c r="L1068" i="2"/>
  <c r="N1067" i="2"/>
  <c r="M1067" i="2"/>
  <c r="L1067" i="2"/>
  <c r="N1066" i="2"/>
  <c r="M1066" i="2"/>
  <c r="L1066" i="2"/>
  <c r="N1065" i="2"/>
  <c r="M1065" i="2"/>
  <c r="L1065" i="2"/>
  <c r="N1064" i="2"/>
  <c r="M1064" i="2"/>
  <c r="L1064" i="2"/>
  <c r="N1063" i="2"/>
  <c r="M1063" i="2"/>
  <c r="L1063" i="2"/>
  <c r="N1062" i="2"/>
  <c r="M1062" i="2"/>
  <c r="L1062" i="2"/>
  <c r="N1061" i="2"/>
  <c r="M1061" i="2"/>
  <c r="L1061" i="2"/>
  <c r="N1060" i="2"/>
  <c r="M1060" i="2"/>
  <c r="L1060" i="2"/>
  <c r="N1059" i="2"/>
  <c r="M1059" i="2"/>
  <c r="L1059" i="2"/>
  <c r="N1058" i="2"/>
  <c r="M1058" i="2"/>
  <c r="L1058" i="2"/>
  <c r="N1057" i="2"/>
  <c r="M1057" i="2"/>
  <c r="L1057" i="2"/>
  <c r="N1056" i="2"/>
  <c r="M1056" i="2"/>
  <c r="L1056" i="2"/>
  <c r="N1055" i="2"/>
  <c r="M1055" i="2"/>
  <c r="L1055" i="2"/>
  <c r="N1054" i="2"/>
  <c r="M1054" i="2"/>
  <c r="L1054" i="2"/>
  <c r="N1053" i="2"/>
  <c r="M1053" i="2"/>
  <c r="L1053" i="2"/>
  <c r="N1052" i="2"/>
  <c r="M1052" i="2"/>
  <c r="L1052" i="2"/>
  <c r="N1051" i="2"/>
  <c r="M1051" i="2"/>
  <c r="L1051" i="2"/>
  <c r="N1050" i="2"/>
  <c r="M1050" i="2"/>
  <c r="L1050" i="2"/>
  <c r="N1049" i="2"/>
  <c r="M1049" i="2"/>
  <c r="L1049" i="2"/>
  <c r="N1048" i="2"/>
  <c r="M1048" i="2"/>
  <c r="L1048" i="2"/>
  <c r="N1047" i="2"/>
  <c r="M1047" i="2"/>
  <c r="L1047" i="2"/>
  <c r="N1046" i="2"/>
  <c r="M1046" i="2"/>
  <c r="L1046" i="2"/>
  <c r="N1045" i="2"/>
  <c r="M1045" i="2"/>
  <c r="L1045" i="2"/>
  <c r="N1044" i="2"/>
  <c r="M1044" i="2"/>
  <c r="L1044" i="2"/>
  <c r="N1043" i="2"/>
  <c r="M1043" i="2"/>
  <c r="L1043" i="2"/>
  <c r="N1042" i="2"/>
  <c r="M1042" i="2"/>
  <c r="L1042" i="2"/>
  <c r="N1041" i="2"/>
  <c r="M1041" i="2"/>
  <c r="L1041" i="2"/>
  <c r="N1040" i="2"/>
  <c r="M1040" i="2"/>
  <c r="L1040" i="2"/>
  <c r="N1039" i="2"/>
  <c r="M1039" i="2"/>
  <c r="L1039" i="2"/>
  <c r="N1038" i="2"/>
  <c r="M1038" i="2"/>
  <c r="L1038" i="2"/>
  <c r="N1037" i="2"/>
  <c r="M1037" i="2"/>
  <c r="L1037" i="2"/>
  <c r="N1036" i="2"/>
  <c r="M1036" i="2"/>
  <c r="L1036" i="2"/>
  <c r="N1035" i="2"/>
  <c r="M1035" i="2"/>
  <c r="L1035" i="2"/>
  <c r="N1034" i="2"/>
  <c r="M1034" i="2"/>
  <c r="L1034" i="2"/>
  <c r="N1033" i="2"/>
  <c r="M1033" i="2"/>
  <c r="L1033" i="2"/>
  <c r="N1032" i="2"/>
  <c r="M1032" i="2"/>
  <c r="L1032" i="2"/>
  <c r="N1031" i="2"/>
  <c r="M1031" i="2"/>
  <c r="L1031" i="2"/>
  <c r="N1030" i="2"/>
  <c r="M1030" i="2"/>
  <c r="L1030" i="2"/>
  <c r="N1029" i="2"/>
  <c r="M1029" i="2"/>
  <c r="L1029" i="2"/>
  <c r="N1028" i="2"/>
  <c r="M1028" i="2"/>
  <c r="L1028" i="2"/>
  <c r="N1027" i="2"/>
  <c r="M1027" i="2"/>
  <c r="L1027" i="2"/>
  <c r="N1026" i="2"/>
  <c r="M1026" i="2"/>
  <c r="L1026" i="2"/>
  <c r="N1025" i="2"/>
  <c r="M1025" i="2"/>
  <c r="L1025" i="2"/>
  <c r="N1024" i="2"/>
  <c r="M1024" i="2"/>
  <c r="L1024" i="2"/>
  <c r="N1023" i="2"/>
  <c r="M1023" i="2"/>
  <c r="L1023" i="2"/>
  <c r="N1022" i="2"/>
  <c r="M1022" i="2"/>
  <c r="L1022" i="2"/>
  <c r="N1021" i="2"/>
  <c r="M1021" i="2"/>
  <c r="L1021" i="2"/>
  <c r="N1020" i="2"/>
  <c r="M1020" i="2"/>
  <c r="L1020" i="2"/>
  <c r="N1019" i="2"/>
  <c r="M1019" i="2"/>
  <c r="L1019" i="2"/>
  <c r="N1018" i="2"/>
  <c r="M1018" i="2"/>
  <c r="L1018" i="2"/>
  <c r="N1017" i="2"/>
  <c r="M1017" i="2"/>
  <c r="L1017" i="2"/>
  <c r="N1016" i="2"/>
  <c r="M1016" i="2"/>
  <c r="L1016" i="2"/>
  <c r="N1015" i="2"/>
  <c r="M1015" i="2"/>
  <c r="L1015" i="2"/>
  <c r="N1014" i="2"/>
  <c r="M1014" i="2"/>
  <c r="L1014" i="2"/>
  <c r="N1013" i="2"/>
  <c r="M1013" i="2"/>
  <c r="L1013" i="2"/>
  <c r="N1012" i="2"/>
  <c r="M1012" i="2"/>
  <c r="L1012" i="2"/>
  <c r="N1011" i="2"/>
  <c r="M1011" i="2"/>
  <c r="L1011" i="2"/>
  <c r="N1010" i="2"/>
  <c r="M1010" i="2"/>
  <c r="L1010" i="2"/>
  <c r="N1009" i="2"/>
  <c r="M1009" i="2"/>
  <c r="L1009" i="2"/>
  <c r="N1008" i="2"/>
  <c r="M1008" i="2"/>
  <c r="L1008" i="2"/>
  <c r="N1007" i="2"/>
  <c r="M1007" i="2"/>
  <c r="L1007" i="2"/>
  <c r="N1006" i="2"/>
  <c r="M1006" i="2"/>
  <c r="L1006" i="2"/>
  <c r="N1005" i="2"/>
  <c r="M1005" i="2"/>
  <c r="L1005" i="2"/>
  <c r="N1004" i="2"/>
  <c r="M1004" i="2"/>
  <c r="L1004" i="2"/>
  <c r="N1003" i="2"/>
  <c r="M1003" i="2"/>
  <c r="L1003" i="2"/>
  <c r="N1002" i="2"/>
  <c r="M1002" i="2"/>
  <c r="L1002" i="2"/>
  <c r="N1001" i="2"/>
  <c r="M1001" i="2"/>
  <c r="L1001" i="2"/>
  <c r="N1000" i="2"/>
  <c r="M1000" i="2"/>
  <c r="L1000" i="2"/>
  <c r="N999" i="2"/>
  <c r="M999" i="2"/>
  <c r="L999" i="2"/>
  <c r="N998" i="2"/>
  <c r="M998" i="2"/>
  <c r="L998" i="2"/>
  <c r="N997" i="2"/>
  <c r="M997" i="2"/>
  <c r="L997" i="2"/>
  <c r="N996" i="2"/>
  <c r="M996" i="2"/>
  <c r="L996" i="2"/>
  <c r="N995" i="2"/>
  <c r="M995" i="2"/>
  <c r="L995" i="2"/>
  <c r="N994" i="2"/>
  <c r="M994" i="2"/>
  <c r="L994" i="2"/>
  <c r="N993" i="2"/>
  <c r="M993" i="2"/>
  <c r="L993" i="2"/>
  <c r="N992" i="2"/>
  <c r="M992" i="2"/>
  <c r="L992" i="2"/>
  <c r="N991" i="2"/>
  <c r="M991" i="2"/>
  <c r="L991" i="2"/>
  <c r="N990" i="2"/>
  <c r="M990" i="2"/>
  <c r="L990" i="2"/>
  <c r="N989" i="2"/>
  <c r="M989" i="2"/>
  <c r="L989" i="2"/>
  <c r="N988" i="2"/>
  <c r="M988" i="2"/>
  <c r="L988" i="2"/>
  <c r="N987" i="2"/>
  <c r="M987" i="2"/>
  <c r="L987" i="2"/>
  <c r="N986" i="2"/>
  <c r="M986" i="2"/>
  <c r="L986" i="2"/>
  <c r="N985" i="2"/>
  <c r="M985" i="2"/>
  <c r="L985" i="2"/>
  <c r="N984" i="2"/>
  <c r="M984" i="2"/>
  <c r="L984" i="2"/>
  <c r="N983" i="2"/>
  <c r="M983" i="2"/>
  <c r="L983" i="2"/>
  <c r="N982" i="2"/>
  <c r="M982" i="2"/>
  <c r="L982" i="2"/>
  <c r="N981" i="2"/>
  <c r="M981" i="2"/>
  <c r="L981" i="2"/>
  <c r="N980" i="2"/>
  <c r="M980" i="2"/>
  <c r="L980" i="2"/>
  <c r="N979" i="2"/>
  <c r="M979" i="2"/>
  <c r="L979" i="2"/>
  <c r="N978" i="2"/>
  <c r="M978" i="2"/>
  <c r="L978" i="2"/>
  <c r="N977" i="2"/>
  <c r="M977" i="2"/>
  <c r="L977" i="2"/>
  <c r="N976" i="2"/>
  <c r="M976" i="2"/>
  <c r="L976" i="2"/>
  <c r="N975" i="2"/>
  <c r="M975" i="2"/>
  <c r="L975" i="2"/>
  <c r="N974" i="2"/>
  <c r="M974" i="2"/>
  <c r="L974" i="2"/>
  <c r="N973" i="2"/>
  <c r="M973" i="2"/>
  <c r="L973" i="2"/>
  <c r="N972" i="2"/>
  <c r="M972" i="2"/>
  <c r="L972" i="2"/>
  <c r="N971" i="2"/>
  <c r="M971" i="2"/>
  <c r="L971" i="2"/>
  <c r="N970" i="2"/>
  <c r="M970" i="2"/>
  <c r="L970" i="2"/>
  <c r="N969" i="2"/>
  <c r="M969" i="2"/>
  <c r="L969" i="2"/>
  <c r="N968" i="2"/>
  <c r="M968" i="2"/>
  <c r="L968" i="2"/>
  <c r="N967" i="2"/>
  <c r="M967" i="2"/>
  <c r="L967" i="2"/>
  <c r="N966" i="2"/>
  <c r="M966" i="2"/>
  <c r="L966" i="2"/>
  <c r="N965" i="2"/>
  <c r="M965" i="2"/>
  <c r="L965" i="2"/>
  <c r="N964" i="2"/>
  <c r="M964" i="2"/>
  <c r="L964" i="2"/>
  <c r="N963" i="2"/>
  <c r="M963" i="2"/>
  <c r="L963" i="2"/>
  <c r="N962" i="2"/>
  <c r="M962" i="2"/>
  <c r="L962" i="2"/>
  <c r="N961" i="2"/>
  <c r="M961" i="2"/>
  <c r="L961" i="2"/>
  <c r="N960" i="2"/>
  <c r="M960" i="2"/>
  <c r="L960" i="2"/>
  <c r="N959" i="2"/>
  <c r="M959" i="2"/>
  <c r="L959" i="2"/>
  <c r="N958" i="2"/>
  <c r="M958" i="2"/>
  <c r="L958" i="2"/>
  <c r="N957" i="2"/>
  <c r="M957" i="2"/>
  <c r="L957" i="2"/>
  <c r="N956" i="2"/>
  <c r="M956" i="2"/>
  <c r="L956" i="2"/>
  <c r="N955" i="2"/>
  <c r="M955" i="2"/>
  <c r="L955" i="2"/>
  <c r="N954" i="2"/>
  <c r="M954" i="2"/>
  <c r="L954" i="2"/>
  <c r="N953" i="2"/>
  <c r="M953" i="2"/>
  <c r="L953" i="2"/>
  <c r="N952" i="2"/>
  <c r="M952" i="2"/>
  <c r="L952" i="2"/>
  <c r="N951" i="2"/>
  <c r="M951" i="2"/>
  <c r="L951" i="2"/>
  <c r="N950" i="2"/>
  <c r="M950" i="2"/>
  <c r="L950" i="2"/>
  <c r="N949" i="2"/>
  <c r="M949" i="2"/>
  <c r="L949" i="2"/>
  <c r="N948" i="2"/>
  <c r="M948" i="2"/>
  <c r="L948" i="2"/>
  <c r="N947" i="2"/>
  <c r="M947" i="2"/>
  <c r="L947" i="2"/>
  <c r="N946" i="2"/>
  <c r="M946" i="2"/>
  <c r="L946" i="2"/>
  <c r="N945" i="2"/>
  <c r="M945" i="2"/>
  <c r="L945" i="2"/>
  <c r="N944" i="2"/>
  <c r="M944" i="2"/>
  <c r="L944" i="2"/>
  <c r="N943" i="2"/>
  <c r="M943" i="2"/>
  <c r="L943" i="2"/>
  <c r="N942" i="2"/>
  <c r="M942" i="2"/>
  <c r="L942" i="2"/>
  <c r="N941" i="2"/>
  <c r="M941" i="2"/>
  <c r="L941" i="2"/>
  <c r="N940" i="2"/>
  <c r="M940" i="2"/>
  <c r="L940" i="2"/>
  <c r="N939" i="2"/>
  <c r="M939" i="2"/>
  <c r="L939" i="2"/>
  <c r="N938" i="2"/>
  <c r="M938" i="2"/>
  <c r="L938" i="2"/>
  <c r="N937" i="2"/>
  <c r="M937" i="2"/>
  <c r="L937" i="2"/>
  <c r="N936" i="2"/>
  <c r="M936" i="2"/>
  <c r="L936" i="2"/>
  <c r="N935" i="2"/>
  <c r="M935" i="2"/>
  <c r="L935" i="2"/>
  <c r="N934" i="2"/>
  <c r="M934" i="2"/>
  <c r="L934" i="2"/>
  <c r="N933" i="2"/>
  <c r="M933" i="2"/>
  <c r="L933" i="2"/>
  <c r="N932" i="2"/>
  <c r="M932" i="2"/>
  <c r="L932" i="2"/>
  <c r="N931" i="2"/>
  <c r="M931" i="2"/>
  <c r="L931" i="2"/>
  <c r="N930" i="2"/>
  <c r="M930" i="2"/>
  <c r="L930" i="2"/>
  <c r="N929" i="2"/>
  <c r="M929" i="2"/>
  <c r="L929" i="2"/>
  <c r="N928" i="2"/>
  <c r="M928" i="2"/>
  <c r="L928" i="2"/>
  <c r="N927" i="2"/>
  <c r="M927" i="2"/>
  <c r="L927" i="2"/>
  <c r="N926" i="2"/>
  <c r="M926" i="2"/>
  <c r="L926" i="2"/>
  <c r="N925" i="2"/>
  <c r="M925" i="2"/>
  <c r="L925" i="2"/>
  <c r="N924" i="2"/>
  <c r="M924" i="2"/>
  <c r="L924" i="2"/>
  <c r="N923" i="2"/>
  <c r="M923" i="2"/>
  <c r="L923" i="2"/>
  <c r="N922" i="2"/>
  <c r="M922" i="2"/>
  <c r="L922" i="2"/>
  <c r="N921" i="2"/>
  <c r="M921" i="2"/>
  <c r="L921" i="2"/>
  <c r="N920" i="2"/>
  <c r="M920" i="2"/>
  <c r="L920" i="2"/>
  <c r="N919" i="2"/>
  <c r="M919" i="2"/>
  <c r="L919" i="2"/>
  <c r="N918" i="2"/>
  <c r="M918" i="2"/>
  <c r="L918" i="2"/>
  <c r="N917" i="2"/>
  <c r="M917" i="2"/>
  <c r="L917" i="2"/>
  <c r="N916" i="2"/>
  <c r="M916" i="2"/>
  <c r="L916" i="2"/>
  <c r="N915" i="2"/>
  <c r="M915" i="2"/>
  <c r="L915" i="2"/>
  <c r="N914" i="2"/>
  <c r="M914" i="2"/>
  <c r="L914" i="2"/>
  <c r="N913" i="2"/>
  <c r="M913" i="2"/>
  <c r="L913" i="2"/>
  <c r="N912" i="2"/>
  <c r="M912" i="2"/>
  <c r="L912" i="2"/>
  <c r="N911" i="2"/>
  <c r="M911" i="2"/>
  <c r="L911" i="2"/>
  <c r="N910" i="2"/>
  <c r="M910" i="2"/>
  <c r="L910" i="2"/>
  <c r="N909" i="2"/>
  <c r="M909" i="2"/>
  <c r="L909" i="2"/>
  <c r="N908" i="2"/>
  <c r="M908" i="2"/>
  <c r="L908" i="2"/>
  <c r="N907" i="2"/>
  <c r="M907" i="2"/>
  <c r="L907" i="2"/>
  <c r="N906" i="2"/>
  <c r="M906" i="2"/>
  <c r="L906" i="2"/>
  <c r="N905" i="2"/>
  <c r="M905" i="2"/>
  <c r="L905" i="2"/>
  <c r="N904" i="2"/>
  <c r="M904" i="2"/>
  <c r="L904" i="2"/>
  <c r="N903" i="2"/>
  <c r="M903" i="2"/>
  <c r="L903" i="2"/>
  <c r="N902" i="2"/>
  <c r="M902" i="2"/>
  <c r="L902" i="2"/>
  <c r="N901" i="2"/>
  <c r="M901" i="2"/>
  <c r="L901" i="2"/>
  <c r="N900" i="2"/>
  <c r="M900" i="2"/>
  <c r="L900" i="2"/>
  <c r="N899" i="2"/>
  <c r="M899" i="2"/>
  <c r="L899" i="2"/>
  <c r="N898" i="2"/>
  <c r="M898" i="2"/>
  <c r="L898" i="2"/>
  <c r="N897" i="2"/>
  <c r="M897" i="2"/>
  <c r="L897" i="2"/>
  <c r="N896" i="2"/>
  <c r="M896" i="2"/>
  <c r="L896" i="2"/>
  <c r="N895" i="2"/>
  <c r="M895" i="2"/>
  <c r="L895" i="2"/>
  <c r="N894" i="2"/>
  <c r="M894" i="2"/>
  <c r="L894" i="2"/>
  <c r="N893" i="2"/>
  <c r="M893" i="2"/>
  <c r="L893" i="2"/>
  <c r="N892" i="2"/>
  <c r="M892" i="2"/>
  <c r="L892" i="2"/>
  <c r="N891" i="2"/>
  <c r="M891" i="2"/>
  <c r="L891" i="2"/>
  <c r="N890" i="2"/>
  <c r="M890" i="2"/>
  <c r="L890" i="2"/>
  <c r="N889" i="2"/>
  <c r="M889" i="2"/>
  <c r="L889" i="2"/>
  <c r="N888" i="2"/>
  <c r="M888" i="2"/>
  <c r="L888" i="2"/>
  <c r="N887" i="2"/>
  <c r="M887" i="2"/>
  <c r="L887" i="2"/>
  <c r="N886" i="2"/>
  <c r="M886" i="2"/>
  <c r="L886" i="2"/>
  <c r="N885" i="2"/>
  <c r="M885" i="2"/>
  <c r="L885" i="2"/>
  <c r="N884" i="2"/>
  <c r="M884" i="2"/>
  <c r="L884" i="2"/>
  <c r="N883" i="2"/>
  <c r="M883" i="2"/>
  <c r="L883" i="2"/>
  <c r="N882" i="2"/>
  <c r="M882" i="2"/>
  <c r="L882" i="2"/>
  <c r="N881" i="2"/>
  <c r="M881" i="2"/>
  <c r="L881" i="2"/>
  <c r="N880" i="2"/>
  <c r="M880" i="2"/>
  <c r="L880" i="2"/>
  <c r="N879" i="2"/>
  <c r="M879" i="2"/>
  <c r="L879" i="2"/>
  <c r="N878" i="2"/>
  <c r="M878" i="2"/>
  <c r="L878" i="2"/>
  <c r="N877" i="2"/>
  <c r="M877" i="2"/>
  <c r="L877" i="2"/>
  <c r="N876" i="2"/>
  <c r="M876" i="2"/>
  <c r="L876" i="2"/>
  <c r="N875" i="2"/>
  <c r="M875" i="2"/>
  <c r="L875" i="2"/>
  <c r="N874" i="2"/>
  <c r="M874" i="2"/>
  <c r="L874" i="2"/>
  <c r="N873" i="2"/>
  <c r="M873" i="2"/>
  <c r="L873" i="2"/>
  <c r="N872" i="2"/>
  <c r="M872" i="2"/>
  <c r="L872" i="2"/>
  <c r="N871" i="2"/>
  <c r="M871" i="2"/>
  <c r="L871" i="2"/>
  <c r="N870" i="2"/>
  <c r="M870" i="2"/>
  <c r="L870" i="2"/>
  <c r="N869" i="2"/>
  <c r="M869" i="2"/>
  <c r="L869" i="2"/>
  <c r="N868" i="2"/>
  <c r="M868" i="2"/>
  <c r="L868" i="2"/>
  <c r="N867" i="2"/>
  <c r="M867" i="2"/>
  <c r="L867" i="2"/>
  <c r="N866" i="2"/>
  <c r="M866" i="2"/>
  <c r="L866" i="2"/>
  <c r="N865" i="2"/>
  <c r="M865" i="2"/>
  <c r="L865" i="2"/>
  <c r="N864" i="2"/>
  <c r="M864" i="2"/>
  <c r="L864" i="2"/>
  <c r="N863" i="2"/>
  <c r="M863" i="2"/>
  <c r="L863" i="2"/>
  <c r="N862" i="2"/>
  <c r="M862" i="2"/>
  <c r="L862" i="2"/>
  <c r="N861" i="2"/>
  <c r="M861" i="2"/>
  <c r="L861" i="2"/>
  <c r="N860" i="2"/>
  <c r="M860" i="2"/>
  <c r="L860" i="2"/>
  <c r="N859" i="2"/>
  <c r="M859" i="2"/>
  <c r="L859" i="2"/>
  <c r="N858" i="2"/>
  <c r="M858" i="2"/>
  <c r="L858" i="2"/>
  <c r="N857" i="2"/>
  <c r="M857" i="2"/>
  <c r="L857" i="2"/>
  <c r="N856" i="2"/>
  <c r="M856" i="2"/>
  <c r="L856" i="2"/>
  <c r="N855" i="2"/>
  <c r="M855" i="2"/>
  <c r="L855" i="2"/>
  <c r="N854" i="2"/>
  <c r="M854" i="2"/>
  <c r="L854" i="2"/>
  <c r="N853" i="2"/>
  <c r="M853" i="2"/>
  <c r="L853" i="2"/>
  <c r="N852" i="2"/>
  <c r="M852" i="2"/>
  <c r="L852" i="2"/>
  <c r="N851" i="2"/>
  <c r="M851" i="2"/>
  <c r="L851" i="2"/>
  <c r="N850" i="2"/>
  <c r="M850" i="2"/>
  <c r="L850" i="2"/>
  <c r="N849" i="2"/>
  <c r="M849" i="2"/>
  <c r="L849" i="2"/>
  <c r="N848" i="2"/>
  <c r="M848" i="2"/>
  <c r="L848" i="2"/>
  <c r="N847" i="2"/>
  <c r="M847" i="2"/>
  <c r="L847" i="2"/>
  <c r="N846" i="2"/>
  <c r="M846" i="2"/>
  <c r="L846" i="2"/>
  <c r="N845" i="2"/>
  <c r="M845" i="2"/>
  <c r="L845" i="2"/>
  <c r="N844" i="2"/>
  <c r="M844" i="2"/>
  <c r="L844" i="2"/>
  <c r="N843" i="2"/>
  <c r="M843" i="2"/>
  <c r="L843" i="2"/>
  <c r="N842" i="2"/>
  <c r="M842" i="2"/>
  <c r="L842" i="2"/>
  <c r="N841" i="2"/>
  <c r="M841" i="2"/>
  <c r="L841" i="2"/>
  <c r="N840" i="2"/>
  <c r="M840" i="2"/>
  <c r="L840" i="2"/>
  <c r="N839" i="2"/>
  <c r="M839" i="2"/>
  <c r="L839" i="2"/>
  <c r="N838" i="2"/>
  <c r="M838" i="2"/>
  <c r="L838" i="2"/>
  <c r="N837" i="2"/>
  <c r="M837" i="2"/>
  <c r="L837" i="2"/>
  <c r="N836" i="2"/>
  <c r="M836" i="2"/>
  <c r="L836" i="2"/>
  <c r="N835" i="2"/>
  <c r="M835" i="2"/>
  <c r="L835" i="2"/>
  <c r="N834" i="2"/>
  <c r="M834" i="2"/>
  <c r="L834" i="2"/>
  <c r="N833" i="2"/>
  <c r="M833" i="2"/>
  <c r="L833" i="2"/>
  <c r="N832" i="2"/>
  <c r="M832" i="2"/>
  <c r="L832" i="2"/>
  <c r="N831" i="2"/>
  <c r="M831" i="2"/>
  <c r="L831" i="2"/>
  <c r="N830" i="2"/>
  <c r="M830" i="2"/>
  <c r="L830" i="2"/>
  <c r="N829" i="2"/>
  <c r="M829" i="2"/>
  <c r="L829" i="2"/>
  <c r="N828" i="2"/>
  <c r="M828" i="2"/>
  <c r="L828" i="2"/>
  <c r="N827" i="2"/>
  <c r="M827" i="2"/>
  <c r="L827" i="2"/>
  <c r="N826" i="2"/>
  <c r="M826" i="2"/>
  <c r="L826" i="2"/>
  <c r="N825" i="2"/>
  <c r="M825" i="2"/>
  <c r="L825" i="2"/>
  <c r="N824" i="2"/>
  <c r="M824" i="2"/>
  <c r="L824" i="2"/>
  <c r="N823" i="2"/>
  <c r="M823" i="2"/>
  <c r="L823" i="2"/>
  <c r="N822" i="2"/>
  <c r="M822" i="2"/>
  <c r="L822" i="2"/>
  <c r="N821" i="2"/>
  <c r="M821" i="2"/>
  <c r="L821" i="2"/>
  <c r="N820" i="2"/>
  <c r="M820" i="2"/>
  <c r="L820" i="2"/>
  <c r="N819" i="2"/>
  <c r="M819" i="2"/>
  <c r="L819" i="2"/>
  <c r="N818" i="2"/>
  <c r="M818" i="2"/>
  <c r="L818" i="2"/>
  <c r="N817" i="2"/>
  <c r="M817" i="2"/>
  <c r="L817" i="2"/>
  <c r="N816" i="2"/>
  <c r="M816" i="2"/>
  <c r="L816" i="2"/>
  <c r="N815" i="2"/>
  <c r="M815" i="2"/>
  <c r="L815" i="2"/>
  <c r="N814" i="2"/>
  <c r="M814" i="2"/>
  <c r="L814" i="2"/>
  <c r="N813" i="2"/>
  <c r="M813" i="2"/>
  <c r="L813" i="2"/>
  <c r="N812" i="2"/>
  <c r="M812" i="2"/>
  <c r="L812" i="2"/>
  <c r="N811" i="2"/>
  <c r="M811" i="2"/>
  <c r="L811" i="2"/>
  <c r="N810" i="2"/>
  <c r="M810" i="2"/>
  <c r="L810" i="2"/>
  <c r="N809" i="2"/>
  <c r="M809" i="2"/>
  <c r="L809" i="2"/>
  <c r="N808" i="2"/>
  <c r="M808" i="2"/>
  <c r="L808" i="2"/>
  <c r="N807" i="2"/>
  <c r="M807" i="2"/>
  <c r="L807" i="2"/>
  <c r="N806" i="2"/>
  <c r="M806" i="2"/>
  <c r="L806" i="2"/>
  <c r="N805" i="2"/>
  <c r="M805" i="2"/>
  <c r="L805" i="2"/>
  <c r="N804" i="2"/>
  <c r="M804" i="2"/>
  <c r="L804" i="2"/>
  <c r="N803" i="2"/>
  <c r="M803" i="2"/>
  <c r="L803" i="2"/>
  <c r="N802" i="2"/>
  <c r="M802" i="2"/>
  <c r="L802" i="2"/>
  <c r="N801" i="2"/>
  <c r="M801" i="2"/>
  <c r="L801" i="2"/>
  <c r="N800" i="2"/>
  <c r="M800" i="2"/>
  <c r="L800" i="2"/>
  <c r="N799" i="2"/>
  <c r="M799" i="2"/>
  <c r="L799" i="2"/>
  <c r="N798" i="2"/>
  <c r="M798" i="2"/>
  <c r="L798" i="2"/>
  <c r="N797" i="2"/>
  <c r="M797" i="2"/>
  <c r="L797" i="2"/>
  <c r="N796" i="2"/>
  <c r="M796" i="2"/>
  <c r="L796" i="2"/>
  <c r="N795" i="2"/>
  <c r="M795" i="2"/>
  <c r="L795" i="2"/>
  <c r="N794" i="2"/>
  <c r="M794" i="2"/>
  <c r="L794" i="2"/>
  <c r="N793" i="2"/>
  <c r="M793" i="2"/>
  <c r="L793" i="2"/>
  <c r="N792" i="2"/>
  <c r="M792" i="2"/>
  <c r="L792" i="2"/>
  <c r="N791" i="2"/>
  <c r="M791" i="2"/>
  <c r="L791" i="2"/>
  <c r="N790" i="2"/>
  <c r="M790" i="2"/>
  <c r="L790" i="2"/>
  <c r="N789" i="2"/>
  <c r="M789" i="2"/>
  <c r="L789" i="2"/>
  <c r="N788" i="2"/>
  <c r="M788" i="2"/>
  <c r="L788" i="2"/>
  <c r="N787" i="2"/>
  <c r="M787" i="2"/>
  <c r="L787" i="2"/>
  <c r="N786" i="2"/>
  <c r="M786" i="2"/>
  <c r="L786" i="2"/>
  <c r="N785" i="2"/>
  <c r="M785" i="2"/>
  <c r="L785" i="2"/>
  <c r="N784" i="2"/>
  <c r="M784" i="2"/>
  <c r="L784" i="2"/>
  <c r="N783" i="2"/>
  <c r="M783" i="2"/>
  <c r="L783" i="2"/>
  <c r="N782" i="2"/>
  <c r="M782" i="2"/>
  <c r="L782" i="2"/>
  <c r="N781" i="2"/>
  <c r="M781" i="2"/>
  <c r="L781" i="2"/>
  <c r="N780" i="2"/>
  <c r="M780" i="2"/>
  <c r="L780" i="2"/>
  <c r="N779" i="2"/>
  <c r="M779" i="2"/>
  <c r="L779" i="2"/>
  <c r="N778" i="2"/>
  <c r="M778" i="2"/>
  <c r="L778" i="2"/>
  <c r="N777" i="2"/>
  <c r="M777" i="2"/>
  <c r="L777" i="2"/>
  <c r="N776" i="2"/>
  <c r="M776" i="2"/>
  <c r="L776" i="2"/>
  <c r="N775" i="2"/>
  <c r="M775" i="2"/>
  <c r="L775" i="2"/>
  <c r="N774" i="2"/>
  <c r="M774" i="2"/>
  <c r="L774" i="2"/>
  <c r="N773" i="2"/>
  <c r="M773" i="2"/>
  <c r="L773" i="2"/>
  <c r="N772" i="2"/>
  <c r="M772" i="2"/>
  <c r="L772" i="2"/>
  <c r="N771" i="2"/>
  <c r="M771" i="2"/>
  <c r="L771" i="2"/>
  <c r="N770" i="2"/>
  <c r="M770" i="2"/>
  <c r="L770" i="2"/>
  <c r="N769" i="2"/>
  <c r="M769" i="2"/>
  <c r="L769" i="2"/>
  <c r="N768" i="2"/>
  <c r="M768" i="2"/>
  <c r="L768" i="2"/>
  <c r="N767" i="2"/>
  <c r="M767" i="2"/>
  <c r="L767" i="2"/>
  <c r="N766" i="2"/>
  <c r="M766" i="2"/>
  <c r="L766" i="2"/>
  <c r="N765" i="2"/>
  <c r="M765" i="2"/>
  <c r="L765" i="2"/>
  <c r="N764" i="2"/>
  <c r="M764" i="2"/>
  <c r="L764" i="2"/>
  <c r="N763" i="2"/>
  <c r="M763" i="2"/>
  <c r="L763" i="2"/>
  <c r="N762" i="2"/>
  <c r="M762" i="2"/>
  <c r="L762" i="2"/>
  <c r="N761" i="2"/>
  <c r="M761" i="2"/>
  <c r="L761" i="2"/>
  <c r="N760" i="2"/>
  <c r="M760" i="2"/>
  <c r="L760" i="2"/>
  <c r="N759" i="2"/>
  <c r="M759" i="2"/>
  <c r="L759" i="2"/>
  <c r="N758" i="2"/>
  <c r="M758" i="2"/>
  <c r="L758" i="2"/>
  <c r="N757" i="2"/>
  <c r="M757" i="2"/>
  <c r="L757" i="2"/>
  <c r="N756" i="2"/>
  <c r="M756" i="2"/>
  <c r="L756" i="2"/>
  <c r="N755" i="2"/>
  <c r="M755" i="2"/>
  <c r="L755" i="2"/>
  <c r="N754" i="2"/>
  <c r="M754" i="2"/>
  <c r="L754" i="2"/>
  <c r="N753" i="2"/>
  <c r="M753" i="2"/>
  <c r="L753" i="2"/>
  <c r="N752" i="2"/>
  <c r="M752" i="2"/>
  <c r="L752" i="2"/>
  <c r="N751" i="2"/>
  <c r="M751" i="2"/>
  <c r="L751" i="2"/>
  <c r="N750" i="2"/>
  <c r="M750" i="2"/>
  <c r="L750" i="2"/>
  <c r="N749" i="2"/>
  <c r="M749" i="2"/>
  <c r="L749" i="2"/>
  <c r="N748" i="2"/>
  <c r="M748" i="2"/>
  <c r="L748" i="2"/>
  <c r="N747" i="2"/>
  <c r="M747" i="2"/>
  <c r="L747" i="2"/>
  <c r="N746" i="2"/>
  <c r="M746" i="2"/>
  <c r="L746" i="2"/>
  <c r="N745" i="2"/>
  <c r="M745" i="2"/>
  <c r="L745" i="2"/>
  <c r="N744" i="2"/>
  <c r="M744" i="2"/>
  <c r="L744" i="2"/>
  <c r="N743" i="2"/>
  <c r="M743" i="2"/>
  <c r="L743" i="2"/>
  <c r="N742" i="2"/>
  <c r="M742" i="2"/>
  <c r="L742" i="2"/>
  <c r="N741" i="2"/>
  <c r="M741" i="2"/>
  <c r="L741" i="2"/>
  <c r="N740" i="2"/>
  <c r="M740" i="2"/>
  <c r="L740" i="2"/>
  <c r="N739" i="2"/>
  <c r="M739" i="2"/>
  <c r="L739" i="2"/>
  <c r="N738" i="2"/>
  <c r="M738" i="2"/>
  <c r="L738" i="2"/>
  <c r="N737" i="2"/>
  <c r="M737" i="2"/>
  <c r="L737" i="2"/>
  <c r="N736" i="2"/>
  <c r="M736" i="2"/>
  <c r="L736" i="2"/>
  <c r="N735" i="2"/>
  <c r="M735" i="2"/>
  <c r="L735" i="2"/>
  <c r="N734" i="2"/>
  <c r="M734" i="2"/>
  <c r="L734" i="2"/>
  <c r="N733" i="2"/>
  <c r="M733" i="2"/>
  <c r="L733" i="2"/>
  <c r="N732" i="2"/>
  <c r="M732" i="2"/>
  <c r="L732" i="2"/>
  <c r="N731" i="2"/>
  <c r="M731" i="2"/>
  <c r="L731" i="2"/>
  <c r="N730" i="2"/>
  <c r="M730" i="2"/>
  <c r="L730" i="2"/>
  <c r="N729" i="2"/>
  <c r="M729" i="2"/>
  <c r="L729" i="2"/>
  <c r="N728" i="2"/>
  <c r="M728" i="2"/>
  <c r="L728" i="2"/>
  <c r="N727" i="2"/>
  <c r="M727" i="2"/>
  <c r="L727" i="2"/>
  <c r="N726" i="2"/>
  <c r="M726" i="2"/>
  <c r="L726" i="2"/>
  <c r="N725" i="2"/>
  <c r="M725" i="2"/>
  <c r="L725" i="2"/>
  <c r="N724" i="2"/>
  <c r="M724" i="2"/>
  <c r="L724" i="2"/>
  <c r="N723" i="2"/>
  <c r="M723" i="2"/>
  <c r="L723" i="2"/>
  <c r="N722" i="2"/>
  <c r="M722" i="2"/>
  <c r="L722" i="2"/>
  <c r="N721" i="2"/>
  <c r="M721" i="2"/>
  <c r="L721" i="2"/>
  <c r="N720" i="2"/>
  <c r="M720" i="2"/>
  <c r="L720" i="2"/>
  <c r="N719" i="2"/>
  <c r="M719" i="2"/>
  <c r="L719" i="2"/>
  <c r="N718" i="2"/>
  <c r="M718" i="2"/>
  <c r="L718" i="2"/>
  <c r="N717" i="2"/>
  <c r="M717" i="2"/>
  <c r="L717" i="2"/>
  <c r="N716" i="2"/>
  <c r="M716" i="2"/>
  <c r="L716" i="2"/>
  <c r="N715" i="2"/>
  <c r="M715" i="2"/>
  <c r="L715" i="2"/>
  <c r="N714" i="2"/>
  <c r="M714" i="2"/>
  <c r="L714" i="2"/>
  <c r="N713" i="2"/>
  <c r="M713" i="2"/>
  <c r="L713" i="2"/>
  <c r="N712" i="2"/>
  <c r="M712" i="2"/>
  <c r="L712" i="2"/>
  <c r="N711" i="2"/>
  <c r="M711" i="2"/>
  <c r="L711" i="2"/>
  <c r="N710" i="2"/>
  <c r="M710" i="2"/>
  <c r="L710" i="2"/>
  <c r="N709" i="2"/>
  <c r="M709" i="2"/>
  <c r="L709" i="2"/>
  <c r="N708" i="2"/>
  <c r="M708" i="2"/>
  <c r="L708" i="2"/>
  <c r="N707" i="2"/>
  <c r="M707" i="2"/>
  <c r="L707" i="2"/>
  <c r="N706" i="2"/>
  <c r="M706" i="2"/>
  <c r="L706" i="2"/>
  <c r="N705" i="2"/>
  <c r="M705" i="2"/>
  <c r="L705" i="2"/>
  <c r="N704" i="2"/>
  <c r="M704" i="2"/>
  <c r="L704" i="2"/>
  <c r="N703" i="2"/>
  <c r="M703" i="2"/>
  <c r="L703" i="2"/>
  <c r="N702" i="2"/>
  <c r="M702" i="2"/>
  <c r="L702" i="2"/>
  <c r="N701" i="2"/>
  <c r="M701" i="2"/>
  <c r="L701" i="2"/>
  <c r="N700" i="2"/>
  <c r="M700" i="2"/>
  <c r="L700" i="2"/>
  <c r="N699" i="2"/>
  <c r="M699" i="2"/>
  <c r="L699" i="2"/>
  <c r="N698" i="2"/>
  <c r="M698" i="2"/>
  <c r="L698" i="2"/>
  <c r="N697" i="2"/>
  <c r="M697" i="2"/>
  <c r="L697" i="2"/>
  <c r="N696" i="2"/>
  <c r="M696" i="2"/>
  <c r="L696" i="2"/>
  <c r="N695" i="2"/>
  <c r="M695" i="2"/>
  <c r="L695" i="2"/>
  <c r="N694" i="2"/>
  <c r="M694" i="2"/>
  <c r="L694" i="2"/>
  <c r="N693" i="2"/>
  <c r="M693" i="2"/>
  <c r="L693" i="2"/>
  <c r="N692" i="2"/>
  <c r="M692" i="2"/>
  <c r="L692" i="2"/>
  <c r="N691" i="2"/>
  <c r="M691" i="2"/>
  <c r="L691" i="2"/>
  <c r="N690" i="2"/>
  <c r="M690" i="2"/>
  <c r="L690" i="2"/>
  <c r="N689" i="2"/>
  <c r="M689" i="2"/>
  <c r="L689" i="2"/>
  <c r="N688" i="2"/>
  <c r="M688" i="2"/>
  <c r="L688" i="2"/>
  <c r="N687" i="2"/>
  <c r="M687" i="2"/>
  <c r="L687" i="2"/>
  <c r="N686" i="2"/>
  <c r="M686" i="2"/>
  <c r="L686" i="2"/>
  <c r="N685" i="2"/>
  <c r="M685" i="2"/>
  <c r="L685" i="2"/>
  <c r="N684" i="2"/>
  <c r="M684" i="2"/>
  <c r="L684" i="2"/>
  <c r="N683" i="2"/>
  <c r="M683" i="2"/>
  <c r="L683" i="2"/>
  <c r="N682" i="2"/>
  <c r="M682" i="2"/>
  <c r="L682" i="2"/>
  <c r="N681" i="2"/>
  <c r="M681" i="2"/>
  <c r="L681" i="2"/>
  <c r="N680" i="2"/>
  <c r="M680" i="2"/>
  <c r="L680" i="2"/>
  <c r="N679" i="2"/>
  <c r="M679" i="2"/>
  <c r="L679" i="2"/>
  <c r="N678" i="2"/>
  <c r="M678" i="2"/>
  <c r="L678" i="2"/>
  <c r="N677" i="2"/>
  <c r="M677" i="2"/>
  <c r="L677" i="2"/>
  <c r="N676" i="2"/>
  <c r="M676" i="2"/>
  <c r="L676" i="2"/>
  <c r="N675" i="2"/>
  <c r="M675" i="2"/>
  <c r="L675" i="2"/>
  <c r="N674" i="2"/>
  <c r="M674" i="2"/>
  <c r="L674" i="2"/>
  <c r="N673" i="2"/>
  <c r="M673" i="2"/>
  <c r="L673" i="2"/>
  <c r="N672" i="2"/>
  <c r="M672" i="2"/>
  <c r="L672" i="2"/>
  <c r="N671" i="2"/>
  <c r="M671" i="2"/>
  <c r="L671" i="2"/>
  <c r="N670" i="2"/>
  <c r="M670" i="2"/>
  <c r="L670" i="2"/>
  <c r="N669" i="2"/>
  <c r="M669" i="2"/>
  <c r="L669" i="2"/>
  <c r="N668" i="2"/>
  <c r="M668" i="2"/>
  <c r="L668" i="2"/>
  <c r="N667" i="2"/>
  <c r="M667" i="2"/>
  <c r="L667" i="2"/>
  <c r="N666" i="2"/>
  <c r="M666" i="2"/>
  <c r="L666" i="2"/>
  <c r="N665" i="2"/>
  <c r="M665" i="2"/>
  <c r="L665" i="2"/>
  <c r="N664" i="2"/>
  <c r="M664" i="2"/>
  <c r="L664" i="2"/>
  <c r="N663" i="2"/>
  <c r="M663" i="2"/>
  <c r="L663" i="2"/>
  <c r="N662" i="2"/>
  <c r="M662" i="2"/>
  <c r="L662" i="2"/>
  <c r="N661" i="2"/>
  <c r="M661" i="2"/>
  <c r="L661" i="2"/>
  <c r="N660" i="2"/>
  <c r="M660" i="2"/>
  <c r="L660" i="2"/>
  <c r="N659" i="2"/>
  <c r="M659" i="2"/>
  <c r="L659" i="2"/>
  <c r="N658" i="2"/>
  <c r="M658" i="2"/>
  <c r="L658" i="2"/>
  <c r="N657" i="2"/>
  <c r="M657" i="2"/>
  <c r="L657" i="2"/>
  <c r="N656" i="2"/>
  <c r="M656" i="2"/>
  <c r="L656" i="2"/>
  <c r="N655" i="2"/>
  <c r="M655" i="2"/>
  <c r="L655" i="2"/>
  <c r="N654" i="2"/>
  <c r="M654" i="2"/>
  <c r="L654" i="2"/>
  <c r="N653" i="2"/>
  <c r="M653" i="2"/>
  <c r="L653" i="2"/>
  <c r="N652" i="2"/>
  <c r="M652" i="2"/>
  <c r="L652" i="2"/>
  <c r="N651" i="2"/>
  <c r="M651" i="2"/>
  <c r="L651" i="2"/>
  <c r="N650" i="2"/>
  <c r="M650" i="2"/>
  <c r="L650" i="2"/>
  <c r="N649" i="2"/>
  <c r="M649" i="2"/>
  <c r="L649" i="2"/>
  <c r="N648" i="2"/>
  <c r="M648" i="2"/>
  <c r="L648" i="2"/>
  <c r="N647" i="2"/>
  <c r="M647" i="2"/>
  <c r="L647" i="2"/>
  <c r="N646" i="2"/>
  <c r="M646" i="2"/>
  <c r="L646" i="2"/>
  <c r="N645" i="2"/>
  <c r="M645" i="2"/>
  <c r="L645" i="2"/>
  <c r="N644" i="2"/>
  <c r="M644" i="2"/>
  <c r="L644" i="2"/>
  <c r="N643" i="2"/>
  <c r="M643" i="2"/>
  <c r="L643" i="2"/>
  <c r="N642" i="2"/>
  <c r="M642" i="2"/>
  <c r="L642" i="2"/>
  <c r="N641" i="2"/>
  <c r="M641" i="2"/>
  <c r="L641" i="2"/>
  <c r="N640" i="2"/>
  <c r="M640" i="2"/>
  <c r="L640" i="2"/>
  <c r="N639" i="2"/>
  <c r="M639" i="2"/>
  <c r="L639" i="2"/>
  <c r="N638" i="2"/>
  <c r="M638" i="2"/>
  <c r="L638" i="2"/>
  <c r="N637" i="2"/>
  <c r="M637" i="2"/>
  <c r="L637" i="2"/>
  <c r="N636" i="2"/>
  <c r="M636" i="2"/>
  <c r="L636" i="2"/>
  <c r="N635" i="2"/>
  <c r="M635" i="2"/>
  <c r="L635" i="2"/>
  <c r="N634" i="2"/>
  <c r="M634" i="2"/>
  <c r="L634" i="2"/>
  <c r="N633" i="2"/>
  <c r="M633" i="2"/>
  <c r="L633" i="2"/>
  <c r="N632" i="2"/>
  <c r="M632" i="2"/>
  <c r="L632" i="2"/>
  <c r="N631" i="2"/>
  <c r="M631" i="2"/>
  <c r="L631" i="2"/>
  <c r="N630" i="2"/>
  <c r="M630" i="2"/>
  <c r="L630" i="2"/>
  <c r="N629" i="2"/>
  <c r="M629" i="2"/>
  <c r="L629" i="2"/>
  <c r="N628" i="2"/>
  <c r="M628" i="2"/>
  <c r="L628" i="2"/>
  <c r="N627" i="2"/>
  <c r="M627" i="2"/>
  <c r="L627" i="2"/>
  <c r="N626" i="2"/>
  <c r="M626" i="2"/>
  <c r="L626" i="2"/>
  <c r="N625" i="2"/>
  <c r="M625" i="2"/>
  <c r="L625" i="2"/>
  <c r="N624" i="2"/>
  <c r="M624" i="2"/>
  <c r="L624" i="2"/>
  <c r="N623" i="2"/>
  <c r="M623" i="2"/>
  <c r="L623" i="2"/>
  <c r="N622" i="2"/>
  <c r="M622" i="2"/>
  <c r="L622" i="2"/>
  <c r="N621" i="2"/>
  <c r="M621" i="2"/>
  <c r="L621" i="2"/>
  <c r="N620" i="2"/>
  <c r="M620" i="2"/>
  <c r="L620" i="2"/>
  <c r="N619" i="2"/>
  <c r="M619" i="2"/>
  <c r="L619" i="2"/>
  <c r="N618" i="2"/>
  <c r="M618" i="2"/>
  <c r="L618" i="2"/>
  <c r="N617" i="2"/>
  <c r="M617" i="2"/>
  <c r="L617" i="2"/>
  <c r="N616" i="2"/>
  <c r="M616" i="2"/>
  <c r="L616" i="2"/>
  <c r="N615" i="2"/>
  <c r="M615" i="2"/>
  <c r="L615" i="2"/>
  <c r="N614" i="2"/>
  <c r="M614" i="2"/>
  <c r="L614" i="2"/>
  <c r="N613" i="2"/>
  <c r="M613" i="2"/>
  <c r="L613" i="2"/>
  <c r="N612" i="2"/>
  <c r="M612" i="2"/>
  <c r="L612" i="2"/>
  <c r="N611" i="2"/>
  <c r="M611" i="2"/>
  <c r="L611" i="2"/>
  <c r="N610" i="2"/>
  <c r="M610" i="2"/>
  <c r="L610" i="2"/>
  <c r="N609" i="2"/>
  <c r="M609" i="2"/>
  <c r="L609" i="2"/>
  <c r="N608" i="2"/>
  <c r="M608" i="2"/>
  <c r="L608" i="2"/>
  <c r="N607" i="2"/>
  <c r="M607" i="2"/>
  <c r="L607" i="2"/>
  <c r="N606" i="2"/>
  <c r="M606" i="2"/>
  <c r="L606" i="2"/>
  <c r="N605" i="2"/>
  <c r="M605" i="2"/>
  <c r="L605" i="2"/>
  <c r="N604" i="2"/>
  <c r="M604" i="2"/>
  <c r="L604" i="2"/>
  <c r="N603" i="2"/>
  <c r="M603" i="2"/>
  <c r="L603" i="2"/>
  <c r="N602" i="2"/>
  <c r="M602" i="2"/>
  <c r="L602" i="2"/>
  <c r="N601" i="2"/>
  <c r="M601" i="2"/>
  <c r="L601" i="2"/>
  <c r="N600" i="2"/>
  <c r="M600" i="2"/>
  <c r="L600" i="2"/>
  <c r="N599" i="2"/>
  <c r="M599" i="2"/>
  <c r="L599" i="2"/>
  <c r="N598" i="2"/>
  <c r="M598" i="2"/>
  <c r="L598" i="2"/>
  <c r="N597" i="2"/>
  <c r="M597" i="2"/>
  <c r="L597" i="2"/>
  <c r="N596" i="2"/>
  <c r="M596" i="2"/>
  <c r="L596" i="2"/>
  <c r="N595" i="2"/>
  <c r="M595" i="2"/>
  <c r="L595" i="2"/>
  <c r="N594" i="2"/>
  <c r="M594" i="2"/>
  <c r="L594" i="2"/>
  <c r="N593" i="2"/>
  <c r="M593" i="2"/>
  <c r="L593" i="2"/>
  <c r="N592" i="2"/>
  <c r="M592" i="2"/>
  <c r="L592" i="2"/>
  <c r="N591" i="2"/>
  <c r="M591" i="2"/>
  <c r="L591" i="2"/>
  <c r="N590" i="2"/>
  <c r="M590" i="2"/>
  <c r="L590" i="2"/>
  <c r="N589" i="2"/>
  <c r="M589" i="2"/>
  <c r="L589" i="2"/>
  <c r="N588" i="2"/>
  <c r="M588" i="2"/>
  <c r="L588" i="2"/>
  <c r="N587" i="2"/>
  <c r="M587" i="2"/>
  <c r="L587" i="2"/>
  <c r="N586" i="2"/>
  <c r="M586" i="2"/>
  <c r="L586" i="2"/>
  <c r="N585" i="2"/>
  <c r="M585" i="2"/>
  <c r="L585" i="2"/>
  <c r="N584" i="2"/>
  <c r="M584" i="2"/>
  <c r="L584" i="2"/>
  <c r="N583" i="2"/>
  <c r="M583" i="2"/>
  <c r="L583" i="2"/>
  <c r="N582" i="2"/>
  <c r="M582" i="2"/>
  <c r="L582" i="2"/>
  <c r="N581" i="2"/>
  <c r="M581" i="2"/>
  <c r="L581" i="2"/>
  <c r="N580" i="2"/>
  <c r="M580" i="2"/>
  <c r="L580" i="2"/>
  <c r="N579" i="2"/>
  <c r="M579" i="2"/>
  <c r="L579" i="2"/>
  <c r="N578" i="2"/>
  <c r="M578" i="2"/>
  <c r="L578" i="2"/>
  <c r="N577" i="2"/>
  <c r="M577" i="2"/>
  <c r="L577" i="2"/>
  <c r="N576" i="2"/>
  <c r="M576" i="2"/>
  <c r="L576" i="2"/>
  <c r="N575" i="2"/>
  <c r="M575" i="2"/>
  <c r="L575" i="2"/>
  <c r="N574" i="2"/>
  <c r="M574" i="2"/>
  <c r="L574" i="2"/>
  <c r="N573" i="2"/>
  <c r="M573" i="2"/>
  <c r="L573" i="2"/>
  <c r="N572" i="2"/>
  <c r="M572" i="2"/>
  <c r="L572" i="2"/>
  <c r="N571" i="2"/>
  <c r="M571" i="2"/>
  <c r="L571" i="2"/>
  <c r="N570" i="2"/>
  <c r="M570" i="2"/>
  <c r="L570" i="2"/>
  <c r="N569" i="2"/>
  <c r="M569" i="2"/>
  <c r="L569" i="2"/>
  <c r="N568" i="2"/>
  <c r="M568" i="2"/>
  <c r="L568" i="2"/>
  <c r="N567" i="2"/>
  <c r="M567" i="2"/>
  <c r="L567" i="2"/>
  <c r="N566" i="2"/>
  <c r="M566" i="2"/>
  <c r="L566" i="2"/>
  <c r="N565" i="2"/>
  <c r="M565" i="2"/>
  <c r="L565" i="2"/>
  <c r="N564" i="2"/>
  <c r="M564" i="2"/>
  <c r="L564" i="2"/>
  <c r="N563" i="2"/>
  <c r="M563" i="2"/>
  <c r="L563" i="2"/>
  <c r="N562" i="2"/>
  <c r="M562" i="2"/>
  <c r="L562" i="2"/>
  <c r="N561" i="2"/>
  <c r="M561" i="2"/>
  <c r="L561" i="2"/>
  <c r="N560" i="2"/>
  <c r="M560" i="2"/>
  <c r="L560" i="2"/>
  <c r="N559" i="2"/>
  <c r="M559" i="2"/>
  <c r="L559" i="2"/>
  <c r="N558" i="2"/>
  <c r="M558" i="2"/>
  <c r="L558" i="2"/>
  <c r="N557" i="2"/>
  <c r="M557" i="2"/>
  <c r="L557" i="2"/>
  <c r="N556" i="2"/>
  <c r="M556" i="2"/>
  <c r="L556" i="2"/>
  <c r="N555" i="2"/>
  <c r="M555" i="2"/>
  <c r="L555" i="2"/>
  <c r="N554" i="2"/>
  <c r="M554" i="2"/>
  <c r="L554" i="2"/>
  <c r="N553" i="2"/>
  <c r="M553" i="2"/>
  <c r="L553" i="2"/>
  <c r="N552" i="2"/>
  <c r="M552" i="2"/>
  <c r="L552" i="2"/>
  <c r="N551" i="2"/>
  <c r="M551" i="2"/>
  <c r="L551" i="2"/>
  <c r="N550" i="2"/>
  <c r="M550" i="2"/>
  <c r="L550" i="2"/>
  <c r="N549" i="2"/>
  <c r="M549" i="2"/>
  <c r="L549" i="2"/>
  <c r="N548" i="2"/>
  <c r="M548" i="2"/>
  <c r="L548" i="2"/>
  <c r="N547" i="2"/>
  <c r="M547" i="2"/>
  <c r="L547" i="2"/>
  <c r="N546" i="2"/>
  <c r="M546" i="2"/>
  <c r="L546" i="2"/>
  <c r="N545" i="2"/>
  <c r="M545" i="2"/>
  <c r="L545" i="2"/>
  <c r="N544" i="2"/>
  <c r="M544" i="2"/>
  <c r="L544" i="2"/>
  <c r="N543" i="2"/>
  <c r="M543" i="2"/>
  <c r="L543" i="2"/>
  <c r="N542" i="2"/>
  <c r="M542" i="2"/>
  <c r="L542" i="2"/>
  <c r="N541" i="2"/>
  <c r="M541" i="2"/>
  <c r="L541" i="2"/>
  <c r="N540" i="2"/>
  <c r="M540" i="2"/>
  <c r="L540" i="2"/>
  <c r="N539" i="2"/>
  <c r="M539" i="2"/>
  <c r="L539" i="2"/>
  <c r="N538" i="2"/>
  <c r="M538" i="2"/>
  <c r="L538" i="2"/>
  <c r="N537" i="2"/>
  <c r="M537" i="2"/>
  <c r="L537" i="2"/>
  <c r="N536" i="2"/>
  <c r="M536" i="2"/>
  <c r="L536" i="2"/>
  <c r="N535" i="2"/>
  <c r="M535" i="2"/>
  <c r="L535" i="2"/>
  <c r="N534" i="2"/>
  <c r="M534" i="2"/>
  <c r="L534" i="2"/>
  <c r="N533" i="2"/>
  <c r="M533" i="2"/>
  <c r="L533" i="2"/>
  <c r="N532" i="2"/>
  <c r="M532" i="2"/>
  <c r="L532" i="2"/>
  <c r="N531" i="2"/>
  <c r="M531" i="2"/>
  <c r="L531" i="2"/>
  <c r="N530" i="2"/>
  <c r="M530" i="2"/>
  <c r="L530" i="2"/>
  <c r="N529" i="2"/>
  <c r="M529" i="2"/>
  <c r="L529" i="2"/>
  <c r="N528" i="2"/>
  <c r="M528" i="2"/>
  <c r="L528" i="2"/>
  <c r="N527" i="2"/>
  <c r="M527" i="2"/>
  <c r="L527" i="2"/>
  <c r="N526" i="2"/>
  <c r="M526" i="2"/>
  <c r="L526" i="2"/>
  <c r="N525" i="2"/>
  <c r="M525" i="2"/>
  <c r="L525" i="2"/>
  <c r="N524" i="2"/>
  <c r="M524" i="2"/>
  <c r="L524" i="2"/>
  <c r="N523" i="2"/>
  <c r="M523" i="2"/>
  <c r="L523" i="2"/>
  <c r="N522" i="2"/>
  <c r="M522" i="2"/>
  <c r="L522" i="2"/>
  <c r="N521" i="2"/>
  <c r="M521" i="2"/>
  <c r="L521" i="2"/>
  <c r="N520" i="2"/>
  <c r="M520" i="2"/>
  <c r="L520" i="2"/>
  <c r="N519" i="2"/>
  <c r="M519" i="2"/>
  <c r="L519" i="2"/>
  <c r="N518" i="2"/>
  <c r="M518" i="2"/>
  <c r="L518" i="2"/>
  <c r="N517" i="2"/>
  <c r="M517" i="2"/>
  <c r="L517" i="2"/>
  <c r="N516" i="2"/>
  <c r="M516" i="2"/>
  <c r="L516" i="2"/>
  <c r="N515" i="2"/>
  <c r="M515" i="2"/>
  <c r="L515" i="2"/>
  <c r="N514" i="2"/>
  <c r="M514" i="2"/>
  <c r="L514" i="2"/>
  <c r="N513" i="2"/>
  <c r="M513" i="2"/>
  <c r="L513" i="2"/>
  <c r="N512" i="2"/>
  <c r="M512" i="2"/>
  <c r="L512" i="2"/>
  <c r="N511" i="2"/>
  <c r="M511" i="2"/>
  <c r="L511" i="2"/>
  <c r="N510" i="2"/>
  <c r="M510" i="2"/>
  <c r="L510" i="2"/>
  <c r="N509" i="2"/>
  <c r="M509" i="2"/>
  <c r="L509" i="2"/>
  <c r="N508" i="2"/>
  <c r="M508" i="2"/>
  <c r="L508" i="2"/>
  <c r="N507" i="2"/>
  <c r="M507" i="2"/>
  <c r="L507" i="2"/>
  <c r="N506" i="2"/>
  <c r="M506" i="2"/>
  <c r="L506" i="2"/>
  <c r="N505" i="2"/>
  <c r="M505" i="2"/>
  <c r="L505" i="2"/>
  <c r="N504" i="2"/>
  <c r="M504" i="2"/>
  <c r="L504" i="2"/>
  <c r="N503" i="2"/>
  <c r="M503" i="2"/>
  <c r="L503" i="2"/>
  <c r="N502" i="2"/>
  <c r="M502" i="2"/>
  <c r="L502" i="2"/>
  <c r="N501" i="2"/>
  <c r="M501" i="2"/>
  <c r="L501" i="2"/>
  <c r="N500" i="2"/>
  <c r="M500" i="2"/>
  <c r="L500" i="2"/>
  <c r="N499" i="2"/>
  <c r="M499" i="2"/>
  <c r="L499" i="2"/>
  <c r="N498" i="2"/>
  <c r="M498" i="2"/>
  <c r="L498" i="2"/>
  <c r="N497" i="2"/>
  <c r="M497" i="2"/>
  <c r="L497" i="2"/>
  <c r="N496" i="2"/>
  <c r="M496" i="2"/>
  <c r="L496" i="2"/>
  <c r="N495" i="2"/>
  <c r="M495" i="2"/>
  <c r="L495" i="2"/>
  <c r="N494" i="2"/>
  <c r="M494" i="2"/>
  <c r="L494" i="2"/>
  <c r="N493" i="2"/>
  <c r="M493" i="2"/>
  <c r="L493" i="2"/>
  <c r="N492" i="2"/>
  <c r="M492" i="2"/>
  <c r="L492" i="2"/>
  <c r="N491" i="2"/>
  <c r="M491" i="2"/>
  <c r="L491" i="2"/>
  <c r="N490" i="2"/>
  <c r="M490" i="2"/>
  <c r="L490" i="2"/>
  <c r="N489" i="2"/>
  <c r="M489" i="2"/>
  <c r="L489" i="2"/>
  <c r="N488" i="2"/>
  <c r="M488" i="2"/>
  <c r="L488" i="2"/>
  <c r="N487" i="2"/>
  <c r="M487" i="2"/>
  <c r="L487" i="2"/>
  <c r="N486" i="2"/>
  <c r="M486" i="2"/>
  <c r="L486" i="2"/>
  <c r="N485" i="2"/>
  <c r="M485" i="2"/>
  <c r="L485" i="2"/>
  <c r="N484" i="2"/>
  <c r="M484" i="2"/>
  <c r="L484" i="2"/>
  <c r="N483" i="2"/>
  <c r="M483" i="2"/>
  <c r="L483" i="2"/>
  <c r="N482" i="2"/>
  <c r="M482" i="2"/>
  <c r="L482" i="2"/>
  <c r="N481" i="2"/>
  <c r="M481" i="2"/>
  <c r="L481" i="2"/>
  <c r="N480" i="2"/>
  <c r="M480" i="2"/>
  <c r="L480" i="2"/>
  <c r="N479" i="2"/>
  <c r="M479" i="2"/>
  <c r="L479" i="2"/>
  <c r="N478" i="2"/>
  <c r="M478" i="2"/>
  <c r="L478" i="2"/>
  <c r="N477" i="2"/>
  <c r="M477" i="2"/>
  <c r="L477" i="2"/>
  <c r="N476" i="2"/>
  <c r="M476" i="2"/>
  <c r="L476" i="2"/>
  <c r="N475" i="2"/>
  <c r="M475" i="2"/>
  <c r="L475" i="2"/>
  <c r="N474" i="2"/>
  <c r="M474" i="2"/>
  <c r="L474" i="2"/>
  <c r="N473" i="2"/>
  <c r="M473" i="2"/>
  <c r="L473" i="2"/>
  <c r="N472" i="2"/>
  <c r="M472" i="2"/>
  <c r="L472" i="2"/>
  <c r="N471" i="2"/>
  <c r="M471" i="2"/>
  <c r="L471" i="2"/>
  <c r="N470" i="2"/>
  <c r="M470" i="2"/>
  <c r="L470" i="2"/>
  <c r="N469" i="2"/>
  <c r="M469" i="2"/>
  <c r="L469" i="2"/>
  <c r="N468" i="2"/>
  <c r="M468" i="2"/>
  <c r="L468" i="2"/>
  <c r="N467" i="2"/>
  <c r="M467" i="2"/>
  <c r="L467" i="2"/>
  <c r="N466" i="2"/>
  <c r="M466" i="2"/>
  <c r="L466" i="2"/>
  <c r="N465" i="2"/>
  <c r="M465" i="2"/>
  <c r="L465" i="2"/>
  <c r="N464" i="2"/>
  <c r="M464" i="2"/>
  <c r="L464" i="2"/>
  <c r="N463" i="2"/>
  <c r="M463" i="2"/>
  <c r="L463" i="2"/>
  <c r="N462" i="2"/>
  <c r="M462" i="2"/>
  <c r="L462" i="2"/>
  <c r="N461" i="2"/>
  <c r="M461" i="2"/>
  <c r="L461" i="2"/>
  <c r="N460" i="2"/>
  <c r="M460" i="2"/>
  <c r="L460" i="2"/>
  <c r="N459" i="2"/>
  <c r="M459" i="2"/>
  <c r="L459" i="2"/>
  <c r="N458" i="2"/>
  <c r="M458" i="2"/>
  <c r="L458" i="2"/>
  <c r="N457" i="2"/>
  <c r="M457" i="2"/>
  <c r="L457" i="2"/>
  <c r="N456" i="2"/>
  <c r="M456" i="2"/>
  <c r="L456" i="2"/>
  <c r="N455" i="2"/>
  <c r="M455" i="2"/>
  <c r="L455" i="2"/>
  <c r="N454" i="2"/>
  <c r="M454" i="2"/>
  <c r="L454" i="2"/>
  <c r="N453" i="2"/>
  <c r="M453" i="2"/>
  <c r="L453" i="2"/>
  <c r="N452" i="2"/>
  <c r="M452" i="2"/>
  <c r="L452" i="2"/>
  <c r="N451" i="2"/>
  <c r="M451" i="2"/>
  <c r="L451" i="2"/>
  <c r="N450" i="2"/>
  <c r="M450" i="2"/>
  <c r="L450" i="2"/>
  <c r="N449" i="2"/>
  <c r="M449" i="2"/>
  <c r="L449" i="2"/>
  <c r="N448" i="2"/>
  <c r="M448" i="2"/>
  <c r="L448" i="2"/>
  <c r="N447" i="2"/>
  <c r="M447" i="2"/>
  <c r="L447" i="2"/>
  <c r="N446" i="2"/>
  <c r="M446" i="2"/>
  <c r="L446" i="2"/>
  <c r="N445" i="2"/>
  <c r="M445" i="2"/>
  <c r="L445" i="2"/>
  <c r="N444" i="2"/>
  <c r="M444" i="2"/>
  <c r="L444" i="2"/>
  <c r="N443" i="2"/>
  <c r="M443" i="2"/>
  <c r="L443" i="2"/>
  <c r="N442" i="2"/>
  <c r="M442" i="2"/>
  <c r="L442" i="2"/>
  <c r="N441" i="2"/>
  <c r="M441" i="2"/>
  <c r="L441" i="2"/>
  <c r="N440" i="2"/>
  <c r="M440" i="2"/>
  <c r="L440" i="2"/>
  <c r="N439" i="2"/>
  <c r="M439" i="2"/>
  <c r="L439" i="2"/>
  <c r="N438" i="2"/>
  <c r="M438" i="2"/>
  <c r="L438" i="2"/>
  <c r="N437" i="2"/>
  <c r="M437" i="2"/>
  <c r="L437" i="2"/>
  <c r="N436" i="2"/>
  <c r="M436" i="2"/>
  <c r="L436" i="2"/>
  <c r="N435" i="2"/>
  <c r="M435" i="2"/>
  <c r="L435" i="2"/>
  <c r="N434" i="2"/>
  <c r="M434" i="2"/>
  <c r="L434" i="2"/>
  <c r="N433" i="2"/>
  <c r="M433" i="2"/>
  <c r="L433" i="2"/>
  <c r="N432" i="2"/>
  <c r="M432" i="2"/>
  <c r="L432" i="2"/>
  <c r="N431" i="2"/>
  <c r="M431" i="2"/>
  <c r="L431" i="2"/>
  <c r="N430" i="2"/>
  <c r="M430" i="2"/>
  <c r="L430" i="2"/>
  <c r="N429" i="2"/>
  <c r="M429" i="2"/>
  <c r="L429" i="2"/>
  <c r="N428" i="2"/>
  <c r="M428" i="2"/>
  <c r="L428" i="2"/>
  <c r="N427" i="2"/>
  <c r="M427" i="2"/>
  <c r="L427" i="2"/>
  <c r="N426" i="2"/>
  <c r="M426" i="2"/>
  <c r="L426" i="2"/>
  <c r="N425" i="2"/>
  <c r="M425" i="2"/>
  <c r="L425" i="2"/>
  <c r="N424" i="2"/>
  <c r="M424" i="2"/>
  <c r="L424" i="2"/>
  <c r="N423" i="2"/>
  <c r="M423" i="2"/>
  <c r="L423" i="2"/>
  <c r="N422" i="2"/>
  <c r="M422" i="2"/>
  <c r="L422" i="2"/>
  <c r="N421" i="2"/>
  <c r="M421" i="2"/>
  <c r="L421" i="2"/>
  <c r="N420" i="2"/>
  <c r="M420" i="2"/>
  <c r="L420" i="2"/>
  <c r="N419" i="2"/>
  <c r="M419" i="2"/>
  <c r="L419" i="2"/>
  <c r="N418" i="2"/>
  <c r="M418" i="2"/>
  <c r="L418" i="2"/>
  <c r="N417" i="2"/>
  <c r="M417" i="2"/>
  <c r="L417" i="2"/>
  <c r="N416" i="2"/>
  <c r="M416" i="2"/>
  <c r="L416" i="2"/>
  <c r="N415" i="2"/>
  <c r="M415" i="2"/>
  <c r="L415" i="2"/>
  <c r="N414" i="2"/>
  <c r="M414" i="2"/>
  <c r="L414" i="2"/>
  <c r="N413" i="2"/>
  <c r="M413" i="2"/>
  <c r="L413" i="2"/>
  <c r="N412" i="2"/>
  <c r="M412" i="2"/>
  <c r="L412" i="2"/>
  <c r="N411" i="2"/>
  <c r="M411" i="2"/>
  <c r="L411" i="2"/>
  <c r="N410" i="2"/>
  <c r="M410" i="2"/>
  <c r="L410" i="2"/>
  <c r="N409" i="2"/>
  <c r="M409" i="2"/>
  <c r="L409" i="2"/>
  <c r="N408" i="2"/>
  <c r="M408" i="2"/>
  <c r="L408" i="2"/>
  <c r="N407" i="2"/>
  <c r="M407" i="2"/>
  <c r="L407" i="2"/>
  <c r="N406" i="2"/>
  <c r="M406" i="2"/>
  <c r="L406" i="2"/>
  <c r="N405" i="2"/>
  <c r="M405" i="2"/>
  <c r="L405" i="2"/>
  <c r="N404" i="2"/>
  <c r="M404" i="2"/>
  <c r="L404" i="2"/>
  <c r="N403" i="2"/>
  <c r="M403" i="2"/>
  <c r="L403" i="2"/>
  <c r="N402" i="2"/>
  <c r="M402" i="2"/>
  <c r="L402" i="2"/>
  <c r="N401" i="2"/>
  <c r="M401" i="2"/>
  <c r="L401" i="2"/>
  <c r="N400" i="2"/>
  <c r="M400" i="2"/>
  <c r="L400" i="2"/>
  <c r="N399" i="2"/>
  <c r="M399" i="2"/>
  <c r="L399" i="2"/>
  <c r="N398" i="2"/>
  <c r="M398" i="2"/>
  <c r="L398" i="2"/>
  <c r="N397" i="2"/>
  <c r="M397" i="2"/>
  <c r="L397" i="2"/>
  <c r="N396" i="2"/>
  <c r="M396" i="2"/>
  <c r="L396" i="2"/>
  <c r="N395" i="2"/>
  <c r="M395" i="2"/>
  <c r="L395" i="2"/>
  <c r="N394" i="2"/>
  <c r="M394" i="2"/>
  <c r="L394" i="2"/>
  <c r="N393" i="2"/>
  <c r="M393" i="2"/>
  <c r="L393" i="2"/>
  <c r="N392" i="2"/>
  <c r="M392" i="2"/>
  <c r="L392" i="2"/>
  <c r="N391" i="2"/>
  <c r="M391" i="2"/>
  <c r="L391" i="2"/>
  <c r="N390" i="2"/>
  <c r="M390" i="2"/>
  <c r="L390" i="2"/>
  <c r="N389" i="2"/>
  <c r="M389" i="2"/>
  <c r="L389" i="2"/>
  <c r="N388" i="2"/>
  <c r="M388" i="2"/>
  <c r="L388" i="2"/>
  <c r="N387" i="2"/>
  <c r="M387" i="2"/>
  <c r="L387" i="2"/>
  <c r="N386" i="2"/>
  <c r="M386" i="2"/>
  <c r="L386" i="2"/>
  <c r="N385" i="2"/>
  <c r="M385" i="2"/>
  <c r="L385" i="2"/>
  <c r="N384" i="2"/>
  <c r="M384" i="2"/>
  <c r="L384" i="2"/>
  <c r="N383" i="2"/>
  <c r="M383" i="2"/>
  <c r="L383" i="2"/>
  <c r="N382" i="2"/>
  <c r="M382" i="2"/>
  <c r="L382" i="2"/>
  <c r="N381" i="2"/>
  <c r="M381" i="2"/>
  <c r="L381" i="2"/>
  <c r="N380" i="2"/>
  <c r="M380" i="2"/>
  <c r="L380" i="2"/>
  <c r="N379" i="2"/>
  <c r="M379" i="2"/>
  <c r="L379" i="2"/>
  <c r="N378" i="2"/>
  <c r="M378" i="2"/>
  <c r="L378" i="2"/>
  <c r="N377" i="2"/>
  <c r="M377" i="2"/>
  <c r="L377" i="2"/>
  <c r="N376" i="2"/>
  <c r="M376" i="2"/>
  <c r="L376" i="2"/>
  <c r="N375" i="2"/>
  <c r="M375" i="2"/>
  <c r="L375" i="2"/>
  <c r="N374" i="2"/>
  <c r="M374" i="2"/>
  <c r="L374" i="2"/>
  <c r="N373" i="2"/>
  <c r="M373" i="2"/>
  <c r="L373" i="2"/>
  <c r="N372" i="2"/>
  <c r="M372" i="2"/>
  <c r="L372" i="2"/>
  <c r="N371" i="2"/>
  <c r="M371" i="2"/>
  <c r="L371" i="2"/>
  <c r="N370" i="2"/>
  <c r="M370" i="2"/>
  <c r="L370" i="2"/>
  <c r="N369" i="2"/>
  <c r="M369" i="2"/>
  <c r="L369" i="2"/>
  <c r="N368" i="2"/>
  <c r="M368" i="2"/>
  <c r="L368" i="2"/>
  <c r="N367" i="2"/>
  <c r="M367" i="2"/>
  <c r="L367" i="2"/>
  <c r="N366" i="2"/>
  <c r="M366" i="2"/>
  <c r="L366" i="2"/>
  <c r="N365" i="2"/>
  <c r="M365" i="2"/>
  <c r="L365" i="2"/>
  <c r="N364" i="2"/>
  <c r="M364" i="2"/>
  <c r="L364" i="2"/>
  <c r="N363" i="2"/>
  <c r="M363" i="2"/>
  <c r="L363" i="2"/>
  <c r="N362" i="2"/>
  <c r="M362" i="2"/>
  <c r="L362" i="2"/>
  <c r="N361" i="2"/>
  <c r="M361" i="2"/>
  <c r="L361" i="2"/>
  <c r="N360" i="2"/>
  <c r="M360" i="2"/>
  <c r="L360" i="2"/>
  <c r="N359" i="2"/>
  <c r="M359" i="2"/>
  <c r="L359" i="2"/>
  <c r="N358" i="2"/>
  <c r="M358" i="2"/>
  <c r="L358" i="2"/>
  <c r="N357" i="2"/>
  <c r="M357" i="2"/>
  <c r="L357" i="2"/>
  <c r="N356" i="2"/>
  <c r="M356" i="2"/>
  <c r="L356" i="2"/>
  <c r="N355" i="2"/>
  <c r="M355" i="2"/>
  <c r="L355" i="2"/>
  <c r="N354" i="2"/>
  <c r="M354" i="2"/>
  <c r="L354" i="2"/>
  <c r="N353" i="2"/>
  <c r="M353" i="2"/>
  <c r="L353" i="2"/>
  <c r="N352" i="2"/>
  <c r="M352" i="2"/>
  <c r="L352" i="2"/>
  <c r="N351" i="2"/>
  <c r="M351" i="2"/>
  <c r="L351" i="2"/>
  <c r="N350" i="2"/>
  <c r="M350" i="2"/>
  <c r="L350" i="2"/>
  <c r="N349" i="2"/>
  <c r="M349" i="2"/>
  <c r="L349" i="2"/>
  <c r="N348" i="2"/>
  <c r="M348" i="2"/>
  <c r="L348" i="2"/>
  <c r="N347" i="2"/>
  <c r="M347" i="2"/>
  <c r="L347" i="2"/>
  <c r="N346" i="2"/>
  <c r="M346" i="2"/>
  <c r="L346" i="2"/>
  <c r="N345" i="2"/>
  <c r="M345" i="2"/>
  <c r="L345" i="2"/>
  <c r="N344" i="2"/>
  <c r="M344" i="2"/>
  <c r="L344" i="2"/>
  <c r="N343" i="2"/>
  <c r="M343" i="2"/>
  <c r="L343" i="2"/>
  <c r="N342" i="2"/>
  <c r="M342" i="2"/>
  <c r="L342" i="2"/>
  <c r="N341" i="2"/>
  <c r="M341" i="2"/>
  <c r="L341" i="2"/>
  <c r="N340" i="2"/>
  <c r="M340" i="2"/>
  <c r="L340" i="2"/>
  <c r="N339" i="2"/>
  <c r="M339" i="2"/>
  <c r="L339" i="2"/>
  <c r="N338" i="2"/>
  <c r="M338" i="2"/>
  <c r="L338" i="2"/>
  <c r="N337" i="2"/>
  <c r="M337" i="2"/>
  <c r="L337" i="2"/>
  <c r="N336" i="2"/>
  <c r="M336" i="2"/>
  <c r="L336" i="2"/>
  <c r="N335" i="2"/>
  <c r="M335" i="2"/>
  <c r="L335" i="2"/>
  <c r="N334" i="2"/>
  <c r="M334" i="2"/>
  <c r="L334" i="2"/>
  <c r="N333" i="2"/>
  <c r="M333" i="2"/>
  <c r="L333" i="2"/>
  <c r="N332" i="2"/>
  <c r="M332" i="2"/>
  <c r="L332" i="2"/>
  <c r="N331" i="2"/>
  <c r="M331" i="2"/>
  <c r="L331" i="2"/>
  <c r="N330" i="2"/>
  <c r="M330" i="2"/>
  <c r="L330" i="2"/>
  <c r="N329" i="2"/>
  <c r="M329" i="2"/>
  <c r="L329" i="2"/>
  <c r="N328" i="2"/>
  <c r="M328" i="2"/>
  <c r="L328" i="2"/>
  <c r="N327" i="2"/>
  <c r="M327" i="2"/>
  <c r="L327" i="2"/>
  <c r="N326" i="2"/>
  <c r="M326" i="2"/>
  <c r="L326" i="2"/>
  <c r="N325" i="2"/>
  <c r="M325" i="2"/>
  <c r="L325" i="2"/>
  <c r="N324" i="2"/>
  <c r="M324" i="2"/>
  <c r="L324" i="2"/>
  <c r="N323" i="2"/>
  <c r="M323" i="2"/>
  <c r="L323" i="2"/>
  <c r="N322" i="2"/>
  <c r="M322" i="2"/>
  <c r="L322" i="2"/>
  <c r="N321" i="2"/>
  <c r="M321" i="2"/>
  <c r="L321" i="2"/>
  <c r="N320" i="2"/>
  <c r="M320" i="2"/>
  <c r="L320" i="2"/>
  <c r="N319" i="2"/>
  <c r="M319" i="2"/>
  <c r="L319" i="2"/>
  <c r="N318" i="2"/>
  <c r="M318" i="2"/>
  <c r="L318" i="2"/>
  <c r="N317" i="2"/>
  <c r="M317" i="2"/>
  <c r="L317" i="2"/>
  <c r="N316" i="2"/>
  <c r="M316" i="2"/>
  <c r="L316" i="2"/>
  <c r="N315" i="2"/>
  <c r="M315" i="2"/>
  <c r="L315" i="2"/>
  <c r="N314" i="2"/>
  <c r="M314" i="2"/>
  <c r="L314" i="2"/>
  <c r="N313" i="2"/>
  <c r="M313" i="2"/>
  <c r="L313" i="2"/>
  <c r="N312" i="2"/>
  <c r="M312" i="2"/>
  <c r="L312" i="2"/>
  <c r="N311" i="2"/>
  <c r="M311" i="2"/>
  <c r="L311" i="2"/>
  <c r="N310" i="2"/>
  <c r="M310" i="2"/>
  <c r="L310" i="2"/>
  <c r="N309" i="2"/>
  <c r="M309" i="2"/>
  <c r="L309" i="2"/>
  <c r="N308" i="2"/>
  <c r="M308" i="2"/>
  <c r="L308" i="2"/>
  <c r="N307" i="2"/>
  <c r="M307" i="2"/>
  <c r="L307" i="2"/>
  <c r="N306" i="2"/>
  <c r="M306" i="2"/>
  <c r="L306" i="2"/>
  <c r="N305" i="2"/>
  <c r="M305" i="2"/>
  <c r="L305" i="2"/>
  <c r="N304" i="2"/>
  <c r="M304" i="2"/>
  <c r="L304" i="2"/>
  <c r="N303" i="2"/>
  <c r="M303" i="2"/>
  <c r="L303" i="2"/>
  <c r="N302" i="2"/>
  <c r="M302" i="2"/>
  <c r="L302" i="2"/>
  <c r="N301" i="2"/>
  <c r="M301" i="2"/>
  <c r="L301" i="2"/>
  <c r="N300" i="2"/>
  <c r="M300" i="2"/>
  <c r="L300" i="2"/>
  <c r="N299" i="2"/>
  <c r="M299" i="2"/>
  <c r="L299" i="2"/>
  <c r="N298" i="2"/>
  <c r="M298" i="2"/>
  <c r="L298" i="2"/>
  <c r="N297" i="2"/>
  <c r="M297" i="2"/>
  <c r="L297" i="2"/>
  <c r="N296" i="2"/>
  <c r="M296" i="2"/>
  <c r="L296" i="2"/>
  <c r="N295" i="2"/>
  <c r="M295" i="2"/>
  <c r="L295" i="2"/>
  <c r="N294" i="2"/>
  <c r="M294" i="2"/>
  <c r="L294" i="2"/>
  <c r="N293" i="2"/>
  <c r="M293" i="2"/>
  <c r="L293" i="2"/>
  <c r="N292" i="2"/>
  <c r="M292" i="2"/>
  <c r="L292" i="2"/>
  <c r="N291" i="2"/>
  <c r="M291" i="2"/>
  <c r="L291" i="2"/>
  <c r="N290" i="2"/>
  <c r="M290" i="2"/>
  <c r="L290" i="2"/>
  <c r="N289" i="2"/>
  <c r="M289" i="2"/>
  <c r="L289" i="2"/>
  <c r="N288" i="2"/>
  <c r="M288" i="2"/>
  <c r="L288" i="2"/>
  <c r="N287" i="2"/>
  <c r="M287" i="2"/>
  <c r="L287" i="2"/>
  <c r="N286" i="2"/>
  <c r="M286" i="2"/>
  <c r="L286" i="2"/>
  <c r="N285" i="2"/>
  <c r="M285" i="2"/>
  <c r="L285" i="2"/>
  <c r="N284" i="2"/>
  <c r="M284" i="2"/>
  <c r="L284" i="2"/>
  <c r="N283" i="2"/>
  <c r="M283" i="2"/>
  <c r="L283" i="2"/>
  <c r="N282" i="2"/>
  <c r="M282" i="2"/>
  <c r="L282" i="2"/>
  <c r="N281" i="2"/>
  <c r="M281" i="2"/>
  <c r="L281" i="2"/>
  <c r="N280" i="2"/>
  <c r="M280" i="2"/>
  <c r="L280" i="2"/>
  <c r="N279" i="2"/>
  <c r="M279" i="2"/>
  <c r="L279" i="2"/>
  <c r="N278" i="2"/>
  <c r="M278" i="2"/>
  <c r="L278" i="2"/>
  <c r="N277" i="2"/>
  <c r="M277" i="2"/>
  <c r="L277" i="2"/>
  <c r="N276" i="2"/>
  <c r="M276" i="2"/>
  <c r="L276" i="2"/>
  <c r="N275" i="2"/>
  <c r="M275" i="2"/>
  <c r="L275" i="2"/>
  <c r="N274" i="2"/>
  <c r="M274" i="2"/>
  <c r="L274" i="2"/>
  <c r="N273" i="2"/>
  <c r="M273" i="2"/>
  <c r="L273" i="2"/>
  <c r="N272" i="2"/>
  <c r="M272" i="2"/>
  <c r="L272" i="2"/>
  <c r="N271" i="2"/>
  <c r="M271" i="2"/>
  <c r="L271" i="2"/>
  <c r="N270" i="2"/>
  <c r="M270" i="2"/>
  <c r="L270" i="2"/>
  <c r="N269" i="2"/>
  <c r="M269" i="2"/>
  <c r="L269" i="2"/>
  <c r="N268" i="2"/>
  <c r="M268" i="2"/>
  <c r="L268" i="2"/>
  <c r="N267" i="2"/>
  <c r="M267" i="2"/>
  <c r="L267" i="2"/>
  <c r="N266" i="2"/>
  <c r="M266" i="2"/>
  <c r="L266" i="2"/>
  <c r="N265" i="2"/>
  <c r="M265" i="2"/>
  <c r="L265" i="2"/>
  <c r="N264" i="2"/>
  <c r="M264" i="2"/>
  <c r="L264" i="2"/>
  <c r="N263" i="2"/>
  <c r="M263" i="2"/>
  <c r="L263" i="2"/>
  <c r="N262" i="2"/>
  <c r="M262" i="2"/>
  <c r="L262" i="2"/>
  <c r="N261" i="2"/>
  <c r="M261" i="2"/>
  <c r="L261" i="2"/>
  <c r="N260" i="2"/>
  <c r="M260" i="2"/>
  <c r="L260" i="2"/>
  <c r="N259" i="2"/>
  <c r="M259" i="2"/>
  <c r="L259" i="2"/>
  <c r="N258" i="2"/>
  <c r="M258" i="2"/>
  <c r="L258" i="2"/>
  <c r="N257" i="2"/>
  <c r="M257" i="2"/>
  <c r="L257" i="2"/>
  <c r="N256" i="2"/>
  <c r="M256" i="2"/>
  <c r="L256" i="2"/>
  <c r="N255" i="2"/>
  <c r="M255" i="2"/>
  <c r="L255" i="2"/>
  <c r="N254" i="2"/>
  <c r="M254" i="2"/>
  <c r="L254" i="2"/>
  <c r="N253" i="2"/>
  <c r="M253" i="2"/>
  <c r="L253" i="2"/>
  <c r="N252" i="2"/>
  <c r="M252" i="2"/>
  <c r="L252" i="2"/>
  <c r="N251" i="2"/>
  <c r="M251" i="2"/>
  <c r="L251" i="2"/>
  <c r="N250" i="2"/>
  <c r="M250" i="2"/>
  <c r="L250" i="2"/>
  <c r="N249" i="2"/>
  <c r="M249" i="2"/>
  <c r="L249" i="2"/>
  <c r="N248" i="2"/>
  <c r="M248" i="2"/>
  <c r="L248" i="2"/>
  <c r="N247" i="2"/>
  <c r="M247" i="2"/>
  <c r="L247" i="2"/>
  <c r="N246" i="2"/>
  <c r="M246" i="2"/>
  <c r="L246" i="2"/>
  <c r="N245" i="2"/>
  <c r="M245" i="2"/>
  <c r="L245" i="2"/>
  <c r="N244" i="2"/>
  <c r="M244" i="2"/>
  <c r="L244" i="2"/>
  <c r="N243" i="2"/>
  <c r="M243" i="2"/>
  <c r="L243" i="2"/>
  <c r="N242" i="2"/>
  <c r="M242" i="2"/>
  <c r="L242" i="2"/>
  <c r="N241" i="2"/>
  <c r="M241" i="2"/>
  <c r="L241" i="2"/>
  <c r="N240" i="2"/>
  <c r="M240" i="2"/>
  <c r="L240" i="2"/>
  <c r="N239" i="2"/>
  <c r="M239" i="2"/>
  <c r="L239" i="2"/>
  <c r="N238" i="2"/>
  <c r="M238" i="2"/>
  <c r="L238" i="2"/>
  <c r="N237" i="2"/>
  <c r="M237" i="2"/>
  <c r="L237" i="2"/>
  <c r="N236" i="2"/>
  <c r="M236" i="2"/>
  <c r="L236" i="2"/>
  <c r="N235" i="2"/>
  <c r="M235" i="2"/>
  <c r="L235" i="2"/>
  <c r="N234" i="2"/>
  <c r="M234" i="2"/>
  <c r="L234" i="2"/>
  <c r="N233" i="2"/>
  <c r="M233" i="2"/>
  <c r="L233" i="2"/>
  <c r="N232" i="2"/>
  <c r="M232" i="2"/>
  <c r="L232" i="2"/>
  <c r="N231" i="2"/>
  <c r="M231" i="2"/>
  <c r="L231" i="2"/>
  <c r="N230" i="2"/>
  <c r="M230" i="2"/>
  <c r="L230" i="2"/>
  <c r="N229" i="2"/>
  <c r="M229" i="2"/>
  <c r="L229" i="2"/>
  <c r="N228" i="2"/>
  <c r="M228" i="2"/>
  <c r="L228" i="2"/>
  <c r="N227" i="2"/>
  <c r="M227" i="2"/>
  <c r="L227" i="2"/>
  <c r="N226" i="2"/>
  <c r="M226" i="2"/>
  <c r="L226" i="2"/>
  <c r="N225" i="2"/>
  <c r="M225" i="2"/>
  <c r="L225" i="2"/>
  <c r="N224" i="2"/>
  <c r="M224" i="2"/>
  <c r="L224" i="2"/>
  <c r="N223" i="2"/>
  <c r="M223" i="2"/>
  <c r="L223" i="2"/>
  <c r="N222" i="2"/>
  <c r="M222" i="2"/>
  <c r="L222" i="2"/>
  <c r="N221" i="2"/>
  <c r="M221" i="2"/>
  <c r="L221" i="2"/>
  <c r="N220" i="2"/>
  <c r="M220" i="2"/>
  <c r="L220" i="2"/>
  <c r="N219" i="2"/>
  <c r="M219" i="2"/>
  <c r="L219" i="2"/>
  <c r="N218" i="2"/>
  <c r="M218" i="2"/>
  <c r="L218" i="2"/>
  <c r="N217" i="2"/>
  <c r="M217" i="2"/>
  <c r="L217" i="2"/>
  <c r="N216" i="2"/>
  <c r="M216" i="2"/>
  <c r="L216" i="2"/>
  <c r="N215" i="2"/>
  <c r="M215" i="2"/>
  <c r="L215" i="2"/>
  <c r="N214" i="2"/>
  <c r="M214" i="2"/>
  <c r="L214" i="2"/>
  <c r="N213" i="2"/>
  <c r="M213" i="2"/>
  <c r="L213" i="2"/>
  <c r="N212" i="2"/>
  <c r="M212" i="2"/>
  <c r="L212" i="2"/>
  <c r="N211" i="2"/>
  <c r="M211" i="2"/>
  <c r="L211" i="2"/>
  <c r="N210" i="2"/>
  <c r="M210" i="2"/>
  <c r="L210" i="2"/>
  <c r="N209" i="2"/>
  <c r="M209" i="2"/>
  <c r="L209" i="2"/>
  <c r="N208" i="2"/>
  <c r="M208" i="2"/>
  <c r="L208" i="2"/>
  <c r="N207" i="2"/>
  <c r="M207" i="2"/>
  <c r="L207" i="2"/>
  <c r="N206" i="2"/>
  <c r="M206" i="2"/>
  <c r="L206" i="2"/>
  <c r="N205" i="2"/>
  <c r="M205" i="2"/>
  <c r="L205" i="2"/>
  <c r="N204" i="2"/>
  <c r="M204" i="2"/>
  <c r="L204" i="2"/>
  <c r="N203" i="2"/>
  <c r="M203" i="2"/>
  <c r="L203" i="2"/>
  <c r="N202" i="2"/>
  <c r="M202" i="2"/>
  <c r="L202" i="2"/>
  <c r="N201" i="2"/>
  <c r="M201" i="2"/>
  <c r="L201" i="2"/>
  <c r="N200" i="2"/>
  <c r="M200" i="2"/>
  <c r="L200" i="2"/>
  <c r="N199" i="2"/>
  <c r="M199" i="2"/>
  <c r="L199" i="2"/>
  <c r="N198" i="2"/>
  <c r="M198" i="2"/>
  <c r="L198" i="2"/>
  <c r="N197" i="2"/>
  <c r="M197" i="2"/>
  <c r="L197" i="2"/>
  <c r="N196" i="2"/>
  <c r="M196" i="2"/>
  <c r="L196" i="2"/>
  <c r="N195" i="2"/>
  <c r="M195" i="2"/>
  <c r="L195" i="2"/>
  <c r="N194" i="2"/>
  <c r="M194" i="2"/>
  <c r="L194" i="2"/>
  <c r="N193" i="2"/>
  <c r="M193" i="2"/>
  <c r="L193" i="2"/>
  <c r="N192" i="2"/>
  <c r="M192" i="2"/>
  <c r="L192" i="2"/>
  <c r="N191" i="2"/>
  <c r="M191" i="2"/>
  <c r="L191" i="2"/>
  <c r="N190" i="2"/>
  <c r="M190" i="2"/>
  <c r="L190" i="2"/>
  <c r="N189" i="2"/>
  <c r="M189" i="2"/>
  <c r="L189" i="2"/>
  <c r="N188" i="2"/>
  <c r="M188" i="2"/>
  <c r="L188" i="2"/>
  <c r="N187" i="2"/>
  <c r="M187" i="2"/>
  <c r="L187" i="2"/>
  <c r="N186" i="2"/>
  <c r="M186" i="2"/>
  <c r="L186" i="2"/>
  <c r="N185" i="2"/>
  <c r="M185" i="2"/>
  <c r="L185" i="2"/>
  <c r="N184" i="2"/>
  <c r="M184" i="2"/>
  <c r="L184" i="2"/>
  <c r="N183" i="2"/>
  <c r="M183" i="2"/>
  <c r="L183" i="2"/>
  <c r="N182" i="2"/>
  <c r="M182" i="2"/>
  <c r="L182" i="2"/>
  <c r="N181" i="2"/>
  <c r="M181" i="2"/>
  <c r="L181" i="2"/>
  <c r="N180" i="2"/>
  <c r="M180" i="2"/>
  <c r="L180" i="2"/>
  <c r="N179" i="2"/>
  <c r="M179" i="2"/>
  <c r="L179" i="2"/>
  <c r="N178" i="2"/>
  <c r="M178" i="2"/>
  <c r="L178" i="2"/>
  <c r="N177" i="2"/>
  <c r="M177" i="2"/>
  <c r="L177" i="2"/>
  <c r="N176" i="2"/>
  <c r="M176" i="2"/>
  <c r="L176" i="2"/>
  <c r="N175" i="2"/>
  <c r="M175" i="2"/>
  <c r="L175" i="2"/>
  <c r="N174" i="2"/>
  <c r="M174" i="2"/>
  <c r="L174" i="2"/>
  <c r="N173" i="2"/>
  <c r="M173" i="2"/>
  <c r="L173" i="2"/>
  <c r="N172" i="2"/>
  <c r="M172" i="2"/>
  <c r="L172" i="2"/>
  <c r="N171" i="2"/>
  <c r="M171" i="2"/>
  <c r="L171" i="2"/>
  <c r="N170" i="2"/>
  <c r="M170" i="2"/>
  <c r="L170" i="2"/>
  <c r="N169" i="2"/>
  <c r="M169" i="2"/>
  <c r="L169" i="2"/>
  <c r="N168" i="2"/>
  <c r="M168" i="2"/>
  <c r="L168" i="2"/>
  <c r="N167" i="2"/>
  <c r="M167" i="2"/>
  <c r="L167" i="2"/>
  <c r="N166" i="2"/>
  <c r="M166" i="2"/>
  <c r="L166" i="2"/>
  <c r="M165" i="2"/>
  <c r="N165" i="2" s="1"/>
  <c r="N164" i="2" s="1"/>
  <c r="M164" i="2"/>
  <c r="M163" i="2"/>
  <c r="N163" i="2" s="1"/>
  <c r="N162" i="2" s="1"/>
  <c r="M162" i="2"/>
  <c r="M160" i="2"/>
  <c r="M158" i="2"/>
  <c r="M157" i="2"/>
  <c r="M155" i="2"/>
  <c r="M152" i="2"/>
  <c r="M149" i="2"/>
  <c r="N149" i="2" s="1"/>
  <c r="M148" i="2"/>
  <c r="N148" i="2" s="1"/>
  <c r="M147" i="2"/>
  <c r="M146" i="2"/>
  <c r="N146" i="2" s="1"/>
  <c r="M145" i="2"/>
  <c r="N145" i="2" s="1"/>
  <c r="M144" i="2"/>
  <c r="N144" i="2" s="1"/>
  <c r="M143" i="2"/>
  <c r="N143" i="2" s="1"/>
  <c r="M142" i="2"/>
  <c r="M141" i="2"/>
  <c r="M138" i="2"/>
  <c r="M135" i="2"/>
  <c r="M133" i="2"/>
  <c r="M132" i="2"/>
  <c r="N132" i="2" s="1"/>
  <c r="M131" i="2"/>
  <c r="N131" i="2" s="1"/>
  <c r="M130" i="2"/>
  <c r="M127" i="2"/>
  <c r="M121" i="2"/>
  <c r="M120" i="2"/>
  <c r="N120" i="2" s="1"/>
  <c r="M119" i="2"/>
  <c r="N119" i="2" s="1"/>
  <c r="M118" i="2"/>
  <c r="N118" i="2" s="1"/>
  <c r="M117" i="2"/>
  <c r="M116" i="2"/>
  <c r="N116" i="2" s="1"/>
  <c r="M115" i="2"/>
  <c r="M114" i="2"/>
  <c r="M112" i="2"/>
  <c r="M111" i="2"/>
  <c r="N111" i="2" s="1"/>
  <c r="M110" i="2"/>
  <c r="N110" i="2" s="1"/>
  <c r="M109" i="2"/>
  <c r="N109" i="2" s="1"/>
  <c r="M108" i="2"/>
  <c r="N108" i="2" s="1"/>
  <c r="M107" i="2"/>
  <c r="N107" i="2" s="1"/>
  <c r="M106" i="2"/>
  <c r="N106" i="2" s="1"/>
  <c r="M105" i="2"/>
  <c r="N105" i="2" s="1"/>
  <c r="M104" i="2"/>
  <c r="N104" i="2" s="1"/>
  <c r="M103" i="2"/>
  <c r="N103" i="2" s="1"/>
  <c r="M102" i="2"/>
  <c r="N102" i="2" s="1"/>
  <c r="M101" i="2"/>
  <c r="N101" i="2" s="1"/>
  <c r="M100" i="2"/>
  <c r="N100" i="2" s="1"/>
  <c r="M99" i="2"/>
  <c r="N99" i="2" s="1"/>
  <c r="M97" i="2"/>
  <c r="N97" i="2" s="1"/>
  <c r="M95" i="2"/>
  <c r="N95" i="2" s="1"/>
  <c r="M89" i="2"/>
  <c r="M88" i="2"/>
  <c r="M87" i="2"/>
  <c r="N87" i="2" s="1"/>
  <c r="M86" i="2"/>
  <c r="N86" i="2" s="1"/>
  <c r="M85" i="2"/>
  <c r="N85" i="2" s="1"/>
  <c r="M84" i="2"/>
  <c r="N84" i="2" s="1"/>
  <c r="M83" i="2"/>
  <c r="N83" i="2" s="1"/>
  <c r="M82" i="2"/>
  <c r="N82" i="2" s="1"/>
  <c r="M81" i="2"/>
  <c r="N81" i="2" s="1"/>
  <c r="M80" i="2"/>
  <c r="N80" i="2" s="1"/>
  <c r="M79" i="2"/>
  <c r="N79" i="2" s="1"/>
  <c r="M78" i="2"/>
  <c r="N78" i="2" s="1"/>
  <c r="M77" i="2"/>
  <c r="N77" i="2" s="1"/>
  <c r="M76" i="2"/>
  <c r="N76" i="2" s="1"/>
  <c r="M75" i="2"/>
  <c r="N75" i="2" s="1"/>
  <c r="M74" i="2"/>
  <c r="N74" i="2" s="1"/>
  <c r="M73" i="2"/>
  <c r="N73" i="2" s="1"/>
  <c r="M72" i="2"/>
  <c r="N72" i="2" s="1"/>
  <c r="M71" i="2"/>
  <c r="N71" i="2" s="1"/>
  <c r="M70" i="2"/>
  <c r="M69" i="2"/>
  <c r="N69" i="2" s="1"/>
  <c r="M68" i="2"/>
  <c r="N68" i="2" s="1"/>
  <c r="M67" i="2"/>
  <c r="N67" i="2" s="1"/>
  <c r="M66" i="2"/>
  <c r="M65" i="2"/>
  <c r="N65" i="2" s="1"/>
  <c r="M64" i="2"/>
  <c r="N64" i="2" s="1"/>
  <c r="M63" i="2"/>
  <c r="M62" i="2"/>
  <c r="N62" i="2" s="1"/>
  <c r="M61" i="2"/>
  <c r="N61" i="2" s="1"/>
  <c r="M60" i="2"/>
  <c r="N60" i="2" s="1"/>
  <c r="M59" i="2"/>
  <c r="N59" i="2" s="1"/>
  <c r="M58" i="2"/>
  <c r="N58" i="2" s="1"/>
  <c r="M57" i="2"/>
  <c r="N57" i="2" s="1"/>
  <c r="M56" i="2"/>
  <c r="N56" i="2" s="1"/>
  <c r="M55" i="2"/>
  <c r="N55" i="2" s="1"/>
  <c r="M54" i="2"/>
  <c r="N54" i="2" s="1"/>
  <c r="M53" i="2"/>
  <c r="N53" i="2" s="1"/>
  <c r="M52" i="2"/>
  <c r="M51" i="2"/>
  <c r="M50" i="2"/>
  <c r="N50" i="2" s="1"/>
  <c r="M49" i="2"/>
  <c r="N49" i="2" s="1"/>
  <c r="M48" i="2"/>
  <c r="M47" i="2"/>
  <c r="N47" i="2" s="1"/>
  <c r="M46" i="2"/>
  <c r="N46" i="2" s="1"/>
  <c r="M45" i="2"/>
  <c r="N45" i="2" s="1"/>
  <c r="M44" i="2"/>
  <c r="N44" i="2" s="1"/>
  <c r="M43" i="2"/>
  <c r="N43" i="2" s="1"/>
  <c r="M42" i="2"/>
  <c r="M41" i="2"/>
  <c r="M40" i="2"/>
  <c r="N40" i="2" s="1"/>
  <c r="M39" i="2"/>
  <c r="N39" i="2" s="1"/>
  <c r="M38" i="2"/>
  <c r="N38" i="2" s="1"/>
  <c r="M37" i="2"/>
  <c r="N37" i="2" s="1"/>
  <c r="M36" i="2"/>
  <c r="N36" i="2" s="1"/>
  <c r="M35" i="2"/>
  <c r="N35" i="2" s="1"/>
  <c r="L32" i="2"/>
  <c r="M27" i="2"/>
  <c r="M26" i="2"/>
  <c r="L24" i="2"/>
  <c r="M23" i="2"/>
  <c r="M17" i="2"/>
  <c r="M14" i="2"/>
  <c r="M11" i="2"/>
  <c r="M10" i="2"/>
  <c r="M9" i="2"/>
  <c r="N9" i="2" s="1"/>
  <c r="J11" i="84" l="1"/>
  <c r="N3" i="84"/>
  <c r="J11" i="83"/>
  <c r="N3" i="83"/>
  <c r="O228" i="2"/>
  <c r="O244" i="2"/>
  <c r="O260" i="2"/>
  <c r="O276" i="2"/>
  <c r="O277" i="2"/>
  <c r="O309" i="2"/>
  <c r="O724" i="2"/>
  <c r="O756" i="2"/>
  <c r="O772" i="2"/>
  <c r="O1124" i="2"/>
  <c r="O1386" i="2"/>
  <c r="O1396" i="2"/>
  <c r="O1508" i="2"/>
  <c r="O1514" i="2"/>
  <c r="O1524" i="2"/>
  <c r="O1540" i="2"/>
  <c r="O1546" i="2"/>
  <c r="O1578" i="2"/>
  <c r="O1636" i="2"/>
  <c r="O1642" i="2"/>
  <c r="O1652" i="2"/>
  <c r="O1684" i="2"/>
  <c r="O1700" i="2"/>
  <c r="O1732" i="2"/>
  <c r="O1748" i="2"/>
  <c r="O1754" i="2"/>
  <c r="O1764" i="2"/>
  <c r="O1770" i="2"/>
  <c r="O1780" i="2"/>
  <c r="O1802" i="2"/>
  <c r="O1812" i="2"/>
  <c r="O1818" i="2"/>
  <c r="O1834" i="2"/>
  <c r="O1866" i="2"/>
  <c r="O1876" i="2"/>
  <c r="O1892" i="2"/>
  <c r="O1908" i="2"/>
  <c r="O1930" i="2"/>
  <c r="O1946" i="2"/>
  <c r="O1978" i="2"/>
  <c r="O1430" i="2"/>
  <c r="O1512" i="2"/>
  <c r="O1544" i="2"/>
  <c r="O1576" i="2"/>
  <c r="O1704" i="2"/>
  <c r="O1720" i="2"/>
  <c r="O1848" i="2"/>
  <c r="O1912" i="2"/>
  <c r="O1734" i="2"/>
  <c r="O1256" i="2"/>
  <c r="O1384" i="2"/>
  <c r="O1448" i="2"/>
  <c r="O1496" i="2"/>
  <c r="O1640" i="2"/>
  <c r="O1752" i="2"/>
  <c r="O1270" i="2"/>
  <c r="O1350" i="2"/>
  <c r="O1478" i="2"/>
  <c r="O1606" i="2"/>
  <c r="O1117" i="2"/>
  <c r="O1368" i="2"/>
  <c r="O1560" i="2"/>
  <c r="O1784" i="2"/>
  <c r="O1960" i="2"/>
  <c r="O1976" i="2"/>
  <c r="O1992" i="2"/>
  <c r="O619" i="2"/>
  <c r="O683" i="2"/>
  <c r="O1222" i="2"/>
  <c r="O1286" i="2"/>
  <c r="O1414" i="2"/>
  <c r="O1718" i="2"/>
  <c r="O1766" i="2"/>
  <c r="O1910" i="2"/>
  <c r="O1942" i="2"/>
  <c r="O1990" i="2"/>
  <c r="O1416" i="2"/>
  <c r="O1736" i="2"/>
  <c r="O1800" i="2"/>
  <c r="O1832" i="2"/>
  <c r="O1896" i="2"/>
  <c r="O1928" i="2"/>
  <c r="O292" i="2"/>
  <c r="O308" i="2"/>
  <c r="O324" i="2"/>
  <c r="O340" i="2"/>
  <c r="O356" i="2"/>
  <c r="O372" i="2"/>
  <c r="O388" i="2"/>
  <c r="O404" i="2"/>
  <c r="O436" i="2"/>
  <c r="O468" i="2"/>
  <c r="O788" i="2"/>
  <c r="O804" i="2"/>
  <c r="O852" i="2"/>
  <c r="O868" i="2"/>
  <c r="O884" i="2"/>
  <c r="O900" i="2"/>
  <c r="O916" i="2"/>
  <c r="O932" i="2"/>
  <c r="O948" i="2"/>
  <c r="O964" i="2"/>
  <c r="O980" i="2"/>
  <c r="O996" i="2"/>
  <c r="O1012" i="2"/>
  <c r="O1028" i="2"/>
  <c r="O1060" i="2"/>
  <c r="O1076" i="2"/>
  <c r="O1092" i="2"/>
  <c r="O1140" i="2"/>
  <c r="O1156" i="2"/>
  <c r="O1172" i="2"/>
  <c r="O1204" i="2"/>
  <c r="O1220" i="2"/>
  <c r="O1236" i="2"/>
  <c r="O1268" i="2"/>
  <c r="O1284" i="2"/>
  <c r="O1332" i="2"/>
  <c r="O1348" i="2"/>
  <c r="O667" i="2"/>
  <c r="O1254" i="2"/>
  <c r="O1318" i="2"/>
  <c r="O1382" i="2"/>
  <c r="O1558" i="2"/>
  <c r="O1670" i="2"/>
  <c r="O1702" i="2"/>
  <c r="O1782" i="2"/>
  <c r="O1814" i="2"/>
  <c r="O1878" i="2"/>
  <c r="O1464" i="2"/>
  <c r="O1592" i="2"/>
  <c r="O1672" i="2"/>
  <c r="O1768" i="2"/>
  <c r="O1615" i="2"/>
  <c r="O1711" i="2"/>
  <c r="O1727" i="2"/>
  <c r="O1743" i="2"/>
  <c r="O1775" i="2"/>
  <c r="O1791" i="2"/>
  <c r="O1839" i="2"/>
  <c r="O1855" i="2"/>
  <c r="O1887" i="2"/>
  <c r="O1903" i="2"/>
  <c r="O1919" i="2"/>
  <c r="O1951" i="2"/>
  <c r="O1967" i="2"/>
  <c r="O1398" i="2"/>
  <c r="O1494" i="2"/>
  <c r="O1622" i="2"/>
  <c r="O1750" i="2"/>
  <c r="O1798" i="2"/>
  <c r="O1926" i="2"/>
  <c r="O1320" i="2"/>
  <c r="O1480" i="2"/>
  <c r="O1528" i="2"/>
  <c r="O1608" i="2"/>
  <c r="O1656" i="2"/>
  <c r="O490" i="2"/>
  <c r="O538" i="2"/>
  <c r="O554" i="2"/>
  <c r="O570" i="2"/>
  <c r="O586" i="2"/>
  <c r="O650" i="2"/>
  <c r="O714" i="2"/>
  <c r="O778" i="2"/>
  <c r="O842" i="2"/>
  <c r="O890" i="2"/>
  <c r="O906" i="2"/>
  <c r="O970" i="2"/>
  <c r="O1002" i="2"/>
  <c r="O1034" i="2"/>
  <c r="O1098" i="2"/>
  <c r="O1226" i="2"/>
  <c r="O1274" i="2"/>
  <c r="O1290" i="2"/>
  <c r="O1322" i="2"/>
  <c r="O1338" i="2"/>
  <c r="O1354" i="2"/>
  <c r="O1450" i="2"/>
  <c r="O180" i="2"/>
  <c r="O196" i="2"/>
  <c r="O212" i="2"/>
  <c r="O753" i="2"/>
  <c r="O1057" i="2"/>
  <c r="O1265" i="2"/>
  <c r="O1713" i="2"/>
  <c r="O535" i="2"/>
  <c r="O951" i="2"/>
  <c r="O1111" i="2"/>
  <c r="O1303" i="2"/>
  <c r="O1703" i="2"/>
  <c r="O173" i="2"/>
  <c r="O317" i="2"/>
  <c r="O477" i="2"/>
  <c r="O865" i="2"/>
  <c r="O1137" i="2"/>
  <c r="O1409" i="2"/>
  <c r="O1601" i="2"/>
  <c r="O263" i="2"/>
  <c r="O455" i="2"/>
  <c r="O663" i="2"/>
  <c r="O887" i="2"/>
  <c r="O1127" i="2"/>
  <c r="O1623" i="2"/>
  <c r="O769" i="2"/>
  <c r="O961" i="2"/>
  <c r="O1025" i="2"/>
  <c r="O1153" i="2"/>
  <c r="O1537" i="2"/>
  <c r="O737" i="2"/>
  <c r="O833" i="2"/>
  <c r="O945" i="2"/>
  <c r="O1073" i="2"/>
  <c r="O1217" i="2"/>
  <c r="O1681" i="2"/>
  <c r="O1745" i="2"/>
  <c r="O1793" i="2"/>
  <c r="O1969" i="2"/>
  <c r="O391" i="2"/>
  <c r="O471" i="2"/>
  <c r="O567" i="2"/>
  <c r="O647" i="2"/>
  <c r="O759" i="2"/>
  <c r="O903" i="2"/>
  <c r="O983" i="2"/>
  <c r="O1047" i="2"/>
  <c r="O1159" i="2"/>
  <c r="O1239" i="2"/>
  <c r="O1335" i="2"/>
  <c r="O1431" i="2"/>
  <c r="O1719" i="2"/>
  <c r="O610" i="2"/>
  <c r="O642" i="2"/>
  <c r="O674" i="2"/>
  <c r="O690" i="2"/>
  <c r="O706" i="2"/>
  <c r="O738" i="2"/>
  <c r="O770" i="2"/>
  <c r="O802" i="2"/>
  <c r="O689" i="2"/>
  <c r="O785" i="2"/>
  <c r="O849" i="2"/>
  <c r="O1009" i="2"/>
  <c r="O1121" i="2"/>
  <c r="O1233" i="2"/>
  <c r="O1361" i="2"/>
  <c r="O1473" i="2"/>
  <c r="O1521" i="2"/>
  <c r="O1729" i="2"/>
  <c r="O199" i="2"/>
  <c r="O295" i="2"/>
  <c r="O487" i="2"/>
  <c r="O711" i="2"/>
  <c r="O871" i="2"/>
  <c r="O1095" i="2"/>
  <c r="O1271" i="2"/>
  <c r="O1415" i="2"/>
  <c r="O1751" i="2"/>
  <c r="O221" i="2"/>
  <c r="O301" i="2"/>
  <c r="O413" i="2"/>
  <c r="O669" i="2"/>
  <c r="O749" i="2"/>
  <c r="O845" i="2"/>
  <c r="O973" i="2"/>
  <c r="O1037" i="2"/>
  <c r="O705" i="2"/>
  <c r="O897" i="2"/>
  <c r="O993" i="2"/>
  <c r="O1089" i="2"/>
  <c r="O1201" i="2"/>
  <c r="O1281" i="2"/>
  <c r="O1505" i="2"/>
  <c r="O1569" i="2"/>
  <c r="O1633" i="2"/>
  <c r="O1697" i="2"/>
  <c r="O1761" i="2"/>
  <c r="O359" i="2"/>
  <c r="O583" i="2"/>
  <c r="O775" i="2"/>
  <c r="O855" i="2"/>
  <c r="O935" i="2"/>
  <c r="O1031" i="2"/>
  <c r="O1367" i="2"/>
  <c r="O1463" i="2"/>
  <c r="O1527" i="2"/>
  <c r="O1591" i="2"/>
  <c r="O1655" i="2"/>
  <c r="O285" i="2"/>
  <c r="O365" i="2"/>
  <c r="O461" i="2"/>
  <c r="O541" i="2"/>
  <c r="O605" i="2"/>
  <c r="O701" i="2"/>
  <c r="O893" i="2"/>
  <c r="O957" i="2"/>
  <c r="O1165" i="2"/>
  <c r="O913" i="2"/>
  <c r="O1105" i="2"/>
  <c r="O1345" i="2"/>
  <c r="O1441" i="2"/>
  <c r="O1905" i="2"/>
  <c r="O327" i="2"/>
  <c r="O423" i="2"/>
  <c r="O599" i="2"/>
  <c r="O727" i="2"/>
  <c r="O823" i="2"/>
  <c r="O1015" i="2"/>
  <c r="O1079" i="2"/>
  <c r="O1175" i="2"/>
  <c r="O1575" i="2"/>
  <c r="O1639" i="2"/>
  <c r="O205" i="2"/>
  <c r="O349" i="2"/>
  <c r="O397" i="2"/>
  <c r="O525" i="2"/>
  <c r="O573" i="2"/>
  <c r="O653" i="2"/>
  <c r="O717" i="2"/>
  <c r="O765" i="2"/>
  <c r="O813" i="2"/>
  <c r="O861" i="2"/>
  <c r="O909" i="2"/>
  <c r="O941" i="2"/>
  <c r="O1005" i="2"/>
  <c r="O1053" i="2"/>
  <c r="O1069" i="2"/>
  <c r="O1101" i="2"/>
  <c r="O1133" i="2"/>
  <c r="O721" i="2"/>
  <c r="O817" i="2"/>
  <c r="O881" i="2"/>
  <c r="O977" i="2"/>
  <c r="O1041" i="2"/>
  <c r="O1185" i="2"/>
  <c r="O1249" i="2"/>
  <c r="O1297" i="2"/>
  <c r="O1457" i="2"/>
  <c r="O1585" i="2"/>
  <c r="O1665" i="2"/>
  <c r="O1825" i="2"/>
  <c r="O1889" i="2"/>
  <c r="O1953" i="2"/>
  <c r="O439" i="2"/>
  <c r="O519" i="2"/>
  <c r="O839" i="2"/>
  <c r="O919" i="2"/>
  <c r="O999" i="2"/>
  <c r="O1063" i="2"/>
  <c r="O1207" i="2"/>
  <c r="O1447" i="2"/>
  <c r="O1687" i="2"/>
  <c r="O1735" i="2"/>
  <c r="O189" i="2"/>
  <c r="O237" i="2"/>
  <c r="O333" i="2"/>
  <c r="O381" i="2"/>
  <c r="O429" i="2"/>
  <c r="O493" i="2"/>
  <c r="O589" i="2"/>
  <c r="O637" i="2"/>
  <c r="O685" i="2"/>
  <c r="O733" i="2"/>
  <c r="O781" i="2"/>
  <c r="O829" i="2"/>
  <c r="O877" i="2"/>
  <c r="O925" i="2"/>
  <c r="O989" i="2"/>
  <c r="O1021" i="2"/>
  <c r="O1085" i="2"/>
  <c r="O1149" i="2"/>
  <c r="O929" i="2"/>
  <c r="O1169" i="2"/>
  <c r="O1313" i="2"/>
  <c r="O231" i="2"/>
  <c r="O791" i="2"/>
  <c r="O967" i="2"/>
  <c r="O1143" i="2"/>
  <c r="O1399" i="2"/>
  <c r="O253" i="2"/>
  <c r="O445" i="2"/>
  <c r="O1293" i="2"/>
  <c r="O1373" i="2"/>
  <c r="O1949" i="2"/>
  <c r="O1981" i="2"/>
  <c r="O248" i="2"/>
  <c r="O376" i="2"/>
  <c r="O680" i="2"/>
  <c r="O1229" i="2"/>
  <c r="O1341" i="2"/>
  <c r="O1453" i="2"/>
  <c r="O1549" i="2"/>
  <c r="O1661" i="2"/>
  <c r="O1869" i="2"/>
  <c r="O200" i="2"/>
  <c r="O264" i="2"/>
  <c r="O360" i="2"/>
  <c r="O504" i="2"/>
  <c r="O728" i="2"/>
  <c r="O1000" i="2"/>
  <c r="O1112" i="2"/>
  <c r="O1176" i="2"/>
  <c r="O259" i="2"/>
  <c r="O291" i="2"/>
  <c r="O323" i="2"/>
  <c r="O355" i="2"/>
  <c r="O387" i="2"/>
  <c r="O451" i="2"/>
  <c r="O499" i="2"/>
  <c r="O515" i="2"/>
  <c r="O547" i="2"/>
  <c r="O563" i="2"/>
  <c r="O579" i="2"/>
  <c r="O595" i="2"/>
  <c r="O611" i="2"/>
  <c r="O675" i="2"/>
  <c r="O723" i="2"/>
  <c r="O739" i="2"/>
  <c r="O771" i="2"/>
  <c r="O787" i="2"/>
  <c r="O803" i="2"/>
  <c r="O819" i="2"/>
  <c r="O835" i="2"/>
  <c r="O851" i="2"/>
  <c r="O867" i="2"/>
  <c r="O883" i="2"/>
  <c r="O899" i="2"/>
  <c r="O915" i="2"/>
  <c r="O931" i="2"/>
  <c r="O947" i="2"/>
  <c r="O963" i="2"/>
  <c r="O979" i="2"/>
  <c r="O995" i="2"/>
  <c r="O1203" i="2"/>
  <c r="O1267" i="2"/>
  <c r="O1331" i="2"/>
  <c r="O1363" i="2"/>
  <c r="O1395" i="2"/>
  <c r="O1443" i="2"/>
  <c r="O1491" i="2"/>
  <c r="O1507" i="2"/>
  <c r="O1523" i="2"/>
  <c r="O1555" i="2"/>
  <c r="O1571" i="2"/>
  <c r="O1619" i="2"/>
  <c r="O1635" i="2"/>
  <c r="O1651" i="2"/>
  <c r="O1667" i="2"/>
  <c r="O1683" i="2"/>
  <c r="O1731" i="2"/>
  <c r="O1763" i="2"/>
  <c r="O1795" i="2"/>
  <c r="O1811" i="2"/>
  <c r="O1827" i="2"/>
  <c r="O1859" i="2"/>
  <c r="O1875" i="2"/>
  <c r="O1891" i="2"/>
  <c r="O1923" i="2"/>
  <c r="O1939" i="2"/>
  <c r="O1955" i="2"/>
  <c r="O1987" i="2"/>
  <c r="O1197" i="2"/>
  <c r="O1421" i="2"/>
  <c r="O1501" i="2"/>
  <c r="O168" i="2"/>
  <c r="O232" i="2"/>
  <c r="O392" i="2"/>
  <c r="O616" i="2"/>
  <c r="O776" i="2"/>
  <c r="O840" i="2"/>
  <c r="O920" i="2"/>
  <c r="O968" i="2"/>
  <c r="O195" i="2"/>
  <c r="O174" i="2"/>
  <c r="O190" i="2"/>
  <c r="O222" i="2"/>
  <c r="O254" i="2"/>
  <c r="O286" i="2"/>
  <c r="O318" i="2"/>
  <c r="O350" i="2"/>
  <c r="O382" i="2"/>
  <c r="O414" i="2"/>
  <c r="O430" i="2"/>
  <c r="O446" i="2"/>
  <c r="O478" i="2"/>
  <c r="O494" i="2"/>
  <c r="O510" i="2"/>
  <c r="O542" i="2"/>
  <c r="O558" i="2"/>
  <c r="O574" i="2"/>
  <c r="O590" i="2"/>
  <c r="O606" i="2"/>
  <c r="O638" i="2"/>
  <c r="O654" i="2"/>
  <c r="O670" i="2"/>
  <c r="O718" i="2"/>
  <c r="O734" i="2"/>
  <c r="O766" i="2"/>
  <c r="O782" i="2"/>
  <c r="O798" i="2"/>
  <c r="O830" i="2"/>
  <c r="O846" i="2"/>
  <c r="O862" i="2"/>
  <c r="O894" i="2"/>
  <c r="O910" i="2"/>
  <c r="O926" i="2"/>
  <c r="O974" i="2"/>
  <c r="O990" i="2"/>
  <c r="O1038" i="2"/>
  <c r="O1054" i="2"/>
  <c r="O1102" i="2"/>
  <c r="O1182" i="2"/>
  <c r="O1214" i="2"/>
  <c r="O1230" i="2"/>
  <c r="O1246" i="2"/>
  <c r="O1278" i="2"/>
  <c r="O1294" i="2"/>
  <c r="O1310" i="2"/>
  <c r="O1326" i="2"/>
  <c r="O1342" i="2"/>
  <c r="O1358" i="2"/>
  <c r="O1374" i="2"/>
  <c r="O1438" i="2"/>
  <c r="O1454" i="2"/>
  <c r="O1502" i="2"/>
  <c r="O1518" i="2"/>
  <c r="O1550" i="2"/>
  <c r="O1566" i="2"/>
  <c r="O1582" i="2"/>
  <c r="O1630" i="2"/>
  <c r="O1646" i="2"/>
  <c r="O1678" i="2"/>
  <c r="O1694" i="2"/>
  <c r="O1710" i="2"/>
  <c r="O1726" i="2"/>
  <c r="O1742" i="2"/>
  <c r="O1774" i="2"/>
  <c r="O1790" i="2"/>
  <c r="O1806" i="2"/>
  <c r="O1838" i="2"/>
  <c r="O1854" i="2"/>
  <c r="O1886" i="2"/>
  <c r="O1902" i="2"/>
  <c r="O1950" i="2"/>
  <c r="O1966" i="2"/>
  <c r="O1998" i="2"/>
  <c r="O1213" i="2"/>
  <c r="O1277" i="2"/>
  <c r="O1469" i="2"/>
  <c r="O1533" i="2"/>
  <c r="O1581" i="2"/>
  <c r="O1613" i="2"/>
  <c r="O184" i="2"/>
  <c r="O280" i="2"/>
  <c r="O344" i="2"/>
  <c r="O664" i="2"/>
  <c r="O744" i="2"/>
  <c r="O872" i="2"/>
  <c r="O936" i="2"/>
  <c r="O984" i="2"/>
  <c r="O1064" i="2"/>
  <c r="O1192" i="2"/>
  <c r="O169" i="2"/>
  <c r="O185" i="2"/>
  <c r="O265" i="2"/>
  <c r="O297" i="2"/>
  <c r="O377" i="2"/>
  <c r="O409" i="2"/>
  <c r="O425" i="2"/>
  <c r="O441" i="2"/>
  <c r="O473" i="2"/>
  <c r="O489" i="2"/>
  <c r="O505" i="2"/>
  <c r="O537" i="2"/>
  <c r="O553" i="2"/>
  <c r="O601" i="2"/>
  <c r="O617" i="2"/>
  <c r="O633" i="2"/>
  <c r="O665" i="2"/>
  <c r="O681" i="2"/>
  <c r="O697" i="2"/>
  <c r="O729" i="2"/>
  <c r="O761" i="2"/>
  <c r="O809" i="2"/>
  <c r="O825" i="2"/>
  <c r="O841" i="2"/>
  <c r="O857" i="2"/>
  <c r="O873" i="2"/>
  <c r="O889" i="2"/>
  <c r="O905" i="2"/>
  <c r="O921" i="2"/>
  <c r="O937" i="2"/>
  <c r="O953" i="2"/>
  <c r="O969" i="2"/>
  <c r="O985" i="2"/>
  <c r="O1001" i="2"/>
  <c r="O1017" i="2"/>
  <c r="O1033" i="2"/>
  <c r="O1049" i="2"/>
  <c r="O1065" i="2"/>
  <c r="O1081" i="2"/>
  <c r="O1097" i="2"/>
  <c r="O1113" i="2"/>
  <c r="O1129" i="2"/>
  <c r="O1145" i="2"/>
  <c r="O1161" i="2"/>
  <c r="O1193" i="2"/>
  <c r="O1209" i="2"/>
  <c r="O1241" i="2"/>
  <c r="O1273" i="2"/>
  <c r="O1305" i="2"/>
  <c r="O1321" i="2"/>
  <c r="O1337" i="2"/>
  <c r="O1385" i="2"/>
  <c r="O1401" i="2"/>
  <c r="O1417" i="2"/>
  <c r="O1433" i="2"/>
  <c r="O1481" i="2"/>
  <c r="O1497" i="2"/>
  <c r="O1561" i="2"/>
  <c r="O1577" i="2"/>
  <c r="O1609" i="2"/>
  <c r="O1625" i="2"/>
  <c r="O1657" i="2"/>
  <c r="O1753" i="2"/>
  <c r="O1785" i="2"/>
  <c r="O1801" i="2"/>
  <c r="O1865" i="2"/>
  <c r="O1881" i="2"/>
  <c r="O1929" i="2"/>
  <c r="O1993" i="2"/>
  <c r="O1261" i="2"/>
  <c r="O1357" i="2"/>
  <c r="O1437" i="2"/>
  <c r="O1517" i="2"/>
  <c r="O1629" i="2"/>
  <c r="O1757" i="2"/>
  <c r="O1805" i="2"/>
  <c r="O1997" i="2"/>
  <c r="O216" i="2"/>
  <c r="O312" i="2"/>
  <c r="O536" i="2"/>
  <c r="O808" i="2"/>
  <c r="O1048" i="2"/>
  <c r="O1128" i="2"/>
  <c r="O227" i="2"/>
  <c r="O532" i="2"/>
  <c r="O628" i="2"/>
  <c r="O644" i="2"/>
  <c r="O692" i="2"/>
  <c r="O820" i="2"/>
  <c r="O836" i="2"/>
  <c r="O1428" i="2"/>
  <c r="O1444" i="2"/>
  <c r="O1460" i="2"/>
  <c r="O1476" i="2"/>
  <c r="O1588" i="2"/>
  <c r="O1940" i="2"/>
  <c r="O1956" i="2"/>
  <c r="O1972" i="2"/>
  <c r="O1405" i="2"/>
  <c r="O1485" i="2"/>
  <c r="O296" i="2"/>
  <c r="O1983" i="2"/>
  <c r="O1181" i="2"/>
  <c r="O1565" i="2"/>
  <c r="O1933" i="2"/>
  <c r="O328" i="2"/>
  <c r="O520" i="2"/>
  <c r="O1882" i="2"/>
  <c r="O415" i="2"/>
  <c r="O511" i="2"/>
  <c r="O719" i="2"/>
  <c r="O863" i="2"/>
  <c r="O959" i="2"/>
  <c r="O1039" i="2"/>
  <c r="O1103" i="2"/>
  <c r="O1167" i="2"/>
  <c r="O1263" i="2"/>
  <c r="O1327" i="2"/>
  <c r="O1391" i="2"/>
  <c r="O1455" i="2"/>
  <c r="O1503" i="2"/>
  <c r="O1551" i="2"/>
  <c r="O1599" i="2"/>
  <c r="O1647" i="2"/>
  <c r="O181" i="2"/>
  <c r="O373" i="2"/>
  <c r="O800" i="2"/>
  <c r="O864" i="2"/>
  <c r="O928" i="2"/>
  <c r="O1040" i="2"/>
  <c r="O315" i="2"/>
  <c r="O395" i="2"/>
  <c r="O539" i="2"/>
  <c r="O587" i="2"/>
  <c r="O358" i="2"/>
  <c r="O438" i="2"/>
  <c r="O518" i="2"/>
  <c r="O694" i="2"/>
  <c r="O886" i="2"/>
  <c r="O966" i="2"/>
  <c r="O177" i="2"/>
  <c r="O192" i="2"/>
  <c r="O528" i="2"/>
  <c r="O624" i="2"/>
  <c r="O656" i="2"/>
  <c r="O720" i="2"/>
  <c r="O752" i="2"/>
  <c r="O182" i="2"/>
  <c r="O230" i="2"/>
  <c r="O262" i="2"/>
  <c r="O342" i="2"/>
  <c r="O390" i="2"/>
  <c r="O422" i="2"/>
  <c r="O486" i="2"/>
  <c r="O534" i="2"/>
  <c r="O566" i="2"/>
  <c r="O662" i="2"/>
  <c r="O726" i="2"/>
  <c r="O822" i="2"/>
  <c r="O838" i="2"/>
  <c r="O918" i="2"/>
  <c r="O982" i="2"/>
  <c r="O1094" i="2"/>
  <c r="O1190" i="2"/>
  <c r="O399" i="2"/>
  <c r="O463" i="2"/>
  <c r="O879" i="2"/>
  <c r="O1119" i="2"/>
  <c r="O1295" i="2"/>
  <c r="O1375" i="2"/>
  <c r="O1439" i="2"/>
  <c r="O1663" i="2"/>
  <c r="O1695" i="2"/>
  <c r="O474" i="2"/>
  <c r="O341" i="2"/>
  <c r="O453" i="2"/>
  <c r="O368" i="2"/>
  <c r="O432" i="2"/>
  <c r="O608" i="2"/>
  <c r="O704" i="2"/>
  <c r="O736" i="2"/>
  <c r="O816" i="2"/>
  <c r="O880" i="2"/>
  <c r="O912" i="2"/>
  <c r="O992" i="2"/>
  <c r="O1072" i="2"/>
  <c r="O1120" i="2"/>
  <c r="O1168" i="2"/>
  <c r="O1216" i="2"/>
  <c r="O347" i="2"/>
  <c r="O427" i="2"/>
  <c r="O475" i="2"/>
  <c r="O523" i="2"/>
  <c r="O555" i="2"/>
  <c r="O571" i="2"/>
  <c r="O603" i="2"/>
  <c r="O198" i="2"/>
  <c r="O326" i="2"/>
  <c r="O406" i="2"/>
  <c r="O470" i="2"/>
  <c r="O502" i="2"/>
  <c r="O550" i="2"/>
  <c r="O582" i="2"/>
  <c r="O774" i="2"/>
  <c r="O854" i="2"/>
  <c r="O902" i="2"/>
  <c r="O1030" i="2"/>
  <c r="O1110" i="2"/>
  <c r="O501" i="2"/>
  <c r="O400" i="2"/>
  <c r="O592" i="2"/>
  <c r="O688" i="2"/>
  <c r="O896" i="2"/>
  <c r="O944" i="2"/>
  <c r="O1008" i="2"/>
  <c r="O1056" i="2"/>
  <c r="O1136" i="2"/>
  <c r="O187" i="2"/>
  <c r="O459" i="2"/>
  <c r="O294" i="2"/>
  <c r="O454" i="2"/>
  <c r="O598" i="2"/>
  <c r="O790" i="2"/>
  <c r="O1046" i="2"/>
  <c r="O255" i="2"/>
  <c r="O495" i="2"/>
  <c r="O607" i="2"/>
  <c r="O735" i="2"/>
  <c r="O799" i="2"/>
  <c r="O847" i="2"/>
  <c r="O895" i="2"/>
  <c r="O943" i="2"/>
  <c r="O975" i="2"/>
  <c r="O1087" i="2"/>
  <c r="O1151" i="2"/>
  <c r="O1199" i="2"/>
  <c r="O1311" i="2"/>
  <c r="O1359" i="2"/>
  <c r="O1423" i="2"/>
  <c r="O1471" i="2"/>
  <c r="O1487" i="2"/>
  <c r="O1519" i="2"/>
  <c r="O1535" i="2"/>
  <c r="O1567" i="2"/>
  <c r="O1631" i="2"/>
  <c r="O282" i="2"/>
  <c r="O197" i="2"/>
  <c r="O245" i="2"/>
  <c r="O421" i="2"/>
  <c r="O485" i="2"/>
  <c r="O533" i="2"/>
  <c r="O597" i="2"/>
  <c r="O464" i="2"/>
  <c r="O431" i="2"/>
  <c r="O543" i="2"/>
  <c r="O575" i="2"/>
  <c r="O783" i="2"/>
  <c r="O831" i="2"/>
  <c r="O911" i="2"/>
  <c r="O991" i="2"/>
  <c r="O1023" i="2"/>
  <c r="O1071" i="2"/>
  <c r="O1183" i="2"/>
  <c r="O1247" i="2"/>
  <c r="O186" i="2"/>
  <c r="O346" i="2"/>
  <c r="O410" i="2"/>
  <c r="O213" i="2"/>
  <c r="O549" i="2"/>
  <c r="O613" i="2"/>
  <c r="O208" i="2"/>
  <c r="O256" i="2"/>
  <c r="O1011" i="2"/>
  <c r="O1027" i="2"/>
  <c r="O1043" i="2"/>
  <c r="O1059" i="2"/>
  <c r="O1075" i="2"/>
  <c r="O1091" i="2"/>
  <c r="O1107" i="2"/>
  <c r="O1123" i="2"/>
  <c r="O1139" i="2"/>
  <c r="O1155" i="2"/>
  <c r="O1171" i="2"/>
  <c r="O287" i="2"/>
  <c r="O447" i="2"/>
  <c r="O527" i="2"/>
  <c r="O591" i="2"/>
  <c r="O671" i="2"/>
  <c r="O815" i="2"/>
  <c r="O927" i="2"/>
  <c r="O1007" i="2"/>
  <c r="O1055" i="2"/>
  <c r="O1135" i="2"/>
  <c r="O442" i="2"/>
  <c r="O405" i="2"/>
  <c r="O469" i="2"/>
  <c r="O645" i="2"/>
  <c r="O661" i="2"/>
  <c r="O709" i="2"/>
  <c r="O757" i="2"/>
  <c r="O773" i="2"/>
  <c r="O789" i="2"/>
  <c r="O821" i="2"/>
  <c r="O837" i="2"/>
  <c r="O853" i="2"/>
  <c r="O869" i="2"/>
  <c r="O885" i="2"/>
  <c r="O901" i="2"/>
  <c r="O917" i="2"/>
  <c r="O933" i="2"/>
  <c r="O949" i="2"/>
  <c r="O965" i="2"/>
  <c r="O981" i="2"/>
  <c r="O997" i="2"/>
  <c r="O1013" i="2"/>
  <c r="O1029" i="2"/>
  <c r="O1045" i="2"/>
  <c r="O1061" i="2"/>
  <c r="O1077" i="2"/>
  <c r="O1093" i="2"/>
  <c r="O1109" i="2"/>
  <c r="O1125" i="2"/>
  <c r="O1141" i="2"/>
  <c r="O1157" i="2"/>
  <c r="O1173" i="2"/>
  <c r="O1189" i="2"/>
  <c r="O1205" i="2"/>
  <c r="O1237" i="2"/>
  <c r="O1269" i="2"/>
  <c r="O1301" i="2"/>
  <c r="O1317" i="2"/>
  <c r="O1333" i="2"/>
  <c r="O1365" i="2"/>
  <c r="O1381" i="2"/>
  <c r="O1397" i="2"/>
  <c r="O1413" i="2"/>
  <c r="O1429" i="2"/>
  <c r="O1445" i="2"/>
  <c r="O1477" i="2"/>
  <c r="O1493" i="2"/>
  <c r="O1525" i="2"/>
  <c r="O1541" i="2"/>
  <c r="O1589" i="2"/>
  <c r="O1605" i="2"/>
  <c r="O1653" i="2"/>
  <c r="O1669" i="2"/>
  <c r="O1685" i="2"/>
  <c r="O1701" i="2"/>
  <c r="O1717" i="2"/>
  <c r="O1733" i="2"/>
  <c r="O1765" i="2"/>
  <c r="O1829" i="2"/>
  <c r="O1845" i="2"/>
  <c r="O1861" i="2"/>
  <c r="O1893" i="2"/>
  <c r="O1925" i="2"/>
  <c r="O1957" i="2"/>
  <c r="O1280" i="2"/>
  <c r="O1312" i="2"/>
  <c r="O1344" i="2"/>
  <c r="O1408" i="2"/>
  <c r="O1424" i="2"/>
  <c r="O1440" i="2"/>
  <c r="O1456" i="2"/>
  <c r="O1488" i="2"/>
  <c r="O1520" i="2"/>
  <c r="O1536" i="2"/>
  <c r="O1584" i="2"/>
  <c r="O1600" i="2"/>
  <c r="O1632" i="2"/>
  <c r="O1648" i="2"/>
  <c r="O1680" i="2"/>
  <c r="O1728" i="2"/>
  <c r="O1744" i="2"/>
  <c r="O1776" i="2"/>
  <c r="O1808" i="2"/>
  <c r="O1824" i="2"/>
  <c r="O1840" i="2"/>
  <c r="O1856" i="2"/>
  <c r="O1872" i="2"/>
  <c r="O1920" i="2"/>
  <c r="O1936" i="2"/>
  <c r="O1984" i="2"/>
  <c r="O2000" i="2"/>
  <c r="O699" i="2"/>
  <c r="O715" i="2"/>
  <c r="O731" i="2"/>
  <c r="O747" i="2"/>
  <c r="O795" i="2"/>
  <c r="O811" i="2"/>
  <c r="O827" i="2"/>
  <c r="O843" i="2"/>
  <c r="O859" i="2"/>
  <c r="O875" i="2"/>
  <c r="O891" i="2"/>
  <c r="O907" i="2"/>
  <c r="O923" i="2"/>
  <c r="O939" i="2"/>
  <c r="O955" i="2"/>
  <c r="O971" i="2"/>
  <c r="O987" i="2"/>
  <c r="O1003" i="2"/>
  <c r="O1019" i="2"/>
  <c r="O1035" i="2"/>
  <c r="O1051" i="2"/>
  <c r="O1067" i="2"/>
  <c r="O1083" i="2"/>
  <c r="O1099" i="2"/>
  <c r="O1115" i="2"/>
  <c r="O1131" i="2"/>
  <c r="O1147" i="2"/>
  <c r="O1163" i="2"/>
  <c r="O1179" i="2"/>
  <c r="O1227" i="2"/>
  <c r="O1243" i="2"/>
  <c r="O1307" i="2"/>
  <c r="O1355" i="2"/>
  <c r="O1371" i="2"/>
  <c r="O1419" i="2"/>
  <c r="O1451" i="2"/>
  <c r="O1467" i="2"/>
  <c r="O1483" i="2"/>
  <c r="O1499" i="2"/>
  <c r="O1515" i="2"/>
  <c r="O1531" i="2"/>
  <c r="O1547" i="2"/>
  <c r="O1563" i="2"/>
  <c r="O1579" i="2"/>
  <c r="O1595" i="2"/>
  <c r="O1611" i="2"/>
  <c r="O1643" i="2"/>
  <c r="O1659" i="2"/>
  <c r="O1675" i="2"/>
  <c r="O1691" i="2"/>
  <c r="O1707" i="2"/>
  <c r="O1723" i="2"/>
  <c r="O1739" i="2"/>
  <c r="O1755" i="2"/>
  <c r="O1771" i="2"/>
  <c r="O1787" i="2"/>
  <c r="O1803" i="2"/>
  <c r="O1819" i="2"/>
  <c r="O1835" i="2"/>
  <c r="O1851" i="2"/>
  <c r="O1883" i="2"/>
  <c r="O1899" i="2"/>
  <c r="O1915" i="2"/>
  <c r="O1931" i="2"/>
  <c r="O1963" i="2"/>
  <c r="O1995" i="2"/>
  <c r="O193" i="2"/>
  <c r="O209" i="2"/>
  <c r="O225" i="2"/>
  <c r="O241" i="2"/>
  <c r="O257" i="2"/>
  <c r="O273" i="2"/>
  <c r="O289" i="2"/>
  <c r="O305" i="2"/>
  <c r="O321" i="2"/>
  <c r="O337" i="2"/>
  <c r="O353" i="2"/>
  <c r="O385" i="2"/>
  <c r="O401" i="2"/>
  <c r="O417" i="2"/>
  <c r="O433" i="2"/>
  <c r="O481" i="2"/>
  <c r="O513" i="2"/>
  <c r="O529" i="2"/>
  <c r="O545" i="2"/>
  <c r="O593" i="2"/>
  <c r="O609" i="2"/>
  <c r="O625" i="2"/>
  <c r="O641" i="2"/>
  <c r="O657" i="2"/>
  <c r="O172" i="2"/>
  <c r="O204" i="2"/>
  <c r="O236" i="2"/>
  <c r="O268" i="2"/>
  <c r="O300" i="2"/>
  <c r="O332" i="2"/>
  <c r="O364" i="2"/>
  <c r="O396" i="2"/>
  <c r="O460" i="2"/>
  <c r="O524" i="2"/>
  <c r="O556" i="2"/>
  <c r="O588" i="2"/>
  <c r="O620" i="2"/>
  <c r="O636" i="2"/>
  <c r="O652" i="2"/>
  <c r="O668" i="2"/>
  <c r="O684" i="2"/>
  <c r="O700" i="2"/>
  <c r="O716" i="2"/>
  <c r="O732" i="2"/>
  <c r="O748" i="2"/>
  <c r="O764" i="2"/>
  <c r="O780" i="2"/>
  <c r="O796" i="2"/>
  <c r="O812" i="2"/>
  <c r="O828" i="2"/>
  <c r="O876" i="2"/>
  <c r="O892" i="2"/>
  <c r="O908" i="2"/>
  <c r="O924" i="2"/>
  <c r="O940" i="2"/>
  <c r="O956" i="2"/>
  <c r="O988" i="2"/>
  <c r="O1004" i="2"/>
  <c r="O1020" i="2"/>
  <c r="O1052" i="2"/>
  <c r="O1068" i="2"/>
  <c r="O1084" i="2"/>
  <c r="O1132" i="2"/>
  <c r="O1148" i="2"/>
  <c r="O1164" i="2"/>
  <c r="O1180" i="2"/>
  <c r="O1196" i="2"/>
  <c r="O1244" i="2"/>
  <c r="O1260" i="2"/>
  <c r="O1308" i="2"/>
  <c r="O1324" i="2"/>
  <c r="O1388" i="2"/>
  <c r="O1420" i="2"/>
  <c r="O1452" i="2"/>
  <c r="O1468" i="2"/>
  <c r="O1484" i="2"/>
  <c r="O1516" i="2"/>
  <c r="O1532" i="2"/>
  <c r="O1548" i="2"/>
  <c r="O1564" i="2"/>
  <c r="O1596" i="2"/>
  <c r="O1612" i="2"/>
  <c r="O1628" i="2"/>
  <c r="O1644" i="2"/>
  <c r="O1660" i="2"/>
  <c r="O1676" i="2"/>
  <c r="O1692" i="2"/>
  <c r="O1708" i="2"/>
  <c r="O1724" i="2"/>
  <c r="O1740" i="2"/>
  <c r="O1756" i="2"/>
  <c r="O1788" i="2"/>
  <c r="O1836" i="2"/>
  <c r="O1852" i="2"/>
  <c r="O1868" i="2"/>
  <c r="O1916" i="2"/>
  <c r="O1964" i="2"/>
  <c r="O1980" i="2"/>
  <c r="O1767" i="2"/>
  <c r="O1783" i="2"/>
  <c r="O1815" i="2"/>
  <c r="O1831" i="2"/>
  <c r="O1863" i="2"/>
  <c r="O1895" i="2"/>
  <c r="O1911" i="2"/>
  <c r="O1943" i="2"/>
  <c r="O1959" i="2"/>
  <c r="O1975" i="2"/>
  <c r="O178" i="2"/>
  <c r="O210" i="2"/>
  <c r="O242" i="2"/>
  <c r="O402" i="2"/>
  <c r="O418" i="2"/>
  <c r="O434" i="2"/>
  <c r="O450" i="2"/>
  <c r="O498" i="2"/>
  <c r="O530" i="2"/>
  <c r="O546" i="2"/>
  <c r="O562" i="2"/>
  <c r="O578" i="2"/>
  <c r="O834" i="2"/>
  <c r="O898" i="2"/>
  <c r="O930" i="2"/>
  <c r="O962" i="2"/>
  <c r="O978" i="2"/>
  <c r="O1026" i="2"/>
  <c r="O1074" i="2"/>
  <c r="O1090" i="2"/>
  <c r="O1186" i="2"/>
  <c r="O1202" i="2"/>
  <c r="O1218" i="2"/>
  <c r="O1234" i="2"/>
  <c r="O1250" i="2"/>
  <c r="O1298" i="2"/>
  <c r="O1314" i="2"/>
  <c r="O1362" i="2"/>
  <c r="O1378" i="2"/>
  <c r="O1410" i="2"/>
  <c r="O1426" i="2"/>
  <c r="O1490" i="2"/>
  <c r="O1506" i="2"/>
  <c r="O1554" i="2"/>
  <c r="O1618" i="2"/>
  <c r="O1666" i="2"/>
  <c r="O1682" i="2"/>
  <c r="O1714" i="2"/>
  <c r="O1730" i="2"/>
  <c r="O1778" i="2"/>
  <c r="O1794" i="2"/>
  <c r="O1842" i="2"/>
  <c r="O1858" i="2"/>
  <c r="O1874" i="2"/>
  <c r="O1906" i="2"/>
  <c r="O1922" i="2"/>
  <c r="O1938" i="2"/>
  <c r="O1970" i="2"/>
  <c r="O1986" i="2"/>
  <c r="J12" i="80"/>
  <c r="K12" i="80" s="1"/>
  <c r="M4" i="3"/>
  <c r="M17" i="3"/>
  <c r="O1174" i="2"/>
  <c r="O1238" i="2"/>
  <c r="O1302" i="2"/>
  <c r="O1259" i="2"/>
  <c r="O1275" i="2"/>
  <c r="O561" i="2"/>
  <c r="O577" i="2"/>
  <c r="O1036" i="2"/>
  <c r="O293" i="2"/>
  <c r="O357" i="2"/>
  <c r="O272" i="2"/>
  <c r="O336" i="2"/>
  <c r="O1792" i="2"/>
  <c r="O482" i="2"/>
  <c r="O269" i="2"/>
  <c r="O509" i="2"/>
  <c r="O557" i="2"/>
  <c r="O797" i="2"/>
  <c r="O743" i="2"/>
  <c r="O807" i="2"/>
  <c r="O1223" i="2"/>
  <c r="O1383" i="2"/>
  <c r="O1495" i="2"/>
  <c r="O1511" i="2"/>
  <c r="O1138" i="2"/>
  <c r="O1170" i="2"/>
  <c r="O888" i="2"/>
  <c r="O952" i="2"/>
  <c r="O1080" i="2"/>
  <c r="O462" i="2"/>
  <c r="O1747" i="2"/>
  <c r="O1779" i="2"/>
  <c r="O1758" i="2"/>
  <c r="O1822" i="2"/>
  <c r="O596" i="2"/>
  <c r="O612" i="2"/>
  <c r="O708" i="2"/>
  <c r="O1289" i="2"/>
  <c r="O1353" i="2"/>
  <c r="O1108" i="2"/>
  <c r="O1412" i="2"/>
  <c r="O1556" i="2"/>
  <c r="O1668" i="2"/>
  <c r="O1716" i="2"/>
  <c r="O1988" i="2"/>
  <c r="O1253" i="2"/>
  <c r="O1509" i="2"/>
  <c r="O1557" i="2"/>
  <c r="O1573" i="2"/>
  <c r="O1621" i="2"/>
  <c r="O1637" i="2"/>
  <c r="O1504" i="2"/>
  <c r="O1552" i="2"/>
  <c r="O1568" i="2"/>
  <c r="O1616" i="2"/>
  <c r="O249" i="2"/>
  <c r="O281" i="2"/>
  <c r="O313" i="2"/>
  <c r="O345" i="2"/>
  <c r="O760" i="2"/>
  <c r="O824" i="2"/>
  <c r="O1347" i="2"/>
  <c r="O1539" i="2"/>
  <c r="O1699" i="2"/>
  <c r="O426" i="2"/>
  <c r="O649" i="2"/>
  <c r="O713" i="2"/>
  <c r="O1134" i="2"/>
  <c r="N117" i="2"/>
  <c r="O1279" i="2"/>
  <c r="O1343" i="2"/>
  <c r="O1407" i="2"/>
  <c r="N130" i="2"/>
  <c r="O491" i="2"/>
  <c r="O565" i="2"/>
  <c r="O581" i="2"/>
  <c r="O1162" i="2"/>
  <c r="O1370" i="2"/>
  <c r="O1796" i="2"/>
  <c r="O1924" i="2"/>
  <c r="I25" i="80"/>
  <c r="K25" i="80" s="1"/>
  <c r="K24" i="80" s="1"/>
  <c r="K14" i="80"/>
  <c r="O14" i="80"/>
  <c r="K15" i="80"/>
  <c r="K15" i="81"/>
  <c r="D13" i="80"/>
  <c r="D23" i="80"/>
  <c r="D19" i="80"/>
  <c r="I58" i="80"/>
  <c r="K58" i="80" s="1"/>
  <c r="D59" i="80"/>
  <c r="O18" i="80"/>
  <c r="I60" i="80"/>
  <c r="K60" i="80" s="1"/>
  <c r="D43" i="80"/>
  <c r="I56" i="80"/>
  <c r="K56" i="80" s="1"/>
  <c r="O21" i="80"/>
  <c r="D24" i="80"/>
  <c r="D32" i="80"/>
  <c r="D54" i="80"/>
  <c r="D21" i="80"/>
  <c r="D27" i="80"/>
  <c r="D29" i="80"/>
  <c r="D61" i="80"/>
  <c r="O16" i="80"/>
  <c r="D39" i="80"/>
  <c r="D41" i="80"/>
  <c r="O20" i="80"/>
  <c r="D41" i="81"/>
  <c r="I54" i="81"/>
  <c r="K54" i="81" s="1"/>
  <c r="D62" i="81"/>
  <c r="I58" i="81"/>
  <c r="K58" i="81" s="1"/>
  <c r="I56" i="81"/>
  <c r="K56" i="81" s="1"/>
  <c r="D49" i="81"/>
  <c r="D32" i="81"/>
  <c r="D23" i="81"/>
  <c r="I61" i="81"/>
  <c r="K61" i="81" s="1"/>
  <c r="D54" i="81"/>
  <c r="D47" i="81"/>
  <c r="D59" i="81"/>
  <c r="I60" i="81"/>
  <c r="K60" i="81" s="1"/>
  <c r="D22" i="81"/>
  <c r="D37" i="81"/>
  <c r="O20" i="81"/>
  <c r="D29" i="81"/>
  <c r="D52" i="81"/>
  <c r="D21" i="81"/>
  <c r="I57" i="81"/>
  <c r="K57" i="81" s="1"/>
  <c r="O18" i="81"/>
  <c r="D43" i="81"/>
  <c r="D28" i="81"/>
  <c r="D52" i="80"/>
  <c r="D25" i="80"/>
  <c r="D37" i="80"/>
  <c r="D44" i="80"/>
  <c r="I54" i="80"/>
  <c r="K54" i="80" s="1"/>
  <c r="O16" i="81"/>
  <c r="D19" i="81"/>
  <c r="O23" i="81"/>
  <c r="D33" i="81"/>
  <c r="D38" i="81"/>
  <c r="D46" i="81"/>
  <c r="D53" i="81"/>
  <c r="D61" i="81"/>
  <c r="D27" i="81"/>
  <c r="O19" i="81"/>
  <c r="D35" i="81"/>
  <c r="BZ11" i="81"/>
  <c r="AH35" i="81"/>
  <c r="AG35" i="81" s="1"/>
  <c r="AH40" i="81"/>
  <c r="AG40" i="81" s="1"/>
  <c r="AH23" i="81"/>
  <c r="AG23" i="81" s="1"/>
  <c r="AH54" i="81"/>
  <c r="AG54" i="81" s="1"/>
  <c r="CC6" i="81"/>
  <c r="AP11" i="81"/>
  <c r="AH14" i="81"/>
  <c r="AG14" i="81" s="1"/>
  <c r="AH25" i="81"/>
  <c r="K14" i="81"/>
  <c r="O14" i="81"/>
  <c r="AT24" i="81"/>
  <c r="BZ37" i="81"/>
  <c r="CD37" i="81"/>
  <c r="AT11" i="81"/>
  <c r="AG12" i="81"/>
  <c r="BB11" i="81"/>
  <c r="AH26" i="81"/>
  <c r="AG26" i="81" s="1"/>
  <c r="AH32" i="81"/>
  <c r="AG32" i="81" s="1"/>
  <c r="AH45" i="81"/>
  <c r="AG45" i="81" s="1"/>
  <c r="AH46" i="81"/>
  <c r="AG46" i="81" s="1"/>
  <c r="BE6" i="81"/>
  <c r="BN11" i="81"/>
  <c r="AX24" i="81"/>
  <c r="AH34" i="81"/>
  <c r="AG34" i="81" s="1"/>
  <c r="AT37" i="81"/>
  <c r="BB50" i="81"/>
  <c r="K12" i="81"/>
  <c r="I25" i="81"/>
  <c r="K25" i="81" s="1"/>
  <c r="K24" i="81" s="1"/>
  <c r="O12" i="81"/>
  <c r="AH38" i="81"/>
  <c r="BJ37" i="81"/>
  <c r="AK6" i="81"/>
  <c r="AX11" i="81"/>
  <c r="AH20" i="81"/>
  <c r="AG20" i="81" s="1"/>
  <c r="BV50" i="81"/>
  <c r="AH58" i="81"/>
  <c r="AG58" i="81" s="1"/>
  <c r="BR11" i="81"/>
  <c r="AH21" i="81"/>
  <c r="AG21" i="81" s="1"/>
  <c r="BB24" i="81"/>
  <c r="AL37" i="81"/>
  <c r="BF50" i="81"/>
  <c r="AH52" i="81"/>
  <c r="AG52" i="81" s="1"/>
  <c r="BJ11" i="81"/>
  <c r="BV11" i="81"/>
  <c r="AH16" i="81"/>
  <c r="AG16" i="81" s="1"/>
  <c r="AH17" i="81"/>
  <c r="AG17" i="81" s="1"/>
  <c r="AH27" i="81"/>
  <c r="AG27" i="81" s="1"/>
  <c r="AP37" i="81"/>
  <c r="AP50" i="81"/>
  <c r="D16" i="81"/>
  <c r="C23" i="81"/>
  <c r="C29" i="81"/>
  <c r="D34" i="81"/>
  <c r="D48" i="81"/>
  <c r="I51" i="81"/>
  <c r="K51" i="81" s="1"/>
  <c r="D56" i="81"/>
  <c r="C13" i="81"/>
  <c r="D15" i="81"/>
  <c r="D17" i="81"/>
  <c r="C24" i="81"/>
  <c r="C25" i="81"/>
  <c r="D30" i="81"/>
  <c r="C39" i="81"/>
  <c r="C44" i="81"/>
  <c r="I52" i="81"/>
  <c r="K52" i="81" s="1"/>
  <c r="D57" i="81"/>
  <c r="C35" i="81"/>
  <c r="C49" i="81"/>
  <c r="C15" i="81"/>
  <c r="C17" i="81"/>
  <c r="C30" i="81"/>
  <c r="AH51" i="81"/>
  <c r="C57" i="81"/>
  <c r="D13" i="81"/>
  <c r="O21" i="81"/>
  <c r="D24" i="81"/>
  <c r="D25" i="81"/>
  <c r="D39" i="81"/>
  <c r="D44" i="81"/>
  <c r="C55" i="81"/>
  <c r="I59" i="81"/>
  <c r="K59" i="81" s="1"/>
  <c r="C22" i="81"/>
  <c r="C33" i="81"/>
  <c r="C47" i="81"/>
  <c r="D55" i="81"/>
  <c r="C62" i="81"/>
  <c r="C20" i="81"/>
  <c r="C36" i="81"/>
  <c r="C42" i="81"/>
  <c r="C50" i="81"/>
  <c r="C60" i="81"/>
  <c r="O17" i="81"/>
  <c r="D20" i="81"/>
  <c r="C31" i="81"/>
  <c r="D36" i="81"/>
  <c r="D42" i="81"/>
  <c r="D50" i="81"/>
  <c r="C51" i="81"/>
  <c r="I55" i="81"/>
  <c r="K55" i="81" s="1"/>
  <c r="D60" i="81"/>
  <c r="O13" i="81"/>
  <c r="C18" i="81"/>
  <c r="D31" i="81"/>
  <c r="C45" i="81"/>
  <c r="D51" i="81"/>
  <c r="C58" i="81"/>
  <c r="I62" i="81"/>
  <c r="K62" i="81" s="1"/>
  <c r="C19" i="81"/>
  <c r="C27" i="81"/>
  <c r="C41" i="81"/>
  <c r="C59" i="81"/>
  <c r="C28" i="81"/>
  <c r="C53" i="81"/>
  <c r="C11" i="81"/>
  <c r="C12" i="81"/>
  <c r="C14" i="81"/>
  <c r="O15" i="81"/>
  <c r="D18" i="81"/>
  <c r="C26" i="81"/>
  <c r="C40" i="81"/>
  <c r="D45" i="81"/>
  <c r="I53" i="81"/>
  <c r="K53" i="81" s="1"/>
  <c r="D58" i="81"/>
  <c r="D11" i="81"/>
  <c r="D12" i="81"/>
  <c r="D14" i="81"/>
  <c r="C16" i="81"/>
  <c r="O22" i="81"/>
  <c r="D26" i="81"/>
  <c r="C34" i="81"/>
  <c r="D40" i="81"/>
  <c r="C48" i="81"/>
  <c r="D38" i="80"/>
  <c r="I59" i="80"/>
  <c r="K59" i="80" s="1"/>
  <c r="AG12" i="80"/>
  <c r="AH11" i="80"/>
  <c r="AH37" i="80"/>
  <c r="AG38" i="80"/>
  <c r="AO6" i="80"/>
  <c r="BI6" i="80"/>
  <c r="AW6" i="80"/>
  <c r="BM6" i="80"/>
  <c r="BA6" i="80"/>
  <c r="BE6" i="80"/>
  <c r="BU6" i="80"/>
  <c r="BY6" i="80"/>
  <c r="AH24" i="80"/>
  <c r="BQ6" i="80"/>
  <c r="AS6" i="80"/>
  <c r="CC6" i="80"/>
  <c r="D16" i="80"/>
  <c r="C23" i="80"/>
  <c r="AG25" i="80"/>
  <c r="C29" i="80"/>
  <c r="D34" i="80"/>
  <c r="D48" i="80"/>
  <c r="I51" i="80"/>
  <c r="K51" i="80" s="1"/>
  <c r="D56" i="80"/>
  <c r="C61" i="80"/>
  <c r="C32" i="80"/>
  <c r="C46" i="80"/>
  <c r="BN50" i="80"/>
  <c r="C52" i="80"/>
  <c r="C19" i="80"/>
  <c r="C27" i="80"/>
  <c r="C41" i="80"/>
  <c r="C59" i="80"/>
  <c r="C35" i="80"/>
  <c r="C49" i="80"/>
  <c r="O12" i="80"/>
  <c r="C15" i="80"/>
  <c r="C17" i="80"/>
  <c r="O23" i="80"/>
  <c r="C30" i="80"/>
  <c r="D35" i="80"/>
  <c r="D49" i="80"/>
  <c r="AH51" i="80"/>
  <c r="C57" i="80"/>
  <c r="I61" i="80"/>
  <c r="K61" i="80" s="1"/>
  <c r="C13" i="80"/>
  <c r="D15" i="80"/>
  <c r="D17" i="80"/>
  <c r="C24" i="80"/>
  <c r="C25" i="80"/>
  <c r="D30" i="80"/>
  <c r="C39" i="80"/>
  <c r="C44" i="80"/>
  <c r="I52" i="80"/>
  <c r="K52" i="80" s="1"/>
  <c r="D57" i="80"/>
  <c r="C22" i="80"/>
  <c r="C33" i="80"/>
  <c r="C47" i="80"/>
  <c r="D55" i="80"/>
  <c r="C62" i="80"/>
  <c r="C55" i="80"/>
  <c r="O19" i="80"/>
  <c r="D22" i="80"/>
  <c r="C28" i="80"/>
  <c r="D33" i="80"/>
  <c r="AL37" i="80"/>
  <c r="D47" i="80"/>
  <c r="C53" i="80"/>
  <c r="I57" i="80"/>
  <c r="K57" i="80" s="1"/>
  <c r="D62" i="80"/>
  <c r="C20" i="80"/>
  <c r="D28" i="80"/>
  <c r="C36" i="80"/>
  <c r="C42" i="80"/>
  <c r="C50" i="80"/>
  <c r="AX50" i="80"/>
  <c r="D53" i="80"/>
  <c r="C60" i="80"/>
  <c r="O17" i="80"/>
  <c r="D20" i="80"/>
  <c r="C31" i="80"/>
  <c r="D36" i="80"/>
  <c r="D42" i="80"/>
  <c r="D50" i="80"/>
  <c r="C51" i="80"/>
  <c r="I55" i="80"/>
  <c r="K55" i="80" s="1"/>
  <c r="D60" i="80"/>
  <c r="C18" i="80"/>
  <c r="D31" i="80"/>
  <c r="C45" i="80"/>
  <c r="D51" i="80"/>
  <c r="C58" i="80"/>
  <c r="I62" i="80"/>
  <c r="K62" i="80" s="1"/>
  <c r="C11" i="80"/>
  <c r="C12" i="80"/>
  <c r="C14" i="80"/>
  <c r="D18" i="80"/>
  <c r="C26" i="80"/>
  <c r="C40" i="80"/>
  <c r="D45" i="80"/>
  <c r="I53" i="80"/>
  <c r="K53" i="80" s="1"/>
  <c r="D58" i="80"/>
  <c r="D11" i="80"/>
  <c r="D12" i="80"/>
  <c r="D14" i="80"/>
  <c r="C16" i="80"/>
  <c r="O22" i="80"/>
  <c r="D26" i="80"/>
  <c r="C34" i="80"/>
  <c r="D40" i="80"/>
  <c r="C48" i="80"/>
  <c r="O1122" i="2"/>
  <c r="O1436" i="2"/>
  <c r="O1500" i="2"/>
  <c r="O1974" i="2"/>
  <c r="N63" i="2"/>
  <c r="O449" i="2"/>
  <c r="O693" i="2"/>
  <c r="O1927" i="2"/>
  <c r="O763" i="2"/>
  <c r="O1144" i="2"/>
  <c r="O1762" i="2"/>
  <c r="O1810" i="2"/>
  <c r="O1890" i="2"/>
  <c r="O506" i="2"/>
  <c r="O569" i="2"/>
  <c r="O621" i="2"/>
  <c r="O679" i="2"/>
  <c r="O1116" i="2"/>
  <c r="O1187" i="2"/>
  <c r="O1219" i="2"/>
  <c r="O1251" i="2"/>
  <c r="O1325" i="2"/>
  <c r="O369" i="2"/>
  <c r="O632" i="2"/>
  <c r="O1146" i="2"/>
  <c r="O1283" i="2"/>
  <c r="O1299" i="2"/>
  <c r="O1366" i="2"/>
  <c r="O1387" i="2"/>
  <c r="O1475" i="2"/>
  <c r="O1559" i="2"/>
  <c r="N42" i="2"/>
  <c r="O252" i="2"/>
  <c r="O284" i="2"/>
  <c r="O316" i="2"/>
  <c r="O380" i="2"/>
  <c r="O559" i="2"/>
  <c r="O627" i="2"/>
  <c r="O1315" i="2"/>
  <c r="O1403" i="2"/>
  <c r="O1671" i="2"/>
  <c r="O348" i="2"/>
  <c r="O419" i="2"/>
  <c r="O1178" i="2"/>
  <c r="O1620" i="2"/>
  <c r="O435" i="2"/>
  <c r="O1351" i="2"/>
  <c r="O1411" i="2"/>
  <c r="O1907" i="2"/>
  <c r="O240" i="2"/>
  <c r="O696" i="2"/>
  <c r="O777" i="2"/>
  <c r="O972" i="2"/>
  <c r="O1287" i="2"/>
  <c r="N142" i="2"/>
  <c r="N66" i="2"/>
  <c r="O261" i="2"/>
  <c r="O407" i="2"/>
  <c r="O651" i="2"/>
  <c r="O691" i="2"/>
  <c r="O1142" i="2"/>
  <c r="O1282" i="2"/>
  <c r="O1323" i="2"/>
  <c r="O1545" i="2"/>
  <c r="O1823" i="2"/>
  <c r="O1843" i="2"/>
  <c r="O1130" i="2"/>
  <c r="O1225" i="2"/>
  <c r="O1235" i="2"/>
  <c r="O1334" i="2"/>
  <c r="O1427" i="2"/>
  <c r="O1698" i="2"/>
  <c r="O1738" i="2"/>
  <c r="O1934" i="2"/>
  <c r="O304" i="2"/>
  <c r="O325" i="2"/>
  <c r="O503" i="2"/>
  <c r="O639" i="2"/>
  <c r="O673" i="2"/>
  <c r="O779" i="2"/>
  <c r="O1126" i="2"/>
  <c r="O1166" i="2"/>
  <c r="O1195" i="2"/>
  <c r="O1210" i="2"/>
  <c r="O1215" i="2"/>
  <c r="O1255" i="2"/>
  <c r="O1285" i="2"/>
  <c r="O1319" i="2"/>
  <c r="O1339" i="2"/>
  <c r="O1349" i="2"/>
  <c r="O1492" i="2"/>
  <c r="O1587" i="2"/>
  <c r="O1597" i="2"/>
  <c r="O1688" i="2"/>
  <c r="O1759" i="2"/>
  <c r="O1799" i="2"/>
  <c r="O1904" i="2"/>
  <c r="O1944" i="2"/>
  <c r="O1954" i="2"/>
  <c r="O725" i="2"/>
  <c r="O755" i="2"/>
  <c r="O1158" i="2"/>
  <c r="O1211" i="2"/>
  <c r="O1221" i="2"/>
  <c r="O1231" i="2"/>
  <c r="O1603" i="2"/>
  <c r="O1880" i="2"/>
  <c r="O170" i="2"/>
  <c r="O479" i="2"/>
  <c r="O585" i="2"/>
  <c r="O615" i="2"/>
  <c r="O635" i="2"/>
  <c r="O660" i="2"/>
  <c r="O805" i="2"/>
  <c r="O1118" i="2"/>
  <c r="O1154" i="2"/>
  <c r="O1191" i="2"/>
  <c r="O1291" i="2"/>
  <c r="O1379" i="2"/>
  <c r="O1826" i="2"/>
  <c r="O1860" i="2"/>
  <c r="O1044" i="2"/>
  <c r="O1306" i="2"/>
  <c r="O1674" i="2"/>
  <c r="O1715" i="2"/>
  <c r="O1816" i="2"/>
  <c r="O1846" i="2"/>
  <c r="O1971" i="2"/>
  <c r="O1991" i="2"/>
  <c r="O176" i="2"/>
  <c r="O217" i="2"/>
  <c r="O389" i="2"/>
  <c r="O465" i="2"/>
  <c r="O526" i="2"/>
  <c r="O551" i="2"/>
  <c r="O741" i="2"/>
  <c r="O844" i="2"/>
  <c r="O1016" i="2"/>
  <c r="O1100" i="2"/>
  <c r="O1150" i="2"/>
  <c r="O1242" i="2"/>
  <c r="O1459" i="2"/>
  <c r="O1604" i="2"/>
  <c r="O1690" i="2"/>
  <c r="O2001" i="2"/>
  <c r="O218" i="2"/>
  <c r="N48" i="2"/>
  <c r="O224" i="2"/>
  <c r="O229" i="2"/>
  <c r="O314" i="2"/>
  <c r="O384" i="2"/>
  <c r="O1435" i="2"/>
  <c r="O456" i="2"/>
  <c r="O233" i="2"/>
  <c r="O378" i="2"/>
  <c r="O437" i="2"/>
  <c r="O1479" i="2"/>
  <c r="N70" i="2"/>
  <c r="O274" i="2"/>
  <c r="O374" i="2"/>
  <c r="O379" i="2"/>
  <c r="O507" i="2"/>
  <c r="O517" i="2"/>
  <c r="O740" i="2"/>
  <c r="O745" i="2"/>
  <c r="O1465" i="2"/>
  <c r="O629" i="2"/>
  <c r="O283" i="2"/>
  <c r="O832" i="2"/>
  <c r="O516" i="2"/>
  <c r="O1542" i="2"/>
  <c r="O1627" i="2"/>
  <c r="O1572" i="2"/>
  <c r="O219" i="2"/>
  <c r="O166" i="2"/>
  <c r="O214" i="2"/>
  <c r="O320" i="2"/>
  <c r="O443" i="2"/>
  <c r="O492" i="2"/>
  <c r="O497" i="2"/>
  <c r="O1406" i="2"/>
  <c r="O288" i="2"/>
  <c r="O604" i="2"/>
  <c r="O398" i="2"/>
  <c r="N41" i="2"/>
  <c r="O188" i="2"/>
  <c r="O521" i="2"/>
  <c r="O319" i="2"/>
  <c r="O329" i="2"/>
  <c r="O457" i="2"/>
  <c r="O1474" i="2"/>
  <c r="O220" i="2"/>
  <c r="O250" i="2"/>
  <c r="O310" i="2"/>
  <c r="O428" i="2"/>
  <c r="O676" i="2"/>
  <c r="O278" i="2"/>
  <c r="O1968" i="2"/>
  <c r="O351" i="2"/>
  <c r="O361" i="2"/>
  <c r="O483" i="2"/>
  <c r="O707" i="2"/>
  <c r="N52" i="2"/>
  <c r="O223" i="2"/>
  <c r="O201" i="2"/>
  <c r="O306" i="2"/>
  <c r="O584" i="2"/>
  <c r="O1947" i="2"/>
  <c r="O183" i="2"/>
  <c r="O383" i="2"/>
  <c r="O393" i="2"/>
  <c r="O860" i="2"/>
  <c r="O818" i="2"/>
  <c r="O580" i="2"/>
  <c r="O1607" i="2"/>
  <c r="N51" i="2"/>
  <c r="N115" i="2"/>
  <c r="O191" i="2"/>
  <c r="O251" i="2"/>
  <c r="O246" i="2"/>
  <c r="O352" i="2"/>
  <c r="O411" i="2"/>
  <c r="O643" i="2"/>
  <c r="O1066" i="2"/>
  <c r="O338" i="2"/>
  <c r="O370" i="2"/>
  <c r="O452" i="2"/>
  <c r="O466" i="2"/>
  <c r="O677" i="2"/>
  <c r="O702" i="2"/>
  <c r="O994" i="2"/>
  <c r="O1022" i="2"/>
  <c r="O179" i="2"/>
  <c r="O215" i="2"/>
  <c r="O247" i="2"/>
  <c r="O279" i="2"/>
  <c r="O311" i="2"/>
  <c r="O343" i="2"/>
  <c r="O375" i="2"/>
  <c r="O512" i="2"/>
  <c r="O531" i="2"/>
  <c r="O576" i="2"/>
  <c r="O600" i="2"/>
  <c r="O672" i="2"/>
  <c r="O712" i="2"/>
  <c r="O856" i="2"/>
  <c r="O958" i="2"/>
  <c r="O976" i="2"/>
  <c r="O1058" i="2"/>
  <c r="O1304" i="2"/>
  <c r="O1309" i="2"/>
  <c r="O1329" i="2"/>
  <c r="O1470" i="2"/>
  <c r="O1543" i="2"/>
  <c r="O1583" i="2"/>
  <c r="O1879" i="2"/>
  <c r="O175" i="2"/>
  <c r="O206" i="2"/>
  <c r="O238" i="2"/>
  <c r="O270" i="2"/>
  <c r="O302" i="2"/>
  <c r="O334" i="2"/>
  <c r="O366" i="2"/>
  <c r="O448" i="2"/>
  <c r="O634" i="2"/>
  <c r="O648" i="2"/>
  <c r="O1018" i="2"/>
  <c r="O1402" i="2"/>
  <c r="O171" i="2"/>
  <c r="O211" i="2"/>
  <c r="O243" i="2"/>
  <c r="O275" i="2"/>
  <c r="O307" i="2"/>
  <c r="O339" i="2"/>
  <c r="O371" i="2"/>
  <c r="O403" i="2"/>
  <c r="O467" i="2"/>
  <c r="O508" i="2"/>
  <c r="O522" i="2"/>
  <c r="O572" i="2"/>
  <c r="O698" i="2"/>
  <c r="O703" i="2"/>
  <c r="O954" i="2"/>
  <c r="O1266" i="2"/>
  <c r="O1300" i="2"/>
  <c r="O1393" i="2"/>
  <c r="O1461" i="2"/>
  <c r="O167" i="2"/>
  <c r="O266" i="2"/>
  <c r="O298" i="2"/>
  <c r="O330" i="2"/>
  <c r="O362" i="2"/>
  <c r="O394" i="2"/>
  <c r="O444" i="2"/>
  <c r="O202" i="2"/>
  <c r="O234" i="2"/>
  <c r="O207" i="2"/>
  <c r="O239" i="2"/>
  <c r="O271" i="2"/>
  <c r="O303" i="2"/>
  <c r="O335" i="2"/>
  <c r="O367" i="2"/>
  <c r="O458" i="2"/>
  <c r="O568" i="2"/>
  <c r="O659" i="2"/>
  <c r="O762" i="2"/>
  <c r="O767" i="2"/>
  <c r="O801" i="2"/>
  <c r="O1252" i="2"/>
  <c r="O1257" i="2"/>
  <c r="O1364" i="2"/>
  <c r="O1442" i="2"/>
  <c r="O950" i="2"/>
  <c r="O1394" i="2"/>
  <c r="O203" i="2"/>
  <c r="O235" i="2"/>
  <c r="O267" i="2"/>
  <c r="O299" i="2"/>
  <c r="O331" i="2"/>
  <c r="O363" i="2"/>
  <c r="O440" i="2"/>
  <c r="O514" i="2"/>
  <c r="O564" i="2"/>
  <c r="O194" i="2"/>
  <c r="O226" i="2"/>
  <c r="O258" i="2"/>
  <c r="O290" i="2"/>
  <c r="O322" i="2"/>
  <c r="O354" i="2"/>
  <c r="O386" i="2"/>
  <c r="O500" i="2"/>
  <c r="O631" i="2"/>
  <c r="O655" i="2"/>
  <c r="O792" i="2"/>
  <c r="O904" i="2"/>
  <c r="O946" i="2"/>
  <c r="O1160" i="2"/>
  <c r="O1188" i="2"/>
  <c r="O630" i="2"/>
  <c r="O758" i="2"/>
  <c r="O768" i="2"/>
  <c r="O882" i="2"/>
  <c r="O1152" i="2"/>
  <c r="O1262" i="2"/>
  <c r="O1529" i="2"/>
  <c r="O1593" i="2"/>
  <c r="O1844" i="2"/>
  <c r="O496" i="2"/>
  <c r="O560" i="2"/>
  <c r="O626" i="2"/>
  <c r="O640" i="2"/>
  <c r="O754" i="2"/>
  <c r="O810" i="2"/>
  <c r="O960" i="2"/>
  <c r="O1032" i="2"/>
  <c r="O1086" i="2"/>
  <c r="O1104" i="2"/>
  <c r="O1248" i="2"/>
  <c r="O1369" i="2"/>
  <c r="O1389" i="2"/>
  <c r="O1830" i="2"/>
  <c r="O424" i="2"/>
  <c r="O488" i="2"/>
  <c r="O552" i="2"/>
  <c r="O622" i="2"/>
  <c r="O695" i="2"/>
  <c r="O750" i="2"/>
  <c r="O1014" i="2"/>
  <c r="O1082" i="2"/>
  <c r="O1346" i="2"/>
  <c r="O1870" i="2"/>
  <c r="O420" i="2"/>
  <c r="O484" i="2"/>
  <c r="O548" i="2"/>
  <c r="O686" i="2"/>
  <c r="O874" i="2"/>
  <c r="O1024" i="2"/>
  <c r="O1096" i="2"/>
  <c r="O1380" i="2"/>
  <c r="O1390" i="2"/>
  <c r="O416" i="2"/>
  <c r="O480" i="2"/>
  <c r="O544" i="2"/>
  <c r="O618" i="2"/>
  <c r="O848" i="2"/>
  <c r="O1010" i="2"/>
  <c r="O412" i="2"/>
  <c r="O476" i="2"/>
  <c r="O540" i="2"/>
  <c r="O623" i="2"/>
  <c r="O646" i="2"/>
  <c r="O682" i="2"/>
  <c r="O746" i="2"/>
  <c r="O751" i="2"/>
  <c r="O784" i="2"/>
  <c r="O793" i="2"/>
  <c r="O1078" i="2"/>
  <c r="O1206" i="2"/>
  <c r="O408" i="2"/>
  <c r="O472" i="2"/>
  <c r="O687" i="2"/>
  <c r="O710" i="2"/>
  <c r="O826" i="2"/>
  <c r="O866" i="2"/>
  <c r="O938" i="2"/>
  <c r="O1088" i="2"/>
  <c r="O814" i="2"/>
  <c r="O878" i="2"/>
  <c r="O942" i="2"/>
  <c r="O1006" i="2"/>
  <c r="O1070" i="2"/>
  <c r="O1177" i="2"/>
  <c r="O1538" i="2"/>
  <c r="O1820" i="2"/>
  <c r="O614" i="2"/>
  <c r="O678" i="2"/>
  <c r="O742" i="2"/>
  <c r="O806" i="2"/>
  <c r="O870" i="2"/>
  <c r="O934" i="2"/>
  <c r="O998" i="2"/>
  <c r="O1062" i="2"/>
  <c r="O1258" i="2"/>
  <c r="O1602" i="2"/>
  <c r="O1686" i="2"/>
  <c r="O602" i="2"/>
  <c r="O666" i="2"/>
  <c r="O730" i="2"/>
  <c r="O794" i="2"/>
  <c r="O858" i="2"/>
  <c r="O922" i="2"/>
  <c r="O986" i="2"/>
  <c r="O1050" i="2"/>
  <c r="O1114" i="2"/>
  <c r="O1198" i="2"/>
  <c r="O1376" i="2"/>
  <c r="O1662" i="2"/>
  <c r="O594" i="2"/>
  <c r="O658" i="2"/>
  <c r="O722" i="2"/>
  <c r="O786" i="2"/>
  <c r="O850" i="2"/>
  <c r="O914" i="2"/>
  <c r="O1042" i="2"/>
  <c r="O1106" i="2"/>
  <c r="O1184" i="2"/>
  <c r="O1240" i="2"/>
  <c r="O1245" i="2"/>
  <c r="O1316" i="2"/>
  <c r="O1330" i="2"/>
  <c r="O1772" i="2"/>
  <c r="O1194" i="2"/>
  <c r="O1372" i="2"/>
  <c r="O1377" i="2"/>
  <c r="O1580" i="2"/>
  <c r="O1649" i="2"/>
  <c r="O1296" i="2"/>
  <c r="O1360" i="2"/>
  <c r="O1425" i="2"/>
  <c r="O1534" i="2"/>
  <c r="O1598" i="2"/>
  <c r="O1696" i="2"/>
  <c r="O1706" i="2"/>
  <c r="O1749" i="2"/>
  <c r="O1807" i="2"/>
  <c r="O1821" i="2"/>
  <c r="O1888" i="2"/>
  <c r="O1898" i="2"/>
  <c r="O1232" i="2"/>
  <c r="O1228" i="2"/>
  <c r="O1292" i="2"/>
  <c r="O1356" i="2"/>
  <c r="O1466" i="2"/>
  <c r="O1489" i="2"/>
  <c r="O1617" i="2"/>
  <c r="O1979" i="2"/>
  <c r="O1224" i="2"/>
  <c r="O1288" i="2"/>
  <c r="O1352" i="2"/>
  <c r="O1530" i="2"/>
  <c r="O1553" i="2"/>
  <c r="O1594" i="2"/>
  <c r="O1645" i="2"/>
  <c r="O1884" i="2"/>
  <c r="O1989" i="2"/>
  <c r="O1994" i="2"/>
  <c r="O1212" i="2"/>
  <c r="O1276" i="2"/>
  <c r="O1340" i="2"/>
  <c r="O1404" i="2"/>
  <c r="O1422" i="2"/>
  <c r="O1449" i="2"/>
  <c r="O1641" i="2"/>
  <c r="O1664" i="2"/>
  <c r="O1712" i="2"/>
  <c r="O1722" i="2"/>
  <c r="O1847" i="2"/>
  <c r="O1871" i="2"/>
  <c r="O1208" i="2"/>
  <c r="O1272" i="2"/>
  <c r="O1336" i="2"/>
  <c r="O1400" i="2"/>
  <c r="O1418" i="2"/>
  <c r="O1472" i="2"/>
  <c r="O1486" i="2"/>
  <c r="O1513" i="2"/>
  <c r="O1614" i="2"/>
  <c r="O1746" i="2"/>
  <c r="O1789" i="2"/>
  <c r="O1828" i="2"/>
  <c r="O1804" i="2"/>
  <c r="O1857" i="2"/>
  <c r="O1862" i="2"/>
  <c r="O1900" i="2"/>
  <c r="O1952" i="2"/>
  <c r="O1200" i="2"/>
  <c r="O1264" i="2"/>
  <c r="O1328" i="2"/>
  <c r="O1392" i="2"/>
  <c r="O1432" i="2"/>
  <c r="O1482" i="2"/>
  <c r="O1610" i="2"/>
  <c r="O1624" i="2"/>
  <c r="O1679" i="2"/>
  <c r="O1658" i="2"/>
  <c r="O1693" i="2"/>
  <c r="O1741" i="2"/>
  <c r="O1781" i="2"/>
  <c r="O1817" i="2"/>
  <c r="O1853" i="2"/>
  <c r="O1921" i="2"/>
  <c r="O1935" i="2"/>
  <c r="O1948" i="2"/>
  <c r="O1962" i="2"/>
  <c r="O1462" i="2"/>
  <c r="O1526" i="2"/>
  <c r="O1590" i="2"/>
  <c r="O1654" i="2"/>
  <c r="O1786" i="2"/>
  <c r="O1867" i="2"/>
  <c r="O1894" i="2"/>
  <c r="O1985" i="2"/>
  <c r="O1999" i="2"/>
  <c r="O1458" i="2"/>
  <c r="O1522" i="2"/>
  <c r="O1586" i="2"/>
  <c r="O1650" i="2"/>
  <c r="O1689" i="2"/>
  <c r="O1737" i="2"/>
  <c r="O1777" i="2"/>
  <c r="O1849" i="2"/>
  <c r="O1885" i="2"/>
  <c r="O1917" i="2"/>
  <c r="O1958" i="2"/>
  <c r="O1446" i="2"/>
  <c r="O1510" i="2"/>
  <c r="O1574" i="2"/>
  <c r="O1638" i="2"/>
  <c r="O1760" i="2"/>
  <c r="O1850" i="2"/>
  <c r="O1913" i="2"/>
  <c r="O1918" i="2"/>
  <c r="O1570" i="2"/>
  <c r="O1634" i="2"/>
  <c r="O1677" i="2"/>
  <c r="O1725" i="2"/>
  <c r="O1841" i="2"/>
  <c r="O1932" i="2"/>
  <c r="O1977" i="2"/>
  <c r="O1982" i="2"/>
  <c r="O1864" i="2"/>
  <c r="O1909" i="2"/>
  <c r="O1996" i="2"/>
  <c r="O1434" i="2"/>
  <c r="O1498" i="2"/>
  <c r="O1562" i="2"/>
  <c r="O1626" i="2"/>
  <c r="O1673" i="2"/>
  <c r="O1721" i="2"/>
  <c r="O1797" i="2"/>
  <c r="O1914" i="2"/>
  <c r="O1973" i="2"/>
  <c r="O1709" i="2"/>
  <c r="O1773" i="2"/>
  <c r="O1837" i="2"/>
  <c r="O1901" i="2"/>
  <c r="O1965" i="2"/>
  <c r="O1705" i="2"/>
  <c r="O1769" i="2"/>
  <c r="O1833" i="2"/>
  <c r="O1897" i="2"/>
  <c r="O1961" i="2"/>
  <c r="O1945" i="2"/>
  <c r="O1813" i="2"/>
  <c r="O1877" i="2"/>
  <c r="O1941" i="2"/>
  <c r="O1809" i="2"/>
  <c r="O1873" i="2"/>
  <c r="O1937" i="2"/>
  <c r="L6" i="2"/>
  <c r="L9" i="2"/>
  <c r="O9" i="2" s="1"/>
  <c r="L8" i="2"/>
  <c r="L15" i="2"/>
  <c r="L18" i="2"/>
  <c r="H65" i="38"/>
  <c r="J63" i="38"/>
  <c r="J62" i="38" s="1"/>
  <c r="I63" i="38"/>
  <c r="K63" i="38" s="1"/>
  <c r="I61" i="38"/>
  <c r="K61" i="38" s="1"/>
  <c r="H61" i="38"/>
  <c r="J61" i="38" s="1"/>
  <c r="J60" i="38"/>
  <c r="I60" i="38"/>
  <c r="I59" i="38"/>
  <c r="K59" i="38" s="1"/>
  <c r="H59" i="38"/>
  <c r="J59" i="38" s="1"/>
  <c r="H42" i="38"/>
  <c r="H54" i="38"/>
  <c r="L165" i="2"/>
  <c r="L164" i="2" s="1"/>
  <c r="O164" i="2" s="1"/>
  <c r="L163" i="2"/>
  <c r="L162" i="2" s="1"/>
  <c r="O162" i="2" s="1"/>
  <c r="L161" i="2"/>
  <c r="L160" i="2" s="1"/>
  <c r="L159" i="2"/>
  <c r="L158" i="2" s="1"/>
  <c r="L156" i="2"/>
  <c r="L155" i="2" s="1"/>
  <c r="L154" i="2"/>
  <c r="L153" i="2"/>
  <c r="L152" i="2" s="1"/>
  <c r="L151" i="2"/>
  <c r="L150" i="2"/>
  <c r="L149" i="2"/>
  <c r="O149" i="2" s="1"/>
  <c r="L148" i="2"/>
  <c r="O148" i="2" s="1"/>
  <c r="L146" i="2"/>
  <c r="L145" i="2"/>
  <c r="O145" i="2" s="1"/>
  <c r="L144" i="2"/>
  <c r="O144" i="2" s="1"/>
  <c r="L143" i="2"/>
  <c r="L140" i="2"/>
  <c r="L139" i="2"/>
  <c r="L137" i="2"/>
  <c r="L136" i="2"/>
  <c r="L134" i="2"/>
  <c r="L133" i="2" s="1"/>
  <c r="L132" i="2"/>
  <c r="O132" i="2" s="1"/>
  <c r="L131" i="2"/>
  <c r="L130" i="2" s="1"/>
  <c r="L129" i="2"/>
  <c r="L128" i="2"/>
  <c r="L126" i="2"/>
  <c r="L125" i="2"/>
  <c r="L124" i="2"/>
  <c r="L123" i="2"/>
  <c r="L122" i="2"/>
  <c r="L120" i="2"/>
  <c r="O120" i="2" s="1"/>
  <c r="L119" i="2"/>
  <c r="O119" i="2" s="1"/>
  <c r="L118" i="2"/>
  <c r="L116" i="2"/>
  <c r="L115" i="2" s="1"/>
  <c r="L113" i="2"/>
  <c r="L112" i="2" s="1"/>
  <c r="L111" i="2"/>
  <c r="O111" i="2" s="1"/>
  <c r="L110" i="2"/>
  <c r="O110" i="2" s="1"/>
  <c r="L109" i="2"/>
  <c r="O109" i="2" s="1"/>
  <c r="L108" i="2"/>
  <c r="O108" i="2" s="1"/>
  <c r="L107" i="2"/>
  <c r="O107" i="2" s="1"/>
  <c r="L106" i="2"/>
  <c r="O106" i="2" s="1"/>
  <c r="L105" i="2"/>
  <c r="O105" i="2" s="1"/>
  <c r="L104" i="2"/>
  <c r="O104" i="2" s="1"/>
  <c r="L103" i="2"/>
  <c r="O103" i="2" s="1"/>
  <c r="L102" i="2"/>
  <c r="O102" i="2" s="1"/>
  <c r="L101" i="2"/>
  <c r="O101" i="2" s="1"/>
  <c r="L100" i="2"/>
  <c r="O100" i="2" s="1"/>
  <c r="L99" i="2"/>
  <c r="O99" i="2" s="1"/>
  <c r="L98" i="2"/>
  <c r="L97" i="2"/>
  <c r="O97" i="2" s="1"/>
  <c r="L96" i="2"/>
  <c r="L95" i="2"/>
  <c r="O95" i="2" s="1"/>
  <c r="L93" i="2"/>
  <c r="L92" i="2"/>
  <c r="L91" i="2"/>
  <c r="L87" i="2"/>
  <c r="O87" i="2" s="1"/>
  <c r="L86" i="2"/>
  <c r="O86" i="2" s="1"/>
  <c r="L85" i="2"/>
  <c r="O85" i="2" s="1"/>
  <c r="L84" i="2"/>
  <c r="O84" i="2" s="1"/>
  <c r="L83" i="2"/>
  <c r="L82" i="2"/>
  <c r="O82" i="2" s="1"/>
  <c r="L81" i="2"/>
  <c r="O81" i="2" s="1"/>
  <c r="L80" i="2"/>
  <c r="O80" i="2" s="1"/>
  <c r="L79" i="2"/>
  <c r="O79" i="2" s="1"/>
  <c r="L78" i="2"/>
  <c r="O78" i="2" s="1"/>
  <c r="L77" i="2"/>
  <c r="O77" i="2" s="1"/>
  <c r="L76" i="2"/>
  <c r="O76" i="2" s="1"/>
  <c r="L75" i="2"/>
  <c r="O75" i="2" s="1"/>
  <c r="L74" i="2"/>
  <c r="O74" i="2" s="1"/>
  <c r="L73" i="2"/>
  <c r="O73" i="2" s="1"/>
  <c r="L72" i="2"/>
  <c r="O72" i="2" s="1"/>
  <c r="L71" i="2"/>
  <c r="O71" i="2" s="1"/>
  <c r="L69" i="2"/>
  <c r="O69" i="2" s="1"/>
  <c r="L68" i="2"/>
  <c r="O68" i="2" s="1"/>
  <c r="L67" i="2"/>
  <c r="O67" i="2" s="1"/>
  <c r="L65" i="2"/>
  <c r="O65" i="2" s="1"/>
  <c r="L64" i="2"/>
  <c r="O64" i="2" s="1"/>
  <c r="L62" i="2"/>
  <c r="O62" i="2" s="1"/>
  <c r="L61" i="2"/>
  <c r="O61" i="2" s="1"/>
  <c r="L60" i="2"/>
  <c r="O60" i="2" s="1"/>
  <c r="L59" i="2"/>
  <c r="O59" i="2" s="1"/>
  <c r="L58" i="2"/>
  <c r="O58" i="2" s="1"/>
  <c r="L57" i="2"/>
  <c r="O57" i="2" s="1"/>
  <c r="L56" i="2"/>
  <c r="O56" i="2" s="1"/>
  <c r="L55" i="2"/>
  <c r="O55" i="2" s="1"/>
  <c r="L54" i="2"/>
  <c r="O54" i="2" s="1"/>
  <c r="L53" i="2"/>
  <c r="O53" i="2" s="1"/>
  <c r="L50" i="2"/>
  <c r="O50" i="2" s="1"/>
  <c r="L49" i="2"/>
  <c r="L47" i="2"/>
  <c r="O47" i="2" s="1"/>
  <c r="L46" i="2"/>
  <c r="O46" i="2" s="1"/>
  <c r="L45" i="2"/>
  <c r="O45" i="2" s="1"/>
  <c r="L44" i="2"/>
  <c r="O44" i="2" s="1"/>
  <c r="L43" i="2"/>
  <c r="O43" i="2" s="1"/>
  <c r="L40" i="2"/>
  <c r="O40" i="2" s="1"/>
  <c r="L39" i="2"/>
  <c r="O39" i="2" s="1"/>
  <c r="L38" i="2"/>
  <c r="O38" i="2" s="1"/>
  <c r="L37" i="2"/>
  <c r="O37" i="2" s="1"/>
  <c r="L36" i="2"/>
  <c r="O36" i="2" s="1"/>
  <c r="L35" i="2"/>
  <c r="O35" i="2" s="1"/>
  <c r="L34" i="2"/>
  <c r="L31" i="2"/>
  <c r="L29" i="2"/>
  <c r="L26" i="2"/>
  <c r="L25" i="2"/>
  <c r="L23" i="2"/>
  <c r="L22" i="2"/>
  <c r="L21" i="2"/>
  <c r="L138" i="2" l="1"/>
  <c r="L28" i="2"/>
  <c r="L20" i="2"/>
  <c r="L7" i="2"/>
  <c r="L70" i="2"/>
  <c r="O70" i="2" s="1"/>
  <c r="L117" i="2"/>
  <c r="O117" i="2" s="1"/>
  <c r="L135" i="2"/>
  <c r="L16" i="2"/>
  <c r="L14" i="2" s="1"/>
  <c r="L42" i="2"/>
  <c r="O42" i="2" s="1"/>
  <c r="L121" i="2"/>
  <c r="L51" i="2"/>
  <c r="O51" i="2" s="1"/>
  <c r="L141" i="2"/>
  <c r="L48" i="2"/>
  <c r="O48" i="2" s="1"/>
  <c r="L33" i="2"/>
  <c r="L30" i="2" s="1"/>
  <c r="L27" i="2" s="1"/>
  <c r="L66" i="2"/>
  <c r="O66" i="2" s="1"/>
  <c r="O131" i="2"/>
  <c r="L142" i="2"/>
  <c r="O142" i="2" s="1"/>
  <c r="O49" i="2"/>
  <c r="L52" i="2"/>
  <c r="O52" i="2" s="1"/>
  <c r="O130" i="2"/>
  <c r="L147" i="2"/>
  <c r="O165" i="2"/>
  <c r="L41" i="2"/>
  <c r="O41" i="2" s="1"/>
  <c r="L114" i="2"/>
  <c r="O163" i="2"/>
  <c r="O116" i="2"/>
  <c r="O83" i="2"/>
  <c r="O118" i="2"/>
  <c r="O143" i="2"/>
  <c r="O146" i="2"/>
  <c r="L157" i="2"/>
  <c r="L63" i="2"/>
  <c r="O63" i="2" s="1"/>
  <c r="L127" i="2"/>
  <c r="O115" i="2"/>
  <c r="I62" i="38"/>
  <c r="K62" i="38" s="1"/>
  <c r="K11" i="80"/>
  <c r="N3" i="80" s="1"/>
  <c r="BM6" i="81"/>
  <c r="AH50" i="81"/>
  <c r="AG51" i="81"/>
  <c r="AG38" i="81"/>
  <c r="AH37" i="81"/>
  <c r="AH24" i="81"/>
  <c r="AG25" i="81"/>
  <c r="AO6" i="81"/>
  <c r="K50" i="81"/>
  <c r="J24" i="81"/>
  <c r="N4" i="81"/>
  <c r="K11" i="81"/>
  <c r="BA6" i="81"/>
  <c r="BI6" i="81"/>
  <c r="AS6" i="81"/>
  <c r="AW6" i="81"/>
  <c r="AL6" i="81"/>
  <c r="BU6" i="81"/>
  <c r="CD6" i="81"/>
  <c r="AH11" i="81"/>
  <c r="BF6" i="81"/>
  <c r="BQ6" i="81"/>
  <c r="BY6" i="81"/>
  <c r="K50" i="80"/>
  <c r="BR6" i="80"/>
  <c r="BJ6" i="80"/>
  <c r="BV6" i="80"/>
  <c r="AG6" i="80"/>
  <c r="AP6" i="80"/>
  <c r="BN6" i="80"/>
  <c r="J24" i="80"/>
  <c r="N4" i="80"/>
  <c r="BF6" i="80"/>
  <c r="AK6" i="80"/>
  <c r="CD6" i="80"/>
  <c r="AX6" i="80"/>
  <c r="AT6" i="80"/>
  <c r="AG51" i="80"/>
  <c r="AH50" i="80"/>
  <c r="BZ6" i="80"/>
  <c r="BB6" i="80"/>
  <c r="J65" i="38"/>
  <c r="J64" i="38" s="1"/>
  <c r="I58" i="38"/>
  <c r="K58" i="38" s="1"/>
  <c r="J58" i="38"/>
  <c r="K60" i="38"/>
  <c r="I65" i="38"/>
  <c r="J11" i="80" l="1"/>
  <c r="BB6" i="81"/>
  <c r="BV6" i="81"/>
  <c r="BZ6" i="81"/>
  <c r="N3" i="81"/>
  <c r="J11" i="81"/>
  <c r="AP6" i="81"/>
  <c r="AG6" i="81"/>
  <c r="J50" i="81"/>
  <c r="N6" i="81"/>
  <c r="AX6" i="81"/>
  <c r="BR6" i="81"/>
  <c r="AT6" i="81"/>
  <c r="BJ6" i="81"/>
  <c r="BN6" i="81"/>
  <c r="J50" i="80"/>
  <c r="N6" i="80"/>
  <c r="AL6" i="80"/>
  <c r="AH6" i="80"/>
  <c r="K65" i="38"/>
  <c r="I64" i="38"/>
  <c r="K64" i="38" s="1"/>
  <c r="J67" i="38"/>
  <c r="I67" i="38"/>
  <c r="I57" i="38" s="1"/>
  <c r="K57" i="38" s="1"/>
  <c r="AH6" i="81" l="1"/>
  <c r="J66" i="38"/>
  <c r="J57" i="38"/>
  <c r="K67" i="38"/>
  <c r="I66" i="38"/>
  <c r="K66" i="38" s="1"/>
  <c r="V29" i="2" l="1"/>
  <c r="H26" i="9" l="1"/>
  <c r="H38" i="61" l="1"/>
  <c r="H39" i="61" s="1"/>
  <c r="H40" i="61"/>
  <c r="H41" i="61"/>
  <c r="H42" i="61"/>
  <c r="H43" i="61"/>
  <c r="H44" i="61" s="1"/>
  <c r="H47" i="61"/>
  <c r="I17" i="61"/>
  <c r="B6" i="60"/>
  <c r="M53" i="72"/>
  <c r="M58" i="72"/>
  <c r="W59" i="72"/>
  <c r="V59" i="72"/>
  <c r="U59" i="72"/>
  <c r="T59" i="72"/>
  <c r="S59" i="72"/>
  <c r="R59" i="72"/>
  <c r="Q59" i="72"/>
  <c r="P59" i="72"/>
  <c r="O59" i="72"/>
  <c r="M59" i="72" s="1"/>
  <c r="W58" i="72"/>
  <c r="V58" i="72"/>
  <c r="U58" i="72"/>
  <c r="T58" i="72"/>
  <c r="S58" i="72"/>
  <c r="R58" i="72"/>
  <c r="Q58" i="72"/>
  <c r="P58" i="72"/>
  <c r="O58" i="72"/>
  <c r="W56" i="72"/>
  <c r="V56" i="72"/>
  <c r="U56" i="72"/>
  <c r="T56" i="72"/>
  <c r="S56" i="72"/>
  <c r="R56" i="72"/>
  <c r="Q56" i="72"/>
  <c r="P56" i="72"/>
  <c r="O56" i="72"/>
  <c r="M56" i="72" s="1"/>
  <c r="W54" i="72"/>
  <c r="V54" i="72"/>
  <c r="U54" i="72"/>
  <c r="T54" i="72"/>
  <c r="S54" i="72"/>
  <c r="R54" i="72"/>
  <c r="Q54" i="72"/>
  <c r="P54" i="72"/>
  <c r="P55" i="72" s="1"/>
  <c r="O54" i="72"/>
  <c r="O55" i="72" s="1"/>
  <c r="M55" i="72" s="1"/>
  <c r="W55" i="72"/>
  <c r="V55" i="72"/>
  <c r="U55" i="72"/>
  <c r="T55" i="72"/>
  <c r="S55" i="72"/>
  <c r="R55" i="72"/>
  <c r="Q55" i="72"/>
  <c r="M54" i="72"/>
  <c r="W52" i="72"/>
  <c r="V52" i="72"/>
  <c r="U52" i="72"/>
  <c r="T52" i="72"/>
  <c r="S52" i="72"/>
  <c r="R52" i="72"/>
  <c r="Q52" i="72"/>
  <c r="P52" i="72"/>
  <c r="O52" i="72"/>
  <c r="M52" i="72" s="1"/>
  <c r="B6" i="72"/>
  <c r="D84" i="3"/>
  <c r="W57" i="72"/>
  <c r="V57" i="72"/>
  <c r="U57" i="72"/>
  <c r="T57" i="72"/>
  <c r="S57" i="72"/>
  <c r="R57" i="72"/>
  <c r="Q57" i="72"/>
  <c r="P57" i="72"/>
  <c r="O57" i="72"/>
  <c r="M51" i="72"/>
  <c r="D81" i="3"/>
  <c r="M62" i="75"/>
  <c r="M57" i="75"/>
  <c r="N49" i="75"/>
  <c r="F92" i="9"/>
  <c r="F91" i="9"/>
  <c r="F90" i="9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CD62" i="79"/>
  <c r="BZ62" i="79"/>
  <c r="BV62" i="79"/>
  <c r="BR62" i="79"/>
  <c r="BN62" i="79"/>
  <c r="BJ62" i="79"/>
  <c r="BF62" i="79"/>
  <c r="BB62" i="79"/>
  <c r="AX62" i="79"/>
  <c r="AT62" i="79"/>
  <c r="AP62" i="79"/>
  <c r="AL62" i="79"/>
  <c r="AH62" i="79"/>
  <c r="AF62" i="79"/>
  <c r="AG62" i="79" s="1"/>
  <c r="AD62" i="79"/>
  <c r="J62" i="79"/>
  <c r="I62" i="79"/>
  <c r="G62" i="79"/>
  <c r="D62" i="79"/>
  <c r="CD61" i="79"/>
  <c r="BZ61" i="79"/>
  <c r="BV61" i="79"/>
  <c r="BR61" i="79"/>
  <c r="BN61" i="79"/>
  <c r="BJ61" i="79"/>
  <c r="BF61" i="79"/>
  <c r="BB61" i="79"/>
  <c r="AH61" i="79" s="1"/>
  <c r="AG61" i="79" s="1"/>
  <c r="AX61" i="79"/>
  <c r="AT61" i="79"/>
  <c r="AP61" i="79"/>
  <c r="AL61" i="79"/>
  <c r="AF61" i="79"/>
  <c r="AD61" i="79"/>
  <c r="J61" i="79"/>
  <c r="I61" i="79"/>
  <c r="G61" i="79"/>
  <c r="D61" i="79"/>
  <c r="C61" i="79"/>
  <c r="CD60" i="79"/>
  <c r="AH60" i="79" s="1"/>
  <c r="AG60" i="79" s="1"/>
  <c r="BZ60" i="79"/>
  <c r="BV60" i="79"/>
  <c r="BR60" i="79"/>
  <c r="BN60" i="79"/>
  <c r="BJ60" i="79"/>
  <c r="BF60" i="79"/>
  <c r="BB60" i="79"/>
  <c r="AX60" i="79"/>
  <c r="AT60" i="79"/>
  <c r="AP60" i="79"/>
  <c r="AL60" i="79"/>
  <c r="AF60" i="79"/>
  <c r="AD60" i="79"/>
  <c r="J60" i="79"/>
  <c r="I60" i="79"/>
  <c r="G60" i="79"/>
  <c r="D60" i="79"/>
  <c r="C60" i="79"/>
  <c r="CD59" i="79"/>
  <c r="BZ59" i="79"/>
  <c r="BV59" i="79"/>
  <c r="BR59" i="79"/>
  <c r="BN59" i="79"/>
  <c r="BJ59" i="79"/>
  <c r="BF59" i="79"/>
  <c r="BB59" i="79"/>
  <c r="AX59" i="79"/>
  <c r="AT59" i="79"/>
  <c r="AP59" i="79"/>
  <c r="AH59" i="79" s="1"/>
  <c r="AG59" i="79" s="1"/>
  <c r="AL59" i="79"/>
  <c r="AF59" i="79"/>
  <c r="AD59" i="79"/>
  <c r="J59" i="79"/>
  <c r="I59" i="79"/>
  <c r="G59" i="79"/>
  <c r="D59" i="79"/>
  <c r="C59" i="79"/>
  <c r="CD58" i="79"/>
  <c r="BZ58" i="79"/>
  <c r="BV58" i="79"/>
  <c r="AH58" i="79" s="1"/>
  <c r="AG58" i="79" s="1"/>
  <c r="BR58" i="79"/>
  <c r="BN58" i="79"/>
  <c r="BJ58" i="79"/>
  <c r="BF58" i="79"/>
  <c r="BB58" i="79"/>
  <c r="AX58" i="79"/>
  <c r="AT58" i="79"/>
  <c r="AP58" i="79"/>
  <c r="AL58" i="79"/>
  <c r="AF58" i="79"/>
  <c r="AD58" i="79"/>
  <c r="J58" i="79"/>
  <c r="I58" i="79"/>
  <c r="G58" i="79"/>
  <c r="D58" i="79"/>
  <c r="CD57" i="79"/>
  <c r="BZ57" i="79"/>
  <c r="BV57" i="79"/>
  <c r="BR57" i="79"/>
  <c r="BN57" i="79"/>
  <c r="BJ57" i="79"/>
  <c r="BF57" i="79"/>
  <c r="BB57" i="79"/>
  <c r="AX57" i="79"/>
  <c r="AT57" i="79"/>
  <c r="AP57" i="79"/>
  <c r="AL57" i="79"/>
  <c r="AH57" i="79" s="1"/>
  <c r="AG57" i="79" s="1"/>
  <c r="AF57" i="79"/>
  <c r="AD57" i="79"/>
  <c r="J57" i="79"/>
  <c r="I57" i="79"/>
  <c r="G57" i="79"/>
  <c r="D57" i="79"/>
  <c r="C57" i="79"/>
  <c r="CD56" i="79"/>
  <c r="BZ56" i="79"/>
  <c r="BV56" i="79"/>
  <c r="BR56" i="79"/>
  <c r="BN56" i="79"/>
  <c r="BN50" i="79" s="1"/>
  <c r="BJ56" i="79"/>
  <c r="BF56" i="79"/>
  <c r="BB56" i="79"/>
  <c r="AX56" i="79"/>
  <c r="AT56" i="79"/>
  <c r="AP56" i="79"/>
  <c r="AH56" i="79" s="1"/>
  <c r="AG56" i="79" s="1"/>
  <c r="AL56" i="79"/>
  <c r="AF56" i="79"/>
  <c r="AD56" i="79"/>
  <c r="J56" i="79"/>
  <c r="I56" i="79"/>
  <c r="G56" i="79"/>
  <c r="D56" i="79"/>
  <c r="CD55" i="79"/>
  <c r="BZ55" i="79"/>
  <c r="BV55" i="79"/>
  <c r="BR55" i="79"/>
  <c r="BN55" i="79"/>
  <c r="BJ55" i="79"/>
  <c r="BF55" i="79"/>
  <c r="BB55" i="79"/>
  <c r="AX55" i="79"/>
  <c r="AT55" i="79"/>
  <c r="AP55" i="79"/>
  <c r="AL55" i="79"/>
  <c r="AL50" i="79" s="1"/>
  <c r="AH55" i="79"/>
  <c r="AG55" i="79"/>
  <c r="AF55" i="79"/>
  <c r="AD55" i="79"/>
  <c r="J55" i="79"/>
  <c r="I55" i="79"/>
  <c r="G55" i="79"/>
  <c r="D55" i="79"/>
  <c r="CD54" i="79"/>
  <c r="BZ54" i="79"/>
  <c r="BV54" i="79"/>
  <c r="BV50" i="79" s="1"/>
  <c r="BR54" i="79"/>
  <c r="BR50" i="79" s="1"/>
  <c r="BN54" i="79"/>
  <c r="BJ54" i="79"/>
  <c r="BF54" i="79"/>
  <c r="AH54" i="79" s="1"/>
  <c r="AG54" i="79" s="1"/>
  <c r="BB54" i="79"/>
  <c r="AX54" i="79"/>
  <c r="AT54" i="79"/>
  <c r="AP54" i="79"/>
  <c r="AL54" i="79"/>
  <c r="AF54" i="79"/>
  <c r="AD54" i="79"/>
  <c r="J54" i="79"/>
  <c r="I54" i="79"/>
  <c r="G54" i="79"/>
  <c r="D54" i="79"/>
  <c r="C54" i="79"/>
  <c r="CD53" i="79"/>
  <c r="BZ53" i="79"/>
  <c r="BV53" i="79"/>
  <c r="BR53" i="79"/>
  <c r="BN53" i="79"/>
  <c r="BJ53" i="79"/>
  <c r="BF53" i="79"/>
  <c r="BB53" i="79"/>
  <c r="AX53" i="79"/>
  <c r="AT53" i="79"/>
  <c r="AT50" i="79" s="1"/>
  <c r="AP53" i="79"/>
  <c r="AP50" i="79" s="1"/>
  <c r="AL53" i="79"/>
  <c r="AH53" i="79"/>
  <c r="AF53" i="79"/>
  <c r="AG53" i="79" s="1"/>
  <c r="AD53" i="79"/>
  <c r="J53" i="79"/>
  <c r="I53" i="79"/>
  <c r="G53" i="79"/>
  <c r="D53" i="79"/>
  <c r="CD52" i="79"/>
  <c r="BZ52" i="79"/>
  <c r="BV52" i="79"/>
  <c r="BR52" i="79"/>
  <c r="BN52" i="79"/>
  <c r="BJ52" i="79"/>
  <c r="BF52" i="79"/>
  <c r="BB52" i="79"/>
  <c r="AX52" i="79"/>
  <c r="AH52" i="79" s="1"/>
  <c r="AG52" i="79" s="1"/>
  <c r="AT52" i="79"/>
  <c r="AP52" i="79"/>
  <c r="AL52" i="79"/>
  <c r="AF52" i="79"/>
  <c r="AD52" i="79"/>
  <c r="J52" i="79"/>
  <c r="I52" i="79"/>
  <c r="G52" i="79"/>
  <c r="D52" i="79"/>
  <c r="C52" i="79"/>
  <c r="CD51" i="79"/>
  <c r="CD50" i="79" s="1"/>
  <c r="BZ51" i="79"/>
  <c r="BZ50" i="79" s="1"/>
  <c r="BV51" i="79"/>
  <c r="BR51" i="79"/>
  <c r="BN51" i="79"/>
  <c r="BJ51" i="79"/>
  <c r="BF51" i="79"/>
  <c r="BF50" i="79" s="1"/>
  <c r="BB51" i="79"/>
  <c r="BB50" i="79" s="1"/>
  <c r="AX51" i="79"/>
  <c r="AT51" i="79"/>
  <c r="AP51" i="79"/>
  <c r="AL51" i="79"/>
  <c r="AF51" i="79"/>
  <c r="AD51" i="79"/>
  <c r="J51" i="79"/>
  <c r="G51" i="79"/>
  <c r="D51" i="79"/>
  <c r="C51" i="79"/>
  <c r="BJ50" i="79"/>
  <c r="AD50" i="79"/>
  <c r="D50" i="79"/>
  <c r="C50" i="79"/>
  <c r="CD49" i="79"/>
  <c r="BZ49" i="79"/>
  <c r="BV49" i="79"/>
  <c r="BR49" i="79"/>
  <c r="BN49" i="79"/>
  <c r="BJ49" i="79"/>
  <c r="BF49" i="79"/>
  <c r="BB49" i="79"/>
  <c r="AX49" i="79"/>
  <c r="AT49" i="79"/>
  <c r="AP49" i="79"/>
  <c r="AL49" i="79"/>
  <c r="AH49" i="79" s="1"/>
  <c r="AG49" i="79" s="1"/>
  <c r="AF49" i="79"/>
  <c r="AD49" i="79"/>
  <c r="J49" i="79"/>
  <c r="K49" i="79" s="1"/>
  <c r="G49" i="79"/>
  <c r="D49" i="79"/>
  <c r="C49" i="79"/>
  <c r="CD48" i="79"/>
  <c r="BZ48" i="79"/>
  <c r="BV48" i="79"/>
  <c r="BR48" i="79"/>
  <c r="BN48" i="79"/>
  <c r="BJ48" i="79"/>
  <c r="BF48" i="79"/>
  <c r="BB48" i="79"/>
  <c r="AX48" i="79"/>
  <c r="AT48" i="79"/>
  <c r="AH48" i="79" s="1"/>
  <c r="AG48" i="79" s="1"/>
  <c r="AP48" i="79"/>
  <c r="AL48" i="79"/>
  <c r="AF48" i="79"/>
  <c r="AD48" i="79"/>
  <c r="J48" i="79"/>
  <c r="K48" i="79" s="1"/>
  <c r="G48" i="79"/>
  <c r="D48" i="79"/>
  <c r="CD47" i="79"/>
  <c r="BZ47" i="79"/>
  <c r="BV47" i="79"/>
  <c r="BR47" i="79"/>
  <c r="BN47" i="79"/>
  <c r="BJ47" i="79"/>
  <c r="BF47" i="79"/>
  <c r="BB47" i="79"/>
  <c r="AX47" i="79"/>
  <c r="AT47" i="79"/>
  <c r="AP47" i="79"/>
  <c r="AL47" i="79"/>
  <c r="AH47" i="79"/>
  <c r="AG47" i="79"/>
  <c r="AF47" i="79"/>
  <c r="AD47" i="79"/>
  <c r="J47" i="79"/>
  <c r="K47" i="79" s="1"/>
  <c r="G47" i="79"/>
  <c r="D47" i="79"/>
  <c r="CD46" i="79"/>
  <c r="BZ46" i="79"/>
  <c r="BV46" i="79"/>
  <c r="BR46" i="79"/>
  <c r="BN46" i="79"/>
  <c r="BJ46" i="79"/>
  <c r="BF46" i="79"/>
  <c r="BB46" i="79"/>
  <c r="AH46" i="79" s="1"/>
  <c r="AG46" i="79" s="1"/>
  <c r="AX46" i="79"/>
  <c r="AT46" i="79"/>
  <c r="AP46" i="79"/>
  <c r="AL46" i="79"/>
  <c r="AF46" i="79"/>
  <c r="AD46" i="79"/>
  <c r="J46" i="79"/>
  <c r="K46" i="79" s="1"/>
  <c r="G46" i="79"/>
  <c r="D46" i="79"/>
  <c r="C46" i="79"/>
  <c r="CD45" i="79"/>
  <c r="BZ45" i="79"/>
  <c r="AH45" i="79" s="1"/>
  <c r="AG45" i="79" s="1"/>
  <c r="BV45" i="79"/>
  <c r="BR45" i="79"/>
  <c r="BN45" i="79"/>
  <c r="BJ45" i="79"/>
  <c r="BF45" i="79"/>
  <c r="BB45" i="79"/>
  <c r="AX45" i="79"/>
  <c r="AT45" i="79"/>
  <c r="AP45" i="79"/>
  <c r="AL45" i="79"/>
  <c r="AF45" i="79"/>
  <c r="AD45" i="79"/>
  <c r="J45" i="79"/>
  <c r="K45" i="79" s="1"/>
  <c r="G45" i="79"/>
  <c r="D45" i="79"/>
  <c r="CD44" i="79"/>
  <c r="BZ44" i="79"/>
  <c r="BV44" i="79"/>
  <c r="BR44" i="79"/>
  <c r="BN44" i="79"/>
  <c r="BJ44" i="79"/>
  <c r="BF44" i="79"/>
  <c r="BB44" i="79"/>
  <c r="AX44" i="79"/>
  <c r="AT44" i="79"/>
  <c r="AP44" i="79"/>
  <c r="AL44" i="79"/>
  <c r="AH44" i="79" s="1"/>
  <c r="AG44" i="79" s="1"/>
  <c r="AF44" i="79"/>
  <c r="AD44" i="79"/>
  <c r="J44" i="79"/>
  <c r="K44" i="79" s="1"/>
  <c r="G44" i="79"/>
  <c r="D44" i="79"/>
  <c r="C44" i="79"/>
  <c r="CD43" i="79"/>
  <c r="BZ43" i="79"/>
  <c r="BV43" i="79"/>
  <c r="BR43" i="79"/>
  <c r="BN43" i="79"/>
  <c r="BJ43" i="79"/>
  <c r="BF43" i="79"/>
  <c r="BB43" i="79"/>
  <c r="AX43" i="79"/>
  <c r="AT43" i="79"/>
  <c r="AP43" i="79"/>
  <c r="AL43" i="79"/>
  <c r="AH43" i="79" s="1"/>
  <c r="AG43" i="79" s="1"/>
  <c r="AF43" i="79"/>
  <c r="AD43" i="79"/>
  <c r="J43" i="79"/>
  <c r="K43" i="79" s="1"/>
  <c r="G43" i="79"/>
  <c r="D43" i="79"/>
  <c r="C43" i="79"/>
  <c r="CD42" i="79"/>
  <c r="BZ42" i="79"/>
  <c r="BV42" i="79"/>
  <c r="BR42" i="79"/>
  <c r="BN42" i="79"/>
  <c r="BJ42" i="79"/>
  <c r="BF42" i="79"/>
  <c r="BB42" i="79"/>
  <c r="AX42" i="79"/>
  <c r="AT42" i="79"/>
  <c r="AP42" i="79"/>
  <c r="AL42" i="79"/>
  <c r="AH42" i="79"/>
  <c r="AF42" i="79"/>
  <c r="AG42" i="79" s="1"/>
  <c r="AD42" i="79"/>
  <c r="J42" i="79"/>
  <c r="K42" i="79" s="1"/>
  <c r="G42" i="79"/>
  <c r="D42" i="79"/>
  <c r="C42" i="79"/>
  <c r="CD41" i="79"/>
  <c r="BZ41" i="79"/>
  <c r="BV41" i="79"/>
  <c r="BR41" i="79"/>
  <c r="BN41" i="79"/>
  <c r="BJ41" i="79"/>
  <c r="BF41" i="79"/>
  <c r="BB41" i="79"/>
  <c r="AX41" i="79"/>
  <c r="AT41" i="79"/>
  <c r="AP41" i="79"/>
  <c r="AL41" i="79"/>
  <c r="AH41" i="79" s="1"/>
  <c r="AG41" i="79" s="1"/>
  <c r="AF41" i="79"/>
  <c r="AD41" i="79"/>
  <c r="J41" i="79"/>
  <c r="K41" i="79" s="1"/>
  <c r="G41" i="79"/>
  <c r="D41" i="79"/>
  <c r="C41" i="79"/>
  <c r="CD40" i="79"/>
  <c r="BZ40" i="79"/>
  <c r="BV40" i="79"/>
  <c r="BR40" i="79"/>
  <c r="BN40" i="79"/>
  <c r="BJ40" i="79"/>
  <c r="BF40" i="79"/>
  <c r="BB40" i="79"/>
  <c r="AX40" i="79"/>
  <c r="AT40" i="79"/>
  <c r="AH40" i="79" s="1"/>
  <c r="AG40" i="79" s="1"/>
  <c r="AP40" i="79"/>
  <c r="AL40" i="79"/>
  <c r="AF40" i="79"/>
  <c r="AD40" i="79"/>
  <c r="J40" i="79"/>
  <c r="K40" i="79" s="1"/>
  <c r="G40" i="79"/>
  <c r="D40" i="79"/>
  <c r="CD39" i="79"/>
  <c r="BZ39" i="79"/>
  <c r="BV39" i="79"/>
  <c r="BR39" i="79"/>
  <c r="BN39" i="79"/>
  <c r="BJ39" i="79"/>
  <c r="BF39" i="79"/>
  <c r="BB39" i="79"/>
  <c r="AX39" i="79"/>
  <c r="AT39" i="79"/>
  <c r="AT37" i="79" s="1"/>
  <c r="AP39" i="79"/>
  <c r="AP37" i="79" s="1"/>
  <c r="AL39" i="79"/>
  <c r="AL37" i="79" s="1"/>
  <c r="AH39" i="79"/>
  <c r="AG39" i="79"/>
  <c r="AF39" i="79"/>
  <c r="AD39" i="79"/>
  <c r="J39" i="79"/>
  <c r="K39" i="79" s="1"/>
  <c r="G39" i="79"/>
  <c r="D39" i="79"/>
  <c r="CD38" i="79"/>
  <c r="BZ38" i="79"/>
  <c r="BZ37" i="79" s="1"/>
  <c r="BV38" i="79"/>
  <c r="BV37" i="79" s="1"/>
  <c r="BR38" i="79"/>
  <c r="BR37" i="79" s="1"/>
  <c r="BN38" i="79"/>
  <c r="BN37" i="79" s="1"/>
  <c r="BJ38" i="79"/>
  <c r="BJ37" i="79" s="1"/>
  <c r="BF38" i="79"/>
  <c r="BF37" i="79" s="1"/>
  <c r="BB38" i="79"/>
  <c r="AH38" i="79" s="1"/>
  <c r="AX38" i="79"/>
  <c r="AT38" i="79"/>
  <c r="AP38" i="79"/>
  <c r="AL38" i="79"/>
  <c r="AF38" i="79"/>
  <c r="AD38" i="79"/>
  <c r="J38" i="79"/>
  <c r="K38" i="79" s="1"/>
  <c r="G38" i="79"/>
  <c r="D38" i="79"/>
  <c r="C38" i="79"/>
  <c r="CD37" i="79"/>
  <c r="AX37" i="79"/>
  <c r="AD37" i="79"/>
  <c r="D37" i="79"/>
  <c r="C37" i="79"/>
  <c r="CD36" i="79"/>
  <c r="BZ36" i="79"/>
  <c r="AH36" i="79" s="1"/>
  <c r="AG36" i="79" s="1"/>
  <c r="BV36" i="79"/>
  <c r="BR36" i="79"/>
  <c r="BN36" i="79"/>
  <c r="BJ36" i="79"/>
  <c r="BF36" i="79"/>
  <c r="BB36" i="79"/>
  <c r="AX36" i="79"/>
  <c r="AT36" i="79"/>
  <c r="AP36" i="79"/>
  <c r="AL36" i="79"/>
  <c r="AF36" i="79"/>
  <c r="AD36" i="79"/>
  <c r="J36" i="79"/>
  <c r="K36" i="79" s="1"/>
  <c r="G36" i="79"/>
  <c r="D36" i="79"/>
  <c r="CD35" i="79"/>
  <c r="BZ35" i="79"/>
  <c r="BV35" i="79"/>
  <c r="BR35" i="79"/>
  <c r="BN35" i="79"/>
  <c r="BJ35" i="79"/>
  <c r="BF35" i="79"/>
  <c r="BB35" i="79"/>
  <c r="AX35" i="79"/>
  <c r="AT35" i="79"/>
  <c r="AP35" i="79"/>
  <c r="AL35" i="79"/>
  <c r="AH35" i="79" s="1"/>
  <c r="AG35" i="79" s="1"/>
  <c r="AF35" i="79"/>
  <c r="AD35" i="79"/>
  <c r="J35" i="79"/>
  <c r="K35" i="79" s="1"/>
  <c r="G35" i="79"/>
  <c r="D35" i="79"/>
  <c r="C35" i="79"/>
  <c r="CD34" i="79"/>
  <c r="BZ34" i="79"/>
  <c r="BV34" i="79"/>
  <c r="BR34" i="79"/>
  <c r="BN34" i="79"/>
  <c r="BJ34" i="79"/>
  <c r="BF34" i="79"/>
  <c r="BB34" i="79"/>
  <c r="AX34" i="79"/>
  <c r="AT34" i="79"/>
  <c r="AP34" i="79"/>
  <c r="AL34" i="79"/>
  <c r="AH34" i="79" s="1"/>
  <c r="AG34" i="79" s="1"/>
  <c r="AF34" i="79"/>
  <c r="AD34" i="79"/>
  <c r="J34" i="79"/>
  <c r="K34" i="79" s="1"/>
  <c r="G34" i="79"/>
  <c r="D34" i="79"/>
  <c r="C34" i="79"/>
  <c r="CD33" i="79"/>
  <c r="BZ33" i="79"/>
  <c r="BV33" i="79"/>
  <c r="BR33" i="79"/>
  <c r="BN33" i="79"/>
  <c r="BJ33" i="79"/>
  <c r="BF33" i="79"/>
  <c r="BB33" i="79"/>
  <c r="AX33" i="79"/>
  <c r="AT33" i="79"/>
  <c r="AP33" i="79"/>
  <c r="AL33" i="79"/>
  <c r="AH33" i="79"/>
  <c r="AF33" i="79"/>
  <c r="AG33" i="79" s="1"/>
  <c r="AD33" i="79"/>
  <c r="J33" i="79"/>
  <c r="K33" i="79" s="1"/>
  <c r="G33" i="79"/>
  <c r="D33" i="79"/>
  <c r="C33" i="79"/>
  <c r="CD32" i="79"/>
  <c r="BZ32" i="79"/>
  <c r="BV32" i="79"/>
  <c r="BR32" i="79"/>
  <c r="BN32" i="79"/>
  <c r="BJ32" i="79"/>
  <c r="BF32" i="79"/>
  <c r="BB32" i="79"/>
  <c r="AX32" i="79"/>
  <c r="AT32" i="79"/>
  <c r="AP32" i="79"/>
  <c r="AL32" i="79"/>
  <c r="AH32" i="79" s="1"/>
  <c r="AG32" i="79" s="1"/>
  <c r="AF32" i="79"/>
  <c r="AD32" i="79"/>
  <c r="J32" i="79"/>
  <c r="K32" i="79" s="1"/>
  <c r="G32" i="79"/>
  <c r="D32" i="79"/>
  <c r="C32" i="79"/>
  <c r="CD31" i="79"/>
  <c r="BZ31" i="79"/>
  <c r="BV31" i="79"/>
  <c r="BR31" i="79"/>
  <c r="BR24" i="79" s="1"/>
  <c r="BN31" i="79"/>
  <c r="BJ31" i="79"/>
  <c r="BF31" i="79"/>
  <c r="BB31" i="79"/>
  <c r="AX31" i="79"/>
  <c r="AT31" i="79"/>
  <c r="AH31" i="79" s="1"/>
  <c r="AG31" i="79" s="1"/>
  <c r="AP31" i="79"/>
  <c r="AL31" i="79"/>
  <c r="AF31" i="79"/>
  <c r="AD31" i="79"/>
  <c r="J31" i="79"/>
  <c r="K31" i="79" s="1"/>
  <c r="G31" i="79"/>
  <c r="D31" i="79"/>
  <c r="CD30" i="79"/>
  <c r="BZ30" i="79"/>
  <c r="BV30" i="79"/>
  <c r="BR30" i="79"/>
  <c r="BN30" i="79"/>
  <c r="BJ30" i="79"/>
  <c r="BF30" i="79"/>
  <c r="BB30" i="79"/>
  <c r="AX30" i="79"/>
  <c r="AT30" i="79"/>
  <c r="AP30" i="79"/>
  <c r="AL30" i="79"/>
  <c r="AH30" i="79"/>
  <c r="AG30" i="79"/>
  <c r="AF30" i="79"/>
  <c r="AD30" i="79"/>
  <c r="J30" i="79"/>
  <c r="K30" i="79" s="1"/>
  <c r="G30" i="79"/>
  <c r="D30" i="79"/>
  <c r="CD29" i="79"/>
  <c r="BZ29" i="79"/>
  <c r="BV29" i="79"/>
  <c r="BR29" i="79"/>
  <c r="BN29" i="79"/>
  <c r="BJ29" i="79"/>
  <c r="BF29" i="79"/>
  <c r="BB29" i="79"/>
  <c r="AH29" i="79" s="1"/>
  <c r="AG29" i="79" s="1"/>
  <c r="AX29" i="79"/>
  <c r="AT29" i="79"/>
  <c r="AP29" i="79"/>
  <c r="AL29" i="79"/>
  <c r="AF29" i="79"/>
  <c r="AD29" i="79"/>
  <c r="J29" i="79"/>
  <c r="K29" i="79" s="1"/>
  <c r="G29" i="79"/>
  <c r="D29" i="79"/>
  <c r="C29" i="79"/>
  <c r="CD28" i="79"/>
  <c r="BZ28" i="79"/>
  <c r="AH28" i="79" s="1"/>
  <c r="AG28" i="79" s="1"/>
  <c r="BV28" i="79"/>
  <c r="BR28" i="79"/>
  <c r="BN28" i="79"/>
  <c r="BJ28" i="79"/>
  <c r="BF28" i="79"/>
  <c r="BB28" i="79"/>
  <c r="AX28" i="79"/>
  <c r="AT28" i="79"/>
  <c r="AP28" i="79"/>
  <c r="AL28" i="79"/>
  <c r="AF28" i="79"/>
  <c r="AD28" i="79"/>
  <c r="J28" i="79"/>
  <c r="K28" i="79" s="1"/>
  <c r="G28" i="79"/>
  <c r="D28" i="79"/>
  <c r="CD27" i="79"/>
  <c r="BZ27" i="79"/>
  <c r="BV27" i="79"/>
  <c r="BR27" i="79"/>
  <c r="BN27" i="79"/>
  <c r="BJ27" i="79"/>
  <c r="BF27" i="79"/>
  <c r="BF24" i="79" s="1"/>
  <c r="BB27" i="79"/>
  <c r="BB24" i="79" s="1"/>
  <c r="AX27" i="79"/>
  <c r="AT27" i="79"/>
  <c r="AT24" i="79" s="1"/>
  <c r="AP27" i="79"/>
  <c r="AP24" i="79" s="1"/>
  <c r="AL27" i="79"/>
  <c r="AL24" i="79" s="1"/>
  <c r="AF27" i="79"/>
  <c r="AD27" i="79"/>
  <c r="J27" i="79"/>
  <c r="K27" i="79" s="1"/>
  <c r="G27" i="79"/>
  <c r="D27" i="79"/>
  <c r="C27" i="79"/>
  <c r="CD26" i="79"/>
  <c r="CD24" i="79" s="1"/>
  <c r="BZ26" i="79"/>
  <c r="BZ24" i="79" s="1"/>
  <c r="BV26" i="79"/>
  <c r="BV24" i="79" s="1"/>
  <c r="BR26" i="79"/>
  <c r="BN26" i="79"/>
  <c r="BJ26" i="79"/>
  <c r="BF26" i="79"/>
  <c r="BB26" i="79"/>
  <c r="AX26" i="79"/>
  <c r="AT26" i="79"/>
  <c r="AP26" i="79"/>
  <c r="AL26" i="79"/>
  <c r="AH26" i="79" s="1"/>
  <c r="AF26" i="79"/>
  <c r="AD26" i="79"/>
  <c r="J26" i="79"/>
  <c r="K26" i="79" s="1"/>
  <c r="G26" i="79"/>
  <c r="D26" i="79"/>
  <c r="C26" i="79"/>
  <c r="CD25" i="79"/>
  <c r="BZ25" i="79"/>
  <c r="BV25" i="79"/>
  <c r="BR25" i="79"/>
  <c r="BN25" i="79"/>
  <c r="BJ25" i="79"/>
  <c r="BJ24" i="79" s="1"/>
  <c r="BF25" i="79"/>
  <c r="BB25" i="79"/>
  <c r="AX25" i="79"/>
  <c r="AX24" i="79" s="1"/>
  <c r="AT25" i="79"/>
  <c r="AP25" i="79"/>
  <c r="AL25" i="79"/>
  <c r="AH25" i="79"/>
  <c r="AF25" i="79"/>
  <c r="AG25" i="79" s="1"/>
  <c r="AD25" i="79"/>
  <c r="J25" i="79"/>
  <c r="I25" i="79"/>
  <c r="G25" i="79"/>
  <c r="D25" i="79"/>
  <c r="BN24" i="79"/>
  <c r="AD24" i="79"/>
  <c r="D24" i="79"/>
  <c r="CD23" i="79"/>
  <c r="BZ23" i="79"/>
  <c r="BV23" i="79"/>
  <c r="BR23" i="79"/>
  <c r="BN23" i="79"/>
  <c r="BJ23" i="79"/>
  <c r="BF23" i="79"/>
  <c r="BB23" i="79"/>
  <c r="AX23" i="79"/>
  <c r="AH23" i="79" s="1"/>
  <c r="AG23" i="79" s="1"/>
  <c r="AT23" i="79"/>
  <c r="AP23" i="79"/>
  <c r="AL23" i="79"/>
  <c r="AF23" i="79"/>
  <c r="AD23" i="79"/>
  <c r="O23" i="79"/>
  <c r="J23" i="79"/>
  <c r="K23" i="79" s="1"/>
  <c r="G23" i="79"/>
  <c r="D23" i="79"/>
  <c r="C23" i="79"/>
  <c r="CD22" i="79"/>
  <c r="BZ22" i="79"/>
  <c r="AH22" i="79" s="1"/>
  <c r="AG22" i="79" s="1"/>
  <c r="BV22" i="79"/>
  <c r="BR22" i="79"/>
  <c r="BN22" i="79"/>
  <c r="BJ22" i="79"/>
  <c r="BF22" i="79"/>
  <c r="BB22" i="79"/>
  <c r="AX22" i="79"/>
  <c r="AT22" i="79"/>
  <c r="AP22" i="79"/>
  <c r="AL22" i="79"/>
  <c r="AF22" i="79"/>
  <c r="AD22" i="79"/>
  <c r="O22" i="79"/>
  <c r="J22" i="79"/>
  <c r="K22" i="79" s="1"/>
  <c r="G22" i="79"/>
  <c r="D22" i="79"/>
  <c r="C22" i="79"/>
  <c r="CD21" i="79"/>
  <c r="BZ21" i="79"/>
  <c r="BV21" i="79"/>
  <c r="BR21" i="79"/>
  <c r="BN21" i="79"/>
  <c r="BJ21" i="79"/>
  <c r="BF21" i="79"/>
  <c r="BB21" i="79"/>
  <c r="AX21" i="79"/>
  <c r="AT21" i="79"/>
  <c r="AP21" i="79"/>
  <c r="AL21" i="79"/>
  <c r="AH21" i="79" s="1"/>
  <c r="AG21" i="79" s="1"/>
  <c r="AF21" i="79"/>
  <c r="AD21" i="79"/>
  <c r="O21" i="79"/>
  <c r="J21" i="79"/>
  <c r="K21" i="79" s="1"/>
  <c r="G21" i="79"/>
  <c r="D21" i="79"/>
  <c r="C21" i="79"/>
  <c r="CD20" i="79"/>
  <c r="BZ20" i="79"/>
  <c r="BV20" i="79"/>
  <c r="BR20" i="79"/>
  <c r="BN20" i="79"/>
  <c r="BJ20" i="79"/>
  <c r="BF20" i="79"/>
  <c r="BB20" i="79"/>
  <c r="AX20" i="79"/>
  <c r="AT20" i="79"/>
  <c r="AH20" i="79" s="1"/>
  <c r="AG20" i="79" s="1"/>
  <c r="AP20" i="79"/>
  <c r="AL20" i="79"/>
  <c r="AF20" i="79"/>
  <c r="AD20" i="79"/>
  <c r="O20" i="79"/>
  <c r="J20" i="79"/>
  <c r="K20" i="79" s="1"/>
  <c r="G20" i="79"/>
  <c r="D20" i="79"/>
  <c r="CD19" i="79"/>
  <c r="BZ19" i="79"/>
  <c r="BV19" i="79"/>
  <c r="BR19" i="79"/>
  <c r="BN19" i="79"/>
  <c r="BJ19" i="79"/>
  <c r="BF19" i="79"/>
  <c r="BB19" i="79"/>
  <c r="AX19" i="79"/>
  <c r="AT19" i="79"/>
  <c r="AP19" i="79"/>
  <c r="AL19" i="79"/>
  <c r="AH19" i="79"/>
  <c r="AG19" i="79" s="1"/>
  <c r="AF19" i="79"/>
  <c r="AD19" i="79"/>
  <c r="O19" i="79"/>
  <c r="J19" i="79"/>
  <c r="K19" i="79" s="1"/>
  <c r="G19" i="79"/>
  <c r="D19" i="79"/>
  <c r="C19" i="79"/>
  <c r="CD18" i="79"/>
  <c r="BZ18" i="79"/>
  <c r="BV18" i="79"/>
  <c r="BR18" i="79"/>
  <c r="BN18" i="79"/>
  <c r="BJ18" i="79"/>
  <c r="BF18" i="79"/>
  <c r="BB18" i="79"/>
  <c r="AX18" i="79"/>
  <c r="AT18" i="79"/>
  <c r="AP18" i="79"/>
  <c r="AL18" i="79"/>
  <c r="AH18" i="79" s="1"/>
  <c r="AG18" i="79" s="1"/>
  <c r="AF18" i="79"/>
  <c r="AD18" i="79"/>
  <c r="O18" i="79"/>
  <c r="J18" i="79"/>
  <c r="K18" i="79" s="1"/>
  <c r="G18" i="79"/>
  <c r="D18" i="79"/>
  <c r="CD17" i="79"/>
  <c r="BZ17" i="79"/>
  <c r="BV17" i="79"/>
  <c r="BR17" i="79"/>
  <c r="BN17" i="79"/>
  <c r="BJ17" i="79"/>
  <c r="BF17" i="79"/>
  <c r="BB17" i="79"/>
  <c r="AX17" i="79"/>
  <c r="AT17" i="79"/>
  <c r="AP17" i="79"/>
  <c r="AL17" i="79"/>
  <c r="AH17" i="79"/>
  <c r="AF17" i="79"/>
  <c r="AG17" i="79" s="1"/>
  <c r="AD17" i="79"/>
  <c r="O17" i="79"/>
  <c r="J17" i="79"/>
  <c r="K17" i="79" s="1"/>
  <c r="G17" i="79"/>
  <c r="D17" i="79"/>
  <c r="CD16" i="79"/>
  <c r="BZ16" i="79"/>
  <c r="BV16" i="79"/>
  <c r="BR16" i="79"/>
  <c r="BN16" i="79"/>
  <c r="BJ16" i="79"/>
  <c r="BF16" i="79"/>
  <c r="BB16" i="79"/>
  <c r="AH16" i="79" s="1"/>
  <c r="AG16" i="79" s="1"/>
  <c r="AX16" i="79"/>
  <c r="AT16" i="79"/>
  <c r="AP16" i="79"/>
  <c r="AL16" i="79"/>
  <c r="AF16" i="79"/>
  <c r="AD16" i="79"/>
  <c r="O16" i="79"/>
  <c r="J16" i="79"/>
  <c r="K16" i="79" s="1"/>
  <c r="G16" i="79"/>
  <c r="D16" i="79"/>
  <c r="C16" i="79"/>
  <c r="CD15" i="79"/>
  <c r="AH15" i="79" s="1"/>
  <c r="AG15" i="79" s="1"/>
  <c r="BZ15" i="79"/>
  <c r="BV15" i="79"/>
  <c r="BR15" i="79"/>
  <c r="BN15" i="79"/>
  <c r="BJ15" i="79"/>
  <c r="BF15" i="79"/>
  <c r="BB15" i="79"/>
  <c r="AX15" i="79"/>
  <c r="AT15" i="79"/>
  <c r="AP15" i="79"/>
  <c r="AL15" i="79"/>
  <c r="AF15" i="79"/>
  <c r="AD15" i="79"/>
  <c r="O15" i="79"/>
  <c r="J15" i="79"/>
  <c r="K15" i="79" s="1"/>
  <c r="G15" i="79"/>
  <c r="D15" i="79"/>
  <c r="C15" i="79"/>
  <c r="CD14" i="79"/>
  <c r="BZ14" i="79"/>
  <c r="BV14" i="79"/>
  <c r="BR14" i="79"/>
  <c r="BN14" i="79"/>
  <c r="BN11" i="79" s="1"/>
  <c r="BJ14" i="79"/>
  <c r="BF14" i="79"/>
  <c r="BB14" i="79"/>
  <c r="AX14" i="79"/>
  <c r="AT14" i="79"/>
  <c r="AT11" i="79" s="1"/>
  <c r="AP14" i="79"/>
  <c r="AL14" i="79"/>
  <c r="AH14" i="79" s="1"/>
  <c r="AG14" i="79" s="1"/>
  <c r="AF14" i="79"/>
  <c r="AD14" i="79"/>
  <c r="O14" i="79"/>
  <c r="J14" i="79"/>
  <c r="K14" i="79" s="1"/>
  <c r="G14" i="79"/>
  <c r="D14" i="79"/>
  <c r="C14" i="79"/>
  <c r="CD13" i="79"/>
  <c r="CD11" i="79" s="1"/>
  <c r="BZ13" i="79"/>
  <c r="BZ11" i="79" s="1"/>
  <c r="BV13" i="79"/>
  <c r="AH13" i="79" s="1"/>
  <c r="AG13" i="79" s="1"/>
  <c r="BR13" i="79"/>
  <c r="BN13" i="79"/>
  <c r="BJ13" i="79"/>
  <c r="BF13" i="79"/>
  <c r="BB13" i="79"/>
  <c r="AX13" i="79"/>
  <c r="AT13" i="79"/>
  <c r="AP13" i="79"/>
  <c r="AL13" i="79"/>
  <c r="AF13" i="79"/>
  <c r="AD13" i="79"/>
  <c r="O13" i="79"/>
  <c r="J13" i="79"/>
  <c r="K13" i="79" s="1"/>
  <c r="G13" i="79"/>
  <c r="D13" i="79"/>
  <c r="CD12" i="79"/>
  <c r="BZ12" i="79"/>
  <c r="BV12" i="79"/>
  <c r="BR12" i="79"/>
  <c r="BR11" i="79" s="1"/>
  <c r="BN12" i="79"/>
  <c r="BJ12" i="79"/>
  <c r="BJ11" i="79" s="1"/>
  <c r="BF12" i="79"/>
  <c r="BF11" i="79" s="1"/>
  <c r="BB12" i="79"/>
  <c r="BB11" i="79" s="1"/>
  <c r="AX12" i="79"/>
  <c r="AX11" i="79" s="1"/>
  <c r="AT12" i="79"/>
  <c r="AP12" i="79"/>
  <c r="AL12" i="79"/>
  <c r="AL11" i="79" s="1"/>
  <c r="AF12" i="79"/>
  <c r="AD12" i="79"/>
  <c r="O12" i="79"/>
  <c r="J12" i="79"/>
  <c r="K12" i="79" s="1"/>
  <c r="G12" i="79"/>
  <c r="D12" i="79"/>
  <c r="C12" i="79"/>
  <c r="BV11" i="79"/>
  <c r="AP11" i="79"/>
  <c r="AO6" i="79" s="1"/>
  <c r="AD11" i="79"/>
  <c r="D11" i="79"/>
  <c r="C11" i="79"/>
  <c r="AF6" i="79"/>
  <c r="J3" i="79"/>
  <c r="M50" i="79" s="1"/>
  <c r="A3" i="79"/>
  <c r="C56" i="79" s="1"/>
  <c r="K55" i="79" l="1"/>
  <c r="K25" i="79"/>
  <c r="K24" i="79" s="1"/>
  <c r="K52" i="79"/>
  <c r="K53" i="79"/>
  <c r="K54" i="79"/>
  <c r="K59" i="79"/>
  <c r="K58" i="79"/>
  <c r="K56" i="79"/>
  <c r="K62" i="79"/>
  <c r="K60" i="79"/>
  <c r="K61" i="79"/>
  <c r="K57" i="79"/>
  <c r="AG26" i="79"/>
  <c r="AP6" i="79"/>
  <c r="BQ6" i="79"/>
  <c r="K37" i="79"/>
  <c r="BU6" i="79"/>
  <c r="AS6" i="79"/>
  <c r="AK6" i="79"/>
  <c r="BE6" i="79"/>
  <c r="BI6" i="79"/>
  <c r="AG38" i="79"/>
  <c r="AH37" i="79"/>
  <c r="K11" i="79"/>
  <c r="BY6" i="79"/>
  <c r="CC6" i="79"/>
  <c r="BM6" i="79"/>
  <c r="AH12" i="79"/>
  <c r="C18" i="79"/>
  <c r="AH27" i="79"/>
  <c r="AG27" i="79" s="1"/>
  <c r="AH51" i="79"/>
  <c r="C55" i="79"/>
  <c r="C17" i="79"/>
  <c r="C30" i="79"/>
  <c r="C39" i="79"/>
  <c r="C47" i="79"/>
  <c r="C62" i="79"/>
  <c r="C24" i="79"/>
  <c r="C25" i="79"/>
  <c r="C53" i="79"/>
  <c r="BB37" i="79"/>
  <c r="AX50" i="79"/>
  <c r="C20" i="79"/>
  <c r="C13" i="79"/>
  <c r="C28" i="79"/>
  <c r="C36" i="79"/>
  <c r="C45" i="79"/>
  <c r="C58" i="79"/>
  <c r="C31" i="79"/>
  <c r="C40" i="79"/>
  <c r="C48" i="79"/>
  <c r="B6" i="78"/>
  <c r="AD58" i="78"/>
  <c r="AF58" i="78"/>
  <c r="AL6" i="79" l="1"/>
  <c r="CD6" i="79"/>
  <c r="BN6" i="79"/>
  <c r="AT6" i="79"/>
  <c r="N5" i="79"/>
  <c r="J37" i="79"/>
  <c r="N3" i="79"/>
  <c r="J11" i="79"/>
  <c r="BF6" i="79"/>
  <c r="BA6" i="79"/>
  <c r="BV6" i="79"/>
  <c r="BZ6" i="79"/>
  <c r="AH50" i="79"/>
  <c r="AG51" i="79"/>
  <c r="BR6" i="79"/>
  <c r="AG12" i="79"/>
  <c r="AH11" i="79"/>
  <c r="BJ6" i="79"/>
  <c r="AH24" i="79"/>
  <c r="J24" i="79"/>
  <c r="N4" i="79"/>
  <c r="AW6" i="79"/>
  <c r="R6" i="62"/>
  <c r="N30" i="3"/>
  <c r="CD62" i="78"/>
  <c r="BZ62" i="78"/>
  <c r="BV62" i="78"/>
  <c r="BR62" i="78"/>
  <c r="BN62" i="78"/>
  <c r="BJ62" i="78"/>
  <c r="BF62" i="78"/>
  <c r="BB62" i="78"/>
  <c r="AX62" i="78"/>
  <c r="AT62" i="78"/>
  <c r="AP62" i="78"/>
  <c r="AL62" i="78"/>
  <c r="AH62" i="78"/>
  <c r="AF62" i="78"/>
  <c r="AG62" i="78" s="1"/>
  <c r="AD62" i="78"/>
  <c r="J62" i="78"/>
  <c r="I62" i="78"/>
  <c r="G62" i="78"/>
  <c r="D62" i="78"/>
  <c r="C62" i="78"/>
  <c r="CD61" i="78"/>
  <c r="BZ61" i="78"/>
  <c r="BV61" i="78"/>
  <c r="BR61" i="78"/>
  <c r="BN61" i="78"/>
  <c r="BJ61" i="78"/>
  <c r="BF61" i="78"/>
  <c r="BB61" i="78"/>
  <c r="AX61" i="78"/>
  <c r="AT61" i="78"/>
  <c r="AP61" i="78"/>
  <c r="AL61" i="78"/>
  <c r="AF61" i="78"/>
  <c r="AD61" i="78"/>
  <c r="J61" i="78"/>
  <c r="I61" i="78"/>
  <c r="G61" i="78"/>
  <c r="D61" i="78"/>
  <c r="C61" i="78"/>
  <c r="CD60" i="78"/>
  <c r="BZ60" i="78"/>
  <c r="BV60" i="78"/>
  <c r="BR60" i="78"/>
  <c r="BN60" i="78"/>
  <c r="BJ60" i="78"/>
  <c r="BF60" i="78"/>
  <c r="BB60" i="78"/>
  <c r="AX60" i="78"/>
  <c r="AT60" i="78"/>
  <c r="AP60" i="78"/>
  <c r="AL60" i="78"/>
  <c r="AH60" i="78" s="1"/>
  <c r="AG60" i="78" s="1"/>
  <c r="AF60" i="78"/>
  <c r="AD60" i="78"/>
  <c r="J60" i="78"/>
  <c r="I60" i="78"/>
  <c r="G60" i="78"/>
  <c r="D60" i="78"/>
  <c r="CD59" i="78"/>
  <c r="BZ59" i="78"/>
  <c r="BV59" i="78"/>
  <c r="BR59" i="78"/>
  <c r="BN59" i="78"/>
  <c r="BJ59" i="78"/>
  <c r="BF59" i="78"/>
  <c r="BB59" i="78"/>
  <c r="AX59" i="78"/>
  <c r="AT59" i="78"/>
  <c r="AP59" i="78"/>
  <c r="AL59" i="78"/>
  <c r="AF59" i="78"/>
  <c r="AD59" i="78"/>
  <c r="J59" i="78"/>
  <c r="I59" i="78"/>
  <c r="G59" i="78"/>
  <c r="D59" i="78"/>
  <c r="C59" i="78"/>
  <c r="CD58" i="78"/>
  <c r="BZ58" i="78"/>
  <c r="BV58" i="78"/>
  <c r="BR58" i="78"/>
  <c r="BN58" i="78"/>
  <c r="BJ58" i="78"/>
  <c r="BF58" i="78"/>
  <c r="BB58" i="78"/>
  <c r="AX58" i="78"/>
  <c r="AT58" i="78"/>
  <c r="AP58" i="78"/>
  <c r="AL58" i="78"/>
  <c r="AH58" i="78" s="1"/>
  <c r="AG58" i="78" s="1"/>
  <c r="J58" i="78"/>
  <c r="I58" i="78"/>
  <c r="G58" i="78"/>
  <c r="D58" i="78"/>
  <c r="CD57" i="78"/>
  <c r="BZ57" i="78"/>
  <c r="BV57" i="78"/>
  <c r="BR57" i="78"/>
  <c r="BN57" i="78"/>
  <c r="BJ57" i="78"/>
  <c r="BF57" i="78"/>
  <c r="BB57" i="78"/>
  <c r="AX57" i="78"/>
  <c r="AT57" i="78"/>
  <c r="AP57" i="78"/>
  <c r="AL57" i="78"/>
  <c r="AH57" i="78" s="1"/>
  <c r="AG57" i="78" s="1"/>
  <c r="AF57" i="78"/>
  <c r="AD57" i="78"/>
  <c r="J57" i="78"/>
  <c r="I57" i="78"/>
  <c r="G57" i="78"/>
  <c r="D57" i="78"/>
  <c r="C57" i="78"/>
  <c r="CD56" i="78"/>
  <c r="BZ56" i="78"/>
  <c r="BV56" i="78"/>
  <c r="BV50" i="78" s="1"/>
  <c r="BR56" i="78"/>
  <c r="BR50" i="78" s="1"/>
  <c r="BN56" i="78"/>
  <c r="BN50" i="78" s="1"/>
  <c r="BJ56" i="78"/>
  <c r="BF56" i="78"/>
  <c r="BB56" i="78"/>
  <c r="AX56" i="78"/>
  <c r="AT56" i="78"/>
  <c r="AP56" i="78"/>
  <c r="AL56" i="78"/>
  <c r="AF56" i="78"/>
  <c r="AD56" i="78"/>
  <c r="J56" i="78"/>
  <c r="I56" i="78"/>
  <c r="G56" i="78"/>
  <c r="D56" i="78"/>
  <c r="CD55" i="78"/>
  <c r="BZ55" i="78"/>
  <c r="BV55" i="78"/>
  <c r="BR55" i="78"/>
  <c r="BN55" i="78"/>
  <c r="BJ55" i="78"/>
  <c r="BF55" i="78"/>
  <c r="BB55" i="78"/>
  <c r="AX55" i="78"/>
  <c r="AT55" i="78"/>
  <c r="AP55" i="78"/>
  <c r="AP50" i="78" s="1"/>
  <c r="AL55" i="78"/>
  <c r="AH55" i="78"/>
  <c r="AF55" i="78"/>
  <c r="AG55" i="78" s="1"/>
  <c r="AD55" i="78"/>
  <c r="J55" i="78"/>
  <c r="I55" i="78"/>
  <c r="G55" i="78"/>
  <c r="D55" i="78"/>
  <c r="C55" i="78"/>
  <c r="CD54" i="78"/>
  <c r="BZ54" i="78"/>
  <c r="BV54" i="78"/>
  <c r="BR54" i="78"/>
  <c r="BN54" i="78"/>
  <c r="BJ54" i="78"/>
  <c r="BF54" i="78"/>
  <c r="BB54" i="78"/>
  <c r="AX54" i="78"/>
  <c r="AT54" i="78"/>
  <c r="AP54" i="78"/>
  <c r="AH54" i="78" s="1"/>
  <c r="AG54" i="78" s="1"/>
  <c r="AL54" i="78"/>
  <c r="AF54" i="78"/>
  <c r="AD54" i="78"/>
  <c r="J54" i="78"/>
  <c r="G54" i="78"/>
  <c r="D54" i="78"/>
  <c r="C54" i="78"/>
  <c r="CD53" i="78"/>
  <c r="BZ53" i="78"/>
  <c r="BV53" i="78"/>
  <c r="BR53" i="78"/>
  <c r="BN53" i="78"/>
  <c r="BJ53" i="78"/>
  <c r="BF53" i="78"/>
  <c r="BB53" i="78"/>
  <c r="AX53" i="78"/>
  <c r="AT53" i="78"/>
  <c r="AP53" i="78"/>
  <c r="AL53" i="78"/>
  <c r="AH53" i="78" s="1"/>
  <c r="AG53" i="78" s="1"/>
  <c r="AF53" i="78"/>
  <c r="AD53" i="78"/>
  <c r="J53" i="78"/>
  <c r="G53" i="78"/>
  <c r="D53" i="78"/>
  <c r="C53" i="78"/>
  <c r="CD52" i="78"/>
  <c r="BZ52" i="78"/>
  <c r="BV52" i="78"/>
  <c r="BR52" i="78"/>
  <c r="BN52" i="78"/>
  <c r="BJ52" i="78"/>
  <c r="BF52" i="78"/>
  <c r="BB52" i="78"/>
  <c r="AX52" i="78"/>
  <c r="AT52" i="78"/>
  <c r="AP52" i="78"/>
  <c r="AL52" i="78"/>
  <c r="AF52" i="78"/>
  <c r="AD52" i="78"/>
  <c r="J52" i="78"/>
  <c r="G52" i="78"/>
  <c r="D52" i="78"/>
  <c r="C52" i="78"/>
  <c r="CD51" i="78"/>
  <c r="BZ51" i="78"/>
  <c r="BV51" i="78"/>
  <c r="BR51" i="78"/>
  <c r="BN51" i="78"/>
  <c r="BJ51" i="78"/>
  <c r="BF51" i="78"/>
  <c r="BB51" i="78"/>
  <c r="AX51" i="78"/>
  <c r="AT51" i="78"/>
  <c r="AP51" i="78"/>
  <c r="AL51" i="78"/>
  <c r="AL50" i="78" s="1"/>
  <c r="AH51" i="78"/>
  <c r="AG51" i="78" s="1"/>
  <c r="AF51" i="78"/>
  <c r="AD51" i="78"/>
  <c r="J51" i="78"/>
  <c r="G51" i="78"/>
  <c r="D51" i="78"/>
  <c r="BJ50" i="78"/>
  <c r="AD50" i="78"/>
  <c r="M50" i="78"/>
  <c r="D50" i="78"/>
  <c r="CD49" i="78"/>
  <c r="BZ49" i="78"/>
  <c r="BV49" i="78"/>
  <c r="BR49" i="78"/>
  <c r="BN49" i="78"/>
  <c r="BJ49" i="78"/>
  <c r="BF49" i="78"/>
  <c r="BB49" i="78"/>
  <c r="AX49" i="78"/>
  <c r="AT49" i="78"/>
  <c r="AP49" i="78"/>
  <c r="AL49" i="78"/>
  <c r="AF49" i="78"/>
  <c r="AD49" i="78"/>
  <c r="J49" i="78"/>
  <c r="K49" i="78" s="1"/>
  <c r="G49" i="78"/>
  <c r="D49" i="78"/>
  <c r="C49" i="78"/>
  <c r="CD48" i="78"/>
  <c r="BZ48" i="78"/>
  <c r="BV48" i="78"/>
  <c r="BR48" i="78"/>
  <c r="BN48" i="78"/>
  <c r="BJ48" i="78"/>
  <c r="BF48" i="78"/>
  <c r="BB48" i="78"/>
  <c r="AX48" i="78"/>
  <c r="AT48" i="78"/>
  <c r="AP48" i="78"/>
  <c r="AL48" i="78"/>
  <c r="AF48" i="78"/>
  <c r="AD48" i="78"/>
  <c r="J48" i="78"/>
  <c r="K48" i="78" s="1"/>
  <c r="G48" i="78"/>
  <c r="D48" i="78"/>
  <c r="CD47" i="78"/>
  <c r="BZ47" i="78"/>
  <c r="BV47" i="78"/>
  <c r="BR47" i="78"/>
  <c r="BN47" i="78"/>
  <c r="BJ47" i="78"/>
  <c r="BF47" i="78"/>
  <c r="BB47" i="78"/>
  <c r="AX47" i="78"/>
  <c r="AT47" i="78"/>
  <c r="AP47" i="78"/>
  <c r="AL47" i="78"/>
  <c r="AH47" i="78"/>
  <c r="AF47" i="78"/>
  <c r="AG47" i="78" s="1"/>
  <c r="AD47" i="78"/>
  <c r="J47" i="78"/>
  <c r="K47" i="78" s="1"/>
  <c r="G47" i="78"/>
  <c r="D47" i="78"/>
  <c r="C47" i="78"/>
  <c r="CD46" i="78"/>
  <c r="BZ46" i="78"/>
  <c r="BV46" i="78"/>
  <c r="BR46" i="78"/>
  <c r="BN46" i="78"/>
  <c r="BJ46" i="78"/>
  <c r="BF46" i="78"/>
  <c r="BB46" i="78"/>
  <c r="AX46" i="78"/>
  <c r="AT46" i="78"/>
  <c r="AP46" i="78"/>
  <c r="AL46" i="78"/>
  <c r="AH46" i="78" s="1"/>
  <c r="AG46" i="78" s="1"/>
  <c r="AF46" i="78"/>
  <c r="AD46" i="78"/>
  <c r="J46" i="78"/>
  <c r="K46" i="78" s="1"/>
  <c r="G46" i="78"/>
  <c r="D46" i="78"/>
  <c r="C46" i="78"/>
  <c r="CD45" i="78"/>
  <c r="BZ45" i="78"/>
  <c r="BV45" i="78"/>
  <c r="BR45" i="78"/>
  <c r="BN45" i="78"/>
  <c r="BJ45" i="78"/>
  <c r="BF45" i="78"/>
  <c r="BB45" i="78"/>
  <c r="AX45" i="78"/>
  <c r="AT45" i="78"/>
  <c r="AP45" i="78"/>
  <c r="AL45" i="78"/>
  <c r="AH45" i="78" s="1"/>
  <c r="AG45" i="78" s="1"/>
  <c r="AF45" i="78"/>
  <c r="AD45" i="78"/>
  <c r="J45" i="78"/>
  <c r="K45" i="78" s="1"/>
  <c r="G45" i="78"/>
  <c r="D45" i="78"/>
  <c r="CD44" i="78"/>
  <c r="BZ44" i="78"/>
  <c r="BV44" i="78"/>
  <c r="BR44" i="78"/>
  <c r="BN44" i="78"/>
  <c r="BJ44" i="78"/>
  <c r="BF44" i="78"/>
  <c r="BB44" i="78"/>
  <c r="AX44" i="78"/>
  <c r="AT44" i="78"/>
  <c r="AH44" i="78" s="1"/>
  <c r="AG44" i="78" s="1"/>
  <c r="AP44" i="78"/>
  <c r="AL44" i="78"/>
  <c r="AF44" i="78"/>
  <c r="AD44" i="78"/>
  <c r="J44" i="78"/>
  <c r="K44" i="78" s="1"/>
  <c r="G44" i="78"/>
  <c r="D44" i="78"/>
  <c r="C44" i="78"/>
  <c r="CD43" i="78"/>
  <c r="BZ43" i="78"/>
  <c r="BV43" i="78"/>
  <c r="BR43" i="78"/>
  <c r="BN43" i="78"/>
  <c r="BJ43" i="78"/>
  <c r="BF43" i="78"/>
  <c r="BB43" i="78"/>
  <c r="AX43" i="78"/>
  <c r="AT43" i="78"/>
  <c r="AP43" i="78"/>
  <c r="AL43" i="78"/>
  <c r="AF43" i="78"/>
  <c r="AD43" i="78"/>
  <c r="J43" i="78"/>
  <c r="K43" i="78" s="1"/>
  <c r="G43" i="78"/>
  <c r="D43" i="78"/>
  <c r="C43" i="78"/>
  <c r="CD42" i="78"/>
  <c r="BZ42" i="78"/>
  <c r="BV42" i="78"/>
  <c r="BR42" i="78"/>
  <c r="BN42" i="78"/>
  <c r="BJ42" i="78"/>
  <c r="BF42" i="78"/>
  <c r="BB42" i="78"/>
  <c r="AX42" i="78"/>
  <c r="AT42" i="78"/>
  <c r="AP42" i="78"/>
  <c r="AL42" i="78"/>
  <c r="AH42" i="78"/>
  <c r="AG42" i="78"/>
  <c r="AF42" i="78"/>
  <c r="AD42" i="78"/>
  <c r="J42" i="78"/>
  <c r="K42" i="78" s="1"/>
  <c r="G42" i="78"/>
  <c r="D42" i="78"/>
  <c r="CD41" i="78"/>
  <c r="BZ41" i="78"/>
  <c r="BV41" i="78"/>
  <c r="BR41" i="78"/>
  <c r="BN41" i="78"/>
  <c r="BJ41" i="78"/>
  <c r="BF41" i="78"/>
  <c r="BF37" i="78" s="1"/>
  <c r="BB41" i="78"/>
  <c r="BB37" i="78" s="1"/>
  <c r="AX41" i="78"/>
  <c r="AX37" i="78" s="1"/>
  <c r="AT41" i="78"/>
  <c r="AT37" i="78" s="1"/>
  <c r="AP41" i="78"/>
  <c r="AL41" i="78"/>
  <c r="AF41" i="78"/>
  <c r="AD41" i="78"/>
  <c r="G41" i="78"/>
  <c r="D41" i="78"/>
  <c r="C41" i="78"/>
  <c r="CD40" i="78"/>
  <c r="CD37" i="78" s="1"/>
  <c r="BZ40" i="78"/>
  <c r="BV40" i="78"/>
  <c r="BR40" i="78"/>
  <c r="BN40" i="78"/>
  <c r="BJ40" i="78"/>
  <c r="BF40" i="78"/>
  <c r="BB40" i="78"/>
  <c r="AX40" i="78"/>
  <c r="AT40" i="78"/>
  <c r="AP40" i="78"/>
  <c r="AL40" i="78"/>
  <c r="AF40" i="78"/>
  <c r="AD40" i="78"/>
  <c r="G40" i="78"/>
  <c r="D40" i="78"/>
  <c r="CD39" i="78"/>
  <c r="BZ39" i="78"/>
  <c r="BV39" i="78"/>
  <c r="BR39" i="78"/>
  <c r="BN39" i="78"/>
  <c r="BJ39" i="78"/>
  <c r="BF39" i="78"/>
  <c r="BB39" i="78"/>
  <c r="AX39" i="78"/>
  <c r="AT39" i="78"/>
  <c r="AP39" i="78"/>
  <c r="AL39" i="78"/>
  <c r="AH39" i="78"/>
  <c r="AF39" i="78"/>
  <c r="AG39" i="78" s="1"/>
  <c r="AD39" i="78"/>
  <c r="G39" i="78"/>
  <c r="D39" i="78"/>
  <c r="C39" i="78"/>
  <c r="CD38" i="78"/>
  <c r="BZ38" i="78"/>
  <c r="BZ37" i="78" s="1"/>
  <c r="BV38" i="78"/>
  <c r="BR38" i="78"/>
  <c r="BN38" i="78"/>
  <c r="BJ38" i="78"/>
  <c r="BF38" i="78"/>
  <c r="BB38" i="78"/>
  <c r="AX38" i="78"/>
  <c r="AT38" i="78"/>
  <c r="AP38" i="78"/>
  <c r="AL38" i="78"/>
  <c r="AH38" i="78" s="1"/>
  <c r="AF38" i="78"/>
  <c r="AD38" i="78"/>
  <c r="G38" i="78"/>
  <c r="D38" i="78"/>
  <c r="C38" i="78"/>
  <c r="AD37" i="78"/>
  <c r="D37" i="78"/>
  <c r="C37" i="78"/>
  <c r="CD36" i="78"/>
  <c r="BZ36" i="78"/>
  <c r="BV36" i="78"/>
  <c r="AH36" i="78" s="1"/>
  <c r="AG36" i="78" s="1"/>
  <c r="BR36" i="78"/>
  <c r="BN36" i="78"/>
  <c r="BJ36" i="78"/>
  <c r="BF36" i="78"/>
  <c r="BB36" i="78"/>
  <c r="AX36" i="78"/>
  <c r="AT36" i="78"/>
  <c r="AP36" i="78"/>
  <c r="AL36" i="78"/>
  <c r="AF36" i="78"/>
  <c r="AD36" i="78"/>
  <c r="J36" i="78"/>
  <c r="K36" i="78" s="1"/>
  <c r="G36" i="78"/>
  <c r="D36" i="78"/>
  <c r="CD35" i="78"/>
  <c r="BZ35" i="78"/>
  <c r="BV35" i="78"/>
  <c r="BR35" i="78"/>
  <c r="BN35" i="78"/>
  <c r="BJ35" i="78"/>
  <c r="BF35" i="78"/>
  <c r="BB35" i="78"/>
  <c r="AX35" i="78"/>
  <c r="AT35" i="78"/>
  <c r="AP35" i="78"/>
  <c r="AL35" i="78"/>
  <c r="AH35" i="78" s="1"/>
  <c r="AG35" i="78" s="1"/>
  <c r="AF35" i="78"/>
  <c r="AD35" i="78"/>
  <c r="J35" i="78"/>
  <c r="K35" i="78" s="1"/>
  <c r="G35" i="78"/>
  <c r="D35" i="78"/>
  <c r="C35" i="78"/>
  <c r="CD34" i="78"/>
  <c r="BZ34" i="78"/>
  <c r="BV34" i="78"/>
  <c r="BR34" i="78"/>
  <c r="BN34" i="78"/>
  <c r="BJ34" i="78"/>
  <c r="BF34" i="78"/>
  <c r="BB34" i="78"/>
  <c r="AX34" i="78"/>
  <c r="AT34" i="78"/>
  <c r="AP34" i="78"/>
  <c r="AL34" i="78"/>
  <c r="AF34" i="78"/>
  <c r="AD34" i="78"/>
  <c r="J34" i="78"/>
  <c r="K34" i="78" s="1"/>
  <c r="G34" i="78"/>
  <c r="D34" i="78"/>
  <c r="C34" i="78"/>
  <c r="CD33" i="78"/>
  <c r="BZ33" i="78"/>
  <c r="BV33" i="78"/>
  <c r="BR33" i="78"/>
  <c r="BN33" i="78"/>
  <c r="BJ33" i="78"/>
  <c r="BF33" i="78"/>
  <c r="BB33" i="78"/>
  <c r="AX33" i="78"/>
  <c r="AT33" i="78"/>
  <c r="AP33" i="78"/>
  <c r="AL33" i="78"/>
  <c r="AH33" i="78"/>
  <c r="AF33" i="78"/>
  <c r="AG33" i="78" s="1"/>
  <c r="AD33" i="78"/>
  <c r="J33" i="78"/>
  <c r="K33" i="78" s="1"/>
  <c r="G33" i="78"/>
  <c r="D33" i="78"/>
  <c r="CD32" i="78"/>
  <c r="BZ32" i="78"/>
  <c r="BV32" i="78"/>
  <c r="BR32" i="78"/>
  <c r="BN32" i="78"/>
  <c r="BJ32" i="78"/>
  <c r="BF32" i="78"/>
  <c r="BB32" i="78"/>
  <c r="AX32" i="78"/>
  <c r="AT32" i="78"/>
  <c r="AP32" i="78"/>
  <c r="AH32" i="78" s="1"/>
  <c r="AG32" i="78" s="1"/>
  <c r="AL32" i="78"/>
  <c r="AF32" i="78"/>
  <c r="AD32" i="78"/>
  <c r="J32" i="78"/>
  <c r="K32" i="78" s="1"/>
  <c r="G32" i="78"/>
  <c r="D32" i="78"/>
  <c r="C32" i="78"/>
  <c r="CD31" i="78"/>
  <c r="BZ31" i="78"/>
  <c r="BV31" i="78"/>
  <c r="BR31" i="78"/>
  <c r="BN31" i="78"/>
  <c r="AH31" i="78" s="1"/>
  <c r="AG31" i="78" s="1"/>
  <c r="BJ31" i="78"/>
  <c r="BF31" i="78"/>
  <c r="BB31" i="78"/>
  <c r="AX31" i="78"/>
  <c r="AT31" i="78"/>
  <c r="AP31" i="78"/>
  <c r="AL31" i="78"/>
  <c r="AF31" i="78"/>
  <c r="AD31" i="78"/>
  <c r="J31" i="78"/>
  <c r="K31" i="78" s="1"/>
  <c r="G31" i="78"/>
  <c r="D31" i="78"/>
  <c r="CD30" i="78"/>
  <c r="BZ30" i="78"/>
  <c r="BV30" i="78"/>
  <c r="BR30" i="78"/>
  <c r="BN30" i="78"/>
  <c r="BJ30" i="78"/>
  <c r="BF30" i="78"/>
  <c r="BB30" i="78"/>
  <c r="AX30" i="78"/>
  <c r="AT30" i="78"/>
  <c r="AH30" i="78" s="1"/>
  <c r="AG30" i="78" s="1"/>
  <c r="AP30" i="78"/>
  <c r="AL30" i="78"/>
  <c r="AF30" i="78"/>
  <c r="AD30" i="78"/>
  <c r="J30" i="78"/>
  <c r="K30" i="78" s="1"/>
  <c r="G30" i="78"/>
  <c r="D30" i="78"/>
  <c r="C30" i="78"/>
  <c r="CD29" i="78"/>
  <c r="BZ29" i="78"/>
  <c r="BV29" i="78"/>
  <c r="BR29" i="78"/>
  <c r="BN29" i="78"/>
  <c r="BJ29" i="78"/>
  <c r="BF29" i="78"/>
  <c r="BB29" i="78"/>
  <c r="AX29" i="78"/>
  <c r="AT29" i="78"/>
  <c r="AP29" i="78"/>
  <c r="AL29" i="78"/>
  <c r="AH29" i="78" s="1"/>
  <c r="AG29" i="78" s="1"/>
  <c r="AF29" i="78"/>
  <c r="AD29" i="78"/>
  <c r="J29" i="78"/>
  <c r="K29" i="78" s="1"/>
  <c r="G29" i="78"/>
  <c r="D29" i="78"/>
  <c r="C29" i="78"/>
  <c r="CD28" i="78"/>
  <c r="BZ28" i="78"/>
  <c r="BV28" i="78"/>
  <c r="BR28" i="78"/>
  <c r="BN28" i="78"/>
  <c r="BJ28" i="78"/>
  <c r="BF28" i="78"/>
  <c r="BB28" i="78"/>
  <c r="AX28" i="78"/>
  <c r="AT28" i="78"/>
  <c r="AP28" i="78"/>
  <c r="AL28" i="78"/>
  <c r="AH28" i="78"/>
  <c r="AG28" i="78"/>
  <c r="AF28" i="78"/>
  <c r="AD28" i="78"/>
  <c r="J28" i="78"/>
  <c r="K28" i="78" s="1"/>
  <c r="G28" i="78"/>
  <c r="D28" i="78"/>
  <c r="CD27" i="78"/>
  <c r="BZ27" i="78"/>
  <c r="BV27" i="78"/>
  <c r="BR27" i="78"/>
  <c r="BN27" i="78"/>
  <c r="BJ27" i="78"/>
  <c r="BF27" i="78"/>
  <c r="BB27" i="78"/>
  <c r="AX27" i="78"/>
  <c r="AT27" i="78"/>
  <c r="AH27" i="78" s="1"/>
  <c r="AG27" i="78" s="1"/>
  <c r="AP27" i="78"/>
  <c r="AL27" i="78"/>
  <c r="AF27" i="78"/>
  <c r="AD27" i="78"/>
  <c r="J27" i="78"/>
  <c r="K27" i="78" s="1"/>
  <c r="G27" i="78"/>
  <c r="D27" i="78"/>
  <c r="C27" i="78"/>
  <c r="CD26" i="78"/>
  <c r="BZ26" i="78"/>
  <c r="BZ24" i="78" s="1"/>
  <c r="BV26" i="78"/>
  <c r="BV24" i="78" s="1"/>
  <c r="BR26" i="78"/>
  <c r="BR24" i="78" s="1"/>
  <c r="BN26" i="78"/>
  <c r="BN24" i="78" s="1"/>
  <c r="BJ26" i="78"/>
  <c r="BJ24" i="78" s="1"/>
  <c r="BF26" i="78"/>
  <c r="AH26" i="78" s="1"/>
  <c r="AG26" i="78" s="1"/>
  <c r="BB26" i="78"/>
  <c r="AX26" i="78"/>
  <c r="AT26" i="78"/>
  <c r="AP26" i="78"/>
  <c r="AL26" i="78"/>
  <c r="AF26" i="78"/>
  <c r="AD26" i="78"/>
  <c r="J26" i="78"/>
  <c r="K26" i="78" s="1"/>
  <c r="G26" i="78"/>
  <c r="D26" i="78"/>
  <c r="C26" i="78"/>
  <c r="CD25" i="78"/>
  <c r="CD24" i="78" s="1"/>
  <c r="BZ25" i="78"/>
  <c r="BV25" i="78"/>
  <c r="BR25" i="78"/>
  <c r="BN25" i="78"/>
  <c r="BJ25" i="78"/>
  <c r="BF25" i="78"/>
  <c r="BB25" i="78"/>
  <c r="AX25" i="78"/>
  <c r="AT25" i="78"/>
  <c r="AP25" i="78"/>
  <c r="AL25" i="78"/>
  <c r="AF25" i="78"/>
  <c r="AD25" i="78"/>
  <c r="J25" i="78"/>
  <c r="I25" i="78"/>
  <c r="G25" i="78"/>
  <c r="D25" i="78"/>
  <c r="C25" i="78"/>
  <c r="AL24" i="78"/>
  <c r="AD24" i="78"/>
  <c r="D24" i="78"/>
  <c r="C24" i="78"/>
  <c r="CD23" i="78"/>
  <c r="BZ23" i="78"/>
  <c r="BV23" i="78"/>
  <c r="BR23" i="78"/>
  <c r="BN23" i="78"/>
  <c r="BJ23" i="78"/>
  <c r="BF23" i="78"/>
  <c r="BB23" i="78"/>
  <c r="AX23" i="78"/>
  <c r="AT23" i="78"/>
  <c r="AH23" i="78" s="1"/>
  <c r="AG23" i="78" s="1"/>
  <c r="AP23" i="78"/>
  <c r="AL23" i="78"/>
  <c r="AF23" i="78"/>
  <c r="AD23" i="78"/>
  <c r="O23" i="78"/>
  <c r="J23" i="78"/>
  <c r="K23" i="78" s="1"/>
  <c r="G23" i="78"/>
  <c r="D23" i="78"/>
  <c r="C23" i="78"/>
  <c r="CD22" i="78"/>
  <c r="BZ22" i="78"/>
  <c r="BV22" i="78"/>
  <c r="AH22" i="78" s="1"/>
  <c r="AG22" i="78" s="1"/>
  <c r="BR22" i="78"/>
  <c r="BN22" i="78"/>
  <c r="BJ22" i="78"/>
  <c r="BF22" i="78"/>
  <c r="BB22" i="78"/>
  <c r="AX22" i="78"/>
  <c r="AT22" i="78"/>
  <c r="AP22" i="78"/>
  <c r="AL22" i="78"/>
  <c r="AF22" i="78"/>
  <c r="AD22" i="78"/>
  <c r="O22" i="78"/>
  <c r="J22" i="78"/>
  <c r="K22" i="78" s="1"/>
  <c r="G22" i="78"/>
  <c r="D22" i="78"/>
  <c r="CD21" i="78"/>
  <c r="BZ21" i="78"/>
  <c r="BV21" i="78"/>
  <c r="BR21" i="78"/>
  <c r="BN21" i="78"/>
  <c r="BJ21" i="78"/>
  <c r="BF21" i="78"/>
  <c r="BB21" i="78"/>
  <c r="AX21" i="78"/>
  <c r="AT21" i="78"/>
  <c r="AP21" i="78"/>
  <c r="AL21" i="78"/>
  <c r="AH21" i="78" s="1"/>
  <c r="AG21" i="78" s="1"/>
  <c r="AF21" i="78"/>
  <c r="AD21" i="78"/>
  <c r="O21" i="78"/>
  <c r="J21" i="78"/>
  <c r="K21" i="78" s="1"/>
  <c r="G21" i="78"/>
  <c r="D21" i="78"/>
  <c r="C21" i="78"/>
  <c r="CD20" i="78"/>
  <c r="BZ20" i="78"/>
  <c r="BV20" i="78"/>
  <c r="BR20" i="78"/>
  <c r="BN20" i="78"/>
  <c r="BJ20" i="78"/>
  <c r="BF20" i="78"/>
  <c r="BB20" i="78"/>
  <c r="AX20" i="78"/>
  <c r="AT20" i="78"/>
  <c r="AP20" i="78"/>
  <c r="AL20" i="78"/>
  <c r="AF20" i="78"/>
  <c r="AD20" i="78"/>
  <c r="O20" i="78"/>
  <c r="J20" i="78"/>
  <c r="K20" i="78" s="1"/>
  <c r="G20" i="78"/>
  <c r="D20" i="78"/>
  <c r="CD19" i="78"/>
  <c r="BZ19" i="78"/>
  <c r="BV19" i="78"/>
  <c r="BR19" i="78"/>
  <c r="BN19" i="78"/>
  <c r="BJ19" i="78"/>
  <c r="BF19" i="78"/>
  <c r="BB19" i="78"/>
  <c r="AX19" i="78"/>
  <c r="AT19" i="78"/>
  <c r="AP19" i="78"/>
  <c r="AH19" i="78" s="1"/>
  <c r="AG19" i="78" s="1"/>
  <c r="AL19" i="78"/>
  <c r="AF19" i="78"/>
  <c r="AD19" i="78"/>
  <c r="O19" i="78"/>
  <c r="J19" i="78"/>
  <c r="K19" i="78" s="1"/>
  <c r="G19" i="78"/>
  <c r="D19" i="78"/>
  <c r="C19" i="78"/>
  <c r="CD18" i="78"/>
  <c r="BZ18" i="78"/>
  <c r="BV18" i="78"/>
  <c r="BR18" i="78"/>
  <c r="BN18" i="78"/>
  <c r="BJ18" i="78"/>
  <c r="BF18" i="78"/>
  <c r="BB18" i="78"/>
  <c r="AX18" i="78"/>
  <c r="AT18" i="78"/>
  <c r="AP18" i="78"/>
  <c r="AL18" i="78"/>
  <c r="AF18" i="78"/>
  <c r="AD18" i="78"/>
  <c r="O18" i="78"/>
  <c r="J18" i="78"/>
  <c r="K18" i="78" s="1"/>
  <c r="G18" i="78"/>
  <c r="D18" i="78"/>
  <c r="C18" i="78"/>
  <c r="CD17" i="78"/>
  <c r="BZ17" i="78"/>
  <c r="BV17" i="78"/>
  <c r="BR17" i="78"/>
  <c r="BN17" i="78"/>
  <c r="BJ17" i="78"/>
  <c r="BF17" i="78"/>
  <c r="BB17" i="78"/>
  <c r="AX17" i="78"/>
  <c r="AT17" i="78"/>
  <c r="AT11" i="78" s="1"/>
  <c r="AP17" i="78"/>
  <c r="AL17" i="78"/>
  <c r="AH17" i="78"/>
  <c r="AG17" i="78"/>
  <c r="AF17" i="78"/>
  <c r="AD17" i="78"/>
  <c r="O17" i="78"/>
  <c r="J17" i="78"/>
  <c r="K17" i="78" s="1"/>
  <c r="G17" i="78"/>
  <c r="D17" i="78"/>
  <c r="C17" i="78"/>
  <c r="CD16" i="78"/>
  <c r="BZ16" i="78"/>
  <c r="BV16" i="78"/>
  <c r="BR16" i="78"/>
  <c r="BN16" i="78"/>
  <c r="BJ16" i="78"/>
  <c r="BF16" i="78"/>
  <c r="BB16" i="78"/>
  <c r="AX16" i="78"/>
  <c r="AT16" i="78"/>
  <c r="AP16" i="78"/>
  <c r="AL16" i="78"/>
  <c r="AF16" i="78"/>
  <c r="AD16" i="78"/>
  <c r="O16" i="78"/>
  <c r="J16" i="78"/>
  <c r="K16" i="78" s="1"/>
  <c r="G16" i="78"/>
  <c r="D16" i="78"/>
  <c r="C16" i="78"/>
  <c r="CD15" i="78"/>
  <c r="BZ15" i="78"/>
  <c r="BZ11" i="78" s="1"/>
  <c r="BV15" i="78"/>
  <c r="BR15" i="78"/>
  <c r="BN15" i="78"/>
  <c r="BJ15" i="78"/>
  <c r="BF15" i="78"/>
  <c r="BB15" i="78"/>
  <c r="AX15" i="78"/>
  <c r="AT15" i="78"/>
  <c r="AP15" i="78"/>
  <c r="AL15" i="78"/>
  <c r="AF15" i="78"/>
  <c r="AD15" i="78"/>
  <c r="O15" i="78"/>
  <c r="J15" i="78"/>
  <c r="K15" i="78" s="1"/>
  <c r="G15" i="78"/>
  <c r="D15" i="78"/>
  <c r="CD14" i="78"/>
  <c r="BZ14" i="78"/>
  <c r="BV14" i="78"/>
  <c r="BR14" i="78"/>
  <c r="BN14" i="78"/>
  <c r="BJ14" i="78"/>
  <c r="BF14" i="78"/>
  <c r="BB14" i="78"/>
  <c r="AX14" i="78"/>
  <c r="AT14" i="78"/>
  <c r="AP14" i="78"/>
  <c r="AH14" i="78" s="1"/>
  <c r="AG14" i="78" s="1"/>
  <c r="AL14" i="78"/>
  <c r="AF14" i="78"/>
  <c r="AD14" i="78"/>
  <c r="O14" i="78"/>
  <c r="J14" i="78"/>
  <c r="K14" i="78" s="1"/>
  <c r="G14" i="78"/>
  <c r="D14" i="78"/>
  <c r="C14" i="78"/>
  <c r="CD13" i="78"/>
  <c r="BZ13" i="78"/>
  <c r="BV13" i="78"/>
  <c r="BV11" i="78" s="1"/>
  <c r="BR13" i="78"/>
  <c r="AH13" i="78" s="1"/>
  <c r="AG13" i="78" s="1"/>
  <c r="BN13" i="78"/>
  <c r="BJ13" i="78"/>
  <c r="BF13" i="78"/>
  <c r="BB13" i="78"/>
  <c r="AX13" i="78"/>
  <c r="AT13" i="78"/>
  <c r="AP13" i="78"/>
  <c r="AL13" i="78"/>
  <c r="AF13" i="78"/>
  <c r="AD13" i="78"/>
  <c r="O13" i="78"/>
  <c r="J13" i="78"/>
  <c r="K13" i="78" s="1"/>
  <c r="G13" i="78"/>
  <c r="D13" i="78"/>
  <c r="CD12" i="78"/>
  <c r="BZ12" i="78"/>
  <c r="BV12" i="78"/>
  <c r="BR12" i="78"/>
  <c r="BR11" i="78" s="1"/>
  <c r="BN12" i="78"/>
  <c r="BN11" i="78" s="1"/>
  <c r="BJ12" i="78"/>
  <c r="BJ11" i="78" s="1"/>
  <c r="BF12" i="78"/>
  <c r="BB12" i="78"/>
  <c r="BB11" i="78" s="1"/>
  <c r="AX12" i="78"/>
  <c r="AX11" i="78" s="1"/>
  <c r="AT12" i="78"/>
  <c r="AP12" i="78"/>
  <c r="AH12" i="78" s="1"/>
  <c r="AL12" i="78"/>
  <c r="AF12" i="78"/>
  <c r="AD12" i="78"/>
  <c r="O12" i="78"/>
  <c r="J12" i="78"/>
  <c r="K12" i="78" s="1"/>
  <c r="G12" i="78"/>
  <c r="D12" i="78"/>
  <c r="C12" i="78"/>
  <c r="CD11" i="78"/>
  <c r="AP11" i="78"/>
  <c r="AD11" i="78"/>
  <c r="D11" i="78"/>
  <c r="C11" i="78"/>
  <c r="AF6" i="78"/>
  <c r="J3" i="78"/>
  <c r="A3" i="78"/>
  <c r="C56" i="78" s="1"/>
  <c r="D66" i="4"/>
  <c r="B66" i="4"/>
  <c r="D65" i="4"/>
  <c r="B65" i="4"/>
  <c r="O46" i="77"/>
  <c r="M52" i="77"/>
  <c r="M51" i="77"/>
  <c r="CD62" i="77"/>
  <c r="BZ62" i="77"/>
  <c r="BV62" i="77"/>
  <c r="BR62" i="77"/>
  <c r="BN62" i="77"/>
  <c r="BJ62" i="77"/>
  <c r="BF62" i="77"/>
  <c r="BB62" i="77"/>
  <c r="AX62" i="77"/>
  <c r="AT62" i="77"/>
  <c r="AP62" i="77"/>
  <c r="AL62" i="77"/>
  <c r="AH62" i="77"/>
  <c r="AF62" i="77"/>
  <c r="AG62" i="77" s="1"/>
  <c r="AD62" i="77"/>
  <c r="J62" i="77"/>
  <c r="I62" i="77"/>
  <c r="G62" i="77"/>
  <c r="D62" i="77"/>
  <c r="C62" i="77"/>
  <c r="CD61" i="77"/>
  <c r="BZ61" i="77"/>
  <c r="BV61" i="77"/>
  <c r="BR61" i="77"/>
  <c r="BN61" i="77"/>
  <c r="BJ61" i="77"/>
  <c r="BF61" i="77"/>
  <c r="BB61" i="77"/>
  <c r="AX61" i="77"/>
  <c r="AT61" i="77"/>
  <c r="AP61" i="77"/>
  <c r="AL61" i="77"/>
  <c r="AH61" i="77" s="1"/>
  <c r="AG61" i="77" s="1"/>
  <c r="AF61" i="77"/>
  <c r="AD61" i="77"/>
  <c r="J61" i="77"/>
  <c r="I61" i="77"/>
  <c r="G61" i="77"/>
  <c r="D61" i="77"/>
  <c r="C61" i="77"/>
  <c r="CD60" i="77"/>
  <c r="AH60" i="77" s="1"/>
  <c r="AG60" i="77" s="1"/>
  <c r="BZ60" i="77"/>
  <c r="BV60" i="77"/>
  <c r="BR60" i="77"/>
  <c r="BN60" i="77"/>
  <c r="BJ60" i="77"/>
  <c r="BF60" i="77"/>
  <c r="BB60" i="77"/>
  <c r="AX60" i="77"/>
  <c r="AT60" i="77"/>
  <c r="AP60" i="77"/>
  <c r="AL60" i="77"/>
  <c r="AF60" i="77"/>
  <c r="AD60" i="77"/>
  <c r="J60" i="77"/>
  <c r="I60" i="77"/>
  <c r="G60" i="77"/>
  <c r="D60" i="77"/>
  <c r="CD59" i="77"/>
  <c r="BZ59" i="77"/>
  <c r="BV59" i="77"/>
  <c r="BR59" i="77"/>
  <c r="BN59" i="77"/>
  <c r="BJ59" i="77"/>
  <c r="BF59" i="77"/>
  <c r="BB59" i="77"/>
  <c r="AX59" i="77"/>
  <c r="AT59" i="77"/>
  <c r="AP59" i="77"/>
  <c r="AH59" i="77" s="1"/>
  <c r="AG59" i="77" s="1"/>
  <c r="AL59" i="77"/>
  <c r="AF59" i="77"/>
  <c r="AD59" i="77"/>
  <c r="J59" i="77"/>
  <c r="I59" i="77"/>
  <c r="G59" i="77"/>
  <c r="D59" i="77"/>
  <c r="C59" i="77"/>
  <c r="CD58" i="77"/>
  <c r="BZ58" i="77"/>
  <c r="BV58" i="77"/>
  <c r="BR58" i="77"/>
  <c r="BN58" i="77"/>
  <c r="BJ58" i="77"/>
  <c r="BF58" i="77"/>
  <c r="BB58" i="77"/>
  <c r="AX58" i="77"/>
  <c r="AT58" i="77"/>
  <c r="AP58" i="77"/>
  <c r="AL58" i="77"/>
  <c r="AH58" i="77" s="1"/>
  <c r="AG58" i="77" s="1"/>
  <c r="AF58" i="77"/>
  <c r="AD58" i="77"/>
  <c r="J58" i="77"/>
  <c r="I58" i="77"/>
  <c r="G58" i="77"/>
  <c r="D58" i="77"/>
  <c r="CD57" i="77"/>
  <c r="BZ57" i="77"/>
  <c r="BV57" i="77"/>
  <c r="BR57" i="77"/>
  <c r="BN57" i="77"/>
  <c r="BJ57" i="77"/>
  <c r="BF57" i="77"/>
  <c r="BB57" i="77"/>
  <c r="AX57" i="77"/>
  <c r="AT57" i="77"/>
  <c r="AP57" i="77"/>
  <c r="AL57" i="77"/>
  <c r="AH57" i="77" s="1"/>
  <c r="AG57" i="77" s="1"/>
  <c r="AF57" i="77"/>
  <c r="AD57" i="77"/>
  <c r="J57" i="77"/>
  <c r="I57" i="77"/>
  <c r="G57" i="77"/>
  <c r="D57" i="77"/>
  <c r="C57" i="77"/>
  <c r="CD56" i="77"/>
  <c r="BZ56" i="77"/>
  <c r="BV56" i="77"/>
  <c r="BR56" i="77"/>
  <c r="BN56" i="77"/>
  <c r="AH56" i="77" s="1"/>
  <c r="AG56" i="77" s="1"/>
  <c r="BJ56" i="77"/>
  <c r="BF56" i="77"/>
  <c r="BB56" i="77"/>
  <c r="AX56" i="77"/>
  <c r="AT56" i="77"/>
  <c r="AP56" i="77"/>
  <c r="AL56" i="77"/>
  <c r="AF56" i="77"/>
  <c r="AD56" i="77"/>
  <c r="J56" i="77"/>
  <c r="I56" i="77"/>
  <c r="G56" i="77"/>
  <c r="D56" i="77"/>
  <c r="CD55" i="77"/>
  <c r="BZ55" i="77"/>
  <c r="BV55" i="77"/>
  <c r="BR55" i="77"/>
  <c r="BN55" i="77"/>
  <c r="BJ55" i="77"/>
  <c r="BF55" i="77"/>
  <c r="BB55" i="77"/>
  <c r="AX55" i="77"/>
  <c r="AT55" i="77"/>
  <c r="AT50" i="77" s="1"/>
  <c r="AP55" i="77"/>
  <c r="AL55" i="77"/>
  <c r="AL50" i="77" s="1"/>
  <c r="AH55" i="77"/>
  <c r="AG55" i="77"/>
  <c r="AF55" i="77"/>
  <c r="AD55" i="77"/>
  <c r="J55" i="77"/>
  <c r="I55" i="77"/>
  <c r="G55" i="77"/>
  <c r="D55" i="77"/>
  <c r="C55" i="77"/>
  <c r="CD54" i="77"/>
  <c r="BZ54" i="77"/>
  <c r="BV54" i="77"/>
  <c r="BR54" i="77"/>
  <c r="BR50" i="77" s="1"/>
  <c r="BN54" i="77"/>
  <c r="BJ54" i="77"/>
  <c r="BF54" i="77"/>
  <c r="BB54" i="77"/>
  <c r="AX54" i="77"/>
  <c r="AT54" i="77"/>
  <c r="AP54" i="77"/>
  <c r="AH54" i="77" s="1"/>
  <c r="AG54" i="77" s="1"/>
  <c r="AL54" i="77"/>
  <c r="AF54" i="77"/>
  <c r="AD54" i="77"/>
  <c r="J54" i="77"/>
  <c r="I54" i="77"/>
  <c r="G54" i="77"/>
  <c r="D54" i="77"/>
  <c r="C54" i="77"/>
  <c r="CD53" i="77"/>
  <c r="BZ53" i="77"/>
  <c r="BV53" i="77"/>
  <c r="BR53" i="77"/>
  <c r="BN53" i="77"/>
  <c r="BJ53" i="77"/>
  <c r="BF53" i="77"/>
  <c r="BB53" i="77"/>
  <c r="AX53" i="77"/>
  <c r="AT53" i="77"/>
  <c r="AP53" i="77"/>
  <c r="AL53" i="77"/>
  <c r="AH53" i="77"/>
  <c r="AF53" i="77"/>
  <c r="AG53" i="77" s="1"/>
  <c r="AD53" i="77"/>
  <c r="J53" i="77"/>
  <c r="I53" i="77"/>
  <c r="G53" i="77"/>
  <c r="D53" i="77"/>
  <c r="CD52" i="77"/>
  <c r="BZ52" i="77"/>
  <c r="BV52" i="77"/>
  <c r="BR52" i="77"/>
  <c r="BN52" i="77"/>
  <c r="BJ52" i="77"/>
  <c r="BF52" i="77"/>
  <c r="BB52" i="77"/>
  <c r="BB50" i="77" s="1"/>
  <c r="AX52" i="77"/>
  <c r="AX50" i="77" s="1"/>
  <c r="AT52" i="77"/>
  <c r="AH52" i="77" s="1"/>
  <c r="AG52" i="77" s="1"/>
  <c r="AP52" i="77"/>
  <c r="AL52" i="77"/>
  <c r="AF52" i="77"/>
  <c r="AD52" i="77"/>
  <c r="J52" i="77"/>
  <c r="I52" i="77"/>
  <c r="G52" i="77"/>
  <c r="D52" i="77"/>
  <c r="C52" i="77"/>
  <c r="CD51" i="77"/>
  <c r="CD50" i="77" s="1"/>
  <c r="BZ51" i="77"/>
  <c r="BZ50" i="77" s="1"/>
  <c r="BV51" i="77"/>
  <c r="BV50" i="77" s="1"/>
  <c r="BR51" i="77"/>
  <c r="BN51" i="77"/>
  <c r="BJ51" i="77"/>
  <c r="BF51" i="77"/>
  <c r="BF50" i="77" s="1"/>
  <c r="BB51" i="77"/>
  <c r="AX51" i="77"/>
  <c r="AT51" i="77"/>
  <c r="AP51" i="77"/>
  <c r="AP50" i="77" s="1"/>
  <c r="AL51" i="77"/>
  <c r="AF51" i="77"/>
  <c r="AD51" i="77"/>
  <c r="J51" i="77"/>
  <c r="I51" i="77"/>
  <c r="G51" i="77"/>
  <c r="D51" i="77"/>
  <c r="BJ50" i="77"/>
  <c r="AD50" i="77"/>
  <c r="D50" i="77"/>
  <c r="CD49" i="77"/>
  <c r="BZ49" i="77"/>
  <c r="BV49" i="77"/>
  <c r="BR49" i="77"/>
  <c r="BN49" i="77"/>
  <c r="BJ49" i="77"/>
  <c r="BF49" i="77"/>
  <c r="BB49" i="77"/>
  <c r="AX49" i="77"/>
  <c r="AT49" i="77"/>
  <c r="AP49" i="77"/>
  <c r="AL49" i="77"/>
  <c r="AH49" i="77" s="1"/>
  <c r="AG49" i="77" s="1"/>
  <c r="AF49" i="77"/>
  <c r="AD49" i="77"/>
  <c r="J49" i="77"/>
  <c r="K49" i="77" s="1"/>
  <c r="G49" i="77"/>
  <c r="D49" i="77"/>
  <c r="C49" i="77"/>
  <c r="CD48" i="77"/>
  <c r="BZ48" i="77"/>
  <c r="BV48" i="77"/>
  <c r="BR48" i="77"/>
  <c r="AH48" i="77" s="1"/>
  <c r="AG48" i="77" s="1"/>
  <c r="BN48" i="77"/>
  <c r="BJ48" i="77"/>
  <c r="BF48" i="77"/>
  <c r="BB48" i="77"/>
  <c r="AX48" i="77"/>
  <c r="AT48" i="77"/>
  <c r="AP48" i="77"/>
  <c r="AL48" i="77"/>
  <c r="AF48" i="77"/>
  <c r="AD48" i="77"/>
  <c r="J48" i="77"/>
  <c r="K48" i="77" s="1"/>
  <c r="G48" i="77"/>
  <c r="D48" i="77"/>
  <c r="CD47" i="77"/>
  <c r="BZ47" i="77"/>
  <c r="BV47" i="77"/>
  <c r="BR47" i="77"/>
  <c r="BN47" i="77"/>
  <c r="BJ47" i="77"/>
  <c r="BF47" i="77"/>
  <c r="BB47" i="77"/>
  <c r="AX47" i="77"/>
  <c r="AT47" i="77"/>
  <c r="AP47" i="77"/>
  <c r="AL47" i="77"/>
  <c r="AH47" i="77"/>
  <c r="AG47" i="77"/>
  <c r="AF47" i="77"/>
  <c r="AD47" i="77"/>
  <c r="J47" i="77"/>
  <c r="K47" i="77" s="1"/>
  <c r="G47" i="77"/>
  <c r="D47" i="77"/>
  <c r="C47" i="77"/>
  <c r="CD46" i="77"/>
  <c r="BZ46" i="77"/>
  <c r="BV46" i="77"/>
  <c r="BR46" i="77"/>
  <c r="BN46" i="77"/>
  <c r="BJ46" i="77"/>
  <c r="BF46" i="77"/>
  <c r="BB46" i="77"/>
  <c r="AX46" i="77"/>
  <c r="AT46" i="77"/>
  <c r="AP46" i="77"/>
  <c r="AL46" i="77"/>
  <c r="AH46" i="77" s="1"/>
  <c r="AG46" i="77" s="1"/>
  <c r="AF46" i="77"/>
  <c r="AD46" i="77"/>
  <c r="J46" i="77"/>
  <c r="K46" i="77" s="1"/>
  <c r="G46" i="77"/>
  <c r="D46" i="77"/>
  <c r="C46" i="77"/>
  <c r="CD45" i="77"/>
  <c r="BZ45" i="77"/>
  <c r="AH45" i="77" s="1"/>
  <c r="AG45" i="77" s="1"/>
  <c r="BV45" i="77"/>
  <c r="BR45" i="77"/>
  <c r="BN45" i="77"/>
  <c r="BJ45" i="77"/>
  <c r="BF45" i="77"/>
  <c r="BB45" i="77"/>
  <c r="AX45" i="77"/>
  <c r="AT45" i="77"/>
  <c r="AP45" i="77"/>
  <c r="AL45" i="77"/>
  <c r="AF45" i="77"/>
  <c r="AD45" i="77"/>
  <c r="J45" i="77"/>
  <c r="K45" i="77" s="1"/>
  <c r="G45" i="77"/>
  <c r="D45" i="77"/>
  <c r="CD44" i="77"/>
  <c r="BZ44" i="77"/>
  <c r="BV44" i="77"/>
  <c r="BR44" i="77"/>
  <c r="BN44" i="77"/>
  <c r="BJ44" i="77"/>
  <c r="BF44" i="77"/>
  <c r="BB44" i="77"/>
  <c r="AX44" i="77"/>
  <c r="AT44" i="77"/>
  <c r="AP44" i="77"/>
  <c r="AL44" i="77"/>
  <c r="AH44" i="77" s="1"/>
  <c r="AG44" i="77" s="1"/>
  <c r="AF44" i="77"/>
  <c r="AD44" i="77"/>
  <c r="J44" i="77"/>
  <c r="K44" i="77" s="1"/>
  <c r="G44" i="77"/>
  <c r="D44" i="77"/>
  <c r="CD43" i="77"/>
  <c r="BZ43" i="77"/>
  <c r="BV43" i="77"/>
  <c r="BR43" i="77"/>
  <c r="BN43" i="77"/>
  <c r="BJ43" i="77"/>
  <c r="BF43" i="77"/>
  <c r="BB43" i="77"/>
  <c r="AX43" i="77"/>
  <c r="AT43" i="77"/>
  <c r="AP43" i="77"/>
  <c r="AL43" i="77"/>
  <c r="AH43" i="77" s="1"/>
  <c r="AG43" i="77" s="1"/>
  <c r="AF43" i="77"/>
  <c r="AD43" i="77"/>
  <c r="J43" i="77"/>
  <c r="K43" i="77" s="1"/>
  <c r="G43" i="77"/>
  <c r="D43" i="77"/>
  <c r="C43" i="77"/>
  <c r="CD42" i="77"/>
  <c r="BZ42" i="77"/>
  <c r="BV42" i="77"/>
  <c r="BR42" i="77"/>
  <c r="BN42" i="77"/>
  <c r="BJ42" i="77"/>
  <c r="BF42" i="77"/>
  <c r="BB42" i="77"/>
  <c r="AX42" i="77"/>
  <c r="AT42" i="77"/>
  <c r="AP42" i="77"/>
  <c r="AL42" i="77"/>
  <c r="AH42" i="77"/>
  <c r="AF42" i="77"/>
  <c r="AG42" i="77" s="1"/>
  <c r="AD42" i="77"/>
  <c r="J42" i="77"/>
  <c r="K42" i="77" s="1"/>
  <c r="G42" i="77"/>
  <c r="D42" i="77"/>
  <c r="CD41" i="77"/>
  <c r="BZ41" i="77"/>
  <c r="BV41" i="77"/>
  <c r="BR41" i="77"/>
  <c r="BN41" i="77"/>
  <c r="BJ41" i="77"/>
  <c r="BF41" i="77"/>
  <c r="BB41" i="77"/>
  <c r="AX41" i="77"/>
  <c r="AT41" i="77"/>
  <c r="AP41" i="77"/>
  <c r="AL41" i="77"/>
  <c r="AH41" i="77" s="1"/>
  <c r="AG41" i="77" s="1"/>
  <c r="AF41" i="77"/>
  <c r="AD41" i="77"/>
  <c r="J41" i="77"/>
  <c r="K41" i="77" s="1"/>
  <c r="G41" i="77"/>
  <c r="D41" i="77"/>
  <c r="C41" i="77"/>
  <c r="CD40" i="77"/>
  <c r="BZ40" i="77"/>
  <c r="BZ37" i="77" s="1"/>
  <c r="BV40" i="77"/>
  <c r="BR40" i="77"/>
  <c r="AH40" i="77" s="1"/>
  <c r="AG40" i="77" s="1"/>
  <c r="BN40" i="77"/>
  <c r="BJ40" i="77"/>
  <c r="BF40" i="77"/>
  <c r="BB40" i="77"/>
  <c r="AX40" i="77"/>
  <c r="AT40" i="77"/>
  <c r="AP40" i="77"/>
  <c r="AL40" i="77"/>
  <c r="AF40" i="77"/>
  <c r="AD40" i="77"/>
  <c r="J40" i="77"/>
  <c r="K40" i="77" s="1"/>
  <c r="G40" i="77"/>
  <c r="D40" i="77"/>
  <c r="CD39" i="77"/>
  <c r="BZ39" i="77"/>
  <c r="BV39" i="77"/>
  <c r="BR39" i="77"/>
  <c r="BN39" i="77"/>
  <c r="BJ39" i="77"/>
  <c r="BF39" i="77"/>
  <c r="BB39" i="77"/>
  <c r="AX39" i="77"/>
  <c r="AT39" i="77"/>
  <c r="AT37" i="77" s="1"/>
  <c r="AP39" i="77"/>
  <c r="AP37" i="77" s="1"/>
  <c r="AL39" i="77"/>
  <c r="AH39" i="77"/>
  <c r="AG39" i="77"/>
  <c r="AF39" i="77"/>
  <c r="AD39" i="77"/>
  <c r="G39" i="77"/>
  <c r="D39" i="77"/>
  <c r="C39" i="77"/>
  <c r="CD38" i="77"/>
  <c r="BZ38" i="77"/>
  <c r="BV38" i="77"/>
  <c r="BV37" i="77" s="1"/>
  <c r="BR38" i="77"/>
  <c r="BR37" i="77" s="1"/>
  <c r="BN38" i="77"/>
  <c r="BN37" i="77" s="1"/>
  <c r="BJ38" i="77"/>
  <c r="BJ37" i="77" s="1"/>
  <c r="BF38" i="77"/>
  <c r="BF37" i="77" s="1"/>
  <c r="BB38" i="77"/>
  <c r="BB37" i="77" s="1"/>
  <c r="AX38" i="77"/>
  <c r="AT38" i="77"/>
  <c r="AP38" i="77"/>
  <c r="AL38" i="77"/>
  <c r="AH38" i="77" s="1"/>
  <c r="AF38" i="77"/>
  <c r="AD38" i="77"/>
  <c r="G38" i="77"/>
  <c r="D38" i="77"/>
  <c r="C38" i="77"/>
  <c r="CD37" i="77"/>
  <c r="AX37" i="77"/>
  <c r="AD37" i="77"/>
  <c r="D37" i="77"/>
  <c r="C37" i="77"/>
  <c r="CD36" i="77"/>
  <c r="BZ36" i="77"/>
  <c r="AH36" i="77" s="1"/>
  <c r="AG36" i="77" s="1"/>
  <c r="BV36" i="77"/>
  <c r="BR36" i="77"/>
  <c r="BN36" i="77"/>
  <c r="BJ36" i="77"/>
  <c r="BF36" i="77"/>
  <c r="BB36" i="77"/>
  <c r="AX36" i="77"/>
  <c r="AT36" i="77"/>
  <c r="AP36" i="77"/>
  <c r="AL36" i="77"/>
  <c r="AF36" i="77"/>
  <c r="AD36" i="77"/>
  <c r="J36" i="77"/>
  <c r="K36" i="77" s="1"/>
  <c r="G36" i="77"/>
  <c r="D36" i="77"/>
  <c r="CD35" i="77"/>
  <c r="BZ35" i="77"/>
  <c r="BV35" i="77"/>
  <c r="BR35" i="77"/>
  <c r="BN35" i="77"/>
  <c r="BJ35" i="77"/>
  <c r="BF35" i="77"/>
  <c r="BB35" i="77"/>
  <c r="AX35" i="77"/>
  <c r="AT35" i="77"/>
  <c r="AP35" i="77"/>
  <c r="AL35" i="77"/>
  <c r="AH35" i="77" s="1"/>
  <c r="AG35" i="77" s="1"/>
  <c r="AF35" i="77"/>
  <c r="AD35" i="77"/>
  <c r="J35" i="77"/>
  <c r="K35" i="77" s="1"/>
  <c r="G35" i="77"/>
  <c r="D35" i="77"/>
  <c r="CD34" i="77"/>
  <c r="BZ34" i="77"/>
  <c r="BV34" i="77"/>
  <c r="BR34" i="77"/>
  <c r="BN34" i="77"/>
  <c r="BJ34" i="77"/>
  <c r="BF34" i="77"/>
  <c r="BB34" i="77"/>
  <c r="AX34" i="77"/>
  <c r="AT34" i="77"/>
  <c r="AP34" i="77"/>
  <c r="AL34" i="77"/>
  <c r="AH34" i="77" s="1"/>
  <c r="AG34" i="77" s="1"/>
  <c r="AF34" i="77"/>
  <c r="AD34" i="77"/>
  <c r="J34" i="77"/>
  <c r="K34" i="77" s="1"/>
  <c r="G34" i="77"/>
  <c r="D34" i="77"/>
  <c r="C34" i="77"/>
  <c r="CD33" i="77"/>
  <c r="BZ33" i="77"/>
  <c r="BV33" i="77"/>
  <c r="BR33" i="77"/>
  <c r="BN33" i="77"/>
  <c r="BJ33" i="77"/>
  <c r="BF33" i="77"/>
  <c r="BB33" i="77"/>
  <c r="AX33" i="77"/>
  <c r="AT33" i="77"/>
  <c r="AP33" i="77"/>
  <c r="AL33" i="77"/>
  <c r="AH33" i="77"/>
  <c r="AF33" i="77"/>
  <c r="AG33" i="77" s="1"/>
  <c r="AD33" i="77"/>
  <c r="J33" i="77"/>
  <c r="K33" i="77" s="1"/>
  <c r="G33" i="77"/>
  <c r="D33" i="77"/>
  <c r="CD32" i="77"/>
  <c r="BZ32" i="77"/>
  <c r="BV32" i="77"/>
  <c r="BR32" i="77"/>
  <c r="BN32" i="77"/>
  <c r="BJ32" i="77"/>
  <c r="BF32" i="77"/>
  <c r="BB32" i="77"/>
  <c r="AX32" i="77"/>
  <c r="AT32" i="77"/>
  <c r="AP32" i="77"/>
  <c r="AL32" i="77"/>
  <c r="AH32" i="77" s="1"/>
  <c r="AG32" i="77" s="1"/>
  <c r="AF32" i="77"/>
  <c r="AD32" i="77"/>
  <c r="J32" i="77"/>
  <c r="K32" i="77" s="1"/>
  <c r="G32" i="77"/>
  <c r="D32" i="77"/>
  <c r="C32" i="77"/>
  <c r="CD31" i="77"/>
  <c r="BZ31" i="77"/>
  <c r="BV31" i="77"/>
  <c r="BR31" i="77"/>
  <c r="AH31" i="77" s="1"/>
  <c r="AG31" i="77" s="1"/>
  <c r="BN31" i="77"/>
  <c r="BJ31" i="77"/>
  <c r="BF31" i="77"/>
  <c r="BB31" i="77"/>
  <c r="AX31" i="77"/>
  <c r="AT31" i="77"/>
  <c r="AP31" i="77"/>
  <c r="AL31" i="77"/>
  <c r="AF31" i="77"/>
  <c r="AD31" i="77"/>
  <c r="J31" i="77"/>
  <c r="K31" i="77" s="1"/>
  <c r="G31" i="77"/>
  <c r="D31" i="77"/>
  <c r="CD30" i="77"/>
  <c r="BZ30" i="77"/>
  <c r="BV30" i="77"/>
  <c r="BR30" i="77"/>
  <c r="BN30" i="77"/>
  <c r="BJ30" i="77"/>
  <c r="BF30" i="77"/>
  <c r="BB30" i="77"/>
  <c r="AX30" i="77"/>
  <c r="AT30" i="77"/>
  <c r="AP30" i="77"/>
  <c r="AL30" i="77"/>
  <c r="AH30" i="77"/>
  <c r="AG30" i="77"/>
  <c r="AF30" i="77"/>
  <c r="AD30" i="77"/>
  <c r="J30" i="77"/>
  <c r="K30" i="77" s="1"/>
  <c r="G30" i="77"/>
  <c r="D30" i="77"/>
  <c r="C30" i="77"/>
  <c r="CD29" i="77"/>
  <c r="BZ29" i="77"/>
  <c r="BV29" i="77"/>
  <c r="BR29" i="77"/>
  <c r="BN29" i="77"/>
  <c r="BJ29" i="77"/>
  <c r="BF29" i="77"/>
  <c r="BB29" i="77"/>
  <c r="AX29" i="77"/>
  <c r="AT29" i="77"/>
  <c r="AP29" i="77"/>
  <c r="AL29" i="77"/>
  <c r="AH29" i="77" s="1"/>
  <c r="AG29" i="77" s="1"/>
  <c r="AF29" i="77"/>
  <c r="AD29" i="77"/>
  <c r="J29" i="77"/>
  <c r="K29" i="77" s="1"/>
  <c r="G29" i="77"/>
  <c r="D29" i="77"/>
  <c r="C29" i="77"/>
  <c r="CD28" i="77"/>
  <c r="BZ28" i="77"/>
  <c r="AH28" i="77" s="1"/>
  <c r="AG28" i="77" s="1"/>
  <c r="BV28" i="77"/>
  <c r="BR28" i="77"/>
  <c r="BN28" i="77"/>
  <c r="BJ28" i="77"/>
  <c r="BF28" i="77"/>
  <c r="BB28" i="77"/>
  <c r="AX28" i="77"/>
  <c r="AT28" i="77"/>
  <c r="AP28" i="77"/>
  <c r="AL28" i="77"/>
  <c r="AF28" i="77"/>
  <c r="AD28" i="77"/>
  <c r="J28" i="77"/>
  <c r="K28" i="77" s="1"/>
  <c r="G28" i="77"/>
  <c r="D28" i="77"/>
  <c r="CD27" i="77"/>
  <c r="BZ27" i="77"/>
  <c r="BV27" i="77"/>
  <c r="BR27" i="77"/>
  <c r="BN27" i="77"/>
  <c r="BJ27" i="77"/>
  <c r="BF27" i="77"/>
  <c r="BB27" i="77"/>
  <c r="AX27" i="77"/>
  <c r="AT27" i="77"/>
  <c r="AP27" i="77"/>
  <c r="AP24" i="77" s="1"/>
  <c r="AL27" i="77"/>
  <c r="AL24" i="77" s="1"/>
  <c r="AF27" i="77"/>
  <c r="AD27" i="77"/>
  <c r="J27" i="77"/>
  <c r="K27" i="77" s="1"/>
  <c r="G27" i="77"/>
  <c r="D27" i="77"/>
  <c r="CD26" i="77"/>
  <c r="CD24" i="77" s="1"/>
  <c r="BZ26" i="77"/>
  <c r="BZ24" i="77" s="1"/>
  <c r="BV26" i="77"/>
  <c r="BV24" i="77" s="1"/>
  <c r="BR26" i="77"/>
  <c r="BN26" i="77"/>
  <c r="BJ26" i="77"/>
  <c r="BF26" i="77"/>
  <c r="BF24" i="77" s="1"/>
  <c r="BB26" i="77"/>
  <c r="AX26" i="77"/>
  <c r="AT26" i="77"/>
  <c r="AT24" i="77" s="1"/>
  <c r="AP26" i="77"/>
  <c r="AL26" i="77"/>
  <c r="AH26" i="77" s="1"/>
  <c r="AF26" i="77"/>
  <c r="AD26" i="77"/>
  <c r="J26" i="77"/>
  <c r="K26" i="77" s="1"/>
  <c r="G26" i="77"/>
  <c r="D26" i="77"/>
  <c r="C26" i="77"/>
  <c r="CD25" i="77"/>
  <c r="BZ25" i="77"/>
  <c r="BV25" i="77"/>
  <c r="BR25" i="77"/>
  <c r="BN25" i="77"/>
  <c r="BJ25" i="77"/>
  <c r="BJ24" i="77" s="1"/>
  <c r="BF25" i="77"/>
  <c r="BB25" i="77"/>
  <c r="BB24" i="77" s="1"/>
  <c r="AX25" i="77"/>
  <c r="AX24" i="77" s="1"/>
  <c r="AT25" i="77"/>
  <c r="AP25" i="77"/>
  <c r="AL25" i="77"/>
  <c r="AH25" i="77"/>
  <c r="AF25" i="77"/>
  <c r="AG25" i="77" s="1"/>
  <c r="AD25" i="77"/>
  <c r="J25" i="77"/>
  <c r="I25" i="77"/>
  <c r="G25" i="77"/>
  <c r="D25" i="77"/>
  <c r="BN24" i="77"/>
  <c r="AD24" i="77"/>
  <c r="D24" i="77"/>
  <c r="CD23" i="77"/>
  <c r="BZ23" i="77"/>
  <c r="BV23" i="77"/>
  <c r="BR23" i="77"/>
  <c r="BN23" i="77"/>
  <c r="BJ23" i="77"/>
  <c r="BF23" i="77"/>
  <c r="BB23" i="77"/>
  <c r="AX23" i="77"/>
  <c r="AT23" i="77"/>
  <c r="AH23" i="77" s="1"/>
  <c r="AG23" i="77" s="1"/>
  <c r="AP23" i="77"/>
  <c r="AL23" i="77"/>
  <c r="AF23" i="77"/>
  <c r="AD23" i="77"/>
  <c r="O23" i="77"/>
  <c r="J23" i="77"/>
  <c r="K23" i="77" s="1"/>
  <c r="G23" i="77"/>
  <c r="D23" i="77"/>
  <c r="C23" i="77"/>
  <c r="CD22" i="77"/>
  <c r="BZ22" i="77"/>
  <c r="AH22" i="77" s="1"/>
  <c r="AG22" i="77" s="1"/>
  <c r="BV22" i="77"/>
  <c r="BR22" i="77"/>
  <c r="BN22" i="77"/>
  <c r="BJ22" i="77"/>
  <c r="BF22" i="77"/>
  <c r="BB22" i="77"/>
  <c r="AX22" i="77"/>
  <c r="AT22" i="77"/>
  <c r="AP22" i="77"/>
  <c r="AL22" i="77"/>
  <c r="AF22" i="77"/>
  <c r="AD22" i="77"/>
  <c r="O22" i="77"/>
  <c r="J22" i="77"/>
  <c r="K22" i="77" s="1"/>
  <c r="G22" i="77"/>
  <c r="D22" i="77"/>
  <c r="CD21" i="77"/>
  <c r="BZ21" i="77"/>
  <c r="BV21" i="77"/>
  <c r="BR21" i="77"/>
  <c r="BN21" i="77"/>
  <c r="BJ21" i="77"/>
  <c r="BF21" i="77"/>
  <c r="BB21" i="77"/>
  <c r="AX21" i="77"/>
  <c r="AT21" i="77"/>
  <c r="AP21" i="77"/>
  <c r="AL21" i="77"/>
  <c r="AH21" i="77" s="1"/>
  <c r="AG21" i="77" s="1"/>
  <c r="AF21" i="77"/>
  <c r="AD21" i="77"/>
  <c r="O21" i="77"/>
  <c r="J21" i="77"/>
  <c r="K21" i="77" s="1"/>
  <c r="G21" i="77"/>
  <c r="D21" i="77"/>
  <c r="C21" i="77"/>
  <c r="CD20" i="77"/>
  <c r="BZ20" i="77"/>
  <c r="BV20" i="77"/>
  <c r="BR20" i="77"/>
  <c r="AH20" i="77" s="1"/>
  <c r="AG20" i="77" s="1"/>
  <c r="BN20" i="77"/>
  <c r="BJ20" i="77"/>
  <c r="BF20" i="77"/>
  <c r="BB20" i="77"/>
  <c r="AX20" i="77"/>
  <c r="AT20" i="77"/>
  <c r="AP20" i="77"/>
  <c r="AL20" i="77"/>
  <c r="AF20" i="77"/>
  <c r="AD20" i="77"/>
  <c r="O20" i="77"/>
  <c r="J20" i="77"/>
  <c r="K20" i="77" s="1"/>
  <c r="G20" i="77"/>
  <c r="D20" i="77"/>
  <c r="CD19" i="77"/>
  <c r="BZ19" i="77"/>
  <c r="BV19" i="77"/>
  <c r="BR19" i="77"/>
  <c r="BN19" i="77"/>
  <c r="BJ19" i="77"/>
  <c r="BF19" i="77"/>
  <c r="BB19" i="77"/>
  <c r="AX19" i="77"/>
  <c r="AT19" i="77"/>
  <c r="AP19" i="77"/>
  <c r="AL19" i="77"/>
  <c r="AH19" i="77"/>
  <c r="AG19" i="77" s="1"/>
  <c r="AF19" i="77"/>
  <c r="AD19" i="77"/>
  <c r="O19" i="77"/>
  <c r="J19" i="77"/>
  <c r="K19" i="77" s="1"/>
  <c r="G19" i="77"/>
  <c r="D19" i="77"/>
  <c r="CD18" i="77"/>
  <c r="BZ18" i="77"/>
  <c r="BV18" i="77"/>
  <c r="BR18" i="77"/>
  <c r="BN18" i="77"/>
  <c r="BJ18" i="77"/>
  <c r="BF18" i="77"/>
  <c r="BB18" i="77"/>
  <c r="AX18" i="77"/>
  <c r="AT18" i="77"/>
  <c r="AP18" i="77"/>
  <c r="AL18" i="77"/>
  <c r="AH18" i="77" s="1"/>
  <c r="AG18" i="77" s="1"/>
  <c r="AF18" i="77"/>
  <c r="AD18" i="77"/>
  <c r="O18" i="77"/>
  <c r="J18" i="77"/>
  <c r="K18" i="77" s="1"/>
  <c r="G18" i="77"/>
  <c r="D18" i="77"/>
  <c r="C18" i="77"/>
  <c r="CD17" i="77"/>
  <c r="BZ17" i="77"/>
  <c r="BV17" i="77"/>
  <c r="BR17" i="77"/>
  <c r="BN17" i="77"/>
  <c r="BJ17" i="77"/>
  <c r="BF17" i="77"/>
  <c r="BB17" i="77"/>
  <c r="AX17" i="77"/>
  <c r="AT17" i="77"/>
  <c r="AP17" i="77"/>
  <c r="AL17" i="77"/>
  <c r="AH17" i="77"/>
  <c r="AF17" i="77"/>
  <c r="AG17" i="77" s="1"/>
  <c r="AD17" i="77"/>
  <c r="O17" i="77"/>
  <c r="J17" i="77"/>
  <c r="K17" i="77" s="1"/>
  <c r="G17" i="77"/>
  <c r="D17" i="77"/>
  <c r="C17" i="77"/>
  <c r="CD16" i="77"/>
  <c r="BZ16" i="77"/>
  <c r="BV16" i="77"/>
  <c r="BR16" i="77"/>
  <c r="BN16" i="77"/>
  <c r="BJ16" i="77"/>
  <c r="BF16" i="77"/>
  <c r="BB16" i="77"/>
  <c r="AX16" i="77"/>
  <c r="AT16" i="77"/>
  <c r="AP16" i="77"/>
  <c r="AL16" i="77"/>
  <c r="AH16" i="77" s="1"/>
  <c r="AG16" i="77" s="1"/>
  <c r="AF16" i="77"/>
  <c r="AD16" i="77"/>
  <c r="O16" i="77"/>
  <c r="J16" i="77"/>
  <c r="K16" i="77" s="1"/>
  <c r="G16" i="77"/>
  <c r="D16" i="77"/>
  <c r="C16" i="77"/>
  <c r="CD15" i="77"/>
  <c r="AH15" i="77" s="1"/>
  <c r="AG15" i="77" s="1"/>
  <c r="BZ15" i="77"/>
  <c r="BV15" i="77"/>
  <c r="BR15" i="77"/>
  <c r="BN15" i="77"/>
  <c r="BJ15" i="77"/>
  <c r="BF15" i="77"/>
  <c r="BB15" i="77"/>
  <c r="AX15" i="77"/>
  <c r="AT15" i="77"/>
  <c r="AP15" i="77"/>
  <c r="AL15" i="77"/>
  <c r="AF15" i="77"/>
  <c r="AD15" i="77"/>
  <c r="O15" i="77"/>
  <c r="J15" i="77"/>
  <c r="K15" i="77" s="1"/>
  <c r="G15" i="77"/>
  <c r="D15" i="77"/>
  <c r="CD14" i="77"/>
  <c r="BZ14" i="77"/>
  <c r="BV14" i="77"/>
  <c r="BR14" i="77"/>
  <c r="BN14" i="77"/>
  <c r="BJ14" i="77"/>
  <c r="BF14" i="77"/>
  <c r="BB14" i="77"/>
  <c r="AX14" i="77"/>
  <c r="AT14" i="77"/>
  <c r="AT11" i="77" s="1"/>
  <c r="AP14" i="77"/>
  <c r="AL14" i="77"/>
  <c r="AH14" i="77" s="1"/>
  <c r="AG14" i="77" s="1"/>
  <c r="AF14" i="77"/>
  <c r="AD14" i="77"/>
  <c r="O14" i="77"/>
  <c r="J14" i="77"/>
  <c r="K14" i="77" s="1"/>
  <c r="G14" i="77"/>
  <c r="D14" i="77"/>
  <c r="C14" i="77"/>
  <c r="CD13" i="77"/>
  <c r="CD11" i="77" s="1"/>
  <c r="BZ13" i="77"/>
  <c r="BZ11" i="77" s="1"/>
  <c r="BV13" i="77"/>
  <c r="BR13" i="77"/>
  <c r="BN13" i="77"/>
  <c r="BJ13" i="77"/>
  <c r="BF13" i="77"/>
  <c r="BB13" i="77"/>
  <c r="AX13" i="77"/>
  <c r="AT13" i="77"/>
  <c r="AP13" i="77"/>
  <c r="AL13" i="77"/>
  <c r="AH13" i="77" s="1"/>
  <c r="AG13" i="77" s="1"/>
  <c r="AF13" i="77"/>
  <c r="AD13" i="77"/>
  <c r="O13" i="77"/>
  <c r="J13" i="77"/>
  <c r="K13" i="77" s="1"/>
  <c r="G13" i="77"/>
  <c r="D13" i="77"/>
  <c r="CD12" i="77"/>
  <c r="BZ12" i="77"/>
  <c r="BV12" i="77"/>
  <c r="BR12" i="77"/>
  <c r="BR11" i="77" s="1"/>
  <c r="BN12" i="77"/>
  <c r="BN11" i="77" s="1"/>
  <c r="BJ12" i="77"/>
  <c r="BJ11" i="77" s="1"/>
  <c r="BF12" i="77"/>
  <c r="BF11" i="77" s="1"/>
  <c r="BB12" i="77"/>
  <c r="BB11" i="77" s="1"/>
  <c r="AX12" i="77"/>
  <c r="AX11" i="77" s="1"/>
  <c r="AT12" i="77"/>
  <c r="AP12" i="77"/>
  <c r="AL12" i="77"/>
  <c r="AL11" i="77" s="1"/>
  <c r="AF12" i="77"/>
  <c r="AD12" i="77"/>
  <c r="O12" i="77"/>
  <c r="J12" i="77"/>
  <c r="K12" i="77" s="1"/>
  <c r="G12" i="77"/>
  <c r="D12" i="77"/>
  <c r="C12" i="77"/>
  <c r="BV11" i="77"/>
  <c r="AP11" i="77"/>
  <c r="AD11" i="77"/>
  <c r="D11" i="77"/>
  <c r="C11" i="77"/>
  <c r="AF6" i="77"/>
  <c r="A3" i="77"/>
  <c r="C56" i="77" s="1"/>
  <c r="CD62" i="76"/>
  <c r="BZ62" i="76"/>
  <c r="BV62" i="76"/>
  <c r="BR62" i="76"/>
  <c r="BN62" i="76"/>
  <c r="BJ62" i="76"/>
  <c r="BF62" i="76"/>
  <c r="BB62" i="76"/>
  <c r="AX62" i="76"/>
  <c r="AT62" i="76"/>
  <c r="AP62" i="76"/>
  <c r="AL62" i="76"/>
  <c r="AH62" i="76"/>
  <c r="AF62" i="76"/>
  <c r="AD62" i="76"/>
  <c r="J62" i="76"/>
  <c r="G62" i="76"/>
  <c r="CD61" i="76"/>
  <c r="BZ61" i="76"/>
  <c r="BV61" i="76"/>
  <c r="BR61" i="76"/>
  <c r="BN61" i="76"/>
  <c r="BJ61" i="76"/>
  <c r="BF61" i="76"/>
  <c r="BB61" i="76"/>
  <c r="AX61" i="76"/>
  <c r="AT61" i="76"/>
  <c r="AP61" i="76"/>
  <c r="AL61" i="76"/>
  <c r="AF61" i="76"/>
  <c r="AD61" i="76"/>
  <c r="J61" i="76"/>
  <c r="G61" i="76"/>
  <c r="CD60" i="76"/>
  <c r="BZ60" i="76"/>
  <c r="BV60" i="76"/>
  <c r="BR60" i="76"/>
  <c r="BN60" i="76"/>
  <c r="BJ60" i="76"/>
  <c r="BF60" i="76"/>
  <c r="BB60" i="76"/>
  <c r="AX60" i="76"/>
  <c r="AT60" i="76"/>
  <c r="AP60" i="76"/>
  <c r="AL60" i="76"/>
  <c r="AF60" i="76"/>
  <c r="AD60" i="76"/>
  <c r="J60" i="76"/>
  <c r="G60" i="76"/>
  <c r="C60" i="76"/>
  <c r="CD59" i="76"/>
  <c r="BZ59" i="76"/>
  <c r="BV59" i="76"/>
  <c r="BR59" i="76"/>
  <c r="BN59" i="76"/>
  <c r="BJ59" i="76"/>
  <c r="BF59" i="76"/>
  <c r="BB59" i="76"/>
  <c r="AX59" i="76"/>
  <c r="AT59" i="76"/>
  <c r="AP59" i="76"/>
  <c r="AL59" i="76"/>
  <c r="AF59" i="76"/>
  <c r="AD59" i="76"/>
  <c r="J59" i="76"/>
  <c r="G59" i="76"/>
  <c r="CD58" i="76"/>
  <c r="BZ58" i="76"/>
  <c r="BV58" i="76"/>
  <c r="BR58" i="76"/>
  <c r="BN58" i="76"/>
  <c r="BJ58" i="76"/>
  <c r="BF58" i="76"/>
  <c r="BB58" i="76"/>
  <c r="AX58" i="76"/>
  <c r="AT58" i="76"/>
  <c r="AP58" i="76"/>
  <c r="AL58" i="76"/>
  <c r="AH58" i="76" s="1"/>
  <c r="AG58" i="76" s="1"/>
  <c r="AF58" i="76"/>
  <c r="AD58" i="76"/>
  <c r="J58" i="76"/>
  <c r="G58" i="76"/>
  <c r="CD57" i="76"/>
  <c r="BZ57" i="76"/>
  <c r="BV57" i="76"/>
  <c r="BR57" i="76"/>
  <c r="BN57" i="76"/>
  <c r="BJ57" i="76"/>
  <c r="BF57" i="76"/>
  <c r="BB57" i="76"/>
  <c r="AX57" i="76"/>
  <c r="AT57" i="76"/>
  <c r="AP57" i="76"/>
  <c r="AL57" i="76"/>
  <c r="AF57" i="76"/>
  <c r="AD57" i="76"/>
  <c r="J57" i="76"/>
  <c r="G57" i="76"/>
  <c r="CD56" i="76"/>
  <c r="BZ56" i="76"/>
  <c r="BV56" i="76"/>
  <c r="BR56" i="76"/>
  <c r="BN56" i="76"/>
  <c r="BJ56" i="76"/>
  <c r="BF56" i="76"/>
  <c r="BB56" i="76"/>
  <c r="AX56" i="76"/>
  <c r="AT56" i="76"/>
  <c r="AP56" i="76"/>
  <c r="AL56" i="76"/>
  <c r="AF56" i="76"/>
  <c r="AD56" i="76"/>
  <c r="J56" i="76"/>
  <c r="G56" i="76"/>
  <c r="CD55" i="76"/>
  <c r="BZ55" i="76"/>
  <c r="BV55" i="76"/>
  <c r="BR55" i="76"/>
  <c r="BN55" i="76"/>
  <c r="BJ55" i="76"/>
  <c r="BF55" i="76"/>
  <c r="BB55" i="76"/>
  <c r="AX55" i="76"/>
  <c r="AT55" i="76"/>
  <c r="AP55" i="76"/>
  <c r="AL55" i="76"/>
  <c r="AH55" i="76" s="1"/>
  <c r="AG55" i="76" s="1"/>
  <c r="AF55" i="76"/>
  <c r="AD55" i="76"/>
  <c r="J55" i="76"/>
  <c r="G55" i="76"/>
  <c r="CD54" i="76"/>
  <c r="BZ54" i="76"/>
  <c r="BV54" i="76"/>
  <c r="BR54" i="76"/>
  <c r="BN54" i="76"/>
  <c r="BJ54" i="76"/>
  <c r="BF54" i="76"/>
  <c r="BB54" i="76"/>
  <c r="AX54" i="76"/>
  <c r="AT54" i="76"/>
  <c r="AP54" i="76"/>
  <c r="AL54" i="76"/>
  <c r="AF54" i="76"/>
  <c r="AD54" i="76"/>
  <c r="J54" i="76"/>
  <c r="G54" i="76"/>
  <c r="CD53" i="76"/>
  <c r="BZ53" i="76"/>
  <c r="BV53" i="76"/>
  <c r="BR53" i="76"/>
  <c r="BN53" i="76"/>
  <c r="BJ53" i="76"/>
  <c r="BF53" i="76"/>
  <c r="BB53" i="76"/>
  <c r="AX53" i="76"/>
  <c r="AT53" i="76"/>
  <c r="AP53" i="76"/>
  <c r="AL53" i="76"/>
  <c r="AH53" i="76" s="1"/>
  <c r="AF53" i="76"/>
  <c r="AD53" i="76"/>
  <c r="J53" i="76"/>
  <c r="G53" i="76"/>
  <c r="CD52" i="76"/>
  <c r="BZ52" i="76"/>
  <c r="BV52" i="76"/>
  <c r="BR52" i="76"/>
  <c r="BN52" i="76"/>
  <c r="BJ52" i="76"/>
  <c r="BJ50" i="76" s="1"/>
  <c r="BF52" i="76"/>
  <c r="BB52" i="76"/>
  <c r="AX52" i="76"/>
  <c r="AT52" i="76"/>
  <c r="AP52" i="76"/>
  <c r="AL52" i="76"/>
  <c r="AF52" i="76"/>
  <c r="AD52" i="76"/>
  <c r="J52" i="76"/>
  <c r="G52" i="76"/>
  <c r="C52" i="76"/>
  <c r="CD51" i="76"/>
  <c r="CD50" i="76" s="1"/>
  <c r="BZ51" i="76"/>
  <c r="BZ50" i="76" s="1"/>
  <c r="BV51" i="76"/>
  <c r="BR51" i="76"/>
  <c r="BN51" i="76"/>
  <c r="BJ51" i="76"/>
  <c r="BF51" i="76"/>
  <c r="BB51" i="76"/>
  <c r="AX51" i="76"/>
  <c r="AT51" i="76"/>
  <c r="AP51" i="76"/>
  <c r="AL51" i="76"/>
  <c r="AF51" i="76"/>
  <c r="AD51" i="76"/>
  <c r="J51" i="76"/>
  <c r="G51" i="76"/>
  <c r="AD50" i="76"/>
  <c r="CD49" i="76"/>
  <c r="BZ49" i="76"/>
  <c r="BV49" i="76"/>
  <c r="BR49" i="76"/>
  <c r="BN49" i="76"/>
  <c r="BJ49" i="76"/>
  <c r="BF49" i="76"/>
  <c r="BB49" i="76"/>
  <c r="AX49" i="76"/>
  <c r="AT49" i="76"/>
  <c r="AP49" i="76"/>
  <c r="AL49" i="76"/>
  <c r="AF49" i="76"/>
  <c r="AD49" i="76"/>
  <c r="J49" i="76"/>
  <c r="K49" i="76" s="1"/>
  <c r="G49" i="76"/>
  <c r="CD48" i="76"/>
  <c r="BZ48" i="76"/>
  <c r="BV48" i="76"/>
  <c r="BR48" i="76"/>
  <c r="BN48" i="76"/>
  <c r="BJ48" i="76"/>
  <c r="BF48" i="76"/>
  <c r="BB48" i="76"/>
  <c r="AX48" i="76"/>
  <c r="AT48" i="76"/>
  <c r="AP48" i="76"/>
  <c r="AL48" i="76"/>
  <c r="AF48" i="76"/>
  <c r="AD48" i="76"/>
  <c r="J48" i="76"/>
  <c r="K48" i="76" s="1"/>
  <c r="G48" i="76"/>
  <c r="CD47" i="76"/>
  <c r="BZ47" i="76"/>
  <c r="BV47" i="76"/>
  <c r="BR47" i="76"/>
  <c r="BN47" i="76"/>
  <c r="BJ47" i="76"/>
  <c r="BF47" i="76"/>
  <c r="BB47" i="76"/>
  <c r="AX47" i="76"/>
  <c r="AT47" i="76"/>
  <c r="AH47" i="76" s="1"/>
  <c r="AG47" i="76" s="1"/>
  <c r="AP47" i="76"/>
  <c r="AL47" i="76"/>
  <c r="AF47" i="76"/>
  <c r="AD47" i="76"/>
  <c r="J47" i="76"/>
  <c r="K47" i="76" s="1"/>
  <c r="G47" i="76"/>
  <c r="CD46" i="76"/>
  <c r="BZ46" i="76"/>
  <c r="BV46" i="76"/>
  <c r="BR46" i="76"/>
  <c r="BN46" i="76"/>
  <c r="BJ46" i="76"/>
  <c r="BF46" i="76"/>
  <c r="BB46" i="76"/>
  <c r="AX46" i="76"/>
  <c r="AT46" i="76"/>
  <c r="AP46" i="76"/>
  <c r="AL46" i="76"/>
  <c r="AF46" i="76"/>
  <c r="AD46" i="76"/>
  <c r="J46" i="76"/>
  <c r="K46" i="76" s="1"/>
  <c r="G46" i="76"/>
  <c r="CD45" i="76"/>
  <c r="BZ45" i="76"/>
  <c r="BV45" i="76"/>
  <c r="BR45" i="76"/>
  <c r="BN45" i="76"/>
  <c r="BJ45" i="76"/>
  <c r="BF45" i="76"/>
  <c r="BB45" i="76"/>
  <c r="AX45" i="76"/>
  <c r="AT45" i="76"/>
  <c r="AP45" i="76"/>
  <c r="AL45" i="76"/>
  <c r="AF45" i="76"/>
  <c r="AD45" i="76"/>
  <c r="J45" i="76"/>
  <c r="K45" i="76" s="1"/>
  <c r="G45" i="76"/>
  <c r="CD44" i="76"/>
  <c r="BZ44" i="76"/>
  <c r="BV44" i="76"/>
  <c r="BR44" i="76"/>
  <c r="BN44" i="76"/>
  <c r="BJ44" i="76"/>
  <c r="BF44" i="76"/>
  <c r="BB44" i="76"/>
  <c r="AX44" i="76"/>
  <c r="AT44" i="76"/>
  <c r="AP44" i="76"/>
  <c r="AL44" i="76"/>
  <c r="AH44" i="76" s="1"/>
  <c r="AF44" i="76"/>
  <c r="AD44" i="76"/>
  <c r="J44" i="76"/>
  <c r="K44" i="76" s="1"/>
  <c r="G44" i="76"/>
  <c r="CD43" i="76"/>
  <c r="BZ43" i="76"/>
  <c r="BV43" i="76"/>
  <c r="BR43" i="76"/>
  <c r="BN43" i="76"/>
  <c r="BJ43" i="76"/>
  <c r="BF43" i="76"/>
  <c r="BB43" i="76"/>
  <c r="AX43" i="76"/>
  <c r="AT43" i="76"/>
  <c r="AP43" i="76"/>
  <c r="AL43" i="76"/>
  <c r="AH43" i="76" s="1"/>
  <c r="AG43" i="76" s="1"/>
  <c r="AF43" i="76"/>
  <c r="AD43" i="76"/>
  <c r="J43" i="76"/>
  <c r="K43" i="76" s="1"/>
  <c r="G43" i="76"/>
  <c r="CD42" i="76"/>
  <c r="BZ42" i="76"/>
  <c r="BV42" i="76"/>
  <c r="BR42" i="76"/>
  <c r="BN42" i="76"/>
  <c r="BJ42" i="76"/>
  <c r="BF42" i="76"/>
  <c r="BB42" i="76"/>
  <c r="AX42" i="76"/>
  <c r="AT42" i="76"/>
  <c r="AP42" i="76"/>
  <c r="AL42" i="76"/>
  <c r="AH42" i="76" s="1"/>
  <c r="AF42" i="76"/>
  <c r="AD42" i="76"/>
  <c r="J42" i="76"/>
  <c r="K42" i="76" s="1"/>
  <c r="G42" i="76"/>
  <c r="C42" i="76"/>
  <c r="CD41" i="76"/>
  <c r="BZ41" i="76"/>
  <c r="BV41" i="76"/>
  <c r="BR41" i="76"/>
  <c r="BN41" i="76"/>
  <c r="BJ41" i="76"/>
  <c r="BF41" i="76"/>
  <c r="BB41" i="76"/>
  <c r="AX41" i="76"/>
  <c r="AT41" i="76"/>
  <c r="AP41" i="76"/>
  <c r="AL41" i="76"/>
  <c r="AF41" i="76"/>
  <c r="AD41" i="76"/>
  <c r="J41" i="76"/>
  <c r="K41" i="76" s="1"/>
  <c r="G41" i="76"/>
  <c r="C41" i="76"/>
  <c r="CD40" i="76"/>
  <c r="CD37" i="76" s="1"/>
  <c r="BZ40" i="76"/>
  <c r="BV40" i="76"/>
  <c r="BR40" i="76"/>
  <c r="BN40" i="76"/>
  <c r="BJ40" i="76"/>
  <c r="BF40" i="76"/>
  <c r="BB40" i="76"/>
  <c r="AX40" i="76"/>
  <c r="AT40" i="76"/>
  <c r="AP40" i="76"/>
  <c r="AL40" i="76"/>
  <c r="AF40" i="76"/>
  <c r="AD40" i="76"/>
  <c r="J40" i="76"/>
  <c r="K40" i="76" s="1"/>
  <c r="G40" i="76"/>
  <c r="CD39" i="76"/>
  <c r="BZ39" i="76"/>
  <c r="BV39" i="76"/>
  <c r="BR39" i="76"/>
  <c r="BN39" i="76"/>
  <c r="BJ39" i="76"/>
  <c r="BF39" i="76"/>
  <c r="BB39" i="76"/>
  <c r="AX39" i="76"/>
  <c r="AT39" i="76"/>
  <c r="AP39" i="76"/>
  <c r="AL39" i="76"/>
  <c r="AH39" i="76"/>
  <c r="AF39" i="76"/>
  <c r="AG39" i="76" s="1"/>
  <c r="AD39" i="76"/>
  <c r="G39" i="76"/>
  <c r="CD38" i="76"/>
  <c r="BZ38" i="76"/>
  <c r="BV38" i="76"/>
  <c r="BR38" i="76"/>
  <c r="BN38" i="76"/>
  <c r="BJ38" i="76"/>
  <c r="BF38" i="76"/>
  <c r="BB38" i="76"/>
  <c r="AX38" i="76"/>
  <c r="AX37" i="76" s="1"/>
  <c r="AT38" i="76"/>
  <c r="AP38" i="76"/>
  <c r="AL38" i="76"/>
  <c r="AF38" i="76"/>
  <c r="AD38" i="76"/>
  <c r="G38" i="76"/>
  <c r="AD37" i="76"/>
  <c r="CD36" i="76"/>
  <c r="BZ36" i="76"/>
  <c r="BV36" i="76"/>
  <c r="BR36" i="76"/>
  <c r="BN36" i="76"/>
  <c r="BJ36" i="76"/>
  <c r="BF36" i="76"/>
  <c r="BB36" i="76"/>
  <c r="AX36" i="76"/>
  <c r="AT36" i="76"/>
  <c r="AP36" i="76"/>
  <c r="AL36" i="76"/>
  <c r="AF36" i="76"/>
  <c r="AD36" i="76"/>
  <c r="J36" i="76"/>
  <c r="K36" i="76" s="1"/>
  <c r="G36" i="76"/>
  <c r="CD35" i="76"/>
  <c r="BZ35" i="76"/>
  <c r="BV35" i="76"/>
  <c r="BR35" i="76"/>
  <c r="BN35" i="76"/>
  <c r="BJ35" i="76"/>
  <c r="BF35" i="76"/>
  <c r="BB35" i="76"/>
  <c r="AX35" i="76"/>
  <c r="AT35" i="76"/>
  <c r="AP35" i="76"/>
  <c r="AL35" i="76"/>
  <c r="AH35" i="76" s="1"/>
  <c r="AF35" i="76"/>
  <c r="AD35" i="76"/>
  <c r="J35" i="76"/>
  <c r="K35" i="76" s="1"/>
  <c r="G35" i="76"/>
  <c r="CD34" i="76"/>
  <c r="BZ34" i="76"/>
  <c r="BV34" i="76"/>
  <c r="BR34" i="76"/>
  <c r="BN34" i="76"/>
  <c r="BJ34" i="76"/>
  <c r="BF34" i="76"/>
  <c r="BB34" i="76"/>
  <c r="AX34" i="76"/>
  <c r="AT34" i="76"/>
  <c r="AP34" i="76"/>
  <c r="AL34" i="76"/>
  <c r="AH34" i="76" s="1"/>
  <c r="AG34" i="76" s="1"/>
  <c r="AF34" i="76"/>
  <c r="AD34" i="76"/>
  <c r="J34" i="76"/>
  <c r="K34" i="76" s="1"/>
  <c r="G34" i="76"/>
  <c r="CD33" i="76"/>
  <c r="BZ33" i="76"/>
  <c r="BV33" i="76"/>
  <c r="BR33" i="76"/>
  <c r="BN33" i="76"/>
  <c r="BJ33" i="76"/>
  <c r="BF33" i="76"/>
  <c r="BB33" i="76"/>
  <c r="AX33" i="76"/>
  <c r="AT33" i="76"/>
  <c r="AP33" i="76"/>
  <c r="AL33" i="76"/>
  <c r="AH33" i="76" s="1"/>
  <c r="AF33" i="76"/>
  <c r="AD33" i="76"/>
  <c r="J33" i="76"/>
  <c r="K33" i="76" s="1"/>
  <c r="G33" i="76"/>
  <c r="CD32" i="76"/>
  <c r="BZ32" i="76"/>
  <c r="BV32" i="76"/>
  <c r="BR32" i="76"/>
  <c r="BN32" i="76"/>
  <c r="BJ32" i="76"/>
  <c r="BF32" i="76"/>
  <c r="BB32" i="76"/>
  <c r="AX32" i="76"/>
  <c r="AT32" i="76"/>
  <c r="AP32" i="76"/>
  <c r="AL32" i="76"/>
  <c r="AF32" i="76"/>
  <c r="AD32" i="76"/>
  <c r="J32" i="76"/>
  <c r="K32" i="76" s="1"/>
  <c r="G32" i="76"/>
  <c r="C32" i="76"/>
  <c r="CD31" i="76"/>
  <c r="BZ31" i="76"/>
  <c r="BV31" i="76"/>
  <c r="BR31" i="76"/>
  <c r="BN31" i="76"/>
  <c r="BJ31" i="76"/>
  <c r="BF31" i="76"/>
  <c r="BB31" i="76"/>
  <c r="AX31" i="76"/>
  <c r="AT31" i="76"/>
  <c r="AP31" i="76"/>
  <c r="AL31" i="76"/>
  <c r="AF31" i="76"/>
  <c r="AD31" i="76"/>
  <c r="J31" i="76"/>
  <c r="K31" i="76" s="1"/>
  <c r="G31" i="76"/>
  <c r="CD30" i="76"/>
  <c r="AH30" i="76" s="1"/>
  <c r="AG30" i="76" s="1"/>
  <c r="BZ30" i="76"/>
  <c r="BV30" i="76"/>
  <c r="BR30" i="76"/>
  <c r="BN30" i="76"/>
  <c r="BJ30" i="76"/>
  <c r="BF30" i="76"/>
  <c r="BB30" i="76"/>
  <c r="AX30" i="76"/>
  <c r="AT30" i="76"/>
  <c r="AP30" i="76"/>
  <c r="AL30" i="76"/>
  <c r="AF30" i="76"/>
  <c r="AD30" i="76"/>
  <c r="J30" i="76"/>
  <c r="K30" i="76" s="1"/>
  <c r="G30" i="76"/>
  <c r="CD29" i="76"/>
  <c r="BZ29" i="76"/>
  <c r="BV29" i="76"/>
  <c r="BR29" i="76"/>
  <c r="BN29" i="76"/>
  <c r="BJ29" i="76"/>
  <c r="BF29" i="76"/>
  <c r="BB29" i="76"/>
  <c r="AX29" i="76"/>
  <c r="AT29" i="76"/>
  <c r="AP29" i="76"/>
  <c r="AL29" i="76"/>
  <c r="AF29" i="76"/>
  <c r="AD29" i="76"/>
  <c r="J29" i="76"/>
  <c r="K29" i="76" s="1"/>
  <c r="G29" i="76"/>
  <c r="CD28" i="76"/>
  <c r="BZ28" i="76"/>
  <c r="BV28" i="76"/>
  <c r="BR28" i="76"/>
  <c r="BN28" i="76"/>
  <c r="BJ28" i="76"/>
  <c r="BF28" i="76"/>
  <c r="BB28" i="76"/>
  <c r="AX28" i="76"/>
  <c r="AT28" i="76"/>
  <c r="AP28" i="76"/>
  <c r="AL28" i="76"/>
  <c r="AF28" i="76"/>
  <c r="AD28" i="76"/>
  <c r="J28" i="76"/>
  <c r="K28" i="76" s="1"/>
  <c r="G28" i="76"/>
  <c r="CD27" i="76"/>
  <c r="BZ27" i="76"/>
  <c r="BV27" i="76"/>
  <c r="BR27" i="76"/>
  <c r="BN27" i="76"/>
  <c r="BJ27" i="76"/>
  <c r="BF27" i="76"/>
  <c r="BB27" i="76"/>
  <c r="AX27" i="76"/>
  <c r="AT27" i="76"/>
  <c r="AP27" i="76"/>
  <c r="AL27" i="76"/>
  <c r="AF27" i="76"/>
  <c r="AD27" i="76"/>
  <c r="J27" i="76"/>
  <c r="K27" i="76" s="1"/>
  <c r="G27" i="76"/>
  <c r="CD26" i="76"/>
  <c r="BZ26" i="76"/>
  <c r="BV26" i="76"/>
  <c r="BR26" i="76"/>
  <c r="BN26" i="76"/>
  <c r="BJ26" i="76"/>
  <c r="BF26" i="76"/>
  <c r="BB26" i="76"/>
  <c r="AX26" i="76"/>
  <c r="AT26" i="76"/>
  <c r="AP26" i="76"/>
  <c r="AL26" i="76"/>
  <c r="AF26" i="76"/>
  <c r="AD26" i="76"/>
  <c r="J26" i="76"/>
  <c r="K26" i="76" s="1"/>
  <c r="G26" i="76"/>
  <c r="C26" i="76"/>
  <c r="CD25" i="76"/>
  <c r="BZ25" i="76"/>
  <c r="BV25" i="76"/>
  <c r="BR25" i="76"/>
  <c r="BN25" i="76"/>
  <c r="BN24" i="76" s="1"/>
  <c r="BJ25" i="76"/>
  <c r="BF25" i="76"/>
  <c r="BB25" i="76"/>
  <c r="AX25" i="76"/>
  <c r="AT25" i="76"/>
  <c r="AP25" i="76"/>
  <c r="AH25" i="76" s="1"/>
  <c r="AL25" i="76"/>
  <c r="AF25" i="76"/>
  <c r="AD25" i="76"/>
  <c r="J25" i="76"/>
  <c r="I25" i="76"/>
  <c r="G25" i="76"/>
  <c r="AD24" i="76"/>
  <c r="CD23" i="76"/>
  <c r="BZ23" i="76"/>
  <c r="BV23" i="76"/>
  <c r="BR23" i="76"/>
  <c r="BN23" i="76"/>
  <c r="BJ23" i="76"/>
  <c r="BF23" i="76"/>
  <c r="BB23" i="76"/>
  <c r="AX23" i="76"/>
  <c r="AT23" i="76"/>
  <c r="AP23" i="76"/>
  <c r="AL23" i="76"/>
  <c r="AF23" i="76"/>
  <c r="AD23" i="76"/>
  <c r="J23" i="76"/>
  <c r="K23" i="76" s="1"/>
  <c r="G23" i="76"/>
  <c r="CD22" i="76"/>
  <c r="BZ22" i="76"/>
  <c r="BV22" i="76"/>
  <c r="BR22" i="76"/>
  <c r="BN22" i="76"/>
  <c r="BJ22" i="76"/>
  <c r="BF22" i="76"/>
  <c r="BB22" i="76"/>
  <c r="AX22" i="76"/>
  <c r="AT22" i="76"/>
  <c r="AP22" i="76"/>
  <c r="AL22" i="76"/>
  <c r="AF22" i="76"/>
  <c r="AD22" i="76"/>
  <c r="J22" i="76"/>
  <c r="K22" i="76" s="1"/>
  <c r="G22" i="76"/>
  <c r="CD21" i="76"/>
  <c r="BZ21" i="76"/>
  <c r="BV21" i="76"/>
  <c r="BR21" i="76"/>
  <c r="BN21" i="76"/>
  <c r="BJ21" i="76"/>
  <c r="BF21" i="76"/>
  <c r="BB21" i="76"/>
  <c r="AX21" i="76"/>
  <c r="AT21" i="76"/>
  <c r="AP21" i="76"/>
  <c r="AL21" i="76"/>
  <c r="AF21" i="76"/>
  <c r="AD21" i="76"/>
  <c r="J21" i="76"/>
  <c r="K21" i="76" s="1"/>
  <c r="G21" i="76"/>
  <c r="C21" i="76"/>
  <c r="CD20" i="76"/>
  <c r="BZ20" i="76"/>
  <c r="BV20" i="76"/>
  <c r="BR20" i="76"/>
  <c r="BN20" i="76"/>
  <c r="BJ20" i="76"/>
  <c r="BF20" i="76"/>
  <c r="BB20" i="76"/>
  <c r="AX20" i="76"/>
  <c r="AT20" i="76"/>
  <c r="AP20" i="76"/>
  <c r="AL20" i="76"/>
  <c r="AF20" i="76"/>
  <c r="AD20" i="76"/>
  <c r="J20" i="76"/>
  <c r="K20" i="76" s="1"/>
  <c r="G20" i="76"/>
  <c r="CD19" i="76"/>
  <c r="BZ19" i="76"/>
  <c r="BV19" i="76"/>
  <c r="BR19" i="76"/>
  <c r="BN19" i="76"/>
  <c r="BJ19" i="76"/>
  <c r="BF19" i="76"/>
  <c r="BB19" i="76"/>
  <c r="AX19" i="76"/>
  <c r="AT19" i="76"/>
  <c r="AP19" i="76"/>
  <c r="AL19" i="76"/>
  <c r="AH19" i="76"/>
  <c r="AG19" i="76" s="1"/>
  <c r="AF19" i="76"/>
  <c r="AD19" i="76"/>
  <c r="J19" i="76"/>
  <c r="K19" i="76" s="1"/>
  <c r="G19" i="76"/>
  <c r="CD18" i="76"/>
  <c r="BZ18" i="76"/>
  <c r="BV18" i="76"/>
  <c r="BR18" i="76"/>
  <c r="BN18" i="76"/>
  <c r="BJ18" i="76"/>
  <c r="BF18" i="76"/>
  <c r="BB18" i="76"/>
  <c r="AX18" i="76"/>
  <c r="AT18" i="76"/>
  <c r="AP18" i="76"/>
  <c r="AL18" i="76"/>
  <c r="AF18" i="76"/>
  <c r="AD18" i="76"/>
  <c r="J18" i="76"/>
  <c r="K18" i="76" s="1"/>
  <c r="G18" i="76"/>
  <c r="CD17" i="76"/>
  <c r="BZ17" i="76"/>
  <c r="BV17" i="76"/>
  <c r="BR17" i="76"/>
  <c r="BN17" i="76"/>
  <c r="BJ17" i="76"/>
  <c r="BF17" i="76"/>
  <c r="BB17" i="76"/>
  <c r="AX17" i="76"/>
  <c r="AT17" i="76"/>
  <c r="AH17" i="76" s="1"/>
  <c r="AP17" i="76"/>
  <c r="AL17" i="76"/>
  <c r="AF17" i="76"/>
  <c r="AD17" i="76"/>
  <c r="J17" i="76"/>
  <c r="K17" i="76" s="1"/>
  <c r="G17" i="76"/>
  <c r="C17" i="76"/>
  <c r="CD16" i="76"/>
  <c r="BZ16" i="76"/>
  <c r="BV16" i="76"/>
  <c r="BR16" i="76"/>
  <c r="BN16" i="76"/>
  <c r="BJ16" i="76"/>
  <c r="BF16" i="76"/>
  <c r="BB16" i="76"/>
  <c r="AX16" i="76"/>
  <c r="AT16" i="76"/>
  <c r="AP16" i="76"/>
  <c r="AL16" i="76"/>
  <c r="AF16" i="76"/>
  <c r="AD16" i="76"/>
  <c r="J16" i="76"/>
  <c r="K16" i="76" s="1"/>
  <c r="G16" i="76"/>
  <c r="CD15" i="76"/>
  <c r="BZ15" i="76"/>
  <c r="BV15" i="76"/>
  <c r="BR15" i="76"/>
  <c r="BN15" i="76"/>
  <c r="BJ15" i="76"/>
  <c r="BF15" i="76"/>
  <c r="BB15" i="76"/>
  <c r="AX15" i="76"/>
  <c r="AT15" i="76"/>
  <c r="AP15" i="76"/>
  <c r="AL15" i="76"/>
  <c r="AF15" i="76"/>
  <c r="AD15" i="76"/>
  <c r="J15" i="76"/>
  <c r="K15" i="76" s="1"/>
  <c r="G15" i="76"/>
  <c r="CD14" i="76"/>
  <c r="BZ14" i="76"/>
  <c r="BV14" i="76"/>
  <c r="BR14" i="76"/>
  <c r="BN14" i="76"/>
  <c r="BJ14" i="76"/>
  <c r="BF14" i="76"/>
  <c r="BB14" i="76"/>
  <c r="AX14" i="76"/>
  <c r="AT14" i="76"/>
  <c r="AP14" i="76"/>
  <c r="AL14" i="76"/>
  <c r="AF14" i="76"/>
  <c r="AD14" i="76"/>
  <c r="J14" i="76"/>
  <c r="K14" i="76" s="1"/>
  <c r="G14" i="76"/>
  <c r="CD13" i="76"/>
  <c r="BZ13" i="76"/>
  <c r="BV13" i="76"/>
  <c r="BR13" i="76"/>
  <c r="BN13" i="76"/>
  <c r="BJ13" i="76"/>
  <c r="BF13" i="76"/>
  <c r="BB13" i="76"/>
  <c r="AX13" i="76"/>
  <c r="AT13" i="76"/>
  <c r="AP13" i="76"/>
  <c r="AL13" i="76"/>
  <c r="AF13" i="76"/>
  <c r="AD13" i="76"/>
  <c r="J13" i="76"/>
  <c r="K13" i="76" s="1"/>
  <c r="G13" i="76"/>
  <c r="CD12" i="76"/>
  <c r="BZ12" i="76"/>
  <c r="BV12" i="76"/>
  <c r="BV11" i="76" s="1"/>
  <c r="BR12" i="76"/>
  <c r="BR11" i="76" s="1"/>
  <c r="BN12" i="76"/>
  <c r="BJ12" i="76"/>
  <c r="BF12" i="76"/>
  <c r="BB12" i="76"/>
  <c r="AX12" i="76"/>
  <c r="AT12" i="76"/>
  <c r="AP12" i="76"/>
  <c r="AP11" i="76" s="1"/>
  <c r="AL12" i="76"/>
  <c r="AF12" i="76"/>
  <c r="AD12" i="76"/>
  <c r="J12" i="76"/>
  <c r="K12" i="76" s="1"/>
  <c r="G12" i="76"/>
  <c r="AD11" i="76"/>
  <c r="AF6" i="76"/>
  <c r="A3" i="76"/>
  <c r="C56" i="76" s="1"/>
  <c r="I12" i="75"/>
  <c r="I25" i="75" s="1"/>
  <c r="D87" i="3"/>
  <c r="J62" i="75" s="1"/>
  <c r="M60" i="75"/>
  <c r="M59" i="75"/>
  <c r="M61" i="75"/>
  <c r="M58" i="75"/>
  <c r="M56" i="75"/>
  <c r="M55" i="75"/>
  <c r="M54" i="75"/>
  <c r="I54" i="75" s="1"/>
  <c r="M53" i="75"/>
  <c r="I53" i="75" s="1"/>
  <c r="M52" i="75"/>
  <c r="I52" i="75" s="1"/>
  <c r="M51" i="75"/>
  <c r="I51" i="75" s="1"/>
  <c r="CD62" i="75"/>
  <c r="BZ62" i="75"/>
  <c r="BV62" i="75"/>
  <c r="BR62" i="75"/>
  <c r="BN62" i="75"/>
  <c r="BJ62" i="75"/>
  <c r="BF62" i="75"/>
  <c r="BB62" i="75"/>
  <c r="AX62" i="75"/>
  <c r="AT62" i="75"/>
  <c r="AP62" i="75"/>
  <c r="AL62" i="75"/>
  <c r="AH62" i="75"/>
  <c r="AF62" i="75"/>
  <c r="AG62" i="75" s="1"/>
  <c r="AD62" i="75"/>
  <c r="G62" i="75"/>
  <c r="D62" i="75"/>
  <c r="CD61" i="75"/>
  <c r="BZ61" i="75"/>
  <c r="BV61" i="75"/>
  <c r="BR61" i="75"/>
  <c r="BN61" i="75"/>
  <c r="BJ61" i="75"/>
  <c r="BF61" i="75"/>
  <c r="BB61" i="75"/>
  <c r="AH61" i="75" s="1"/>
  <c r="AG61" i="75" s="1"/>
  <c r="AX61" i="75"/>
  <c r="AT61" i="75"/>
  <c r="AP61" i="75"/>
  <c r="AL61" i="75"/>
  <c r="AF61" i="75"/>
  <c r="AD61" i="75"/>
  <c r="D61" i="75"/>
  <c r="C61" i="75"/>
  <c r="CD60" i="75"/>
  <c r="BZ60" i="75"/>
  <c r="BV60" i="75"/>
  <c r="BR60" i="75"/>
  <c r="BN60" i="75"/>
  <c r="BJ60" i="75"/>
  <c r="BJ50" i="75" s="1"/>
  <c r="BF60" i="75"/>
  <c r="BB60" i="75"/>
  <c r="AX60" i="75"/>
  <c r="AT60" i="75"/>
  <c r="AP60" i="75"/>
  <c r="AL60" i="75"/>
  <c r="AF60" i="75"/>
  <c r="AD60" i="75"/>
  <c r="J60" i="75"/>
  <c r="D60" i="75"/>
  <c r="C60" i="75"/>
  <c r="CD59" i="75"/>
  <c r="BZ59" i="75"/>
  <c r="BV59" i="75"/>
  <c r="BR59" i="75"/>
  <c r="BN59" i="75"/>
  <c r="BJ59" i="75"/>
  <c r="BF59" i="75"/>
  <c r="BB59" i="75"/>
  <c r="AX59" i="75"/>
  <c r="AT59" i="75"/>
  <c r="AH59" i="75" s="1"/>
  <c r="AG59" i="75" s="1"/>
  <c r="AP59" i="75"/>
  <c r="AL59" i="75"/>
  <c r="AF59" i="75"/>
  <c r="AD59" i="75"/>
  <c r="J59" i="75"/>
  <c r="D59" i="75"/>
  <c r="C59" i="75"/>
  <c r="CD58" i="75"/>
  <c r="BZ58" i="75"/>
  <c r="BV58" i="75"/>
  <c r="BR58" i="75"/>
  <c r="BN58" i="75"/>
  <c r="BJ58" i="75"/>
  <c r="BF58" i="75"/>
  <c r="BB58" i="75"/>
  <c r="AX58" i="75"/>
  <c r="AT58" i="75"/>
  <c r="AP58" i="75"/>
  <c r="AL58" i="75"/>
  <c r="AH58" i="75" s="1"/>
  <c r="AG58" i="75" s="1"/>
  <c r="AF58" i="75"/>
  <c r="AD58" i="75"/>
  <c r="J58" i="75"/>
  <c r="D58" i="75"/>
  <c r="CD57" i="75"/>
  <c r="BZ57" i="75"/>
  <c r="BV57" i="75"/>
  <c r="BR57" i="75"/>
  <c r="BN57" i="75"/>
  <c r="BJ57" i="75"/>
  <c r="BF57" i="75"/>
  <c r="BB57" i="75"/>
  <c r="AX57" i="75"/>
  <c r="AT57" i="75"/>
  <c r="AP57" i="75"/>
  <c r="AL57" i="75"/>
  <c r="AH57" i="75" s="1"/>
  <c r="AG57" i="75" s="1"/>
  <c r="AF57" i="75"/>
  <c r="AD57" i="75"/>
  <c r="J57" i="75"/>
  <c r="I57" i="75"/>
  <c r="D57" i="75"/>
  <c r="C57" i="75"/>
  <c r="CD56" i="75"/>
  <c r="BZ56" i="75"/>
  <c r="BV56" i="75"/>
  <c r="BR56" i="75"/>
  <c r="BN56" i="75"/>
  <c r="BN50" i="75" s="1"/>
  <c r="BJ56" i="75"/>
  <c r="BF56" i="75"/>
  <c r="BB56" i="75"/>
  <c r="AX56" i="75"/>
  <c r="AT56" i="75"/>
  <c r="AP56" i="75"/>
  <c r="AH56" i="75" s="1"/>
  <c r="AG56" i="75" s="1"/>
  <c r="AL56" i="75"/>
  <c r="AF56" i="75"/>
  <c r="AD56" i="75"/>
  <c r="I56" i="75"/>
  <c r="G56" i="75"/>
  <c r="D56" i="75"/>
  <c r="CD55" i="75"/>
  <c r="BZ55" i="75"/>
  <c r="BV55" i="75"/>
  <c r="BR55" i="75"/>
  <c r="BN55" i="75"/>
  <c r="BJ55" i="75"/>
  <c r="BF55" i="75"/>
  <c r="BB55" i="75"/>
  <c r="AX55" i="75"/>
  <c r="AT55" i="75"/>
  <c r="AT50" i="75" s="1"/>
  <c r="AP55" i="75"/>
  <c r="AL55" i="75"/>
  <c r="AL50" i="75" s="1"/>
  <c r="AH55" i="75"/>
  <c r="AG55" i="75"/>
  <c r="AF55" i="75"/>
  <c r="AD55" i="75"/>
  <c r="J55" i="75"/>
  <c r="I55" i="75"/>
  <c r="G55" i="75"/>
  <c r="D55" i="75"/>
  <c r="C55" i="75"/>
  <c r="CD54" i="75"/>
  <c r="BZ54" i="75"/>
  <c r="BV54" i="75"/>
  <c r="BR54" i="75"/>
  <c r="BR50" i="75" s="1"/>
  <c r="BN54" i="75"/>
  <c r="BJ54" i="75"/>
  <c r="BF54" i="75"/>
  <c r="AH54" i="75" s="1"/>
  <c r="AG54" i="75" s="1"/>
  <c r="BB54" i="75"/>
  <c r="AX54" i="75"/>
  <c r="AT54" i="75"/>
  <c r="AP54" i="75"/>
  <c r="AL54" i="75"/>
  <c r="AF54" i="75"/>
  <c r="AD54" i="75"/>
  <c r="J54" i="75"/>
  <c r="G54" i="75"/>
  <c r="D54" i="75"/>
  <c r="C54" i="75"/>
  <c r="CD53" i="75"/>
  <c r="BZ53" i="75"/>
  <c r="BV53" i="75"/>
  <c r="BR53" i="75"/>
  <c r="BN53" i="75"/>
  <c r="BJ53" i="75"/>
  <c r="BF53" i="75"/>
  <c r="BB53" i="75"/>
  <c r="AX53" i="75"/>
  <c r="AT53" i="75"/>
  <c r="AP53" i="75"/>
  <c r="AL53" i="75"/>
  <c r="AH53" i="75"/>
  <c r="AF53" i="75"/>
  <c r="AG53" i="75" s="1"/>
  <c r="AD53" i="75"/>
  <c r="G53" i="75"/>
  <c r="D53" i="75"/>
  <c r="CD52" i="75"/>
  <c r="BZ52" i="75"/>
  <c r="BV52" i="75"/>
  <c r="BR52" i="75"/>
  <c r="BN52" i="75"/>
  <c r="BJ52" i="75"/>
  <c r="BF52" i="75"/>
  <c r="BB52" i="75"/>
  <c r="AX52" i="75"/>
  <c r="AX50" i="75" s="1"/>
  <c r="AT52" i="75"/>
  <c r="AP52" i="75"/>
  <c r="AL52" i="75"/>
  <c r="AH52" i="75" s="1"/>
  <c r="AG52" i="75" s="1"/>
  <c r="AF52" i="75"/>
  <c r="AD52" i="75"/>
  <c r="G52" i="75"/>
  <c r="D52" i="75"/>
  <c r="C52" i="75"/>
  <c r="CD51" i="75"/>
  <c r="CD50" i="75" s="1"/>
  <c r="BZ51" i="75"/>
  <c r="BZ50" i="75" s="1"/>
  <c r="BV51" i="75"/>
  <c r="BV50" i="75" s="1"/>
  <c r="BR51" i="75"/>
  <c r="BN51" i="75"/>
  <c r="BJ51" i="75"/>
  <c r="BF51" i="75"/>
  <c r="BF50" i="75" s="1"/>
  <c r="BB51" i="75"/>
  <c r="BB50" i="75" s="1"/>
  <c r="AX51" i="75"/>
  <c r="AT51" i="75"/>
  <c r="AP51" i="75"/>
  <c r="AP50" i="75" s="1"/>
  <c r="AL51" i="75"/>
  <c r="AF51" i="75"/>
  <c r="AD51" i="75"/>
  <c r="J51" i="75"/>
  <c r="G51" i="75"/>
  <c r="D51" i="75"/>
  <c r="C51" i="75"/>
  <c r="AD50" i="75"/>
  <c r="D50" i="75"/>
  <c r="C50" i="75"/>
  <c r="CD49" i="75"/>
  <c r="BZ49" i="75"/>
  <c r="BV49" i="75"/>
  <c r="BR49" i="75"/>
  <c r="BN49" i="75"/>
  <c r="BJ49" i="75"/>
  <c r="BF49" i="75"/>
  <c r="BB49" i="75"/>
  <c r="AX49" i="75"/>
  <c r="AT49" i="75"/>
  <c r="AH49" i="75" s="1"/>
  <c r="AG49" i="75" s="1"/>
  <c r="AP49" i="75"/>
  <c r="AL49" i="75"/>
  <c r="AF49" i="75"/>
  <c r="AD49" i="75"/>
  <c r="J49" i="75"/>
  <c r="K49" i="75" s="1"/>
  <c r="G49" i="75"/>
  <c r="D49" i="75"/>
  <c r="C49" i="75"/>
  <c r="CD48" i="75"/>
  <c r="BZ48" i="75"/>
  <c r="BV48" i="75"/>
  <c r="BR48" i="75"/>
  <c r="AH48" i="75" s="1"/>
  <c r="AG48" i="75" s="1"/>
  <c r="BN48" i="75"/>
  <c r="BJ48" i="75"/>
  <c r="BF48" i="75"/>
  <c r="BB48" i="75"/>
  <c r="AX48" i="75"/>
  <c r="AT48" i="75"/>
  <c r="AP48" i="75"/>
  <c r="AL48" i="75"/>
  <c r="AF48" i="75"/>
  <c r="AD48" i="75"/>
  <c r="J48" i="75"/>
  <c r="K48" i="75" s="1"/>
  <c r="G48" i="75"/>
  <c r="D48" i="75"/>
  <c r="CD47" i="75"/>
  <c r="BZ47" i="75"/>
  <c r="BV47" i="75"/>
  <c r="BR47" i="75"/>
  <c r="BN47" i="75"/>
  <c r="BJ47" i="75"/>
  <c r="BF47" i="75"/>
  <c r="BB47" i="75"/>
  <c r="AX47" i="75"/>
  <c r="AT47" i="75"/>
  <c r="AP47" i="75"/>
  <c r="AL47" i="75"/>
  <c r="AH47" i="75"/>
  <c r="AG47" i="75"/>
  <c r="AF47" i="75"/>
  <c r="AD47" i="75"/>
  <c r="J47" i="75"/>
  <c r="K47" i="75" s="1"/>
  <c r="G47" i="75"/>
  <c r="D47" i="75"/>
  <c r="CD46" i="75"/>
  <c r="BZ46" i="75"/>
  <c r="BV46" i="75"/>
  <c r="BR46" i="75"/>
  <c r="BN46" i="75"/>
  <c r="BJ46" i="75"/>
  <c r="BF46" i="75"/>
  <c r="BB46" i="75"/>
  <c r="AH46" i="75" s="1"/>
  <c r="AG46" i="75" s="1"/>
  <c r="AX46" i="75"/>
  <c r="AT46" i="75"/>
  <c r="AP46" i="75"/>
  <c r="AL46" i="75"/>
  <c r="AF46" i="75"/>
  <c r="AD46" i="75"/>
  <c r="J46" i="75"/>
  <c r="K46" i="75" s="1"/>
  <c r="G46" i="75"/>
  <c r="D46" i="75"/>
  <c r="C46" i="75"/>
  <c r="CD45" i="75"/>
  <c r="BZ45" i="75"/>
  <c r="BV45" i="75"/>
  <c r="BR45" i="75"/>
  <c r="BN45" i="75"/>
  <c r="BJ45" i="75"/>
  <c r="BF45" i="75"/>
  <c r="BB45" i="75"/>
  <c r="AX45" i="75"/>
  <c r="AT45" i="75"/>
  <c r="AP45" i="75"/>
  <c r="AH45" i="75" s="1"/>
  <c r="AG45" i="75" s="1"/>
  <c r="AL45" i="75"/>
  <c r="AF45" i="75"/>
  <c r="AD45" i="75"/>
  <c r="J45" i="75"/>
  <c r="K45" i="75" s="1"/>
  <c r="G45" i="75"/>
  <c r="D45" i="75"/>
  <c r="CD44" i="75"/>
  <c r="BZ44" i="75"/>
  <c r="BV44" i="75"/>
  <c r="BR44" i="75"/>
  <c r="BN44" i="75"/>
  <c r="BJ44" i="75"/>
  <c r="BF44" i="75"/>
  <c r="BB44" i="75"/>
  <c r="AX44" i="75"/>
  <c r="AT44" i="75"/>
  <c r="AP44" i="75"/>
  <c r="AL44" i="75"/>
  <c r="AH44" i="75" s="1"/>
  <c r="AG44" i="75" s="1"/>
  <c r="AF44" i="75"/>
  <c r="AD44" i="75"/>
  <c r="J44" i="75"/>
  <c r="K44" i="75" s="1"/>
  <c r="G44" i="75"/>
  <c r="D44" i="75"/>
  <c r="CD43" i="75"/>
  <c r="BZ43" i="75"/>
  <c r="BV43" i="75"/>
  <c r="BR43" i="75"/>
  <c r="BN43" i="75"/>
  <c r="BJ43" i="75"/>
  <c r="BF43" i="75"/>
  <c r="BB43" i="75"/>
  <c r="AX43" i="75"/>
  <c r="AT43" i="75"/>
  <c r="AP43" i="75"/>
  <c r="AL43" i="75"/>
  <c r="AH43" i="75" s="1"/>
  <c r="AG43" i="75" s="1"/>
  <c r="AF43" i="75"/>
  <c r="AD43" i="75"/>
  <c r="J43" i="75"/>
  <c r="K43" i="75" s="1"/>
  <c r="G43" i="75"/>
  <c r="D43" i="75"/>
  <c r="C43" i="75"/>
  <c r="CD42" i="75"/>
  <c r="BZ42" i="75"/>
  <c r="BV42" i="75"/>
  <c r="BR42" i="75"/>
  <c r="BN42" i="75"/>
  <c r="BJ42" i="75"/>
  <c r="BF42" i="75"/>
  <c r="BB42" i="75"/>
  <c r="AX42" i="75"/>
  <c r="AT42" i="75"/>
  <c r="AP42" i="75"/>
  <c r="AL42" i="75"/>
  <c r="AH42" i="75"/>
  <c r="AF42" i="75"/>
  <c r="AG42" i="75" s="1"/>
  <c r="AD42" i="75"/>
  <c r="J42" i="75"/>
  <c r="K42" i="75" s="1"/>
  <c r="G42" i="75"/>
  <c r="D42" i="75"/>
  <c r="C42" i="75"/>
  <c r="CD41" i="75"/>
  <c r="BZ41" i="75"/>
  <c r="BV41" i="75"/>
  <c r="BR41" i="75"/>
  <c r="BN41" i="75"/>
  <c r="BJ41" i="75"/>
  <c r="BF41" i="75"/>
  <c r="BB41" i="75"/>
  <c r="AX41" i="75"/>
  <c r="AT41" i="75"/>
  <c r="AH41" i="75" s="1"/>
  <c r="AG41" i="75" s="1"/>
  <c r="AP41" i="75"/>
  <c r="AL41" i="75"/>
  <c r="AF41" i="75"/>
  <c r="AD41" i="75"/>
  <c r="J41" i="75"/>
  <c r="K41" i="75" s="1"/>
  <c r="G41" i="75"/>
  <c r="D41" i="75"/>
  <c r="C41" i="75"/>
  <c r="CD40" i="75"/>
  <c r="BZ40" i="75"/>
  <c r="BZ37" i="75" s="1"/>
  <c r="BV40" i="75"/>
  <c r="BR40" i="75"/>
  <c r="AH40" i="75" s="1"/>
  <c r="AG40" i="75" s="1"/>
  <c r="BN40" i="75"/>
  <c r="BJ40" i="75"/>
  <c r="BF40" i="75"/>
  <c r="BB40" i="75"/>
  <c r="AX40" i="75"/>
  <c r="AT40" i="75"/>
  <c r="AP40" i="75"/>
  <c r="AL40" i="75"/>
  <c r="AF40" i="75"/>
  <c r="AD40" i="75"/>
  <c r="J40" i="75"/>
  <c r="K40" i="75" s="1"/>
  <c r="G40" i="75"/>
  <c r="D40" i="75"/>
  <c r="CD39" i="75"/>
  <c r="BZ39" i="75"/>
  <c r="BV39" i="75"/>
  <c r="BR39" i="75"/>
  <c r="BN39" i="75"/>
  <c r="BJ39" i="75"/>
  <c r="BF39" i="75"/>
  <c r="BB39" i="75"/>
  <c r="AX39" i="75"/>
  <c r="AT39" i="75"/>
  <c r="AT37" i="75" s="1"/>
  <c r="AP39" i="75"/>
  <c r="AP37" i="75" s="1"/>
  <c r="AL39" i="75"/>
  <c r="AL37" i="75" s="1"/>
  <c r="AH39" i="75"/>
  <c r="AG39" i="75"/>
  <c r="AF39" i="75"/>
  <c r="AD39" i="75"/>
  <c r="J39" i="75"/>
  <c r="K39" i="75" s="1"/>
  <c r="G39" i="75"/>
  <c r="D39" i="75"/>
  <c r="CD38" i="75"/>
  <c r="BZ38" i="75"/>
  <c r="BV38" i="75"/>
  <c r="BV37" i="75" s="1"/>
  <c r="BR38" i="75"/>
  <c r="BR37" i="75" s="1"/>
  <c r="BN38" i="75"/>
  <c r="BN37" i="75" s="1"/>
  <c r="BJ38" i="75"/>
  <c r="BJ37" i="75" s="1"/>
  <c r="BF38" i="75"/>
  <c r="BF37" i="75" s="1"/>
  <c r="BB38" i="75"/>
  <c r="AH38" i="75" s="1"/>
  <c r="AX38" i="75"/>
  <c r="AT38" i="75"/>
  <c r="AP38" i="75"/>
  <c r="AL38" i="75"/>
  <c r="AF38" i="75"/>
  <c r="AD38" i="75"/>
  <c r="G38" i="75"/>
  <c r="D38" i="75"/>
  <c r="C38" i="75"/>
  <c r="CD37" i="75"/>
  <c r="AX37" i="75"/>
  <c r="AD37" i="75"/>
  <c r="D37" i="75"/>
  <c r="C37" i="75"/>
  <c r="CD36" i="75"/>
  <c r="BZ36" i="75"/>
  <c r="BV36" i="75"/>
  <c r="BR36" i="75"/>
  <c r="BN36" i="75"/>
  <c r="BJ36" i="75"/>
  <c r="BF36" i="75"/>
  <c r="BB36" i="75"/>
  <c r="AX36" i="75"/>
  <c r="AT36" i="75"/>
  <c r="AP36" i="75"/>
  <c r="AH36" i="75" s="1"/>
  <c r="AG36" i="75" s="1"/>
  <c r="AL36" i="75"/>
  <c r="AF36" i="75"/>
  <c r="AD36" i="75"/>
  <c r="J36" i="75"/>
  <c r="K36" i="75" s="1"/>
  <c r="G36" i="75"/>
  <c r="D36" i="75"/>
  <c r="CD35" i="75"/>
  <c r="BZ35" i="75"/>
  <c r="BV35" i="75"/>
  <c r="BR35" i="75"/>
  <c r="BN35" i="75"/>
  <c r="BJ35" i="75"/>
  <c r="BF35" i="75"/>
  <c r="BB35" i="75"/>
  <c r="AX35" i="75"/>
  <c r="AT35" i="75"/>
  <c r="AP35" i="75"/>
  <c r="AL35" i="75"/>
  <c r="AH35" i="75" s="1"/>
  <c r="AG35" i="75" s="1"/>
  <c r="AF35" i="75"/>
  <c r="AD35" i="75"/>
  <c r="J35" i="75"/>
  <c r="K35" i="75" s="1"/>
  <c r="G35" i="75"/>
  <c r="D35" i="75"/>
  <c r="CD34" i="75"/>
  <c r="BZ34" i="75"/>
  <c r="BV34" i="75"/>
  <c r="BR34" i="75"/>
  <c r="BN34" i="75"/>
  <c r="BJ34" i="75"/>
  <c r="BF34" i="75"/>
  <c r="BB34" i="75"/>
  <c r="AX34" i="75"/>
  <c r="AT34" i="75"/>
  <c r="AP34" i="75"/>
  <c r="AL34" i="75"/>
  <c r="AH34" i="75" s="1"/>
  <c r="AG34" i="75" s="1"/>
  <c r="AF34" i="75"/>
  <c r="AD34" i="75"/>
  <c r="J34" i="75"/>
  <c r="K34" i="75" s="1"/>
  <c r="G34" i="75"/>
  <c r="D34" i="75"/>
  <c r="C34" i="75"/>
  <c r="CD33" i="75"/>
  <c r="BZ33" i="75"/>
  <c r="BV33" i="75"/>
  <c r="BR33" i="75"/>
  <c r="BN33" i="75"/>
  <c r="BJ33" i="75"/>
  <c r="BF33" i="75"/>
  <c r="BB33" i="75"/>
  <c r="AX33" i="75"/>
  <c r="AT33" i="75"/>
  <c r="AP33" i="75"/>
  <c r="AL33" i="75"/>
  <c r="AH33" i="75"/>
  <c r="AF33" i="75"/>
  <c r="AG33" i="75" s="1"/>
  <c r="AD33" i="75"/>
  <c r="J33" i="75"/>
  <c r="K33" i="75" s="1"/>
  <c r="G33" i="75"/>
  <c r="D33" i="75"/>
  <c r="C33" i="75"/>
  <c r="CD32" i="75"/>
  <c r="BZ32" i="75"/>
  <c r="BV32" i="75"/>
  <c r="BR32" i="75"/>
  <c r="BN32" i="75"/>
  <c r="BJ32" i="75"/>
  <c r="BF32" i="75"/>
  <c r="BB32" i="75"/>
  <c r="AX32" i="75"/>
  <c r="AT32" i="75"/>
  <c r="AH32" i="75" s="1"/>
  <c r="AG32" i="75" s="1"/>
  <c r="AP32" i="75"/>
  <c r="AL32" i="75"/>
  <c r="AF32" i="75"/>
  <c r="AD32" i="75"/>
  <c r="J32" i="75"/>
  <c r="K32" i="75" s="1"/>
  <c r="G32" i="75"/>
  <c r="D32" i="75"/>
  <c r="C32" i="75"/>
  <c r="CD31" i="75"/>
  <c r="BZ31" i="75"/>
  <c r="BV31" i="75"/>
  <c r="BR31" i="75"/>
  <c r="BR24" i="75" s="1"/>
  <c r="BN31" i="75"/>
  <c r="BJ31" i="75"/>
  <c r="BF31" i="75"/>
  <c r="BB31" i="75"/>
  <c r="AX31" i="75"/>
  <c r="AT31" i="75"/>
  <c r="AP31" i="75"/>
  <c r="AL31" i="75"/>
  <c r="AF31" i="75"/>
  <c r="AD31" i="75"/>
  <c r="J31" i="75"/>
  <c r="K31" i="75" s="1"/>
  <c r="G31" i="75"/>
  <c r="D31" i="75"/>
  <c r="CD30" i="75"/>
  <c r="BZ30" i="75"/>
  <c r="BV30" i="75"/>
  <c r="BR30" i="75"/>
  <c r="BN30" i="75"/>
  <c r="BJ30" i="75"/>
  <c r="BF30" i="75"/>
  <c r="BB30" i="75"/>
  <c r="AX30" i="75"/>
  <c r="AT30" i="75"/>
  <c r="AP30" i="75"/>
  <c r="AL30" i="75"/>
  <c r="AH30" i="75"/>
  <c r="AG30" i="75"/>
  <c r="AF30" i="75"/>
  <c r="AD30" i="75"/>
  <c r="J30" i="75"/>
  <c r="K30" i="75" s="1"/>
  <c r="G30" i="75"/>
  <c r="D30" i="75"/>
  <c r="C30" i="75"/>
  <c r="CD29" i="75"/>
  <c r="BZ29" i="75"/>
  <c r="BV29" i="75"/>
  <c r="BR29" i="75"/>
  <c r="BN29" i="75"/>
  <c r="BJ29" i="75"/>
  <c r="BF29" i="75"/>
  <c r="BB29" i="75"/>
  <c r="AH29" i="75" s="1"/>
  <c r="AG29" i="75" s="1"/>
  <c r="AX29" i="75"/>
  <c r="AT29" i="75"/>
  <c r="AP29" i="75"/>
  <c r="AL29" i="75"/>
  <c r="AF29" i="75"/>
  <c r="AD29" i="75"/>
  <c r="J29" i="75"/>
  <c r="K29" i="75" s="1"/>
  <c r="G29" i="75"/>
  <c r="D29" i="75"/>
  <c r="C29" i="75"/>
  <c r="CD28" i="75"/>
  <c r="BZ28" i="75"/>
  <c r="BV28" i="75"/>
  <c r="BR28" i="75"/>
  <c r="BN28" i="75"/>
  <c r="BJ28" i="75"/>
  <c r="BF28" i="75"/>
  <c r="BB28" i="75"/>
  <c r="AX28" i="75"/>
  <c r="AT28" i="75"/>
  <c r="AP28" i="75"/>
  <c r="AH28" i="75" s="1"/>
  <c r="AG28" i="75" s="1"/>
  <c r="AL28" i="75"/>
  <c r="AF28" i="75"/>
  <c r="AD28" i="75"/>
  <c r="J28" i="75"/>
  <c r="K28" i="75" s="1"/>
  <c r="G28" i="75"/>
  <c r="D28" i="75"/>
  <c r="CD27" i="75"/>
  <c r="BZ27" i="75"/>
  <c r="BV27" i="75"/>
  <c r="BR27" i="75"/>
  <c r="BN27" i="75"/>
  <c r="BJ27" i="75"/>
  <c r="BF27" i="75"/>
  <c r="BB27" i="75"/>
  <c r="BB24" i="75" s="1"/>
  <c r="AX27" i="75"/>
  <c r="AT27" i="75"/>
  <c r="AT24" i="75" s="1"/>
  <c r="AP27" i="75"/>
  <c r="AP24" i="75" s="1"/>
  <c r="AL27" i="75"/>
  <c r="AL24" i="75" s="1"/>
  <c r="AF27" i="75"/>
  <c r="AD27" i="75"/>
  <c r="J27" i="75"/>
  <c r="K27" i="75" s="1"/>
  <c r="G27" i="75"/>
  <c r="D27" i="75"/>
  <c r="CD26" i="75"/>
  <c r="CD24" i="75" s="1"/>
  <c r="BZ26" i="75"/>
  <c r="BV26" i="75"/>
  <c r="BV24" i="75" s="1"/>
  <c r="BR26" i="75"/>
  <c r="BN26" i="75"/>
  <c r="BJ26" i="75"/>
  <c r="BF26" i="75"/>
  <c r="BB26" i="75"/>
  <c r="AX26" i="75"/>
  <c r="AT26" i="75"/>
  <c r="AP26" i="75"/>
  <c r="AL26" i="75"/>
  <c r="AH26" i="75" s="1"/>
  <c r="AF26" i="75"/>
  <c r="AD26" i="75"/>
  <c r="J26" i="75"/>
  <c r="K26" i="75" s="1"/>
  <c r="G26" i="75"/>
  <c r="D26" i="75"/>
  <c r="C26" i="75"/>
  <c r="CD25" i="75"/>
  <c r="BZ25" i="75"/>
  <c r="BZ24" i="75" s="1"/>
  <c r="BV25" i="75"/>
  <c r="BR25" i="75"/>
  <c r="BN25" i="75"/>
  <c r="BJ25" i="75"/>
  <c r="BJ24" i="75" s="1"/>
  <c r="BF25" i="75"/>
  <c r="BF24" i="75" s="1"/>
  <c r="BB25" i="75"/>
  <c r="AX25" i="75"/>
  <c r="AX24" i="75" s="1"/>
  <c r="AT25" i="75"/>
  <c r="AP25" i="75"/>
  <c r="AL25" i="75"/>
  <c r="AH25" i="75"/>
  <c r="AF25" i="75"/>
  <c r="AG25" i="75" s="1"/>
  <c r="AD25" i="75"/>
  <c r="J25" i="75"/>
  <c r="G25" i="75"/>
  <c r="D25" i="75"/>
  <c r="BN24" i="75"/>
  <c r="AD24" i="75"/>
  <c r="D24" i="75"/>
  <c r="CD23" i="75"/>
  <c r="BZ23" i="75"/>
  <c r="BV23" i="75"/>
  <c r="BR23" i="75"/>
  <c r="BN23" i="75"/>
  <c r="BJ23" i="75"/>
  <c r="BF23" i="75"/>
  <c r="BB23" i="75"/>
  <c r="AX23" i="75"/>
  <c r="AT23" i="75"/>
  <c r="AP23" i="75"/>
  <c r="AL23" i="75"/>
  <c r="AH23" i="75" s="1"/>
  <c r="AG23" i="75" s="1"/>
  <c r="AF23" i="75"/>
  <c r="AD23" i="75"/>
  <c r="O23" i="75"/>
  <c r="J23" i="75"/>
  <c r="K23" i="75" s="1"/>
  <c r="G23" i="75"/>
  <c r="D23" i="75"/>
  <c r="C23" i="75"/>
  <c r="CD22" i="75"/>
  <c r="BZ22" i="75"/>
  <c r="BV22" i="75"/>
  <c r="BR22" i="75"/>
  <c r="BN22" i="75"/>
  <c r="BJ22" i="75"/>
  <c r="BF22" i="75"/>
  <c r="BB22" i="75"/>
  <c r="AX22" i="75"/>
  <c r="AT22" i="75"/>
  <c r="AP22" i="75"/>
  <c r="AH22" i="75" s="1"/>
  <c r="AG22" i="75" s="1"/>
  <c r="AL22" i="75"/>
  <c r="AF22" i="75"/>
  <c r="AD22" i="75"/>
  <c r="O22" i="75"/>
  <c r="J22" i="75"/>
  <c r="K22" i="75" s="1"/>
  <c r="G22" i="75"/>
  <c r="D22" i="75"/>
  <c r="C22" i="75"/>
  <c r="CD21" i="75"/>
  <c r="BZ21" i="75"/>
  <c r="BV21" i="75"/>
  <c r="BR21" i="75"/>
  <c r="BN21" i="75"/>
  <c r="BJ21" i="75"/>
  <c r="BF21" i="75"/>
  <c r="BB21" i="75"/>
  <c r="AX21" i="75"/>
  <c r="AT21" i="75"/>
  <c r="AP21" i="75"/>
  <c r="AH21" i="75" s="1"/>
  <c r="AG21" i="75" s="1"/>
  <c r="AL21" i="75"/>
  <c r="AF21" i="75"/>
  <c r="AD21" i="75"/>
  <c r="O21" i="75"/>
  <c r="J21" i="75"/>
  <c r="K21" i="75" s="1"/>
  <c r="G21" i="75"/>
  <c r="D21" i="75"/>
  <c r="C21" i="75"/>
  <c r="CD20" i="75"/>
  <c r="BZ20" i="75"/>
  <c r="BV20" i="75"/>
  <c r="BR20" i="75"/>
  <c r="AH20" i="75" s="1"/>
  <c r="AG20" i="75" s="1"/>
  <c r="BN20" i="75"/>
  <c r="BJ20" i="75"/>
  <c r="BF20" i="75"/>
  <c r="BB20" i="75"/>
  <c r="AX20" i="75"/>
  <c r="AT20" i="75"/>
  <c r="AP20" i="75"/>
  <c r="AL20" i="75"/>
  <c r="AF20" i="75"/>
  <c r="AD20" i="75"/>
  <c r="O20" i="75"/>
  <c r="J20" i="75"/>
  <c r="K20" i="75" s="1"/>
  <c r="G20" i="75"/>
  <c r="D20" i="75"/>
  <c r="CD19" i="75"/>
  <c r="BZ19" i="75"/>
  <c r="BV19" i="75"/>
  <c r="BR19" i="75"/>
  <c r="BN19" i="75"/>
  <c r="BJ19" i="75"/>
  <c r="BF19" i="75"/>
  <c r="BB19" i="75"/>
  <c r="AX19" i="75"/>
  <c r="AT19" i="75"/>
  <c r="AP19" i="75"/>
  <c r="AL19" i="75"/>
  <c r="AH19" i="75"/>
  <c r="AG19" i="75" s="1"/>
  <c r="AF19" i="75"/>
  <c r="AD19" i="75"/>
  <c r="O19" i="75"/>
  <c r="J19" i="75"/>
  <c r="K19" i="75" s="1"/>
  <c r="G19" i="75"/>
  <c r="D19" i="75"/>
  <c r="CD18" i="75"/>
  <c r="BZ18" i="75"/>
  <c r="BV18" i="75"/>
  <c r="BR18" i="75"/>
  <c r="BN18" i="75"/>
  <c r="BJ18" i="75"/>
  <c r="BF18" i="75"/>
  <c r="BB18" i="75"/>
  <c r="AX18" i="75"/>
  <c r="AT18" i="75"/>
  <c r="AP18" i="75"/>
  <c r="AL18" i="75"/>
  <c r="AH18" i="75" s="1"/>
  <c r="AG18" i="75" s="1"/>
  <c r="AF18" i="75"/>
  <c r="AD18" i="75"/>
  <c r="O18" i="75"/>
  <c r="J18" i="75"/>
  <c r="K18" i="75" s="1"/>
  <c r="G18" i="75"/>
  <c r="D18" i="75"/>
  <c r="CD17" i="75"/>
  <c r="BZ17" i="75"/>
  <c r="BV17" i="75"/>
  <c r="BR17" i="75"/>
  <c r="BN17" i="75"/>
  <c r="BJ17" i="75"/>
  <c r="BF17" i="75"/>
  <c r="BB17" i="75"/>
  <c r="AX17" i="75"/>
  <c r="AT17" i="75"/>
  <c r="AP17" i="75"/>
  <c r="AL17" i="75"/>
  <c r="AH17" i="75"/>
  <c r="AF17" i="75"/>
  <c r="AG17" i="75" s="1"/>
  <c r="AD17" i="75"/>
  <c r="O17" i="75"/>
  <c r="J17" i="75"/>
  <c r="K17" i="75" s="1"/>
  <c r="G17" i="75"/>
  <c r="D17" i="75"/>
  <c r="C17" i="75"/>
  <c r="CD16" i="75"/>
  <c r="BZ16" i="75"/>
  <c r="BV16" i="75"/>
  <c r="BR16" i="75"/>
  <c r="BN16" i="75"/>
  <c r="BJ16" i="75"/>
  <c r="BF16" i="75"/>
  <c r="BB16" i="75"/>
  <c r="AH16" i="75" s="1"/>
  <c r="AG16" i="75" s="1"/>
  <c r="AX16" i="75"/>
  <c r="AT16" i="75"/>
  <c r="AP16" i="75"/>
  <c r="AL16" i="75"/>
  <c r="AF16" i="75"/>
  <c r="AD16" i="75"/>
  <c r="O16" i="75"/>
  <c r="J16" i="75"/>
  <c r="K16" i="75" s="1"/>
  <c r="G16" i="75"/>
  <c r="D16" i="75"/>
  <c r="C16" i="75"/>
  <c r="CD15" i="75"/>
  <c r="BZ15" i="75"/>
  <c r="BV15" i="75"/>
  <c r="BR15" i="75"/>
  <c r="BN15" i="75"/>
  <c r="BJ15" i="75"/>
  <c r="BF15" i="75"/>
  <c r="BB15" i="75"/>
  <c r="AX15" i="75"/>
  <c r="AT15" i="75"/>
  <c r="AH15" i="75" s="1"/>
  <c r="AG15" i="75" s="1"/>
  <c r="AP15" i="75"/>
  <c r="AL15" i="75"/>
  <c r="AF15" i="75"/>
  <c r="AD15" i="75"/>
  <c r="O15" i="75"/>
  <c r="J15" i="75"/>
  <c r="K15" i="75" s="1"/>
  <c r="G15" i="75"/>
  <c r="D15" i="75"/>
  <c r="C15" i="75"/>
  <c r="CD14" i="75"/>
  <c r="BZ14" i="75"/>
  <c r="BV14" i="75"/>
  <c r="BR14" i="75"/>
  <c r="BN14" i="75"/>
  <c r="BJ14" i="75"/>
  <c r="BJ11" i="75" s="1"/>
  <c r="BF14" i="75"/>
  <c r="BB14" i="75"/>
  <c r="AX14" i="75"/>
  <c r="AT14" i="75"/>
  <c r="AH14" i="75" s="1"/>
  <c r="AG14" i="75" s="1"/>
  <c r="AP14" i="75"/>
  <c r="AL14" i="75"/>
  <c r="AF14" i="75"/>
  <c r="AD14" i="75"/>
  <c r="O14" i="75"/>
  <c r="J14" i="75"/>
  <c r="K14" i="75" s="1"/>
  <c r="G14" i="75"/>
  <c r="D14" i="75"/>
  <c r="C14" i="75"/>
  <c r="CD13" i="75"/>
  <c r="CD11" i="75" s="1"/>
  <c r="BZ13" i="75"/>
  <c r="BZ11" i="75" s="1"/>
  <c r="BV13" i="75"/>
  <c r="BR13" i="75"/>
  <c r="BN13" i="75"/>
  <c r="BJ13" i="75"/>
  <c r="BF13" i="75"/>
  <c r="BB13" i="75"/>
  <c r="AX13" i="75"/>
  <c r="AT13" i="75"/>
  <c r="AP13" i="75"/>
  <c r="AL13" i="75"/>
  <c r="AH13" i="75" s="1"/>
  <c r="AG13" i="75" s="1"/>
  <c r="AF13" i="75"/>
  <c r="AD13" i="75"/>
  <c r="O13" i="75"/>
  <c r="J13" i="75"/>
  <c r="K13" i="75" s="1"/>
  <c r="G13" i="75"/>
  <c r="D13" i="75"/>
  <c r="CD12" i="75"/>
  <c r="BZ12" i="75"/>
  <c r="BV12" i="75"/>
  <c r="BR12" i="75"/>
  <c r="BR11" i="75" s="1"/>
  <c r="BN12" i="75"/>
  <c r="BN11" i="75" s="1"/>
  <c r="BJ12" i="75"/>
  <c r="BF12" i="75"/>
  <c r="BF11" i="75" s="1"/>
  <c r="BB12" i="75"/>
  <c r="BB11" i="75" s="1"/>
  <c r="AX12" i="75"/>
  <c r="AX11" i="75" s="1"/>
  <c r="AT12" i="75"/>
  <c r="AP12" i="75"/>
  <c r="AL12" i="75"/>
  <c r="AL11" i="75" s="1"/>
  <c r="AF12" i="75"/>
  <c r="AD12" i="75"/>
  <c r="J12" i="75"/>
  <c r="G12" i="75"/>
  <c r="D12" i="75"/>
  <c r="C12" i="75"/>
  <c r="BV11" i="75"/>
  <c r="BU6" i="75" s="1"/>
  <c r="AP11" i="75"/>
  <c r="AD11" i="75"/>
  <c r="D11" i="75"/>
  <c r="C11" i="75"/>
  <c r="AF6" i="75"/>
  <c r="A3" i="75"/>
  <c r="C56" i="75" s="1"/>
  <c r="B126" i="2"/>
  <c r="B54" i="4"/>
  <c r="D54" i="4"/>
  <c r="E126" i="2" s="1"/>
  <c r="M51" i="74"/>
  <c r="I51" i="74" s="1"/>
  <c r="CD62" i="74"/>
  <c r="BZ62" i="74"/>
  <c r="BV62" i="74"/>
  <c r="BR62" i="74"/>
  <c r="BN62" i="74"/>
  <c r="BJ62" i="74"/>
  <c r="BF62" i="74"/>
  <c r="BB62" i="74"/>
  <c r="AX62" i="74"/>
  <c r="AT62" i="74"/>
  <c r="AP62" i="74"/>
  <c r="AL62" i="74"/>
  <c r="AH62" i="74"/>
  <c r="AF62" i="74"/>
  <c r="AG62" i="74" s="1"/>
  <c r="AD62" i="74"/>
  <c r="J62" i="74"/>
  <c r="I62" i="74"/>
  <c r="G62" i="74"/>
  <c r="D62" i="74"/>
  <c r="C62" i="74"/>
  <c r="CD61" i="74"/>
  <c r="BZ61" i="74"/>
  <c r="BV61" i="74"/>
  <c r="BR61" i="74"/>
  <c r="BN61" i="74"/>
  <c r="BJ61" i="74"/>
  <c r="BF61" i="74"/>
  <c r="BB61" i="74"/>
  <c r="AX61" i="74"/>
  <c r="AT61" i="74"/>
  <c r="AP61" i="74"/>
  <c r="AH61" i="74" s="1"/>
  <c r="AG61" i="74" s="1"/>
  <c r="AL61" i="74"/>
  <c r="AF61" i="74"/>
  <c r="AD61" i="74"/>
  <c r="J61" i="74"/>
  <c r="I61" i="74"/>
  <c r="G61" i="74"/>
  <c r="D61" i="74"/>
  <c r="C61" i="74"/>
  <c r="CD60" i="74"/>
  <c r="BZ60" i="74"/>
  <c r="AH60" i="74" s="1"/>
  <c r="AG60" i="74" s="1"/>
  <c r="BV60" i="74"/>
  <c r="BR60" i="74"/>
  <c r="BN60" i="74"/>
  <c r="BJ60" i="74"/>
  <c r="BF60" i="74"/>
  <c r="BB60" i="74"/>
  <c r="AX60" i="74"/>
  <c r="AT60" i="74"/>
  <c r="AP60" i="74"/>
  <c r="AL60" i="74"/>
  <c r="AF60" i="74"/>
  <c r="AD60" i="74"/>
  <c r="J60" i="74"/>
  <c r="I60" i="74"/>
  <c r="G60" i="74"/>
  <c r="D60" i="74"/>
  <c r="CD59" i="74"/>
  <c r="BZ59" i="74"/>
  <c r="BV59" i="74"/>
  <c r="BR59" i="74"/>
  <c r="BN59" i="74"/>
  <c r="BJ59" i="74"/>
  <c r="BF59" i="74"/>
  <c r="BB59" i="74"/>
  <c r="AX59" i="74"/>
  <c r="AT59" i="74"/>
  <c r="AP59" i="74"/>
  <c r="AH59" i="74" s="1"/>
  <c r="AG59" i="74" s="1"/>
  <c r="AL59" i="74"/>
  <c r="AF59" i="74"/>
  <c r="AD59" i="74"/>
  <c r="J59" i="74"/>
  <c r="I59" i="74"/>
  <c r="G59" i="74"/>
  <c r="D59" i="74"/>
  <c r="C59" i="74"/>
  <c r="CD58" i="74"/>
  <c r="BZ58" i="74"/>
  <c r="BV58" i="74"/>
  <c r="BR58" i="74"/>
  <c r="AH58" i="74" s="1"/>
  <c r="AG58" i="74" s="1"/>
  <c r="BN58" i="74"/>
  <c r="BJ58" i="74"/>
  <c r="BF58" i="74"/>
  <c r="BB58" i="74"/>
  <c r="AX58" i="74"/>
  <c r="AT58" i="74"/>
  <c r="AP58" i="74"/>
  <c r="AL58" i="74"/>
  <c r="AF58" i="74"/>
  <c r="AD58" i="74"/>
  <c r="J58" i="74"/>
  <c r="I58" i="74"/>
  <c r="G58" i="74"/>
  <c r="D58" i="74"/>
  <c r="CD57" i="74"/>
  <c r="BZ57" i="74"/>
  <c r="BV57" i="74"/>
  <c r="BR57" i="74"/>
  <c r="BN57" i="74"/>
  <c r="BJ57" i="74"/>
  <c r="BF57" i="74"/>
  <c r="BB57" i="74"/>
  <c r="AX57" i="74"/>
  <c r="AT57" i="74"/>
  <c r="AP57" i="74"/>
  <c r="AL57" i="74"/>
  <c r="AH57" i="74"/>
  <c r="AG57" i="74" s="1"/>
  <c r="AF57" i="74"/>
  <c r="AD57" i="74"/>
  <c r="J57" i="74"/>
  <c r="I57" i="74"/>
  <c r="G57" i="74"/>
  <c r="D57" i="74"/>
  <c r="C57" i="74"/>
  <c r="CD56" i="74"/>
  <c r="BZ56" i="74"/>
  <c r="BV56" i="74"/>
  <c r="BR56" i="74"/>
  <c r="BN56" i="74"/>
  <c r="BN50" i="74" s="1"/>
  <c r="BJ56" i="74"/>
  <c r="BF56" i="74"/>
  <c r="BB56" i="74"/>
  <c r="AX56" i="74"/>
  <c r="AT56" i="74"/>
  <c r="AP56" i="74"/>
  <c r="AL56" i="74"/>
  <c r="AF56" i="74"/>
  <c r="AD56" i="74"/>
  <c r="J56" i="74"/>
  <c r="I56" i="74"/>
  <c r="G56" i="74"/>
  <c r="D56" i="74"/>
  <c r="CD55" i="74"/>
  <c r="BZ55" i="74"/>
  <c r="BV55" i="74"/>
  <c r="BR55" i="74"/>
  <c r="BN55" i="74"/>
  <c r="BJ55" i="74"/>
  <c r="BF55" i="74"/>
  <c r="BB55" i="74"/>
  <c r="AX55" i="74"/>
  <c r="AT55" i="74"/>
  <c r="AP55" i="74"/>
  <c r="AL55" i="74"/>
  <c r="AL50" i="74" s="1"/>
  <c r="AH55" i="74"/>
  <c r="AF55" i="74"/>
  <c r="AG55" i="74" s="1"/>
  <c r="AD55" i="74"/>
  <c r="J55" i="74"/>
  <c r="I55" i="74"/>
  <c r="G55" i="74"/>
  <c r="D55" i="74"/>
  <c r="C55" i="74"/>
  <c r="CD54" i="74"/>
  <c r="BZ54" i="74"/>
  <c r="BV54" i="74"/>
  <c r="BR54" i="74"/>
  <c r="BN54" i="74"/>
  <c r="BJ54" i="74"/>
  <c r="BF54" i="74"/>
  <c r="BB54" i="74"/>
  <c r="AX54" i="74"/>
  <c r="AT54" i="74"/>
  <c r="AP54" i="74"/>
  <c r="AH54" i="74" s="1"/>
  <c r="AG54" i="74" s="1"/>
  <c r="AL54" i="74"/>
  <c r="AF54" i="74"/>
  <c r="AD54" i="74"/>
  <c r="J54" i="74"/>
  <c r="I54" i="74"/>
  <c r="G54" i="74"/>
  <c r="D54" i="74"/>
  <c r="C54" i="74"/>
  <c r="CD53" i="74"/>
  <c r="AH53" i="74" s="1"/>
  <c r="AG53" i="74" s="1"/>
  <c r="BZ53" i="74"/>
  <c r="BV53" i="74"/>
  <c r="BR53" i="74"/>
  <c r="BN53" i="74"/>
  <c r="BJ53" i="74"/>
  <c r="BF53" i="74"/>
  <c r="BB53" i="74"/>
  <c r="AX53" i="74"/>
  <c r="AT53" i="74"/>
  <c r="AP53" i="74"/>
  <c r="AP50" i="74" s="1"/>
  <c r="AL53" i="74"/>
  <c r="AF53" i="74"/>
  <c r="AD53" i="74"/>
  <c r="J53" i="74"/>
  <c r="I53" i="74"/>
  <c r="G53" i="74"/>
  <c r="D53" i="74"/>
  <c r="C53" i="74"/>
  <c r="CD52" i="74"/>
  <c r="BZ52" i="74"/>
  <c r="BV52" i="74"/>
  <c r="BR52" i="74"/>
  <c r="BN52" i="74"/>
  <c r="BJ52" i="74"/>
  <c r="BF52" i="74"/>
  <c r="BB52" i="74"/>
  <c r="BB50" i="74" s="1"/>
  <c r="AX52" i="74"/>
  <c r="AT52" i="74"/>
  <c r="AT50" i="74" s="1"/>
  <c r="AP52" i="74"/>
  <c r="AL52" i="74"/>
  <c r="AH52" i="74" s="1"/>
  <c r="AG52" i="74" s="1"/>
  <c r="AF52" i="74"/>
  <c r="AD52" i="74"/>
  <c r="J52" i="74"/>
  <c r="I52" i="74"/>
  <c r="G52" i="74"/>
  <c r="D52" i="74"/>
  <c r="C52" i="74"/>
  <c r="CD51" i="74"/>
  <c r="BZ51" i="74"/>
  <c r="BV51" i="74"/>
  <c r="BR51" i="74"/>
  <c r="BN51" i="74"/>
  <c r="BJ51" i="74"/>
  <c r="BF51" i="74"/>
  <c r="BF50" i="74" s="1"/>
  <c r="BB51" i="74"/>
  <c r="AX51" i="74"/>
  <c r="AT51" i="74"/>
  <c r="AP51" i="74"/>
  <c r="AL51" i="74"/>
  <c r="AF51" i="74"/>
  <c r="AD51" i="74"/>
  <c r="J51" i="74"/>
  <c r="G51" i="74"/>
  <c r="D51" i="74"/>
  <c r="AD50" i="74"/>
  <c r="D50" i="74"/>
  <c r="CD49" i="74"/>
  <c r="BZ49" i="74"/>
  <c r="BV49" i="74"/>
  <c r="BR49" i="74"/>
  <c r="BN49" i="74"/>
  <c r="BJ49" i="74"/>
  <c r="BF49" i="74"/>
  <c r="BB49" i="74"/>
  <c r="AX49" i="74"/>
  <c r="AT49" i="74"/>
  <c r="AP49" i="74"/>
  <c r="AH49" i="74" s="1"/>
  <c r="AG49" i="74" s="1"/>
  <c r="AL49" i="74"/>
  <c r="AF49" i="74"/>
  <c r="AD49" i="74"/>
  <c r="J49" i="74"/>
  <c r="K49" i="74" s="1"/>
  <c r="G49" i="74"/>
  <c r="D49" i="74"/>
  <c r="C49" i="74"/>
  <c r="CD48" i="74"/>
  <c r="BZ48" i="74"/>
  <c r="BV48" i="74"/>
  <c r="BR48" i="74"/>
  <c r="BN48" i="74"/>
  <c r="AH48" i="74" s="1"/>
  <c r="AG48" i="74" s="1"/>
  <c r="BJ48" i="74"/>
  <c r="BF48" i="74"/>
  <c r="BB48" i="74"/>
  <c r="AX48" i="74"/>
  <c r="AT48" i="74"/>
  <c r="AP48" i="74"/>
  <c r="AL48" i="74"/>
  <c r="AF48" i="74"/>
  <c r="AD48" i="74"/>
  <c r="J48" i="74"/>
  <c r="K48" i="74" s="1"/>
  <c r="G48" i="74"/>
  <c r="D48" i="74"/>
  <c r="CD47" i="74"/>
  <c r="BZ47" i="74"/>
  <c r="BV47" i="74"/>
  <c r="BR47" i="74"/>
  <c r="BN47" i="74"/>
  <c r="BJ47" i="74"/>
  <c r="BF47" i="74"/>
  <c r="BB47" i="74"/>
  <c r="AX47" i="74"/>
  <c r="AT47" i="74"/>
  <c r="AP47" i="74"/>
  <c r="AL47" i="74"/>
  <c r="AH47" i="74"/>
  <c r="AF47" i="74"/>
  <c r="AG47" i="74" s="1"/>
  <c r="AD47" i="74"/>
  <c r="J47" i="74"/>
  <c r="K47" i="74" s="1"/>
  <c r="G47" i="74"/>
  <c r="D47" i="74"/>
  <c r="C47" i="74"/>
  <c r="CD46" i="74"/>
  <c r="BZ46" i="74"/>
  <c r="BV46" i="74"/>
  <c r="BR46" i="74"/>
  <c r="BN46" i="74"/>
  <c r="BJ46" i="74"/>
  <c r="BF46" i="74"/>
  <c r="BB46" i="74"/>
  <c r="AX46" i="74"/>
  <c r="AT46" i="74"/>
  <c r="AP46" i="74"/>
  <c r="AL46" i="74"/>
  <c r="AH46" i="74" s="1"/>
  <c r="AG46" i="74" s="1"/>
  <c r="AF46" i="74"/>
  <c r="AD46" i="74"/>
  <c r="J46" i="74"/>
  <c r="K46" i="74" s="1"/>
  <c r="G46" i="74"/>
  <c r="D46" i="74"/>
  <c r="C46" i="74"/>
  <c r="CD45" i="74"/>
  <c r="BZ45" i="74"/>
  <c r="BV45" i="74"/>
  <c r="AH45" i="74" s="1"/>
  <c r="AG45" i="74" s="1"/>
  <c r="BR45" i="74"/>
  <c r="BN45" i="74"/>
  <c r="BJ45" i="74"/>
  <c r="BF45" i="74"/>
  <c r="BB45" i="74"/>
  <c r="AX45" i="74"/>
  <c r="AT45" i="74"/>
  <c r="AP45" i="74"/>
  <c r="AL45" i="74"/>
  <c r="AF45" i="74"/>
  <c r="AD45" i="74"/>
  <c r="J45" i="74"/>
  <c r="K45" i="74" s="1"/>
  <c r="G45" i="74"/>
  <c r="D45" i="74"/>
  <c r="CD44" i="74"/>
  <c r="BZ44" i="74"/>
  <c r="BV44" i="74"/>
  <c r="BR44" i="74"/>
  <c r="BN44" i="74"/>
  <c r="BJ44" i="74"/>
  <c r="BF44" i="74"/>
  <c r="BB44" i="74"/>
  <c r="AX44" i="74"/>
  <c r="AT44" i="74"/>
  <c r="AP44" i="74"/>
  <c r="AL44" i="74"/>
  <c r="AH44" i="74"/>
  <c r="AG44" i="74" s="1"/>
  <c r="AF44" i="74"/>
  <c r="AD44" i="74"/>
  <c r="J44" i="74"/>
  <c r="K44" i="74" s="1"/>
  <c r="G44" i="74"/>
  <c r="D44" i="74"/>
  <c r="C44" i="74"/>
  <c r="CD43" i="74"/>
  <c r="BZ43" i="74"/>
  <c r="BV43" i="74"/>
  <c r="BR43" i="74"/>
  <c r="BN43" i="74"/>
  <c r="BJ43" i="74"/>
  <c r="BF43" i="74"/>
  <c r="AH43" i="74" s="1"/>
  <c r="AG43" i="74" s="1"/>
  <c r="BB43" i="74"/>
  <c r="AX43" i="74"/>
  <c r="AT43" i="74"/>
  <c r="AP43" i="74"/>
  <c r="AL43" i="74"/>
  <c r="AF43" i="74"/>
  <c r="AD43" i="74"/>
  <c r="J43" i="74"/>
  <c r="K43" i="74" s="1"/>
  <c r="G43" i="74"/>
  <c r="D43" i="74"/>
  <c r="C43" i="74"/>
  <c r="CD42" i="74"/>
  <c r="BZ42" i="74"/>
  <c r="BV42" i="74"/>
  <c r="BR42" i="74"/>
  <c r="BN42" i="74"/>
  <c r="BJ42" i="74"/>
  <c r="BF42" i="74"/>
  <c r="BB42" i="74"/>
  <c r="AX42" i="74"/>
  <c r="AT42" i="74"/>
  <c r="AP42" i="74"/>
  <c r="AL42" i="74"/>
  <c r="AF42" i="74"/>
  <c r="AD42" i="74"/>
  <c r="J42" i="74"/>
  <c r="K42" i="74" s="1"/>
  <c r="G42" i="74"/>
  <c r="D42" i="74"/>
  <c r="CD41" i="74"/>
  <c r="BZ41" i="74"/>
  <c r="BV41" i="74"/>
  <c r="BR41" i="74"/>
  <c r="BN41" i="74"/>
  <c r="BJ41" i="74"/>
  <c r="BF41" i="74"/>
  <c r="BB41" i="74"/>
  <c r="AX41" i="74"/>
  <c r="AT41" i="74"/>
  <c r="AP41" i="74"/>
  <c r="AH41" i="74" s="1"/>
  <c r="AG41" i="74" s="1"/>
  <c r="AL41" i="74"/>
  <c r="AF41" i="74"/>
  <c r="AD41" i="74"/>
  <c r="J41" i="74"/>
  <c r="K41" i="74" s="1"/>
  <c r="G41" i="74"/>
  <c r="D41" i="74"/>
  <c r="C41" i="74"/>
  <c r="CD40" i="74"/>
  <c r="BZ40" i="74"/>
  <c r="BV40" i="74"/>
  <c r="BR40" i="74"/>
  <c r="BN40" i="74"/>
  <c r="AH40" i="74" s="1"/>
  <c r="AG40" i="74" s="1"/>
  <c r="BJ40" i="74"/>
  <c r="BF40" i="74"/>
  <c r="BB40" i="74"/>
  <c r="AX40" i="74"/>
  <c r="AT40" i="74"/>
  <c r="AP40" i="74"/>
  <c r="AL40" i="74"/>
  <c r="AF40" i="74"/>
  <c r="AD40" i="74"/>
  <c r="J40" i="74"/>
  <c r="K40" i="74" s="1"/>
  <c r="G40" i="74"/>
  <c r="D40" i="74"/>
  <c r="CD39" i="74"/>
  <c r="BZ39" i="74"/>
  <c r="BV39" i="74"/>
  <c r="BR39" i="74"/>
  <c r="BN39" i="74"/>
  <c r="BJ39" i="74"/>
  <c r="BF39" i="74"/>
  <c r="BB39" i="74"/>
  <c r="AX39" i="74"/>
  <c r="AT39" i="74"/>
  <c r="AP39" i="74"/>
  <c r="AP37" i="74" s="1"/>
  <c r="AL39" i="74"/>
  <c r="AH39" i="74"/>
  <c r="AF39" i="74"/>
  <c r="AG39" i="74" s="1"/>
  <c r="AD39" i="74"/>
  <c r="J39" i="74"/>
  <c r="K39" i="74" s="1"/>
  <c r="G39" i="74"/>
  <c r="D39" i="74"/>
  <c r="C39" i="74"/>
  <c r="CD38" i="74"/>
  <c r="BZ38" i="74"/>
  <c r="BV38" i="74"/>
  <c r="BR38" i="74"/>
  <c r="BR37" i="74" s="1"/>
  <c r="BN38" i="74"/>
  <c r="BJ38" i="74"/>
  <c r="BJ37" i="74" s="1"/>
  <c r="BF38" i="74"/>
  <c r="BB38" i="74"/>
  <c r="BB37" i="74" s="1"/>
  <c r="AX38" i="74"/>
  <c r="AX37" i="74" s="1"/>
  <c r="AT38" i="74"/>
  <c r="AP38" i="74"/>
  <c r="AL38" i="74"/>
  <c r="AH38" i="74" s="1"/>
  <c r="AF38" i="74"/>
  <c r="AD38" i="74"/>
  <c r="J38" i="74"/>
  <c r="K38" i="74" s="1"/>
  <c r="G38" i="74"/>
  <c r="D38" i="74"/>
  <c r="C38" i="74"/>
  <c r="BZ37" i="74"/>
  <c r="AT37" i="74"/>
  <c r="AD37" i="74"/>
  <c r="D37" i="74"/>
  <c r="C37" i="74"/>
  <c r="CD36" i="74"/>
  <c r="BZ36" i="74"/>
  <c r="BV36" i="74"/>
  <c r="AH36" i="74" s="1"/>
  <c r="AG36" i="74" s="1"/>
  <c r="BR36" i="74"/>
  <c r="BN36" i="74"/>
  <c r="BJ36" i="74"/>
  <c r="BF36" i="74"/>
  <c r="BB36" i="74"/>
  <c r="AX36" i="74"/>
  <c r="AT36" i="74"/>
  <c r="AP36" i="74"/>
  <c r="AL36" i="74"/>
  <c r="AF36" i="74"/>
  <c r="AD36" i="74"/>
  <c r="J36" i="74"/>
  <c r="K36" i="74" s="1"/>
  <c r="G36" i="74"/>
  <c r="D36" i="74"/>
  <c r="CD35" i="74"/>
  <c r="BZ35" i="74"/>
  <c r="BV35" i="74"/>
  <c r="BR35" i="74"/>
  <c r="BN35" i="74"/>
  <c r="BJ35" i="74"/>
  <c r="BF35" i="74"/>
  <c r="BB35" i="74"/>
  <c r="AX35" i="74"/>
  <c r="AT35" i="74"/>
  <c r="AP35" i="74"/>
  <c r="AL35" i="74"/>
  <c r="AH35" i="74"/>
  <c r="AG35" i="74" s="1"/>
  <c r="AF35" i="74"/>
  <c r="AD35" i="74"/>
  <c r="J35" i="74"/>
  <c r="K35" i="74" s="1"/>
  <c r="G35" i="74"/>
  <c r="D35" i="74"/>
  <c r="C35" i="74"/>
  <c r="CD34" i="74"/>
  <c r="BZ34" i="74"/>
  <c r="BV34" i="74"/>
  <c r="BR34" i="74"/>
  <c r="BN34" i="74"/>
  <c r="BJ34" i="74"/>
  <c r="BF34" i="74"/>
  <c r="AH34" i="74" s="1"/>
  <c r="AG34" i="74" s="1"/>
  <c r="BB34" i="74"/>
  <c r="AX34" i="74"/>
  <c r="AT34" i="74"/>
  <c r="AP34" i="74"/>
  <c r="AL34" i="74"/>
  <c r="AF34" i="74"/>
  <c r="AD34" i="74"/>
  <c r="J34" i="74"/>
  <c r="K34" i="74" s="1"/>
  <c r="G34" i="74"/>
  <c r="D34" i="74"/>
  <c r="C34" i="74"/>
  <c r="CD33" i="74"/>
  <c r="AH33" i="74" s="1"/>
  <c r="AG33" i="74" s="1"/>
  <c r="BZ33" i="74"/>
  <c r="BV33" i="74"/>
  <c r="BR33" i="74"/>
  <c r="BN33" i="74"/>
  <c r="BJ33" i="74"/>
  <c r="BF33" i="74"/>
  <c r="BB33" i="74"/>
  <c r="AX33" i="74"/>
  <c r="AT33" i="74"/>
  <c r="AP33" i="74"/>
  <c r="AL33" i="74"/>
  <c r="AF33" i="74"/>
  <c r="AD33" i="74"/>
  <c r="J33" i="74"/>
  <c r="K33" i="74" s="1"/>
  <c r="G33" i="74"/>
  <c r="D33" i="74"/>
  <c r="CD32" i="74"/>
  <c r="BZ32" i="74"/>
  <c r="BV32" i="74"/>
  <c r="BR32" i="74"/>
  <c r="BN32" i="74"/>
  <c r="BJ32" i="74"/>
  <c r="BF32" i="74"/>
  <c r="BB32" i="74"/>
  <c r="AX32" i="74"/>
  <c r="AT32" i="74"/>
  <c r="AP32" i="74"/>
  <c r="AH32" i="74" s="1"/>
  <c r="AG32" i="74" s="1"/>
  <c r="AL32" i="74"/>
  <c r="AF32" i="74"/>
  <c r="AD32" i="74"/>
  <c r="J32" i="74"/>
  <c r="K32" i="74" s="1"/>
  <c r="G32" i="74"/>
  <c r="D32" i="74"/>
  <c r="C32" i="74"/>
  <c r="CD31" i="74"/>
  <c r="BZ31" i="74"/>
  <c r="BV31" i="74"/>
  <c r="BR31" i="74"/>
  <c r="BR24" i="74" s="1"/>
  <c r="BN31" i="74"/>
  <c r="BJ31" i="74"/>
  <c r="BF31" i="74"/>
  <c r="BB31" i="74"/>
  <c r="AX31" i="74"/>
  <c r="AT31" i="74"/>
  <c r="AP31" i="74"/>
  <c r="AL31" i="74"/>
  <c r="AF31" i="74"/>
  <c r="AD31" i="74"/>
  <c r="J31" i="74"/>
  <c r="K31" i="74" s="1"/>
  <c r="G31" i="74"/>
  <c r="D31" i="74"/>
  <c r="CD30" i="74"/>
  <c r="BZ30" i="74"/>
  <c r="BV30" i="74"/>
  <c r="BR30" i="74"/>
  <c r="BN30" i="74"/>
  <c r="BJ30" i="74"/>
  <c r="BF30" i="74"/>
  <c r="BB30" i="74"/>
  <c r="AX30" i="74"/>
  <c r="AT30" i="74"/>
  <c r="AP30" i="74"/>
  <c r="AL30" i="74"/>
  <c r="AH30" i="74"/>
  <c r="AF30" i="74"/>
  <c r="AG30" i="74" s="1"/>
  <c r="AD30" i="74"/>
  <c r="J30" i="74"/>
  <c r="K30" i="74" s="1"/>
  <c r="G30" i="74"/>
  <c r="D30" i="74"/>
  <c r="C30" i="74"/>
  <c r="CD29" i="74"/>
  <c r="BZ29" i="74"/>
  <c r="BV29" i="74"/>
  <c r="BR29" i="74"/>
  <c r="BN29" i="74"/>
  <c r="BJ29" i="74"/>
  <c r="BF29" i="74"/>
  <c r="BB29" i="74"/>
  <c r="AX29" i="74"/>
  <c r="AT29" i="74"/>
  <c r="AP29" i="74"/>
  <c r="AL29" i="74"/>
  <c r="AF29" i="74"/>
  <c r="AD29" i="74"/>
  <c r="J29" i="74"/>
  <c r="K29" i="74" s="1"/>
  <c r="G29" i="74"/>
  <c r="D29" i="74"/>
  <c r="C29" i="74"/>
  <c r="CD28" i="74"/>
  <c r="BZ28" i="74"/>
  <c r="BV28" i="74"/>
  <c r="AH28" i="74" s="1"/>
  <c r="AG28" i="74" s="1"/>
  <c r="BR28" i="74"/>
  <c r="BN28" i="74"/>
  <c r="BJ28" i="74"/>
  <c r="BF28" i="74"/>
  <c r="BB28" i="74"/>
  <c r="AX28" i="74"/>
  <c r="AT28" i="74"/>
  <c r="AP28" i="74"/>
  <c r="AL28" i="74"/>
  <c r="AF28" i="74"/>
  <c r="AD28" i="74"/>
  <c r="J28" i="74"/>
  <c r="K28" i="74" s="1"/>
  <c r="G28" i="74"/>
  <c r="D28" i="74"/>
  <c r="CD27" i="74"/>
  <c r="BZ27" i="74"/>
  <c r="BV27" i="74"/>
  <c r="BR27" i="74"/>
  <c r="BN27" i="74"/>
  <c r="BJ27" i="74"/>
  <c r="BF27" i="74"/>
  <c r="BB27" i="74"/>
  <c r="AX27" i="74"/>
  <c r="AT27" i="74"/>
  <c r="AT24" i="74" s="1"/>
  <c r="AP27" i="74"/>
  <c r="AL27" i="74"/>
  <c r="AL24" i="74" s="1"/>
  <c r="AH27" i="74"/>
  <c r="AG27" i="74" s="1"/>
  <c r="AF27" i="74"/>
  <c r="AD27" i="74"/>
  <c r="J27" i="74"/>
  <c r="K27" i="74" s="1"/>
  <c r="G27" i="74"/>
  <c r="D27" i="74"/>
  <c r="C27" i="74"/>
  <c r="CD26" i="74"/>
  <c r="BZ26" i="74"/>
  <c r="BZ24" i="74" s="1"/>
  <c r="BV26" i="74"/>
  <c r="BV24" i="74" s="1"/>
  <c r="BR26" i="74"/>
  <c r="BN26" i="74"/>
  <c r="BJ26" i="74"/>
  <c r="BF26" i="74"/>
  <c r="AH26" i="74" s="1"/>
  <c r="AG26" i="74" s="1"/>
  <c r="BB26" i="74"/>
  <c r="AX26" i="74"/>
  <c r="AT26" i="74"/>
  <c r="AP26" i="74"/>
  <c r="AL26" i="74"/>
  <c r="AF26" i="74"/>
  <c r="AD26" i="74"/>
  <c r="J26" i="74"/>
  <c r="K26" i="74" s="1"/>
  <c r="G26" i="74"/>
  <c r="D26" i="74"/>
  <c r="C26" i="74"/>
  <c r="CD25" i="74"/>
  <c r="BZ25" i="74"/>
  <c r="BV25" i="74"/>
  <c r="BR25" i="74"/>
  <c r="BN25" i="74"/>
  <c r="BJ25" i="74"/>
  <c r="BJ24" i="74" s="1"/>
  <c r="BF25" i="74"/>
  <c r="BF24" i="74" s="1"/>
  <c r="BB25" i="74"/>
  <c r="BB24" i="74" s="1"/>
  <c r="AX25" i="74"/>
  <c r="AT25" i="74"/>
  <c r="AP25" i="74"/>
  <c r="AL25" i="74"/>
  <c r="AF25" i="74"/>
  <c r="AD25" i="74"/>
  <c r="J25" i="74"/>
  <c r="I25" i="74"/>
  <c r="G25" i="74"/>
  <c r="D25" i="74"/>
  <c r="C25" i="74"/>
  <c r="AD24" i="74"/>
  <c r="D24" i="74"/>
  <c r="C24" i="74"/>
  <c r="CD23" i="74"/>
  <c r="BZ23" i="74"/>
  <c r="BV23" i="74"/>
  <c r="BR23" i="74"/>
  <c r="BN23" i="74"/>
  <c r="BJ23" i="74"/>
  <c r="BF23" i="74"/>
  <c r="BB23" i="74"/>
  <c r="AX23" i="74"/>
  <c r="AT23" i="74"/>
  <c r="AP23" i="74"/>
  <c r="AL23" i="74"/>
  <c r="AF23" i="74"/>
  <c r="AD23" i="74"/>
  <c r="O23" i="74"/>
  <c r="J23" i="74"/>
  <c r="K23" i="74" s="1"/>
  <c r="G23" i="74"/>
  <c r="D23" i="74"/>
  <c r="C23" i="74"/>
  <c r="CD22" i="74"/>
  <c r="BZ22" i="74"/>
  <c r="BV22" i="74"/>
  <c r="BR22" i="74"/>
  <c r="BN22" i="74"/>
  <c r="BJ22" i="74"/>
  <c r="BF22" i="74"/>
  <c r="BB22" i="74"/>
  <c r="AX22" i="74"/>
  <c r="AT22" i="74"/>
  <c r="AP22" i="74"/>
  <c r="AL22" i="74"/>
  <c r="AF22" i="74"/>
  <c r="AD22" i="74"/>
  <c r="O22" i="74"/>
  <c r="J22" i="74"/>
  <c r="K22" i="74" s="1"/>
  <c r="G22" i="74"/>
  <c r="D22" i="74"/>
  <c r="CD21" i="74"/>
  <c r="BZ21" i="74"/>
  <c r="BV21" i="74"/>
  <c r="BR21" i="74"/>
  <c r="BN21" i="74"/>
  <c r="BJ21" i="74"/>
  <c r="BF21" i="74"/>
  <c r="BB21" i="74"/>
  <c r="AX21" i="74"/>
  <c r="AT21" i="74"/>
  <c r="AP21" i="74"/>
  <c r="AL21" i="74"/>
  <c r="AH21" i="74" s="1"/>
  <c r="AG21" i="74" s="1"/>
  <c r="AF21" i="74"/>
  <c r="AD21" i="74"/>
  <c r="O21" i="74"/>
  <c r="J21" i="74"/>
  <c r="K21" i="74" s="1"/>
  <c r="G21" i="74"/>
  <c r="D21" i="74"/>
  <c r="C21" i="74"/>
  <c r="CD20" i="74"/>
  <c r="BZ20" i="74"/>
  <c r="BV20" i="74"/>
  <c r="BR20" i="74"/>
  <c r="BN20" i="74"/>
  <c r="AH20" i="74" s="1"/>
  <c r="AG20" i="74" s="1"/>
  <c r="BJ20" i="74"/>
  <c r="BF20" i="74"/>
  <c r="BB20" i="74"/>
  <c r="AX20" i="74"/>
  <c r="AT20" i="74"/>
  <c r="AP20" i="74"/>
  <c r="AL20" i="74"/>
  <c r="AF20" i="74"/>
  <c r="AD20" i="74"/>
  <c r="O20" i="74"/>
  <c r="J20" i="74"/>
  <c r="K20" i="74" s="1"/>
  <c r="G20" i="74"/>
  <c r="D20" i="74"/>
  <c r="C20" i="74"/>
  <c r="CD19" i="74"/>
  <c r="BZ19" i="74"/>
  <c r="BV19" i="74"/>
  <c r="BR19" i="74"/>
  <c r="BN19" i="74"/>
  <c r="BJ19" i="74"/>
  <c r="BF19" i="74"/>
  <c r="BB19" i="74"/>
  <c r="AX19" i="74"/>
  <c r="AT19" i="74"/>
  <c r="AP19" i="74"/>
  <c r="AL19" i="74"/>
  <c r="AH19" i="74"/>
  <c r="AG19" i="74"/>
  <c r="AF19" i="74"/>
  <c r="AD19" i="74"/>
  <c r="O19" i="74"/>
  <c r="J19" i="74"/>
  <c r="K19" i="74" s="1"/>
  <c r="G19" i="74"/>
  <c r="D19" i="74"/>
  <c r="C19" i="74"/>
  <c r="CD18" i="74"/>
  <c r="BZ18" i="74"/>
  <c r="BV18" i="74"/>
  <c r="BR18" i="74"/>
  <c r="BN18" i="74"/>
  <c r="BJ18" i="74"/>
  <c r="BF18" i="74"/>
  <c r="AH18" i="74" s="1"/>
  <c r="AG18" i="74" s="1"/>
  <c r="BB18" i="74"/>
  <c r="AX18" i="74"/>
  <c r="AT18" i="74"/>
  <c r="AP18" i="74"/>
  <c r="AL18" i="74"/>
  <c r="AF18" i="74"/>
  <c r="AD18" i="74"/>
  <c r="O18" i="74"/>
  <c r="J18" i="74"/>
  <c r="K18" i="74" s="1"/>
  <c r="G18" i="74"/>
  <c r="D18" i="74"/>
  <c r="C18" i="74"/>
  <c r="CD17" i="74"/>
  <c r="BZ17" i="74"/>
  <c r="BV17" i="74"/>
  <c r="BR17" i="74"/>
  <c r="BN17" i="74"/>
  <c r="BJ17" i="74"/>
  <c r="BF17" i="74"/>
  <c r="BB17" i="74"/>
  <c r="AX17" i="74"/>
  <c r="AT17" i="74"/>
  <c r="AP17" i="74"/>
  <c r="AL17" i="74"/>
  <c r="AH17" i="74"/>
  <c r="AF17" i="74"/>
  <c r="AG17" i="74" s="1"/>
  <c r="AD17" i="74"/>
  <c r="O17" i="74"/>
  <c r="J17" i="74"/>
  <c r="K17" i="74" s="1"/>
  <c r="G17" i="74"/>
  <c r="D17" i="74"/>
  <c r="C17" i="74"/>
  <c r="CD16" i="74"/>
  <c r="BZ16" i="74"/>
  <c r="BV16" i="74"/>
  <c r="BR16" i="74"/>
  <c r="BN16" i="74"/>
  <c r="BJ16" i="74"/>
  <c r="BF16" i="74"/>
  <c r="BB16" i="74"/>
  <c r="AX16" i="74"/>
  <c r="AT16" i="74"/>
  <c r="AP16" i="74"/>
  <c r="AL16" i="74"/>
  <c r="AH16" i="74" s="1"/>
  <c r="AG16" i="74" s="1"/>
  <c r="AF16" i="74"/>
  <c r="AD16" i="74"/>
  <c r="O16" i="74"/>
  <c r="J16" i="74"/>
  <c r="K16" i="74" s="1"/>
  <c r="G16" i="74"/>
  <c r="D16" i="74"/>
  <c r="C16" i="74"/>
  <c r="CD15" i="74"/>
  <c r="BZ15" i="74"/>
  <c r="AH15" i="74" s="1"/>
  <c r="AG15" i="74" s="1"/>
  <c r="BV15" i="74"/>
  <c r="BR15" i="74"/>
  <c r="BN15" i="74"/>
  <c r="BJ15" i="74"/>
  <c r="BF15" i="74"/>
  <c r="BB15" i="74"/>
  <c r="AX15" i="74"/>
  <c r="AT15" i="74"/>
  <c r="AP15" i="74"/>
  <c r="AL15" i="74"/>
  <c r="AF15" i="74"/>
  <c r="AD15" i="74"/>
  <c r="O15" i="74"/>
  <c r="J15" i="74"/>
  <c r="K15" i="74" s="1"/>
  <c r="G15" i="74"/>
  <c r="D15" i="74"/>
  <c r="CD14" i="74"/>
  <c r="BZ14" i="74"/>
  <c r="BV14" i="74"/>
  <c r="BR14" i="74"/>
  <c r="BN14" i="74"/>
  <c r="BJ14" i="74"/>
  <c r="BF14" i="74"/>
  <c r="BB14" i="74"/>
  <c r="AX14" i="74"/>
  <c r="AT14" i="74"/>
  <c r="AP14" i="74"/>
  <c r="AL14" i="74"/>
  <c r="AF14" i="74"/>
  <c r="AD14" i="74"/>
  <c r="O14" i="74"/>
  <c r="J14" i="74"/>
  <c r="K14" i="74" s="1"/>
  <c r="G14" i="74"/>
  <c r="D14" i="74"/>
  <c r="C14" i="74"/>
  <c r="CD13" i="74"/>
  <c r="CD11" i="74" s="1"/>
  <c r="BZ13" i="74"/>
  <c r="BZ11" i="74" s="1"/>
  <c r="BV13" i="74"/>
  <c r="BR13" i="74"/>
  <c r="AH13" i="74" s="1"/>
  <c r="AG13" i="74" s="1"/>
  <c r="BN13" i="74"/>
  <c r="BJ13" i="74"/>
  <c r="BF13" i="74"/>
  <c r="BB13" i="74"/>
  <c r="AX13" i="74"/>
  <c r="AT13" i="74"/>
  <c r="AP13" i="74"/>
  <c r="AL13" i="74"/>
  <c r="AF13" i="74"/>
  <c r="AD13" i="74"/>
  <c r="O13" i="74"/>
  <c r="J13" i="74"/>
  <c r="K13" i="74" s="1"/>
  <c r="G13" i="74"/>
  <c r="D13" i="74"/>
  <c r="CD12" i="74"/>
  <c r="BZ12" i="74"/>
  <c r="BV12" i="74"/>
  <c r="BR12" i="74"/>
  <c r="BR11" i="74" s="1"/>
  <c r="BN12" i="74"/>
  <c r="BJ12" i="74"/>
  <c r="BJ11" i="74" s="1"/>
  <c r="BF12" i="74"/>
  <c r="BB12" i="74"/>
  <c r="BB11" i="74" s="1"/>
  <c r="AX12" i="74"/>
  <c r="AT12" i="74"/>
  <c r="AP12" i="74"/>
  <c r="AL12" i="74"/>
  <c r="AH12" i="74"/>
  <c r="AF12" i="74"/>
  <c r="AD12" i="74"/>
  <c r="O12" i="74"/>
  <c r="J12" i="74"/>
  <c r="K12" i="74" s="1"/>
  <c r="G12" i="74"/>
  <c r="D12" i="74"/>
  <c r="C12" i="74"/>
  <c r="AD11" i="74"/>
  <c r="D11" i="74"/>
  <c r="C11" i="74"/>
  <c r="AF6" i="74"/>
  <c r="A3" i="74"/>
  <c r="C56" i="74" s="1"/>
  <c r="M51" i="73"/>
  <c r="CD62" i="73"/>
  <c r="BZ62" i="73"/>
  <c r="BV62" i="73"/>
  <c r="BR62" i="73"/>
  <c r="BN62" i="73"/>
  <c r="BJ62" i="73"/>
  <c r="BF62" i="73"/>
  <c r="BB62" i="73"/>
  <c r="AX62" i="73"/>
  <c r="AT62" i="73"/>
  <c r="AP62" i="73"/>
  <c r="AL62" i="73"/>
  <c r="AH62" i="73"/>
  <c r="AF62" i="73"/>
  <c r="AG62" i="73" s="1"/>
  <c r="AD62" i="73"/>
  <c r="J62" i="73"/>
  <c r="I62" i="73"/>
  <c r="G62" i="73"/>
  <c r="D62" i="73"/>
  <c r="C62" i="73"/>
  <c r="CD61" i="73"/>
  <c r="BZ61" i="73"/>
  <c r="BV61" i="73"/>
  <c r="BR61" i="73"/>
  <c r="BN61" i="73"/>
  <c r="BJ61" i="73"/>
  <c r="BF61" i="73"/>
  <c r="BB61" i="73"/>
  <c r="AX61" i="73"/>
  <c r="AH61" i="73" s="1"/>
  <c r="AG61" i="73" s="1"/>
  <c r="AT61" i="73"/>
  <c r="AP61" i="73"/>
  <c r="AL61" i="73"/>
  <c r="AF61" i="73"/>
  <c r="AD61" i="73"/>
  <c r="J61" i="73"/>
  <c r="K61" i="73" s="1"/>
  <c r="I61" i="73"/>
  <c r="G61" i="73"/>
  <c r="D61" i="73"/>
  <c r="C61" i="73"/>
  <c r="CD60" i="73"/>
  <c r="BZ60" i="73"/>
  <c r="AH60" i="73" s="1"/>
  <c r="AG60" i="73" s="1"/>
  <c r="BV60" i="73"/>
  <c r="BR60" i="73"/>
  <c r="BN60" i="73"/>
  <c r="BJ60" i="73"/>
  <c r="BF60" i="73"/>
  <c r="BB60" i="73"/>
  <c r="AX60" i="73"/>
  <c r="AT60" i="73"/>
  <c r="AP60" i="73"/>
  <c r="AL60" i="73"/>
  <c r="AF60" i="73"/>
  <c r="AD60" i="73"/>
  <c r="J60" i="73"/>
  <c r="I60" i="73"/>
  <c r="G60" i="73"/>
  <c r="D60" i="73"/>
  <c r="C60" i="73"/>
  <c r="CD59" i="73"/>
  <c r="BZ59" i="73"/>
  <c r="BV59" i="73"/>
  <c r="BR59" i="73"/>
  <c r="BN59" i="73"/>
  <c r="BJ59" i="73"/>
  <c r="BF59" i="73"/>
  <c r="BB59" i="73"/>
  <c r="AX59" i="73"/>
  <c r="AT59" i="73"/>
  <c r="AP59" i="73"/>
  <c r="AH59" i="73" s="1"/>
  <c r="AG59" i="73" s="1"/>
  <c r="AL59" i="73"/>
  <c r="AF59" i="73"/>
  <c r="AD59" i="73"/>
  <c r="J59" i="73"/>
  <c r="I59" i="73"/>
  <c r="G59" i="73"/>
  <c r="D59" i="73"/>
  <c r="C59" i="73"/>
  <c r="CD58" i="73"/>
  <c r="BZ58" i="73"/>
  <c r="BV58" i="73"/>
  <c r="BR58" i="73"/>
  <c r="BN58" i="73"/>
  <c r="BJ58" i="73"/>
  <c r="BF58" i="73"/>
  <c r="BB58" i="73"/>
  <c r="AX58" i="73"/>
  <c r="AT58" i="73"/>
  <c r="AP58" i="73"/>
  <c r="AL58" i="73"/>
  <c r="AH58" i="73" s="1"/>
  <c r="AG58" i="73" s="1"/>
  <c r="AF58" i="73"/>
  <c r="AD58" i="73"/>
  <c r="J58" i="73"/>
  <c r="I58" i="73"/>
  <c r="G58" i="73"/>
  <c r="D58" i="73"/>
  <c r="CD57" i="73"/>
  <c r="BZ57" i="73"/>
  <c r="BV57" i="73"/>
  <c r="BR57" i="73"/>
  <c r="BN57" i="73"/>
  <c r="BJ57" i="73"/>
  <c r="BF57" i="73"/>
  <c r="BB57" i="73"/>
  <c r="AX57" i="73"/>
  <c r="AT57" i="73"/>
  <c r="AP57" i="73"/>
  <c r="AL57" i="73"/>
  <c r="AH57" i="73"/>
  <c r="AG57" i="73" s="1"/>
  <c r="AF57" i="73"/>
  <c r="AD57" i="73"/>
  <c r="J57" i="73"/>
  <c r="K57" i="73" s="1"/>
  <c r="I57" i="73"/>
  <c r="G57" i="73"/>
  <c r="D57" i="73"/>
  <c r="CD56" i="73"/>
  <c r="BZ56" i="73"/>
  <c r="BV56" i="73"/>
  <c r="BR56" i="73"/>
  <c r="BN56" i="73"/>
  <c r="BN50" i="73" s="1"/>
  <c r="BJ56" i="73"/>
  <c r="BF56" i="73"/>
  <c r="BB56" i="73"/>
  <c r="AX56" i="73"/>
  <c r="AT56" i="73"/>
  <c r="AP56" i="73"/>
  <c r="AH56" i="73" s="1"/>
  <c r="AG56" i="73" s="1"/>
  <c r="AL56" i="73"/>
  <c r="AF56" i="73"/>
  <c r="AD56" i="73"/>
  <c r="J56" i="73"/>
  <c r="I56" i="73"/>
  <c r="G56" i="73"/>
  <c r="D56" i="73"/>
  <c r="CD55" i="73"/>
  <c r="BZ55" i="73"/>
  <c r="BV55" i="73"/>
  <c r="BR55" i="73"/>
  <c r="BN55" i="73"/>
  <c r="BJ55" i="73"/>
  <c r="BF55" i="73"/>
  <c r="BB55" i="73"/>
  <c r="AX55" i="73"/>
  <c r="AT55" i="73"/>
  <c r="AP55" i="73"/>
  <c r="AL55" i="73"/>
  <c r="AH55" i="73"/>
  <c r="AG55" i="73" s="1"/>
  <c r="AF55" i="73"/>
  <c r="AD55" i="73"/>
  <c r="J55" i="73"/>
  <c r="I55" i="73"/>
  <c r="G55" i="73"/>
  <c r="D55" i="73"/>
  <c r="C55" i="73"/>
  <c r="CD54" i="73"/>
  <c r="BZ54" i="73"/>
  <c r="BV54" i="73"/>
  <c r="BR54" i="73"/>
  <c r="BN54" i="73"/>
  <c r="BJ54" i="73"/>
  <c r="BF54" i="73"/>
  <c r="BB54" i="73"/>
  <c r="AH54" i="73" s="1"/>
  <c r="AG54" i="73" s="1"/>
  <c r="AX54" i="73"/>
  <c r="AT54" i="73"/>
  <c r="AP54" i="73"/>
  <c r="AL54" i="73"/>
  <c r="AF54" i="73"/>
  <c r="AD54" i="73"/>
  <c r="J54" i="73"/>
  <c r="I54" i="73"/>
  <c r="G54" i="73"/>
  <c r="D54" i="73"/>
  <c r="C54" i="73"/>
  <c r="CD53" i="73"/>
  <c r="AH53" i="73" s="1"/>
  <c r="BZ53" i="73"/>
  <c r="BV53" i="73"/>
  <c r="BR53" i="73"/>
  <c r="BN53" i="73"/>
  <c r="BJ53" i="73"/>
  <c r="BF53" i="73"/>
  <c r="BB53" i="73"/>
  <c r="AX53" i="73"/>
  <c r="AT53" i="73"/>
  <c r="AP53" i="73"/>
  <c r="AL53" i="73"/>
  <c r="AF53" i="73"/>
  <c r="AD53" i="73"/>
  <c r="J53" i="73"/>
  <c r="I53" i="73"/>
  <c r="G53" i="73"/>
  <c r="D53" i="73"/>
  <c r="CD52" i="73"/>
  <c r="BZ52" i="73"/>
  <c r="BV52" i="73"/>
  <c r="BR52" i="73"/>
  <c r="BN52" i="73"/>
  <c r="BJ52" i="73"/>
  <c r="BF52" i="73"/>
  <c r="BB52" i="73"/>
  <c r="AX52" i="73"/>
  <c r="AT52" i="73"/>
  <c r="AP52" i="73"/>
  <c r="AL52" i="73"/>
  <c r="AF52" i="73"/>
  <c r="AD52" i="73"/>
  <c r="J52" i="73"/>
  <c r="I52" i="73"/>
  <c r="G52" i="73"/>
  <c r="D52" i="73"/>
  <c r="C52" i="73"/>
  <c r="CD51" i="73"/>
  <c r="BZ51" i="73"/>
  <c r="BV51" i="73"/>
  <c r="BR51" i="73"/>
  <c r="BN51" i="73"/>
  <c r="BJ51" i="73"/>
  <c r="BF51" i="73"/>
  <c r="BF50" i="73" s="1"/>
  <c r="BB51" i="73"/>
  <c r="BB50" i="73" s="1"/>
  <c r="AX51" i="73"/>
  <c r="AT51" i="73"/>
  <c r="AP51" i="73"/>
  <c r="AL51" i="73"/>
  <c r="AF51" i="73"/>
  <c r="AD51" i="73"/>
  <c r="J51" i="73"/>
  <c r="I51" i="73"/>
  <c r="G51" i="73"/>
  <c r="D51" i="73"/>
  <c r="C51" i="73"/>
  <c r="BJ50" i="73"/>
  <c r="AD50" i="73"/>
  <c r="D50" i="73"/>
  <c r="C50" i="73"/>
  <c r="CD49" i="73"/>
  <c r="BZ49" i="73"/>
  <c r="BV49" i="73"/>
  <c r="BR49" i="73"/>
  <c r="BN49" i="73"/>
  <c r="BJ49" i="73"/>
  <c r="BF49" i="73"/>
  <c r="BB49" i="73"/>
  <c r="AX49" i="73"/>
  <c r="AT49" i="73"/>
  <c r="AT37" i="73" s="1"/>
  <c r="AP49" i="73"/>
  <c r="AH49" i="73" s="1"/>
  <c r="AG49" i="73" s="1"/>
  <c r="AL49" i="73"/>
  <c r="AF49" i="73"/>
  <c r="AD49" i="73"/>
  <c r="J49" i="73"/>
  <c r="K49" i="73" s="1"/>
  <c r="G49" i="73"/>
  <c r="D49" i="73"/>
  <c r="C49" i="73"/>
  <c r="CD48" i="73"/>
  <c r="BZ48" i="73"/>
  <c r="BV48" i="73"/>
  <c r="BR48" i="73"/>
  <c r="BN48" i="73"/>
  <c r="AH48" i="73" s="1"/>
  <c r="AG48" i="73" s="1"/>
  <c r="BJ48" i="73"/>
  <c r="BF48" i="73"/>
  <c r="BB48" i="73"/>
  <c r="AX48" i="73"/>
  <c r="AT48" i="73"/>
  <c r="AP48" i="73"/>
  <c r="AL48" i="73"/>
  <c r="AF48" i="73"/>
  <c r="AD48" i="73"/>
  <c r="J48" i="73"/>
  <c r="K48" i="73" s="1"/>
  <c r="G48" i="73"/>
  <c r="D48" i="73"/>
  <c r="CD47" i="73"/>
  <c r="BZ47" i="73"/>
  <c r="BV47" i="73"/>
  <c r="BR47" i="73"/>
  <c r="BN47" i="73"/>
  <c r="BJ47" i="73"/>
  <c r="BF47" i="73"/>
  <c r="BB47" i="73"/>
  <c r="AX47" i="73"/>
  <c r="AT47" i="73"/>
  <c r="AP47" i="73"/>
  <c r="AL47" i="73"/>
  <c r="AH47" i="73" s="1"/>
  <c r="AG47" i="73" s="1"/>
  <c r="AF47" i="73"/>
  <c r="AD47" i="73"/>
  <c r="J47" i="73"/>
  <c r="K47" i="73" s="1"/>
  <c r="G47" i="73"/>
  <c r="D47" i="73"/>
  <c r="C47" i="73"/>
  <c r="CD46" i="73"/>
  <c r="BZ46" i="73"/>
  <c r="BV46" i="73"/>
  <c r="BR46" i="73"/>
  <c r="BN46" i="73"/>
  <c r="BJ46" i="73"/>
  <c r="BF46" i="73"/>
  <c r="BB46" i="73"/>
  <c r="AX46" i="73"/>
  <c r="AT46" i="73"/>
  <c r="AP46" i="73"/>
  <c r="AL46" i="73"/>
  <c r="AF46" i="73"/>
  <c r="AD46" i="73"/>
  <c r="J46" i="73"/>
  <c r="K46" i="73" s="1"/>
  <c r="G46" i="73"/>
  <c r="D46" i="73"/>
  <c r="C46" i="73"/>
  <c r="CD45" i="73"/>
  <c r="CD37" i="73" s="1"/>
  <c r="BZ45" i="73"/>
  <c r="BV45" i="73"/>
  <c r="BR45" i="73"/>
  <c r="BN45" i="73"/>
  <c r="BJ45" i="73"/>
  <c r="BF45" i="73"/>
  <c r="BB45" i="73"/>
  <c r="AX45" i="73"/>
  <c r="AT45" i="73"/>
  <c r="AP45" i="73"/>
  <c r="AL45" i="73"/>
  <c r="AF45" i="73"/>
  <c r="AD45" i="73"/>
  <c r="J45" i="73"/>
  <c r="K45" i="73" s="1"/>
  <c r="G45" i="73"/>
  <c r="D45" i="73"/>
  <c r="CD44" i="73"/>
  <c r="BZ44" i="73"/>
  <c r="BV44" i="73"/>
  <c r="BR44" i="73"/>
  <c r="BN44" i="73"/>
  <c r="BJ44" i="73"/>
  <c r="BF44" i="73"/>
  <c r="BB44" i="73"/>
  <c r="AX44" i="73"/>
  <c r="AT44" i="73"/>
  <c r="AP44" i="73"/>
  <c r="AL44" i="73"/>
  <c r="AH44" i="73"/>
  <c r="AG44" i="73" s="1"/>
  <c r="AF44" i="73"/>
  <c r="AD44" i="73"/>
  <c r="J44" i="73"/>
  <c r="K44" i="73" s="1"/>
  <c r="G44" i="73"/>
  <c r="D44" i="73"/>
  <c r="CD43" i="73"/>
  <c r="BZ43" i="73"/>
  <c r="BV43" i="73"/>
  <c r="BR43" i="73"/>
  <c r="BN43" i="73"/>
  <c r="BJ43" i="73"/>
  <c r="BF43" i="73"/>
  <c r="BB43" i="73"/>
  <c r="AX43" i="73"/>
  <c r="AT43" i="73"/>
  <c r="AP43" i="73"/>
  <c r="AL43" i="73"/>
  <c r="AH43" i="73" s="1"/>
  <c r="AG43" i="73" s="1"/>
  <c r="AF43" i="73"/>
  <c r="AD43" i="73"/>
  <c r="J43" i="73"/>
  <c r="K43" i="73" s="1"/>
  <c r="G43" i="73"/>
  <c r="D43" i="73"/>
  <c r="C43" i="73"/>
  <c r="CD42" i="73"/>
  <c r="AH42" i="73" s="1"/>
  <c r="BZ42" i="73"/>
  <c r="BV42" i="73"/>
  <c r="BR42" i="73"/>
  <c r="BN42" i="73"/>
  <c r="BJ42" i="73"/>
  <c r="BF42" i="73"/>
  <c r="BB42" i="73"/>
  <c r="AX42" i="73"/>
  <c r="AT42" i="73"/>
  <c r="AP42" i="73"/>
  <c r="AL42" i="73"/>
  <c r="AF42" i="73"/>
  <c r="AG42" i="73" s="1"/>
  <c r="AD42" i="73"/>
  <c r="J42" i="73"/>
  <c r="K42" i="73" s="1"/>
  <c r="G42" i="73"/>
  <c r="D42" i="73"/>
  <c r="C42" i="73"/>
  <c r="CD41" i="73"/>
  <c r="BZ41" i="73"/>
  <c r="BV41" i="73"/>
  <c r="BR41" i="73"/>
  <c r="BN41" i="73"/>
  <c r="BJ41" i="73"/>
  <c r="BF41" i="73"/>
  <c r="BB41" i="73"/>
  <c r="AX41" i="73"/>
  <c r="AT41" i="73"/>
  <c r="AP41" i="73"/>
  <c r="AL41" i="73"/>
  <c r="AF41" i="73"/>
  <c r="AD41" i="73"/>
  <c r="J41" i="73"/>
  <c r="K41" i="73" s="1"/>
  <c r="G41" i="73"/>
  <c r="D41" i="73"/>
  <c r="C41" i="73"/>
  <c r="CD40" i="73"/>
  <c r="BZ40" i="73"/>
  <c r="BZ37" i="73" s="1"/>
  <c r="BV40" i="73"/>
  <c r="BR40" i="73"/>
  <c r="BN40" i="73"/>
  <c r="AH40" i="73" s="1"/>
  <c r="AG40" i="73" s="1"/>
  <c r="BJ40" i="73"/>
  <c r="BF40" i="73"/>
  <c r="BB40" i="73"/>
  <c r="AX40" i="73"/>
  <c r="AT40" i="73"/>
  <c r="AP40" i="73"/>
  <c r="AL40" i="73"/>
  <c r="AF40" i="73"/>
  <c r="AD40" i="73"/>
  <c r="J40" i="73"/>
  <c r="K40" i="73" s="1"/>
  <c r="G40" i="73"/>
  <c r="D40" i="73"/>
  <c r="CD39" i="73"/>
  <c r="BZ39" i="73"/>
  <c r="BV39" i="73"/>
  <c r="BR39" i="73"/>
  <c r="BN39" i="73"/>
  <c r="BJ39" i="73"/>
  <c r="BF39" i="73"/>
  <c r="BB39" i="73"/>
  <c r="AX39" i="73"/>
  <c r="AT39" i="73"/>
  <c r="AP39" i="73"/>
  <c r="AL39" i="73"/>
  <c r="AH39" i="73"/>
  <c r="AF39" i="73"/>
  <c r="AG39" i="73" s="1"/>
  <c r="AD39" i="73"/>
  <c r="J39" i="73"/>
  <c r="K39" i="73" s="1"/>
  <c r="G39" i="73"/>
  <c r="D39" i="73"/>
  <c r="C39" i="73"/>
  <c r="CD38" i="73"/>
  <c r="BZ38" i="73"/>
  <c r="BV38" i="73"/>
  <c r="BR38" i="73"/>
  <c r="BN38" i="73"/>
  <c r="BJ38" i="73"/>
  <c r="BF38" i="73"/>
  <c r="BB38" i="73"/>
  <c r="AX38" i="73"/>
  <c r="AH38" i="73" s="1"/>
  <c r="AT38" i="73"/>
  <c r="AP38" i="73"/>
  <c r="AL38" i="73"/>
  <c r="AF38" i="73"/>
  <c r="AD38" i="73"/>
  <c r="J38" i="73"/>
  <c r="K38" i="73" s="1"/>
  <c r="G38" i="73"/>
  <c r="D38" i="73"/>
  <c r="C38" i="73"/>
  <c r="AD37" i="73"/>
  <c r="D37" i="73"/>
  <c r="C37" i="73"/>
  <c r="CD36" i="73"/>
  <c r="BZ36" i="73"/>
  <c r="BV36" i="73"/>
  <c r="BR36" i="73"/>
  <c r="BN36" i="73"/>
  <c r="BJ36" i="73"/>
  <c r="BF36" i="73"/>
  <c r="BB36" i="73"/>
  <c r="AX36" i="73"/>
  <c r="AT36" i="73"/>
  <c r="AP36" i="73"/>
  <c r="AL36" i="73"/>
  <c r="AF36" i="73"/>
  <c r="AD36" i="73"/>
  <c r="J36" i="73"/>
  <c r="K36" i="73" s="1"/>
  <c r="G36" i="73"/>
  <c r="D36" i="73"/>
  <c r="CD35" i="73"/>
  <c r="BZ35" i="73"/>
  <c r="BV35" i="73"/>
  <c r="BR35" i="73"/>
  <c r="BN35" i="73"/>
  <c r="BJ35" i="73"/>
  <c r="BF35" i="73"/>
  <c r="BB35" i="73"/>
  <c r="AX35" i="73"/>
  <c r="AT35" i="73"/>
  <c r="AP35" i="73"/>
  <c r="AL35" i="73"/>
  <c r="AH35" i="73"/>
  <c r="AG35" i="73" s="1"/>
  <c r="AF35" i="73"/>
  <c r="AD35" i="73"/>
  <c r="J35" i="73"/>
  <c r="K35" i="73" s="1"/>
  <c r="G35" i="73"/>
  <c r="D35" i="73"/>
  <c r="CD34" i="73"/>
  <c r="BZ34" i="73"/>
  <c r="BV34" i="73"/>
  <c r="BR34" i="73"/>
  <c r="BN34" i="73"/>
  <c r="BJ34" i="73"/>
  <c r="BF34" i="73"/>
  <c r="BB34" i="73"/>
  <c r="AX34" i="73"/>
  <c r="AT34" i="73"/>
  <c r="AP34" i="73"/>
  <c r="AL34" i="73"/>
  <c r="AH34" i="73" s="1"/>
  <c r="AG34" i="73" s="1"/>
  <c r="AF34" i="73"/>
  <c r="AD34" i="73"/>
  <c r="J34" i="73"/>
  <c r="K34" i="73" s="1"/>
  <c r="G34" i="73"/>
  <c r="D34" i="73"/>
  <c r="C34" i="73"/>
  <c r="CD33" i="73"/>
  <c r="AH33" i="73" s="1"/>
  <c r="BZ33" i="73"/>
  <c r="BV33" i="73"/>
  <c r="BR33" i="73"/>
  <c r="BN33" i="73"/>
  <c r="BJ33" i="73"/>
  <c r="BF33" i="73"/>
  <c r="BB33" i="73"/>
  <c r="AX33" i="73"/>
  <c r="AT33" i="73"/>
  <c r="AP33" i="73"/>
  <c r="AL33" i="73"/>
  <c r="AF33" i="73"/>
  <c r="AG33" i="73" s="1"/>
  <c r="AD33" i="73"/>
  <c r="J33" i="73"/>
  <c r="K33" i="73" s="1"/>
  <c r="G33" i="73"/>
  <c r="D33" i="73"/>
  <c r="C33" i="73"/>
  <c r="CD32" i="73"/>
  <c r="BZ32" i="73"/>
  <c r="BV32" i="73"/>
  <c r="BR32" i="73"/>
  <c r="BN32" i="73"/>
  <c r="BJ32" i="73"/>
  <c r="BF32" i="73"/>
  <c r="BB32" i="73"/>
  <c r="AX32" i="73"/>
  <c r="AT32" i="73"/>
  <c r="AP32" i="73"/>
  <c r="AL32" i="73"/>
  <c r="AF32" i="73"/>
  <c r="AD32" i="73"/>
  <c r="J32" i="73"/>
  <c r="K32" i="73" s="1"/>
  <c r="G32" i="73"/>
  <c r="D32" i="73"/>
  <c r="C32" i="73"/>
  <c r="CD31" i="73"/>
  <c r="BZ31" i="73"/>
  <c r="BV31" i="73"/>
  <c r="BR31" i="73"/>
  <c r="BN31" i="73"/>
  <c r="AH31" i="73" s="1"/>
  <c r="AG31" i="73" s="1"/>
  <c r="BJ31" i="73"/>
  <c r="BF31" i="73"/>
  <c r="BB31" i="73"/>
  <c r="AX31" i="73"/>
  <c r="AT31" i="73"/>
  <c r="AP31" i="73"/>
  <c r="AL31" i="73"/>
  <c r="AF31" i="73"/>
  <c r="AD31" i="73"/>
  <c r="J31" i="73"/>
  <c r="K31" i="73" s="1"/>
  <c r="G31" i="73"/>
  <c r="D31" i="73"/>
  <c r="CD30" i="73"/>
  <c r="BZ30" i="73"/>
  <c r="BV30" i="73"/>
  <c r="BR30" i="73"/>
  <c r="BN30" i="73"/>
  <c r="BJ30" i="73"/>
  <c r="BF30" i="73"/>
  <c r="BB30" i="73"/>
  <c r="AX30" i="73"/>
  <c r="AT30" i="73"/>
  <c r="AP30" i="73"/>
  <c r="AL30" i="73"/>
  <c r="AL24" i="73" s="1"/>
  <c r="AH30" i="73"/>
  <c r="AF30" i="73"/>
  <c r="AG30" i="73" s="1"/>
  <c r="AD30" i="73"/>
  <c r="J30" i="73"/>
  <c r="K30" i="73" s="1"/>
  <c r="G30" i="73"/>
  <c r="D30" i="73"/>
  <c r="C30" i="73"/>
  <c r="CD29" i="73"/>
  <c r="BZ29" i="73"/>
  <c r="BV29" i="73"/>
  <c r="BR29" i="73"/>
  <c r="BN29" i="73"/>
  <c r="BJ29" i="73"/>
  <c r="BF29" i="73"/>
  <c r="BB29" i="73"/>
  <c r="AX29" i="73"/>
  <c r="AH29" i="73" s="1"/>
  <c r="AG29" i="73" s="1"/>
  <c r="AT29" i="73"/>
  <c r="AP29" i="73"/>
  <c r="AL29" i="73"/>
  <c r="AF29" i="73"/>
  <c r="AD29" i="73"/>
  <c r="J29" i="73"/>
  <c r="K29" i="73" s="1"/>
  <c r="G29" i="73"/>
  <c r="D29" i="73"/>
  <c r="C29" i="73"/>
  <c r="CD28" i="73"/>
  <c r="BZ28" i="73"/>
  <c r="BV28" i="73"/>
  <c r="BR28" i="73"/>
  <c r="BN28" i="73"/>
  <c r="BJ28" i="73"/>
  <c r="BF28" i="73"/>
  <c r="BB28" i="73"/>
  <c r="AX28" i="73"/>
  <c r="AT28" i="73"/>
  <c r="AP28" i="73"/>
  <c r="AH28" i="73" s="1"/>
  <c r="AG28" i="73" s="1"/>
  <c r="AL28" i="73"/>
  <c r="AF28" i="73"/>
  <c r="AD28" i="73"/>
  <c r="J28" i="73"/>
  <c r="K28" i="73" s="1"/>
  <c r="G28" i="73"/>
  <c r="D28" i="73"/>
  <c r="CD27" i="73"/>
  <c r="BZ27" i="73"/>
  <c r="BV27" i="73"/>
  <c r="BR27" i="73"/>
  <c r="BN27" i="73"/>
  <c r="BJ27" i="73"/>
  <c r="BF27" i="73"/>
  <c r="BB27" i="73"/>
  <c r="BB24" i="73" s="1"/>
  <c r="AX27" i="73"/>
  <c r="AT27" i="73"/>
  <c r="AH27" i="73" s="1"/>
  <c r="AG27" i="73" s="1"/>
  <c r="AP27" i="73"/>
  <c r="AL27" i="73"/>
  <c r="AF27" i="73"/>
  <c r="AD27" i="73"/>
  <c r="J27" i="73"/>
  <c r="K27" i="73" s="1"/>
  <c r="G27" i="73"/>
  <c r="D27" i="73"/>
  <c r="CD26" i="73"/>
  <c r="BZ26" i="73"/>
  <c r="BV26" i="73"/>
  <c r="BR26" i="73"/>
  <c r="BN26" i="73"/>
  <c r="BN24" i="73" s="1"/>
  <c r="BJ26" i="73"/>
  <c r="BF26" i="73"/>
  <c r="BF24" i="73" s="1"/>
  <c r="BB26" i="73"/>
  <c r="AX26" i="73"/>
  <c r="AT26" i="73"/>
  <c r="AP26" i="73"/>
  <c r="AL26" i="73"/>
  <c r="AF26" i="73"/>
  <c r="AD26" i="73"/>
  <c r="J26" i="73"/>
  <c r="K26" i="73" s="1"/>
  <c r="G26" i="73"/>
  <c r="D26" i="73"/>
  <c r="C26" i="73"/>
  <c r="CD25" i="73"/>
  <c r="BZ25" i="73"/>
  <c r="BV25" i="73"/>
  <c r="BR25" i="73"/>
  <c r="BN25" i="73"/>
  <c r="BJ25" i="73"/>
  <c r="BF25" i="73"/>
  <c r="BB25" i="73"/>
  <c r="AX25" i="73"/>
  <c r="AT25" i="73"/>
  <c r="AP25" i="73"/>
  <c r="AL25" i="73"/>
  <c r="AF25" i="73"/>
  <c r="AD25" i="73"/>
  <c r="J25" i="73"/>
  <c r="I25" i="73"/>
  <c r="G25" i="73"/>
  <c r="D25" i="73"/>
  <c r="BR24" i="73"/>
  <c r="AD24" i="73"/>
  <c r="D24" i="73"/>
  <c r="CD23" i="73"/>
  <c r="BZ23" i="73"/>
  <c r="BV23" i="73"/>
  <c r="BR23" i="73"/>
  <c r="BN23" i="73"/>
  <c r="BJ23" i="73"/>
  <c r="BF23" i="73"/>
  <c r="BB23" i="73"/>
  <c r="AX23" i="73"/>
  <c r="AT23" i="73"/>
  <c r="AP23" i="73"/>
  <c r="AL23" i="73"/>
  <c r="AF23" i="73"/>
  <c r="AD23" i="73"/>
  <c r="O23" i="73"/>
  <c r="J23" i="73"/>
  <c r="K23" i="73" s="1"/>
  <c r="G23" i="73"/>
  <c r="D23" i="73"/>
  <c r="C23" i="73"/>
  <c r="CD22" i="73"/>
  <c r="BZ22" i="73"/>
  <c r="BV22" i="73"/>
  <c r="BV11" i="73" s="1"/>
  <c r="BR22" i="73"/>
  <c r="BN22" i="73"/>
  <c r="BJ22" i="73"/>
  <c r="BF22" i="73"/>
  <c r="BB22" i="73"/>
  <c r="AX22" i="73"/>
  <c r="AT22" i="73"/>
  <c r="AP22" i="73"/>
  <c r="AL22" i="73"/>
  <c r="AF22" i="73"/>
  <c r="AD22" i="73"/>
  <c r="O22" i="73"/>
  <c r="J22" i="73"/>
  <c r="K22" i="73" s="1"/>
  <c r="G22" i="73"/>
  <c r="D22" i="73"/>
  <c r="C22" i="73"/>
  <c r="CD21" i="73"/>
  <c r="BZ21" i="73"/>
  <c r="BV21" i="73"/>
  <c r="BR21" i="73"/>
  <c r="BN21" i="73"/>
  <c r="BJ21" i="73"/>
  <c r="BF21" i="73"/>
  <c r="BB21" i="73"/>
  <c r="AX21" i="73"/>
  <c r="AT21" i="73"/>
  <c r="AP21" i="73"/>
  <c r="AL21" i="73"/>
  <c r="AH21" i="73" s="1"/>
  <c r="AG21" i="73" s="1"/>
  <c r="AF21" i="73"/>
  <c r="AD21" i="73"/>
  <c r="O21" i="73"/>
  <c r="J21" i="73"/>
  <c r="K21" i="73" s="1"/>
  <c r="G21" i="73"/>
  <c r="D21" i="73"/>
  <c r="C21" i="73"/>
  <c r="CD20" i="73"/>
  <c r="BZ20" i="73"/>
  <c r="BV20" i="73"/>
  <c r="BR20" i="73"/>
  <c r="BN20" i="73"/>
  <c r="AH20" i="73" s="1"/>
  <c r="AG20" i="73" s="1"/>
  <c r="BJ20" i="73"/>
  <c r="BF20" i="73"/>
  <c r="BB20" i="73"/>
  <c r="AX20" i="73"/>
  <c r="AT20" i="73"/>
  <c r="AP20" i="73"/>
  <c r="AL20" i="73"/>
  <c r="AF20" i="73"/>
  <c r="AD20" i="73"/>
  <c r="O20" i="73"/>
  <c r="J20" i="73"/>
  <c r="K20" i="73" s="1"/>
  <c r="G20" i="73"/>
  <c r="D20" i="73"/>
  <c r="CD19" i="73"/>
  <c r="BZ19" i="73"/>
  <c r="BV19" i="73"/>
  <c r="BR19" i="73"/>
  <c r="BN19" i="73"/>
  <c r="BJ19" i="73"/>
  <c r="BF19" i="73"/>
  <c r="BB19" i="73"/>
  <c r="AX19" i="73"/>
  <c r="AT19" i="73"/>
  <c r="AP19" i="73"/>
  <c r="AL19" i="73"/>
  <c r="AH19" i="73"/>
  <c r="AG19" i="73" s="1"/>
  <c r="AF19" i="73"/>
  <c r="AD19" i="73"/>
  <c r="O19" i="73"/>
  <c r="J19" i="73"/>
  <c r="K19" i="73" s="1"/>
  <c r="G19" i="73"/>
  <c r="D19" i="73"/>
  <c r="CD18" i="73"/>
  <c r="BZ18" i="73"/>
  <c r="BV18" i="73"/>
  <c r="BR18" i="73"/>
  <c r="BN18" i="73"/>
  <c r="BJ18" i="73"/>
  <c r="BF18" i="73"/>
  <c r="BB18" i="73"/>
  <c r="AX18" i="73"/>
  <c r="AT18" i="73"/>
  <c r="AP18" i="73"/>
  <c r="AL18" i="73"/>
  <c r="AF18" i="73"/>
  <c r="AD18" i="73"/>
  <c r="O18" i="73"/>
  <c r="J18" i="73"/>
  <c r="K18" i="73" s="1"/>
  <c r="G18" i="73"/>
  <c r="D18" i="73"/>
  <c r="C18" i="73"/>
  <c r="CD17" i="73"/>
  <c r="BZ17" i="73"/>
  <c r="BV17" i="73"/>
  <c r="BR17" i="73"/>
  <c r="BN17" i="73"/>
  <c r="BJ17" i="73"/>
  <c r="BF17" i="73"/>
  <c r="BB17" i="73"/>
  <c r="AX17" i="73"/>
  <c r="AT17" i="73"/>
  <c r="AP17" i="73"/>
  <c r="AL17" i="73"/>
  <c r="AH17" i="73"/>
  <c r="AF17" i="73"/>
  <c r="AG17" i="73" s="1"/>
  <c r="AD17" i="73"/>
  <c r="O17" i="73"/>
  <c r="J17" i="73"/>
  <c r="K17" i="73" s="1"/>
  <c r="G17" i="73"/>
  <c r="D17" i="73"/>
  <c r="C17" i="73"/>
  <c r="CD16" i="73"/>
  <c r="BZ16" i="73"/>
  <c r="BV16" i="73"/>
  <c r="BR16" i="73"/>
  <c r="BN16" i="73"/>
  <c r="BJ16" i="73"/>
  <c r="BF16" i="73"/>
  <c r="BB16" i="73"/>
  <c r="AX16" i="73"/>
  <c r="AH16" i="73" s="1"/>
  <c r="AG16" i="73" s="1"/>
  <c r="AT16" i="73"/>
  <c r="AP16" i="73"/>
  <c r="AL16" i="73"/>
  <c r="AF16" i="73"/>
  <c r="AD16" i="73"/>
  <c r="O16" i="73"/>
  <c r="J16" i="73"/>
  <c r="K16" i="73" s="1"/>
  <c r="G16" i="73"/>
  <c r="D16" i="73"/>
  <c r="C16" i="73"/>
  <c r="CD15" i="73"/>
  <c r="BZ15" i="73"/>
  <c r="AH15" i="73" s="1"/>
  <c r="BV15" i="73"/>
  <c r="BR15" i="73"/>
  <c r="BN15" i="73"/>
  <c r="BJ15" i="73"/>
  <c r="BF15" i="73"/>
  <c r="BB15" i="73"/>
  <c r="AX15" i="73"/>
  <c r="AT15" i="73"/>
  <c r="AP15" i="73"/>
  <c r="AL15" i="73"/>
  <c r="AF15" i="73"/>
  <c r="AD15" i="73"/>
  <c r="O15" i="73"/>
  <c r="J15" i="73"/>
  <c r="K15" i="73" s="1"/>
  <c r="G15" i="73"/>
  <c r="D15" i="73"/>
  <c r="C15" i="73"/>
  <c r="CD14" i="73"/>
  <c r="BZ14" i="73"/>
  <c r="BV14" i="73"/>
  <c r="BR14" i="73"/>
  <c r="BN14" i="73"/>
  <c r="BJ14" i="73"/>
  <c r="BF14" i="73"/>
  <c r="BB14" i="73"/>
  <c r="AX14" i="73"/>
  <c r="AT14" i="73"/>
  <c r="AP14" i="73"/>
  <c r="AL14" i="73"/>
  <c r="AF14" i="73"/>
  <c r="AD14" i="73"/>
  <c r="O14" i="73"/>
  <c r="J14" i="73"/>
  <c r="K14" i="73" s="1"/>
  <c r="G14" i="73"/>
  <c r="D14" i="73"/>
  <c r="C14" i="73"/>
  <c r="CD13" i="73"/>
  <c r="CD11" i="73" s="1"/>
  <c r="BZ13" i="73"/>
  <c r="BV13" i="73"/>
  <c r="BR13" i="73"/>
  <c r="BN13" i="73"/>
  <c r="BJ13" i="73"/>
  <c r="BF13" i="73"/>
  <c r="BB13" i="73"/>
  <c r="AX13" i="73"/>
  <c r="AT13" i="73"/>
  <c r="AP13" i="73"/>
  <c r="AL13" i="73"/>
  <c r="AF13" i="73"/>
  <c r="AD13" i="73"/>
  <c r="O13" i="73"/>
  <c r="J13" i="73"/>
  <c r="K13" i="73" s="1"/>
  <c r="G13" i="73"/>
  <c r="D13" i="73"/>
  <c r="CD12" i="73"/>
  <c r="BZ12" i="73"/>
  <c r="BV12" i="73"/>
  <c r="BR12" i="73"/>
  <c r="BN12" i="73"/>
  <c r="BJ12" i="73"/>
  <c r="BF12" i="73"/>
  <c r="BB12" i="73"/>
  <c r="AX12" i="73"/>
  <c r="AT12" i="73"/>
  <c r="AT11" i="73" s="1"/>
  <c r="AP12" i="73"/>
  <c r="AL12" i="73"/>
  <c r="AL11" i="73" s="1"/>
  <c r="AH12" i="73"/>
  <c r="AF12" i="73"/>
  <c r="AD12" i="73"/>
  <c r="O12" i="73"/>
  <c r="J12" i="73"/>
  <c r="K12" i="73" s="1"/>
  <c r="G12" i="73"/>
  <c r="D12" i="73"/>
  <c r="AP11" i="73"/>
  <c r="AD11" i="73"/>
  <c r="D11" i="73"/>
  <c r="AF6" i="73"/>
  <c r="A3" i="73"/>
  <c r="C56" i="73" s="1"/>
  <c r="CD62" i="72"/>
  <c r="BZ62" i="72"/>
  <c r="BV62" i="72"/>
  <c r="BR62" i="72"/>
  <c r="BN62" i="72"/>
  <c r="BJ62" i="72"/>
  <c r="BF62" i="72"/>
  <c r="BB62" i="72"/>
  <c r="AX62" i="72"/>
  <c r="AT62" i="72"/>
  <c r="AP62" i="72"/>
  <c r="AL62" i="72"/>
  <c r="AH62" i="72"/>
  <c r="AF62" i="72"/>
  <c r="AG62" i="72" s="1"/>
  <c r="AD62" i="72"/>
  <c r="J62" i="72"/>
  <c r="I62" i="72"/>
  <c r="G62" i="72"/>
  <c r="D62" i="72"/>
  <c r="C62" i="72"/>
  <c r="CD61" i="72"/>
  <c r="BZ61" i="72"/>
  <c r="BV61" i="72"/>
  <c r="BR61" i="72"/>
  <c r="BN61" i="72"/>
  <c r="BJ61" i="72"/>
  <c r="BF61" i="72"/>
  <c r="BB61" i="72"/>
  <c r="AX61" i="72"/>
  <c r="AH61" i="72" s="1"/>
  <c r="AG61" i="72" s="1"/>
  <c r="AT61" i="72"/>
  <c r="AP61" i="72"/>
  <c r="AL61" i="72"/>
  <c r="AF61" i="72"/>
  <c r="AD61" i="72"/>
  <c r="J61" i="72"/>
  <c r="I61" i="72"/>
  <c r="G61" i="72"/>
  <c r="D61" i="72"/>
  <c r="C61" i="72"/>
  <c r="CD60" i="72"/>
  <c r="BZ60" i="72"/>
  <c r="BV60" i="72"/>
  <c r="BR60" i="72"/>
  <c r="BN60" i="72"/>
  <c r="BJ60" i="72"/>
  <c r="BF60" i="72"/>
  <c r="BB60" i="72"/>
  <c r="AX60" i="72"/>
  <c r="AT60" i="72"/>
  <c r="AP60" i="72"/>
  <c r="AL60" i="72"/>
  <c r="AF60" i="72"/>
  <c r="AD60" i="72"/>
  <c r="J60" i="72"/>
  <c r="I60" i="72"/>
  <c r="G60" i="72"/>
  <c r="D60" i="72"/>
  <c r="C60" i="72"/>
  <c r="CD59" i="72"/>
  <c r="BZ59" i="72"/>
  <c r="BV59" i="72"/>
  <c r="BR59" i="72"/>
  <c r="BN59" i="72"/>
  <c r="BJ59" i="72"/>
  <c r="BF59" i="72"/>
  <c r="BB59" i="72"/>
  <c r="AX59" i="72"/>
  <c r="AT59" i="72"/>
  <c r="AP59" i="72"/>
  <c r="AL59" i="72"/>
  <c r="AH59" i="72" s="1"/>
  <c r="AG59" i="72" s="1"/>
  <c r="AF59" i="72"/>
  <c r="AD59" i="72"/>
  <c r="J59" i="72"/>
  <c r="I59" i="72"/>
  <c r="G59" i="72"/>
  <c r="D59" i="72"/>
  <c r="C59" i="72"/>
  <c r="CD58" i="72"/>
  <c r="BZ58" i="72"/>
  <c r="BV58" i="72"/>
  <c r="BR58" i="72"/>
  <c r="BN58" i="72"/>
  <c r="BJ58" i="72"/>
  <c r="BF58" i="72"/>
  <c r="BB58" i="72"/>
  <c r="AX58" i="72"/>
  <c r="AT58" i="72"/>
  <c r="AP58" i="72"/>
  <c r="AL58" i="72"/>
  <c r="AH58" i="72" s="1"/>
  <c r="AG58" i="72" s="1"/>
  <c r="AF58" i="72"/>
  <c r="AD58" i="72"/>
  <c r="J58" i="72"/>
  <c r="I58" i="72"/>
  <c r="G58" i="72"/>
  <c r="D58" i="72"/>
  <c r="CD57" i="72"/>
  <c r="BZ57" i="72"/>
  <c r="BV57" i="72"/>
  <c r="BR57" i="72"/>
  <c r="BN57" i="72"/>
  <c r="BJ57" i="72"/>
  <c r="BF57" i="72"/>
  <c r="AH57" i="72" s="1"/>
  <c r="AG57" i="72" s="1"/>
  <c r="BB57" i="72"/>
  <c r="AX57" i="72"/>
  <c r="AT57" i="72"/>
  <c r="AP57" i="72"/>
  <c r="AL57" i="72"/>
  <c r="AF57" i="72"/>
  <c r="AD57" i="72"/>
  <c r="J57" i="72"/>
  <c r="G57" i="72"/>
  <c r="D57" i="72"/>
  <c r="C57" i="72"/>
  <c r="CD56" i="72"/>
  <c r="BZ56" i="72"/>
  <c r="BV56" i="72"/>
  <c r="BR56" i="72"/>
  <c r="BN56" i="72"/>
  <c r="BJ56" i="72"/>
  <c r="BF56" i="72"/>
  <c r="BB56" i="72"/>
  <c r="AX56" i="72"/>
  <c r="AT56" i="72"/>
  <c r="AP56" i="72"/>
  <c r="AL56" i="72"/>
  <c r="AF56" i="72"/>
  <c r="AD56" i="72"/>
  <c r="J56" i="72"/>
  <c r="I56" i="72"/>
  <c r="G56" i="72"/>
  <c r="D56" i="72"/>
  <c r="CD55" i="72"/>
  <c r="BZ55" i="72"/>
  <c r="BV55" i="72"/>
  <c r="BR55" i="72"/>
  <c r="BN55" i="72"/>
  <c r="BJ55" i="72"/>
  <c r="BF55" i="72"/>
  <c r="BB55" i="72"/>
  <c r="AX55" i="72"/>
  <c r="AT55" i="72"/>
  <c r="AP55" i="72"/>
  <c r="AL55" i="72"/>
  <c r="AL50" i="72" s="1"/>
  <c r="AH55" i="72"/>
  <c r="AG55" i="72" s="1"/>
  <c r="AF55" i="72"/>
  <c r="AD55" i="72"/>
  <c r="J55" i="72"/>
  <c r="I55" i="72"/>
  <c r="G55" i="72"/>
  <c r="D55" i="72"/>
  <c r="C55" i="72"/>
  <c r="CD54" i="72"/>
  <c r="BZ54" i="72"/>
  <c r="BV54" i="72"/>
  <c r="BR54" i="72"/>
  <c r="BN54" i="72"/>
  <c r="BJ54" i="72"/>
  <c r="BF54" i="72"/>
  <c r="BB54" i="72"/>
  <c r="AH54" i="72" s="1"/>
  <c r="AG54" i="72" s="1"/>
  <c r="AX54" i="72"/>
  <c r="AT54" i="72"/>
  <c r="AP54" i="72"/>
  <c r="AL54" i="72"/>
  <c r="AF54" i="72"/>
  <c r="AD54" i="72"/>
  <c r="J54" i="72"/>
  <c r="I54" i="72"/>
  <c r="G54" i="72"/>
  <c r="D54" i="72"/>
  <c r="C54" i="72"/>
  <c r="CD53" i="72"/>
  <c r="BZ53" i="72"/>
  <c r="BV53" i="72"/>
  <c r="BR53" i="72"/>
  <c r="BN53" i="72"/>
  <c r="BJ53" i="72"/>
  <c r="BF53" i="72"/>
  <c r="BB53" i="72"/>
  <c r="AX53" i="72"/>
  <c r="AT53" i="72"/>
  <c r="AP53" i="72"/>
  <c r="AP50" i="72" s="1"/>
  <c r="AL53" i="72"/>
  <c r="AF53" i="72"/>
  <c r="AD53" i="72"/>
  <c r="J53" i="72"/>
  <c r="I53" i="72"/>
  <c r="G53" i="72"/>
  <c r="D53" i="72"/>
  <c r="CD52" i="72"/>
  <c r="BZ52" i="72"/>
  <c r="BV52" i="72"/>
  <c r="BR52" i="72"/>
  <c r="BN52" i="72"/>
  <c r="BN50" i="72" s="1"/>
  <c r="BJ52" i="72"/>
  <c r="BF52" i="72"/>
  <c r="BB52" i="72"/>
  <c r="AX52" i="72"/>
  <c r="AT52" i="72"/>
  <c r="AP52" i="72"/>
  <c r="AL52" i="72"/>
  <c r="AF52" i="72"/>
  <c r="AD52" i="72"/>
  <c r="J52" i="72"/>
  <c r="I52" i="72"/>
  <c r="G52" i="72"/>
  <c r="D52" i="72"/>
  <c r="C52" i="72"/>
  <c r="CD51" i="72"/>
  <c r="BZ51" i="72"/>
  <c r="BV51" i="72"/>
  <c r="BR51" i="72"/>
  <c r="BN51" i="72"/>
  <c r="BJ51" i="72"/>
  <c r="BF51" i="72"/>
  <c r="BB51" i="72"/>
  <c r="AX51" i="72"/>
  <c r="AT51" i="72"/>
  <c r="AP51" i="72"/>
  <c r="AH51" i="72" s="1"/>
  <c r="AL51" i="72"/>
  <c r="AF51" i="72"/>
  <c r="AD51" i="72"/>
  <c r="J51" i="72"/>
  <c r="I51" i="72"/>
  <c r="G51" i="72"/>
  <c r="D51" i="72"/>
  <c r="C51" i="72"/>
  <c r="BV50" i="72"/>
  <c r="BR50" i="72"/>
  <c r="AD50" i="72"/>
  <c r="D50" i="72"/>
  <c r="C50" i="72"/>
  <c r="CD49" i="72"/>
  <c r="BZ49" i="72"/>
  <c r="BV49" i="72"/>
  <c r="BR49" i="72"/>
  <c r="BN49" i="72"/>
  <c r="BJ49" i="72"/>
  <c r="BF49" i="72"/>
  <c r="BB49" i="72"/>
  <c r="AX49" i="72"/>
  <c r="AT49" i="72"/>
  <c r="AP49" i="72"/>
  <c r="AL49" i="72"/>
  <c r="AH49" i="72" s="1"/>
  <c r="AG49" i="72" s="1"/>
  <c r="AF49" i="72"/>
  <c r="AD49" i="72"/>
  <c r="J49" i="72"/>
  <c r="K49" i="72" s="1"/>
  <c r="G49" i="72"/>
  <c r="D49" i="72"/>
  <c r="C49" i="72"/>
  <c r="CD48" i="72"/>
  <c r="BZ48" i="72"/>
  <c r="BV48" i="72"/>
  <c r="BR48" i="72"/>
  <c r="BN48" i="72"/>
  <c r="BJ48" i="72"/>
  <c r="BF48" i="72"/>
  <c r="BB48" i="72"/>
  <c r="AX48" i="72"/>
  <c r="AT48" i="72"/>
  <c r="AP48" i="72"/>
  <c r="AL48" i="72"/>
  <c r="AH48" i="72"/>
  <c r="AG48" i="72" s="1"/>
  <c r="AF48" i="72"/>
  <c r="AD48" i="72"/>
  <c r="J48" i="72"/>
  <c r="K48" i="72" s="1"/>
  <c r="G48" i="72"/>
  <c r="D48" i="72"/>
  <c r="CD47" i="72"/>
  <c r="BZ47" i="72"/>
  <c r="BV47" i="72"/>
  <c r="BR47" i="72"/>
  <c r="BN47" i="72"/>
  <c r="BJ47" i="72"/>
  <c r="BF47" i="72"/>
  <c r="BB47" i="72"/>
  <c r="AH47" i="72" s="1"/>
  <c r="AG47" i="72" s="1"/>
  <c r="AX47" i="72"/>
  <c r="AT47" i="72"/>
  <c r="AP47" i="72"/>
  <c r="AL47" i="72"/>
  <c r="AF47" i="72"/>
  <c r="AD47" i="72"/>
  <c r="J47" i="72"/>
  <c r="K47" i="72" s="1"/>
  <c r="G47" i="72"/>
  <c r="D47" i="72"/>
  <c r="C47" i="72"/>
  <c r="CD46" i="72"/>
  <c r="BZ46" i="72"/>
  <c r="BV46" i="72"/>
  <c r="BR46" i="72"/>
  <c r="BN46" i="72"/>
  <c r="BJ46" i="72"/>
  <c r="BF46" i="72"/>
  <c r="BB46" i="72"/>
  <c r="AX46" i="72"/>
  <c r="AT46" i="72"/>
  <c r="AP46" i="72"/>
  <c r="AL46" i="72"/>
  <c r="AF46" i="72"/>
  <c r="AD46" i="72"/>
  <c r="J46" i="72"/>
  <c r="K46" i="72" s="1"/>
  <c r="G46" i="72"/>
  <c r="D46" i="72"/>
  <c r="C46" i="72"/>
  <c r="CD45" i="72"/>
  <c r="BZ45" i="72"/>
  <c r="BV45" i="72"/>
  <c r="BR45" i="72"/>
  <c r="BN45" i="72"/>
  <c r="BJ45" i="72"/>
  <c r="BF45" i="72"/>
  <c r="BB45" i="72"/>
  <c r="AX45" i="72"/>
  <c r="AT45" i="72"/>
  <c r="AP45" i="72"/>
  <c r="AL45" i="72"/>
  <c r="AH45" i="72"/>
  <c r="AF45" i="72"/>
  <c r="AG45" i="72" s="1"/>
  <c r="AD45" i="72"/>
  <c r="J45" i="72"/>
  <c r="K45" i="72" s="1"/>
  <c r="G45" i="72"/>
  <c r="D45" i="72"/>
  <c r="CD44" i="72"/>
  <c r="BZ44" i="72"/>
  <c r="BV44" i="72"/>
  <c r="BR44" i="72"/>
  <c r="BN44" i="72"/>
  <c r="BJ44" i="72"/>
  <c r="BF44" i="72"/>
  <c r="BB44" i="72"/>
  <c r="AX44" i="72"/>
  <c r="AX37" i="72" s="1"/>
  <c r="AT44" i="72"/>
  <c r="AT37" i="72" s="1"/>
  <c r="AP44" i="72"/>
  <c r="AL44" i="72"/>
  <c r="AH44" i="72" s="1"/>
  <c r="AG44" i="72" s="1"/>
  <c r="AF44" i="72"/>
  <c r="AD44" i="72"/>
  <c r="J44" i="72"/>
  <c r="K44" i="72" s="1"/>
  <c r="G44" i="72"/>
  <c r="D44" i="72"/>
  <c r="C44" i="72"/>
  <c r="CD43" i="72"/>
  <c r="BZ43" i="72"/>
  <c r="BV43" i="72"/>
  <c r="BR43" i="72"/>
  <c r="BN43" i="72"/>
  <c r="BJ43" i="72"/>
  <c r="BF43" i="72"/>
  <c r="BB43" i="72"/>
  <c r="AX43" i="72"/>
  <c r="AT43" i="72"/>
  <c r="AP43" i="72"/>
  <c r="AL43" i="72"/>
  <c r="AF43" i="72"/>
  <c r="AD43" i="72"/>
  <c r="J43" i="72"/>
  <c r="K43" i="72" s="1"/>
  <c r="G43" i="72"/>
  <c r="D43" i="72"/>
  <c r="C43" i="72"/>
  <c r="CD42" i="72"/>
  <c r="AH42" i="72" s="1"/>
  <c r="AG42" i="72" s="1"/>
  <c r="BZ42" i="72"/>
  <c r="BV42" i="72"/>
  <c r="BR42" i="72"/>
  <c r="BN42" i="72"/>
  <c r="BJ42" i="72"/>
  <c r="BF42" i="72"/>
  <c r="BB42" i="72"/>
  <c r="AX42" i="72"/>
  <c r="AT42" i="72"/>
  <c r="AP42" i="72"/>
  <c r="AL42" i="72"/>
  <c r="AF42" i="72"/>
  <c r="AD42" i="72"/>
  <c r="J42" i="72"/>
  <c r="K42" i="72" s="1"/>
  <c r="G42" i="72"/>
  <c r="D42" i="72"/>
  <c r="C42" i="72"/>
  <c r="CD41" i="72"/>
  <c r="BZ41" i="72"/>
  <c r="BV41" i="72"/>
  <c r="BR41" i="72"/>
  <c r="BN41" i="72"/>
  <c r="BJ41" i="72"/>
  <c r="BJ37" i="72" s="1"/>
  <c r="BF41" i="72"/>
  <c r="BB41" i="72"/>
  <c r="AX41" i="72"/>
  <c r="AT41" i="72"/>
  <c r="AP41" i="72"/>
  <c r="AL41" i="72"/>
  <c r="AH41" i="72" s="1"/>
  <c r="AG41" i="72" s="1"/>
  <c r="AF41" i="72"/>
  <c r="AD41" i="72"/>
  <c r="J41" i="72"/>
  <c r="K41" i="72" s="1"/>
  <c r="G41" i="72"/>
  <c r="D41" i="72"/>
  <c r="C41" i="72"/>
  <c r="CD40" i="72"/>
  <c r="BZ40" i="72"/>
  <c r="BV40" i="72"/>
  <c r="BR40" i="72"/>
  <c r="BN40" i="72"/>
  <c r="BJ40" i="72"/>
  <c r="BF40" i="72"/>
  <c r="BB40" i="72"/>
  <c r="AX40" i="72"/>
  <c r="AT40" i="72"/>
  <c r="AP40" i="72"/>
  <c r="AL40" i="72"/>
  <c r="AH40" i="72"/>
  <c r="AG40" i="72" s="1"/>
  <c r="AF40" i="72"/>
  <c r="AD40" i="72"/>
  <c r="J40" i="72"/>
  <c r="K40" i="72" s="1"/>
  <c r="G40" i="72"/>
  <c r="D40" i="72"/>
  <c r="CD39" i="72"/>
  <c r="BZ39" i="72"/>
  <c r="BV39" i="72"/>
  <c r="BR39" i="72"/>
  <c r="BN39" i="72"/>
  <c r="BJ39" i="72"/>
  <c r="BF39" i="72"/>
  <c r="BF37" i="72" s="1"/>
  <c r="BB39" i="72"/>
  <c r="AH39" i="72" s="1"/>
  <c r="AG39" i="72" s="1"/>
  <c r="AX39" i="72"/>
  <c r="AT39" i="72"/>
  <c r="AP39" i="72"/>
  <c r="AL39" i="72"/>
  <c r="AF39" i="72"/>
  <c r="AD39" i="72"/>
  <c r="G39" i="72"/>
  <c r="D39" i="72"/>
  <c r="C39" i="72"/>
  <c r="CD38" i="72"/>
  <c r="CD37" i="72" s="1"/>
  <c r="BZ38" i="72"/>
  <c r="BZ37" i="72" s="1"/>
  <c r="BV38" i="72"/>
  <c r="BV37" i="72" s="1"/>
  <c r="BR38" i="72"/>
  <c r="BR37" i="72" s="1"/>
  <c r="BN38" i="72"/>
  <c r="BJ38" i="72"/>
  <c r="BF38" i="72"/>
  <c r="BB38" i="72"/>
  <c r="AX38" i="72"/>
  <c r="AT38" i="72"/>
  <c r="AP38" i="72"/>
  <c r="AL38" i="72"/>
  <c r="AF38" i="72"/>
  <c r="AD38" i="72"/>
  <c r="G38" i="72"/>
  <c r="D38" i="72"/>
  <c r="C38" i="72"/>
  <c r="AD37" i="72"/>
  <c r="D37" i="72"/>
  <c r="C37" i="72"/>
  <c r="CD36" i="72"/>
  <c r="BZ36" i="72"/>
  <c r="BV36" i="72"/>
  <c r="BR36" i="72"/>
  <c r="BN36" i="72"/>
  <c r="BJ36" i="72"/>
  <c r="BF36" i="72"/>
  <c r="BB36" i="72"/>
  <c r="AX36" i="72"/>
  <c r="AT36" i="72"/>
  <c r="AP36" i="72"/>
  <c r="AL36" i="72"/>
  <c r="AH36" i="72"/>
  <c r="AG36" i="72"/>
  <c r="AF36" i="72"/>
  <c r="AD36" i="72"/>
  <c r="J36" i="72"/>
  <c r="K36" i="72" s="1"/>
  <c r="G36" i="72"/>
  <c r="D36" i="72"/>
  <c r="CD35" i="72"/>
  <c r="BZ35" i="72"/>
  <c r="BV35" i="72"/>
  <c r="BR35" i="72"/>
  <c r="BN35" i="72"/>
  <c r="BJ35" i="72"/>
  <c r="BF35" i="72"/>
  <c r="BB35" i="72"/>
  <c r="AX35" i="72"/>
  <c r="AT35" i="72"/>
  <c r="AP35" i="72"/>
  <c r="AH35" i="72" s="1"/>
  <c r="AG35" i="72" s="1"/>
  <c r="AL35" i="72"/>
  <c r="AF35" i="72"/>
  <c r="AD35" i="72"/>
  <c r="J35" i="72"/>
  <c r="K35" i="72" s="1"/>
  <c r="G35" i="72"/>
  <c r="D35" i="72"/>
  <c r="C35" i="72"/>
  <c r="CD34" i="72"/>
  <c r="BZ34" i="72"/>
  <c r="BV34" i="72"/>
  <c r="BR34" i="72"/>
  <c r="BN34" i="72"/>
  <c r="BJ34" i="72"/>
  <c r="BF34" i="72"/>
  <c r="BB34" i="72"/>
  <c r="AX34" i="72"/>
  <c r="AT34" i="72"/>
  <c r="AP34" i="72"/>
  <c r="AL34" i="72"/>
  <c r="AF34" i="72"/>
  <c r="AD34" i="72"/>
  <c r="J34" i="72"/>
  <c r="K34" i="72" s="1"/>
  <c r="G34" i="72"/>
  <c r="D34" i="72"/>
  <c r="C34" i="72"/>
  <c r="CD33" i="72"/>
  <c r="AH33" i="72" s="1"/>
  <c r="AG33" i="72" s="1"/>
  <c r="BZ33" i="72"/>
  <c r="BV33" i="72"/>
  <c r="BR33" i="72"/>
  <c r="BN33" i="72"/>
  <c r="BJ33" i="72"/>
  <c r="BF33" i="72"/>
  <c r="BB33" i="72"/>
  <c r="AX33" i="72"/>
  <c r="AT33" i="72"/>
  <c r="AP33" i="72"/>
  <c r="AL33" i="72"/>
  <c r="AF33" i="72"/>
  <c r="AD33" i="72"/>
  <c r="J33" i="72"/>
  <c r="K33" i="72" s="1"/>
  <c r="G33" i="72"/>
  <c r="D33" i="72"/>
  <c r="C33" i="72"/>
  <c r="CD32" i="72"/>
  <c r="BZ32" i="72"/>
  <c r="BV32" i="72"/>
  <c r="BR32" i="72"/>
  <c r="BN32" i="72"/>
  <c r="BJ32" i="72"/>
  <c r="BF32" i="72"/>
  <c r="BB32" i="72"/>
  <c r="AX32" i="72"/>
  <c r="AT32" i="72"/>
  <c r="AP32" i="72"/>
  <c r="AL32" i="72"/>
  <c r="AH32" i="72" s="1"/>
  <c r="AG32" i="72" s="1"/>
  <c r="AF32" i="72"/>
  <c r="AD32" i="72"/>
  <c r="J32" i="72"/>
  <c r="K32" i="72" s="1"/>
  <c r="G32" i="72"/>
  <c r="D32" i="72"/>
  <c r="C32" i="72"/>
  <c r="CD31" i="72"/>
  <c r="BZ31" i="72"/>
  <c r="BV31" i="72"/>
  <c r="BR31" i="72"/>
  <c r="BN31" i="72"/>
  <c r="AH31" i="72" s="1"/>
  <c r="AG31" i="72" s="1"/>
  <c r="BJ31" i="72"/>
  <c r="BF31" i="72"/>
  <c r="BB31" i="72"/>
  <c r="AX31" i="72"/>
  <c r="AT31" i="72"/>
  <c r="AP31" i="72"/>
  <c r="AL31" i="72"/>
  <c r="AF31" i="72"/>
  <c r="AD31" i="72"/>
  <c r="J31" i="72"/>
  <c r="K31" i="72" s="1"/>
  <c r="G31" i="72"/>
  <c r="D31" i="72"/>
  <c r="CD30" i="72"/>
  <c r="BZ30" i="72"/>
  <c r="BV30" i="72"/>
  <c r="BR30" i="72"/>
  <c r="BN30" i="72"/>
  <c r="BJ30" i="72"/>
  <c r="BF30" i="72"/>
  <c r="BB30" i="72"/>
  <c r="AX30" i="72"/>
  <c r="AT30" i="72"/>
  <c r="AP30" i="72"/>
  <c r="AL30" i="72"/>
  <c r="AH30" i="72"/>
  <c r="AF30" i="72"/>
  <c r="AG30" i="72" s="1"/>
  <c r="AD30" i="72"/>
  <c r="J30" i="72"/>
  <c r="K30" i="72" s="1"/>
  <c r="G30" i="72"/>
  <c r="D30" i="72"/>
  <c r="C30" i="72"/>
  <c r="CD29" i="72"/>
  <c r="BZ29" i="72"/>
  <c r="BV29" i="72"/>
  <c r="BR29" i="72"/>
  <c r="BN29" i="72"/>
  <c r="BJ29" i="72"/>
  <c r="BF29" i="72"/>
  <c r="BB29" i="72"/>
  <c r="AX29" i="72"/>
  <c r="AT29" i="72"/>
  <c r="AP29" i="72"/>
  <c r="AL29" i="72"/>
  <c r="AF29" i="72"/>
  <c r="AD29" i="72"/>
  <c r="J29" i="72"/>
  <c r="K29" i="72" s="1"/>
  <c r="G29" i="72"/>
  <c r="D29" i="72"/>
  <c r="C29" i="72"/>
  <c r="CD28" i="72"/>
  <c r="BZ28" i="72"/>
  <c r="BV28" i="72"/>
  <c r="BR28" i="72"/>
  <c r="BN28" i="72"/>
  <c r="BJ28" i="72"/>
  <c r="BF28" i="72"/>
  <c r="BB28" i="72"/>
  <c r="AX28" i="72"/>
  <c r="AT28" i="72"/>
  <c r="AP28" i="72"/>
  <c r="AL28" i="72"/>
  <c r="AH28" i="72"/>
  <c r="AG28" i="72"/>
  <c r="AF28" i="72"/>
  <c r="AD28" i="72"/>
  <c r="J28" i="72"/>
  <c r="K28" i="72" s="1"/>
  <c r="G28" i="72"/>
  <c r="D28" i="72"/>
  <c r="CD27" i="72"/>
  <c r="BZ27" i="72"/>
  <c r="BV27" i="72"/>
  <c r="BR27" i="72"/>
  <c r="BN27" i="72"/>
  <c r="BJ27" i="72"/>
  <c r="BF27" i="72"/>
  <c r="BB27" i="72"/>
  <c r="AX27" i="72"/>
  <c r="AT27" i="72"/>
  <c r="AT24" i="72" s="1"/>
  <c r="AP27" i="72"/>
  <c r="AH27" i="72" s="1"/>
  <c r="AG27" i="72" s="1"/>
  <c r="AL27" i="72"/>
  <c r="AF27" i="72"/>
  <c r="AD27" i="72"/>
  <c r="J27" i="72"/>
  <c r="K27" i="72" s="1"/>
  <c r="G27" i="72"/>
  <c r="D27" i="72"/>
  <c r="C27" i="72"/>
  <c r="CD26" i="72"/>
  <c r="BZ26" i="72"/>
  <c r="BZ24" i="72" s="1"/>
  <c r="BV26" i="72"/>
  <c r="BV24" i="72" s="1"/>
  <c r="BR26" i="72"/>
  <c r="BR24" i="72" s="1"/>
  <c r="BN26" i="72"/>
  <c r="BN24" i="72" s="1"/>
  <c r="BJ26" i="72"/>
  <c r="BF26" i="72"/>
  <c r="BF24" i="72" s="1"/>
  <c r="BB26" i="72"/>
  <c r="AX26" i="72"/>
  <c r="AT26" i="72"/>
  <c r="AP26" i="72"/>
  <c r="AL26" i="72"/>
  <c r="AF26" i="72"/>
  <c r="AD26" i="72"/>
  <c r="J26" i="72"/>
  <c r="K26" i="72" s="1"/>
  <c r="G26" i="72"/>
  <c r="D26" i="72"/>
  <c r="C26" i="72"/>
  <c r="CD25" i="72"/>
  <c r="BZ25" i="72"/>
  <c r="BV25" i="72"/>
  <c r="BR25" i="72"/>
  <c r="BN25" i="72"/>
  <c r="BJ25" i="72"/>
  <c r="BF25" i="72"/>
  <c r="BB25" i="72"/>
  <c r="AX25" i="72"/>
  <c r="AT25" i="72"/>
  <c r="AP25" i="72"/>
  <c r="AL25" i="72"/>
  <c r="AL24" i="72" s="1"/>
  <c r="AF25" i="72"/>
  <c r="AD25" i="72"/>
  <c r="J25" i="72"/>
  <c r="I25" i="72"/>
  <c r="G25" i="72"/>
  <c r="D25" i="72"/>
  <c r="AP24" i="72"/>
  <c r="AD24" i="72"/>
  <c r="D24" i="72"/>
  <c r="CD23" i="72"/>
  <c r="BZ23" i="72"/>
  <c r="BV23" i="72"/>
  <c r="BR23" i="72"/>
  <c r="BN23" i="72"/>
  <c r="BJ23" i="72"/>
  <c r="BF23" i="72"/>
  <c r="BB23" i="72"/>
  <c r="BB11" i="72" s="1"/>
  <c r="AX23" i="72"/>
  <c r="AT23" i="72"/>
  <c r="AH23" i="72" s="1"/>
  <c r="AG23" i="72" s="1"/>
  <c r="AP23" i="72"/>
  <c r="AL23" i="72"/>
  <c r="AF23" i="72"/>
  <c r="AD23" i="72"/>
  <c r="O23" i="72"/>
  <c r="J23" i="72"/>
  <c r="K23" i="72" s="1"/>
  <c r="G23" i="72"/>
  <c r="D23" i="72"/>
  <c r="C23" i="72"/>
  <c r="CD22" i="72"/>
  <c r="BZ22" i="72"/>
  <c r="BV22" i="72"/>
  <c r="AH22" i="72" s="1"/>
  <c r="AG22" i="72" s="1"/>
  <c r="BR22" i="72"/>
  <c r="BN22" i="72"/>
  <c r="BJ22" i="72"/>
  <c r="BF22" i="72"/>
  <c r="BB22" i="72"/>
  <c r="AX22" i="72"/>
  <c r="AT22" i="72"/>
  <c r="AP22" i="72"/>
  <c r="AL22" i="72"/>
  <c r="AF22" i="72"/>
  <c r="AD22" i="72"/>
  <c r="O22" i="72"/>
  <c r="J22" i="72"/>
  <c r="K22" i="72" s="1"/>
  <c r="G22" i="72"/>
  <c r="D22" i="72"/>
  <c r="C22" i="72"/>
  <c r="CD21" i="72"/>
  <c r="BZ21" i="72"/>
  <c r="BV21" i="72"/>
  <c r="BR21" i="72"/>
  <c r="BN21" i="72"/>
  <c r="BJ21" i="72"/>
  <c r="BF21" i="72"/>
  <c r="BB21" i="72"/>
  <c r="AX21" i="72"/>
  <c r="AT21" i="72"/>
  <c r="AP21" i="72"/>
  <c r="AL21" i="72"/>
  <c r="AH21" i="72" s="1"/>
  <c r="AG21" i="72" s="1"/>
  <c r="AF21" i="72"/>
  <c r="AD21" i="72"/>
  <c r="O21" i="72"/>
  <c r="J21" i="72"/>
  <c r="K21" i="72" s="1"/>
  <c r="G21" i="72"/>
  <c r="D21" i="72"/>
  <c r="C21" i="72"/>
  <c r="CD20" i="72"/>
  <c r="BZ20" i="72"/>
  <c r="BV20" i="72"/>
  <c r="BR20" i="72"/>
  <c r="BN20" i="72"/>
  <c r="AH20" i="72" s="1"/>
  <c r="AG20" i="72" s="1"/>
  <c r="BJ20" i="72"/>
  <c r="BF20" i="72"/>
  <c r="BB20" i="72"/>
  <c r="AX20" i="72"/>
  <c r="AT20" i="72"/>
  <c r="AP20" i="72"/>
  <c r="AL20" i="72"/>
  <c r="AF20" i="72"/>
  <c r="AD20" i="72"/>
  <c r="O20" i="72"/>
  <c r="J20" i="72"/>
  <c r="K20" i="72" s="1"/>
  <c r="G20" i="72"/>
  <c r="D20" i="72"/>
  <c r="CD19" i="72"/>
  <c r="BZ19" i="72"/>
  <c r="BV19" i="72"/>
  <c r="BR19" i="72"/>
  <c r="BN19" i="72"/>
  <c r="BJ19" i="72"/>
  <c r="BF19" i="72"/>
  <c r="BB19" i="72"/>
  <c r="AX19" i="72"/>
  <c r="AT19" i="72"/>
  <c r="AP19" i="72"/>
  <c r="AL19" i="72"/>
  <c r="AH19" i="72"/>
  <c r="AG19" i="72"/>
  <c r="AF19" i="72"/>
  <c r="AD19" i="72"/>
  <c r="O19" i="72"/>
  <c r="J19" i="72"/>
  <c r="K19" i="72" s="1"/>
  <c r="G19" i="72"/>
  <c r="D19" i="72"/>
  <c r="C19" i="72"/>
  <c r="CD18" i="72"/>
  <c r="BZ18" i="72"/>
  <c r="BV18" i="72"/>
  <c r="BR18" i="72"/>
  <c r="BN18" i="72"/>
  <c r="BJ18" i="72"/>
  <c r="BF18" i="72"/>
  <c r="BB18" i="72"/>
  <c r="AX18" i="72"/>
  <c r="AT18" i="72"/>
  <c r="AP18" i="72"/>
  <c r="AL18" i="72"/>
  <c r="AH18" i="72" s="1"/>
  <c r="AF18" i="72"/>
  <c r="AD18" i="72"/>
  <c r="O18" i="72"/>
  <c r="J18" i="72"/>
  <c r="K18" i="72" s="1"/>
  <c r="G18" i="72"/>
  <c r="D18" i="72"/>
  <c r="C18" i="72"/>
  <c r="CD17" i="72"/>
  <c r="BZ17" i="72"/>
  <c r="BV17" i="72"/>
  <c r="BR17" i="72"/>
  <c r="BN17" i="72"/>
  <c r="BJ17" i="72"/>
  <c r="BF17" i="72"/>
  <c r="BB17" i="72"/>
  <c r="AX17" i="72"/>
  <c r="AT17" i="72"/>
  <c r="AP17" i="72"/>
  <c r="AL17" i="72"/>
  <c r="AH17" i="72" s="1"/>
  <c r="AG17" i="72" s="1"/>
  <c r="AF17" i="72"/>
  <c r="AD17" i="72"/>
  <c r="O17" i="72"/>
  <c r="J17" i="72"/>
  <c r="K17" i="72" s="1"/>
  <c r="G17" i="72"/>
  <c r="D17" i="72"/>
  <c r="C17" i="72"/>
  <c r="CD16" i="72"/>
  <c r="BZ16" i="72"/>
  <c r="BV16" i="72"/>
  <c r="BR16" i="72"/>
  <c r="BN16" i="72"/>
  <c r="BJ16" i="72"/>
  <c r="BF16" i="72"/>
  <c r="BB16" i="72"/>
  <c r="AX16" i="72"/>
  <c r="AT16" i="72"/>
  <c r="AP16" i="72"/>
  <c r="AL16" i="72"/>
  <c r="AF16" i="72"/>
  <c r="AD16" i="72"/>
  <c r="O16" i="72"/>
  <c r="J16" i="72"/>
  <c r="K16" i="72" s="1"/>
  <c r="G16" i="72"/>
  <c r="D16" i="72"/>
  <c r="C16" i="72"/>
  <c r="CD15" i="72"/>
  <c r="AH15" i="72" s="1"/>
  <c r="AG15" i="72" s="1"/>
  <c r="BZ15" i="72"/>
  <c r="BV15" i="72"/>
  <c r="BR15" i="72"/>
  <c r="BN15" i="72"/>
  <c r="BJ15" i="72"/>
  <c r="BF15" i="72"/>
  <c r="BB15" i="72"/>
  <c r="AX15" i="72"/>
  <c r="AT15" i="72"/>
  <c r="AP15" i="72"/>
  <c r="AL15" i="72"/>
  <c r="AF15" i="72"/>
  <c r="AD15" i="72"/>
  <c r="O15" i="72"/>
  <c r="J15" i="72"/>
  <c r="K15" i="72" s="1"/>
  <c r="G15" i="72"/>
  <c r="D15" i="72"/>
  <c r="C15" i="72"/>
  <c r="CD14" i="72"/>
  <c r="BZ14" i="72"/>
  <c r="BV14" i="72"/>
  <c r="BR14" i="72"/>
  <c r="BN14" i="72"/>
  <c r="BJ14" i="72"/>
  <c r="BF14" i="72"/>
  <c r="BF11" i="72" s="1"/>
  <c r="BB14" i="72"/>
  <c r="AX14" i="72"/>
  <c r="AT14" i="72"/>
  <c r="AP14" i="72"/>
  <c r="AL14" i="72"/>
  <c r="AF14" i="72"/>
  <c r="AD14" i="72"/>
  <c r="O14" i="72"/>
  <c r="J14" i="72"/>
  <c r="K14" i="72" s="1"/>
  <c r="G14" i="72"/>
  <c r="D14" i="72"/>
  <c r="C14" i="72"/>
  <c r="CD13" i="72"/>
  <c r="CD11" i="72" s="1"/>
  <c r="BZ13" i="72"/>
  <c r="BZ11" i="72" s="1"/>
  <c r="BV13" i="72"/>
  <c r="BV11" i="72" s="1"/>
  <c r="BR13" i="72"/>
  <c r="AH13" i="72" s="1"/>
  <c r="AG13" i="72" s="1"/>
  <c r="BN13" i="72"/>
  <c r="BJ13" i="72"/>
  <c r="BF13" i="72"/>
  <c r="BB13" i="72"/>
  <c r="AX13" i="72"/>
  <c r="AT13" i="72"/>
  <c r="AP13" i="72"/>
  <c r="AL13" i="72"/>
  <c r="AF13" i="72"/>
  <c r="AD13" i="72"/>
  <c r="O13" i="72"/>
  <c r="J13" i="72"/>
  <c r="K13" i="72" s="1"/>
  <c r="G13" i="72"/>
  <c r="D13" i="72"/>
  <c r="CD12" i="72"/>
  <c r="BZ12" i="72"/>
  <c r="BV12" i="72"/>
  <c r="BR12" i="72"/>
  <c r="BN12" i="72"/>
  <c r="BJ12" i="72"/>
  <c r="BF12" i="72"/>
  <c r="BB12" i="72"/>
  <c r="AX12" i="72"/>
  <c r="AT12" i="72"/>
  <c r="AT11" i="72" s="1"/>
  <c r="AP12" i="72"/>
  <c r="AP11" i="72" s="1"/>
  <c r="AL12" i="72"/>
  <c r="AH12" i="72"/>
  <c r="AF12" i="72"/>
  <c r="AD12" i="72"/>
  <c r="O12" i="72"/>
  <c r="J12" i="72"/>
  <c r="K12" i="72" s="1"/>
  <c r="G12" i="72"/>
  <c r="D12" i="72"/>
  <c r="C12" i="72"/>
  <c r="AX11" i="72"/>
  <c r="AD11" i="72"/>
  <c r="D11" i="72"/>
  <c r="C11" i="72"/>
  <c r="AF6" i="72"/>
  <c r="A3" i="72"/>
  <c r="C56" i="72" s="1"/>
  <c r="M52" i="70"/>
  <c r="M51" i="71"/>
  <c r="CD62" i="71"/>
  <c r="BZ62" i="71"/>
  <c r="BV62" i="71"/>
  <c r="BR62" i="71"/>
  <c r="BN62" i="71"/>
  <c r="BJ62" i="71"/>
  <c r="BF62" i="71"/>
  <c r="BB62" i="71"/>
  <c r="AX62" i="71"/>
  <c r="AT62" i="71"/>
  <c r="AP62" i="71"/>
  <c r="AL62" i="71"/>
  <c r="AH62" i="71"/>
  <c r="AF62" i="71"/>
  <c r="AG62" i="71" s="1"/>
  <c r="AD62" i="71"/>
  <c r="J62" i="71"/>
  <c r="I62" i="71"/>
  <c r="G62" i="71"/>
  <c r="D62" i="71"/>
  <c r="C62" i="71"/>
  <c r="CD61" i="71"/>
  <c r="BZ61" i="71"/>
  <c r="BV61" i="71"/>
  <c r="BR61" i="71"/>
  <c r="BN61" i="71"/>
  <c r="BJ61" i="71"/>
  <c r="BF61" i="71"/>
  <c r="BB61" i="71"/>
  <c r="AX61" i="71"/>
  <c r="AT61" i="71"/>
  <c r="AP61" i="71"/>
  <c r="AH61" i="71" s="1"/>
  <c r="AG61" i="71" s="1"/>
  <c r="AL61" i="71"/>
  <c r="AF61" i="71"/>
  <c r="AD61" i="71"/>
  <c r="J61" i="71"/>
  <c r="I61" i="71"/>
  <c r="G61" i="71"/>
  <c r="D61" i="71"/>
  <c r="C61" i="71"/>
  <c r="CD60" i="71"/>
  <c r="AH60" i="71" s="1"/>
  <c r="AG60" i="71" s="1"/>
  <c r="BZ60" i="71"/>
  <c r="BV60" i="71"/>
  <c r="BR60" i="71"/>
  <c r="BN60" i="71"/>
  <c r="BJ60" i="71"/>
  <c r="BF60" i="71"/>
  <c r="BB60" i="71"/>
  <c r="AX60" i="71"/>
  <c r="AT60" i="71"/>
  <c r="AP60" i="71"/>
  <c r="AL60" i="71"/>
  <c r="AF60" i="71"/>
  <c r="AD60" i="71"/>
  <c r="J60" i="71"/>
  <c r="I60" i="71"/>
  <c r="G60" i="71"/>
  <c r="D60" i="71"/>
  <c r="C60" i="71"/>
  <c r="CD59" i="71"/>
  <c r="BZ59" i="71"/>
  <c r="BV59" i="71"/>
  <c r="BR59" i="71"/>
  <c r="BN59" i="71"/>
  <c r="BJ59" i="71"/>
  <c r="BF59" i="71"/>
  <c r="BB59" i="71"/>
  <c r="AX59" i="71"/>
  <c r="AT59" i="71"/>
  <c r="AH59" i="71" s="1"/>
  <c r="AG59" i="71" s="1"/>
  <c r="AP59" i="71"/>
  <c r="AL59" i="71"/>
  <c r="AF59" i="71"/>
  <c r="AD59" i="71"/>
  <c r="J59" i="71"/>
  <c r="I59" i="71"/>
  <c r="G59" i="71"/>
  <c r="D59" i="71"/>
  <c r="C59" i="71"/>
  <c r="CD58" i="71"/>
  <c r="BZ58" i="71"/>
  <c r="BV58" i="71"/>
  <c r="BR58" i="71"/>
  <c r="BN58" i="71"/>
  <c r="BJ58" i="71"/>
  <c r="BF58" i="71"/>
  <c r="BB58" i="71"/>
  <c r="AX58" i="71"/>
  <c r="AT58" i="71"/>
  <c r="AP58" i="71"/>
  <c r="AL58" i="71"/>
  <c r="AH58" i="71" s="1"/>
  <c r="AG58" i="71" s="1"/>
  <c r="AF58" i="71"/>
  <c r="AD58" i="71"/>
  <c r="J58" i="71"/>
  <c r="I58" i="71"/>
  <c r="G58" i="71"/>
  <c r="D58" i="71"/>
  <c r="CD57" i="71"/>
  <c r="BZ57" i="71"/>
  <c r="BV57" i="71"/>
  <c r="BR57" i="71"/>
  <c r="BN57" i="71"/>
  <c r="BJ57" i="71"/>
  <c r="BF57" i="71"/>
  <c r="BB57" i="71"/>
  <c r="AX57" i="71"/>
  <c r="AT57" i="71"/>
  <c r="AP57" i="71"/>
  <c r="AL57" i="71"/>
  <c r="AH57" i="71" s="1"/>
  <c r="AG57" i="71" s="1"/>
  <c r="AF57" i="71"/>
  <c r="AD57" i="71"/>
  <c r="J57" i="71"/>
  <c r="I57" i="71"/>
  <c r="G57" i="71"/>
  <c r="D57" i="71"/>
  <c r="C57" i="71"/>
  <c r="CD56" i="71"/>
  <c r="BZ56" i="71"/>
  <c r="BV56" i="71"/>
  <c r="BR56" i="71"/>
  <c r="BN56" i="71"/>
  <c r="AH56" i="71" s="1"/>
  <c r="AG56" i="71" s="1"/>
  <c r="BJ56" i="71"/>
  <c r="BF56" i="71"/>
  <c r="BB56" i="71"/>
  <c r="AX56" i="71"/>
  <c r="AT56" i="71"/>
  <c r="AP56" i="71"/>
  <c r="AL56" i="71"/>
  <c r="AF56" i="71"/>
  <c r="AD56" i="71"/>
  <c r="J56" i="71"/>
  <c r="I56" i="71"/>
  <c r="G56" i="71"/>
  <c r="D56" i="71"/>
  <c r="CD55" i="71"/>
  <c r="BZ55" i="71"/>
  <c r="BV55" i="71"/>
  <c r="BR55" i="71"/>
  <c r="BN55" i="71"/>
  <c r="BJ55" i="71"/>
  <c r="BF55" i="71"/>
  <c r="BB55" i="71"/>
  <c r="AX55" i="71"/>
  <c r="AT55" i="71"/>
  <c r="AT50" i="71" s="1"/>
  <c r="AP55" i="71"/>
  <c r="AL55" i="71"/>
  <c r="AL50" i="71" s="1"/>
  <c r="AH55" i="71"/>
  <c r="AG55" i="71"/>
  <c r="AF55" i="71"/>
  <c r="AD55" i="71"/>
  <c r="J55" i="71"/>
  <c r="I55" i="71"/>
  <c r="G55" i="71"/>
  <c r="D55" i="71"/>
  <c r="C55" i="71"/>
  <c r="CD54" i="71"/>
  <c r="BZ54" i="71"/>
  <c r="BV54" i="71"/>
  <c r="BV50" i="71" s="1"/>
  <c r="BR54" i="71"/>
  <c r="BR50" i="71" s="1"/>
  <c r="BN54" i="71"/>
  <c r="BJ54" i="71"/>
  <c r="BF54" i="71"/>
  <c r="AH54" i="71" s="1"/>
  <c r="AG54" i="71" s="1"/>
  <c r="BB54" i="71"/>
  <c r="AX54" i="71"/>
  <c r="AT54" i="71"/>
  <c r="AP54" i="71"/>
  <c r="AL54" i="71"/>
  <c r="AF54" i="71"/>
  <c r="AD54" i="71"/>
  <c r="J54" i="71"/>
  <c r="I54" i="71"/>
  <c r="G54" i="71"/>
  <c r="D54" i="71"/>
  <c r="C54" i="71"/>
  <c r="CD53" i="71"/>
  <c r="BZ53" i="71"/>
  <c r="BV53" i="71"/>
  <c r="BR53" i="71"/>
  <c r="BN53" i="71"/>
  <c r="BJ53" i="71"/>
  <c r="BF53" i="71"/>
  <c r="BB53" i="71"/>
  <c r="AX53" i="71"/>
  <c r="AT53" i="71"/>
  <c r="AP53" i="71"/>
  <c r="AL53" i="71"/>
  <c r="AH53" i="71"/>
  <c r="AF53" i="71"/>
  <c r="AG53" i="71" s="1"/>
  <c r="AD53" i="71"/>
  <c r="J53" i="71"/>
  <c r="I53" i="71"/>
  <c r="G53" i="71"/>
  <c r="D53" i="71"/>
  <c r="C53" i="71"/>
  <c r="CD52" i="71"/>
  <c r="BZ52" i="71"/>
  <c r="BV52" i="71"/>
  <c r="BR52" i="71"/>
  <c r="BN52" i="71"/>
  <c r="BJ52" i="71"/>
  <c r="BF52" i="71"/>
  <c r="BF50" i="71" s="1"/>
  <c r="BB52" i="71"/>
  <c r="AX52" i="71"/>
  <c r="AT52" i="71"/>
  <c r="AP52" i="71"/>
  <c r="AL52" i="71"/>
  <c r="AH52" i="71" s="1"/>
  <c r="AG52" i="71" s="1"/>
  <c r="AF52" i="71"/>
  <c r="AD52" i="71"/>
  <c r="J52" i="71"/>
  <c r="I52" i="71"/>
  <c r="G52" i="71"/>
  <c r="D52" i="71"/>
  <c r="C52" i="71"/>
  <c r="CD51" i="71"/>
  <c r="CD50" i="71" s="1"/>
  <c r="BZ51" i="71"/>
  <c r="BZ50" i="71" s="1"/>
  <c r="BV51" i="71"/>
  <c r="BR51" i="71"/>
  <c r="BN51" i="71"/>
  <c r="BJ51" i="71"/>
  <c r="BF51" i="71"/>
  <c r="BB51" i="71"/>
  <c r="BB50" i="71" s="1"/>
  <c r="AX51" i="71"/>
  <c r="AX50" i="71" s="1"/>
  <c r="AT51" i="71"/>
  <c r="AP51" i="71"/>
  <c r="AP50" i="71" s="1"/>
  <c r="AL51" i="71"/>
  <c r="AF51" i="71"/>
  <c r="AD51" i="71"/>
  <c r="J51" i="71"/>
  <c r="I51" i="71"/>
  <c r="G51" i="71"/>
  <c r="D51" i="71"/>
  <c r="BJ50" i="71"/>
  <c r="AD50" i="71"/>
  <c r="D50" i="71"/>
  <c r="C50" i="71"/>
  <c r="CD49" i="71"/>
  <c r="BZ49" i="71"/>
  <c r="BV49" i="71"/>
  <c r="BR49" i="71"/>
  <c r="BN49" i="71"/>
  <c r="BJ49" i="71"/>
  <c r="BF49" i="71"/>
  <c r="BB49" i="71"/>
  <c r="AX49" i="71"/>
  <c r="AT49" i="71"/>
  <c r="AH49" i="71" s="1"/>
  <c r="AG49" i="71" s="1"/>
  <c r="AP49" i="71"/>
  <c r="AL49" i="71"/>
  <c r="AF49" i="71"/>
  <c r="AD49" i="71"/>
  <c r="J49" i="71"/>
  <c r="K49" i="71" s="1"/>
  <c r="G49" i="71"/>
  <c r="D49" i="71"/>
  <c r="C49" i="71"/>
  <c r="CD48" i="71"/>
  <c r="BZ48" i="71"/>
  <c r="BV48" i="71"/>
  <c r="BR48" i="71"/>
  <c r="AH48" i="71" s="1"/>
  <c r="AG48" i="71" s="1"/>
  <c r="BN48" i="71"/>
  <c r="BJ48" i="71"/>
  <c r="BF48" i="71"/>
  <c r="BB48" i="71"/>
  <c r="AX48" i="71"/>
  <c r="AT48" i="71"/>
  <c r="AP48" i="71"/>
  <c r="AL48" i="71"/>
  <c r="AF48" i="71"/>
  <c r="AD48" i="71"/>
  <c r="J48" i="71"/>
  <c r="K48" i="71" s="1"/>
  <c r="G48" i="71"/>
  <c r="D48" i="71"/>
  <c r="CD47" i="71"/>
  <c r="BZ47" i="71"/>
  <c r="BV47" i="71"/>
  <c r="BR47" i="71"/>
  <c r="BN47" i="71"/>
  <c r="BJ47" i="71"/>
  <c r="BF47" i="71"/>
  <c r="BB47" i="71"/>
  <c r="AX47" i="71"/>
  <c r="AT47" i="71"/>
  <c r="AP47" i="71"/>
  <c r="AL47" i="71"/>
  <c r="AH47" i="71"/>
  <c r="AG47" i="71"/>
  <c r="AF47" i="71"/>
  <c r="AD47" i="71"/>
  <c r="J47" i="71"/>
  <c r="K47" i="71" s="1"/>
  <c r="G47" i="71"/>
  <c r="D47" i="71"/>
  <c r="C47" i="71"/>
  <c r="CD46" i="71"/>
  <c r="BZ46" i="71"/>
  <c r="BV46" i="71"/>
  <c r="BR46" i="71"/>
  <c r="BN46" i="71"/>
  <c r="BJ46" i="71"/>
  <c r="BF46" i="71"/>
  <c r="BB46" i="71"/>
  <c r="AX46" i="71"/>
  <c r="AT46" i="71"/>
  <c r="AP46" i="71"/>
  <c r="AL46" i="71"/>
  <c r="AH46" i="71" s="1"/>
  <c r="AG46" i="71" s="1"/>
  <c r="AF46" i="71"/>
  <c r="AD46" i="71"/>
  <c r="J46" i="71"/>
  <c r="K46" i="71" s="1"/>
  <c r="G46" i="71"/>
  <c r="D46" i="71"/>
  <c r="C46" i="71"/>
  <c r="CD45" i="71"/>
  <c r="BZ45" i="71"/>
  <c r="BV45" i="71"/>
  <c r="BR45" i="71"/>
  <c r="BN45" i="71"/>
  <c r="BJ45" i="71"/>
  <c r="BF45" i="71"/>
  <c r="BB45" i="71"/>
  <c r="AX45" i="71"/>
  <c r="AT45" i="71"/>
  <c r="AP45" i="71"/>
  <c r="AH45" i="71" s="1"/>
  <c r="AG45" i="71" s="1"/>
  <c r="AL45" i="71"/>
  <c r="AF45" i="71"/>
  <c r="AD45" i="71"/>
  <c r="J45" i="71"/>
  <c r="K45" i="71" s="1"/>
  <c r="G45" i="71"/>
  <c r="D45" i="71"/>
  <c r="CD44" i="71"/>
  <c r="BZ44" i="71"/>
  <c r="BV44" i="71"/>
  <c r="BR44" i="71"/>
  <c r="BN44" i="71"/>
  <c r="BJ44" i="71"/>
  <c r="BF44" i="71"/>
  <c r="BB44" i="71"/>
  <c r="AX44" i="71"/>
  <c r="AT44" i="71"/>
  <c r="AP44" i="71"/>
  <c r="AL44" i="71"/>
  <c r="AH44" i="71" s="1"/>
  <c r="AG44" i="71" s="1"/>
  <c r="AF44" i="71"/>
  <c r="AD44" i="71"/>
  <c r="J44" i="71"/>
  <c r="K44" i="71" s="1"/>
  <c r="G44" i="71"/>
  <c r="D44" i="71"/>
  <c r="C44" i="71"/>
  <c r="CD43" i="71"/>
  <c r="BZ43" i="71"/>
  <c r="BV43" i="71"/>
  <c r="BR43" i="71"/>
  <c r="BN43" i="71"/>
  <c r="BJ43" i="71"/>
  <c r="AH43" i="71" s="1"/>
  <c r="AG43" i="71" s="1"/>
  <c r="BF43" i="71"/>
  <c r="BB43" i="71"/>
  <c r="AX43" i="71"/>
  <c r="AT43" i="71"/>
  <c r="AP43" i="71"/>
  <c r="AL43" i="71"/>
  <c r="AF43" i="71"/>
  <c r="AD43" i="71"/>
  <c r="J43" i="71"/>
  <c r="K43" i="71" s="1"/>
  <c r="G43" i="71"/>
  <c r="D43" i="71"/>
  <c r="C43" i="71"/>
  <c r="CD42" i="71"/>
  <c r="BZ42" i="71"/>
  <c r="BV42" i="71"/>
  <c r="BR42" i="71"/>
  <c r="BN42" i="71"/>
  <c r="BJ42" i="71"/>
  <c r="BF42" i="71"/>
  <c r="BB42" i="71"/>
  <c r="AX42" i="71"/>
  <c r="AT42" i="71"/>
  <c r="AP42" i="71"/>
  <c r="AL42" i="71"/>
  <c r="AH42" i="71"/>
  <c r="AF42" i="71"/>
  <c r="AG42" i="71" s="1"/>
  <c r="AD42" i="71"/>
  <c r="J42" i="71"/>
  <c r="K42" i="71" s="1"/>
  <c r="G42" i="71"/>
  <c r="D42" i="71"/>
  <c r="C42" i="71"/>
  <c r="CD41" i="71"/>
  <c r="BZ41" i="71"/>
  <c r="BV41" i="71"/>
  <c r="BR41" i="71"/>
  <c r="BN41" i="71"/>
  <c r="BJ41" i="71"/>
  <c r="BF41" i="71"/>
  <c r="BB41" i="71"/>
  <c r="AX41" i="71"/>
  <c r="AT41" i="71"/>
  <c r="AH41" i="71" s="1"/>
  <c r="AG41" i="71" s="1"/>
  <c r="AP41" i="71"/>
  <c r="AL41" i="71"/>
  <c r="AF41" i="71"/>
  <c r="AD41" i="71"/>
  <c r="J41" i="71"/>
  <c r="K41" i="71" s="1"/>
  <c r="G41" i="71"/>
  <c r="D41" i="71"/>
  <c r="C41" i="71"/>
  <c r="CD40" i="71"/>
  <c r="BZ40" i="71"/>
  <c r="BV40" i="71"/>
  <c r="BR40" i="71"/>
  <c r="AH40" i="71" s="1"/>
  <c r="AG40" i="71" s="1"/>
  <c r="BN40" i="71"/>
  <c r="BJ40" i="71"/>
  <c r="BF40" i="71"/>
  <c r="BB40" i="71"/>
  <c r="AX40" i="71"/>
  <c r="AT40" i="71"/>
  <c r="AP40" i="71"/>
  <c r="AL40" i="71"/>
  <c r="AF40" i="71"/>
  <c r="AD40" i="71"/>
  <c r="J40" i="71"/>
  <c r="K40" i="71" s="1"/>
  <c r="G40" i="71"/>
  <c r="D40" i="71"/>
  <c r="CD39" i="71"/>
  <c r="BZ39" i="71"/>
  <c r="BV39" i="71"/>
  <c r="BR39" i="71"/>
  <c r="BN39" i="71"/>
  <c r="BJ39" i="71"/>
  <c r="BF39" i="71"/>
  <c r="BB39" i="71"/>
  <c r="AX39" i="71"/>
  <c r="AT39" i="71"/>
  <c r="AT37" i="71" s="1"/>
  <c r="AP39" i="71"/>
  <c r="AP37" i="71" s="1"/>
  <c r="AL39" i="71"/>
  <c r="AL37" i="71" s="1"/>
  <c r="AH39" i="71"/>
  <c r="AG39" i="71"/>
  <c r="AF39" i="71"/>
  <c r="AD39" i="71"/>
  <c r="J39" i="71"/>
  <c r="K39" i="71" s="1"/>
  <c r="G39" i="71"/>
  <c r="D39" i="71"/>
  <c r="C39" i="71"/>
  <c r="CD38" i="71"/>
  <c r="BZ38" i="71"/>
  <c r="BZ37" i="71" s="1"/>
  <c r="BV38" i="71"/>
  <c r="BV37" i="71" s="1"/>
  <c r="BR38" i="71"/>
  <c r="BR37" i="71" s="1"/>
  <c r="BN38" i="71"/>
  <c r="BN37" i="71" s="1"/>
  <c r="BJ38" i="71"/>
  <c r="BJ37" i="71" s="1"/>
  <c r="BF38" i="71"/>
  <c r="BF37" i="71" s="1"/>
  <c r="BB38" i="71"/>
  <c r="BB37" i="71" s="1"/>
  <c r="AX38" i="71"/>
  <c r="AT38" i="71"/>
  <c r="AP38" i="71"/>
  <c r="AL38" i="71"/>
  <c r="AH38" i="71" s="1"/>
  <c r="AF38" i="71"/>
  <c r="AD38" i="71"/>
  <c r="J38" i="71"/>
  <c r="K38" i="71" s="1"/>
  <c r="G38" i="71"/>
  <c r="D38" i="71"/>
  <c r="C38" i="71"/>
  <c r="CD37" i="71"/>
  <c r="AX37" i="71"/>
  <c r="AD37" i="71"/>
  <c r="D37" i="71"/>
  <c r="C37" i="71"/>
  <c r="CD36" i="71"/>
  <c r="BZ36" i="71"/>
  <c r="BV36" i="71"/>
  <c r="BR36" i="71"/>
  <c r="BN36" i="71"/>
  <c r="BJ36" i="71"/>
  <c r="BF36" i="71"/>
  <c r="BB36" i="71"/>
  <c r="AX36" i="71"/>
  <c r="AT36" i="71"/>
  <c r="AP36" i="71"/>
  <c r="AH36" i="71" s="1"/>
  <c r="AG36" i="71" s="1"/>
  <c r="AL36" i="71"/>
  <c r="AF36" i="71"/>
  <c r="AD36" i="71"/>
  <c r="J36" i="71"/>
  <c r="K36" i="71" s="1"/>
  <c r="G36" i="71"/>
  <c r="D36" i="71"/>
  <c r="CD35" i="71"/>
  <c r="BZ35" i="71"/>
  <c r="BV35" i="71"/>
  <c r="BR35" i="71"/>
  <c r="BN35" i="71"/>
  <c r="BJ35" i="71"/>
  <c r="BF35" i="71"/>
  <c r="BB35" i="71"/>
  <c r="AX35" i="71"/>
  <c r="AT35" i="71"/>
  <c r="AP35" i="71"/>
  <c r="AL35" i="71"/>
  <c r="AH35" i="71" s="1"/>
  <c r="AG35" i="71" s="1"/>
  <c r="AF35" i="71"/>
  <c r="AD35" i="71"/>
  <c r="J35" i="71"/>
  <c r="K35" i="71" s="1"/>
  <c r="G35" i="71"/>
  <c r="D35" i="71"/>
  <c r="C35" i="71"/>
  <c r="CD34" i="71"/>
  <c r="BZ34" i="71"/>
  <c r="BV34" i="71"/>
  <c r="BR34" i="71"/>
  <c r="BN34" i="71"/>
  <c r="BJ34" i="71"/>
  <c r="AH34" i="71" s="1"/>
  <c r="AG34" i="71" s="1"/>
  <c r="BF34" i="71"/>
  <c r="BB34" i="71"/>
  <c r="AX34" i="71"/>
  <c r="AT34" i="71"/>
  <c r="AP34" i="71"/>
  <c r="AL34" i="71"/>
  <c r="AF34" i="71"/>
  <c r="AD34" i="71"/>
  <c r="J34" i="71"/>
  <c r="K34" i="71" s="1"/>
  <c r="G34" i="71"/>
  <c r="D34" i="71"/>
  <c r="C34" i="71"/>
  <c r="CD33" i="71"/>
  <c r="BZ33" i="71"/>
  <c r="BV33" i="71"/>
  <c r="BR33" i="71"/>
  <c r="BN33" i="71"/>
  <c r="BJ33" i="71"/>
  <c r="BF33" i="71"/>
  <c r="BB33" i="71"/>
  <c r="AX33" i="71"/>
  <c r="AT33" i="71"/>
  <c r="AP33" i="71"/>
  <c r="AL33" i="71"/>
  <c r="AH33" i="71"/>
  <c r="AF33" i="71"/>
  <c r="AG33" i="71" s="1"/>
  <c r="AD33" i="71"/>
  <c r="J33" i="71"/>
  <c r="K33" i="71" s="1"/>
  <c r="G33" i="71"/>
  <c r="D33" i="71"/>
  <c r="C33" i="71"/>
  <c r="CD32" i="71"/>
  <c r="BZ32" i="71"/>
  <c r="BV32" i="71"/>
  <c r="BR32" i="71"/>
  <c r="BN32" i="71"/>
  <c r="BJ32" i="71"/>
  <c r="BF32" i="71"/>
  <c r="BB32" i="71"/>
  <c r="AX32" i="71"/>
  <c r="AT32" i="71"/>
  <c r="AH32" i="71" s="1"/>
  <c r="AG32" i="71" s="1"/>
  <c r="AP32" i="71"/>
  <c r="AL32" i="71"/>
  <c r="AF32" i="71"/>
  <c r="AD32" i="71"/>
  <c r="J32" i="71"/>
  <c r="K32" i="71" s="1"/>
  <c r="G32" i="71"/>
  <c r="D32" i="71"/>
  <c r="C32" i="71"/>
  <c r="CD31" i="71"/>
  <c r="BZ31" i="71"/>
  <c r="BV31" i="71"/>
  <c r="BR31" i="71"/>
  <c r="AH31" i="71" s="1"/>
  <c r="AG31" i="71" s="1"/>
  <c r="BN31" i="71"/>
  <c r="BJ31" i="71"/>
  <c r="BF31" i="71"/>
  <c r="BB31" i="71"/>
  <c r="AX31" i="71"/>
  <c r="AT31" i="71"/>
  <c r="AP31" i="71"/>
  <c r="AL31" i="71"/>
  <c r="AF31" i="71"/>
  <c r="AD31" i="71"/>
  <c r="J31" i="71"/>
  <c r="K31" i="71" s="1"/>
  <c r="G31" i="71"/>
  <c r="D31" i="71"/>
  <c r="CD30" i="71"/>
  <c r="BZ30" i="71"/>
  <c r="BV30" i="71"/>
  <c r="BR30" i="71"/>
  <c r="BN30" i="71"/>
  <c r="BJ30" i="71"/>
  <c r="BF30" i="71"/>
  <c r="BB30" i="71"/>
  <c r="AX30" i="71"/>
  <c r="AT30" i="71"/>
  <c r="AP30" i="71"/>
  <c r="AL30" i="71"/>
  <c r="AH30" i="71"/>
  <c r="AG30" i="71"/>
  <c r="AF30" i="71"/>
  <c r="AD30" i="71"/>
  <c r="J30" i="71"/>
  <c r="K30" i="71" s="1"/>
  <c r="G30" i="71"/>
  <c r="D30" i="71"/>
  <c r="C30" i="71"/>
  <c r="CD29" i="71"/>
  <c r="BZ29" i="71"/>
  <c r="BV29" i="71"/>
  <c r="BR29" i="71"/>
  <c r="BN29" i="71"/>
  <c r="BJ29" i="71"/>
  <c r="BF29" i="71"/>
  <c r="BB29" i="71"/>
  <c r="AX29" i="71"/>
  <c r="AT29" i="71"/>
  <c r="AP29" i="71"/>
  <c r="AL29" i="71"/>
  <c r="AH29" i="71" s="1"/>
  <c r="AG29" i="71" s="1"/>
  <c r="AF29" i="71"/>
  <c r="AD29" i="71"/>
  <c r="J29" i="71"/>
  <c r="K29" i="71" s="1"/>
  <c r="G29" i="71"/>
  <c r="D29" i="71"/>
  <c r="C29" i="71"/>
  <c r="CD28" i="71"/>
  <c r="CD24" i="71" s="1"/>
  <c r="BZ28" i="71"/>
  <c r="BV28" i="71"/>
  <c r="BR28" i="71"/>
  <c r="BN28" i="71"/>
  <c r="BJ28" i="71"/>
  <c r="BF28" i="71"/>
  <c r="BB28" i="71"/>
  <c r="AX28" i="71"/>
  <c r="AT28" i="71"/>
  <c r="AP28" i="71"/>
  <c r="AH28" i="71" s="1"/>
  <c r="AG28" i="71" s="1"/>
  <c r="AL28" i="71"/>
  <c r="AF28" i="71"/>
  <c r="AD28" i="71"/>
  <c r="J28" i="71"/>
  <c r="K28" i="71" s="1"/>
  <c r="G28" i="71"/>
  <c r="D28" i="71"/>
  <c r="CD27" i="71"/>
  <c r="BZ27" i="71"/>
  <c r="BV27" i="71"/>
  <c r="BR27" i="71"/>
  <c r="BN27" i="71"/>
  <c r="BJ27" i="71"/>
  <c r="BF27" i="71"/>
  <c r="BB27" i="71"/>
  <c r="AX27" i="71"/>
  <c r="AT27" i="71"/>
  <c r="AT24" i="71" s="1"/>
  <c r="AP27" i="71"/>
  <c r="AP24" i="71" s="1"/>
  <c r="AL27" i="71"/>
  <c r="AL24" i="71" s="1"/>
  <c r="AF27" i="71"/>
  <c r="AD27" i="71"/>
  <c r="J27" i="71"/>
  <c r="K27" i="71" s="1"/>
  <c r="G27" i="71"/>
  <c r="D27" i="71"/>
  <c r="C27" i="71"/>
  <c r="CD26" i="71"/>
  <c r="BZ26" i="71"/>
  <c r="BZ24" i="71" s="1"/>
  <c r="BV26" i="71"/>
  <c r="BV24" i="71" s="1"/>
  <c r="BR26" i="71"/>
  <c r="BN26" i="71"/>
  <c r="BJ26" i="71"/>
  <c r="AH26" i="71" s="1"/>
  <c r="BF26" i="71"/>
  <c r="BB26" i="71"/>
  <c r="AX26" i="71"/>
  <c r="AT26" i="71"/>
  <c r="AP26" i="71"/>
  <c r="AL26" i="71"/>
  <c r="AF26" i="71"/>
  <c r="AD26" i="71"/>
  <c r="J26" i="71"/>
  <c r="K26" i="71" s="1"/>
  <c r="G26" i="71"/>
  <c r="D26" i="71"/>
  <c r="C26" i="71"/>
  <c r="CD25" i="71"/>
  <c r="BZ25" i="71"/>
  <c r="BV25" i="71"/>
  <c r="BR25" i="71"/>
  <c r="BN25" i="71"/>
  <c r="BJ25" i="71"/>
  <c r="BJ24" i="71" s="1"/>
  <c r="BF25" i="71"/>
  <c r="BF24" i="71" s="1"/>
  <c r="BB25" i="71"/>
  <c r="BB24" i="71" s="1"/>
  <c r="AX25" i="71"/>
  <c r="AX24" i="71" s="1"/>
  <c r="AT25" i="71"/>
  <c r="AP25" i="71"/>
  <c r="AL25" i="71"/>
  <c r="AH25" i="71"/>
  <c r="AF25" i="71"/>
  <c r="AG25" i="71" s="1"/>
  <c r="AD25" i="71"/>
  <c r="J25" i="71"/>
  <c r="I25" i="71"/>
  <c r="G25" i="71"/>
  <c r="D25" i="71"/>
  <c r="C25" i="71"/>
  <c r="BN24" i="71"/>
  <c r="AD24" i="71"/>
  <c r="D24" i="71"/>
  <c r="C24" i="71"/>
  <c r="CD23" i="71"/>
  <c r="BZ23" i="71"/>
  <c r="BV23" i="71"/>
  <c r="BR23" i="71"/>
  <c r="BN23" i="71"/>
  <c r="BJ23" i="71"/>
  <c r="BF23" i="71"/>
  <c r="BB23" i="71"/>
  <c r="AX23" i="71"/>
  <c r="AT23" i="71"/>
  <c r="AP23" i="71"/>
  <c r="AL23" i="71"/>
  <c r="AH23" i="71" s="1"/>
  <c r="AG23" i="71" s="1"/>
  <c r="AF23" i="71"/>
  <c r="AD23" i="71"/>
  <c r="O23" i="71"/>
  <c r="J23" i="71"/>
  <c r="K23" i="71" s="1"/>
  <c r="G23" i="71"/>
  <c r="D23" i="71"/>
  <c r="C23" i="71"/>
  <c r="CD22" i="71"/>
  <c r="BZ22" i="71"/>
  <c r="BV22" i="71"/>
  <c r="BR22" i="71"/>
  <c r="BN22" i="71"/>
  <c r="BJ22" i="71"/>
  <c r="BF22" i="71"/>
  <c r="BB22" i="71"/>
  <c r="AX22" i="71"/>
  <c r="AT22" i="71"/>
  <c r="AP22" i="71"/>
  <c r="AH22" i="71" s="1"/>
  <c r="AG22" i="71" s="1"/>
  <c r="AL22" i="71"/>
  <c r="AF22" i="71"/>
  <c r="AD22" i="71"/>
  <c r="O22" i="71"/>
  <c r="J22" i="71"/>
  <c r="K22" i="71" s="1"/>
  <c r="G22" i="71"/>
  <c r="D22" i="71"/>
  <c r="CD21" i="71"/>
  <c r="BZ21" i="71"/>
  <c r="BV21" i="71"/>
  <c r="BR21" i="71"/>
  <c r="BN21" i="71"/>
  <c r="BJ21" i="71"/>
  <c r="BF21" i="71"/>
  <c r="BB21" i="71"/>
  <c r="AX21" i="71"/>
  <c r="AT21" i="71"/>
  <c r="AP21" i="71"/>
  <c r="AL21" i="71"/>
  <c r="AH21" i="71" s="1"/>
  <c r="AG21" i="71" s="1"/>
  <c r="AF21" i="71"/>
  <c r="AD21" i="71"/>
  <c r="O21" i="71"/>
  <c r="J21" i="71"/>
  <c r="K21" i="71" s="1"/>
  <c r="G21" i="71"/>
  <c r="D21" i="71"/>
  <c r="C21" i="71"/>
  <c r="CD20" i="71"/>
  <c r="BZ20" i="71"/>
  <c r="BV20" i="71"/>
  <c r="BR20" i="71"/>
  <c r="AH20" i="71" s="1"/>
  <c r="AG20" i="71" s="1"/>
  <c r="BN20" i="71"/>
  <c r="BJ20" i="71"/>
  <c r="BF20" i="71"/>
  <c r="BB20" i="71"/>
  <c r="AX20" i="71"/>
  <c r="AT20" i="71"/>
  <c r="AP20" i="71"/>
  <c r="AL20" i="71"/>
  <c r="AF20" i="71"/>
  <c r="AD20" i="71"/>
  <c r="O20" i="71"/>
  <c r="J20" i="71"/>
  <c r="K20" i="71" s="1"/>
  <c r="G20" i="71"/>
  <c r="D20" i="71"/>
  <c r="CD19" i="71"/>
  <c r="BZ19" i="71"/>
  <c r="BV19" i="71"/>
  <c r="BR19" i="71"/>
  <c r="BN19" i="71"/>
  <c r="BJ19" i="71"/>
  <c r="BF19" i="71"/>
  <c r="BB19" i="71"/>
  <c r="AX19" i="71"/>
  <c r="AT19" i="71"/>
  <c r="AP19" i="71"/>
  <c r="AL19" i="71"/>
  <c r="AH19" i="71"/>
  <c r="AG19" i="71" s="1"/>
  <c r="AF19" i="71"/>
  <c r="AD19" i="71"/>
  <c r="O19" i="71"/>
  <c r="J19" i="71"/>
  <c r="K19" i="71" s="1"/>
  <c r="G19" i="71"/>
  <c r="D19" i="71"/>
  <c r="C19" i="71"/>
  <c r="CD18" i="71"/>
  <c r="BZ18" i="71"/>
  <c r="BV18" i="71"/>
  <c r="BR18" i="71"/>
  <c r="BN18" i="71"/>
  <c r="BJ18" i="71"/>
  <c r="AH18" i="71" s="1"/>
  <c r="AG18" i="71" s="1"/>
  <c r="BF18" i="71"/>
  <c r="BB18" i="71"/>
  <c r="AX18" i="71"/>
  <c r="AT18" i="71"/>
  <c r="AP18" i="71"/>
  <c r="AL18" i="71"/>
  <c r="AF18" i="71"/>
  <c r="AD18" i="71"/>
  <c r="O18" i="71"/>
  <c r="J18" i="71"/>
  <c r="K18" i="71" s="1"/>
  <c r="G18" i="71"/>
  <c r="D18" i="71"/>
  <c r="CD17" i="71"/>
  <c r="BZ17" i="71"/>
  <c r="BV17" i="71"/>
  <c r="BR17" i="71"/>
  <c r="BN17" i="71"/>
  <c r="BJ17" i="71"/>
  <c r="BF17" i="71"/>
  <c r="BB17" i="71"/>
  <c r="AX17" i="71"/>
  <c r="AT17" i="71"/>
  <c r="AP17" i="71"/>
  <c r="AL17" i="71"/>
  <c r="AH17" i="71"/>
  <c r="AF17" i="71"/>
  <c r="AG17" i="71" s="1"/>
  <c r="AD17" i="71"/>
  <c r="O17" i="71"/>
  <c r="J17" i="71"/>
  <c r="K17" i="71" s="1"/>
  <c r="G17" i="71"/>
  <c r="D17" i="71"/>
  <c r="C17" i="71"/>
  <c r="CD16" i="71"/>
  <c r="BZ16" i="71"/>
  <c r="BV16" i="71"/>
  <c r="BR16" i="71"/>
  <c r="BN16" i="71"/>
  <c r="BJ16" i="71"/>
  <c r="BF16" i="71"/>
  <c r="BB16" i="71"/>
  <c r="AX16" i="71"/>
  <c r="AT16" i="71"/>
  <c r="AP16" i="71"/>
  <c r="AL16" i="71"/>
  <c r="AH16" i="71" s="1"/>
  <c r="AG16" i="71" s="1"/>
  <c r="AF16" i="71"/>
  <c r="AD16" i="71"/>
  <c r="O16" i="71"/>
  <c r="J16" i="71"/>
  <c r="K16" i="71" s="1"/>
  <c r="G16" i="71"/>
  <c r="D16" i="71"/>
  <c r="C16" i="71"/>
  <c r="CD15" i="71"/>
  <c r="AH15" i="71" s="1"/>
  <c r="AG15" i="71" s="1"/>
  <c r="BZ15" i="71"/>
  <c r="BV15" i="71"/>
  <c r="BR15" i="71"/>
  <c r="BN15" i="71"/>
  <c r="BJ15" i="71"/>
  <c r="BF15" i="71"/>
  <c r="BB15" i="71"/>
  <c r="AX15" i="71"/>
  <c r="AT15" i="71"/>
  <c r="AP15" i="71"/>
  <c r="AL15" i="71"/>
  <c r="AF15" i="71"/>
  <c r="AD15" i="71"/>
  <c r="O15" i="71"/>
  <c r="J15" i="71"/>
  <c r="K15" i="71" s="1"/>
  <c r="G15" i="71"/>
  <c r="D15" i="71"/>
  <c r="C15" i="71"/>
  <c r="CD14" i="71"/>
  <c r="BZ14" i="71"/>
  <c r="BV14" i="71"/>
  <c r="BR14" i="71"/>
  <c r="BN14" i="71"/>
  <c r="BJ14" i="71"/>
  <c r="BJ11" i="71" s="1"/>
  <c r="BF14" i="71"/>
  <c r="BF11" i="71" s="1"/>
  <c r="BB14" i="71"/>
  <c r="AX14" i="71"/>
  <c r="AT14" i="71"/>
  <c r="AH14" i="71" s="1"/>
  <c r="AG14" i="71" s="1"/>
  <c r="AP14" i="71"/>
  <c r="AL14" i="71"/>
  <c r="AF14" i="71"/>
  <c r="AD14" i="71"/>
  <c r="O14" i="71"/>
  <c r="J14" i="71"/>
  <c r="K14" i="71" s="1"/>
  <c r="G14" i="71"/>
  <c r="D14" i="71"/>
  <c r="C14" i="71"/>
  <c r="CD13" i="71"/>
  <c r="CD11" i="71" s="1"/>
  <c r="BZ13" i="71"/>
  <c r="BZ11" i="71" s="1"/>
  <c r="BV13" i="71"/>
  <c r="BR13" i="71"/>
  <c r="BN13" i="71"/>
  <c r="BJ13" i="71"/>
  <c r="BF13" i="71"/>
  <c r="BB13" i="71"/>
  <c r="AX13" i="71"/>
  <c r="AT13" i="71"/>
  <c r="AP13" i="71"/>
  <c r="AL13" i="71"/>
  <c r="AH13" i="71" s="1"/>
  <c r="AG13" i="71" s="1"/>
  <c r="AF13" i="71"/>
  <c r="AD13" i="71"/>
  <c r="O13" i="71"/>
  <c r="J13" i="71"/>
  <c r="K13" i="71" s="1"/>
  <c r="G13" i="71"/>
  <c r="D13" i="71"/>
  <c r="CD12" i="71"/>
  <c r="BZ12" i="71"/>
  <c r="BV12" i="71"/>
  <c r="BR12" i="71"/>
  <c r="BR11" i="71" s="1"/>
  <c r="BN12" i="71"/>
  <c r="BN11" i="71" s="1"/>
  <c r="BJ12" i="71"/>
  <c r="BF12" i="71"/>
  <c r="BB12" i="71"/>
  <c r="BB11" i="71" s="1"/>
  <c r="AX12" i="71"/>
  <c r="AX11" i="71" s="1"/>
  <c r="AT12" i="71"/>
  <c r="AP12" i="71"/>
  <c r="AL12" i="71"/>
  <c r="AL11" i="71" s="1"/>
  <c r="AF12" i="71"/>
  <c r="AD12" i="71"/>
  <c r="O12" i="71"/>
  <c r="J12" i="71"/>
  <c r="K12" i="71" s="1"/>
  <c r="G12" i="71"/>
  <c r="D12" i="71"/>
  <c r="C12" i="71"/>
  <c r="BV11" i="71"/>
  <c r="BU6" i="71" s="1"/>
  <c r="AP11" i="71"/>
  <c r="AO6" i="71" s="1"/>
  <c r="AD11" i="71"/>
  <c r="D11" i="71"/>
  <c r="C11" i="71"/>
  <c r="AF6" i="71"/>
  <c r="A3" i="71"/>
  <c r="C56" i="71" s="1"/>
  <c r="M51" i="70"/>
  <c r="I51" i="70" s="1"/>
  <c r="CD62" i="70"/>
  <c r="BZ62" i="70"/>
  <c r="BV62" i="70"/>
  <c r="BR62" i="70"/>
  <c r="BN62" i="70"/>
  <c r="BJ62" i="70"/>
  <c r="BF62" i="70"/>
  <c r="BB62" i="70"/>
  <c r="AX62" i="70"/>
  <c r="AT62" i="70"/>
  <c r="AP62" i="70"/>
  <c r="AL62" i="70"/>
  <c r="AH62" i="70" s="1"/>
  <c r="AG62" i="70" s="1"/>
  <c r="AF62" i="70"/>
  <c r="AD62" i="70"/>
  <c r="J62" i="70"/>
  <c r="K62" i="70" s="1"/>
  <c r="I62" i="70"/>
  <c r="G62" i="70"/>
  <c r="D62" i="70"/>
  <c r="C62" i="70"/>
  <c r="CD61" i="70"/>
  <c r="BZ61" i="70"/>
  <c r="BV61" i="70"/>
  <c r="BR61" i="70"/>
  <c r="BN61" i="70"/>
  <c r="BJ61" i="70"/>
  <c r="BF61" i="70"/>
  <c r="BB61" i="70"/>
  <c r="AX61" i="70"/>
  <c r="AT61" i="70"/>
  <c r="AP61" i="70"/>
  <c r="AL61" i="70"/>
  <c r="AH61" i="70" s="1"/>
  <c r="AG61" i="70" s="1"/>
  <c r="AF61" i="70"/>
  <c r="AD61" i="70"/>
  <c r="J61" i="70"/>
  <c r="I61" i="70"/>
  <c r="G61" i="70"/>
  <c r="D61" i="70"/>
  <c r="C61" i="70"/>
  <c r="CD60" i="70"/>
  <c r="BZ60" i="70"/>
  <c r="BV60" i="70"/>
  <c r="BV50" i="70" s="1"/>
  <c r="BR60" i="70"/>
  <c r="BN60" i="70"/>
  <c r="BJ60" i="70"/>
  <c r="BF60" i="70"/>
  <c r="BB60" i="70"/>
  <c r="AX60" i="70"/>
  <c r="AT60" i="70"/>
  <c r="AP60" i="70"/>
  <c r="AH60" i="70" s="1"/>
  <c r="AG60" i="70" s="1"/>
  <c r="AL60" i="70"/>
  <c r="AF60" i="70"/>
  <c r="AD60" i="70"/>
  <c r="J60" i="70"/>
  <c r="I60" i="70"/>
  <c r="G60" i="70"/>
  <c r="D60" i="70"/>
  <c r="CD59" i="70"/>
  <c r="BZ59" i="70"/>
  <c r="BV59" i="70"/>
  <c r="BR59" i="70"/>
  <c r="BN59" i="70"/>
  <c r="BJ59" i="70"/>
  <c r="BF59" i="70"/>
  <c r="BB59" i="70"/>
  <c r="AX59" i="70"/>
  <c r="AT59" i="70"/>
  <c r="AP59" i="70"/>
  <c r="AL59" i="70"/>
  <c r="AH59" i="70" s="1"/>
  <c r="AG59" i="70" s="1"/>
  <c r="AF59" i="70"/>
  <c r="AD59" i="70"/>
  <c r="J59" i="70"/>
  <c r="I59" i="70"/>
  <c r="G59" i="70"/>
  <c r="D59" i="70"/>
  <c r="C59" i="70"/>
  <c r="CD58" i="70"/>
  <c r="BZ58" i="70"/>
  <c r="BV58" i="70"/>
  <c r="BR58" i="70"/>
  <c r="BN58" i="70"/>
  <c r="AH58" i="70" s="1"/>
  <c r="AG58" i="70" s="1"/>
  <c r="BJ58" i="70"/>
  <c r="BF58" i="70"/>
  <c r="BB58" i="70"/>
  <c r="AX58" i="70"/>
  <c r="AT58" i="70"/>
  <c r="AP58" i="70"/>
  <c r="AL58" i="70"/>
  <c r="AF58" i="70"/>
  <c r="AD58" i="70"/>
  <c r="J58" i="70"/>
  <c r="I58" i="70"/>
  <c r="G58" i="70"/>
  <c r="D58" i="70"/>
  <c r="CD57" i="70"/>
  <c r="BZ57" i="70"/>
  <c r="BV57" i="70"/>
  <c r="BR57" i="70"/>
  <c r="BN57" i="70"/>
  <c r="BJ57" i="70"/>
  <c r="BF57" i="70"/>
  <c r="BB57" i="70"/>
  <c r="AX57" i="70"/>
  <c r="AT57" i="70"/>
  <c r="AP57" i="70"/>
  <c r="AL57" i="70"/>
  <c r="AH57" i="70" s="1"/>
  <c r="AG57" i="70" s="1"/>
  <c r="AF57" i="70"/>
  <c r="AD57" i="70"/>
  <c r="J57" i="70"/>
  <c r="I57" i="70"/>
  <c r="G57" i="70"/>
  <c r="D57" i="70"/>
  <c r="CD56" i="70"/>
  <c r="BZ56" i="70"/>
  <c r="BV56" i="70"/>
  <c r="BR56" i="70"/>
  <c r="BN56" i="70"/>
  <c r="BJ56" i="70"/>
  <c r="BF56" i="70"/>
  <c r="AH56" i="70" s="1"/>
  <c r="AG56" i="70" s="1"/>
  <c r="BB56" i="70"/>
  <c r="AX56" i="70"/>
  <c r="AT56" i="70"/>
  <c r="AP56" i="70"/>
  <c r="AL56" i="70"/>
  <c r="AF56" i="70"/>
  <c r="AD56" i="70"/>
  <c r="J56" i="70"/>
  <c r="I56" i="70"/>
  <c r="G56" i="70"/>
  <c r="D56" i="70"/>
  <c r="C56" i="70"/>
  <c r="CD55" i="70"/>
  <c r="BZ55" i="70"/>
  <c r="BV55" i="70"/>
  <c r="BR55" i="70"/>
  <c r="BN55" i="70"/>
  <c r="BJ55" i="70"/>
  <c r="BF55" i="70"/>
  <c r="BB55" i="70"/>
  <c r="AX55" i="70"/>
  <c r="AT55" i="70"/>
  <c r="AP55" i="70"/>
  <c r="AL55" i="70"/>
  <c r="AH55" i="70"/>
  <c r="AG55" i="70" s="1"/>
  <c r="AF55" i="70"/>
  <c r="AD55" i="70"/>
  <c r="J55" i="70"/>
  <c r="I55" i="70"/>
  <c r="G55" i="70"/>
  <c r="D55" i="70"/>
  <c r="CD54" i="70"/>
  <c r="BZ54" i="70"/>
  <c r="BV54" i="70"/>
  <c r="BR54" i="70"/>
  <c r="BN54" i="70"/>
  <c r="BJ54" i="70"/>
  <c r="BF54" i="70"/>
  <c r="BB54" i="70"/>
  <c r="AX54" i="70"/>
  <c r="AT54" i="70"/>
  <c r="AP54" i="70"/>
  <c r="AL54" i="70"/>
  <c r="AH54" i="70" s="1"/>
  <c r="AG54" i="70" s="1"/>
  <c r="AF54" i="70"/>
  <c r="AD54" i="70"/>
  <c r="J54" i="70"/>
  <c r="I54" i="70"/>
  <c r="G54" i="70"/>
  <c r="D54" i="70"/>
  <c r="C54" i="70"/>
  <c r="CD53" i="70"/>
  <c r="BZ53" i="70"/>
  <c r="AH53" i="70" s="1"/>
  <c r="AG53" i="70" s="1"/>
  <c r="BV53" i="70"/>
  <c r="BR53" i="70"/>
  <c r="BN53" i="70"/>
  <c r="BJ53" i="70"/>
  <c r="BF53" i="70"/>
  <c r="BB53" i="70"/>
  <c r="AX53" i="70"/>
  <c r="AT53" i="70"/>
  <c r="AT50" i="70" s="1"/>
  <c r="AP53" i="70"/>
  <c r="AL53" i="70"/>
  <c r="AF53" i="70"/>
  <c r="AD53" i="70"/>
  <c r="J53" i="70"/>
  <c r="I53" i="70"/>
  <c r="G53" i="70"/>
  <c r="D53" i="70"/>
  <c r="CD52" i="70"/>
  <c r="BZ52" i="70"/>
  <c r="BV52" i="70"/>
  <c r="BR52" i="70"/>
  <c r="BN52" i="70"/>
  <c r="BJ52" i="70"/>
  <c r="BJ50" i="70" s="1"/>
  <c r="BF52" i="70"/>
  <c r="BB52" i="70"/>
  <c r="BB50" i="70" s="1"/>
  <c r="AX52" i="70"/>
  <c r="AT52" i="70"/>
  <c r="AP52" i="70"/>
  <c r="AH52" i="70" s="1"/>
  <c r="AL52" i="70"/>
  <c r="AF52" i="70"/>
  <c r="AD52" i="70"/>
  <c r="J52" i="70"/>
  <c r="I52" i="70"/>
  <c r="G52" i="70"/>
  <c r="D52" i="70"/>
  <c r="C52" i="70"/>
  <c r="CD51" i="70"/>
  <c r="CD50" i="70" s="1"/>
  <c r="BZ51" i="70"/>
  <c r="BZ50" i="70" s="1"/>
  <c r="BV51" i="70"/>
  <c r="BR51" i="70"/>
  <c r="BR50" i="70" s="1"/>
  <c r="BN51" i="70"/>
  <c r="BJ51" i="70"/>
  <c r="BF51" i="70"/>
  <c r="BB51" i="70"/>
  <c r="AX51" i="70"/>
  <c r="AX50" i="70" s="1"/>
  <c r="AT51" i="70"/>
  <c r="AP51" i="70"/>
  <c r="AL51" i="70"/>
  <c r="AH51" i="70" s="1"/>
  <c r="AF51" i="70"/>
  <c r="AD51" i="70"/>
  <c r="J51" i="70"/>
  <c r="G51" i="70"/>
  <c r="D51" i="70"/>
  <c r="BF50" i="70"/>
  <c r="AD50" i="70"/>
  <c r="D50" i="70"/>
  <c r="CD49" i="70"/>
  <c r="BZ49" i="70"/>
  <c r="BV49" i="70"/>
  <c r="BR49" i="70"/>
  <c r="BN49" i="70"/>
  <c r="BJ49" i="70"/>
  <c r="BF49" i="70"/>
  <c r="BB49" i="70"/>
  <c r="AX49" i="70"/>
  <c r="AT49" i="70"/>
  <c r="AP49" i="70"/>
  <c r="AL49" i="70"/>
  <c r="AH49" i="70" s="1"/>
  <c r="AG49" i="70" s="1"/>
  <c r="AF49" i="70"/>
  <c r="AD49" i="70"/>
  <c r="J49" i="70"/>
  <c r="K49" i="70" s="1"/>
  <c r="G49" i="70"/>
  <c r="D49" i="70"/>
  <c r="C49" i="70"/>
  <c r="CD48" i="70"/>
  <c r="BZ48" i="70"/>
  <c r="BV48" i="70"/>
  <c r="BR48" i="70"/>
  <c r="BN48" i="70"/>
  <c r="BJ48" i="70"/>
  <c r="BF48" i="70"/>
  <c r="BB48" i="70"/>
  <c r="AX48" i="70"/>
  <c r="AT48" i="70"/>
  <c r="AP48" i="70"/>
  <c r="AL48" i="70"/>
  <c r="AH48" i="70" s="1"/>
  <c r="AG48" i="70" s="1"/>
  <c r="AF48" i="70"/>
  <c r="AD48" i="70"/>
  <c r="J48" i="70"/>
  <c r="K48" i="70" s="1"/>
  <c r="G48" i="70"/>
  <c r="D48" i="70"/>
  <c r="C48" i="70"/>
  <c r="CD47" i="70"/>
  <c r="BZ47" i="70"/>
  <c r="BV47" i="70"/>
  <c r="BR47" i="70"/>
  <c r="BN47" i="70"/>
  <c r="BJ47" i="70"/>
  <c r="BF47" i="70"/>
  <c r="BB47" i="70"/>
  <c r="AX47" i="70"/>
  <c r="AT47" i="70"/>
  <c r="AP47" i="70"/>
  <c r="AL47" i="70"/>
  <c r="AH47" i="70"/>
  <c r="AG47" i="70" s="1"/>
  <c r="AF47" i="70"/>
  <c r="AD47" i="70"/>
  <c r="J47" i="70"/>
  <c r="K47" i="70" s="1"/>
  <c r="G47" i="70"/>
  <c r="D47" i="70"/>
  <c r="C47" i="70"/>
  <c r="CD46" i="70"/>
  <c r="BZ46" i="70"/>
  <c r="BV46" i="70"/>
  <c r="BR46" i="70"/>
  <c r="BN46" i="70"/>
  <c r="BJ46" i="70"/>
  <c r="BF46" i="70"/>
  <c r="BB46" i="70"/>
  <c r="AX46" i="70"/>
  <c r="AT46" i="70"/>
  <c r="AP46" i="70"/>
  <c r="AL46" i="70"/>
  <c r="AH46" i="70" s="1"/>
  <c r="AG46" i="70" s="1"/>
  <c r="AF46" i="70"/>
  <c r="AD46" i="70"/>
  <c r="J46" i="70"/>
  <c r="K46" i="70" s="1"/>
  <c r="G46" i="70"/>
  <c r="D46" i="70"/>
  <c r="C46" i="70"/>
  <c r="CD45" i="70"/>
  <c r="BZ45" i="70"/>
  <c r="BV45" i="70"/>
  <c r="BR45" i="70"/>
  <c r="BN45" i="70"/>
  <c r="BJ45" i="70"/>
  <c r="BF45" i="70"/>
  <c r="BB45" i="70"/>
  <c r="AX45" i="70"/>
  <c r="AT45" i="70"/>
  <c r="AP45" i="70"/>
  <c r="AL45" i="70"/>
  <c r="AH45" i="70" s="1"/>
  <c r="AG45" i="70" s="1"/>
  <c r="AF45" i="70"/>
  <c r="AD45" i="70"/>
  <c r="J45" i="70"/>
  <c r="K45" i="70" s="1"/>
  <c r="G45" i="70"/>
  <c r="D45" i="70"/>
  <c r="CD44" i="70"/>
  <c r="BZ44" i="70"/>
  <c r="BV44" i="70"/>
  <c r="BR44" i="70"/>
  <c r="BN44" i="70"/>
  <c r="BJ44" i="70"/>
  <c r="BF44" i="70"/>
  <c r="BB44" i="70"/>
  <c r="AX44" i="70"/>
  <c r="AT44" i="70"/>
  <c r="AP44" i="70"/>
  <c r="AL44" i="70"/>
  <c r="AH44" i="70" s="1"/>
  <c r="AG44" i="70" s="1"/>
  <c r="AF44" i="70"/>
  <c r="AD44" i="70"/>
  <c r="J44" i="70"/>
  <c r="K44" i="70" s="1"/>
  <c r="G44" i="70"/>
  <c r="D44" i="70"/>
  <c r="C44" i="70"/>
  <c r="CD43" i="70"/>
  <c r="BZ43" i="70"/>
  <c r="BV43" i="70"/>
  <c r="BR43" i="70"/>
  <c r="BN43" i="70"/>
  <c r="BJ43" i="70"/>
  <c r="BF43" i="70"/>
  <c r="BB43" i="70"/>
  <c r="AH43" i="70" s="1"/>
  <c r="AG43" i="70" s="1"/>
  <c r="AX43" i="70"/>
  <c r="AT43" i="70"/>
  <c r="AP43" i="70"/>
  <c r="AL43" i="70"/>
  <c r="AF43" i="70"/>
  <c r="AD43" i="70"/>
  <c r="J43" i="70"/>
  <c r="K43" i="70" s="1"/>
  <c r="G43" i="70"/>
  <c r="D43" i="70"/>
  <c r="C43" i="70"/>
  <c r="CD42" i="70"/>
  <c r="BZ42" i="70"/>
  <c r="BV42" i="70"/>
  <c r="BR42" i="70"/>
  <c r="BN42" i="70"/>
  <c r="BJ42" i="70"/>
  <c r="BF42" i="70"/>
  <c r="BB42" i="70"/>
  <c r="AX42" i="70"/>
  <c r="AT42" i="70"/>
  <c r="AH42" i="70" s="1"/>
  <c r="AG42" i="70" s="1"/>
  <c r="AP42" i="70"/>
  <c r="AL42" i="70"/>
  <c r="AF42" i="70"/>
  <c r="AD42" i="70"/>
  <c r="J42" i="70"/>
  <c r="K42" i="70" s="1"/>
  <c r="G42" i="70"/>
  <c r="D42" i="70"/>
  <c r="CD41" i="70"/>
  <c r="BZ41" i="70"/>
  <c r="BV41" i="70"/>
  <c r="BR41" i="70"/>
  <c r="BN41" i="70"/>
  <c r="BJ41" i="70"/>
  <c r="BF41" i="70"/>
  <c r="BB41" i="70"/>
  <c r="AX41" i="70"/>
  <c r="AT41" i="70"/>
  <c r="AP41" i="70"/>
  <c r="AL41" i="70"/>
  <c r="AH41" i="70" s="1"/>
  <c r="AG41" i="70" s="1"/>
  <c r="AF41" i="70"/>
  <c r="AD41" i="70"/>
  <c r="J41" i="70"/>
  <c r="K41" i="70" s="1"/>
  <c r="G41" i="70"/>
  <c r="D41" i="70"/>
  <c r="C41" i="70"/>
  <c r="CD40" i="70"/>
  <c r="BZ40" i="70"/>
  <c r="BV40" i="70"/>
  <c r="BR40" i="70"/>
  <c r="BN40" i="70"/>
  <c r="BJ40" i="70"/>
  <c r="BF40" i="70"/>
  <c r="BB40" i="70"/>
  <c r="AX40" i="70"/>
  <c r="AT40" i="70"/>
  <c r="AP40" i="70"/>
  <c r="AL40" i="70"/>
  <c r="AH40" i="70" s="1"/>
  <c r="AG40" i="70" s="1"/>
  <c r="AF40" i="70"/>
  <c r="AD40" i="70"/>
  <c r="J40" i="70"/>
  <c r="K40" i="70" s="1"/>
  <c r="G40" i="70"/>
  <c r="D40" i="70"/>
  <c r="C40" i="70"/>
  <c r="CD39" i="70"/>
  <c r="BZ39" i="70"/>
  <c r="BV39" i="70"/>
  <c r="BR39" i="70"/>
  <c r="BN39" i="70"/>
  <c r="BJ39" i="70"/>
  <c r="BF39" i="70"/>
  <c r="BB39" i="70"/>
  <c r="BB37" i="70" s="1"/>
  <c r="AX39" i="70"/>
  <c r="AT39" i="70"/>
  <c r="AP39" i="70"/>
  <c r="AP37" i="70" s="1"/>
  <c r="AL39" i="70"/>
  <c r="AH39" i="70"/>
  <c r="AG39" i="70" s="1"/>
  <c r="AF39" i="70"/>
  <c r="AD39" i="70"/>
  <c r="J39" i="70"/>
  <c r="K39" i="70" s="1"/>
  <c r="G39" i="70"/>
  <c r="D39" i="70"/>
  <c r="C39" i="70"/>
  <c r="CD38" i="70"/>
  <c r="BZ38" i="70"/>
  <c r="BZ37" i="70" s="1"/>
  <c r="BV38" i="70"/>
  <c r="BV37" i="70" s="1"/>
  <c r="BR38" i="70"/>
  <c r="BR37" i="70" s="1"/>
  <c r="BN38" i="70"/>
  <c r="BN37" i="70" s="1"/>
  <c r="BJ38" i="70"/>
  <c r="BJ37" i="70" s="1"/>
  <c r="BF38" i="70"/>
  <c r="BF37" i="70" s="1"/>
  <c r="BB38" i="70"/>
  <c r="AX38" i="70"/>
  <c r="AT38" i="70"/>
  <c r="AT37" i="70" s="1"/>
  <c r="AP38" i="70"/>
  <c r="AL38" i="70"/>
  <c r="AH38" i="70" s="1"/>
  <c r="AF38" i="70"/>
  <c r="AD38" i="70"/>
  <c r="J38" i="70"/>
  <c r="K38" i="70" s="1"/>
  <c r="G38" i="70"/>
  <c r="D38" i="70"/>
  <c r="C38" i="70"/>
  <c r="CD37" i="70"/>
  <c r="AX37" i="70"/>
  <c r="AD37" i="70"/>
  <c r="D37" i="70"/>
  <c r="C37" i="70"/>
  <c r="CD36" i="70"/>
  <c r="BZ36" i="70"/>
  <c r="BV36" i="70"/>
  <c r="BR36" i="70"/>
  <c r="BN36" i="70"/>
  <c r="BJ36" i="70"/>
  <c r="BF36" i="70"/>
  <c r="BB36" i="70"/>
  <c r="AX36" i="70"/>
  <c r="AT36" i="70"/>
  <c r="AP36" i="70"/>
  <c r="AL36" i="70"/>
  <c r="AH36" i="70" s="1"/>
  <c r="AG36" i="70" s="1"/>
  <c r="AF36" i="70"/>
  <c r="AD36" i="70"/>
  <c r="J36" i="70"/>
  <c r="K36" i="70" s="1"/>
  <c r="G36" i="70"/>
  <c r="D36" i="70"/>
  <c r="CD35" i="70"/>
  <c r="BZ35" i="70"/>
  <c r="BV35" i="70"/>
  <c r="BR35" i="70"/>
  <c r="BN35" i="70"/>
  <c r="BJ35" i="70"/>
  <c r="BF35" i="70"/>
  <c r="BB35" i="70"/>
  <c r="AX35" i="70"/>
  <c r="AT35" i="70"/>
  <c r="AP35" i="70"/>
  <c r="AL35" i="70"/>
  <c r="AH35" i="70" s="1"/>
  <c r="AG35" i="70" s="1"/>
  <c r="AF35" i="70"/>
  <c r="AD35" i="70"/>
  <c r="J35" i="70"/>
  <c r="K35" i="70" s="1"/>
  <c r="G35" i="70"/>
  <c r="D35" i="70"/>
  <c r="C35" i="70"/>
  <c r="CD34" i="70"/>
  <c r="BZ34" i="70"/>
  <c r="BV34" i="70"/>
  <c r="BR34" i="70"/>
  <c r="BN34" i="70"/>
  <c r="BJ34" i="70"/>
  <c r="BF34" i="70"/>
  <c r="BB34" i="70"/>
  <c r="AH34" i="70" s="1"/>
  <c r="AG34" i="70" s="1"/>
  <c r="AX34" i="70"/>
  <c r="AT34" i="70"/>
  <c r="AP34" i="70"/>
  <c r="AL34" i="70"/>
  <c r="AF34" i="70"/>
  <c r="AD34" i="70"/>
  <c r="J34" i="70"/>
  <c r="K34" i="70" s="1"/>
  <c r="G34" i="70"/>
  <c r="D34" i="70"/>
  <c r="C34" i="70"/>
  <c r="CD33" i="70"/>
  <c r="BZ33" i="70"/>
  <c r="BV33" i="70"/>
  <c r="BR33" i="70"/>
  <c r="BN33" i="70"/>
  <c r="BJ33" i="70"/>
  <c r="BF33" i="70"/>
  <c r="BB33" i="70"/>
  <c r="AX33" i="70"/>
  <c r="AT33" i="70"/>
  <c r="AH33" i="70" s="1"/>
  <c r="AG33" i="70" s="1"/>
  <c r="AP33" i="70"/>
  <c r="AL33" i="70"/>
  <c r="AF33" i="70"/>
  <c r="AD33" i="70"/>
  <c r="J33" i="70"/>
  <c r="K33" i="70" s="1"/>
  <c r="G33" i="70"/>
  <c r="D33" i="70"/>
  <c r="CD32" i="70"/>
  <c r="BZ32" i="70"/>
  <c r="BV32" i="70"/>
  <c r="BR32" i="70"/>
  <c r="BN32" i="70"/>
  <c r="BJ32" i="70"/>
  <c r="BF32" i="70"/>
  <c r="BB32" i="70"/>
  <c r="AX32" i="70"/>
  <c r="AT32" i="70"/>
  <c r="AP32" i="70"/>
  <c r="AL32" i="70"/>
  <c r="AH32" i="70" s="1"/>
  <c r="AG32" i="70" s="1"/>
  <c r="AF32" i="70"/>
  <c r="AD32" i="70"/>
  <c r="J32" i="70"/>
  <c r="K32" i="70" s="1"/>
  <c r="G32" i="70"/>
  <c r="D32" i="70"/>
  <c r="C32" i="70"/>
  <c r="CD31" i="70"/>
  <c r="BZ31" i="70"/>
  <c r="BV31" i="70"/>
  <c r="BR31" i="70"/>
  <c r="BN31" i="70"/>
  <c r="BJ31" i="70"/>
  <c r="BF31" i="70"/>
  <c r="BB31" i="70"/>
  <c r="AX31" i="70"/>
  <c r="AT31" i="70"/>
  <c r="AP31" i="70"/>
  <c r="AL31" i="70"/>
  <c r="AH31" i="70" s="1"/>
  <c r="AG31" i="70" s="1"/>
  <c r="AF31" i="70"/>
  <c r="AD31" i="70"/>
  <c r="J31" i="70"/>
  <c r="K31" i="70" s="1"/>
  <c r="G31" i="70"/>
  <c r="D31" i="70"/>
  <c r="C31" i="70"/>
  <c r="CD30" i="70"/>
  <c r="BZ30" i="70"/>
  <c r="BV30" i="70"/>
  <c r="BR30" i="70"/>
  <c r="BN30" i="70"/>
  <c r="BJ30" i="70"/>
  <c r="BF30" i="70"/>
  <c r="BB30" i="70"/>
  <c r="AX30" i="70"/>
  <c r="AT30" i="70"/>
  <c r="AP30" i="70"/>
  <c r="AL30" i="70"/>
  <c r="AH30" i="70"/>
  <c r="AG30" i="70" s="1"/>
  <c r="AF30" i="70"/>
  <c r="AD30" i="70"/>
  <c r="J30" i="70"/>
  <c r="K30" i="70" s="1"/>
  <c r="G30" i="70"/>
  <c r="D30" i="70"/>
  <c r="C30" i="70"/>
  <c r="CD29" i="70"/>
  <c r="BZ29" i="70"/>
  <c r="BV29" i="70"/>
  <c r="BR29" i="70"/>
  <c r="BN29" i="70"/>
  <c r="BJ29" i="70"/>
  <c r="BF29" i="70"/>
  <c r="BB29" i="70"/>
  <c r="AX29" i="70"/>
  <c r="AT29" i="70"/>
  <c r="AT24" i="70" s="1"/>
  <c r="AP29" i="70"/>
  <c r="AL29" i="70"/>
  <c r="AH29" i="70" s="1"/>
  <c r="AG29" i="70" s="1"/>
  <c r="AF29" i="70"/>
  <c r="AD29" i="70"/>
  <c r="J29" i="70"/>
  <c r="K29" i="70" s="1"/>
  <c r="G29" i="70"/>
  <c r="D29" i="70"/>
  <c r="C29" i="70"/>
  <c r="CD28" i="70"/>
  <c r="CD24" i="70" s="1"/>
  <c r="BZ28" i="70"/>
  <c r="BV28" i="70"/>
  <c r="BR28" i="70"/>
  <c r="BR24" i="70" s="1"/>
  <c r="BN28" i="70"/>
  <c r="BJ28" i="70"/>
  <c r="BF28" i="70"/>
  <c r="BB28" i="70"/>
  <c r="AX28" i="70"/>
  <c r="AT28" i="70"/>
  <c r="AP28" i="70"/>
  <c r="AL28" i="70"/>
  <c r="AH28" i="70" s="1"/>
  <c r="AG28" i="70" s="1"/>
  <c r="AF28" i="70"/>
  <c r="AD28" i="70"/>
  <c r="J28" i="70"/>
  <c r="K28" i="70" s="1"/>
  <c r="G28" i="70"/>
  <c r="D28" i="70"/>
  <c r="CD27" i="70"/>
  <c r="BZ27" i="70"/>
  <c r="BV27" i="70"/>
  <c r="BR27" i="70"/>
  <c r="BN27" i="70"/>
  <c r="BJ27" i="70"/>
  <c r="BF27" i="70"/>
  <c r="BB27" i="70"/>
  <c r="AX27" i="70"/>
  <c r="AX24" i="70" s="1"/>
  <c r="AT27" i="70"/>
  <c r="AP27" i="70"/>
  <c r="AP24" i="70" s="1"/>
  <c r="AL27" i="70"/>
  <c r="AL24" i="70" s="1"/>
  <c r="AF27" i="70"/>
  <c r="AD27" i="70"/>
  <c r="J27" i="70"/>
  <c r="K27" i="70" s="1"/>
  <c r="G27" i="70"/>
  <c r="D27" i="70"/>
  <c r="C27" i="70"/>
  <c r="CD26" i="70"/>
  <c r="BZ26" i="70"/>
  <c r="BV26" i="70"/>
  <c r="BV24" i="70" s="1"/>
  <c r="BR26" i="70"/>
  <c r="BN26" i="70"/>
  <c r="BN24" i="70" s="1"/>
  <c r="BJ26" i="70"/>
  <c r="BF26" i="70"/>
  <c r="BB26" i="70"/>
  <c r="AH26" i="70" s="1"/>
  <c r="AG26" i="70" s="1"/>
  <c r="AX26" i="70"/>
  <c r="AT26" i="70"/>
  <c r="AP26" i="70"/>
  <c r="AL26" i="70"/>
  <c r="AF26" i="70"/>
  <c r="AD26" i="70"/>
  <c r="J26" i="70"/>
  <c r="K26" i="70" s="1"/>
  <c r="G26" i="70"/>
  <c r="D26" i="70"/>
  <c r="C26" i="70"/>
  <c r="CD25" i="70"/>
  <c r="BZ25" i="70"/>
  <c r="BZ24" i="70" s="1"/>
  <c r="BV25" i="70"/>
  <c r="BR25" i="70"/>
  <c r="BN25" i="70"/>
  <c r="BJ25" i="70"/>
  <c r="BF25" i="70"/>
  <c r="BF24" i="70" s="1"/>
  <c r="BB25" i="70"/>
  <c r="BB24" i="70" s="1"/>
  <c r="AX25" i="70"/>
  <c r="AT25" i="70"/>
  <c r="AH25" i="70" s="1"/>
  <c r="AP25" i="70"/>
  <c r="AL25" i="70"/>
  <c r="AF25" i="70"/>
  <c r="AD25" i="70"/>
  <c r="J25" i="70"/>
  <c r="I25" i="70"/>
  <c r="G25" i="70"/>
  <c r="D25" i="70"/>
  <c r="C25" i="70"/>
  <c r="BJ24" i="70"/>
  <c r="AD24" i="70"/>
  <c r="D24" i="70"/>
  <c r="C24" i="70"/>
  <c r="CD23" i="70"/>
  <c r="BZ23" i="70"/>
  <c r="BV23" i="70"/>
  <c r="BR23" i="70"/>
  <c r="BN23" i="70"/>
  <c r="BJ23" i="70"/>
  <c r="BF23" i="70"/>
  <c r="BB23" i="70"/>
  <c r="AX23" i="70"/>
  <c r="AT23" i="70"/>
  <c r="AP23" i="70"/>
  <c r="AH23" i="70" s="1"/>
  <c r="AG23" i="70" s="1"/>
  <c r="AL23" i="70"/>
  <c r="AF23" i="70"/>
  <c r="AD23" i="70"/>
  <c r="O23" i="70"/>
  <c r="J23" i="70"/>
  <c r="K23" i="70" s="1"/>
  <c r="G23" i="70"/>
  <c r="D23" i="70"/>
  <c r="C23" i="70"/>
  <c r="CD22" i="70"/>
  <c r="BZ22" i="70"/>
  <c r="BV22" i="70"/>
  <c r="BR22" i="70"/>
  <c r="BN22" i="70"/>
  <c r="BJ22" i="70"/>
  <c r="BF22" i="70"/>
  <c r="BB22" i="70"/>
  <c r="AX22" i="70"/>
  <c r="AT22" i="70"/>
  <c r="AP22" i="70"/>
  <c r="AL22" i="70"/>
  <c r="AH22" i="70" s="1"/>
  <c r="AG22" i="70" s="1"/>
  <c r="AF22" i="70"/>
  <c r="AD22" i="70"/>
  <c r="O22" i="70"/>
  <c r="J22" i="70"/>
  <c r="K22" i="70" s="1"/>
  <c r="G22" i="70"/>
  <c r="D22" i="70"/>
  <c r="CD21" i="70"/>
  <c r="BZ21" i="70"/>
  <c r="BV21" i="70"/>
  <c r="BR21" i="70"/>
  <c r="BN21" i="70"/>
  <c r="BJ21" i="70"/>
  <c r="BF21" i="70"/>
  <c r="BB21" i="70"/>
  <c r="AX21" i="70"/>
  <c r="AT21" i="70"/>
  <c r="AP21" i="70"/>
  <c r="AL21" i="70"/>
  <c r="AH21" i="70"/>
  <c r="AG21" i="70" s="1"/>
  <c r="AF21" i="70"/>
  <c r="AD21" i="70"/>
  <c r="O21" i="70"/>
  <c r="J21" i="70"/>
  <c r="K21" i="70" s="1"/>
  <c r="G21" i="70"/>
  <c r="D21" i="70"/>
  <c r="C21" i="70"/>
  <c r="CD20" i="70"/>
  <c r="BZ20" i="70"/>
  <c r="BV20" i="70"/>
  <c r="BR20" i="70"/>
  <c r="BN20" i="70"/>
  <c r="BJ20" i="70"/>
  <c r="BF20" i="70"/>
  <c r="BB20" i="70"/>
  <c r="AX20" i="70"/>
  <c r="AT20" i="70"/>
  <c r="AP20" i="70"/>
  <c r="AL20" i="70"/>
  <c r="AH20" i="70" s="1"/>
  <c r="AG20" i="70" s="1"/>
  <c r="AF20" i="70"/>
  <c r="AD20" i="70"/>
  <c r="O20" i="70"/>
  <c r="J20" i="70"/>
  <c r="K20" i="70" s="1"/>
  <c r="G20" i="70"/>
  <c r="D20" i="70"/>
  <c r="CD19" i="70"/>
  <c r="BZ19" i="70"/>
  <c r="BV19" i="70"/>
  <c r="BR19" i="70"/>
  <c r="BN19" i="70"/>
  <c r="BJ19" i="70"/>
  <c r="BF19" i="70"/>
  <c r="BB19" i="70"/>
  <c r="AX19" i="70"/>
  <c r="AT19" i="70"/>
  <c r="AP19" i="70"/>
  <c r="AL19" i="70"/>
  <c r="AH19" i="70" s="1"/>
  <c r="AG19" i="70" s="1"/>
  <c r="AF19" i="70"/>
  <c r="AD19" i="70"/>
  <c r="O19" i="70"/>
  <c r="J19" i="70"/>
  <c r="K19" i="70" s="1"/>
  <c r="G19" i="70"/>
  <c r="D19" i="70"/>
  <c r="C19" i="70"/>
  <c r="CD18" i="70"/>
  <c r="BZ18" i="70"/>
  <c r="BV18" i="70"/>
  <c r="BR18" i="70"/>
  <c r="BN18" i="70"/>
  <c r="BJ18" i="70"/>
  <c r="BF18" i="70"/>
  <c r="BB18" i="70"/>
  <c r="AH18" i="70" s="1"/>
  <c r="AG18" i="70" s="1"/>
  <c r="AX18" i="70"/>
  <c r="AT18" i="70"/>
  <c r="AP18" i="70"/>
  <c r="AL18" i="70"/>
  <c r="AF18" i="70"/>
  <c r="AD18" i="70"/>
  <c r="O18" i="70"/>
  <c r="J18" i="70"/>
  <c r="K18" i="70" s="1"/>
  <c r="G18" i="70"/>
  <c r="D18" i="70"/>
  <c r="CD17" i="70"/>
  <c r="BZ17" i="70"/>
  <c r="BV17" i="70"/>
  <c r="BR17" i="70"/>
  <c r="BN17" i="70"/>
  <c r="BJ17" i="70"/>
  <c r="BF17" i="70"/>
  <c r="BB17" i="70"/>
  <c r="AX17" i="70"/>
  <c r="AT17" i="70"/>
  <c r="AP17" i="70"/>
  <c r="AL17" i="70"/>
  <c r="AH17" i="70" s="1"/>
  <c r="AG17" i="70" s="1"/>
  <c r="AF17" i="70"/>
  <c r="AD17" i="70"/>
  <c r="O17" i="70"/>
  <c r="J17" i="70"/>
  <c r="K17" i="70" s="1"/>
  <c r="G17" i="70"/>
  <c r="D17" i="70"/>
  <c r="C17" i="70"/>
  <c r="CD16" i="70"/>
  <c r="BZ16" i="70"/>
  <c r="BV16" i="70"/>
  <c r="BR16" i="70"/>
  <c r="BN16" i="70"/>
  <c r="BJ16" i="70"/>
  <c r="BF16" i="70"/>
  <c r="BB16" i="70"/>
  <c r="AX16" i="70"/>
  <c r="AT16" i="70"/>
  <c r="AP16" i="70"/>
  <c r="AL16" i="70"/>
  <c r="AH16" i="70" s="1"/>
  <c r="AG16" i="70" s="1"/>
  <c r="AF16" i="70"/>
  <c r="AD16" i="70"/>
  <c r="O16" i="70"/>
  <c r="J16" i="70"/>
  <c r="K16" i="70" s="1"/>
  <c r="G16" i="70"/>
  <c r="D16" i="70"/>
  <c r="C16" i="70"/>
  <c r="CD15" i="70"/>
  <c r="BZ15" i="70"/>
  <c r="BV15" i="70"/>
  <c r="BV11" i="70" s="1"/>
  <c r="BR15" i="70"/>
  <c r="BN15" i="70"/>
  <c r="BJ15" i="70"/>
  <c r="BF15" i="70"/>
  <c r="BB15" i="70"/>
  <c r="AX15" i="70"/>
  <c r="AT15" i="70"/>
  <c r="AP15" i="70"/>
  <c r="AH15" i="70" s="1"/>
  <c r="AG15" i="70" s="1"/>
  <c r="AL15" i="70"/>
  <c r="AF15" i="70"/>
  <c r="AD15" i="70"/>
  <c r="O15" i="70"/>
  <c r="J15" i="70"/>
  <c r="K15" i="70" s="1"/>
  <c r="G15" i="70"/>
  <c r="D15" i="70"/>
  <c r="CD14" i="70"/>
  <c r="BZ14" i="70"/>
  <c r="BV14" i="70"/>
  <c r="BR14" i="70"/>
  <c r="BN14" i="70"/>
  <c r="BJ14" i="70"/>
  <c r="BF14" i="70"/>
  <c r="BF11" i="70" s="1"/>
  <c r="BB14" i="70"/>
  <c r="AX14" i="70"/>
  <c r="AT14" i="70"/>
  <c r="AT11" i="70" s="1"/>
  <c r="AP14" i="70"/>
  <c r="AL14" i="70"/>
  <c r="AH14" i="70" s="1"/>
  <c r="AG14" i="70" s="1"/>
  <c r="AF14" i="70"/>
  <c r="AD14" i="70"/>
  <c r="O14" i="70"/>
  <c r="J14" i="70"/>
  <c r="K14" i="70" s="1"/>
  <c r="G14" i="70"/>
  <c r="D14" i="70"/>
  <c r="C14" i="70"/>
  <c r="CD13" i="70"/>
  <c r="CD11" i="70" s="1"/>
  <c r="BZ13" i="70"/>
  <c r="BZ11" i="70" s="1"/>
  <c r="BV13" i="70"/>
  <c r="BR13" i="70"/>
  <c r="BN13" i="70"/>
  <c r="BN11" i="70" s="1"/>
  <c r="BJ13" i="70"/>
  <c r="BF13" i="70"/>
  <c r="BB13" i="70"/>
  <c r="AX13" i="70"/>
  <c r="AT13" i="70"/>
  <c r="AP13" i="70"/>
  <c r="AL13" i="70"/>
  <c r="AF13" i="70"/>
  <c r="AD13" i="70"/>
  <c r="O13" i="70"/>
  <c r="J13" i="70"/>
  <c r="K13" i="70" s="1"/>
  <c r="G13" i="70"/>
  <c r="D13" i="70"/>
  <c r="CD12" i="70"/>
  <c r="BZ12" i="70"/>
  <c r="BV12" i="70"/>
  <c r="BR12" i="70"/>
  <c r="BN12" i="70"/>
  <c r="BJ12" i="70"/>
  <c r="BJ11" i="70" s="1"/>
  <c r="BF12" i="70"/>
  <c r="BB12" i="70"/>
  <c r="AX12" i="70"/>
  <c r="AX11" i="70" s="1"/>
  <c r="AT12" i="70"/>
  <c r="AP12" i="70"/>
  <c r="AP11" i="70" s="1"/>
  <c r="AL12" i="70"/>
  <c r="AH12" i="70" s="1"/>
  <c r="AF12" i="70"/>
  <c r="AD12" i="70"/>
  <c r="O12" i="70"/>
  <c r="J12" i="70"/>
  <c r="K12" i="70" s="1"/>
  <c r="G12" i="70"/>
  <c r="D12" i="70"/>
  <c r="BR11" i="70"/>
  <c r="AL11" i="70"/>
  <c r="AD11" i="70"/>
  <c r="D11" i="70"/>
  <c r="AF6" i="70"/>
  <c r="A3" i="70"/>
  <c r="C20" i="70" s="1"/>
  <c r="B6" i="69"/>
  <c r="M51" i="69"/>
  <c r="I51" i="69" s="1"/>
  <c r="CD62" i="69"/>
  <c r="BZ62" i="69"/>
  <c r="BV62" i="69"/>
  <c r="BR62" i="69"/>
  <c r="BN62" i="69"/>
  <c r="BJ62" i="69"/>
  <c r="BF62" i="69"/>
  <c r="BB62" i="69"/>
  <c r="AX62" i="69"/>
  <c r="AT62" i="69"/>
  <c r="AP62" i="69"/>
  <c r="AL62" i="69"/>
  <c r="AH62" i="69"/>
  <c r="AG62" i="69" s="1"/>
  <c r="AF62" i="69"/>
  <c r="AD62" i="69"/>
  <c r="J62" i="69"/>
  <c r="I62" i="69"/>
  <c r="G62" i="69"/>
  <c r="D62" i="69"/>
  <c r="CD61" i="69"/>
  <c r="BZ61" i="69"/>
  <c r="BV61" i="69"/>
  <c r="BR61" i="69"/>
  <c r="BN61" i="69"/>
  <c r="BJ61" i="69"/>
  <c r="BF61" i="69"/>
  <c r="BB61" i="69"/>
  <c r="AX61" i="69"/>
  <c r="AH61" i="69" s="1"/>
  <c r="AG61" i="69" s="1"/>
  <c r="AT61" i="69"/>
  <c r="AP61" i="69"/>
  <c r="AL61" i="69"/>
  <c r="AF61" i="69"/>
  <c r="AD61" i="69"/>
  <c r="J61" i="69"/>
  <c r="I61" i="69"/>
  <c r="G61" i="69"/>
  <c r="D61" i="69"/>
  <c r="CD60" i="69"/>
  <c r="BZ60" i="69"/>
  <c r="AH60" i="69" s="1"/>
  <c r="AG60" i="69" s="1"/>
  <c r="BV60" i="69"/>
  <c r="BR60" i="69"/>
  <c r="BN60" i="69"/>
  <c r="BJ60" i="69"/>
  <c r="BF60" i="69"/>
  <c r="BB60" i="69"/>
  <c r="AX60" i="69"/>
  <c r="AT60" i="69"/>
  <c r="AP60" i="69"/>
  <c r="AL60" i="69"/>
  <c r="AF60" i="69"/>
  <c r="AD60" i="69"/>
  <c r="J60" i="69"/>
  <c r="I60" i="69"/>
  <c r="G60" i="69"/>
  <c r="D60" i="69"/>
  <c r="CD59" i="69"/>
  <c r="BZ59" i="69"/>
  <c r="BV59" i="69"/>
  <c r="BR59" i="69"/>
  <c r="BN59" i="69"/>
  <c r="BJ59" i="69"/>
  <c r="BF59" i="69"/>
  <c r="BB59" i="69"/>
  <c r="AX59" i="69"/>
  <c r="AT59" i="69"/>
  <c r="AP59" i="69"/>
  <c r="AH59" i="69" s="1"/>
  <c r="AG59" i="69" s="1"/>
  <c r="AL59" i="69"/>
  <c r="AF59" i="69"/>
  <c r="AD59" i="69"/>
  <c r="J59" i="69"/>
  <c r="I59" i="69"/>
  <c r="G59" i="69"/>
  <c r="D59" i="69"/>
  <c r="CD58" i="69"/>
  <c r="BZ58" i="69"/>
  <c r="BV58" i="69"/>
  <c r="BR58" i="69"/>
  <c r="BN58" i="69"/>
  <c r="BJ58" i="69"/>
  <c r="BF58" i="69"/>
  <c r="BB58" i="69"/>
  <c r="AX58" i="69"/>
  <c r="AT58" i="69"/>
  <c r="AP58" i="69"/>
  <c r="AL58" i="69"/>
  <c r="AH58" i="69" s="1"/>
  <c r="AG58" i="69" s="1"/>
  <c r="AF58" i="69"/>
  <c r="AD58" i="69"/>
  <c r="J58" i="69"/>
  <c r="I58" i="69"/>
  <c r="G58" i="69"/>
  <c r="D58" i="69"/>
  <c r="CD57" i="69"/>
  <c r="BZ57" i="69"/>
  <c r="BV57" i="69"/>
  <c r="BR57" i="69"/>
  <c r="BN57" i="69"/>
  <c r="BJ57" i="69"/>
  <c r="BF57" i="69"/>
  <c r="AH57" i="69" s="1"/>
  <c r="AG57" i="69" s="1"/>
  <c r="BB57" i="69"/>
  <c r="AX57" i="69"/>
  <c r="AT57" i="69"/>
  <c r="AP57" i="69"/>
  <c r="AL57" i="69"/>
  <c r="AF57" i="69"/>
  <c r="AD57" i="69"/>
  <c r="J57" i="69"/>
  <c r="I57" i="69"/>
  <c r="G57" i="69"/>
  <c r="D57" i="69"/>
  <c r="CD56" i="69"/>
  <c r="BZ56" i="69"/>
  <c r="BV56" i="69"/>
  <c r="BR56" i="69"/>
  <c r="BN56" i="69"/>
  <c r="BJ56" i="69"/>
  <c r="BF56" i="69"/>
  <c r="BB56" i="69"/>
  <c r="AX56" i="69"/>
  <c r="AT56" i="69"/>
  <c r="AP56" i="69"/>
  <c r="AL56" i="69"/>
  <c r="AF56" i="69"/>
  <c r="AD56" i="69"/>
  <c r="J56" i="69"/>
  <c r="I56" i="69"/>
  <c r="G56" i="69"/>
  <c r="D56" i="69"/>
  <c r="CD55" i="69"/>
  <c r="BZ55" i="69"/>
  <c r="BV55" i="69"/>
  <c r="BR55" i="69"/>
  <c r="BN55" i="69"/>
  <c r="BJ55" i="69"/>
  <c r="BF55" i="69"/>
  <c r="BB55" i="69"/>
  <c r="AX55" i="69"/>
  <c r="AT55" i="69"/>
  <c r="AP55" i="69"/>
  <c r="AL55" i="69"/>
  <c r="AF55" i="69"/>
  <c r="AD55" i="69"/>
  <c r="J55" i="69"/>
  <c r="I55" i="69"/>
  <c r="G55" i="69"/>
  <c r="D55" i="69"/>
  <c r="CD54" i="69"/>
  <c r="BZ54" i="69"/>
  <c r="BV54" i="69"/>
  <c r="BR54" i="69"/>
  <c r="BN54" i="69"/>
  <c r="BJ54" i="69"/>
  <c r="BF54" i="69"/>
  <c r="BB54" i="69"/>
  <c r="AX54" i="69"/>
  <c r="AT54" i="69"/>
  <c r="AP54" i="69"/>
  <c r="AL54" i="69"/>
  <c r="AF54" i="69"/>
  <c r="AD54" i="69"/>
  <c r="J54" i="69"/>
  <c r="I54" i="69"/>
  <c r="G54" i="69"/>
  <c r="D54" i="69"/>
  <c r="CD53" i="69"/>
  <c r="AH53" i="69" s="1"/>
  <c r="AG53" i="69" s="1"/>
  <c r="BZ53" i="69"/>
  <c r="BV53" i="69"/>
  <c r="BR53" i="69"/>
  <c r="BN53" i="69"/>
  <c r="BJ53" i="69"/>
  <c r="BF53" i="69"/>
  <c r="BB53" i="69"/>
  <c r="AX53" i="69"/>
  <c r="AT53" i="69"/>
  <c r="AP53" i="69"/>
  <c r="AL53" i="69"/>
  <c r="AF53" i="69"/>
  <c r="AD53" i="69"/>
  <c r="J53" i="69"/>
  <c r="I53" i="69"/>
  <c r="G53" i="69"/>
  <c r="D53" i="69"/>
  <c r="CD52" i="69"/>
  <c r="BZ52" i="69"/>
  <c r="BV52" i="69"/>
  <c r="BR52" i="69"/>
  <c r="BN52" i="69"/>
  <c r="BJ52" i="69"/>
  <c r="BJ50" i="69" s="1"/>
  <c r="BF52" i="69"/>
  <c r="BB52" i="69"/>
  <c r="AX52" i="69"/>
  <c r="AT52" i="69"/>
  <c r="AP52" i="69"/>
  <c r="AL52" i="69"/>
  <c r="AF52" i="69"/>
  <c r="AD52" i="69"/>
  <c r="J52" i="69"/>
  <c r="I52" i="69"/>
  <c r="G52" i="69"/>
  <c r="D52" i="69"/>
  <c r="CD51" i="69"/>
  <c r="BZ51" i="69"/>
  <c r="BV51" i="69"/>
  <c r="BR51" i="69"/>
  <c r="BN51" i="69"/>
  <c r="BJ51" i="69"/>
  <c r="BF51" i="69"/>
  <c r="BF50" i="69" s="1"/>
  <c r="BB51" i="69"/>
  <c r="AX51" i="69"/>
  <c r="AT51" i="69"/>
  <c r="AP51" i="69"/>
  <c r="AL51" i="69"/>
  <c r="AF51" i="69"/>
  <c r="AD51" i="69"/>
  <c r="J51" i="69"/>
  <c r="G51" i="69"/>
  <c r="D51" i="69"/>
  <c r="BZ50" i="69"/>
  <c r="AL50" i="69"/>
  <c r="AD50" i="69"/>
  <c r="D50" i="69"/>
  <c r="CD49" i="69"/>
  <c r="BZ49" i="69"/>
  <c r="BV49" i="69"/>
  <c r="BR49" i="69"/>
  <c r="BN49" i="69"/>
  <c r="BJ49" i="69"/>
  <c r="BF49" i="69"/>
  <c r="BB49" i="69"/>
  <c r="AX49" i="69"/>
  <c r="AT49" i="69"/>
  <c r="AP49" i="69"/>
  <c r="AH49" i="69" s="1"/>
  <c r="AG49" i="69" s="1"/>
  <c r="AL49" i="69"/>
  <c r="AF49" i="69"/>
  <c r="AD49" i="69"/>
  <c r="J49" i="69"/>
  <c r="K49" i="69" s="1"/>
  <c r="G49" i="69"/>
  <c r="D49" i="69"/>
  <c r="CD48" i="69"/>
  <c r="BZ48" i="69"/>
  <c r="BV48" i="69"/>
  <c r="BR48" i="69"/>
  <c r="BN48" i="69"/>
  <c r="AH48" i="69" s="1"/>
  <c r="AG48" i="69" s="1"/>
  <c r="BJ48" i="69"/>
  <c r="BF48" i="69"/>
  <c r="BB48" i="69"/>
  <c r="AX48" i="69"/>
  <c r="AT48" i="69"/>
  <c r="AP48" i="69"/>
  <c r="AL48" i="69"/>
  <c r="AF48" i="69"/>
  <c r="AD48" i="69"/>
  <c r="J48" i="69"/>
  <c r="K48" i="69" s="1"/>
  <c r="G48" i="69"/>
  <c r="D48" i="69"/>
  <c r="CD47" i="69"/>
  <c r="BZ47" i="69"/>
  <c r="BV47" i="69"/>
  <c r="BR47" i="69"/>
  <c r="BN47" i="69"/>
  <c r="BJ47" i="69"/>
  <c r="BF47" i="69"/>
  <c r="BB47" i="69"/>
  <c r="AX47" i="69"/>
  <c r="AT47" i="69"/>
  <c r="AP47" i="69"/>
  <c r="AL47" i="69"/>
  <c r="AH47" i="69"/>
  <c r="AF47" i="69"/>
  <c r="AG47" i="69" s="1"/>
  <c r="AD47" i="69"/>
  <c r="J47" i="69"/>
  <c r="K47" i="69" s="1"/>
  <c r="G47" i="69"/>
  <c r="D47" i="69"/>
  <c r="CD46" i="69"/>
  <c r="BZ46" i="69"/>
  <c r="BV46" i="69"/>
  <c r="BR46" i="69"/>
  <c r="BN46" i="69"/>
  <c r="BJ46" i="69"/>
  <c r="BF46" i="69"/>
  <c r="BB46" i="69"/>
  <c r="AX46" i="69"/>
  <c r="AH46" i="69" s="1"/>
  <c r="AT46" i="69"/>
  <c r="AP46" i="69"/>
  <c r="AL46" i="69"/>
  <c r="AG46" i="69"/>
  <c r="AF46" i="69"/>
  <c r="AD46" i="69"/>
  <c r="J46" i="69"/>
  <c r="K46" i="69" s="1"/>
  <c r="G46" i="69"/>
  <c r="D46" i="69"/>
  <c r="CD45" i="69"/>
  <c r="BZ45" i="69"/>
  <c r="BV45" i="69"/>
  <c r="BR45" i="69"/>
  <c r="BN45" i="69"/>
  <c r="BJ45" i="69"/>
  <c r="BF45" i="69"/>
  <c r="BB45" i="69"/>
  <c r="AX45" i="69"/>
  <c r="AT45" i="69"/>
  <c r="AP45" i="69"/>
  <c r="AH45" i="69" s="1"/>
  <c r="AG45" i="69" s="1"/>
  <c r="AL45" i="69"/>
  <c r="AF45" i="69"/>
  <c r="AD45" i="69"/>
  <c r="J45" i="69"/>
  <c r="K45" i="69" s="1"/>
  <c r="G45" i="69"/>
  <c r="D45" i="69"/>
  <c r="CD44" i="69"/>
  <c r="BZ44" i="69"/>
  <c r="BV44" i="69"/>
  <c r="BR44" i="69"/>
  <c r="BN44" i="69"/>
  <c r="BJ44" i="69"/>
  <c r="BF44" i="69"/>
  <c r="BB44" i="69"/>
  <c r="AX44" i="69"/>
  <c r="AT44" i="69"/>
  <c r="AP44" i="69"/>
  <c r="AL44" i="69"/>
  <c r="AF44" i="69"/>
  <c r="AD44" i="69"/>
  <c r="J44" i="69"/>
  <c r="K44" i="69" s="1"/>
  <c r="G44" i="69"/>
  <c r="D44" i="69"/>
  <c r="CD43" i="69"/>
  <c r="BZ43" i="69"/>
  <c r="BV43" i="69"/>
  <c r="BR43" i="69"/>
  <c r="BN43" i="69"/>
  <c r="BJ43" i="69"/>
  <c r="BF43" i="69"/>
  <c r="BB43" i="69"/>
  <c r="AX43" i="69"/>
  <c r="AT43" i="69"/>
  <c r="AP43" i="69"/>
  <c r="AL43" i="69"/>
  <c r="AF43" i="69"/>
  <c r="AD43" i="69"/>
  <c r="J43" i="69"/>
  <c r="K43" i="69" s="1"/>
  <c r="G43" i="69"/>
  <c r="D43" i="69"/>
  <c r="CD42" i="69"/>
  <c r="BZ42" i="69"/>
  <c r="BV42" i="69"/>
  <c r="BR42" i="69"/>
  <c r="BN42" i="69"/>
  <c r="BJ42" i="69"/>
  <c r="BF42" i="69"/>
  <c r="BB42" i="69"/>
  <c r="AX42" i="69"/>
  <c r="AT42" i="69"/>
  <c r="AP42" i="69"/>
  <c r="AH42" i="69" s="1"/>
  <c r="AG42" i="69" s="1"/>
  <c r="AL42" i="69"/>
  <c r="AF42" i="69"/>
  <c r="AD42" i="69"/>
  <c r="J42" i="69"/>
  <c r="K42" i="69" s="1"/>
  <c r="G42" i="69"/>
  <c r="D42" i="69"/>
  <c r="CD41" i="69"/>
  <c r="BZ41" i="69"/>
  <c r="BV41" i="69"/>
  <c r="BR41" i="69"/>
  <c r="BN41" i="69"/>
  <c r="BJ41" i="69"/>
  <c r="BJ37" i="69" s="1"/>
  <c r="BF41" i="69"/>
  <c r="BB41" i="69"/>
  <c r="AX41" i="69"/>
  <c r="AT41" i="69"/>
  <c r="AP41" i="69"/>
  <c r="AL41" i="69"/>
  <c r="AF41" i="69"/>
  <c r="AD41" i="69"/>
  <c r="J41" i="69"/>
  <c r="K41" i="69" s="1"/>
  <c r="G41" i="69"/>
  <c r="D41" i="69"/>
  <c r="CD40" i="69"/>
  <c r="CD37" i="69" s="1"/>
  <c r="BZ40" i="69"/>
  <c r="BZ37" i="69" s="1"/>
  <c r="BV40" i="69"/>
  <c r="BR40" i="69"/>
  <c r="BN40" i="69"/>
  <c r="BJ40" i="69"/>
  <c r="BF40" i="69"/>
  <c r="BB40" i="69"/>
  <c r="AX40" i="69"/>
  <c r="AT40" i="69"/>
  <c r="AP40" i="69"/>
  <c r="AL40" i="69"/>
  <c r="AF40" i="69"/>
  <c r="AD40" i="69"/>
  <c r="J40" i="69"/>
  <c r="K40" i="69" s="1"/>
  <c r="G40" i="69"/>
  <c r="D40" i="69"/>
  <c r="CD39" i="69"/>
  <c r="BZ39" i="69"/>
  <c r="BV39" i="69"/>
  <c r="BR39" i="69"/>
  <c r="BN39" i="69"/>
  <c r="BJ39" i="69"/>
  <c r="BF39" i="69"/>
  <c r="BB39" i="69"/>
  <c r="AX39" i="69"/>
  <c r="AT39" i="69"/>
  <c r="AP39" i="69"/>
  <c r="AL39" i="69"/>
  <c r="AH39" i="69"/>
  <c r="AF39" i="69"/>
  <c r="AG39" i="69" s="1"/>
  <c r="AD39" i="69"/>
  <c r="J39" i="69"/>
  <c r="K39" i="69" s="1"/>
  <c r="G39" i="69"/>
  <c r="D39" i="69"/>
  <c r="CD38" i="69"/>
  <c r="BZ38" i="69"/>
  <c r="BV38" i="69"/>
  <c r="BR38" i="69"/>
  <c r="BN38" i="69"/>
  <c r="BJ38" i="69"/>
  <c r="BF38" i="69"/>
  <c r="BF37" i="69" s="1"/>
  <c r="BB38" i="69"/>
  <c r="AX38" i="69"/>
  <c r="AT38" i="69"/>
  <c r="AP38" i="69"/>
  <c r="AL38" i="69"/>
  <c r="AF38" i="69"/>
  <c r="AD38" i="69"/>
  <c r="J38" i="69"/>
  <c r="K38" i="69" s="1"/>
  <c r="G38" i="69"/>
  <c r="D38" i="69"/>
  <c r="AD37" i="69"/>
  <c r="D37" i="69"/>
  <c r="CD36" i="69"/>
  <c r="AH36" i="69" s="1"/>
  <c r="AG36" i="69" s="1"/>
  <c r="BZ36" i="69"/>
  <c r="BV36" i="69"/>
  <c r="BR36" i="69"/>
  <c r="BN36" i="69"/>
  <c r="BJ36" i="69"/>
  <c r="BF36" i="69"/>
  <c r="BB36" i="69"/>
  <c r="AX36" i="69"/>
  <c r="AT36" i="69"/>
  <c r="AP36" i="69"/>
  <c r="AL36" i="69"/>
  <c r="AF36" i="69"/>
  <c r="AD36" i="69"/>
  <c r="J36" i="69"/>
  <c r="K36" i="69" s="1"/>
  <c r="G36" i="69"/>
  <c r="D36" i="69"/>
  <c r="CD35" i="69"/>
  <c r="BZ35" i="69"/>
  <c r="BV35" i="69"/>
  <c r="BR35" i="69"/>
  <c r="BN35" i="69"/>
  <c r="BJ35" i="69"/>
  <c r="BF35" i="69"/>
  <c r="BB35" i="69"/>
  <c r="AX35" i="69"/>
  <c r="AT35" i="69"/>
  <c r="AP35" i="69"/>
  <c r="AL35" i="69"/>
  <c r="AH35" i="69"/>
  <c r="AG35" i="69" s="1"/>
  <c r="AF35" i="69"/>
  <c r="AD35" i="69"/>
  <c r="J35" i="69"/>
  <c r="K35" i="69" s="1"/>
  <c r="G35" i="69"/>
  <c r="D35" i="69"/>
  <c r="CD34" i="69"/>
  <c r="BZ34" i="69"/>
  <c r="BV34" i="69"/>
  <c r="BR34" i="69"/>
  <c r="BN34" i="69"/>
  <c r="BJ34" i="69"/>
  <c r="BF34" i="69"/>
  <c r="BB34" i="69"/>
  <c r="AX34" i="69"/>
  <c r="AT34" i="69"/>
  <c r="AP34" i="69"/>
  <c r="AL34" i="69"/>
  <c r="AF34" i="69"/>
  <c r="AD34" i="69"/>
  <c r="J34" i="69"/>
  <c r="K34" i="69" s="1"/>
  <c r="G34" i="69"/>
  <c r="D34" i="69"/>
  <c r="CD33" i="69"/>
  <c r="AH33" i="69" s="1"/>
  <c r="AG33" i="69" s="1"/>
  <c r="BZ33" i="69"/>
  <c r="BV33" i="69"/>
  <c r="BR33" i="69"/>
  <c r="BN33" i="69"/>
  <c r="BJ33" i="69"/>
  <c r="BF33" i="69"/>
  <c r="BB33" i="69"/>
  <c r="AX33" i="69"/>
  <c r="AT33" i="69"/>
  <c r="AP33" i="69"/>
  <c r="AL33" i="69"/>
  <c r="AF33" i="69"/>
  <c r="AD33" i="69"/>
  <c r="J33" i="69"/>
  <c r="K33" i="69" s="1"/>
  <c r="G33" i="69"/>
  <c r="D33" i="69"/>
  <c r="CD32" i="69"/>
  <c r="BZ32" i="69"/>
  <c r="BV32" i="69"/>
  <c r="BR32" i="69"/>
  <c r="BN32" i="69"/>
  <c r="BJ32" i="69"/>
  <c r="BF32" i="69"/>
  <c r="BB32" i="69"/>
  <c r="AX32" i="69"/>
  <c r="AT32" i="69"/>
  <c r="AP32" i="69"/>
  <c r="AH32" i="69" s="1"/>
  <c r="AG32" i="69" s="1"/>
  <c r="AL32" i="69"/>
  <c r="AF32" i="69"/>
  <c r="AD32" i="69"/>
  <c r="J32" i="69"/>
  <c r="K32" i="69" s="1"/>
  <c r="G32" i="69"/>
  <c r="D32" i="69"/>
  <c r="CD31" i="69"/>
  <c r="BZ31" i="69"/>
  <c r="BV31" i="69"/>
  <c r="BR31" i="69"/>
  <c r="BN31" i="69"/>
  <c r="BJ31" i="69"/>
  <c r="BF31" i="69"/>
  <c r="BB31" i="69"/>
  <c r="AX31" i="69"/>
  <c r="AT31" i="69"/>
  <c r="AP31" i="69"/>
  <c r="AL31" i="69"/>
  <c r="AH31" i="69" s="1"/>
  <c r="AG31" i="69" s="1"/>
  <c r="AF31" i="69"/>
  <c r="AD31" i="69"/>
  <c r="J31" i="69"/>
  <c r="K31" i="69" s="1"/>
  <c r="G31" i="69"/>
  <c r="D31" i="69"/>
  <c r="CD30" i="69"/>
  <c r="BZ30" i="69"/>
  <c r="BV30" i="69"/>
  <c r="BR30" i="69"/>
  <c r="BN30" i="69"/>
  <c r="BJ30" i="69"/>
  <c r="BF30" i="69"/>
  <c r="AH30" i="69" s="1"/>
  <c r="AG30" i="69" s="1"/>
  <c r="BB30" i="69"/>
  <c r="AX30" i="69"/>
  <c r="AT30" i="69"/>
  <c r="AP30" i="69"/>
  <c r="AL30" i="69"/>
  <c r="AF30" i="69"/>
  <c r="AD30" i="69"/>
  <c r="J30" i="69"/>
  <c r="K30" i="69" s="1"/>
  <c r="G30" i="69"/>
  <c r="D30" i="69"/>
  <c r="CD29" i="69"/>
  <c r="BZ29" i="69"/>
  <c r="BV29" i="69"/>
  <c r="BR29" i="69"/>
  <c r="BN29" i="69"/>
  <c r="BJ29" i="69"/>
  <c r="BF29" i="69"/>
  <c r="BB29" i="69"/>
  <c r="AX29" i="69"/>
  <c r="AT29" i="69"/>
  <c r="AP29" i="69"/>
  <c r="AL29" i="69"/>
  <c r="AF29" i="69"/>
  <c r="AD29" i="69"/>
  <c r="J29" i="69"/>
  <c r="K29" i="69" s="1"/>
  <c r="G29" i="69"/>
  <c r="D29" i="69"/>
  <c r="CD28" i="69"/>
  <c r="BZ28" i="69"/>
  <c r="BV28" i="69"/>
  <c r="BR28" i="69"/>
  <c r="BN28" i="69"/>
  <c r="BJ28" i="69"/>
  <c r="BF28" i="69"/>
  <c r="BB28" i="69"/>
  <c r="AX28" i="69"/>
  <c r="AT28" i="69"/>
  <c r="AP28" i="69"/>
  <c r="AL28" i="69"/>
  <c r="AH28" i="69"/>
  <c r="AG28" i="69" s="1"/>
  <c r="AF28" i="69"/>
  <c r="AD28" i="69"/>
  <c r="J28" i="69"/>
  <c r="K28" i="69" s="1"/>
  <c r="G28" i="69"/>
  <c r="D28" i="69"/>
  <c r="CD27" i="69"/>
  <c r="BZ27" i="69"/>
  <c r="BV27" i="69"/>
  <c r="BR27" i="69"/>
  <c r="BN27" i="69"/>
  <c r="BJ27" i="69"/>
  <c r="BF27" i="69"/>
  <c r="BB27" i="69"/>
  <c r="BB24" i="69" s="1"/>
  <c r="AX27" i="69"/>
  <c r="AH27" i="69" s="1"/>
  <c r="AG27" i="69" s="1"/>
  <c r="AT27" i="69"/>
  <c r="AP27" i="69"/>
  <c r="AL27" i="69"/>
  <c r="AF27" i="69"/>
  <c r="AD27" i="69"/>
  <c r="J27" i="69"/>
  <c r="K27" i="69" s="1"/>
  <c r="G27" i="69"/>
  <c r="D27" i="69"/>
  <c r="CD26" i="69"/>
  <c r="BZ26" i="69"/>
  <c r="BZ24" i="69" s="1"/>
  <c r="BV26" i="69"/>
  <c r="BV24" i="69" s="1"/>
  <c r="BR26" i="69"/>
  <c r="BR24" i="69" s="1"/>
  <c r="BN26" i="69"/>
  <c r="BN24" i="69" s="1"/>
  <c r="BJ26" i="69"/>
  <c r="BF26" i="69"/>
  <c r="BB26" i="69"/>
  <c r="AX26" i="69"/>
  <c r="AT26" i="69"/>
  <c r="AP26" i="69"/>
  <c r="AL26" i="69"/>
  <c r="AF26" i="69"/>
  <c r="AD26" i="69"/>
  <c r="J26" i="69"/>
  <c r="K26" i="69" s="1"/>
  <c r="G26" i="69"/>
  <c r="D26" i="69"/>
  <c r="CD25" i="69"/>
  <c r="BZ25" i="69"/>
  <c r="BV25" i="69"/>
  <c r="BR25" i="69"/>
  <c r="BN25" i="69"/>
  <c r="BJ25" i="69"/>
  <c r="BF25" i="69"/>
  <c r="BB25" i="69"/>
  <c r="AX25" i="69"/>
  <c r="AT25" i="69"/>
  <c r="AP25" i="69"/>
  <c r="AL25" i="69"/>
  <c r="AH25" i="69"/>
  <c r="AF25" i="69"/>
  <c r="AG25" i="69" s="1"/>
  <c r="AD25" i="69"/>
  <c r="J25" i="69"/>
  <c r="I25" i="69"/>
  <c r="G25" i="69"/>
  <c r="D25" i="69"/>
  <c r="AD24" i="69"/>
  <c r="D24" i="69"/>
  <c r="CD23" i="69"/>
  <c r="BZ23" i="69"/>
  <c r="BV23" i="69"/>
  <c r="BR23" i="69"/>
  <c r="BN23" i="69"/>
  <c r="BJ23" i="69"/>
  <c r="BF23" i="69"/>
  <c r="BB23" i="69"/>
  <c r="AX23" i="69"/>
  <c r="AT23" i="69"/>
  <c r="AP23" i="69"/>
  <c r="AL23" i="69"/>
  <c r="AF23" i="69"/>
  <c r="AD23" i="69"/>
  <c r="O23" i="69"/>
  <c r="J23" i="69"/>
  <c r="K23" i="69" s="1"/>
  <c r="G23" i="69"/>
  <c r="D23" i="69"/>
  <c r="CD22" i="69"/>
  <c r="BZ22" i="69"/>
  <c r="BV22" i="69"/>
  <c r="BR22" i="69"/>
  <c r="BN22" i="69"/>
  <c r="BJ22" i="69"/>
  <c r="BF22" i="69"/>
  <c r="BB22" i="69"/>
  <c r="AX22" i="69"/>
  <c r="AT22" i="69"/>
  <c r="AP22" i="69"/>
  <c r="AL22" i="69"/>
  <c r="AH22" i="69"/>
  <c r="AF22" i="69"/>
  <c r="AG22" i="69" s="1"/>
  <c r="AD22" i="69"/>
  <c r="O22" i="69"/>
  <c r="J22" i="69"/>
  <c r="K22" i="69" s="1"/>
  <c r="G22" i="69"/>
  <c r="D22" i="69"/>
  <c r="CD21" i="69"/>
  <c r="BZ21" i="69"/>
  <c r="BV21" i="69"/>
  <c r="BR21" i="69"/>
  <c r="BN21" i="69"/>
  <c r="BJ21" i="69"/>
  <c r="BF21" i="69"/>
  <c r="BB21" i="69"/>
  <c r="AX21" i="69"/>
  <c r="AT21" i="69"/>
  <c r="AP21" i="69"/>
  <c r="AL21" i="69"/>
  <c r="AF21" i="69"/>
  <c r="AD21" i="69"/>
  <c r="O21" i="69"/>
  <c r="J21" i="69"/>
  <c r="K21" i="69" s="1"/>
  <c r="G21" i="69"/>
  <c r="D21" i="69"/>
  <c r="CD20" i="69"/>
  <c r="BZ20" i="69"/>
  <c r="BV20" i="69"/>
  <c r="BR20" i="69"/>
  <c r="BN20" i="69"/>
  <c r="AH20" i="69" s="1"/>
  <c r="AG20" i="69" s="1"/>
  <c r="BJ20" i="69"/>
  <c r="BF20" i="69"/>
  <c r="BB20" i="69"/>
  <c r="AX20" i="69"/>
  <c r="AT20" i="69"/>
  <c r="AP20" i="69"/>
  <c r="AL20" i="69"/>
  <c r="AF20" i="69"/>
  <c r="AD20" i="69"/>
  <c r="O20" i="69"/>
  <c r="J20" i="69"/>
  <c r="K20" i="69" s="1"/>
  <c r="G20" i="69"/>
  <c r="D20" i="69"/>
  <c r="CD19" i="69"/>
  <c r="BZ19" i="69"/>
  <c r="BV19" i="69"/>
  <c r="BR19" i="69"/>
  <c r="BN19" i="69"/>
  <c r="BJ19" i="69"/>
  <c r="BF19" i="69"/>
  <c r="BB19" i="69"/>
  <c r="AX19" i="69"/>
  <c r="AT19" i="69"/>
  <c r="AP19" i="69"/>
  <c r="AL19" i="69"/>
  <c r="AH19" i="69" s="1"/>
  <c r="AG19" i="69" s="1"/>
  <c r="AF19" i="69"/>
  <c r="AD19" i="69"/>
  <c r="O19" i="69"/>
  <c r="J19" i="69"/>
  <c r="K19" i="69" s="1"/>
  <c r="G19" i="69"/>
  <c r="D19" i="69"/>
  <c r="CD18" i="69"/>
  <c r="BZ18" i="69"/>
  <c r="BV18" i="69"/>
  <c r="BR18" i="69"/>
  <c r="BN18" i="69"/>
  <c r="BJ18" i="69"/>
  <c r="BF18" i="69"/>
  <c r="BB18" i="69"/>
  <c r="AX18" i="69"/>
  <c r="AT18" i="69"/>
  <c r="AP18" i="69"/>
  <c r="AL18" i="69"/>
  <c r="AF18" i="69"/>
  <c r="AD18" i="69"/>
  <c r="O18" i="69"/>
  <c r="J18" i="69"/>
  <c r="K18" i="69" s="1"/>
  <c r="G18" i="69"/>
  <c r="D18" i="69"/>
  <c r="CD17" i="69"/>
  <c r="BZ17" i="69"/>
  <c r="BV17" i="69"/>
  <c r="BR17" i="69"/>
  <c r="BN17" i="69"/>
  <c r="BJ17" i="69"/>
  <c r="BF17" i="69"/>
  <c r="BB17" i="69"/>
  <c r="AX17" i="69"/>
  <c r="AT17" i="69"/>
  <c r="AP17" i="69"/>
  <c r="AL17" i="69"/>
  <c r="AH17" i="69"/>
  <c r="AG17" i="69"/>
  <c r="AF17" i="69"/>
  <c r="AD17" i="69"/>
  <c r="O17" i="69"/>
  <c r="J17" i="69"/>
  <c r="K17" i="69" s="1"/>
  <c r="G17" i="69"/>
  <c r="D17" i="69"/>
  <c r="CD16" i="69"/>
  <c r="BZ16" i="69"/>
  <c r="BV16" i="69"/>
  <c r="BR16" i="69"/>
  <c r="BN16" i="69"/>
  <c r="BJ16" i="69"/>
  <c r="BF16" i="69"/>
  <c r="BB16" i="69"/>
  <c r="BB11" i="69" s="1"/>
  <c r="AX16" i="69"/>
  <c r="AH16" i="69" s="1"/>
  <c r="AG16" i="69" s="1"/>
  <c r="AT16" i="69"/>
  <c r="AP16" i="69"/>
  <c r="AL16" i="69"/>
  <c r="AF16" i="69"/>
  <c r="AD16" i="69"/>
  <c r="O16" i="69"/>
  <c r="J16" i="69"/>
  <c r="K16" i="69" s="1"/>
  <c r="G16" i="69"/>
  <c r="D16" i="69"/>
  <c r="CD15" i="69"/>
  <c r="BZ15" i="69"/>
  <c r="BV15" i="69"/>
  <c r="BR15" i="69"/>
  <c r="BN15" i="69"/>
  <c r="BJ15" i="69"/>
  <c r="BF15" i="69"/>
  <c r="BB15" i="69"/>
  <c r="AX15" i="69"/>
  <c r="AT15" i="69"/>
  <c r="AP15" i="69"/>
  <c r="AL15" i="69"/>
  <c r="AF15" i="69"/>
  <c r="AD15" i="69"/>
  <c r="O15" i="69"/>
  <c r="J15" i="69"/>
  <c r="K15" i="69" s="1"/>
  <c r="G15" i="69"/>
  <c r="D15" i="69"/>
  <c r="CD14" i="69"/>
  <c r="BZ14" i="69"/>
  <c r="BV14" i="69"/>
  <c r="BR14" i="69"/>
  <c r="BN14" i="69"/>
  <c r="BJ14" i="69"/>
  <c r="BF14" i="69"/>
  <c r="BB14" i="69"/>
  <c r="AX14" i="69"/>
  <c r="AT14" i="69"/>
  <c r="AP14" i="69"/>
  <c r="AH14" i="69" s="1"/>
  <c r="AG14" i="69" s="1"/>
  <c r="AL14" i="69"/>
  <c r="AF14" i="69"/>
  <c r="AD14" i="69"/>
  <c r="O14" i="69"/>
  <c r="J14" i="69"/>
  <c r="K14" i="69" s="1"/>
  <c r="G14" i="69"/>
  <c r="D14" i="69"/>
  <c r="CD13" i="69"/>
  <c r="BZ13" i="69"/>
  <c r="BV13" i="69"/>
  <c r="BR13" i="69"/>
  <c r="BN13" i="69"/>
  <c r="BJ13" i="69"/>
  <c r="BF13" i="69"/>
  <c r="BB13" i="69"/>
  <c r="AX13" i="69"/>
  <c r="AT13" i="69"/>
  <c r="AP13" i="69"/>
  <c r="AL13" i="69"/>
  <c r="AH13" i="69" s="1"/>
  <c r="AG13" i="69" s="1"/>
  <c r="AF13" i="69"/>
  <c r="AD13" i="69"/>
  <c r="O13" i="69"/>
  <c r="J13" i="69"/>
  <c r="K13" i="69" s="1"/>
  <c r="G13" i="69"/>
  <c r="D13" i="69"/>
  <c r="CD12" i="69"/>
  <c r="BZ12" i="69"/>
  <c r="BV12" i="69"/>
  <c r="BR12" i="69"/>
  <c r="BN12" i="69"/>
  <c r="BN11" i="69" s="1"/>
  <c r="BJ12" i="69"/>
  <c r="BJ11" i="69" s="1"/>
  <c r="BF12" i="69"/>
  <c r="BB12" i="69"/>
  <c r="AX12" i="69"/>
  <c r="AT12" i="69"/>
  <c r="AP12" i="69"/>
  <c r="AL12" i="69"/>
  <c r="AF12" i="69"/>
  <c r="AD12" i="69"/>
  <c r="O12" i="69"/>
  <c r="J12" i="69"/>
  <c r="K12" i="69" s="1"/>
  <c r="G12" i="69"/>
  <c r="D12" i="69"/>
  <c r="CD11" i="69"/>
  <c r="AT11" i="69"/>
  <c r="AP11" i="69"/>
  <c r="AD11" i="69"/>
  <c r="D11" i="69"/>
  <c r="AF6" i="69"/>
  <c r="A3" i="69"/>
  <c r="C56" i="69" s="1"/>
  <c r="M57" i="68"/>
  <c r="M56" i="68"/>
  <c r="M55" i="68"/>
  <c r="M54" i="68"/>
  <c r="W55" i="68"/>
  <c r="V55" i="68"/>
  <c r="U55" i="68"/>
  <c r="T55" i="68"/>
  <c r="S55" i="68"/>
  <c r="R55" i="68"/>
  <c r="Q55" i="68"/>
  <c r="P55" i="68"/>
  <c r="O55" i="68"/>
  <c r="W56" i="68"/>
  <c r="V56" i="68"/>
  <c r="U56" i="68"/>
  <c r="T56" i="68"/>
  <c r="S56" i="68"/>
  <c r="R56" i="68"/>
  <c r="Q56" i="68"/>
  <c r="P56" i="68"/>
  <c r="O56" i="68"/>
  <c r="W54" i="68"/>
  <c r="V54" i="68"/>
  <c r="U54" i="68"/>
  <c r="T54" i="68"/>
  <c r="S54" i="68"/>
  <c r="R54" i="68"/>
  <c r="Q54" i="68"/>
  <c r="P54" i="68"/>
  <c r="O54" i="68"/>
  <c r="B6" i="68"/>
  <c r="D58" i="68" s="1"/>
  <c r="W52" i="68"/>
  <c r="V52" i="68"/>
  <c r="U52" i="68"/>
  <c r="M52" i="68" s="1"/>
  <c r="I52" i="68" s="1"/>
  <c r="T52" i="68"/>
  <c r="S52" i="68"/>
  <c r="R52" i="68"/>
  <c r="Q52" i="68"/>
  <c r="P52" i="68"/>
  <c r="O52" i="68"/>
  <c r="M51" i="68"/>
  <c r="I51" i="68" s="1"/>
  <c r="W53" i="68"/>
  <c r="V53" i="68"/>
  <c r="U53" i="68"/>
  <c r="T53" i="68"/>
  <c r="S53" i="68"/>
  <c r="R53" i="68"/>
  <c r="Q53" i="68"/>
  <c r="P53" i="68"/>
  <c r="O53" i="68"/>
  <c r="CD62" i="68"/>
  <c r="BZ62" i="68"/>
  <c r="BV62" i="68"/>
  <c r="BR62" i="68"/>
  <c r="BN62" i="68"/>
  <c r="BJ62" i="68"/>
  <c r="BF62" i="68"/>
  <c r="BB62" i="68"/>
  <c r="AX62" i="68"/>
  <c r="AT62" i="68"/>
  <c r="AP62" i="68"/>
  <c r="AL62" i="68"/>
  <c r="AF62" i="68"/>
  <c r="AD62" i="68"/>
  <c r="J62" i="68"/>
  <c r="G62" i="68"/>
  <c r="CD61" i="68"/>
  <c r="BZ61" i="68"/>
  <c r="BV61" i="68"/>
  <c r="BR61" i="68"/>
  <c r="BN61" i="68"/>
  <c r="BJ61" i="68"/>
  <c r="BF61" i="68"/>
  <c r="BB61" i="68"/>
  <c r="AX61" i="68"/>
  <c r="AT61" i="68"/>
  <c r="AP61" i="68"/>
  <c r="AL61" i="68"/>
  <c r="AH61" i="68" s="1"/>
  <c r="AG61" i="68" s="1"/>
  <c r="AF61" i="68"/>
  <c r="AD61" i="68"/>
  <c r="J61" i="68"/>
  <c r="G61" i="68"/>
  <c r="CD60" i="68"/>
  <c r="BZ60" i="68"/>
  <c r="BV60" i="68"/>
  <c r="BR60" i="68"/>
  <c r="BN60" i="68"/>
  <c r="BJ60" i="68"/>
  <c r="BF60" i="68"/>
  <c r="BB60" i="68"/>
  <c r="AX60" i="68"/>
  <c r="AT60" i="68"/>
  <c r="AP60" i="68"/>
  <c r="AL60" i="68"/>
  <c r="AH60" i="68" s="1"/>
  <c r="AG60" i="68" s="1"/>
  <c r="AF60" i="68"/>
  <c r="AD60" i="68"/>
  <c r="J60" i="68"/>
  <c r="G60" i="68"/>
  <c r="CD59" i="68"/>
  <c r="BZ59" i="68"/>
  <c r="BV59" i="68"/>
  <c r="BR59" i="68"/>
  <c r="BN59" i="68"/>
  <c r="BJ59" i="68"/>
  <c r="BF59" i="68"/>
  <c r="BB59" i="68"/>
  <c r="AX59" i="68"/>
  <c r="AT59" i="68"/>
  <c r="AP59" i="68"/>
  <c r="AL59" i="68"/>
  <c r="AF59" i="68"/>
  <c r="AD59" i="68"/>
  <c r="J59" i="68"/>
  <c r="G59" i="68"/>
  <c r="D59" i="68"/>
  <c r="C59" i="68"/>
  <c r="CD58" i="68"/>
  <c r="AH58" i="68" s="1"/>
  <c r="AG58" i="68" s="1"/>
  <c r="BZ58" i="68"/>
  <c r="BV58" i="68"/>
  <c r="BR58" i="68"/>
  <c r="BN58" i="68"/>
  <c r="BJ58" i="68"/>
  <c r="BF58" i="68"/>
  <c r="BB58" i="68"/>
  <c r="AX58" i="68"/>
  <c r="AT58" i="68"/>
  <c r="AP58" i="68"/>
  <c r="AL58" i="68"/>
  <c r="AF58" i="68"/>
  <c r="AD58" i="68"/>
  <c r="J58" i="68"/>
  <c r="I58" i="68"/>
  <c r="G58" i="68"/>
  <c r="CD57" i="68"/>
  <c r="BZ57" i="68"/>
  <c r="BV57" i="68"/>
  <c r="BR57" i="68"/>
  <c r="BN57" i="68"/>
  <c r="BJ57" i="68"/>
  <c r="BF57" i="68"/>
  <c r="BB57" i="68"/>
  <c r="AX57" i="68"/>
  <c r="AT57" i="68"/>
  <c r="AP57" i="68"/>
  <c r="AL57" i="68"/>
  <c r="AF57" i="68"/>
  <c r="AD57" i="68"/>
  <c r="J57" i="68"/>
  <c r="G57" i="68"/>
  <c r="CD56" i="68"/>
  <c r="BZ56" i="68"/>
  <c r="BV56" i="68"/>
  <c r="BR56" i="68"/>
  <c r="BN56" i="68"/>
  <c r="BJ56" i="68"/>
  <c r="BF56" i="68"/>
  <c r="BB56" i="68"/>
  <c r="AX56" i="68"/>
  <c r="AT56" i="68"/>
  <c r="AP56" i="68"/>
  <c r="AL56" i="68"/>
  <c r="AF56" i="68"/>
  <c r="AD56" i="68"/>
  <c r="J56" i="68"/>
  <c r="G56" i="68"/>
  <c r="CD55" i="68"/>
  <c r="BZ55" i="68"/>
  <c r="BV55" i="68"/>
  <c r="BR55" i="68"/>
  <c r="BN55" i="68"/>
  <c r="BJ55" i="68"/>
  <c r="BF55" i="68"/>
  <c r="BB55" i="68"/>
  <c r="AX55" i="68"/>
  <c r="AT55" i="68"/>
  <c r="AP55" i="68"/>
  <c r="AL55" i="68"/>
  <c r="AF55" i="68"/>
  <c r="AD55" i="68"/>
  <c r="J55" i="68"/>
  <c r="G55" i="68"/>
  <c r="CD54" i="68"/>
  <c r="BZ54" i="68"/>
  <c r="BV54" i="68"/>
  <c r="BV50" i="68" s="1"/>
  <c r="BR54" i="68"/>
  <c r="BR50" i="68" s="1"/>
  <c r="BN54" i="68"/>
  <c r="BJ54" i="68"/>
  <c r="BF54" i="68"/>
  <c r="BB54" i="68"/>
  <c r="AX54" i="68"/>
  <c r="AT54" i="68"/>
  <c r="AP54" i="68"/>
  <c r="AL54" i="68"/>
  <c r="AF54" i="68"/>
  <c r="AD54" i="68"/>
  <c r="J54" i="68"/>
  <c r="G54" i="68"/>
  <c r="D54" i="68"/>
  <c r="C54" i="68"/>
  <c r="CD53" i="68"/>
  <c r="BZ53" i="68"/>
  <c r="BV53" i="68"/>
  <c r="BR53" i="68"/>
  <c r="BN53" i="68"/>
  <c r="BJ53" i="68"/>
  <c r="BF53" i="68"/>
  <c r="BB53" i="68"/>
  <c r="AX53" i="68"/>
  <c r="AT53" i="68"/>
  <c r="AP53" i="68"/>
  <c r="AL53" i="68"/>
  <c r="AF53" i="68"/>
  <c r="AD53" i="68"/>
  <c r="J53" i="68"/>
  <c r="G53" i="68"/>
  <c r="D53" i="68"/>
  <c r="CD52" i="68"/>
  <c r="CD50" i="68" s="1"/>
  <c r="BZ52" i="68"/>
  <c r="BV52" i="68"/>
  <c r="BR52" i="68"/>
  <c r="BN52" i="68"/>
  <c r="BJ52" i="68"/>
  <c r="BF52" i="68"/>
  <c r="BB52" i="68"/>
  <c r="AX52" i="68"/>
  <c r="AT52" i="68"/>
  <c r="AP52" i="68"/>
  <c r="AL52" i="68"/>
  <c r="AF52" i="68"/>
  <c r="AD52" i="68"/>
  <c r="J52" i="68"/>
  <c r="G52" i="68"/>
  <c r="CD51" i="68"/>
  <c r="BZ51" i="68"/>
  <c r="BV51" i="68"/>
  <c r="BR51" i="68"/>
  <c r="BN51" i="68"/>
  <c r="BJ51" i="68"/>
  <c r="BF51" i="68"/>
  <c r="BB51" i="68"/>
  <c r="AX51" i="68"/>
  <c r="AT51" i="68"/>
  <c r="AP51" i="68"/>
  <c r="AL51" i="68"/>
  <c r="AH51" i="68"/>
  <c r="AF51" i="68"/>
  <c r="AG51" i="68" s="1"/>
  <c r="AD51" i="68"/>
  <c r="J51" i="68"/>
  <c r="G51" i="68"/>
  <c r="AD50" i="68"/>
  <c r="CD49" i="68"/>
  <c r="BZ49" i="68"/>
  <c r="BV49" i="68"/>
  <c r="BR49" i="68"/>
  <c r="BN49" i="68"/>
  <c r="BJ49" i="68"/>
  <c r="BF49" i="68"/>
  <c r="BB49" i="68"/>
  <c r="AX49" i="68"/>
  <c r="AT49" i="68"/>
  <c r="AP49" i="68"/>
  <c r="AL49" i="68"/>
  <c r="AF49" i="68"/>
  <c r="AD49" i="68"/>
  <c r="J49" i="68"/>
  <c r="K49" i="68" s="1"/>
  <c r="G49" i="68"/>
  <c r="CD48" i="68"/>
  <c r="BZ48" i="68"/>
  <c r="BV48" i="68"/>
  <c r="BR48" i="68"/>
  <c r="BN48" i="68"/>
  <c r="BJ48" i="68"/>
  <c r="BF48" i="68"/>
  <c r="BB48" i="68"/>
  <c r="AX48" i="68"/>
  <c r="AT48" i="68"/>
  <c r="AP48" i="68"/>
  <c r="AL48" i="68"/>
  <c r="AF48" i="68"/>
  <c r="AD48" i="68"/>
  <c r="J48" i="68"/>
  <c r="K48" i="68" s="1"/>
  <c r="G48" i="68"/>
  <c r="CD47" i="68"/>
  <c r="BZ47" i="68"/>
  <c r="BV47" i="68"/>
  <c r="BR47" i="68"/>
  <c r="BN47" i="68"/>
  <c r="BJ47" i="68"/>
  <c r="BF47" i="68"/>
  <c r="BB47" i="68"/>
  <c r="AX47" i="68"/>
  <c r="AT47" i="68"/>
  <c r="AP47" i="68"/>
  <c r="AL47" i="68"/>
  <c r="AF47" i="68"/>
  <c r="AD47" i="68"/>
  <c r="J47" i="68"/>
  <c r="K47" i="68" s="1"/>
  <c r="G47" i="68"/>
  <c r="CD46" i="68"/>
  <c r="BZ46" i="68"/>
  <c r="BV46" i="68"/>
  <c r="BR46" i="68"/>
  <c r="BN46" i="68"/>
  <c r="BJ46" i="68"/>
  <c r="BF46" i="68"/>
  <c r="BB46" i="68"/>
  <c r="AX46" i="68"/>
  <c r="AT46" i="68"/>
  <c r="AP46" i="68"/>
  <c r="AL46" i="68"/>
  <c r="AF46" i="68"/>
  <c r="AD46" i="68"/>
  <c r="J46" i="68"/>
  <c r="K46" i="68" s="1"/>
  <c r="G46" i="68"/>
  <c r="D46" i="68"/>
  <c r="CD45" i="68"/>
  <c r="AH45" i="68" s="1"/>
  <c r="BZ45" i="68"/>
  <c r="BV45" i="68"/>
  <c r="BR45" i="68"/>
  <c r="BN45" i="68"/>
  <c r="BJ45" i="68"/>
  <c r="BF45" i="68"/>
  <c r="BB45" i="68"/>
  <c r="AX45" i="68"/>
  <c r="AT45" i="68"/>
  <c r="AP45" i="68"/>
  <c r="AL45" i="68"/>
  <c r="AF45" i="68"/>
  <c r="AD45" i="68"/>
  <c r="J45" i="68"/>
  <c r="K45" i="68" s="1"/>
  <c r="G45" i="68"/>
  <c r="CD44" i="68"/>
  <c r="BZ44" i="68"/>
  <c r="BV44" i="68"/>
  <c r="BR44" i="68"/>
  <c r="BN44" i="68"/>
  <c r="BJ44" i="68"/>
  <c r="BF44" i="68"/>
  <c r="BB44" i="68"/>
  <c r="AX44" i="68"/>
  <c r="AT44" i="68"/>
  <c r="AP44" i="68"/>
  <c r="AL44" i="68"/>
  <c r="AF44" i="68"/>
  <c r="AD44" i="68"/>
  <c r="J44" i="68"/>
  <c r="K44" i="68" s="1"/>
  <c r="G44" i="68"/>
  <c r="CD43" i="68"/>
  <c r="BZ43" i="68"/>
  <c r="BV43" i="68"/>
  <c r="BR43" i="68"/>
  <c r="BN43" i="68"/>
  <c r="BJ43" i="68"/>
  <c r="BF43" i="68"/>
  <c r="BB43" i="68"/>
  <c r="AX43" i="68"/>
  <c r="AT43" i="68"/>
  <c r="AP43" i="68"/>
  <c r="AL43" i="68"/>
  <c r="AF43" i="68"/>
  <c r="AD43" i="68"/>
  <c r="J43" i="68"/>
  <c r="K43" i="68" s="1"/>
  <c r="G43" i="68"/>
  <c r="CD42" i="68"/>
  <c r="BZ42" i="68"/>
  <c r="BV42" i="68"/>
  <c r="BR42" i="68"/>
  <c r="BN42" i="68"/>
  <c r="BJ42" i="68"/>
  <c r="BF42" i="68"/>
  <c r="BB42" i="68"/>
  <c r="AX42" i="68"/>
  <c r="AT42" i="68"/>
  <c r="AP42" i="68"/>
  <c r="AH42" i="68" s="1"/>
  <c r="AG42" i="68" s="1"/>
  <c r="AL42" i="68"/>
  <c r="AF42" i="68"/>
  <c r="AD42" i="68"/>
  <c r="J42" i="68"/>
  <c r="K42" i="68" s="1"/>
  <c r="G42" i="68"/>
  <c r="CD41" i="68"/>
  <c r="BZ41" i="68"/>
  <c r="BV41" i="68"/>
  <c r="BR41" i="68"/>
  <c r="BN41" i="68"/>
  <c r="BJ41" i="68"/>
  <c r="BF41" i="68"/>
  <c r="BF37" i="68" s="1"/>
  <c r="BB41" i="68"/>
  <c r="BB37" i="68" s="1"/>
  <c r="AX41" i="68"/>
  <c r="AT41" i="68"/>
  <c r="AP41" i="68"/>
  <c r="AL41" i="68"/>
  <c r="AF41" i="68"/>
  <c r="AD41" i="68"/>
  <c r="J41" i="68"/>
  <c r="K41" i="68" s="1"/>
  <c r="G41" i="68"/>
  <c r="CD40" i="68"/>
  <c r="BZ40" i="68"/>
  <c r="BV40" i="68"/>
  <c r="BR40" i="68"/>
  <c r="BN40" i="68"/>
  <c r="BJ40" i="68"/>
  <c r="BF40" i="68"/>
  <c r="BB40" i="68"/>
  <c r="AX40" i="68"/>
  <c r="AT40" i="68"/>
  <c r="AP40" i="68"/>
  <c r="AL40" i="68"/>
  <c r="AF40" i="68"/>
  <c r="AD40" i="68"/>
  <c r="J40" i="68"/>
  <c r="K40" i="68" s="1"/>
  <c r="G40" i="68"/>
  <c r="CD39" i="68"/>
  <c r="BZ39" i="68"/>
  <c r="BV39" i="68"/>
  <c r="BR39" i="68"/>
  <c r="BN39" i="68"/>
  <c r="BJ39" i="68"/>
  <c r="BF39" i="68"/>
  <c r="BB39" i="68"/>
  <c r="AX39" i="68"/>
  <c r="AT39" i="68"/>
  <c r="AP39" i="68"/>
  <c r="AL39" i="68"/>
  <c r="AF39" i="68"/>
  <c r="AD39" i="68"/>
  <c r="G39" i="68"/>
  <c r="CD38" i="68"/>
  <c r="BZ38" i="68"/>
  <c r="BZ37" i="68" s="1"/>
  <c r="BV38" i="68"/>
  <c r="BV37" i="68" s="1"/>
  <c r="BR38" i="68"/>
  <c r="BN38" i="68"/>
  <c r="BJ38" i="68"/>
  <c r="BF38" i="68"/>
  <c r="BB38" i="68"/>
  <c r="AX38" i="68"/>
  <c r="AT38" i="68"/>
  <c r="AP38" i="68"/>
  <c r="AL38" i="68"/>
  <c r="AF38" i="68"/>
  <c r="AD38" i="68"/>
  <c r="G38" i="68"/>
  <c r="D38" i="68"/>
  <c r="AD37" i="68"/>
  <c r="CD36" i="68"/>
  <c r="BZ36" i="68"/>
  <c r="BV36" i="68"/>
  <c r="BR36" i="68"/>
  <c r="BN36" i="68"/>
  <c r="BJ36" i="68"/>
  <c r="BF36" i="68"/>
  <c r="BB36" i="68"/>
  <c r="AX36" i="68"/>
  <c r="AT36" i="68"/>
  <c r="AP36" i="68"/>
  <c r="AL36" i="68"/>
  <c r="AH36" i="68"/>
  <c r="AF36" i="68"/>
  <c r="AG36" i="68" s="1"/>
  <c r="AD36" i="68"/>
  <c r="J36" i="68"/>
  <c r="K36" i="68" s="1"/>
  <c r="G36" i="68"/>
  <c r="CD35" i="68"/>
  <c r="BZ35" i="68"/>
  <c r="BV35" i="68"/>
  <c r="BR35" i="68"/>
  <c r="BN35" i="68"/>
  <c r="BJ35" i="68"/>
  <c r="BF35" i="68"/>
  <c r="BB35" i="68"/>
  <c r="AX35" i="68"/>
  <c r="AT35" i="68"/>
  <c r="AP35" i="68"/>
  <c r="AL35" i="68"/>
  <c r="AF35" i="68"/>
  <c r="AD35" i="68"/>
  <c r="J35" i="68"/>
  <c r="K35" i="68" s="1"/>
  <c r="G35" i="68"/>
  <c r="CD34" i="68"/>
  <c r="BZ34" i="68"/>
  <c r="BV34" i="68"/>
  <c r="BR34" i="68"/>
  <c r="BN34" i="68"/>
  <c r="BJ34" i="68"/>
  <c r="BF34" i="68"/>
  <c r="BB34" i="68"/>
  <c r="AX34" i="68"/>
  <c r="AT34" i="68"/>
  <c r="AP34" i="68"/>
  <c r="AL34" i="68"/>
  <c r="AF34" i="68"/>
  <c r="AD34" i="68"/>
  <c r="J34" i="68"/>
  <c r="K34" i="68" s="1"/>
  <c r="G34" i="68"/>
  <c r="CD33" i="68"/>
  <c r="BZ33" i="68"/>
  <c r="BV33" i="68"/>
  <c r="BR33" i="68"/>
  <c r="BN33" i="68"/>
  <c r="BJ33" i="68"/>
  <c r="BF33" i="68"/>
  <c r="BB33" i="68"/>
  <c r="AX33" i="68"/>
  <c r="AT33" i="68"/>
  <c r="AP33" i="68"/>
  <c r="AH33" i="68" s="1"/>
  <c r="AG33" i="68" s="1"/>
  <c r="AL33" i="68"/>
  <c r="AF33" i="68"/>
  <c r="AD33" i="68"/>
  <c r="J33" i="68"/>
  <c r="K33" i="68" s="1"/>
  <c r="G33" i="68"/>
  <c r="CD32" i="68"/>
  <c r="BZ32" i="68"/>
  <c r="BV32" i="68"/>
  <c r="BR32" i="68"/>
  <c r="BN32" i="68"/>
  <c r="BJ32" i="68"/>
  <c r="BF32" i="68"/>
  <c r="BB32" i="68"/>
  <c r="AX32" i="68"/>
  <c r="AT32" i="68"/>
  <c r="AP32" i="68"/>
  <c r="AL32" i="68"/>
  <c r="AF32" i="68"/>
  <c r="AD32" i="68"/>
  <c r="J32" i="68"/>
  <c r="K32" i="68" s="1"/>
  <c r="G32" i="68"/>
  <c r="D32" i="68"/>
  <c r="C32" i="68"/>
  <c r="CD31" i="68"/>
  <c r="BZ31" i="68"/>
  <c r="BV31" i="68"/>
  <c r="BR31" i="68"/>
  <c r="BN31" i="68"/>
  <c r="BJ31" i="68"/>
  <c r="BF31" i="68"/>
  <c r="BB31" i="68"/>
  <c r="AX31" i="68"/>
  <c r="AT31" i="68"/>
  <c r="AP31" i="68"/>
  <c r="AL31" i="68"/>
  <c r="AF31" i="68"/>
  <c r="AD31" i="68"/>
  <c r="J31" i="68"/>
  <c r="K31" i="68" s="1"/>
  <c r="G31" i="68"/>
  <c r="D31" i="68"/>
  <c r="CD30" i="68"/>
  <c r="BZ30" i="68"/>
  <c r="BV30" i="68"/>
  <c r="BR30" i="68"/>
  <c r="BN30" i="68"/>
  <c r="BJ30" i="68"/>
  <c r="BF30" i="68"/>
  <c r="BB30" i="68"/>
  <c r="AX30" i="68"/>
  <c r="AT30" i="68"/>
  <c r="AP30" i="68"/>
  <c r="AL30" i="68"/>
  <c r="AF30" i="68"/>
  <c r="AD30" i="68"/>
  <c r="J30" i="68"/>
  <c r="K30" i="68" s="1"/>
  <c r="G30" i="68"/>
  <c r="D30" i="68"/>
  <c r="CD29" i="68"/>
  <c r="BZ29" i="68"/>
  <c r="BV29" i="68"/>
  <c r="BR29" i="68"/>
  <c r="BN29" i="68"/>
  <c r="BJ29" i="68"/>
  <c r="BF29" i="68"/>
  <c r="BB29" i="68"/>
  <c r="AX29" i="68"/>
  <c r="AT29" i="68"/>
  <c r="AP29" i="68"/>
  <c r="AL29" i="68"/>
  <c r="AH29" i="68" s="1"/>
  <c r="AF29" i="68"/>
  <c r="AD29" i="68"/>
  <c r="J29" i="68"/>
  <c r="K29" i="68" s="1"/>
  <c r="G29" i="68"/>
  <c r="CD28" i="68"/>
  <c r="BZ28" i="68"/>
  <c r="BV28" i="68"/>
  <c r="BR28" i="68"/>
  <c r="BN28" i="68"/>
  <c r="BJ28" i="68"/>
  <c r="BF28" i="68"/>
  <c r="BB28" i="68"/>
  <c r="AX28" i="68"/>
  <c r="AT28" i="68"/>
  <c r="AP28" i="68"/>
  <c r="AL28" i="68"/>
  <c r="AH28" i="68"/>
  <c r="AF28" i="68"/>
  <c r="AD28" i="68"/>
  <c r="J28" i="68"/>
  <c r="K28" i="68" s="1"/>
  <c r="G28" i="68"/>
  <c r="CD27" i="68"/>
  <c r="BZ27" i="68"/>
  <c r="BV27" i="68"/>
  <c r="BR27" i="68"/>
  <c r="BN27" i="68"/>
  <c r="BJ27" i="68"/>
  <c r="BF27" i="68"/>
  <c r="BB27" i="68"/>
  <c r="AX27" i="68"/>
  <c r="AT27" i="68"/>
  <c r="AP27" i="68"/>
  <c r="AL27" i="68"/>
  <c r="AF27" i="68"/>
  <c r="AD27" i="68"/>
  <c r="J27" i="68"/>
  <c r="K27" i="68" s="1"/>
  <c r="G27" i="68"/>
  <c r="CD26" i="68"/>
  <c r="BZ26" i="68"/>
  <c r="BV26" i="68"/>
  <c r="BR26" i="68"/>
  <c r="BN26" i="68"/>
  <c r="BJ26" i="68"/>
  <c r="BF26" i="68"/>
  <c r="BF24" i="68" s="1"/>
  <c r="BB26" i="68"/>
  <c r="AX26" i="68"/>
  <c r="AT26" i="68"/>
  <c r="AP26" i="68"/>
  <c r="AL26" i="68"/>
  <c r="AF26" i="68"/>
  <c r="AD26" i="68"/>
  <c r="J26" i="68"/>
  <c r="K26" i="68" s="1"/>
  <c r="G26" i="68"/>
  <c r="CD25" i="68"/>
  <c r="BZ25" i="68"/>
  <c r="BV25" i="68"/>
  <c r="BR25" i="68"/>
  <c r="BN25" i="68"/>
  <c r="BJ25" i="68"/>
  <c r="AH25" i="68" s="1"/>
  <c r="AG25" i="68" s="1"/>
  <c r="BF25" i="68"/>
  <c r="BB25" i="68"/>
  <c r="AX25" i="68"/>
  <c r="AT25" i="68"/>
  <c r="AP25" i="68"/>
  <c r="AL25" i="68"/>
  <c r="AF25" i="68"/>
  <c r="AD25" i="68"/>
  <c r="J25" i="68"/>
  <c r="I25" i="68"/>
  <c r="G25" i="68"/>
  <c r="D25" i="68"/>
  <c r="AD24" i="68"/>
  <c r="D24" i="68"/>
  <c r="CD23" i="68"/>
  <c r="BZ23" i="68"/>
  <c r="BV23" i="68"/>
  <c r="BR23" i="68"/>
  <c r="BN23" i="68"/>
  <c r="BJ23" i="68"/>
  <c r="BF23" i="68"/>
  <c r="BB23" i="68"/>
  <c r="AX23" i="68"/>
  <c r="AT23" i="68"/>
  <c r="AP23" i="68"/>
  <c r="AL23" i="68"/>
  <c r="AF23" i="68"/>
  <c r="AD23" i="68"/>
  <c r="O23" i="68"/>
  <c r="J23" i="68"/>
  <c r="K23" i="68" s="1"/>
  <c r="G23" i="68"/>
  <c r="CD22" i="68"/>
  <c r="BZ22" i="68"/>
  <c r="BV22" i="68"/>
  <c r="BR22" i="68"/>
  <c r="BN22" i="68"/>
  <c r="BJ22" i="68"/>
  <c r="BF22" i="68"/>
  <c r="BB22" i="68"/>
  <c r="AX22" i="68"/>
  <c r="AT22" i="68"/>
  <c r="AP22" i="68"/>
  <c r="AL22" i="68"/>
  <c r="AH22" i="68"/>
  <c r="AF22" i="68"/>
  <c r="AG22" i="68" s="1"/>
  <c r="AD22" i="68"/>
  <c r="J22" i="68"/>
  <c r="K22" i="68" s="1"/>
  <c r="G22" i="68"/>
  <c r="CD21" i="68"/>
  <c r="BZ21" i="68"/>
  <c r="BV21" i="68"/>
  <c r="BR21" i="68"/>
  <c r="BN21" i="68"/>
  <c r="BJ21" i="68"/>
  <c r="BF21" i="68"/>
  <c r="BB21" i="68"/>
  <c r="AX21" i="68"/>
  <c r="AT21" i="68"/>
  <c r="AP21" i="68"/>
  <c r="AL21" i="68"/>
  <c r="AF21" i="68"/>
  <c r="AD21" i="68"/>
  <c r="J21" i="68"/>
  <c r="K21" i="68" s="1"/>
  <c r="G21" i="68"/>
  <c r="CD20" i="68"/>
  <c r="BZ20" i="68"/>
  <c r="BV20" i="68"/>
  <c r="BR20" i="68"/>
  <c r="BN20" i="68"/>
  <c r="BJ20" i="68"/>
  <c r="BF20" i="68"/>
  <c r="BB20" i="68"/>
  <c r="AX20" i="68"/>
  <c r="AT20" i="68"/>
  <c r="AP20" i="68"/>
  <c r="AL20" i="68"/>
  <c r="AF20" i="68"/>
  <c r="AD20" i="68"/>
  <c r="J20" i="68"/>
  <c r="K20" i="68" s="1"/>
  <c r="G20" i="68"/>
  <c r="CD19" i="68"/>
  <c r="BZ19" i="68"/>
  <c r="BV19" i="68"/>
  <c r="BR19" i="68"/>
  <c r="BN19" i="68"/>
  <c r="BJ19" i="68"/>
  <c r="BF19" i="68"/>
  <c r="BB19" i="68"/>
  <c r="AX19" i="68"/>
  <c r="AT19" i="68"/>
  <c r="AP19" i="68"/>
  <c r="AL19" i="68"/>
  <c r="AF19" i="68"/>
  <c r="AD19" i="68"/>
  <c r="J19" i="68"/>
  <c r="K19" i="68" s="1"/>
  <c r="G19" i="68"/>
  <c r="D19" i="68"/>
  <c r="C19" i="68"/>
  <c r="CD18" i="68"/>
  <c r="BZ18" i="68"/>
  <c r="BV18" i="68"/>
  <c r="BR18" i="68"/>
  <c r="BN18" i="68"/>
  <c r="BJ18" i="68"/>
  <c r="BF18" i="68"/>
  <c r="BB18" i="68"/>
  <c r="AX18" i="68"/>
  <c r="AT18" i="68"/>
  <c r="AP18" i="68"/>
  <c r="AL18" i="68"/>
  <c r="AF18" i="68"/>
  <c r="AD18" i="68"/>
  <c r="O18" i="68"/>
  <c r="J18" i="68"/>
  <c r="K18" i="68" s="1"/>
  <c r="G18" i="68"/>
  <c r="CD17" i="68"/>
  <c r="BZ17" i="68"/>
  <c r="BV17" i="68"/>
  <c r="BR17" i="68"/>
  <c r="BN17" i="68"/>
  <c r="BJ17" i="68"/>
  <c r="BF17" i="68"/>
  <c r="BB17" i="68"/>
  <c r="AX17" i="68"/>
  <c r="AT17" i="68"/>
  <c r="AP17" i="68"/>
  <c r="AL17" i="68"/>
  <c r="AH17" i="68" s="1"/>
  <c r="AF17" i="68"/>
  <c r="AD17" i="68"/>
  <c r="J17" i="68"/>
  <c r="K17" i="68" s="1"/>
  <c r="G17" i="68"/>
  <c r="CD16" i="68"/>
  <c r="BZ16" i="68"/>
  <c r="BV16" i="68"/>
  <c r="BR16" i="68"/>
  <c r="BN16" i="68"/>
  <c r="BJ16" i="68"/>
  <c r="BF16" i="68"/>
  <c r="BB16" i="68"/>
  <c r="AX16" i="68"/>
  <c r="AT16" i="68"/>
  <c r="AP16" i="68"/>
  <c r="AL16" i="68"/>
  <c r="AF16" i="68"/>
  <c r="AD16" i="68"/>
  <c r="J16" i="68"/>
  <c r="K16" i="68" s="1"/>
  <c r="G16" i="68"/>
  <c r="CD15" i="68"/>
  <c r="BZ15" i="68"/>
  <c r="BV15" i="68"/>
  <c r="BR15" i="68"/>
  <c r="BN15" i="68"/>
  <c r="BJ15" i="68"/>
  <c r="BF15" i="68"/>
  <c r="BB15" i="68"/>
  <c r="AX15" i="68"/>
  <c r="AT15" i="68"/>
  <c r="AP15" i="68"/>
  <c r="AL15" i="68"/>
  <c r="AH15" i="68" s="1"/>
  <c r="AG15" i="68" s="1"/>
  <c r="AF15" i="68"/>
  <c r="AD15" i="68"/>
  <c r="J15" i="68"/>
  <c r="K15" i="68" s="1"/>
  <c r="G15" i="68"/>
  <c r="CD14" i="68"/>
  <c r="BZ14" i="68"/>
  <c r="BV14" i="68"/>
  <c r="BV11" i="68" s="1"/>
  <c r="BR14" i="68"/>
  <c r="BN14" i="68"/>
  <c r="BJ14" i="68"/>
  <c r="BF14" i="68"/>
  <c r="BB14" i="68"/>
  <c r="AX14" i="68"/>
  <c r="AT14" i="68"/>
  <c r="AP14" i="68"/>
  <c r="AL14" i="68"/>
  <c r="AF14" i="68"/>
  <c r="AD14" i="68"/>
  <c r="J14" i="68"/>
  <c r="K14" i="68" s="1"/>
  <c r="G14" i="68"/>
  <c r="D14" i="68"/>
  <c r="C14" i="68"/>
  <c r="CD13" i="68"/>
  <c r="BZ13" i="68"/>
  <c r="BV13" i="68"/>
  <c r="BR13" i="68"/>
  <c r="BN13" i="68"/>
  <c r="BJ13" i="68"/>
  <c r="BF13" i="68"/>
  <c r="BB13" i="68"/>
  <c r="AX13" i="68"/>
  <c r="AT13" i="68"/>
  <c r="AP13" i="68"/>
  <c r="AL13" i="68"/>
  <c r="AH13" i="68"/>
  <c r="AF13" i="68"/>
  <c r="AG13" i="68" s="1"/>
  <c r="AD13" i="68"/>
  <c r="O13" i="68"/>
  <c r="J13" i="68"/>
  <c r="K13" i="68" s="1"/>
  <c r="G13" i="68"/>
  <c r="CD12" i="68"/>
  <c r="BZ12" i="68"/>
  <c r="BV12" i="68"/>
  <c r="BR12" i="68"/>
  <c r="BN12" i="68"/>
  <c r="BJ12" i="68"/>
  <c r="BF12" i="68"/>
  <c r="BB12" i="68"/>
  <c r="AX12" i="68"/>
  <c r="AT12" i="68"/>
  <c r="AP12" i="68"/>
  <c r="AL12" i="68"/>
  <c r="AL11" i="68" s="1"/>
  <c r="AF12" i="68"/>
  <c r="AD12" i="68"/>
  <c r="J12" i="68"/>
  <c r="K12" i="68" s="1"/>
  <c r="G12" i="68"/>
  <c r="AD11" i="68"/>
  <c r="AF6" i="68"/>
  <c r="A3" i="68"/>
  <c r="C56" i="68" s="1"/>
  <c r="O61" i="67"/>
  <c r="M54" i="67"/>
  <c r="W54" i="67"/>
  <c r="V54" i="67"/>
  <c r="U54" i="67"/>
  <c r="T54" i="67"/>
  <c r="S54" i="67"/>
  <c r="R54" i="67"/>
  <c r="Q54" i="67"/>
  <c r="P54" i="67"/>
  <c r="O54" i="67"/>
  <c r="M53" i="67"/>
  <c r="W53" i="67"/>
  <c r="V53" i="67"/>
  <c r="U53" i="67"/>
  <c r="T53" i="67"/>
  <c r="S53" i="67"/>
  <c r="R53" i="67"/>
  <c r="Q53" i="67"/>
  <c r="P53" i="67"/>
  <c r="O53" i="67"/>
  <c r="W52" i="67"/>
  <c r="V52" i="67"/>
  <c r="U52" i="67"/>
  <c r="T52" i="67"/>
  <c r="S52" i="67"/>
  <c r="R52" i="67"/>
  <c r="Q52" i="67"/>
  <c r="P52" i="67"/>
  <c r="O52" i="67"/>
  <c r="M52" i="67" s="1"/>
  <c r="N31" i="3"/>
  <c r="M61" i="67"/>
  <c r="W61" i="67"/>
  <c r="V61" i="67"/>
  <c r="U61" i="67"/>
  <c r="T61" i="67"/>
  <c r="S61" i="67"/>
  <c r="R61" i="67"/>
  <c r="Q61" i="67"/>
  <c r="P61" i="67"/>
  <c r="R45" i="67"/>
  <c r="S45" i="67" s="1"/>
  <c r="T45" i="67" s="1"/>
  <c r="H41" i="67"/>
  <c r="H40" i="67"/>
  <c r="H39" i="67"/>
  <c r="I16" i="67"/>
  <c r="I15" i="67"/>
  <c r="I14" i="67"/>
  <c r="N32" i="3"/>
  <c r="H38" i="67"/>
  <c r="G13" i="67"/>
  <c r="I13" i="67"/>
  <c r="I12" i="67"/>
  <c r="O66" i="67"/>
  <c r="K25" i="71" l="1"/>
  <c r="K24" i="71" s="1"/>
  <c r="K25" i="77"/>
  <c r="K24" i="77" s="1"/>
  <c r="K55" i="77"/>
  <c r="K54" i="73"/>
  <c r="K61" i="78"/>
  <c r="K54" i="77"/>
  <c r="K25" i="76"/>
  <c r="K24" i="76" s="1"/>
  <c r="AH60" i="72"/>
  <c r="AG60" i="72" s="1"/>
  <c r="BJ50" i="72"/>
  <c r="K61" i="77"/>
  <c r="K59" i="74"/>
  <c r="K60" i="72"/>
  <c r="J61" i="75"/>
  <c r="K61" i="75" s="1"/>
  <c r="K51" i="72"/>
  <c r="K53" i="77"/>
  <c r="K58" i="77"/>
  <c r="K56" i="78"/>
  <c r="AH53" i="72"/>
  <c r="AG53" i="72" s="1"/>
  <c r="K25" i="72"/>
  <c r="K24" i="72" s="1"/>
  <c r="K60" i="77"/>
  <c r="I59" i="75"/>
  <c r="I60" i="75"/>
  <c r="I62" i="75"/>
  <c r="K62" i="75" s="1"/>
  <c r="I58" i="75"/>
  <c r="I61" i="75"/>
  <c r="AX6" i="79"/>
  <c r="BB6" i="79"/>
  <c r="K54" i="72"/>
  <c r="AG6" i="79"/>
  <c r="K59" i="71"/>
  <c r="AH40" i="78"/>
  <c r="AG40" i="78" s="1"/>
  <c r="K60" i="78"/>
  <c r="K58" i="78"/>
  <c r="K55" i="78"/>
  <c r="K56" i="77"/>
  <c r="K62" i="77"/>
  <c r="K58" i="74"/>
  <c r="K12" i="75"/>
  <c r="K11" i="75" s="1"/>
  <c r="O12" i="75"/>
  <c r="K25" i="78"/>
  <c r="K24" i="78" s="1"/>
  <c r="K59" i="78"/>
  <c r="K11" i="77"/>
  <c r="N3" i="77" s="1"/>
  <c r="K54" i="75"/>
  <c r="K57" i="77"/>
  <c r="K53" i="69"/>
  <c r="K61" i="69"/>
  <c r="K55" i="74"/>
  <c r="K59" i="77"/>
  <c r="K57" i="78"/>
  <c r="K62" i="78"/>
  <c r="BY6" i="78"/>
  <c r="AG12" i="78"/>
  <c r="AH11" i="78"/>
  <c r="AH20" i="78"/>
  <c r="AG20" i="78" s="1"/>
  <c r="AP37" i="78"/>
  <c r="BJ37" i="78"/>
  <c r="BB50" i="78"/>
  <c r="AL11" i="78"/>
  <c r="AX24" i="78"/>
  <c r="BN37" i="78"/>
  <c r="BF50" i="78"/>
  <c r="AG38" i="78"/>
  <c r="BM6" i="78"/>
  <c r="K11" i="78"/>
  <c r="BB24" i="78"/>
  <c r="BR37" i="78"/>
  <c r="AH43" i="78"/>
  <c r="AG43" i="78" s="1"/>
  <c r="BZ50" i="78"/>
  <c r="AP24" i="78"/>
  <c r="AT24" i="78"/>
  <c r="AX50" i="78"/>
  <c r="AH25" i="78"/>
  <c r="BQ6" i="78"/>
  <c r="AH15" i="78"/>
  <c r="AG15" i="78" s="1"/>
  <c r="AH52" i="78"/>
  <c r="AG52" i="78" s="1"/>
  <c r="AT50" i="78"/>
  <c r="AH59" i="78"/>
  <c r="AG59" i="78" s="1"/>
  <c r="AH18" i="78"/>
  <c r="AG18" i="78" s="1"/>
  <c r="BF24" i="78"/>
  <c r="BV37" i="78"/>
  <c r="AH49" i="78"/>
  <c r="AG49" i="78" s="1"/>
  <c r="CD50" i="78"/>
  <c r="AH16" i="78"/>
  <c r="AG16" i="78" s="1"/>
  <c r="AH34" i="78"/>
  <c r="AG34" i="78" s="1"/>
  <c r="BF11" i="78"/>
  <c r="AH41" i="78"/>
  <c r="AG41" i="78" s="1"/>
  <c r="AH48" i="78"/>
  <c r="AG48" i="78" s="1"/>
  <c r="AH56" i="78"/>
  <c r="AG56" i="78" s="1"/>
  <c r="AH61" i="78"/>
  <c r="AG61" i="78" s="1"/>
  <c r="C15" i="78"/>
  <c r="C33" i="78"/>
  <c r="C42" i="78"/>
  <c r="C50" i="78"/>
  <c r="C60" i="78"/>
  <c r="C22" i="78"/>
  <c r="AL37" i="78"/>
  <c r="C51" i="78"/>
  <c r="C20" i="78"/>
  <c r="C13" i="78"/>
  <c r="C28" i="78"/>
  <c r="C36" i="78"/>
  <c r="C45" i="78"/>
  <c r="C58" i="78"/>
  <c r="C31" i="78"/>
  <c r="C40" i="78"/>
  <c r="C48" i="78"/>
  <c r="K52" i="77"/>
  <c r="K51" i="77"/>
  <c r="CC6" i="77"/>
  <c r="AW6" i="77"/>
  <c r="AG38" i="77"/>
  <c r="AH37" i="77"/>
  <c r="BA6" i="77"/>
  <c r="AO6" i="77"/>
  <c r="BE6" i="77"/>
  <c r="BY6" i="77"/>
  <c r="BU6" i="77"/>
  <c r="BI6" i="77"/>
  <c r="BM6" i="77"/>
  <c r="BQ6" i="77"/>
  <c r="AS6" i="77"/>
  <c r="AH24" i="77"/>
  <c r="AG26" i="77"/>
  <c r="AH12" i="77"/>
  <c r="AH27" i="77"/>
  <c r="AG27" i="77" s="1"/>
  <c r="AH51" i="77"/>
  <c r="C19" i="77"/>
  <c r="C27" i="77"/>
  <c r="C35" i="77"/>
  <c r="C44" i="77"/>
  <c r="BR24" i="77"/>
  <c r="BN50" i="77"/>
  <c r="C24" i="77"/>
  <c r="C25" i="77"/>
  <c r="C53" i="77"/>
  <c r="C15" i="77"/>
  <c r="C33" i="77"/>
  <c r="C42" i="77"/>
  <c r="C50" i="77"/>
  <c r="C60" i="77"/>
  <c r="C22" i="77"/>
  <c r="AL37" i="77"/>
  <c r="C51" i="77"/>
  <c r="C13" i="77"/>
  <c r="C28" i="77"/>
  <c r="C36" i="77"/>
  <c r="C45" i="77"/>
  <c r="C58" i="77"/>
  <c r="C20" i="77"/>
  <c r="C31" i="77"/>
  <c r="C40" i="77"/>
  <c r="C48" i="77"/>
  <c r="C12" i="76"/>
  <c r="BN11" i="76"/>
  <c r="BB24" i="76"/>
  <c r="BR24" i="76"/>
  <c r="C37" i="76"/>
  <c r="AH38" i="76"/>
  <c r="AG38" i="76" s="1"/>
  <c r="C46" i="76"/>
  <c r="AH48" i="76"/>
  <c r="AG48" i="76" s="1"/>
  <c r="AG62" i="76"/>
  <c r="AH14" i="76"/>
  <c r="AG14" i="76" s="1"/>
  <c r="BF24" i="76"/>
  <c r="AH28" i="76"/>
  <c r="AG28" i="76" s="1"/>
  <c r="AH29" i="76"/>
  <c r="AG29" i="76" s="1"/>
  <c r="AH49" i="76"/>
  <c r="AG49" i="76" s="1"/>
  <c r="BN50" i="76"/>
  <c r="BV24" i="76"/>
  <c r="AG35" i="76"/>
  <c r="AG44" i="76"/>
  <c r="AH23" i="76"/>
  <c r="AG23" i="76" s="1"/>
  <c r="BZ24" i="76"/>
  <c r="BB37" i="76"/>
  <c r="BZ11" i="76"/>
  <c r="BJ11" i="76"/>
  <c r="AG25" i="76"/>
  <c r="CD24" i="76"/>
  <c r="BF37" i="76"/>
  <c r="CD11" i="76"/>
  <c r="AH22" i="76"/>
  <c r="AG22" i="76" s="1"/>
  <c r="C33" i="76"/>
  <c r="BJ37" i="76"/>
  <c r="AP37" i="76"/>
  <c r="C61" i="76"/>
  <c r="C14" i="76"/>
  <c r="AH16" i="76"/>
  <c r="AG16" i="76" s="1"/>
  <c r="AH20" i="76"/>
  <c r="AG20" i="76" s="1"/>
  <c r="BN37" i="76"/>
  <c r="AT37" i="76"/>
  <c r="BV50" i="76"/>
  <c r="AH54" i="76"/>
  <c r="AG54" i="76" s="1"/>
  <c r="C57" i="76"/>
  <c r="AH59" i="76"/>
  <c r="AG59" i="76" s="1"/>
  <c r="C23" i="76"/>
  <c r="AH36" i="76"/>
  <c r="AG36" i="76" s="1"/>
  <c r="C38" i="76"/>
  <c r="BR37" i="76"/>
  <c r="AH45" i="76"/>
  <c r="AG45" i="76" s="1"/>
  <c r="AH46" i="76"/>
  <c r="AG46" i="76" s="1"/>
  <c r="AP50" i="76"/>
  <c r="AH60" i="76"/>
  <c r="AG60" i="76" s="1"/>
  <c r="AL11" i="76"/>
  <c r="AH21" i="76"/>
  <c r="AG21" i="76" s="1"/>
  <c r="C29" i="76"/>
  <c r="BV37" i="76"/>
  <c r="AH40" i="76"/>
  <c r="AG40" i="76" s="1"/>
  <c r="C11" i="76"/>
  <c r="AG17" i="76"/>
  <c r="AX24" i="76"/>
  <c r="AH26" i="76"/>
  <c r="AH31" i="76"/>
  <c r="AG31" i="76" s="1"/>
  <c r="C34" i="76"/>
  <c r="C43" i="76"/>
  <c r="C49" i="76"/>
  <c r="C54" i="76"/>
  <c r="BR50" i="76"/>
  <c r="AT50" i="76"/>
  <c r="AH13" i="76"/>
  <c r="AG13" i="76" s="1"/>
  <c r="C15" i="76"/>
  <c r="AH41" i="76"/>
  <c r="AG41" i="76" s="1"/>
  <c r="BB50" i="76"/>
  <c r="AX11" i="76"/>
  <c r="AT24" i="76"/>
  <c r="AL24" i="76"/>
  <c r="AH32" i="76"/>
  <c r="AG32" i="76" s="1"/>
  <c r="AG33" i="76"/>
  <c r="C39" i="76"/>
  <c r="AG42" i="76"/>
  <c r="C50" i="76"/>
  <c r="BF50" i="76"/>
  <c r="AG53" i="76"/>
  <c r="AH56" i="76"/>
  <c r="AG56" i="76" s="1"/>
  <c r="BB11" i="76"/>
  <c r="BJ24" i="76"/>
  <c r="AP24" i="76"/>
  <c r="C30" i="76"/>
  <c r="C59" i="76"/>
  <c r="BF11" i="76"/>
  <c r="AH15" i="76"/>
  <c r="AG15" i="76" s="1"/>
  <c r="AH52" i="76"/>
  <c r="AG52" i="76" s="1"/>
  <c r="AL50" i="76"/>
  <c r="C55" i="76"/>
  <c r="AH61" i="76"/>
  <c r="AG61" i="76" s="1"/>
  <c r="C16" i="76"/>
  <c r="AH18" i="76"/>
  <c r="AG18" i="76" s="1"/>
  <c r="BZ37" i="76"/>
  <c r="AH57" i="76"/>
  <c r="AG57" i="76" s="1"/>
  <c r="AO6" i="76"/>
  <c r="BE6" i="76"/>
  <c r="AG26" i="76"/>
  <c r="BM6" i="76"/>
  <c r="K11" i="76"/>
  <c r="AH12" i="76"/>
  <c r="C18" i="76"/>
  <c r="AH27" i="76"/>
  <c r="AG27" i="76" s="1"/>
  <c r="AH51" i="76"/>
  <c r="C19" i="76"/>
  <c r="C27" i="76"/>
  <c r="C35" i="76"/>
  <c r="C44" i="76"/>
  <c r="C47" i="76"/>
  <c r="C62" i="76"/>
  <c r="C24" i="76"/>
  <c r="C25" i="76"/>
  <c r="C53" i="76"/>
  <c r="C22" i="76"/>
  <c r="AL37" i="76"/>
  <c r="C51" i="76"/>
  <c r="AX50" i="76"/>
  <c r="C13" i="76"/>
  <c r="C28" i="76"/>
  <c r="C36" i="76"/>
  <c r="C45" i="76"/>
  <c r="C58" i="76"/>
  <c r="AT11" i="76"/>
  <c r="C20" i="76"/>
  <c r="C31" i="76"/>
  <c r="C40" i="76"/>
  <c r="C48" i="76"/>
  <c r="K25" i="75"/>
  <c r="K24" i="75" s="1"/>
  <c r="K62" i="73"/>
  <c r="K55" i="72"/>
  <c r="K55" i="73"/>
  <c r="K59" i="69"/>
  <c r="K60" i="70"/>
  <c r="K54" i="74"/>
  <c r="K56" i="72"/>
  <c r="K25" i="73"/>
  <c r="K24" i="73" s="1"/>
  <c r="K53" i="74"/>
  <c r="K58" i="75"/>
  <c r="K53" i="72"/>
  <c r="K25" i="74"/>
  <c r="K24" i="74" s="1"/>
  <c r="K61" i="74"/>
  <c r="K60" i="75"/>
  <c r="K53" i="71"/>
  <c r="K58" i="71"/>
  <c r="K53" i="73"/>
  <c r="K59" i="73"/>
  <c r="K56" i="74"/>
  <c r="K55" i="75"/>
  <c r="AH60" i="75"/>
  <c r="AG60" i="75" s="1"/>
  <c r="K59" i="75"/>
  <c r="K57" i="75"/>
  <c r="K51" i="75"/>
  <c r="AO6" i="75"/>
  <c r="BV6" i="75"/>
  <c r="BM6" i="75"/>
  <c r="BQ6" i="75"/>
  <c r="CC6" i="75"/>
  <c r="BI6" i="75"/>
  <c r="BY6" i="75"/>
  <c r="AG38" i="75"/>
  <c r="AH37" i="75"/>
  <c r="AG26" i="75"/>
  <c r="AK6" i="75"/>
  <c r="AW6" i="75"/>
  <c r="BA6" i="75"/>
  <c r="BE6" i="75"/>
  <c r="AH12" i="75"/>
  <c r="C18" i="75"/>
  <c r="AH27" i="75"/>
  <c r="AG27" i="75" s="1"/>
  <c r="BB37" i="75"/>
  <c r="AH51" i="75"/>
  <c r="C19" i="75"/>
  <c r="C27" i="75"/>
  <c r="C35" i="75"/>
  <c r="C44" i="75"/>
  <c r="AH31" i="75"/>
  <c r="AG31" i="75" s="1"/>
  <c r="C39" i="75"/>
  <c r="C47" i="75"/>
  <c r="C62" i="75"/>
  <c r="C24" i="75"/>
  <c r="C25" i="75"/>
  <c r="C53" i="75"/>
  <c r="AT11" i="75"/>
  <c r="C13" i="75"/>
  <c r="C28" i="75"/>
  <c r="C36" i="75"/>
  <c r="C45" i="75"/>
  <c r="C58" i="75"/>
  <c r="C20" i="75"/>
  <c r="C31" i="75"/>
  <c r="C40" i="75"/>
  <c r="C48" i="75"/>
  <c r="K59" i="72"/>
  <c r="K58" i="73"/>
  <c r="K37" i="74"/>
  <c r="N5" i="74" s="1"/>
  <c r="K56" i="73"/>
  <c r="K62" i="74"/>
  <c r="K58" i="72"/>
  <c r="K51" i="73"/>
  <c r="K51" i="74"/>
  <c r="K57" i="74"/>
  <c r="K52" i="74"/>
  <c r="K60" i="74"/>
  <c r="AG38" i="74"/>
  <c r="AX50" i="74"/>
  <c r="BA6" i="74"/>
  <c r="AL11" i="74"/>
  <c r="AX24" i="74"/>
  <c r="BF37" i="74"/>
  <c r="BJ50" i="74"/>
  <c r="AH56" i="74"/>
  <c r="AG56" i="74" s="1"/>
  <c r="BN24" i="74"/>
  <c r="AH31" i="74"/>
  <c r="AG31" i="74" s="1"/>
  <c r="BV11" i="74"/>
  <c r="AH22" i="74"/>
  <c r="AG22" i="74" s="1"/>
  <c r="AG12" i="74"/>
  <c r="BN37" i="74"/>
  <c r="BV50" i="74"/>
  <c r="AH51" i="74"/>
  <c r="AX11" i="74"/>
  <c r="AH23" i="74"/>
  <c r="AG23" i="74" s="1"/>
  <c r="BV37" i="74"/>
  <c r="CD50" i="74"/>
  <c r="BR50" i="74"/>
  <c r="CD37" i="74"/>
  <c r="AH42" i="74"/>
  <c r="AG42" i="74" s="1"/>
  <c r="AP24" i="74"/>
  <c r="BZ50" i="74"/>
  <c r="BF11" i="74"/>
  <c r="AH29" i="74"/>
  <c r="AG29" i="74" s="1"/>
  <c r="BY6" i="74"/>
  <c r="AH14" i="74"/>
  <c r="AG14" i="74" s="1"/>
  <c r="AP11" i="74"/>
  <c r="BQ6" i="74"/>
  <c r="CD24" i="74"/>
  <c r="AH25" i="74"/>
  <c r="K11" i="74"/>
  <c r="BN11" i="74"/>
  <c r="AT11" i="74"/>
  <c r="C15" i="74"/>
  <c r="C33" i="74"/>
  <c r="C42" i="74"/>
  <c r="C50" i="74"/>
  <c r="C60" i="74"/>
  <c r="C22" i="74"/>
  <c r="AL37" i="74"/>
  <c r="C51" i="74"/>
  <c r="C13" i="74"/>
  <c r="C28" i="74"/>
  <c r="C36" i="74"/>
  <c r="C45" i="74"/>
  <c r="C58" i="74"/>
  <c r="C31" i="74"/>
  <c r="C40" i="74"/>
  <c r="C48" i="74"/>
  <c r="K52" i="73"/>
  <c r="K60" i="73"/>
  <c r="AS6" i="73"/>
  <c r="K37" i="73"/>
  <c r="AG12" i="73"/>
  <c r="AH52" i="73"/>
  <c r="AG52" i="73" s="1"/>
  <c r="AT50" i="73"/>
  <c r="CD24" i="73"/>
  <c r="AH25" i="73"/>
  <c r="AX50" i="73"/>
  <c r="AX11" i="73"/>
  <c r="AH13" i="73"/>
  <c r="AG13" i="73" s="1"/>
  <c r="BV24" i="73"/>
  <c r="BB11" i="73"/>
  <c r="AG15" i="73"/>
  <c r="BZ24" i="73"/>
  <c r="AG38" i="73"/>
  <c r="AH36" i="73"/>
  <c r="AG36" i="73" s="1"/>
  <c r="AX37" i="73"/>
  <c r="BB37" i="73"/>
  <c r="AL37" i="73"/>
  <c r="AH45" i="73"/>
  <c r="AG45" i="73" s="1"/>
  <c r="BV50" i="73"/>
  <c r="AH18" i="73"/>
  <c r="AG18" i="73" s="1"/>
  <c r="AH22" i="73"/>
  <c r="AG22" i="73" s="1"/>
  <c r="BF37" i="73"/>
  <c r="AP37" i="73"/>
  <c r="BZ50" i="73"/>
  <c r="BZ11" i="73"/>
  <c r="BN11" i="73"/>
  <c r="AH14" i="73"/>
  <c r="AG14" i="73" s="1"/>
  <c r="BJ37" i="73"/>
  <c r="CD50" i="73"/>
  <c r="BR11" i="73"/>
  <c r="BN37" i="73"/>
  <c r="BR37" i="73"/>
  <c r="AX24" i="73"/>
  <c r="AH26" i="73"/>
  <c r="AG26" i="73" s="1"/>
  <c r="AH32" i="73"/>
  <c r="AG32" i="73" s="1"/>
  <c r="BV37" i="73"/>
  <c r="AH41" i="73"/>
  <c r="AG41" i="73" s="1"/>
  <c r="AH46" i="73"/>
  <c r="AG46" i="73" s="1"/>
  <c r="AL50" i="73"/>
  <c r="K11" i="73"/>
  <c r="BF11" i="73"/>
  <c r="AH23" i="73"/>
  <c r="AG23" i="73" s="1"/>
  <c r="BJ11" i="73"/>
  <c r="AT24" i="73"/>
  <c r="BJ24" i="73"/>
  <c r="AP24" i="73"/>
  <c r="AP50" i="73"/>
  <c r="AG53" i="73"/>
  <c r="BR50" i="73"/>
  <c r="C11" i="73"/>
  <c r="C12" i="73"/>
  <c r="AH51" i="73"/>
  <c r="C57" i="73"/>
  <c r="C19" i="73"/>
  <c r="C27" i="73"/>
  <c r="C35" i="73"/>
  <c r="C44" i="73"/>
  <c r="C24" i="73"/>
  <c r="C25" i="73"/>
  <c r="C53" i="73"/>
  <c r="C20" i="73"/>
  <c r="C13" i="73"/>
  <c r="C28" i="73"/>
  <c r="C36" i="73"/>
  <c r="C45" i="73"/>
  <c r="C58" i="73"/>
  <c r="C31" i="73"/>
  <c r="C40" i="73"/>
  <c r="C48" i="73"/>
  <c r="K61" i="70"/>
  <c r="K60" i="71"/>
  <c r="K61" i="72"/>
  <c r="K56" i="71"/>
  <c r="K62" i="72"/>
  <c r="BU6" i="72"/>
  <c r="BY6" i="72"/>
  <c r="AG51" i="72"/>
  <c r="BE6" i="72"/>
  <c r="K11" i="72"/>
  <c r="AG18" i="72"/>
  <c r="AH52" i="72"/>
  <c r="AG52" i="72" s="1"/>
  <c r="AT50" i="72"/>
  <c r="BB37" i="72"/>
  <c r="BZ50" i="72"/>
  <c r="BB24" i="72"/>
  <c r="AH26" i="72"/>
  <c r="AG26" i="72" s="1"/>
  <c r="AH34" i="72"/>
  <c r="AG34" i="72" s="1"/>
  <c r="AH38" i="72"/>
  <c r="AH46" i="72"/>
  <c r="AG46" i="72" s="1"/>
  <c r="BJ11" i="72"/>
  <c r="AL37" i="72"/>
  <c r="AH56" i="72"/>
  <c r="AG56" i="72" s="1"/>
  <c r="CD24" i="72"/>
  <c r="BB50" i="72"/>
  <c r="AH29" i="72"/>
  <c r="AG29" i="72" s="1"/>
  <c r="CD50" i="72"/>
  <c r="BN11" i="72"/>
  <c r="AH16" i="72"/>
  <c r="AG16" i="72" s="1"/>
  <c r="BJ24" i="72"/>
  <c r="AP37" i="72"/>
  <c r="AH43" i="72"/>
  <c r="AG43" i="72" s="1"/>
  <c r="BR11" i="72"/>
  <c r="K52" i="72"/>
  <c r="BF50" i="72"/>
  <c r="AG12" i="72"/>
  <c r="AX50" i="72"/>
  <c r="AL11" i="72"/>
  <c r="AH25" i="72"/>
  <c r="AX24" i="72"/>
  <c r="AH14" i="72"/>
  <c r="AG14" i="72" s="1"/>
  <c r="BN37" i="72"/>
  <c r="C24" i="72"/>
  <c r="C25" i="72"/>
  <c r="C53" i="72"/>
  <c r="C20" i="72"/>
  <c r="C13" i="72"/>
  <c r="C28" i="72"/>
  <c r="C36" i="72"/>
  <c r="C45" i="72"/>
  <c r="C58" i="72"/>
  <c r="C31" i="72"/>
  <c r="C40" i="72"/>
  <c r="C48" i="72"/>
  <c r="K55" i="71"/>
  <c r="AG52" i="70"/>
  <c r="K25" i="69"/>
  <c r="K24" i="69" s="1"/>
  <c r="K58" i="68"/>
  <c r="K55" i="69"/>
  <c r="K61" i="71"/>
  <c r="K51" i="70"/>
  <c r="K57" i="71"/>
  <c r="K25" i="70"/>
  <c r="K24" i="70" s="1"/>
  <c r="K58" i="69"/>
  <c r="K54" i="71"/>
  <c r="K52" i="71"/>
  <c r="K62" i="71"/>
  <c r="K51" i="71"/>
  <c r="BA6" i="71"/>
  <c r="BE6" i="71"/>
  <c r="AG26" i="71"/>
  <c r="AG38" i="71"/>
  <c r="AH37" i="71"/>
  <c r="BI6" i="71"/>
  <c r="AK6" i="71"/>
  <c r="BV6" i="71"/>
  <c r="CC6" i="71"/>
  <c r="BY6" i="71"/>
  <c r="AP6" i="71"/>
  <c r="BM6" i="71"/>
  <c r="K11" i="71"/>
  <c r="K37" i="71"/>
  <c r="AW6" i="71"/>
  <c r="AH12" i="71"/>
  <c r="C18" i="71"/>
  <c r="AH27" i="71"/>
  <c r="AG27" i="71" s="1"/>
  <c r="AT11" i="71"/>
  <c r="BR24" i="71"/>
  <c r="AH51" i="71"/>
  <c r="C22" i="71"/>
  <c r="C51" i="71"/>
  <c r="C13" i="71"/>
  <c r="C28" i="71"/>
  <c r="C36" i="71"/>
  <c r="C45" i="71"/>
  <c r="C58" i="71"/>
  <c r="BN50" i="71"/>
  <c r="C20" i="71"/>
  <c r="C31" i="71"/>
  <c r="C40" i="71"/>
  <c r="C48" i="71"/>
  <c r="K53" i="70"/>
  <c r="K58" i="70"/>
  <c r="K59" i="70"/>
  <c r="K54" i="70"/>
  <c r="K55" i="70"/>
  <c r="K51" i="69"/>
  <c r="K52" i="69"/>
  <c r="K56" i="70"/>
  <c r="K37" i="70"/>
  <c r="J37" i="70" s="1"/>
  <c r="K54" i="69"/>
  <c r="K62" i="69"/>
  <c r="K52" i="70"/>
  <c r="K57" i="70"/>
  <c r="AG51" i="70"/>
  <c r="AH50" i="70"/>
  <c r="AW6" i="70"/>
  <c r="BU6" i="70"/>
  <c r="BI6" i="70"/>
  <c r="AG38" i="70"/>
  <c r="AH37" i="70"/>
  <c r="AS6" i="70"/>
  <c r="K11" i="70"/>
  <c r="BE6" i="70"/>
  <c r="BY6" i="70"/>
  <c r="CC6" i="70"/>
  <c r="AG12" i="70"/>
  <c r="AH11" i="70"/>
  <c r="AG25" i="70"/>
  <c r="AH24" i="70"/>
  <c r="C18" i="70"/>
  <c r="AH27" i="70"/>
  <c r="AG27" i="70" s="1"/>
  <c r="BN50" i="70"/>
  <c r="AL50" i="70"/>
  <c r="C11" i="70"/>
  <c r="C12" i="70"/>
  <c r="C57" i="70"/>
  <c r="BB11" i="70"/>
  <c r="AH13" i="70"/>
  <c r="AG13" i="70" s="1"/>
  <c r="AP50" i="70"/>
  <c r="AK6" i="70"/>
  <c r="BQ6" i="70"/>
  <c r="C55" i="70"/>
  <c r="C53" i="70"/>
  <c r="C15" i="70"/>
  <c r="C33" i="70"/>
  <c r="C42" i="70"/>
  <c r="C50" i="70"/>
  <c r="C60" i="70"/>
  <c r="C22" i="70"/>
  <c r="AL37" i="70"/>
  <c r="C51" i="70"/>
  <c r="C13" i="70"/>
  <c r="C28" i="70"/>
  <c r="C36" i="70"/>
  <c r="C45" i="70"/>
  <c r="C58" i="70"/>
  <c r="K56" i="69"/>
  <c r="K57" i="69"/>
  <c r="K60" i="69"/>
  <c r="C15" i="69"/>
  <c r="C19" i="69"/>
  <c r="C49" i="69"/>
  <c r="C54" i="69"/>
  <c r="C12" i="69"/>
  <c r="C22" i="69"/>
  <c r="C34" i="69"/>
  <c r="C51" i="69"/>
  <c r="C62" i="69"/>
  <c r="C30" i="69"/>
  <c r="C37" i="69"/>
  <c r="C43" i="69"/>
  <c r="C59" i="69"/>
  <c r="C16" i="69"/>
  <c r="C60" i="69"/>
  <c r="C17" i="69"/>
  <c r="C21" i="69"/>
  <c r="C33" i="69"/>
  <c r="C39" i="69"/>
  <c r="C55" i="69"/>
  <c r="C61" i="69"/>
  <c r="C18" i="69"/>
  <c r="C35" i="69"/>
  <c r="C41" i="69"/>
  <c r="C47" i="69"/>
  <c r="C57" i="69"/>
  <c r="C23" i="69"/>
  <c r="C42" i="69"/>
  <c r="C11" i="69"/>
  <c r="C29" i="69"/>
  <c r="C50" i="69"/>
  <c r="C32" i="69"/>
  <c r="C38" i="69"/>
  <c r="C44" i="69"/>
  <c r="C26" i="69"/>
  <c r="C46" i="69"/>
  <c r="C27" i="69"/>
  <c r="C14" i="69"/>
  <c r="C52" i="69"/>
  <c r="BA6" i="69"/>
  <c r="BB50" i="69"/>
  <c r="AH52" i="69"/>
  <c r="AG52" i="69" s="1"/>
  <c r="AT50" i="69"/>
  <c r="BV11" i="69"/>
  <c r="AP24" i="69"/>
  <c r="AH44" i="69"/>
  <c r="AG44" i="69" s="1"/>
  <c r="AH56" i="69"/>
  <c r="AG56" i="69" s="1"/>
  <c r="AX11" i="69"/>
  <c r="BF11" i="69"/>
  <c r="AH12" i="69"/>
  <c r="AX50" i="69"/>
  <c r="AH38" i="69"/>
  <c r="AX37" i="69"/>
  <c r="BB37" i="69"/>
  <c r="BR11" i="69"/>
  <c r="BV50" i="69"/>
  <c r="AL24" i="69"/>
  <c r="BR50" i="69"/>
  <c r="AT24" i="69"/>
  <c r="AH55" i="69"/>
  <c r="AG55" i="69" s="1"/>
  <c r="AH24" i="69"/>
  <c r="CD24" i="69"/>
  <c r="AT37" i="69"/>
  <c r="BN50" i="69"/>
  <c r="BZ11" i="69"/>
  <c r="AX24" i="69"/>
  <c r="AP50" i="69"/>
  <c r="AH15" i="69"/>
  <c r="AG15" i="69" s="1"/>
  <c r="K37" i="69"/>
  <c r="AH40" i="69"/>
  <c r="AG40" i="69" s="1"/>
  <c r="AL37" i="69"/>
  <c r="K11" i="69"/>
  <c r="AP37" i="69"/>
  <c r="CD50" i="69"/>
  <c r="AH23" i="69"/>
  <c r="AG23" i="69" s="1"/>
  <c r="BJ24" i="69"/>
  <c r="AH18" i="69"/>
  <c r="AG18" i="69" s="1"/>
  <c r="AH34" i="69"/>
  <c r="AG34" i="69" s="1"/>
  <c r="BF24" i="69"/>
  <c r="AH41" i="69"/>
  <c r="AG41" i="69" s="1"/>
  <c r="BN37" i="69"/>
  <c r="AH43" i="69"/>
  <c r="AG43" i="69" s="1"/>
  <c r="BR37" i="69"/>
  <c r="AH26" i="69"/>
  <c r="AG26" i="69" s="1"/>
  <c r="AH29" i="69"/>
  <c r="AG29" i="69" s="1"/>
  <c r="BV37" i="69"/>
  <c r="AL11" i="69"/>
  <c r="AH51" i="69"/>
  <c r="AH21" i="69"/>
  <c r="AG21" i="69" s="1"/>
  <c r="AH54" i="69"/>
  <c r="AG54" i="69" s="1"/>
  <c r="C24" i="69"/>
  <c r="C25" i="69"/>
  <c r="C53" i="69"/>
  <c r="C20" i="69"/>
  <c r="C13" i="69"/>
  <c r="C28" i="69"/>
  <c r="C36" i="69"/>
  <c r="C45" i="69"/>
  <c r="C58" i="69"/>
  <c r="C31" i="69"/>
  <c r="C40" i="69"/>
  <c r="C48" i="69"/>
  <c r="AH16" i="68"/>
  <c r="AG16" i="68" s="1"/>
  <c r="O17" i="68"/>
  <c r="D18" i="68"/>
  <c r="AH21" i="68"/>
  <c r="AG21" i="68" s="1"/>
  <c r="AG28" i="68"/>
  <c r="C30" i="68"/>
  <c r="AH34" i="68"/>
  <c r="AG34" i="68" s="1"/>
  <c r="BR37" i="68"/>
  <c r="D45" i="68"/>
  <c r="D52" i="68"/>
  <c r="BZ50" i="68"/>
  <c r="I62" i="68"/>
  <c r="K62" i="68" s="1"/>
  <c r="M53" i="68"/>
  <c r="I53" i="68" s="1"/>
  <c r="K53" i="68" s="1"/>
  <c r="D11" i="68"/>
  <c r="BF11" i="68"/>
  <c r="AT11" i="68"/>
  <c r="O19" i="68"/>
  <c r="AH20" i="68"/>
  <c r="AG20" i="68" s="1"/>
  <c r="C26" i="68"/>
  <c r="BZ24" i="68"/>
  <c r="BN24" i="68"/>
  <c r="AP24" i="68"/>
  <c r="D41" i="68"/>
  <c r="AH44" i="68"/>
  <c r="AG44" i="68" s="1"/>
  <c r="C49" i="68"/>
  <c r="AX50" i="68"/>
  <c r="D55" i="68"/>
  <c r="AH31" i="68"/>
  <c r="AG31" i="68" s="1"/>
  <c r="AG17" i="68"/>
  <c r="BR24" i="68"/>
  <c r="BJ24" i="68"/>
  <c r="AH27" i="68"/>
  <c r="AG27" i="68" s="1"/>
  <c r="CD37" i="68"/>
  <c r="AG29" i="68"/>
  <c r="C39" i="68"/>
  <c r="AG45" i="68"/>
  <c r="C47" i="68"/>
  <c r="AL50" i="68"/>
  <c r="AX11" i="68"/>
  <c r="AW6" i="68" s="1"/>
  <c r="D39" i="68"/>
  <c r="AH40" i="68"/>
  <c r="AG40" i="68" s="1"/>
  <c r="D47" i="68"/>
  <c r="C12" i="68"/>
  <c r="BR11" i="68"/>
  <c r="D27" i="68"/>
  <c r="AH32" i="68"/>
  <c r="AG32" i="68" s="1"/>
  <c r="C35" i="68"/>
  <c r="AP37" i="68"/>
  <c r="D50" i="68"/>
  <c r="AH59" i="68"/>
  <c r="AG59" i="68" s="1"/>
  <c r="D61" i="68"/>
  <c r="BN11" i="68"/>
  <c r="AH14" i="68"/>
  <c r="AG14" i="68" s="1"/>
  <c r="O20" i="68"/>
  <c r="C27" i="68"/>
  <c r="D34" i="68"/>
  <c r="I55" i="68"/>
  <c r="K55" i="68" s="1"/>
  <c r="D12" i="68"/>
  <c r="AL24" i="68"/>
  <c r="D35" i="68"/>
  <c r="AX37" i="68"/>
  <c r="AT37" i="68"/>
  <c r="C43" i="68"/>
  <c r="AH47" i="68"/>
  <c r="AG47" i="68" s="1"/>
  <c r="BN50" i="68"/>
  <c r="AH54" i="68"/>
  <c r="AG54" i="68" s="1"/>
  <c r="I56" i="68"/>
  <c r="K56" i="68" s="1"/>
  <c r="C57" i="68"/>
  <c r="C11" i="68"/>
  <c r="BB11" i="68"/>
  <c r="AP11" i="68"/>
  <c r="O14" i="68"/>
  <c r="D20" i="68"/>
  <c r="BV24" i="68"/>
  <c r="BZ11" i="68"/>
  <c r="C17" i="68"/>
  <c r="AH19" i="68"/>
  <c r="AG19" i="68" s="1"/>
  <c r="D22" i="68"/>
  <c r="D28" i="68"/>
  <c r="D43" i="68"/>
  <c r="BJ50" i="68"/>
  <c r="D57" i="68"/>
  <c r="O16" i="68"/>
  <c r="D17" i="68"/>
  <c r="O21" i="68"/>
  <c r="D36" i="68"/>
  <c r="AH41" i="68"/>
  <c r="AG41" i="68" s="1"/>
  <c r="C44" i="68"/>
  <c r="D51" i="68"/>
  <c r="I61" i="68"/>
  <c r="C62" i="68"/>
  <c r="BJ11" i="68"/>
  <c r="O15" i="68"/>
  <c r="AH18" i="68"/>
  <c r="AG18" i="68" s="1"/>
  <c r="C21" i="68"/>
  <c r="AH23" i="68"/>
  <c r="AG23" i="68" s="1"/>
  <c r="D26" i="68"/>
  <c r="CD24" i="68"/>
  <c r="AT24" i="68"/>
  <c r="C34" i="68"/>
  <c r="AH38" i="68"/>
  <c r="AH37" i="68" s="1"/>
  <c r="AH46" i="68"/>
  <c r="AG46" i="68" s="1"/>
  <c r="D49" i="68"/>
  <c r="AP50" i="68"/>
  <c r="D21" i="68"/>
  <c r="D42" i="68"/>
  <c r="AT50" i="68"/>
  <c r="D56" i="68"/>
  <c r="AH56" i="68"/>
  <c r="AG56" i="68" s="1"/>
  <c r="D13" i="68"/>
  <c r="AX24" i="68"/>
  <c r="D29" i="68"/>
  <c r="D44" i="68"/>
  <c r="AH49" i="68"/>
  <c r="AG49" i="68" s="1"/>
  <c r="AH55" i="68"/>
  <c r="AG55" i="68" s="1"/>
  <c r="D62" i="68"/>
  <c r="BJ37" i="68"/>
  <c r="AH43" i="68"/>
  <c r="AG43" i="68" s="1"/>
  <c r="AH35" i="68"/>
  <c r="AG35" i="68" s="1"/>
  <c r="D15" i="68"/>
  <c r="D40" i="68"/>
  <c r="D33" i="68"/>
  <c r="C41" i="68"/>
  <c r="D48" i="68"/>
  <c r="AH48" i="68"/>
  <c r="AG48" i="68" s="1"/>
  <c r="I54" i="68"/>
  <c r="K54" i="68" s="1"/>
  <c r="C55" i="68"/>
  <c r="AH57" i="68"/>
  <c r="AG57" i="68" s="1"/>
  <c r="I59" i="68"/>
  <c r="D60" i="68"/>
  <c r="I60" i="68"/>
  <c r="D16" i="68"/>
  <c r="O12" i="68"/>
  <c r="C18" i="68"/>
  <c r="O22" i="68"/>
  <c r="D23" i="68"/>
  <c r="BB24" i="68"/>
  <c r="AH26" i="68"/>
  <c r="AG26" i="68" s="1"/>
  <c r="D37" i="68"/>
  <c r="BN37" i="68"/>
  <c r="I57" i="68"/>
  <c r="K57" i="68" s="1"/>
  <c r="K52" i="68"/>
  <c r="BF50" i="68"/>
  <c r="K51" i="68"/>
  <c r="K25" i="68"/>
  <c r="K24" i="68" s="1"/>
  <c r="K60" i="68"/>
  <c r="BB50" i="68"/>
  <c r="K61" i="68"/>
  <c r="AH52" i="68"/>
  <c r="AG52" i="68" s="1"/>
  <c r="AH53" i="68"/>
  <c r="AG53" i="68" s="1"/>
  <c r="K59" i="68"/>
  <c r="AG38" i="68"/>
  <c r="K11" i="68"/>
  <c r="BU6" i="68"/>
  <c r="BI6" i="68"/>
  <c r="BM6" i="68"/>
  <c r="AH12" i="68"/>
  <c r="C16" i="68"/>
  <c r="AH30" i="68"/>
  <c r="AG30" i="68" s="1"/>
  <c r="AH39" i="68"/>
  <c r="AG39" i="68" s="1"/>
  <c r="C61" i="68"/>
  <c r="C23" i="68"/>
  <c r="C29" i="68"/>
  <c r="C37" i="68"/>
  <c r="C38" i="68"/>
  <c r="C46" i="68"/>
  <c r="C52" i="68"/>
  <c r="AH62" i="68"/>
  <c r="AG62" i="68" s="1"/>
  <c r="CD11" i="68"/>
  <c r="C24" i="68"/>
  <c r="C25" i="68"/>
  <c r="C53" i="68"/>
  <c r="C15" i="68"/>
  <c r="C33" i="68"/>
  <c r="C42" i="68"/>
  <c r="C50" i="68"/>
  <c r="C60" i="68"/>
  <c r="C22" i="68"/>
  <c r="AL37" i="68"/>
  <c r="C51" i="68"/>
  <c r="C20" i="68"/>
  <c r="C13" i="68"/>
  <c r="C28" i="68"/>
  <c r="C36" i="68"/>
  <c r="C45" i="68"/>
  <c r="C58" i="68"/>
  <c r="C31" i="68"/>
  <c r="C40" i="68"/>
  <c r="C48" i="68"/>
  <c r="AH6" i="79" l="1"/>
  <c r="J11" i="77"/>
  <c r="K50" i="77"/>
  <c r="J50" i="77" s="1"/>
  <c r="BR6" i="78"/>
  <c r="BE6" i="78"/>
  <c r="AH37" i="78"/>
  <c r="AO6" i="78"/>
  <c r="J24" i="78"/>
  <c r="N4" i="78"/>
  <c r="BI6" i="78"/>
  <c r="BZ6" i="78"/>
  <c r="J11" i="78"/>
  <c r="N3" i="78"/>
  <c r="BN6" i="78"/>
  <c r="AH24" i="78"/>
  <c r="AG25" i="78"/>
  <c r="BA6" i="78"/>
  <c r="CC6" i="78"/>
  <c r="AW6" i="78"/>
  <c r="AK6" i="78"/>
  <c r="AH50" i="78"/>
  <c r="AS6" i="78"/>
  <c r="BU6" i="78"/>
  <c r="BR6" i="77"/>
  <c r="BJ6" i="77"/>
  <c r="BN6" i="77"/>
  <c r="BV6" i="77"/>
  <c r="AG51" i="77"/>
  <c r="AH50" i="77"/>
  <c r="AG12" i="77"/>
  <c r="AH11" i="77"/>
  <c r="AX6" i="77"/>
  <c r="BZ6" i="77"/>
  <c r="AK6" i="77"/>
  <c r="AT6" i="77"/>
  <c r="BB6" i="77"/>
  <c r="J24" i="77"/>
  <c r="N4" i="77"/>
  <c r="BF6" i="77"/>
  <c r="AP6" i="77"/>
  <c r="CD6" i="77"/>
  <c r="BA6" i="76"/>
  <c r="AH37" i="76"/>
  <c r="BY6" i="76"/>
  <c r="BZ6" i="76" s="1"/>
  <c r="AK6" i="76"/>
  <c r="CC6" i="76"/>
  <c r="BI6" i="76"/>
  <c r="BQ6" i="76"/>
  <c r="BU6" i="76"/>
  <c r="AH24" i="76"/>
  <c r="AL6" i="76"/>
  <c r="BJ6" i="76"/>
  <c r="BB6" i="76"/>
  <c r="CD6" i="76"/>
  <c r="AH50" i="76"/>
  <c r="AG51" i="76"/>
  <c r="BN6" i="76"/>
  <c r="N3" i="76"/>
  <c r="N4" i="76"/>
  <c r="AW6" i="76"/>
  <c r="AG12" i="76"/>
  <c r="AH11" i="76"/>
  <c r="BR6" i="76"/>
  <c r="BF6" i="76"/>
  <c r="AS6" i="76"/>
  <c r="AP6" i="76"/>
  <c r="K50" i="73"/>
  <c r="N6" i="73" s="1"/>
  <c r="K50" i="69"/>
  <c r="J50" i="69" s="1"/>
  <c r="J37" i="74"/>
  <c r="K50" i="74"/>
  <c r="N6" i="74" s="1"/>
  <c r="BF6" i="75"/>
  <c r="BZ6" i="75"/>
  <c r="BB6" i="75"/>
  <c r="AH50" i="75"/>
  <c r="AG51" i="75"/>
  <c r="J24" i="75"/>
  <c r="N4" i="75"/>
  <c r="CD6" i="75"/>
  <c r="J11" i="75"/>
  <c r="N3" i="75"/>
  <c r="BR6" i="75"/>
  <c r="AX6" i="75"/>
  <c r="AG12" i="75"/>
  <c r="AH11" i="75"/>
  <c r="BJ6" i="75"/>
  <c r="AL6" i="75"/>
  <c r="AH24" i="75"/>
  <c r="BN6" i="75"/>
  <c r="AS6" i="75"/>
  <c r="AP6" i="75"/>
  <c r="BI6" i="74"/>
  <c r="CC6" i="74"/>
  <c r="J24" i="74"/>
  <c r="N4" i="74"/>
  <c r="AG25" i="74"/>
  <c r="AH24" i="74"/>
  <c r="BM6" i="74"/>
  <c r="BR6" i="74"/>
  <c r="AK6" i="74"/>
  <c r="AO6" i="74"/>
  <c r="BU6" i="74"/>
  <c r="BE6" i="74"/>
  <c r="AH11" i="74"/>
  <c r="BB6" i="74"/>
  <c r="AH37" i="74"/>
  <c r="BZ6" i="74"/>
  <c r="AS6" i="74"/>
  <c r="AW6" i="74"/>
  <c r="J11" i="74"/>
  <c r="N3" i="74"/>
  <c r="AH50" i="74"/>
  <c r="AG51" i="74"/>
  <c r="AT6" i="73"/>
  <c r="BQ6" i="73"/>
  <c r="AO6" i="73"/>
  <c r="AH37" i="73"/>
  <c r="AK6" i="73"/>
  <c r="AG51" i="73"/>
  <c r="AH50" i="73"/>
  <c r="BI6" i="73"/>
  <c r="BM6" i="73"/>
  <c r="AH11" i="73"/>
  <c r="BY6" i="73"/>
  <c r="BA6" i="73"/>
  <c r="N5" i="73"/>
  <c r="J37" i="73"/>
  <c r="BE6" i="73"/>
  <c r="J11" i="73"/>
  <c r="N3" i="73"/>
  <c r="J24" i="73"/>
  <c r="N4" i="73"/>
  <c r="CC6" i="73"/>
  <c r="AW6" i="73"/>
  <c r="AH24" i="73"/>
  <c r="AG25" i="73"/>
  <c r="BU6" i="73"/>
  <c r="K50" i="70"/>
  <c r="J50" i="70" s="1"/>
  <c r="AK6" i="72"/>
  <c r="BZ6" i="72"/>
  <c r="J24" i="72"/>
  <c r="N4" i="72"/>
  <c r="BF6" i="72"/>
  <c r="BA6" i="72"/>
  <c r="AW6" i="72"/>
  <c r="AH11" i="72"/>
  <c r="BM6" i="72"/>
  <c r="J11" i="72"/>
  <c r="N3" i="72"/>
  <c r="BI6" i="72"/>
  <c r="CC6" i="72"/>
  <c r="AG38" i="72"/>
  <c r="AH37" i="72"/>
  <c r="AS6" i="72"/>
  <c r="AO6" i="72"/>
  <c r="BQ6" i="72"/>
  <c r="AH50" i="72"/>
  <c r="AG25" i="72"/>
  <c r="AH24" i="72"/>
  <c r="BV6" i="72"/>
  <c r="K50" i="71"/>
  <c r="J6" i="71" s="1"/>
  <c r="K3" i="71" s="1"/>
  <c r="AL6" i="71"/>
  <c r="N5" i="71"/>
  <c r="J37" i="71"/>
  <c r="J11" i="71"/>
  <c r="N3" i="71"/>
  <c r="AH50" i="71"/>
  <c r="AG51" i="71"/>
  <c r="BN6" i="71"/>
  <c r="J24" i="71"/>
  <c r="N4" i="71"/>
  <c r="AH24" i="71"/>
  <c r="BB6" i="71"/>
  <c r="AX6" i="71"/>
  <c r="BJ6" i="71"/>
  <c r="AS6" i="71"/>
  <c r="BZ6" i="71"/>
  <c r="AG12" i="71"/>
  <c r="AH11" i="71"/>
  <c r="CD6" i="71"/>
  <c r="BQ6" i="71"/>
  <c r="BF6" i="71"/>
  <c r="N5" i="70"/>
  <c r="BR6" i="70"/>
  <c r="CD6" i="70"/>
  <c r="BZ6" i="70"/>
  <c r="BA6" i="70"/>
  <c r="BM6" i="70"/>
  <c r="AL6" i="70"/>
  <c r="BF6" i="70"/>
  <c r="AG6" i="70"/>
  <c r="BJ6" i="70"/>
  <c r="BV6" i="70"/>
  <c r="AX6" i="70"/>
  <c r="J24" i="70"/>
  <c r="N4" i="70"/>
  <c r="AO6" i="70"/>
  <c r="J11" i="70"/>
  <c r="N3" i="70"/>
  <c r="AT6" i="70"/>
  <c r="J24" i="69"/>
  <c r="N4" i="69"/>
  <c r="AG51" i="69"/>
  <c r="AH50" i="69"/>
  <c r="BE6" i="69"/>
  <c r="AK6" i="69"/>
  <c r="J11" i="69"/>
  <c r="N3" i="69"/>
  <c r="AW6" i="69"/>
  <c r="N5" i="69"/>
  <c r="J37" i="69"/>
  <c r="BQ6" i="69"/>
  <c r="BU6" i="69"/>
  <c r="AS6" i="69"/>
  <c r="CC6" i="69"/>
  <c r="AG12" i="69"/>
  <c r="AH11" i="69"/>
  <c r="BB6" i="69"/>
  <c r="BY6" i="69"/>
  <c r="AH37" i="69"/>
  <c r="AG38" i="69"/>
  <c r="AO6" i="69"/>
  <c r="BI6" i="69"/>
  <c r="BM6" i="69"/>
  <c r="AH24" i="68"/>
  <c r="AS6" i="68"/>
  <c r="BY6" i="68"/>
  <c r="AO6" i="68"/>
  <c r="BQ6" i="68"/>
  <c r="BA6" i="68"/>
  <c r="BE6" i="68"/>
  <c r="BF6" i="68" s="1"/>
  <c r="K50" i="68"/>
  <c r="N6" i="68" s="1"/>
  <c r="AH50" i="68"/>
  <c r="AT6" i="68"/>
  <c r="BJ6" i="68"/>
  <c r="J11" i="68"/>
  <c r="N3" i="68"/>
  <c r="AG12" i="68"/>
  <c r="AH11" i="68"/>
  <c r="BZ6" i="68"/>
  <c r="AP6" i="68"/>
  <c r="BV6" i="68"/>
  <c r="AK6" i="68"/>
  <c r="CC6" i="68"/>
  <c r="BR6" i="68"/>
  <c r="J24" i="68"/>
  <c r="N4" i="68"/>
  <c r="BN6" i="68"/>
  <c r="AX6" i="68"/>
  <c r="J6" i="74" l="1"/>
  <c r="K3" i="74" s="1"/>
  <c r="J50" i="71"/>
  <c r="N6" i="71"/>
  <c r="N7" i="71" s="1"/>
  <c r="O4" i="71" s="1"/>
  <c r="N6" i="77"/>
  <c r="AG6" i="78"/>
  <c r="AH6" i="78" s="1"/>
  <c r="J50" i="73"/>
  <c r="J6" i="69"/>
  <c r="K3" i="69" s="1"/>
  <c r="N6" i="69"/>
  <c r="N7" i="69" s="1"/>
  <c r="J6" i="73"/>
  <c r="K3" i="73" s="1"/>
  <c r="N6" i="70"/>
  <c r="N7" i="70" s="1"/>
  <c r="O5" i="70" s="1"/>
  <c r="BV6" i="78"/>
  <c r="AL6" i="78"/>
  <c r="CD6" i="78"/>
  <c r="AT6" i="78"/>
  <c r="BJ6" i="78"/>
  <c r="AP6" i="78"/>
  <c r="AX6" i="78"/>
  <c r="BB6" i="78"/>
  <c r="BF6" i="78"/>
  <c r="AG6" i="77"/>
  <c r="AL6" i="77"/>
  <c r="BV6" i="76"/>
  <c r="AG6" i="76"/>
  <c r="AX6" i="76"/>
  <c r="AT6" i="76"/>
  <c r="J50" i="74"/>
  <c r="J6" i="70"/>
  <c r="K3" i="70" s="1"/>
  <c r="AG6" i="75"/>
  <c r="AT6" i="75"/>
  <c r="BN6" i="74"/>
  <c r="AL6" i="74"/>
  <c r="BF6" i="74"/>
  <c r="AP6" i="74"/>
  <c r="CD6" i="74"/>
  <c r="AT6" i="74"/>
  <c r="N7" i="74"/>
  <c r="O5" i="74" s="1"/>
  <c r="BJ6" i="74"/>
  <c r="BV6" i="74"/>
  <c r="AX6" i="74"/>
  <c r="AG6" i="74"/>
  <c r="BV6" i="73"/>
  <c r="AG6" i="73"/>
  <c r="AX6" i="73"/>
  <c r="BN6" i="73"/>
  <c r="CD6" i="73"/>
  <c r="BJ6" i="73"/>
  <c r="N7" i="73"/>
  <c r="O5" i="73" s="1"/>
  <c r="AL6" i="73"/>
  <c r="BF6" i="73"/>
  <c r="AP6" i="73"/>
  <c r="BR6" i="73"/>
  <c r="BB6" i="73"/>
  <c r="BZ6" i="73"/>
  <c r="AG6" i="72"/>
  <c r="BR6" i="72"/>
  <c r="AX6" i="72"/>
  <c r="BB6" i="72"/>
  <c r="BJ6" i="72"/>
  <c r="AL6" i="72"/>
  <c r="BN6" i="72"/>
  <c r="AP6" i="72"/>
  <c r="AT6" i="72"/>
  <c r="CD6" i="72"/>
  <c r="AG6" i="71"/>
  <c r="BR6" i="71"/>
  <c r="AT6" i="71"/>
  <c r="AH6" i="70"/>
  <c r="AP6" i="70"/>
  <c r="BN6" i="70"/>
  <c r="BB6" i="70"/>
  <c r="BF6" i="69"/>
  <c r="BV6" i="69"/>
  <c r="BR6" i="69"/>
  <c r="BN6" i="69"/>
  <c r="BJ6" i="69"/>
  <c r="AP6" i="69"/>
  <c r="BZ6" i="69"/>
  <c r="AX6" i="69"/>
  <c r="AG6" i="69"/>
  <c r="AL6" i="69"/>
  <c r="CD6" i="69"/>
  <c r="AT6" i="69"/>
  <c r="BB6" i="68"/>
  <c r="J50" i="68"/>
  <c r="AG6" i="68"/>
  <c r="CD6" i="68"/>
  <c r="AL6" i="68"/>
  <c r="O4" i="69" l="1"/>
  <c r="O3" i="69"/>
  <c r="AH6" i="77"/>
  <c r="AH6" i="76"/>
  <c r="O3" i="74"/>
  <c r="AH6" i="75"/>
  <c r="O3" i="73"/>
  <c r="O4" i="74"/>
  <c r="O6" i="74"/>
  <c r="AH6" i="74"/>
  <c r="O6" i="73"/>
  <c r="O4" i="73"/>
  <c r="AH6" i="73"/>
  <c r="O6" i="71"/>
  <c r="O6" i="70"/>
  <c r="AH6" i="72"/>
  <c r="O5" i="71"/>
  <c r="O3" i="71"/>
  <c r="AH6" i="71"/>
  <c r="O6" i="69"/>
  <c r="O5" i="69"/>
  <c r="O4" i="70"/>
  <c r="O3" i="70"/>
  <c r="AH6" i="69"/>
  <c r="AH6" i="68"/>
  <c r="D92" i="3" l="1"/>
  <c r="J53" i="75" s="1"/>
  <c r="K53" i="75" l="1"/>
  <c r="D91" i="3"/>
  <c r="J56" i="75" s="1"/>
  <c r="D86" i="3"/>
  <c r="J52" i="75" s="1"/>
  <c r="M51" i="67"/>
  <c r="I52" i="67"/>
  <c r="O51" i="67"/>
  <c r="I51" i="67" s="1"/>
  <c r="CD62" i="67"/>
  <c r="BZ62" i="67"/>
  <c r="BV62" i="67"/>
  <c r="BR62" i="67"/>
  <c r="BN62" i="67"/>
  <c r="BJ62" i="67"/>
  <c r="BF62" i="67"/>
  <c r="BB62" i="67"/>
  <c r="AX62" i="67"/>
  <c r="AT62" i="67"/>
  <c r="AP62" i="67"/>
  <c r="AL62" i="67"/>
  <c r="AH62" i="67"/>
  <c r="AG62" i="67"/>
  <c r="AF62" i="67"/>
  <c r="AD62" i="67"/>
  <c r="J62" i="67"/>
  <c r="I62" i="67"/>
  <c r="G62" i="67"/>
  <c r="D62" i="67"/>
  <c r="C62" i="67"/>
  <c r="CD61" i="67"/>
  <c r="BZ61" i="67"/>
  <c r="BV61" i="67"/>
  <c r="BR61" i="67"/>
  <c r="BN61" i="67"/>
  <c r="BJ61" i="67"/>
  <c r="BF61" i="67"/>
  <c r="AH61" i="67" s="1"/>
  <c r="AG61" i="67" s="1"/>
  <c r="BB61" i="67"/>
  <c r="AX61" i="67"/>
  <c r="AT61" i="67"/>
  <c r="AP61" i="67"/>
  <c r="AL61" i="67"/>
  <c r="AF61" i="67"/>
  <c r="AD61" i="67"/>
  <c r="J61" i="67"/>
  <c r="I61" i="67"/>
  <c r="G61" i="67"/>
  <c r="D61" i="67"/>
  <c r="C61" i="67"/>
  <c r="CD60" i="67"/>
  <c r="BZ60" i="67"/>
  <c r="BV60" i="67"/>
  <c r="BR60" i="67"/>
  <c r="BN60" i="67"/>
  <c r="BJ60" i="67"/>
  <c r="BF60" i="67"/>
  <c r="BB60" i="67"/>
  <c r="AX60" i="67"/>
  <c r="AT60" i="67"/>
  <c r="AP60" i="67"/>
  <c r="AL60" i="67"/>
  <c r="AH60" i="67" s="1"/>
  <c r="AF60" i="67"/>
  <c r="AG60" i="67" s="1"/>
  <c r="AD60" i="67"/>
  <c r="I60" i="67"/>
  <c r="G60" i="67"/>
  <c r="D60" i="67"/>
  <c r="C60" i="67"/>
  <c r="CD59" i="67"/>
  <c r="BZ59" i="67"/>
  <c r="BV59" i="67"/>
  <c r="BR59" i="67"/>
  <c r="BN59" i="67"/>
  <c r="BJ59" i="67"/>
  <c r="BF59" i="67"/>
  <c r="BB59" i="67"/>
  <c r="AX59" i="67"/>
  <c r="AH59" i="67" s="1"/>
  <c r="AG59" i="67" s="1"/>
  <c r="AT59" i="67"/>
  <c r="AP59" i="67"/>
  <c r="AL59" i="67"/>
  <c r="AF59" i="67"/>
  <c r="AD59" i="67"/>
  <c r="J59" i="67"/>
  <c r="I59" i="67"/>
  <c r="G59" i="67"/>
  <c r="D59" i="67"/>
  <c r="C59" i="67"/>
  <c r="CD58" i="67"/>
  <c r="BZ58" i="67"/>
  <c r="BV58" i="67"/>
  <c r="BR58" i="67"/>
  <c r="BN58" i="67"/>
  <c r="BJ58" i="67"/>
  <c r="BF58" i="67"/>
  <c r="BB58" i="67"/>
  <c r="AX58" i="67"/>
  <c r="AT58" i="67"/>
  <c r="AH58" i="67" s="1"/>
  <c r="AG58" i="67" s="1"/>
  <c r="AP58" i="67"/>
  <c r="AL58" i="67"/>
  <c r="AF58" i="67"/>
  <c r="AD58" i="67"/>
  <c r="J58" i="67"/>
  <c r="I58" i="67"/>
  <c r="G58" i="67"/>
  <c r="D58" i="67"/>
  <c r="CD57" i="67"/>
  <c r="BZ57" i="67"/>
  <c r="BV57" i="67"/>
  <c r="BR57" i="67"/>
  <c r="BN57" i="67"/>
  <c r="BJ57" i="67"/>
  <c r="BF57" i="67"/>
  <c r="BB57" i="67"/>
  <c r="AX57" i="67"/>
  <c r="AT57" i="67"/>
  <c r="AP57" i="67"/>
  <c r="AL57" i="67"/>
  <c r="AF57" i="67"/>
  <c r="AD57" i="67"/>
  <c r="J57" i="67"/>
  <c r="I57" i="67"/>
  <c r="G57" i="67"/>
  <c r="D57" i="67"/>
  <c r="C57" i="67"/>
  <c r="CD56" i="67"/>
  <c r="BZ56" i="67"/>
  <c r="BV56" i="67"/>
  <c r="BR56" i="67"/>
  <c r="BN56" i="67"/>
  <c r="BJ56" i="67"/>
  <c r="BF56" i="67"/>
  <c r="BB56" i="67"/>
  <c r="AX56" i="67"/>
  <c r="AT56" i="67"/>
  <c r="AP56" i="67"/>
  <c r="AL56" i="67"/>
  <c r="AH56" i="67"/>
  <c r="AF56" i="67"/>
  <c r="AG56" i="67" s="1"/>
  <c r="AD56" i="67"/>
  <c r="J56" i="67"/>
  <c r="I56" i="67"/>
  <c r="G56" i="67"/>
  <c r="D56" i="67"/>
  <c r="CD55" i="67"/>
  <c r="BZ55" i="67"/>
  <c r="BV55" i="67"/>
  <c r="BR55" i="67"/>
  <c r="BN55" i="67"/>
  <c r="BJ55" i="67"/>
  <c r="BF55" i="67"/>
  <c r="BB55" i="67"/>
  <c r="AX55" i="67"/>
  <c r="AT55" i="67"/>
  <c r="AP55" i="67"/>
  <c r="AP50" i="67" s="1"/>
  <c r="AL55" i="67"/>
  <c r="AH55" i="67"/>
  <c r="AG55" i="67" s="1"/>
  <c r="AF55" i="67"/>
  <c r="AD55" i="67"/>
  <c r="J55" i="67"/>
  <c r="I55" i="67"/>
  <c r="G55" i="67"/>
  <c r="D55" i="67"/>
  <c r="C55" i="67"/>
  <c r="CD54" i="67"/>
  <c r="BZ54" i="67"/>
  <c r="BV54" i="67"/>
  <c r="BR54" i="67"/>
  <c r="BN54" i="67"/>
  <c r="BN50" i="67" s="1"/>
  <c r="BJ54" i="67"/>
  <c r="AH54" i="67" s="1"/>
  <c r="AG54" i="67" s="1"/>
  <c r="BF54" i="67"/>
  <c r="BB54" i="67"/>
  <c r="AX54" i="67"/>
  <c r="AT54" i="67"/>
  <c r="AP54" i="67"/>
  <c r="AL54" i="67"/>
  <c r="AF54" i="67"/>
  <c r="AD54" i="67"/>
  <c r="J54" i="67"/>
  <c r="I54" i="67"/>
  <c r="G54" i="67"/>
  <c r="D54" i="67"/>
  <c r="CD53" i="67"/>
  <c r="BZ53" i="67"/>
  <c r="BV53" i="67"/>
  <c r="BR53" i="67"/>
  <c r="BN53" i="67"/>
  <c r="BJ53" i="67"/>
  <c r="BF53" i="67"/>
  <c r="BB53" i="67"/>
  <c r="AH53" i="67" s="1"/>
  <c r="AX53" i="67"/>
  <c r="AT53" i="67"/>
  <c r="AT50" i="67" s="1"/>
  <c r="AP53" i="67"/>
  <c r="AL53" i="67"/>
  <c r="AF53" i="67"/>
  <c r="AD53" i="67"/>
  <c r="J53" i="67"/>
  <c r="I53" i="67"/>
  <c r="G53" i="67"/>
  <c r="D53" i="67"/>
  <c r="C53" i="67"/>
  <c r="CD52" i="67"/>
  <c r="BZ52" i="67"/>
  <c r="BV52" i="67"/>
  <c r="BR52" i="67"/>
  <c r="BN52" i="67"/>
  <c r="BJ52" i="67"/>
  <c r="BF52" i="67"/>
  <c r="BB52" i="67"/>
  <c r="AH52" i="67" s="1"/>
  <c r="AX52" i="67"/>
  <c r="AT52" i="67"/>
  <c r="AP52" i="67"/>
  <c r="AL52" i="67"/>
  <c r="AF52" i="67"/>
  <c r="AD52" i="67"/>
  <c r="J52" i="67"/>
  <c r="G52" i="67"/>
  <c r="D52" i="67"/>
  <c r="C52" i="67"/>
  <c r="CD51" i="67"/>
  <c r="BZ51" i="67"/>
  <c r="BV51" i="67"/>
  <c r="BR51" i="67"/>
  <c r="BN51" i="67"/>
  <c r="BJ51" i="67"/>
  <c r="BF51" i="67"/>
  <c r="BF50" i="67" s="1"/>
  <c r="BB51" i="67"/>
  <c r="AX51" i="67"/>
  <c r="AX50" i="67" s="1"/>
  <c r="AT51" i="67"/>
  <c r="AP51" i="67"/>
  <c r="AL51" i="67"/>
  <c r="AF51" i="67"/>
  <c r="AD51" i="67"/>
  <c r="J51" i="67"/>
  <c r="G51" i="67"/>
  <c r="D51" i="67"/>
  <c r="C51" i="67"/>
  <c r="CD50" i="67"/>
  <c r="BZ50" i="67"/>
  <c r="BV50" i="67"/>
  <c r="AD50" i="67"/>
  <c r="D50" i="67"/>
  <c r="C50" i="67"/>
  <c r="CD49" i="67"/>
  <c r="BZ49" i="67"/>
  <c r="BV49" i="67"/>
  <c r="BR49" i="67"/>
  <c r="BN49" i="67"/>
  <c r="BJ49" i="67"/>
  <c r="BF49" i="67"/>
  <c r="BB49" i="67"/>
  <c r="AX49" i="67"/>
  <c r="AH49" i="67" s="1"/>
  <c r="AG49" i="67" s="1"/>
  <c r="AT49" i="67"/>
  <c r="AP49" i="67"/>
  <c r="AL49" i="67"/>
  <c r="AF49" i="67"/>
  <c r="AD49" i="67"/>
  <c r="J49" i="67"/>
  <c r="K49" i="67" s="1"/>
  <c r="G49" i="67"/>
  <c r="D49" i="67"/>
  <c r="C49" i="67"/>
  <c r="CD48" i="67"/>
  <c r="BZ48" i="67"/>
  <c r="BV48" i="67"/>
  <c r="BR48" i="67"/>
  <c r="BN48" i="67"/>
  <c r="BJ48" i="67"/>
  <c r="BF48" i="67"/>
  <c r="BB48" i="67"/>
  <c r="AX48" i="67"/>
  <c r="AT48" i="67"/>
  <c r="AP48" i="67"/>
  <c r="AL48" i="67"/>
  <c r="AH48" i="67" s="1"/>
  <c r="AG48" i="67" s="1"/>
  <c r="AF48" i="67"/>
  <c r="AD48" i="67"/>
  <c r="J48" i="67"/>
  <c r="K48" i="67" s="1"/>
  <c r="G48" i="67"/>
  <c r="D48" i="67"/>
  <c r="CD47" i="67"/>
  <c r="BZ47" i="67"/>
  <c r="BV47" i="67"/>
  <c r="BR47" i="67"/>
  <c r="BN47" i="67"/>
  <c r="BJ47" i="67"/>
  <c r="BF47" i="67"/>
  <c r="BB47" i="67"/>
  <c r="AH47" i="67" s="1"/>
  <c r="AG47" i="67" s="1"/>
  <c r="AX47" i="67"/>
  <c r="AT47" i="67"/>
  <c r="AP47" i="67"/>
  <c r="AL47" i="67"/>
  <c r="AF47" i="67"/>
  <c r="AD47" i="67"/>
  <c r="J47" i="67"/>
  <c r="K47" i="67" s="1"/>
  <c r="G47" i="67"/>
  <c r="D47" i="67"/>
  <c r="C47" i="67"/>
  <c r="CD46" i="67"/>
  <c r="BZ46" i="67"/>
  <c r="BV46" i="67"/>
  <c r="BR46" i="67"/>
  <c r="BN46" i="67"/>
  <c r="BJ46" i="67"/>
  <c r="BF46" i="67"/>
  <c r="BB46" i="67"/>
  <c r="AX46" i="67"/>
  <c r="AT46" i="67"/>
  <c r="AP46" i="67"/>
  <c r="AL46" i="67"/>
  <c r="AF46" i="67"/>
  <c r="AD46" i="67"/>
  <c r="J46" i="67"/>
  <c r="K46" i="67" s="1"/>
  <c r="G46" i="67"/>
  <c r="D46" i="67"/>
  <c r="C46" i="67"/>
  <c r="CD45" i="67"/>
  <c r="BZ45" i="67"/>
  <c r="BV45" i="67"/>
  <c r="BR45" i="67"/>
  <c r="BN45" i="67"/>
  <c r="BJ45" i="67"/>
  <c r="BF45" i="67"/>
  <c r="BB45" i="67"/>
  <c r="AX45" i="67"/>
  <c r="AT45" i="67"/>
  <c r="AP45" i="67"/>
  <c r="AL45" i="67"/>
  <c r="AH45" i="67"/>
  <c r="AF45" i="67"/>
  <c r="AD45" i="67"/>
  <c r="J45" i="67"/>
  <c r="K45" i="67" s="1"/>
  <c r="G45" i="67"/>
  <c r="D45" i="67"/>
  <c r="CD44" i="67"/>
  <c r="BZ44" i="67"/>
  <c r="BV44" i="67"/>
  <c r="BR44" i="67"/>
  <c r="BN44" i="67"/>
  <c r="BJ44" i="67"/>
  <c r="BF44" i="67"/>
  <c r="BB44" i="67"/>
  <c r="AX44" i="67"/>
  <c r="AT44" i="67"/>
  <c r="AP44" i="67"/>
  <c r="AH44" i="67" s="1"/>
  <c r="AG44" i="67" s="1"/>
  <c r="AL44" i="67"/>
  <c r="AF44" i="67"/>
  <c r="AD44" i="67"/>
  <c r="J44" i="67"/>
  <c r="K44" i="67" s="1"/>
  <c r="G44" i="67"/>
  <c r="D44" i="67"/>
  <c r="C44" i="67"/>
  <c r="CD43" i="67"/>
  <c r="BZ43" i="67"/>
  <c r="BV43" i="67"/>
  <c r="BR43" i="67"/>
  <c r="BN43" i="67"/>
  <c r="BJ43" i="67"/>
  <c r="BF43" i="67"/>
  <c r="BB43" i="67"/>
  <c r="AX43" i="67"/>
  <c r="AT43" i="67"/>
  <c r="AP43" i="67"/>
  <c r="AL43" i="67"/>
  <c r="AH43" i="67" s="1"/>
  <c r="AG43" i="67" s="1"/>
  <c r="AF43" i="67"/>
  <c r="AD43" i="67"/>
  <c r="J43" i="67"/>
  <c r="K43" i="67" s="1"/>
  <c r="G43" i="67"/>
  <c r="D43" i="67"/>
  <c r="CD42" i="67"/>
  <c r="BZ42" i="67"/>
  <c r="BV42" i="67"/>
  <c r="BR42" i="67"/>
  <c r="BN42" i="67"/>
  <c r="BJ42" i="67"/>
  <c r="BF42" i="67"/>
  <c r="BB42" i="67"/>
  <c r="AX42" i="67"/>
  <c r="AT42" i="67"/>
  <c r="AP42" i="67"/>
  <c r="AL42" i="67"/>
  <c r="AH42" i="67"/>
  <c r="AF42" i="67"/>
  <c r="AG42" i="67" s="1"/>
  <c r="AD42" i="67"/>
  <c r="G42" i="67"/>
  <c r="D42" i="67"/>
  <c r="C42" i="67"/>
  <c r="CD41" i="67"/>
  <c r="BZ41" i="67"/>
  <c r="BV41" i="67"/>
  <c r="BR41" i="67"/>
  <c r="BN41" i="67"/>
  <c r="BJ41" i="67"/>
  <c r="BF41" i="67"/>
  <c r="BB41" i="67"/>
  <c r="AX41" i="67"/>
  <c r="AT41" i="67"/>
  <c r="AP41" i="67"/>
  <c r="AL41" i="67"/>
  <c r="AF41" i="67"/>
  <c r="AD41" i="67"/>
  <c r="G41" i="67"/>
  <c r="D41" i="67"/>
  <c r="C41" i="67"/>
  <c r="CD40" i="67"/>
  <c r="BZ40" i="67"/>
  <c r="BV40" i="67"/>
  <c r="BR40" i="67"/>
  <c r="BN40" i="67"/>
  <c r="BJ40" i="67"/>
  <c r="BF40" i="67"/>
  <c r="BB40" i="67"/>
  <c r="AX40" i="67"/>
  <c r="AT40" i="67"/>
  <c r="AP40" i="67"/>
  <c r="AL40" i="67"/>
  <c r="AH40" i="67"/>
  <c r="AF40" i="67"/>
  <c r="AD40" i="67"/>
  <c r="G40" i="67"/>
  <c r="D40" i="67"/>
  <c r="CD39" i="67"/>
  <c r="BZ39" i="67"/>
  <c r="BV39" i="67"/>
  <c r="BR39" i="67"/>
  <c r="BN39" i="67"/>
  <c r="BJ39" i="67"/>
  <c r="BJ37" i="67" s="1"/>
  <c r="BF39" i="67"/>
  <c r="BF37" i="67" s="1"/>
  <c r="BB39" i="67"/>
  <c r="BB37" i="67" s="1"/>
  <c r="AX39" i="67"/>
  <c r="AX37" i="67" s="1"/>
  <c r="AT39" i="67"/>
  <c r="AP39" i="67"/>
  <c r="AH39" i="67" s="1"/>
  <c r="AG39" i="67" s="1"/>
  <c r="AL39" i="67"/>
  <c r="AF39" i="67"/>
  <c r="AD39" i="67"/>
  <c r="G39" i="67"/>
  <c r="D39" i="67"/>
  <c r="C39" i="67"/>
  <c r="CD38" i="67"/>
  <c r="CD37" i="67" s="1"/>
  <c r="BZ38" i="67"/>
  <c r="BV38" i="67"/>
  <c r="BR38" i="67"/>
  <c r="BR37" i="67" s="1"/>
  <c r="BN38" i="67"/>
  <c r="BN37" i="67" s="1"/>
  <c r="BJ38" i="67"/>
  <c r="BF38" i="67"/>
  <c r="BB38" i="67"/>
  <c r="AX38" i="67"/>
  <c r="AT38" i="67"/>
  <c r="AP38" i="67"/>
  <c r="AL38" i="67"/>
  <c r="AF38" i="67"/>
  <c r="AD38" i="67"/>
  <c r="G38" i="67"/>
  <c r="D38" i="67"/>
  <c r="C38" i="67"/>
  <c r="AD37" i="67"/>
  <c r="D37" i="67"/>
  <c r="C37" i="67"/>
  <c r="CD36" i="67"/>
  <c r="BZ36" i="67"/>
  <c r="BV36" i="67"/>
  <c r="BR36" i="67"/>
  <c r="BN36" i="67"/>
  <c r="BJ36" i="67"/>
  <c r="BF36" i="67"/>
  <c r="BB36" i="67"/>
  <c r="AX36" i="67"/>
  <c r="AT36" i="67"/>
  <c r="AP36" i="67"/>
  <c r="AL36" i="67"/>
  <c r="AH36" i="67" s="1"/>
  <c r="AG36" i="67" s="1"/>
  <c r="AF36" i="67"/>
  <c r="AD36" i="67"/>
  <c r="J36" i="67"/>
  <c r="K36" i="67" s="1"/>
  <c r="G36" i="67"/>
  <c r="D36" i="67"/>
  <c r="CD35" i="67"/>
  <c r="BZ35" i="67"/>
  <c r="BV35" i="67"/>
  <c r="BR35" i="67"/>
  <c r="BN35" i="67"/>
  <c r="BJ35" i="67"/>
  <c r="BF35" i="67"/>
  <c r="BB35" i="67"/>
  <c r="BB24" i="67" s="1"/>
  <c r="AX35" i="67"/>
  <c r="AT35" i="67"/>
  <c r="AP35" i="67"/>
  <c r="AL35" i="67"/>
  <c r="AF35" i="67"/>
  <c r="AD35" i="67"/>
  <c r="J35" i="67"/>
  <c r="K35" i="67" s="1"/>
  <c r="G35" i="67"/>
  <c r="D35" i="67"/>
  <c r="C35" i="67"/>
  <c r="CD34" i="67"/>
  <c r="BZ34" i="67"/>
  <c r="BV34" i="67"/>
  <c r="BR34" i="67"/>
  <c r="BN34" i="67"/>
  <c r="AH34" i="67" s="1"/>
  <c r="AG34" i="67" s="1"/>
  <c r="BJ34" i="67"/>
  <c r="BF34" i="67"/>
  <c r="BB34" i="67"/>
  <c r="AX34" i="67"/>
  <c r="AT34" i="67"/>
  <c r="AP34" i="67"/>
  <c r="AL34" i="67"/>
  <c r="AF34" i="67"/>
  <c r="AD34" i="67"/>
  <c r="J34" i="67"/>
  <c r="K34" i="67" s="1"/>
  <c r="G34" i="67"/>
  <c r="D34" i="67"/>
  <c r="CD33" i="67"/>
  <c r="BZ33" i="67"/>
  <c r="BV33" i="67"/>
  <c r="BR33" i="67"/>
  <c r="BN33" i="67"/>
  <c r="BJ33" i="67"/>
  <c r="BF33" i="67"/>
  <c r="BB33" i="67"/>
  <c r="AX33" i="67"/>
  <c r="AT33" i="67"/>
  <c r="AP33" i="67"/>
  <c r="AL33" i="67"/>
  <c r="AH33" i="67"/>
  <c r="AF33" i="67"/>
  <c r="AG33" i="67" s="1"/>
  <c r="AD33" i="67"/>
  <c r="J33" i="67"/>
  <c r="K33" i="67" s="1"/>
  <c r="G33" i="67"/>
  <c r="D33" i="67"/>
  <c r="C33" i="67"/>
  <c r="CD32" i="67"/>
  <c r="BZ32" i="67"/>
  <c r="BV32" i="67"/>
  <c r="BR32" i="67"/>
  <c r="BN32" i="67"/>
  <c r="BJ32" i="67"/>
  <c r="BF32" i="67"/>
  <c r="BB32" i="67"/>
  <c r="AX32" i="67"/>
  <c r="AH32" i="67" s="1"/>
  <c r="AG32" i="67" s="1"/>
  <c r="AT32" i="67"/>
  <c r="AP32" i="67"/>
  <c r="AL32" i="67"/>
  <c r="AF32" i="67"/>
  <c r="AD32" i="67"/>
  <c r="J32" i="67"/>
  <c r="K32" i="67" s="1"/>
  <c r="G32" i="67"/>
  <c r="D32" i="67"/>
  <c r="C32" i="67"/>
  <c r="CD31" i="67"/>
  <c r="BZ31" i="67"/>
  <c r="BV31" i="67"/>
  <c r="AH31" i="67" s="1"/>
  <c r="AG31" i="67" s="1"/>
  <c r="BR31" i="67"/>
  <c r="BN31" i="67"/>
  <c r="BJ31" i="67"/>
  <c r="BF31" i="67"/>
  <c r="BB31" i="67"/>
  <c r="AX31" i="67"/>
  <c r="AT31" i="67"/>
  <c r="AP31" i="67"/>
  <c r="AL31" i="67"/>
  <c r="AF31" i="67"/>
  <c r="AD31" i="67"/>
  <c r="J31" i="67"/>
  <c r="K31" i="67" s="1"/>
  <c r="G31" i="67"/>
  <c r="D31" i="67"/>
  <c r="CD30" i="67"/>
  <c r="BZ30" i="67"/>
  <c r="BV30" i="67"/>
  <c r="BR30" i="67"/>
  <c r="AH30" i="67" s="1"/>
  <c r="AG30" i="67" s="1"/>
  <c r="BN30" i="67"/>
  <c r="BJ30" i="67"/>
  <c r="BF30" i="67"/>
  <c r="BB30" i="67"/>
  <c r="AX30" i="67"/>
  <c r="AT30" i="67"/>
  <c r="AP30" i="67"/>
  <c r="AL30" i="67"/>
  <c r="AF30" i="67"/>
  <c r="AD30" i="67"/>
  <c r="J30" i="67"/>
  <c r="K30" i="67" s="1"/>
  <c r="G30" i="67"/>
  <c r="D30" i="67"/>
  <c r="C30" i="67"/>
  <c r="CD29" i="67"/>
  <c r="BZ29" i="67"/>
  <c r="BV29" i="67"/>
  <c r="BR29" i="67"/>
  <c r="BN29" i="67"/>
  <c r="BJ29" i="67"/>
  <c r="BF29" i="67"/>
  <c r="AH29" i="67" s="1"/>
  <c r="BB29" i="67"/>
  <c r="AX29" i="67"/>
  <c r="AT29" i="67"/>
  <c r="AP29" i="67"/>
  <c r="AL29" i="67"/>
  <c r="AF29" i="67"/>
  <c r="AG29" i="67" s="1"/>
  <c r="AD29" i="67"/>
  <c r="J29" i="67"/>
  <c r="K29" i="67" s="1"/>
  <c r="G29" i="67"/>
  <c r="D29" i="67"/>
  <c r="C29" i="67"/>
  <c r="CD28" i="67"/>
  <c r="BZ28" i="67"/>
  <c r="BV28" i="67"/>
  <c r="BR28" i="67"/>
  <c r="BN28" i="67"/>
  <c r="BJ28" i="67"/>
  <c r="BF28" i="67"/>
  <c r="BB28" i="67"/>
  <c r="AX28" i="67"/>
  <c r="AT28" i="67"/>
  <c r="AP28" i="67"/>
  <c r="AH28" i="67" s="1"/>
  <c r="AG28" i="67" s="1"/>
  <c r="AL28" i="67"/>
  <c r="AF28" i="67"/>
  <c r="AD28" i="67"/>
  <c r="J28" i="67"/>
  <c r="K28" i="67" s="1"/>
  <c r="G28" i="67"/>
  <c r="D28" i="67"/>
  <c r="CD27" i="67"/>
  <c r="BZ27" i="67"/>
  <c r="BV27" i="67"/>
  <c r="BR27" i="67"/>
  <c r="BN27" i="67"/>
  <c r="BJ27" i="67"/>
  <c r="BF27" i="67"/>
  <c r="BB27" i="67"/>
  <c r="AX27" i="67"/>
  <c r="AT27" i="67"/>
  <c r="AP27" i="67"/>
  <c r="AL27" i="67"/>
  <c r="AF27" i="67"/>
  <c r="AD27" i="67"/>
  <c r="J27" i="67"/>
  <c r="K27" i="67" s="1"/>
  <c r="G27" i="67"/>
  <c r="D27" i="67"/>
  <c r="C27" i="67"/>
  <c r="CD26" i="67"/>
  <c r="CD24" i="67" s="1"/>
  <c r="BZ26" i="67"/>
  <c r="BZ24" i="67" s="1"/>
  <c r="BV26" i="67"/>
  <c r="BV24" i="67" s="1"/>
  <c r="BR26" i="67"/>
  <c r="AH26" i="67" s="1"/>
  <c r="AG26" i="67" s="1"/>
  <c r="BN26" i="67"/>
  <c r="BJ26" i="67"/>
  <c r="BF26" i="67"/>
  <c r="BB26" i="67"/>
  <c r="AX26" i="67"/>
  <c r="AT26" i="67"/>
  <c r="AP26" i="67"/>
  <c r="AL26" i="67"/>
  <c r="AF26" i="67"/>
  <c r="AD26" i="67"/>
  <c r="J26" i="67"/>
  <c r="K26" i="67" s="1"/>
  <c r="G26" i="67"/>
  <c r="D26" i="67"/>
  <c r="CD25" i="67"/>
  <c r="BZ25" i="67"/>
  <c r="BV25" i="67"/>
  <c r="BR25" i="67"/>
  <c r="BN25" i="67"/>
  <c r="BJ25" i="67"/>
  <c r="BF25" i="67"/>
  <c r="BB25" i="67"/>
  <c r="AX25" i="67"/>
  <c r="AX24" i="67" s="1"/>
  <c r="AT25" i="67"/>
  <c r="AT24" i="67" s="1"/>
  <c r="AP25" i="67"/>
  <c r="AP24" i="67" s="1"/>
  <c r="AL25" i="67"/>
  <c r="AL24" i="67" s="1"/>
  <c r="AH25" i="67"/>
  <c r="AF25" i="67"/>
  <c r="AG25" i="67" s="1"/>
  <c r="AD25" i="67"/>
  <c r="J25" i="67"/>
  <c r="I25" i="67"/>
  <c r="G25" i="67"/>
  <c r="D25" i="67"/>
  <c r="C25" i="67"/>
  <c r="AD24" i="67"/>
  <c r="D24" i="67"/>
  <c r="C24" i="67"/>
  <c r="CD23" i="67"/>
  <c r="BZ23" i="67"/>
  <c r="BZ11" i="67" s="1"/>
  <c r="BV23" i="67"/>
  <c r="BR23" i="67"/>
  <c r="BN23" i="67"/>
  <c r="BJ23" i="67"/>
  <c r="BF23" i="67"/>
  <c r="BB23" i="67"/>
  <c r="AX23" i="67"/>
  <c r="AT23" i="67"/>
  <c r="AP23" i="67"/>
  <c r="AL23" i="67"/>
  <c r="AF23" i="67"/>
  <c r="AD23" i="67"/>
  <c r="O23" i="67"/>
  <c r="J23" i="67"/>
  <c r="K23" i="67" s="1"/>
  <c r="G23" i="67"/>
  <c r="D23" i="67"/>
  <c r="C23" i="67"/>
  <c r="CD22" i="67"/>
  <c r="BZ22" i="67"/>
  <c r="BV22" i="67"/>
  <c r="BR22" i="67"/>
  <c r="BN22" i="67"/>
  <c r="BJ22" i="67"/>
  <c r="BF22" i="67"/>
  <c r="BB22" i="67"/>
  <c r="AX22" i="67"/>
  <c r="AT22" i="67"/>
  <c r="AP22" i="67"/>
  <c r="AL22" i="67"/>
  <c r="AH22" i="67"/>
  <c r="AF22" i="67"/>
  <c r="AG22" i="67" s="1"/>
  <c r="AD22" i="67"/>
  <c r="O22" i="67"/>
  <c r="J22" i="67"/>
  <c r="K22" i="67" s="1"/>
  <c r="G22" i="67"/>
  <c r="D22" i="67"/>
  <c r="C22" i="67"/>
  <c r="CD21" i="67"/>
  <c r="BZ21" i="67"/>
  <c r="BV21" i="67"/>
  <c r="BR21" i="67"/>
  <c r="BN21" i="67"/>
  <c r="BJ21" i="67"/>
  <c r="BF21" i="67"/>
  <c r="BB21" i="67"/>
  <c r="AX21" i="67"/>
  <c r="AT21" i="67"/>
  <c r="AH21" i="67" s="1"/>
  <c r="AG21" i="67" s="1"/>
  <c r="AP21" i="67"/>
  <c r="AL21" i="67"/>
  <c r="AF21" i="67"/>
  <c r="AD21" i="67"/>
  <c r="O21" i="67"/>
  <c r="J21" i="67"/>
  <c r="K21" i="67" s="1"/>
  <c r="G21" i="67"/>
  <c r="D21" i="67"/>
  <c r="C21" i="67"/>
  <c r="CD20" i="67"/>
  <c r="BZ20" i="67"/>
  <c r="BV20" i="67"/>
  <c r="AH20" i="67" s="1"/>
  <c r="AG20" i="67" s="1"/>
  <c r="BR20" i="67"/>
  <c r="BN20" i="67"/>
  <c r="BJ20" i="67"/>
  <c r="BF20" i="67"/>
  <c r="BB20" i="67"/>
  <c r="AX20" i="67"/>
  <c r="AT20" i="67"/>
  <c r="AP20" i="67"/>
  <c r="AL20" i="67"/>
  <c r="AF20" i="67"/>
  <c r="AD20" i="67"/>
  <c r="O20" i="67"/>
  <c r="J20" i="67"/>
  <c r="K20" i="67" s="1"/>
  <c r="G20" i="67"/>
  <c r="D20" i="67"/>
  <c r="CD19" i="67"/>
  <c r="BZ19" i="67"/>
  <c r="BV19" i="67"/>
  <c r="BR19" i="67"/>
  <c r="BN19" i="67"/>
  <c r="BJ19" i="67"/>
  <c r="BF19" i="67"/>
  <c r="BB19" i="67"/>
  <c r="AX19" i="67"/>
  <c r="AT19" i="67"/>
  <c r="AP19" i="67"/>
  <c r="AL19" i="67"/>
  <c r="AH19" i="67" s="1"/>
  <c r="AG19" i="67" s="1"/>
  <c r="AF19" i="67"/>
  <c r="AD19" i="67"/>
  <c r="O19" i="67"/>
  <c r="J19" i="67"/>
  <c r="K19" i="67" s="1"/>
  <c r="G19" i="67"/>
  <c r="D19" i="67"/>
  <c r="C19" i="67"/>
  <c r="CD18" i="67"/>
  <c r="BZ18" i="67"/>
  <c r="BV18" i="67"/>
  <c r="BR18" i="67"/>
  <c r="BN18" i="67"/>
  <c r="BJ18" i="67"/>
  <c r="BF18" i="67"/>
  <c r="BB18" i="67"/>
  <c r="AX18" i="67"/>
  <c r="AT18" i="67"/>
  <c r="AP18" i="67"/>
  <c r="AL18" i="67"/>
  <c r="AH18" i="67"/>
  <c r="AG18" i="67" s="1"/>
  <c r="AF18" i="67"/>
  <c r="AD18" i="67"/>
  <c r="O18" i="67"/>
  <c r="J18" i="67"/>
  <c r="K18" i="67" s="1"/>
  <c r="G18" i="67"/>
  <c r="D18" i="67"/>
  <c r="CD17" i="67"/>
  <c r="BZ17" i="67"/>
  <c r="BV17" i="67"/>
  <c r="BR17" i="67"/>
  <c r="BN17" i="67"/>
  <c r="BJ17" i="67"/>
  <c r="BF17" i="67"/>
  <c r="AH17" i="67" s="1"/>
  <c r="AG17" i="67" s="1"/>
  <c r="BB17" i="67"/>
  <c r="AX17" i="67"/>
  <c r="AT17" i="67"/>
  <c r="AP17" i="67"/>
  <c r="AL17" i="67"/>
  <c r="AF17" i="67"/>
  <c r="AD17" i="67"/>
  <c r="O17" i="67"/>
  <c r="J17" i="67"/>
  <c r="K17" i="67" s="1"/>
  <c r="G17" i="67"/>
  <c r="D17" i="67"/>
  <c r="C17" i="67"/>
  <c r="CD16" i="67"/>
  <c r="BZ16" i="67"/>
  <c r="BV16" i="67"/>
  <c r="BR16" i="67"/>
  <c r="BN16" i="67"/>
  <c r="BJ16" i="67"/>
  <c r="BF16" i="67"/>
  <c r="BB16" i="67"/>
  <c r="AX16" i="67"/>
  <c r="AT16" i="67"/>
  <c r="AP16" i="67"/>
  <c r="AL16" i="67"/>
  <c r="AF16" i="67"/>
  <c r="AD16" i="67"/>
  <c r="O16" i="67"/>
  <c r="J16" i="67"/>
  <c r="K16" i="67" s="1"/>
  <c r="G16" i="67"/>
  <c r="D16" i="67"/>
  <c r="C16" i="67"/>
  <c r="CD15" i="67"/>
  <c r="BZ15" i="67"/>
  <c r="BV15" i="67"/>
  <c r="BR15" i="67"/>
  <c r="BN15" i="67"/>
  <c r="BJ15" i="67"/>
  <c r="BF15" i="67"/>
  <c r="BB15" i="67"/>
  <c r="AX15" i="67"/>
  <c r="AT15" i="67"/>
  <c r="AP15" i="67"/>
  <c r="AH15" i="67" s="1"/>
  <c r="AG15" i="67" s="1"/>
  <c r="AL15" i="67"/>
  <c r="AF15" i="67"/>
  <c r="AD15" i="67"/>
  <c r="O15" i="67"/>
  <c r="J15" i="67"/>
  <c r="K15" i="67" s="1"/>
  <c r="G15" i="67"/>
  <c r="D15" i="67"/>
  <c r="C15" i="67"/>
  <c r="CD14" i="67"/>
  <c r="BZ14" i="67"/>
  <c r="BV14" i="67"/>
  <c r="BR14" i="67"/>
  <c r="BN14" i="67"/>
  <c r="BJ14" i="67"/>
  <c r="BJ11" i="67" s="1"/>
  <c r="BF14" i="67"/>
  <c r="BB14" i="67"/>
  <c r="AX14" i="67"/>
  <c r="AT14" i="67"/>
  <c r="AP14" i="67"/>
  <c r="AL14" i="67"/>
  <c r="AF14" i="67"/>
  <c r="AD14" i="67"/>
  <c r="O14" i="67"/>
  <c r="J14" i="67"/>
  <c r="K14" i="67" s="1"/>
  <c r="G14" i="67"/>
  <c r="D14" i="67"/>
  <c r="C14" i="67"/>
  <c r="CD13" i="67"/>
  <c r="CD11" i="67" s="1"/>
  <c r="BZ13" i="67"/>
  <c r="BV13" i="67"/>
  <c r="BR13" i="67"/>
  <c r="BN13" i="67"/>
  <c r="BJ13" i="67"/>
  <c r="BF13" i="67"/>
  <c r="BB13" i="67"/>
  <c r="AX13" i="67"/>
  <c r="AT13" i="67"/>
  <c r="AP13" i="67"/>
  <c r="AL13" i="67"/>
  <c r="AF13" i="67"/>
  <c r="AD13" i="67"/>
  <c r="O13" i="67"/>
  <c r="J13" i="67"/>
  <c r="K13" i="67" s="1"/>
  <c r="D13" i="67"/>
  <c r="CD12" i="67"/>
  <c r="BZ12" i="67"/>
  <c r="BV12" i="67"/>
  <c r="BR12" i="67"/>
  <c r="BN12" i="67"/>
  <c r="BJ12" i="67"/>
  <c r="BF12" i="67"/>
  <c r="BB12" i="67"/>
  <c r="BB11" i="67" s="1"/>
  <c r="AX12" i="67"/>
  <c r="AX11" i="67" s="1"/>
  <c r="AT12" i="67"/>
  <c r="AT11" i="67" s="1"/>
  <c r="AP12" i="67"/>
  <c r="AL12" i="67"/>
  <c r="AF12" i="67"/>
  <c r="AD12" i="67"/>
  <c r="O12" i="67"/>
  <c r="J12" i="67"/>
  <c r="K12" i="67" s="1"/>
  <c r="G12" i="67"/>
  <c r="D12" i="67"/>
  <c r="C12" i="67"/>
  <c r="BF11" i="67"/>
  <c r="AD11" i="67"/>
  <c r="D11" i="67"/>
  <c r="C11" i="67"/>
  <c r="AF6" i="67"/>
  <c r="A3" i="67"/>
  <c r="C54" i="67" s="1"/>
  <c r="CD62" i="66"/>
  <c r="BZ62" i="66"/>
  <c r="BV62" i="66"/>
  <c r="BR62" i="66"/>
  <c r="BN62" i="66"/>
  <c r="BJ62" i="66"/>
  <c r="BF62" i="66"/>
  <c r="BB62" i="66"/>
  <c r="AX62" i="66"/>
  <c r="AT62" i="66"/>
  <c r="AP62" i="66"/>
  <c r="AL62" i="66"/>
  <c r="AH62" i="66"/>
  <c r="AF62" i="66"/>
  <c r="AG62" i="66" s="1"/>
  <c r="AD62" i="66"/>
  <c r="J62" i="66"/>
  <c r="G62" i="66"/>
  <c r="C62" i="66"/>
  <c r="CD61" i="66"/>
  <c r="BZ61" i="66"/>
  <c r="BV61" i="66"/>
  <c r="BR61" i="66"/>
  <c r="BN61" i="66"/>
  <c r="BJ61" i="66"/>
  <c r="BF61" i="66"/>
  <c r="BB61" i="66"/>
  <c r="AX61" i="66"/>
  <c r="AT61" i="66"/>
  <c r="AP61" i="66"/>
  <c r="AH61" i="66" s="1"/>
  <c r="AG61" i="66" s="1"/>
  <c r="AL61" i="66"/>
  <c r="AF61" i="66"/>
  <c r="AD61" i="66"/>
  <c r="J61" i="66"/>
  <c r="G61" i="66"/>
  <c r="C61" i="66"/>
  <c r="CD60" i="66"/>
  <c r="BZ60" i="66"/>
  <c r="AH60" i="66" s="1"/>
  <c r="AG60" i="66" s="1"/>
  <c r="BV60" i="66"/>
  <c r="BR60" i="66"/>
  <c r="BN60" i="66"/>
  <c r="BJ60" i="66"/>
  <c r="BF60" i="66"/>
  <c r="BB60" i="66"/>
  <c r="AX60" i="66"/>
  <c r="AT60" i="66"/>
  <c r="AP60" i="66"/>
  <c r="AL60" i="66"/>
  <c r="AF60" i="66"/>
  <c r="AD60" i="66"/>
  <c r="J60" i="66"/>
  <c r="G60" i="66"/>
  <c r="C60" i="66"/>
  <c r="CD59" i="66"/>
  <c r="BZ59" i="66"/>
  <c r="BV59" i="66"/>
  <c r="BR59" i="66"/>
  <c r="BN59" i="66"/>
  <c r="BJ59" i="66"/>
  <c r="BF59" i="66"/>
  <c r="BB59" i="66"/>
  <c r="AX59" i="66"/>
  <c r="AT59" i="66"/>
  <c r="AP59" i="66"/>
  <c r="AH59" i="66" s="1"/>
  <c r="AG59" i="66" s="1"/>
  <c r="AL59" i="66"/>
  <c r="AF59" i="66"/>
  <c r="AD59" i="66"/>
  <c r="J59" i="66"/>
  <c r="G59" i="66"/>
  <c r="C59" i="66"/>
  <c r="CD58" i="66"/>
  <c r="BZ58" i="66"/>
  <c r="BV58" i="66"/>
  <c r="BR58" i="66"/>
  <c r="BN58" i="66"/>
  <c r="BJ58" i="66"/>
  <c r="BF58" i="66"/>
  <c r="BB58" i="66"/>
  <c r="AX58" i="66"/>
  <c r="AT58" i="66"/>
  <c r="AP58" i="66"/>
  <c r="AL58" i="66"/>
  <c r="AH58" i="66" s="1"/>
  <c r="AG58" i="66" s="1"/>
  <c r="AF58" i="66"/>
  <c r="AD58" i="66"/>
  <c r="J58" i="66"/>
  <c r="G58" i="66"/>
  <c r="CD57" i="66"/>
  <c r="BZ57" i="66"/>
  <c r="BV57" i="66"/>
  <c r="BR57" i="66"/>
  <c r="BN57" i="66"/>
  <c r="BJ57" i="66"/>
  <c r="BF57" i="66"/>
  <c r="BB57" i="66"/>
  <c r="AX57" i="66"/>
  <c r="AT57" i="66"/>
  <c r="AP57" i="66"/>
  <c r="AL57" i="66"/>
  <c r="AH57" i="66" s="1"/>
  <c r="AG57" i="66" s="1"/>
  <c r="AF57" i="66"/>
  <c r="AD57" i="66"/>
  <c r="J57" i="66"/>
  <c r="G57" i="66"/>
  <c r="C57" i="66"/>
  <c r="CD56" i="66"/>
  <c r="BZ56" i="66"/>
  <c r="BV56" i="66"/>
  <c r="BR56" i="66"/>
  <c r="BN56" i="66"/>
  <c r="BJ56" i="66"/>
  <c r="BF56" i="66"/>
  <c r="BB56" i="66"/>
  <c r="AX56" i="66"/>
  <c r="AT56" i="66"/>
  <c r="AP56" i="66"/>
  <c r="AL56" i="66"/>
  <c r="AF56" i="66"/>
  <c r="AD56" i="66"/>
  <c r="J56" i="66"/>
  <c r="G56" i="66"/>
  <c r="CD55" i="66"/>
  <c r="BZ55" i="66"/>
  <c r="BV55" i="66"/>
  <c r="BR55" i="66"/>
  <c r="BN55" i="66"/>
  <c r="BJ55" i="66"/>
  <c r="BF55" i="66"/>
  <c r="BB55" i="66"/>
  <c r="AX55" i="66"/>
  <c r="AT55" i="66"/>
  <c r="AP55" i="66"/>
  <c r="AL55" i="66"/>
  <c r="AL50" i="66" s="1"/>
  <c r="AH55" i="66"/>
  <c r="AG55" i="66" s="1"/>
  <c r="AF55" i="66"/>
  <c r="AD55" i="66"/>
  <c r="J55" i="66"/>
  <c r="G55" i="66"/>
  <c r="C55" i="66"/>
  <c r="CD54" i="66"/>
  <c r="BZ54" i="66"/>
  <c r="BV54" i="66"/>
  <c r="BR54" i="66"/>
  <c r="BN54" i="66"/>
  <c r="BJ54" i="66"/>
  <c r="BF54" i="66"/>
  <c r="BB54" i="66"/>
  <c r="AX54" i="66"/>
  <c r="AT54" i="66"/>
  <c r="AP54" i="66"/>
  <c r="AL54" i="66"/>
  <c r="AF54" i="66"/>
  <c r="AD54" i="66"/>
  <c r="J54" i="66"/>
  <c r="G54" i="66"/>
  <c r="C54" i="66"/>
  <c r="CD53" i="66"/>
  <c r="AH53" i="66" s="1"/>
  <c r="AG53" i="66" s="1"/>
  <c r="BZ53" i="66"/>
  <c r="BV53" i="66"/>
  <c r="BR53" i="66"/>
  <c r="BN53" i="66"/>
  <c r="BJ53" i="66"/>
  <c r="BF53" i="66"/>
  <c r="BB53" i="66"/>
  <c r="AX53" i="66"/>
  <c r="AT53" i="66"/>
  <c r="AP53" i="66"/>
  <c r="AP50" i="66" s="1"/>
  <c r="AL53" i="66"/>
  <c r="AF53" i="66"/>
  <c r="AD53" i="66"/>
  <c r="J53" i="66"/>
  <c r="G53" i="66"/>
  <c r="C53" i="66"/>
  <c r="CD52" i="66"/>
  <c r="BZ52" i="66"/>
  <c r="BV52" i="66"/>
  <c r="BR52" i="66"/>
  <c r="BR50" i="66" s="1"/>
  <c r="BN52" i="66"/>
  <c r="BN50" i="66" s="1"/>
  <c r="BJ52" i="66"/>
  <c r="BJ50" i="66" s="1"/>
  <c r="BF52" i="66"/>
  <c r="BB52" i="66"/>
  <c r="AX52" i="66"/>
  <c r="AT52" i="66"/>
  <c r="AT50" i="66" s="1"/>
  <c r="AP52" i="66"/>
  <c r="AL52" i="66"/>
  <c r="AH52" i="66" s="1"/>
  <c r="AG52" i="66" s="1"/>
  <c r="AF52" i="66"/>
  <c r="AD52" i="66"/>
  <c r="J52" i="66"/>
  <c r="G52" i="66"/>
  <c r="C52" i="66"/>
  <c r="CD51" i="66"/>
  <c r="BZ51" i="66"/>
  <c r="BV51" i="66"/>
  <c r="AH51" i="66" s="1"/>
  <c r="BR51" i="66"/>
  <c r="BN51" i="66"/>
  <c r="BJ51" i="66"/>
  <c r="BF51" i="66"/>
  <c r="BB51" i="66"/>
  <c r="BB50" i="66" s="1"/>
  <c r="AX51" i="66"/>
  <c r="AT51" i="66"/>
  <c r="AP51" i="66"/>
  <c r="AL51" i="66"/>
  <c r="AF51" i="66"/>
  <c r="AD51" i="66"/>
  <c r="J51" i="66"/>
  <c r="G51" i="66"/>
  <c r="BV50" i="66"/>
  <c r="AD50" i="66"/>
  <c r="C50" i="66"/>
  <c r="CD49" i="66"/>
  <c r="BZ49" i="66"/>
  <c r="BV49" i="66"/>
  <c r="BR49" i="66"/>
  <c r="BN49" i="66"/>
  <c r="BJ49" i="66"/>
  <c r="BF49" i="66"/>
  <c r="BB49" i="66"/>
  <c r="AX49" i="66"/>
  <c r="AT49" i="66"/>
  <c r="AP49" i="66"/>
  <c r="AH49" i="66" s="1"/>
  <c r="AG49" i="66" s="1"/>
  <c r="AL49" i="66"/>
  <c r="AF49" i="66"/>
  <c r="AD49" i="66"/>
  <c r="J49" i="66"/>
  <c r="K49" i="66" s="1"/>
  <c r="G49" i="66"/>
  <c r="C49" i="66"/>
  <c r="CD48" i="66"/>
  <c r="BZ48" i="66"/>
  <c r="BV48" i="66"/>
  <c r="BR48" i="66"/>
  <c r="BN48" i="66"/>
  <c r="AH48" i="66" s="1"/>
  <c r="AG48" i="66" s="1"/>
  <c r="BJ48" i="66"/>
  <c r="BF48" i="66"/>
  <c r="BB48" i="66"/>
  <c r="AX48" i="66"/>
  <c r="AT48" i="66"/>
  <c r="AP48" i="66"/>
  <c r="AL48" i="66"/>
  <c r="AF48" i="66"/>
  <c r="AD48" i="66"/>
  <c r="J48" i="66"/>
  <c r="K48" i="66" s="1"/>
  <c r="G48" i="66"/>
  <c r="CD47" i="66"/>
  <c r="BZ47" i="66"/>
  <c r="BV47" i="66"/>
  <c r="BR47" i="66"/>
  <c r="BN47" i="66"/>
  <c r="BJ47" i="66"/>
  <c r="BF47" i="66"/>
  <c r="BB47" i="66"/>
  <c r="AX47" i="66"/>
  <c r="AT47" i="66"/>
  <c r="AP47" i="66"/>
  <c r="AL47" i="66"/>
  <c r="AH47" i="66" s="1"/>
  <c r="AG47" i="66" s="1"/>
  <c r="AF47" i="66"/>
  <c r="AD47" i="66"/>
  <c r="J47" i="66"/>
  <c r="K47" i="66" s="1"/>
  <c r="G47" i="66"/>
  <c r="C47" i="66"/>
  <c r="CD46" i="66"/>
  <c r="BZ46" i="66"/>
  <c r="BV46" i="66"/>
  <c r="BR46" i="66"/>
  <c r="BN46" i="66"/>
  <c r="BJ46" i="66"/>
  <c r="BF46" i="66"/>
  <c r="BB46" i="66"/>
  <c r="AX46" i="66"/>
  <c r="AT46" i="66"/>
  <c r="AP46" i="66"/>
  <c r="AL46" i="66"/>
  <c r="AF46" i="66"/>
  <c r="AD46" i="66"/>
  <c r="J46" i="66"/>
  <c r="K46" i="66" s="1"/>
  <c r="G46" i="66"/>
  <c r="C46" i="66"/>
  <c r="CD45" i="66"/>
  <c r="BZ45" i="66"/>
  <c r="BV45" i="66"/>
  <c r="BR45" i="66"/>
  <c r="BN45" i="66"/>
  <c r="BJ45" i="66"/>
  <c r="BF45" i="66"/>
  <c r="BB45" i="66"/>
  <c r="AX45" i="66"/>
  <c r="AT45" i="66"/>
  <c r="AP45" i="66"/>
  <c r="AL45" i="66"/>
  <c r="AH45" i="66"/>
  <c r="AG45" i="66"/>
  <c r="AF45" i="66"/>
  <c r="AD45" i="66"/>
  <c r="J45" i="66"/>
  <c r="K45" i="66" s="1"/>
  <c r="G45" i="66"/>
  <c r="CD44" i="66"/>
  <c r="BZ44" i="66"/>
  <c r="BV44" i="66"/>
  <c r="BR44" i="66"/>
  <c r="BN44" i="66"/>
  <c r="BJ44" i="66"/>
  <c r="BF44" i="66"/>
  <c r="BB44" i="66"/>
  <c r="BB37" i="66" s="1"/>
  <c r="AX44" i="66"/>
  <c r="AX37" i="66" s="1"/>
  <c r="AT44" i="66"/>
  <c r="AH44" i="66" s="1"/>
  <c r="AG44" i="66" s="1"/>
  <c r="AP44" i="66"/>
  <c r="AL44" i="66"/>
  <c r="AF44" i="66"/>
  <c r="AD44" i="66"/>
  <c r="J44" i="66"/>
  <c r="K44" i="66" s="1"/>
  <c r="G44" i="66"/>
  <c r="C44" i="66"/>
  <c r="CD43" i="66"/>
  <c r="BZ43" i="66"/>
  <c r="BV43" i="66"/>
  <c r="BR43" i="66"/>
  <c r="BN43" i="66"/>
  <c r="BJ43" i="66"/>
  <c r="BF43" i="66"/>
  <c r="AH43" i="66" s="1"/>
  <c r="AG43" i="66" s="1"/>
  <c r="BB43" i="66"/>
  <c r="AX43" i="66"/>
  <c r="AT43" i="66"/>
  <c r="AP43" i="66"/>
  <c r="AL43" i="66"/>
  <c r="AF43" i="66"/>
  <c r="AD43" i="66"/>
  <c r="J43" i="66"/>
  <c r="K43" i="66" s="1"/>
  <c r="G43" i="66"/>
  <c r="C43" i="66"/>
  <c r="CD42" i="66"/>
  <c r="AH42" i="66" s="1"/>
  <c r="AG42" i="66" s="1"/>
  <c r="BZ42" i="66"/>
  <c r="BV42" i="66"/>
  <c r="BR42" i="66"/>
  <c r="BN42" i="66"/>
  <c r="BJ42" i="66"/>
  <c r="BF42" i="66"/>
  <c r="BB42" i="66"/>
  <c r="AX42" i="66"/>
  <c r="AT42" i="66"/>
  <c r="AP42" i="66"/>
  <c r="AL42" i="66"/>
  <c r="AF42" i="66"/>
  <c r="AD42" i="66"/>
  <c r="J42" i="66"/>
  <c r="K42" i="66" s="1"/>
  <c r="G42" i="66"/>
  <c r="C42" i="66"/>
  <c r="CD41" i="66"/>
  <c r="BZ41" i="66"/>
  <c r="BV41" i="66"/>
  <c r="BR41" i="66"/>
  <c r="BN41" i="66"/>
  <c r="BJ41" i="66"/>
  <c r="BJ37" i="66" s="1"/>
  <c r="BF41" i="66"/>
  <c r="BB41" i="66"/>
  <c r="AX41" i="66"/>
  <c r="AT41" i="66"/>
  <c r="AP41" i="66"/>
  <c r="AH41" i="66" s="1"/>
  <c r="AG41" i="66" s="1"/>
  <c r="AL41" i="66"/>
  <c r="AF41" i="66"/>
  <c r="AD41" i="66"/>
  <c r="J41" i="66"/>
  <c r="K41" i="66" s="1"/>
  <c r="G41" i="66"/>
  <c r="C41" i="66"/>
  <c r="CD40" i="66"/>
  <c r="BZ40" i="66"/>
  <c r="BZ37" i="66" s="1"/>
  <c r="BV40" i="66"/>
  <c r="BR40" i="66"/>
  <c r="BN40" i="66"/>
  <c r="AH40" i="66" s="1"/>
  <c r="AG40" i="66" s="1"/>
  <c r="BJ40" i="66"/>
  <c r="BF40" i="66"/>
  <c r="BB40" i="66"/>
  <c r="AX40" i="66"/>
  <c r="AT40" i="66"/>
  <c r="AP40" i="66"/>
  <c r="AL40" i="66"/>
  <c r="AF40" i="66"/>
  <c r="AD40" i="66"/>
  <c r="J40" i="66"/>
  <c r="K40" i="66" s="1"/>
  <c r="G40" i="66"/>
  <c r="CD39" i="66"/>
  <c r="BZ39" i="66"/>
  <c r="BV39" i="66"/>
  <c r="BR39" i="66"/>
  <c r="BN39" i="66"/>
  <c r="BJ39" i="66"/>
  <c r="BF39" i="66"/>
  <c r="BB39" i="66"/>
  <c r="AX39" i="66"/>
  <c r="AT39" i="66"/>
  <c r="AP39" i="66"/>
  <c r="AL39" i="66"/>
  <c r="AH39" i="66"/>
  <c r="AF39" i="66"/>
  <c r="AG39" i="66" s="1"/>
  <c r="AD39" i="66"/>
  <c r="J39" i="66"/>
  <c r="K39" i="66" s="1"/>
  <c r="G39" i="66"/>
  <c r="C39" i="66"/>
  <c r="CD38" i="66"/>
  <c r="CD37" i="66" s="1"/>
  <c r="BZ38" i="66"/>
  <c r="BV38" i="66"/>
  <c r="BR38" i="66"/>
  <c r="BN38" i="66"/>
  <c r="BJ38" i="66"/>
  <c r="BF38" i="66"/>
  <c r="BB38" i="66"/>
  <c r="AX38" i="66"/>
  <c r="AT38" i="66"/>
  <c r="AP38" i="66"/>
  <c r="AL38" i="66"/>
  <c r="AF38" i="66"/>
  <c r="AD38" i="66"/>
  <c r="J38" i="66"/>
  <c r="K38" i="66" s="1"/>
  <c r="G38" i="66"/>
  <c r="C38" i="66"/>
  <c r="AD37" i="66"/>
  <c r="C37" i="66"/>
  <c r="CD36" i="66"/>
  <c r="BZ36" i="66"/>
  <c r="BV36" i="66"/>
  <c r="BR36" i="66"/>
  <c r="BN36" i="66"/>
  <c r="BJ36" i="66"/>
  <c r="BF36" i="66"/>
  <c r="BB36" i="66"/>
  <c r="AX36" i="66"/>
  <c r="AT36" i="66"/>
  <c r="AP36" i="66"/>
  <c r="AL36" i="66"/>
  <c r="AH36" i="66" s="1"/>
  <c r="AG36" i="66" s="1"/>
  <c r="AF36" i="66"/>
  <c r="AD36" i="66"/>
  <c r="J36" i="66"/>
  <c r="K36" i="66" s="1"/>
  <c r="G36" i="66"/>
  <c r="CD35" i="66"/>
  <c r="BZ35" i="66"/>
  <c r="BV35" i="66"/>
  <c r="BR35" i="66"/>
  <c r="BN35" i="66"/>
  <c r="BJ35" i="66"/>
  <c r="BF35" i="66"/>
  <c r="BB35" i="66"/>
  <c r="AX35" i="66"/>
  <c r="AT35" i="66"/>
  <c r="AP35" i="66"/>
  <c r="AL35" i="66"/>
  <c r="AH35" i="66" s="1"/>
  <c r="AG35" i="66" s="1"/>
  <c r="AF35" i="66"/>
  <c r="AD35" i="66"/>
  <c r="J35" i="66"/>
  <c r="K35" i="66" s="1"/>
  <c r="G35" i="66"/>
  <c r="C35" i="66"/>
  <c r="CD34" i="66"/>
  <c r="BZ34" i="66"/>
  <c r="BV34" i="66"/>
  <c r="BR34" i="66"/>
  <c r="BN34" i="66"/>
  <c r="BJ34" i="66"/>
  <c r="BF34" i="66"/>
  <c r="BB34" i="66"/>
  <c r="AX34" i="66"/>
  <c r="AT34" i="66"/>
  <c r="AP34" i="66"/>
  <c r="AL34" i="66"/>
  <c r="AF34" i="66"/>
  <c r="AD34" i="66"/>
  <c r="J34" i="66"/>
  <c r="K34" i="66" s="1"/>
  <c r="G34" i="66"/>
  <c r="C34" i="66"/>
  <c r="CD33" i="66"/>
  <c r="BZ33" i="66"/>
  <c r="BV33" i="66"/>
  <c r="BR33" i="66"/>
  <c r="BN33" i="66"/>
  <c r="BJ33" i="66"/>
  <c r="BF33" i="66"/>
  <c r="BB33" i="66"/>
  <c r="AX33" i="66"/>
  <c r="AT33" i="66"/>
  <c r="AP33" i="66"/>
  <c r="AL33" i="66"/>
  <c r="AH33" i="66"/>
  <c r="AF33" i="66"/>
  <c r="AG33" i="66" s="1"/>
  <c r="AD33" i="66"/>
  <c r="J33" i="66"/>
  <c r="K33" i="66" s="1"/>
  <c r="G33" i="66"/>
  <c r="C33" i="66"/>
  <c r="CD32" i="66"/>
  <c r="BZ32" i="66"/>
  <c r="BV32" i="66"/>
  <c r="BR32" i="66"/>
  <c r="BN32" i="66"/>
  <c r="BJ32" i="66"/>
  <c r="BF32" i="66"/>
  <c r="BB32" i="66"/>
  <c r="AX32" i="66"/>
  <c r="AT32" i="66"/>
  <c r="AP32" i="66"/>
  <c r="AH32" i="66" s="1"/>
  <c r="AG32" i="66" s="1"/>
  <c r="AL32" i="66"/>
  <c r="AF32" i="66"/>
  <c r="AD32" i="66"/>
  <c r="J32" i="66"/>
  <c r="K32" i="66" s="1"/>
  <c r="G32" i="66"/>
  <c r="C32" i="66"/>
  <c r="CD31" i="66"/>
  <c r="BZ31" i="66"/>
  <c r="BV31" i="66"/>
  <c r="BR31" i="66"/>
  <c r="BN31" i="66"/>
  <c r="AH31" i="66" s="1"/>
  <c r="AG31" i="66" s="1"/>
  <c r="BJ31" i="66"/>
  <c r="BF31" i="66"/>
  <c r="BB31" i="66"/>
  <c r="AX31" i="66"/>
  <c r="AT31" i="66"/>
  <c r="AP31" i="66"/>
  <c r="AL31" i="66"/>
  <c r="AF31" i="66"/>
  <c r="AD31" i="66"/>
  <c r="J31" i="66"/>
  <c r="K31" i="66" s="1"/>
  <c r="G31" i="66"/>
  <c r="CD30" i="66"/>
  <c r="BZ30" i="66"/>
  <c r="BV30" i="66"/>
  <c r="BR30" i="66"/>
  <c r="BN30" i="66"/>
  <c r="BJ30" i="66"/>
  <c r="BF30" i="66"/>
  <c r="BB30" i="66"/>
  <c r="AX30" i="66"/>
  <c r="AT30" i="66"/>
  <c r="AP30" i="66"/>
  <c r="AL30" i="66"/>
  <c r="AH30" i="66"/>
  <c r="AF30" i="66"/>
  <c r="AG30" i="66" s="1"/>
  <c r="AD30" i="66"/>
  <c r="J30" i="66"/>
  <c r="K30" i="66" s="1"/>
  <c r="G30" i="66"/>
  <c r="C30" i="66"/>
  <c r="CD29" i="66"/>
  <c r="BZ29" i="66"/>
  <c r="BV29" i="66"/>
  <c r="BR29" i="66"/>
  <c r="BN29" i="66"/>
  <c r="BJ29" i="66"/>
  <c r="BF29" i="66"/>
  <c r="BB29" i="66"/>
  <c r="AX29" i="66"/>
  <c r="AT29" i="66"/>
  <c r="AP29" i="66"/>
  <c r="AL29" i="66"/>
  <c r="AH29" i="66" s="1"/>
  <c r="AG29" i="66" s="1"/>
  <c r="AF29" i="66"/>
  <c r="AD29" i="66"/>
  <c r="J29" i="66"/>
  <c r="K29" i="66" s="1"/>
  <c r="G29" i="66"/>
  <c r="C29" i="66"/>
  <c r="CD28" i="66"/>
  <c r="BZ28" i="66"/>
  <c r="BV28" i="66"/>
  <c r="BR28" i="66"/>
  <c r="BN28" i="66"/>
  <c r="BJ28" i="66"/>
  <c r="BF28" i="66"/>
  <c r="BB28" i="66"/>
  <c r="AX28" i="66"/>
  <c r="AT28" i="66"/>
  <c r="AP28" i="66"/>
  <c r="AL28" i="66"/>
  <c r="AH28" i="66" s="1"/>
  <c r="AG28" i="66" s="1"/>
  <c r="AF28" i="66"/>
  <c r="AD28" i="66"/>
  <c r="J28" i="66"/>
  <c r="K28" i="66" s="1"/>
  <c r="G28" i="66"/>
  <c r="CD27" i="66"/>
  <c r="BZ27" i="66"/>
  <c r="BV27" i="66"/>
  <c r="BR27" i="66"/>
  <c r="BN27" i="66"/>
  <c r="BJ27" i="66"/>
  <c r="BF27" i="66"/>
  <c r="BB27" i="66"/>
  <c r="AX27" i="66"/>
  <c r="AT27" i="66"/>
  <c r="AP27" i="66"/>
  <c r="AL27" i="66"/>
  <c r="AH27" i="66" s="1"/>
  <c r="AG27" i="66" s="1"/>
  <c r="AF27" i="66"/>
  <c r="AD27" i="66"/>
  <c r="J27" i="66"/>
  <c r="K27" i="66" s="1"/>
  <c r="G27" i="66"/>
  <c r="C27" i="66"/>
  <c r="CD26" i="66"/>
  <c r="BZ26" i="66"/>
  <c r="BZ24" i="66" s="1"/>
  <c r="BV26" i="66"/>
  <c r="BV24" i="66" s="1"/>
  <c r="BR26" i="66"/>
  <c r="BR24" i="66" s="1"/>
  <c r="BN26" i="66"/>
  <c r="BJ26" i="66"/>
  <c r="BF26" i="66"/>
  <c r="BB26" i="66"/>
  <c r="AX26" i="66"/>
  <c r="AT26" i="66"/>
  <c r="AP26" i="66"/>
  <c r="AL26" i="66"/>
  <c r="AF26" i="66"/>
  <c r="AD26" i="66"/>
  <c r="J26" i="66"/>
  <c r="K26" i="66" s="1"/>
  <c r="G26" i="66"/>
  <c r="C26" i="66"/>
  <c r="CD25" i="66"/>
  <c r="BZ25" i="66"/>
  <c r="BV25" i="66"/>
  <c r="BR25" i="66"/>
  <c r="BN25" i="66"/>
  <c r="BJ25" i="66"/>
  <c r="BF25" i="66"/>
  <c r="BB25" i="66"/>
  <c r="AX25" i="66"/>
  <c r="AT25" i="66"/>
  <c r="AT24" i="66" s="1"/>
  <c r="AP25" i="66"/>
  <c r="AP24" i="66" s="1"/>
  <c r="AL25" i="66"/>
  <c r="AL24" i="66" s="1"/>
  <c r="AH25" i="66"/>
  <c r="AF25" i="66"/>
  <c r="AG25" i="66" s="1"/>
  <c r="AD25" i="66"/>
  <c r="J25" i="66"/>
  <c r="I25" i="66"/>
  <c r="G25" i="66"/>
  <c r="C25" i="66"/>
  <c r="BN24" i="66"/>
  <c r="AD24" i="66"/>
  <c r="C24" i="66"/>
  <c r="CD23" i="66"/>
  <c r="BZ23" i="66"/>
  <c r="BV23" i="66"/>
  <c r="BR23" i="66"/>
  <c r="BN23" i="66"/>
  <c r="BJ23" i="66"/>
  <c r="BF23" i="66"/>
  <c r="BB23" i="66"/>
  <c r="AX23" i="66"/>
  <c r="AT23" i="66"/>
  <c r="AP23" i="66"/>
  <c r="AL23" i="66"/>
  <c r="AF23" i="66"/>
  <c r="AD23" i="66"/>
  <c r="J23" i="66"/>
  <c r="K23" i="66" s="1"/>
  <c r="G23" i="66"/>
  <c r="C23" i="66"/>
  <c r="CD22" i="66"/>
  <c r="BZ22" i="66"/>
  <c r="BV22" i="66"/>
  <c r="BR22" i="66"/>
  <c r="BN22" i="66"/>
  <c r="BJ22" i="66"/>
  <c r="BF22" i="66"/>
  <c r="BB22" i="66"/>
  <c r="AX22" i="66"/>
  <c r="AT22" i="66"/>
  <c r="AP22" i="66"/>
  <c r="AL22" i="66"/>
  <c r="AH22" i="66"/>
  <c r="AF22" i="66"/>
  <c r="AG22" i="66" s="1"/>
  <c r="AD22" i="66"/>
  <c r="J22" i="66"/>
  <c r="K22" i="66" s="1"/>
  <c r="G22" i="66"/>
  <c r="CD21" i="66"/>
  <c r="BZ21" i="66"/>
  <c r="BV21" i="66"/>
  <c r="BR21" i="66"/>
  <c r="BN21" i="66"/>
  <c r="BJ21" i="66"/>
  <c r="BF21" i="66"/>
  <c r="BB21" i="66"/>
  <c r="AX21" i="66"/>
  <c r="AT21" i="66"/>
  <c r="AP21" i="66"/>
  <c r="AL21" i="66"/>
  <c r="AF21" i="66"/>
  <c r="AD21" i="66"/>
  <c r="J21" i="66"/>
  <c r="K21" i="66" s="1"/>
  <c r="G21" i="66"/>
  <c r="C21" i="66"/>
  <c r="CD20" i="66"/>
  <c r="BZ20" i="66"/>
  <c r="BV20" i="66"/>
  <c r="BR20" i="66"/>
  <c r="BN20" i="66"/>
  <c r="AH20" i="66" s="1"/>
  <c r="AG20" i="66" s="1"/>
  <c r="BJ20" i="66"/>
  <c r="BF20" i="66"/>
  <c r="BB20" i="66"/>
  <c r="AX20" i="66"/>
  <c r="AT20" i="66"/>
  <c r="AP20" i="66"/>
  <c r="AL20" i="66"/>
  <c r="AF20" i="66"/>
  <c r="AD20" i="66"/>
  <c r="J20" i="66"/>
  <c r="K20" i="66" s="1"/>
  <c r="G20" i="66"/>
  <c r="CD19" i="66"/>
  <c r="BZ19" i="66"/>
  <c r="BV19" i="66"/>
  <c r="BR19" i="66"/>
  <c r="BN19" i="66"/>
  <c r="BJ19" i="66"/>
  <c r="BF19" i="66"/>
  <c r="BB19" i="66"/>
  <c r="AX19" i="66"/>
  <c r="AT19" i="66"/>
  <c r="AP19" i="66"/>
  <c r="AL19" i="66"/>
  <c r="AH19" i="66"/>
  <c r="AG19" i="66"/>
  <c r="AF19" i="66"/>
  <c r="AD19" i="66"/>
  <c r="J19" i="66"/>
  <c r="K19" i="66" s="1"/>
  <c r="G19" i="66"/>
  <c r="C19" i="66"/>
  <c r="CD18" i="66"/>
  <c r="BZ18" i="66"/>
  <c r="BV18" i="66"/>
  <c r="BR18" i="66"/>
  <c r="BN18" i="66"/>
  <c r="BJ18" i="66"/>
  <c r="BF18" i="66"/>
  <c r="AH18" i="66" s="1"/>
  <c r="AG18" i="66" s="1"/>
  <c r="BB18" i="66"/>
  <c r="AX18" i="66"/>
  <c r="AT18" i="66"/>
  <c r="AP18" i="66"/>
  <c r="AL18" i="66"/>
  <c r="AF18" i="66"/>
  <c r="AD18" i="66"/>
  <c r="J18" i="66"/>
  <c r="K18" i="66" s="1"/>
  <c r="G18" i="66"/>
  <c r="C18" i="66"/>
  <c r="CD17" i="66"/>
  <c r="BZ17" i="66"/>
  <c r="BV17" i="66"/>
  <c r="BR17" i="66"/>
  <c r="BN17" i="66"/>
  <c r="BJ17" i="66"/>
  <c r="BF17" i="66"/>
  <c r="BB17" i="66"/>
  <c r="AX17" i="66"/>
  <c r="AT17" i="66"/>
  <c r="AP17" i="66"/>
  <c r="AL17" i="66"/>
  <c r="AH17" i="66" s="1"/>
  <c r="AG17" i="66" s="1"/>
  <c r="AF17" i="66"/>
  <c r="AD17" i="66"/>
  <c r="J17" i="66"/>
  <c r="K17" i="66" s="1"/>
  <c r="G17" i="66"/>
  <c r="C17" i="66"/>
  <c r="CD16" i="66"/>
  <c r="BZ16" i="66"/>
  <c r="BV16" i="66"/>
  <c r="BR16" i="66"/>
  <c r="BN16" i="66"/>
  <c r="BJ16" i="66"/>
  <c r="BF16" i="66"/>
  <c r="BB16" i="66"/>
  <c r="AX16" i="66"/>
  <c r="AT16" i="66"/>
  <c r="AP16" i="66"/>
  <c r="AL16" i="66"/>
  <c r="AF16" i="66"/>
  <c r="AD16" i="66"/>
  <c r="J16" i="66"/>
  <c r="K16" i="66" s="1"/>
  <c r="G16" i="66"/>
  <c r="C16" i="66"/>
  <c r="CD15" i="66"/>
  <c r="BZ15" i="66"/>
  <c r="BV15" i="66"/>
  <c r="BR15" i="66"/>
  <c r="BN15" i="66"/>
  <c r="BJ15" i="66"/>
  <c r="BF15" i="66"/>
  <c r="BB15" i="66"/>
  <c r="AX15" i="66"/>
  <c r="AT15" i="66"/>
  <c r="AP15" i="66"/>
  <c r="AL15" i="66"/>
  <c r="AH15" i="66"/>
  <c r="AG15" i="66" s="1"/>
  <c r="AF15" i="66"/>
  <c r="AD15" i="66"/>
  <c r="J15" i="66"/>
  <c r="K15" i="66" s="1"/>
  <c r="G15" i="66"/>
  <c r="C15" i="66"/>
  <c r="CD14" i="66"/>
  <c r="BZ14" i="66"/>
  <c r="BV14" i="66"/>
  <c r="BR14" i="66"/>
  <c r="BN14" i="66"/>
  <c r="BJ14" i="66"/>
  <c r="BF14" i="66"/>
  <c r="BB14" i="66"/>
  <c r="AX14" i="66"/>
  <c r="AT14" i="66"/>
  <c r="AP14" i="66"/>
  <c r="AL14" i="66"/>
  <c r="AF14" i="66"/>
  <c r="AD14" i="66"/>
  <c r="J14" i="66"/>
  <c r="K14" i="66" s="1"/>
  <c r="G14" i="66"/>
  <c r="C14" i="66"/>
  <c r="CD13" i="66"/>
  <c r="CD11" i="66" s="1"/>
  <c r="BZ13" i="66"/>
  <c r="BZ11" i="66" s="1"/>
  <c r="BV13" i="66"/>
  <c r="AH13" i="66" s="1"/>
  <c r="AG13" i="66" s="1"/>
  <c r="BR13" i="66"/>
  <c r="BN13" i="66"/>
  <c r="BJ13" i="66"/>
  <c r="BF13" i="66"/>
  <c r="BB13" i="66"/>
  <c r="AX13" i="66"/>
  <c r="AT13" i="66"/>
  <c r="AP13" i="66"/>
  <c r="AL13" i="66"/>
  <c r="AF13" i="66"/>
  <c r="AD13" i="66"/>
  <c r="J13" i="66"/>
  <c r="K13" i="66" s="1"/>
  <c r="G13" i="66"/>
  <c r="CD12" i="66"/>
  <c r="BZ12" i="66"/>
  <c r="BV12" i="66"/>
  <c r="BR12" i="66"/>
  <c r="BN12" i="66"/>
  <c r="BJ12" i="66"/>
  <c r="BF12" i="66"/>
  <c r="BB12" i="66"/>
  <c r="AX12" i="66"/>
  <c r="AX11" i="66" s="1"/>
  <c r="AT12" i="66"/>
  <c r="AT11" i="66" s="1"/>
  <c r="AP12" i="66"/>
  <c r="AP11" i="66" s="1"/>
  <c r="AL12" i="66"/>
  <c r="AH12" i="66"/>
  <c r="AF12" i="66"/>
  <c r="AD12" i="66"/>
  <c r="J12" i="66"/>
  <c r="K12" i="66" s="1"/>
  <c r="G12" i="66"/>
  <c r="C12" i="66"/>
  <c r="BB11" i="66"/>
  <c r="AD11" i="66"/>
  <c r="C11" i="66"/>
  <c r="AF6" i="66"/>
  <c r="A3" i="66"/>
  <c r="C56" i="66" s="1"/>
  <c r="B6" i="65"/>
  <c r="D57" i="65" s="1"/>
  <c r="CD62" i="65"/>
  <c r="BZ62" i="65"/>
  <c r="BV62" i="65"/>
  <c r="BR62" i="65"/>
  <c r="BN62" i="65"/>
  <c r="BJ62" i="65"/>
  <c r="BF62" i="65"/>
  <c r="BB62" i="65"/>
  <c r="AX62" i="65"/>
  <c r="AT62" i="65"/>
  <c r="AP62" i="65"/>
  <c r="AL62" i="65"/>
  <c r="AH62" i="65"/>
  <c r="AF62" i="65"/>
  <c r="AG62" i="65" s="1"/>
  <c r="AD62" i="65"/>
  <c r="J62" i="65"/>
  <c r="I62" i="65"/>
  <c r="G62" i="65"/>
  <c r="D62" i="65"/>
  <c r="C62" i="65"/>
  <c r="CD61" i="65"/>
  <c r="BZ61" i="65"/>
  <c r="BV61" i="65"/>
  <c r="BR61" i="65"/>
  <c r="BN61" i="65"/>
  <c r="BJ61" i="65"/>
  <c r="BF61" i="65"/>
  <c r="BB61" i="65"/>
  <c r="AX61" i="65"/>
  <c r="AH61" i="65" s="1"/>
  <c r="AG61" i="65" s="1"/>
  <c r="AT61" i="65"/>
  <c r="AP61" i="65"/>
  <c r="AL61" i="65"/>
  <c r="AF61" i="65"/>
  <c r="AD61" i="65"/>
  <c r="J61" i="65"/>
  <c r="I61" i="65"/>
  <c r="G61" i="65"/>
  <c r="C61" i="65"/>
  <c r="CD60" i="65"/>
  <c r="BZ60" i="65"/>
  <c r="BV60" i="65"/>
  <c r="BR60" i="65"/>
  <c r="BN60" i="65"/>
  <c r="BJ60" i="65"/>
  <c r="BF60" i="65"/>
  <c r="BB60" i="65"/>
  <c r="AX60" i="65"/>
  <c r="AT60" i="65"/>
  <c r="AP60" i="65"/>
  <c r="AL60" i="65"/>
  <c r="AF60" i="65"/>
  <c r="AD60" i="65"/>
  <c r="J60" i="65"/>
  <c r="G60" i="65"/>
  <c r="C60" i="65"/>
  <c r="CD59" i="65"/>
  <c r="BZ59" i="65"/>
  <c r="BV59" i="65"/>
  <c r="BR59" i="65"/>
  <c r="BN59" i="65"/>
  <c r="BJ59" i="65"/>
  <c r="BF59" i="65"/>
  <c r="BB59" i="65"/>
  <c r="AX59" i="65"/>
  <c r="AT59" i="65"/>
  <c r="AT50" i="65" s="1"/>
  <c r="AP59" i="65"/>
  <c r="AL59" i="65"/>
  <c r="AF59" i="65"/>
  <c r="AD59" i="65"/>
  <c r="J59" i="65"/>
  <c r="I59" i="65"/>
  <c r="G59" i="65"/>
  <c r="D59" i="65"/>
  <c r="C59" i="65"/>
  <c r="CD58" i="65"/>
  <c r="BZ58" i="65"/>
  <c r="BV58" i="65"/>
  <c r="BR58" i="65"/>
  <c r="BN58" i="65"/>
  <c r="BJ58" i="65"/>
  <c r="BF58" i="65"/>
  <c r="BB58" i="65"/>
  <c r="AX58" i="65"/>
  <c r="AT58" i="65"/>
  <c r="AP58" i="65"/>
  <c r="AL58" i="65"/>
  <c r="AH58" i="65" s="1"/>
  <c r="AG58" i="65" s="1"/>
  <c r="AF58" i="65"/>
  <c r="AD58" i="65"/>
  <c r="J58" i="65"/>
  <c r="I58" i="65"/>
  <c r="G58" i="65"/>
  <c r="D58" i="65"/>
  <c r="CD57" i="65"/>
  <c r="BZ57" i="65"/>
  <c r="BV57" i="65"/>
  <c r="BR57" i="65"/>
  <c r="BN57" i="65"/>
  <c r="BJ57" i="65"/>
  <c r="BF57" i="65"/>
  <c r="BB57" i="65"/>
  <c r="AX57" i="65"/>
  <c r="AT57" i="65"/>
  <c r="AP57" i="65"/>
  <c r="AL57" i="65"/>
  <c r="AH57" i="65"/>
  <c r="AG57" i="65" s="1"/>
  <c r="AF57" i="65"/>
  <c r="AD57" i="65"/>
  <c r="J57" i="65"/>
  <c r="I57" i="65"/>
  <c r="G57" i="65"/>
  <c r="C57" i="65"/>
  <c r="CD56" i="65"/>
  <c r="BZ56" i="65"/>
  <c r="BV56" i="65"/>
  <c r="BR56" i="65"/>
  <c r="BN56" i="65"/>
  <c r="BJ56" i="65"/>
  <c r="BF56" i="65"/>
  <c r="BB56" i="65"/>
  <c r="AX56" i="65"/>
  <c r="AT56" i="65"/>
  <c r="AP56" i="65"/>
  <c r="AL56" i="65"/>
  <c r="AH56" i="65"/>
  <c r="AF56" i="65"/>
  <c r="AG56" i="65" s="1"/>
  <c r="AD56" i="65"/>
  <c r="J56" i="65"/>
  <c r="I56" i="65"/>
  <c r="G56" i="65"/>
  <c r="CD55" i="65"/>
  <c r="BZ55" i="65"/>
  <c r="BV55" i="65"/>
  <c r="BR55" i="65"/>
  <c r="BN55" i="65"/>
  <c r="BJ55" i="65"/>
  <c r="BF55" i="65"/>
  <c r="BB55" i="65"/>
  <c r="AX55" i="65"/>
  <c r="AT55" i="65"/>
  <c r="AP55" i="65"/>
  <c r="AL55" i="65"/>
  <c r="AF55" i="65"/>
  <c r="AD55" i="65"/>
  <c r="J55" i="65"/>
  <c r="G55" i="65"/>
  <c r="C55" i="65"/>
  <c r="CD54" i="65"/>
  <c r="BZ54" i="65"/>
  <c r="BV54" i="65"/>
  <c r="BR54" i="65"/>
  <c r="BN54" i="65"/>
  <c r="BJ54" i="65"/>
  <c r="BF54" i="65"/>
  <c r="BB54" i="65"/>
  <c r="AX54" i="65"/>
  <c r="AT54" i="65"/>
  <c r="AP54" i="65"/>
  <c r="AL54" i="65"/>
  <c r="AF54" i="65"/>
  <c r="AD54" i="65"/>
  <c r="J54" i="65"/>
  <c r="I54" i="65"/>
  <c r="G54" i="65"/>
  <c r="D54" i="65"/>
  <c r="C54" i="65"/>
  <c r="CD53" i="65"/>
  <c r="BZ53" i="65"/>
  <c r="BV53" i="65"/>
  <c r="BR53" i="65"/>
  <c r="BN53" i="65"/>
  <c r="BJ53" i="65"/>
  <c r="BF53" i="65"/>
  <c r="BB53" i="65"/>
  <c r="AX53" i="65"/>
  <c r="AT53" i="65"/>
  <c r="AP53" i="65"/>
  <c r="AP50" i="65" s="1"/>
  <c r="AL53" i="65"/>
  <c r="AL50" i="65" s="1"/>
  <c r="AH53" i="65"/>
  <c r="AG53" i="65"/>
  <c r="AF53" i="65"/>
  <c r="AD53" i="65"/>
  <c r="J53" i="65"/>
  <c r="K53" i="65" s="1"/>
  <c r="I53" i="65"/>
  <c r="G53" i="65"/>
  <c r="C53" i="65"/>
  <c r="CD52" i="65"/>
  <c r="BZ52" i="65"/>
  <c r="BV52" i="65"/>
  <c r="BR52" i="65"/>
  <c r="BN52" i="65"/>
  <c r="BN50" i="65" s="1"/>
  <c r="BJ52" i="65"/>
  <c r="BJ50" i="65" s="1"/>
  <c r="BF52" i="65"/>
  <c r="BB52" i="65"/>
  <c r="AX52" i="65"/>
  <c r="AT52" i="65"/>
  <c r="AP52" i="65"/>
  <c r="AL52" i="65"/>
  <c r="AF52" i="65"/>
  <c r="AD52" i="65"/>
  <c r="J52" i="65"/>
  <c r="I52" i="65"/>
  <c r="G52" i="65"/>
  <c r="C52" i="65"/>
  <c r="CD51" i="65"/>
  <c r="BZ51" i="65"/>
  <c r="BZ50" i="65" s="1"/>
  <c r="BV51" i="65"/>
  <c r="BV50" i="65" s="1"/>
  <c r="BR51" i="65"/>
  <c r="BN51" i="65"/>
  <c r="BJ51" i="65"/>
  <c r="BF51" i="65"/>
  <c r="BB51" i="65"/>
  <c r="AX51" i="65"/>
  <c r="AT51" i="65"/>
  <c r="AP51" i="65"/>
  <c r="AL51" i="65"/>
  <c r="AF51" i="65"/>
  <c r="AD51" i="65"/>
  <c r="J51" i="65"/>
  <c r="G51" i="65"/>
  <c r="C51" i="65"/>
  <c r="AD50" i="65"/>
  <c r="D50" i="65"/>
  <c r="C50" i="65"/>
  <c r="CD49" i="65"/>
  <c r="BZ49" i="65"/>
  <c r="BV49" i="65"/>
  <c r="BR49" i="65"/>
  <c r="BN49" i="65"/>
  <c r="BJ49" i="65"/>
  <c r="BF49" i="65"/>
  <c r="BB49" i="65"/>
  <c r="AX49" i="65"/>
  <c r="AT49" i="65"/>
  <c r="AP49" i="65"/>
  <c r="AL49" i="65"/>
  <c r="AF49" i="65"/>
  <c r="AD49" i="65"/>
  <c r="J49" i="65"/>
  <c r="K49" i="65" s="1"/>
  <c r="G49" i="65"/>
  <c r="D49" i="65"/>
  <c r="C49" i="65"/>
  <c r="CD48" i="65"/>
  <c r="BZ48" i="65"/>
  <c r="BV48" i="65"/>
  <c r="BR48" i="65"/>
  <c r="BN48" i="65"/>
  <c r="BJ48" i="65"/>
  <c r="BF48" i="65"/>
  <c r="BB48" i="65"/>
  <c r="AX48" i="65"/>
  <c r="AT48" i="65"/>
  <c r="AP48" i="65"/>
  <c r="AL48" i="65"/>
  <c r="AH48" i="65"/>
  <c r="AG48" i="65" s="1"/>
  <c r="AF48" i="65"/>
  <c r="AD48" i="65"/>
  <c r="J48" i="65"/>
  <c r="K48" i="65" s="1"/>
  <c r="G48" i="65"/>
  <c r="CD47" i="65"/>
  <c r="BZ47" i="65"/>
  <c r="BV47" i="65"/>
  <c r="BR47" i="65"/>
  <c r="BN47" i="65"/>
  <c r="BJ47" i="65"/>
  <c r="BF47" i="65"/>
  <c r="BB47" i="65"/>
  <c r="AX47" i="65"/>
  <c r="AT47" i="65"/>
  <c r="AP47" i="65"/>
  <c r="AL47" i="65"/>
  <c r="AH47" i="65" s="1"/>
  <c r="AG47" i="65" s="1"/>
  <c r="AF47" i="65"/>
  <c r="AD47" i="65"/>
  <c r="J47" i="65"/>
  <c r="K47" i="65" s="1"/>
  <c r="G47" i="65"/>
  <c r="D47" i="65"/>
  <c r="C47" i="65"/>
  <c r="CD46" i="65"/>
  <c r="BZ46" i="65"/>
  <c r="BV46" i="65"/>
  <c r="BR46" i="65"/>
  <c r="BN46" i="65"/>
  <c r="BJ46" i="65"/>
  <c r="BF46" i="65"/>
  <c r="BB46" i="65"/>
  <c r="AX46" i="65"/>
  <c r="AT46" i="65"/>
  <c r="AP46" i="65"/>
  <c r="AL46" i="65"/>
  <c r="AF46" i="65"/>
  <c r="AD46" i="65"/>
  <c r="J46" i="65"/>
  <c r="K46" i="65" s="1"/>
  <c r="G46" i="65"/>
  <c r="C46" i="65"/>
  <c r="CD45" i="65"/>
  <c r="BZ45" i="65"/>
  <c r="BV45" i="65"/>
  <c r="BR45" i="65"/>
  <c r="BN45" i="65"/>
  <c r="BJ45" i="65"/>
  <c r="BF45" i="65"/>
  <c r="BB45" i="65"/>
  <c r="AX45" i="65"/>
  <c r="AT45" i="65"/>
  <c r="AP45" i="65"/>
  <c r="AL45" i="65"/>
  <c r="AF45" i="65"/>
  <c r="AD45" i="65"/>
  <c r="J45" i="65"/>
  <c r="K45" i="65" s="1"/>
  <c r="G45" i="65"/>
  <c r="CD44" i="65"/>
  <c r="BZ44" i="65"/>
  <c r="BV44" i="65"/>
  <c r="BR44" i="65"/>
  <c r="BN44" i="65"/>
  <c r="BJ44" i="65"/>
  <c r="BF44" i="65"/>
  <c r="BB44" i="65"/>
  <c r="AX44" i="65"/>
  <c r="AT44" i="65"/>
  <c r="AP44" i="65"/>
  <c r="AL44" i="65"/>
  <c r="AF44" i="65"/>
  <c r="AD44" i="65"/>
  <c r="J44" i="65"/>
  <c r="K44" i="65" s="1"/>
  <c r="G44" i="65"/>
  <c r="D44" i="65"/>
  <c r="C44" i="65"/>
  <c r="CD43" i="65"/>
  <c r="BZ43" i="65"/>
  <c r="BZ37" i="65" s="1"/>
  <c r="BV43" i="65"/>
  <c r="BR43" i="65"/>
  <c r="BN43" i="65"/>
  <c r="BJ43" i="65"/>
  <c r="BF43" i="65"/>
  <c r="BB43" i="65"/>
  <c r="AX43" i="65"/>
  <c r="AT43" i="65"/>
  <c r="AP43" i="65"/>
  <c r="AL43" i="65"/>
  <c r="AF43" i="65"/>
  <c r="AD43" i="65"/>
  <c r="J43" i="65"/>
  <c r="K43" i="65" s="1"/>
  <c r="G43" i="65"/>
  <c r="D43" i="65"/>
  <c r="C43" i="65"/>
  <c r="CD42" i="65"/>
  <c r="BZ42" i="65"/>
  <c r="BV42" i="65"/>
  <c r="BR42" i="65"/>
  <c r="BN42" i="65"/>
  <c r="BJ42" i="65"/>
  <c r="BF42" i="65"/>
  <c r="BB42" i="65"/>
  <c r="AX42" i="65"/>
  <c r="AT42" i="65"/>
  <c r="AP42" i="65"/>
  <c r="AL42" i="65"/>
  <c r="AH42" i="65" s="1"/>
  <c r="AG42" i="65" s="1"/>
  <c r="AF42" i="65"/>
  <c r="AD42" i="65"/>
  <c r="J42" i="65"/>
  <c r="K42" i="65" s="1"/>
  <c r="G42" i="65"/>
  <c r="D42" i="65"/>
  <c r="C42" i="65"/>
  <c r="CD41" i="65"/>
  <c r="BZ41" i="65"/>
  <c r="BV41" i="65"/>
  <c r="BR41" i="65"/>
  <c r="BN41" i="65"/>
  <c r="BJ41" i="65"/>
  <c r="BJ37" i="65" s="1"/>
  <c r="BF41" i="65"/>
  <c r="BB41" i="65"/>
  <c r="AX41" i="65"/>
  <c r="AT41" i="65"/>
  <c r="AP41" i="65"/>
  <c r="AL41" i="65"/>
  <c r="AF41" i="65"/>
  <c r="AD41" i="65"/>
  <c r="J41" i="65"/>
  <c r="K41" i="65" s="1"/>
  <c r="G41" i="65"/>
  <c r="D41" i="65"/>
  <c r="C41" i="65"/>
  <c r="CD40" i="65"/>
  <c r="CD37" i="65" s="1"/>
  <c r="BZ40" i="65"/>
  <c r="BV40" i="65"/>
  <c r="AH40" i="65" s="1"/>
  <c r="AG40" i="65" s="1"/>
  <c r="BR40" i="65"/>
  <c r="BN40" i="65"/>
  <c r="BJ40" i="65"/>
  <c r="BF40" i="65"/>
  <c r="BB40" i="65"/>
  <c r="AX40" i="65"/>
  <c r="AT40" i="65"/>
  <c r="AP40" i="65"/>
  <c r="AL40" i="65"/>
  <c r="AF40" i="65"/>
  <c r="AD40" i="65"/>
  <c r="J40" i="65"/>
  <c r="K40" i="65" s="1"/>
  <c r="G40" i="65"/>
  <c r="CD39" i="65"/>
  <c r="BZ39" i="65"/>
  <c r="BV39" i="65"/>
  <c r="BR39" i="65"/>
  <c r="BN39" i="65"/>
  <c r="BJ39" i="65"/>
  <c r="BF39" i="65"/>
  <c r="BB39" i="65"/>
  <c r="AX39" i="65"/>
  <c r="AH39" i="65" s="1"/>
  <c r="AG39" i="65" s="1"/>
  <c r="AT39" i="65"/>
  <c r="AP39" i="65"/>
  <c r="AL39" i="65"/>
  <c r="AF39" i="65"/>
  <c r="AD39" i="65"/>
  <c r="J39" i="65"/>
  <c r="K39" i="65" s="1"/>
  <c r="G39" i="65"/>
  <c r="D39" i="65"/>
  <c r="C39" i="65"/>
  <c r="CD38" i="65"/>
  <c r="BZ38" i="65"/>
  <c r="BV38" i="65"/>
  <c r="BR38" i="65"/>
  <c r="BN38" i="65"/>
  <c r="BN37" i="65" s="1"/>
  <c r="BJ38" i="65"/>
  <c r="BF38" i="65"/>
  <c r="BB38" i="65"/>
  <c r="AX38" i="65"/>
  <c r="AT38" i="65"/>
  <c r="AP38" i="65"/>
  <c r="AL38" i="65"/>
  <c r="AF38" i="65"/>
  <c r="AD38" i="65"/>
  <c r="J38" i="65"/>
  <c r="K38" i="65" s="1"/>
  <c r="G38" i="65"/>
  <c r="C38" i="65"/>
  <c r="AD37" i="65"/>
  <c r="D37" i="65"/>
  <c r="C37" i="65"/>
  <c r="CD36" i="65"/>
  <c r="BZ36" i="65"/>
  <c r="BV36" i="65"/>
  <c r="BR36" i="65"/>
  <c r="BN36" i="65"/>
  <c r="BJ36" i="65"/>
  <c r="BF36" i="65"/>
  <c r="BB36" i="65"/>
  <c r="AX36" i="65"/>
  <c r="AT36" i="65"/>
  <c r="AP36" i="65"/>
  <c r="AL36" i="65"/>
  <c r="AH36" i="65"/>
  <c r="AG36" i="65"/>
  <c r="AF36" i="65"/>
  <c r="AD36" i="65"/>
  <c r="J36" i="65"/>
  <c r="K36" i="65" s="1"/>
  <c r="G36" i="65"/>
  <c r="D36" i="65"/>
  <c r="CD35" i="65"/>
  <c r="BZ35" i="65"/>
  <c r="BV35" i="65"/>
  <c r="BR35" i="65"/>
  <c r="BN35" i="65"/>
  <c r="BJ35" i="65"/>
  <c r="BF35" i="65"/>
  <c r="BB35" i="65"/>
  <c r="AX35" i="65"/>
  <c r="AT35" i="65"/>
  <c r="AP35" i="65"/>
  <c r="AL35" i="65"/>
  <c r="AF35" i="65"/>
  <c r="AD35" i="65"/>
  <c r="J35" i="65"/>
  <c r="K35" i="65" s="1"/>
  <c r="G35" i="65"/>
  <c r="D35" i="65"/>
  <c r="C35" i="65"/>
  <c r="CD34" i="65"/>
  <c r="BZ34" i="65"/>
  <c r="BV34" i="65"/>
  <c r="BR34" i="65"/>
  <c r="BN34" i="65"/>
  <c r="BJ34" i="65"/>
  <c r="BF34" i="65"/>
  <c r="AH34" i="65" s="1"/>
  <c r="AG34" i="65" s="1"/>
  <c r="BB34" i="65"/>
  <c r="AX34" i="65"/>
  <c r="AT34" i="65"/>
  <c r="AP34" i="65"/>
  <c r="AL34" i="65"/>
  <c r="AF34" i="65"/>
  <c r="AD34" i="65"/>
  <c r="J34" i="65"/>
  <c r="K34" i="65" s="1"/>
  <c r="G34" i="65"/>
  <c r="D34" i="65"/>
  <c r="C34" i="65"/>
  <c r="CD33" i="65"/>
  <c r="AH33" i="65" s="1"/>
  <c r="AG33" i="65" s="1"/>
  <c r="BZ33" i="65"/>
  <c r="BV33" i="65"/>
  <c r="BR33" i="65"/>
  <c r="BN33" i="65"/>
  <c r="BJ33" i="65"/>
  <c r="BF33" i="65"/>
  <c r="BB33" i="65"/>
  <c r="AX33" i="65"/>
  <c r="AT33" i="65"/>
  <c r="AP33" i="65"/>
  <c r="AL33" i="65"/>
  <c r="AF33" i="65"/>
  <c r="AD33" i="65"/>
  <c r="J33" i="65"/>
  <c r="K33" i="65" s="1"/>
  <c r="G33" i="65"/>
  <c r="D33" i="65"/>
  <c r="C33" i="65"/>
  <c r="CD32" i="65"/>
  <c r="BZ32" i="65"/>
  <c r="BV32" i="65"/>
  <c r="BR32" i="65"/>
  <c r="BN32" i="65"/>
  <c r="BJ32" i="65"/>
  <c r="BF32" i="65"/>
  <c r="BB32" i="65"/>
  <c r="AX32" i="65"/>
  <c r="AT32" i="65"/>
  <c r="AP32" i="65"/>
  <c r="AH32" i="65" s="1"/>
  <c r="AG32" i="65" s="1"/>
  <c r="AL32" i="65"/>
  <c r="AF32" i="65"/>
  <c r="AD32" i="65"/>
  <c r="J32" i="65"/>
  <c r="K32" i="65" s="1"/>
  <c r="G32" i="65"/>
  <c r="C32" i="65"/>
  <c r="CD31" i="65"/>
  <c r="BZ31" i="65"/>
  <c r="BV31" i="65"/>
  <c r="BR31" i="65"/>
  <c r="BN31" i="65"/>
  <c r="BJ31" i="65"/>
  <c r="BF31" i="65"/>
  <c r="BB31" i="65"/>
  <c r="AX31" i="65"/>
  <c r="AT31" i="65"/>
  <c r="AP31" i="65"/>
  <c r="AL31" i="65"/>
  <c r="AF31" i="65"/>
  <c r="AD31" i="65"/>
  <c r="J31" i="65"/>
  <c r="K31" i="65" s="1"/>
  <c r="G31" i="65"/>
  <c r="CD30" i="65"/>
  <c r="BZ30" i="65"/>
  <c r="BV30" i="65"/>
  <c r="BR30" i="65"/>
  <c r="BN30" i="65"/>
  <c r="BJ30" i="65"/>
  <c r="BF30" i="65"/>
  <c r="BB30" i="65"/>
  <c r="AX30" i="65"/>
  <c r="AT30" i="65"/>
  <c r="AH30" i="65" s="1"/>
  <c r="AG30" i="65" s="1"/>
  <c r="AP30" i="65"/>
  <c r="AL30" i="65"/>
  <c r="AF30" i="65"/>
  <c r="AD30" i="65"/>
  <c r="J30" i="65"/>
  <c r="K30" i="65" s="1"/>
  <c r="G30" i="65"/>
  <c r="C30" i="65"/>
  <c r="CD29" i="65"/>
  <c r="BZ29" i="65"/>
  <c r="BV29" i="65"/>
  <c r="BR29" i="65"/>
  <c r="BN29" i="65"/>
  <c r="BJ29" i="65"/>
  <c r="BF29" i="65"/>
  <c r="BB29" i="65"/>
  <c r="AX29" i="65"/>
  <c r="AT29" i="65"/>
  <c r="AP29" i="65"/>
  <c r="AL29" i="65"/>
  <c r="AF29" i="65"/>
  <c r="AD29" i="65"/>
  <c r="J29" i="65"/>
  <c r="K29" i="65" s="1"/>
  <c r="G29" i="65"/>
  <c r="D29" i="65"/>
  <c r="C29" i="65"/>
  <c r="CD28" i="65"/>
  <c r="BZ28" i="65"/>
  <c r="BV28" i="65"/>
  <c r="BR28" i="65"/>
  <c r="BN28" i="65"/>
  <c r="BJ28" i="65"/>
  <c r="BF28" i="65"/>
  <c r="BB28" i="65"/>
  <c r="AX28" i="65"/>
  <c r="AT28" i="65"/>
  <c r="AP28" i="65"/>
  <c r="AL28" i="65"/>
  <c r="AF28" i="65"/>
  <c r="AD28" i="65"/>
  <c r="J28" i="65"/>
  <c r="K28" i="65" s="1"/>
  <c r="G28" i="65"/>
  <c r="D28" i="65"/>
  <c r="CD27" i="65"/>
  <c r="BZ27" i="65"/>
  <c r="BV27" i="65"/>
  <c r="BR27" i="65"/>
  <c r="BN27" i="65"/>
  <c r="BJ27" i="65"/>
  <c r="BF27" i="65"/>
  <c r="BB27" i="65"/>
  <c r="AH27" i="65" s="1"/>
  <c r="AG27" i="65" s="1"/>
  <c r="AX27" i="65"/>
  <c r="AT27" i="65"/>
  <c r="AP27" i="65"/>
  <c r="AL27" i="65"/>
  <c r="AF27" i="65"/>
  <c r="AD27" i="65"/>
  <c r="J27" i="65"/>
  <c r="K27" i="65" s="1"/>
  <c r="G27" i="65"/>
  <c r="D27" i="65"/>
  <c r="C27" i="65"/>
  <c r="CD26" i="65"/>
  <c r="BZ26" i="65"/>
  <c r="BV26" i="65"/>
  <c r="BV24" i="65" s="1"/>
  <c r="BR26" i="65"/>
  <c r="BR24" i="65" s="1"/>
  <c r="BN26" i="65"/>
  <c r="BJ26" i="65"/>
  <c r="BF26" i="65"/>
  <c r="BB26" i="65"/>
  <c r="AX26" i="65"/>
  <c r="AT26" i="65"/>
  <c r="AP26" i="65"/>
  <c r="AL26" i="65"/>
  <c r="AH26" i="65"/>
  <c r="AF26" i="65"/>
  <c r="AG26" i="65" s="1"/>
  <c r="AD26" i="65"/>
  <c r="J26" i="65"/>
  <c r="K26" i="65" s="1"/>
  <c r="G26" i="65"/>
  <c r="D26" i="65"/>
  <c r="C26" i="65"/>
  <c r="CD25" i="65"/>
  <c r="BZ25" i="65"/>
  <c r="BV25" i="65"/>
  <c r="BR25" i="65"/>
  <c r="BN25" i="65"/>
  <c r="BJ25" i="65"/>
  <c r="BF25" i="65"/>
  <c r="BB25" i="65"/>
  <c r="BB24" i="65" s="1"/>
  <c r="AX25" i="65"/>
  <c r="AX24" i="65" s="1"/>
  <c r="AT25" i="65"/>
  <c r="AP25" i="65"/>
  <c r="AL25" i="65"/>
  <c r="AL24" i="65" s="1"/>
  <c r="AF25" i="65"/>
  <c r="AD25" i="65"/>
  <c r="J25" i="65"/>
  <c r="I25" i="65"/>
  <c r="G25" i="65"/>
  <c r="C25" i="65"/>
  <c r="CD24" i="65"/>
  <c r="BZ24" i="65"/>
  <c r="AD24" i="65"/>
  <c r="D24" i="65"/>
  <c r="C24" i="65"/>
  <c r="CD23" i="65"/>
  <c r="BZ23" i="65"/>
  <c r="BV23" i="65"/>
  <c r="BR23" i="65"/>
  <c r="BN23" i="65"/>
  <c r="BJ23" i="65"/>
  <c r="BF23" i="65"/>
  <c r="BB23" i="65"/>
  <c r="AX23" i="65"/>
  <c r="AT23" i="65"/>
  <c r="AP23" i="65"/>
  <c r="AL23" i="65"/>
  <c r="AF23" i="65"/>
  <c r="AD23" i="65"/>
  <c r="O23" i="65"/>
  <c r="J23" i="65"/>
  <c r="K23" i="65" s="1"/>
  <c r="G23" i="65"/>
  <c r="D23" i="65"/>
  <c r="C23" i="65"/>
  <c r="CD22" i="65"/>
  <c r="BZ22" i="65"/>
  <c r="BV22" i="65"/>
  <c r="BR22" i="65"/>
  <c r="BN22" i="65"/>
  <c r="BJ22" i="65"/>
  <c r="BF22" i="65"/>
  <c r="BB22" i="65"/>
  <c r="AX22" i="65"/>
  <c r="AT22" i="65"/>
  <c r="AP22" i="65"/>
  <c r="AH22" i="65" s="1"/>
  <c r="AG22" i="65" s="1"/>
  <c r="AL22" i="65"/>
  <c r="AF22" i="65"/>
  <c r="AD22" i="65"/>
  <c r="O22" i="65"/>
  <c r="J22" i="65"/>
  <c r="K22" i="65" s="1"/>
  <c r="G22" i="65"/>
  <c r="C22" i="65"/>
  <c r="CD21" i="65"/>
  <c r="BZ21" i="65"/>
  <c r="BV21" i="65"/>
  <c r="BR21" i="65"/>
  <c r="BN21" i="65"/>
  <c r="BJ21" i="65"/>
  <c r="BF21" i="65"/>
  <c r="BB21" i="65"/>
  <c r="AX21" i="65"/>
  <c r="AT21" i="65"/>
  <c r="AP21" i="65"/>
  <c r="AL21" i="65"/>
  <c r="AF21" i="65"/>
  <c r="AD21" i="65"/>
  <c r="J21" i="65"/>
  <c r="K21" i="65" s="1"/>
  <c r="G21" i="65"/>
  <c r="C21" i="65"/>
  <c r="CD20" i="65"/>
  <c r="BZ20" i="65"/>
  <c r="BV20" i="65"/>
  <c r="BR20" i="65"/>
  <c r="BN20" i="65"/>
  <c r="BJ20" i="65"/>
  <c r="BF20" i="65"/>
  <c r="BB20" i="65"/>
  <c r="AX20" i="65"/>
  <c r="AT20" i="65"/>
  <c r="AP20" i="65"/>
  <c r="AL20" i="65"/>
  <c r="AH20" i="65" s="1"/>
  <c r="AG20" i="65" s="1"/>
  <c r="AF20" i="65"/>
  <c r="AD20" i="65"/>
  <c r="J20" i="65"/>
  <c r="K20" i="65" s="1"/>
  <c r="G20" i="65"/>
  <c r="CD19" i="65"/>
  <c r="BZ19" i="65"/>
  <c r="BV19" i="65"/>
  <c r="BR19" i="65"/>
  <c r="BN19" i="65"/>
  <c r="BJ19" i="65"/>
  <c r="BF19" i="65"/>
  <c r="BB19" i="65"/>
  <c r="AX19" i="65"/>
  <c r="AT19" i="65"/>
  <c r="AP19" i="65"/>
  <c r="AL19" i="65"/>
  <c r="AF19" i="65"/>
  <c r="AD19" i="65"/>
  <c r="J19" i="65"/>
  <c r="K19" i="65" s="1"/>
  <c r="G19" i="65"/>
  <c r="D19" i="65"/>
  <c r="C19" i="65"/>
  <c r="CD18" i="65"/>
  <c r="BZ18" i="65"/>
  <c r="BV18" i="65"/>
  <c r="BR18" i="65"/>
  <c r="BN18" i="65"/>
  <c r="BJ18" i="65"/>
  <c r="BF18" i="65"/>
  <c r="BB18" i="65"/>
  <c r="AX18" i="65"/>
  <c r="AT18" i="65"/>
  <c r="AP18" i="65"/>
  <c r="AL18" i="65"/>
  <c r="AH18" i="65"/>
  <c r="AG18" i="65"/>
  <c r="AF18" i="65"/>
  <c r="AD18" i="65"/>
  <c r="O18" i="65"/>
  <c r="J18" i="65"/>
  <c r="K18" i="65" s="1"/>
  <c r="G18" i="65"/>
  <c r="D18" i="65"/>
  <c r="C18" i="65"/>
  <c r="CD17" i="65"/>
  <c r="BZ17" i="65"/>
  <c r="BV17" i="65"/>
  <c r="BR17" i="65"/>
  <c r="BN17" i="65"/>
  <c r="BJ17" i="65"/>
  <c r="BF17" i="65"/>
  <c r="BB17" i="65"/>
  <c r="AH17" i="65" s="1"/>
  <c r="AG17" i="65" s="1"/>
  <c r="AX17" i="65"/>
  <c r="AT17" i="65"/>
  <c r="AP17" i="65"/>
  <c r="AL17" i="65"/>
  <c r="AF17" i="65"/>
  <c r="AD17" i="65"/>
  <c r="O17" i="65"/>
  <c r="J17" i="65"/>
  <c r="K17" i="65" s="1"/>
  <c r="G17" i="65"/>
  <c r="D17" i="65"/>
  <c r="C17" i="65"/>
  <c r="CD16" i="65"/>
  <c r="BZ16" i="65"/>
  <c r="BV16" i="65"/>
  <c r="BR16" i="65"/>
  <c r="BN16" i="65"/>
  <c r="BJ16" i="65"/>
  <c r="BF16" i="65"/>
  <c r="BB16" i="65"/>
  <c r="AX16" i="65"/>
  <c r="AT16" i="65"/>
  <c r="AP16" i="65"/>
  <c r="AL16" i="65"/>
  <c r="AF16" i="65"/>
  <c r="AD16" i="65"/>
  <c r="O16" i="65"/>
  <c r="J16" i="65"/>
  <c r="K16" i="65" s="1"/>
  <c r="G16" i="65"/>
  <c r="C16" i="65"/>
  <c r="CD15" i="65"/>
  <c r="BZ15" i="65"/>
  <c r="BV15" i="65"/>
  <c r="BR15" i="65"/>
  <c r="BN15" i="65"/>
  <c r="BJ15" i="65"/>
  <c r="BF15" i="65"/>
  <c r="BB15" i="65"/>
  <c r="AX15" i="65"/>
  <c r="AT15" i="65"/>
  <c r="AP15" i="65"/>
  <c r="AL15" i="65"/>
  <c r="AH15" i="65"/>
  <c r="AF15" i="65"/>
  <c r="AG15" i="65" s="1"/>
  <c r="AD15" i="65"/>
  <c r="J15" i="65"/>
  <c r="K15" i="65" s="1"/>
  <c r="G15" i="65"/>
  <c r="D15" i="65"/>
  <c r="C15" i="65"/>
  <c r="CD14" i="65"/>
  <c r="BZ14" i="65"/>
  <c r="BV14" i="65"/>
  <c r="BR14" i="65"/>
  <c r="BN14" i="65"/>
  <c r="BJ14" i="65"/>
  <c r="BF14" i="65"/>
  <c r="BF11" i="65" s="1"/>
  <c r="BB14" i="65"/>
  <c r="BB11" i="65" s="1"/>
  <c r="AX14" i="65"/>
  <c r="AX11" i="65" s="1"/>
  <c r="AT14" i="65"/>
  <c r="AT11" i="65" s="1"/>
  <c r="AP14" i="65"/>
  <c r="AL14" i="65"/>
  <c r="AF14" i="65"/>
  <c r="AD14" i="65"/>
  <c r="O14" i="65"/>
  <c r="J14" i="65"/>
  <c r="K14" i="65" s="1"/>
  <c r="G14" i="65"/>
  <c r="D14" i="65"/>
  <c r="C14" i="65"/>
  <c r="CD13" i="65"/>
  <c r="BZ13" i="65"/>
  <c r="BV13" i="65"/>
  <c r="BR13" i="65"/>
  <c r="AH13" i="65" s="1"/>
  <c r="AG13" i="65" s="1"/>
  <c r="BN13" i="65"/>
  <c r="BJ13" i="65"/>
  <c r="BF13" i="65"/>
  <c r="BB13" i="65"/>
  <c r="AX13" i="65"/>
  <c r="AT13" i="65"/>
  <c r="AP13" i="65"/>
  <c r="AL13" i="65"/>
  <c r="AF13" i="65"/>
  <c r="AD13" i="65"/>
  <c r="O13" i="65"/>
  <c r="J13" i="65"/>
  <c r="K13" i="65" s="1"/>
  <c r="G13" i="65"/>
  <c r="CD12" i="65"/>
  <c r="BZ12" i="65"/>
  <c r="BV12" i="65"/>
  <c r="BR12" i="65"/>
  <c r="BN12" i="65"/>
  <c r="BJ12" i="65"/>
  <c r="BF12" i="65"/>
  <c r="BB12" i="65"/>
  <c r="AX12" i="65"/>
  <c r="AT12" i="65"/>
  <c r="AP12" i="65"/>
  <c r="AL12" i="65"/>
  <c r="AH12" i="65"/>
  <c r="AF12" i="65"/>
  <c r="AD12" i="65"/>
  <c r="J12" i="65"/>
  <c r="K12" i="65" s="1"/>
  <c r="G12" i="65"/>
  <c r="C12" i="65"/>
  <c r="AD11" i="65"/>
  <c r="C11" i="65"/>
  <c r="AF6" i="65"/>
  <c r="A3" i="65"/>
  <c r="C56" i="65" s="1"/>
  <c r="T3" i="3"/>
  <c r="L14" i="3" s="1"/>
  <c r="N29" i="3"/>
  <c r="I15" i="64"/>
  <c r="I12" i="64"/>
  <c r="I25" i="64" s="1"/>
  <c r="L4" i="3" l="1"/>
  <c r="L17" i="3"/>
  <c r="J60" i="67"/>
  <c r="K60" i="67" s="1"/>
  <c r="K52" i="75"/>
  <c r="K56" i="75"/>
  <c r="L31" i="3"/>
  <c r="L30" i="3"/>
  <c r="K57" i="65"/>
  <c r="K61" i="67"/>
  <c r="AG40" i="67"/>
  <c r="L29" i="3"/>
  <c r="L32" i="3"/>
  <c r="K58" i="67"/>
  <c r="K57" i="67"/>
  <c r="BB50" i="67"/>
  <c r="AG53" i="67"/>
  <c r="K25" i="65"/>
  <c r="K24" i="65" s="1"/>
  <c r="K53" i="67"/>
  <c r="K62" i="65"/>
  <c r="K54" i="65"/>
  <c r="K25" i="66"/>
  <c r="K24" i="66" s="1"/>
  <c r="K51" i="67"/>
  <c r="K61" i="65"/>
  <c r="K52" i="67"/>
  <c r="K25" i="67"/>
  <c r="K24" i="67" s="1"/>
  <c r="K59" i="67"/>
  <c r="K54" i="67"/>
  <c r="K55" i="67"/>
  <c r="K52" i="65"/>
  <c r="K62" i="67"/>
  <c r="K59" i="65"/>
  <c r="K11" i="67"/>
  <c r="CC6" i="67"/>
  <c r="AW6" i="67"/>
  <c r="BA6" i="67"/>
  <c r="AP11" i="67"/>
  <c r="AH12" i="67"/>
  <c r="BV37" i="67"/>
  <c r="AG45" i="67"/>
  <c r="AH13" i="67"/>
  <c r="AG13" i="67" s="1"/>
  <c r="BR11" i="67"/>
  <c r="BF24" i="67"/>
  <c r="AH41" i="67"/>
  <c r="AG41" i="67" s="1"/>
  <c r="AH27" i="67"/>
  <c r="AG27" i="67" s="1"/>
  <c r="AH51" i="67"/>
  <c r="BR24" i="67"/>
  <c r="BZ37" i="67"/>
  <c r="BJ50" i="67"/>
  <c r="AH16" i="67"/>
  <c r="AG16" i="67" s="1"/>
  <c r="AH57" i="67"/>
  <c r="AG57" i="67" s="1"/>
  <c r="AT37" i="67"/>
  <c r="AH14" i="67"/>
  <c r="AG14" i="67" s="1"/>
  <c r="AH23" i="67"/>
  <c r="AG23" i="67" s="1"/>
  <c r="AH35" i="67"/>
  <c r="AG35" i="67" s="1"/>
  <c r="AL37" i="67"/>
  <c r="AH46" i="67"/>
  <c r="AG46" i="67" s="1"/>
  <c r="AL50" i="67"/>
  <c r="BE6" i="67"/>
  <c r="AL11" i="67"/>
  <c r="AG52" i="67"/>
  <c r="BN11" i="67"/>
  <c r="AH38" i="67"/>
  <c r="AP37" i="67"/>
  <c r="AH24" i="67"/>
  <c r="BV11" i="67"/>
  <c r="BJ24" i="67"/>
  <c r="BR50" i="67"/>
  <c r="BN24" i="67"/>
  <c r="K56" i="67"/>
  <c r="C20" i="67"/>
  <c r="C31" i="67"/>
  <c r="C40" i="67"/>
  <c r="C48" i="67"/>
  <c r="C56" i="67"/>
  <c r="C18" i="67"/>
  <c r="C13" i="67"/>
  <c r="C28" i="67"/>
  <c r="C36" i="67"/>
  <c r="C45" i="67"/>
  <c r="C58" i="67"/>
  <c r="C26" i="67"/>
  <c r="C34" i="67"/>
  <c r="C43" i="67"/>
  <c r="AG51" i="66"/>
  <c r="AH24" i="66"/>
  <c r="K37" i="66"/>
  <c r="BY6" i="66"/>
  <c r="BA6" i="66"/>
  <c r="AO6" i="66"/>
  <c r="AG12" i="66"/>
  <c r="AH38" i="66"/>
  <c r="AX24" i="66"/>
  <c r="BR11" i="66"/>
  <c r="BJ24" i="66"/>
  <c r="BJ11" i="66"/>
  <c r="BB24" i="66"/>
  <c r="AH14" i="66"/>
  <c r="AG14" i="66" s="1"/>
  <c r="BN37" i="66"/>
  <c r="AH56" i="66"/>
  <c r="AG56" i="66" s="1"/>
  <c r="AT37" i="66"/>
  <c r="BF50" i="66"/>
  <c r="AL11" i="66"/>
  <c r="K11" i="66"/>
  <c r="AH26" i="66"/>
  <c r="AG26" i="66" s="1"/>
  <c r="AH34" i="66"/>
  <c r="AG34" i="66" s="1"/>
  <c r="BR37" i="66"/>
  <c r="BV11" i="66"/>
  <c r="AH46" i="66"/>
  <c r="AG46" i="66" s="1"/>
  <c r="BZ50" i="66"/>
  <c r="BN11" i="66"/>
  <c r="BF24" i="66"/>
  <c r="AH23" i="66"/>
  <c r="AG23" i="66" s="1"/>
  <c r="AP37" i="66"/>
  <c r="BV37" i="66"/>
  <c r="AH16" i="66"/>
  <c r="AG16" i="66" s="1"/>
  <c r="BF11" i="66"/>
  <c r="BF37" i="66"/>
  <c r="CD50" i="66"/>
  <c r="AH21" i="66"/>
  <c r="AG21" i="66" s="1"/>
  <c r="CD24" i="66"/>
  <c r="AX50" i="66"/>
  <c r="AH54" i="66"/>
  <c r="AG54" i="66" s="1"/>
  <c r="C22" i="66"/>
  <c r="AL37" i="66"/>
  <c r="C51" i="66"/>
  <c r="C28" i="66"/>
  <c r="C36" i="66"/>
  <c r="C45" i="66"/>
  <c r="C58" i="66"/>
  <c r="C20" i="66"/>
  <c r="C13" i="66"/>
  <c r="C31" i="66"/>
  <c r="C40" i="66"/>
  <c r="C48" i="66"/>
  <c r="D11" i="65"/>
  <c r="O15" i="65"/>
  <c r="D20" i="65"/>
  <c r="D30" i="65"/>
  <c r="D51" i="65"/>
  <c r="D55" i="65"/>
  <c r="K58" i="65"/>
  <c r="D60" i="65"/>
  <c r="D16" i="65"/>
  <c r="O19" i="65"/>
  <c r="D31" i="65"/>
  <c r="D45" i="65"/>
  <c r="I60" i="65"/>
  <c r="K60" i="65" s="1"/>
  <c r="I51" i="65"/>
  <c r="K51" i="65" s="1"/>
  <c r="I55" i="65"/>
  <c r="K55" i="65" s="1"/>
  <c r="D56" i="65"/>
  <c r="D61" i="65"/>
  <c r="D12" i="65"/>
  <c r="O20" i="65"/>
  <c r="D21" i="65"/>
  <c r="D25" i="65"/>
  <c r="D32" i="65"/>
  <c r="D38" i="65"/>
  <c r="D46" i="65"/>
  <c r="D52" i="65"/>
  <c r="K56" i="65"/>
  <c r="O12" i="65"/>
  <c r="D13" i="65"/>
  <c r="O21" i="65"/>
  <c r="D22" i="65"/>
  <c r="D40" i="65"/>
  <c r="D48" i="65"/>
  <c r="D53" i="65"/>
  <c r="K37" i="65"/>
  <c r="K11" i="65"/>
  <c r="AG12" i="65"/>
  <c r="AH11" i="65"/>
  <c r="CD11" i="65"/>
  <c r="AH43" i="65"/>
  <c r="AG43" i="65" s="1"/>
  <c r="AL11" i="65"/>
  <c r="AX37" i="65"/>
  <c r="AH38" i="65"/>
  <c r="AP11" i="65"/>
  <c r="AH28" i="65"/>
  <c r="AG28" i="65" s="1"/>
  <c r="AH31" i="65"/>
  <c r="AG31" i="65" s="1"/>
  <c r="BB37" i="65"/>
  <c r="AL37" i="65"/>
  <c r="AH19" i="65"/>
  <c r="AG19" i="65" s="1"/>
  <c r="AH23" i="65"/>
  <c r="AG23" i="65" s="1"/>
  <c r="BF37" i="65"/>
  <c r="AP37" i="65"/>
  <c r="AH51" i="65"/>
  <c r="AT37" i="65"/>
  <c r="AH44" i="65"/>
  <c r="AG44" i="65" s="1"/>
  <c r="AH55" i="65"/>
  <c r="AG55" i="65" s="1"/>
  <c r="AH59" i="65"/>
  <c r="AG59" i="65" s="1"/>
  <c r="BF24" i="65"/>
  <c r="BZ11" i="65"/>
  <c r="CD50" i="65"/>
  <c r="AT24" i="65"/>
  <c r="BR37" i="65"/>
  <c r="AH25" i="65"/>
  <c r="BV37" i="65"/>
  <c r="AH45" i="65"/>
  <c r="AG45" i="65" s="1"/>
  <c r="AH60" i="65"/>
  <c r="AG60" i="65" s="1"/>
  <c r="BN24" i="65"/>
  <c r="AH29" i="65"/>
  <c r="AG29" i="65" s="1"/>
  <c r="AP24" i="65"/>
  <c r="BF50" i="65"/>
  <c r="AH52" i="65"/>
  <c r="AG52" i="65" s="1"/>
  <c r="BR50" i="65"/>
  <c r="BV11" i="65"/>
  <c r="AH14" i="65"/>
  <c r="AG14" i="65" s="1"/>
  <c r="AH35" i="65"/>
  <c r="AG35" i="65" s="1"/>
  <c r="AH46" i="65"/>
  <c r="AG46" i="65" s="1"/>
  <c r="BJ24" i="65"/>
  <c r="AH21" i="65"/>
  <c r="AG21" i="65" s="1"/>
  <c r="AH41" i="65"/>
  <c r="AG41" i="65" s="1"/>
  <c r="BJ11" i="65"/>
  <c r="BN11" i="65"/>
  <c r="AX50" i="65"/>
  <c r="BR11" i="65"/>
  <c r="AH16" i="65"/>
  <c r="AG16" i="65" s="1"/>
  <c r="AH49" i="65"/>
  <c r="AG49" i="65" s="1"/>
  <c r="BB50" i="65"/>
  <c r="AH54" i="65"/>
  <c r="AG54" i="65" s="1"/>
  <c r="C13" i="65"/>
  <c r="C28" i="65"/>
  <c r="C36" i="65"/>
  <c r="C45" i="65"/>
  <c r="C58" i="65"/>
  <c r="C20" i="65"/>
  <c r="C31" i="65"/>
  <c r="C40" i="65"/>
  <c r="C48" i="65"/>
  <c r="CD62" i="64"/>
  <c r="BZ62" i="64"/>
  <c r="BV62" i="64"/>
  <c r="BR62" i="64"/>
  <c r="BN62" i="64"/>
  <c r="BJ62" i="64"/>
  <c r="BF62" i="64"/>
  <c r="BB62" i="64"/>
  <c r="AX62" i="64"/>
  <c r="AT62" i="64"/>
  <c r="AP62" i="64"/>
  <c r="AL62" i="64"/>
  <c r="AH62" i="64"/>
  <c r="AF62" i="64"/>
  <c r="AG62" i="64" s="1"/>
  <c r="AD62" i="64"/>
  <c r="J62" i="64"/>
  <c r="I62" i="64"/>
  <c r="G62" i="64"/>
  <c r="D62" i="64"/>
  <c r="C62" i="64"/>
  <c r="CD61" i="64"/>
  <c r="BZ61" i="64"/>
  <c r="BV61" i="64"/>
  <c r="BR61" i="64"/>
  <c r="BN61" i="64"/>
  <c r="BJ61" i="64"/>
  <c r="BF61" i="64"/>
  <c r="BB61" i="64"/>
  <c r="AX61" i="64"/>
  <c r="AH61" i="64" s="1"/>
  <c r="AG61" i="64" s="1"/>
  <c r="AT61" i="64"/>
  <c r="AP61" i="64"/>
  <c r="AL61" i="64"/>
  <c r="AF61" i="64"/>
  <c r="AD61" i="64"/>
  <c r="J61" i="64"/>
  <c r="I61" i="64"/>
  <c r="G61" i="64"/>
  <c r="D61" i="64"/>
  <c r="C61" i="64"/>
  <c r="CD60" i="64"/>
  <c r="BZ60" i="64"/>
  <c r="AH60" i="64" s="1"/>
  <c r="AG60" i="64" s="1"/>
  <c r="BV60" i="64"/>
  <c r="BR60" i="64"/>
  <c r="BN60" i="64"/>
  <c r="BJ60" i="64"/>
  <c r="BF60" i="64"/>
  <c r="BB60" i="64"/>
  <c r="AX60" i="64"/>
  <c r="AT60" i="64"/>
  <c r="AP60" i="64"/>
  <c r="AL60" i="64"/>
  <c r="AF60" i="64"/>
  <c r="AD60" i="64"/>
  <c r="J60" i="64"/>
  <c r="I60" i="64"/>
  <c r="G60" i="64"/>
  <c r="D60" i="64"/>
  <c r="C60" i="64"/>
  <c r="CD59" i="64"/>
  <c r="BZ59" i="64"/>
  <c r="BV59" i="64"/>
  <c r="BR59" i="64"/>
  <c r="BN59" i="64"/>
  <c r="BJ59" i="64"/>
  <c r="BF59" i="64"/>
  <c r="BB59" i="64"/>
  <c r="AX59" i="64"/>
  <c r="AT59" i="64"/>
  <c r="AP59" i="64"/>
  <c r="AH59" i="64" s="1"/>
  <c r="AG59" i="64" s="1"/>
  <c r="AL59" i="64"/>
  <c r="AF59" i="64"/>
  <c r="AD59" i="64"/>
  <c r="J59" i="64"/>
  <c r="I59" i="64"/>
  <c r="G59" i="64"/>
  <c r="D59" i="64"/>
  <c r="C59" i="64"/>
  <c r="CD58" i="64"/>
  <c r="BZ58" i="64"/>
  <c r="BV58" i="64"/>
  <c r="BR58" i="64"/>
  <c r="AH58" i="64" s="1"/>
  <c r="AG58" i="64" s="1"/>
  <c r="BN58" i="64"/>
  <c r="BJ58" i="64"/>
  <c r="BF58" i="64"/>
  <c r="BB58" i="64"/>
  <c r="AX58" i="64"/>
  <c r="AT58" i="64"/>
  <c r="AP58" i="64"/>
  <c r="AL58" i="64"/>
  <c r="AF58" i="64"/>
  <c r="AD58" i="64"/>
  <c r="J58" i="64"/>
  <c r="I58" i="64"/>
  <c r="G58" i="64"/>
  <c r="D58" i="64"/>
  <c r="CD57" i="64"/>
  <c r="BZ57" i="64"/>
  <c r="BV57" i="64"/>
  <c r="BR57" i="64"/>
  <c r="BN57" i="64"/>
  <c r="BJ57" i="64"/>
  <c r="BF57" i="64"/>
  <c r="BB57" i="64"/>
  <c r="AX57" i="64"/>
  <c r="AT57" i="64"/>
  <c r="AP57" i="64"/>
  <c r="AL57" i="64"/>
  <c r="AH57" i="64"/>
  <c r="AG57" i="64" s="1"/>
  <c r="AF57" i="64"/>
  <c r="AD57" i="64"/>
  <c r="J57" i="64"/>
  <c r="I57" i="64"/>
  <c r="G57" i="64"/>
  <c r="D57" i="64"/>
  <c r="C57" i="64"/>
  <c r="CD56" i="64"/>
  <c r="BZ56" i="64"/>
  <c r="BV56" i="64"/>
  <c r="BR56" i="64"/>
  <c r="BN56" i="64"/>
  <c r="BN50" i="64" s="1"/>
  <c r="BJ56" i="64"/>
  <c r="AH56" i="64" s="1"/>
  <c r="AG56" i="64" s="1"/>
  <c r="BF56" i="64"/>
  <c r="BB56" i="64"/>
  <c r="AX56" i="64"/>
  <c r="AT56" i="64"/>
  <c r="AP56" i="64"/>
  <c r="AL56" i="64"/>
  <c r="AF56" i="64"/>
  <c r="AD56" i="64"/>
  <c r="J56" i="64"/>
  <c r="I56" i="64"/>
  <c r="G56" i="64"/>
  <c r="D56" i="64"/>
  <c r="CD55" i="64"/>
  <c r="BZ55" i="64"/>
  <c r="BV55" i="64"/>
  <c r="BR55" i="64"/>
  <c r="BN55" i="64"/>
  <c r="BJ55" i="64"/>
  <c r="BF55" i="64"/>
  <c r="BB55" i="64"/>
  <c r="AX55" i="64"/>
  <c r="AT55" i="64"/>
  <c r="AP55" i="64"/>
  <c r="AL55" i="64"/>
  <c r="AL50" i="64" s="1"/>
  <c r="AH55" i="64"/>
  <c r="AF55" i="64"/>
  <c r="AG55" i="64" s="1"/>
  <c r="AD55" i="64"/>
  <c r="J55" i="64"/>
  <c r="I55" i="64"/>
  <c r="G55" i="64"/>
  <c r="D55" i="64"/>
  <c r="C55" i="64"/>
  <c r="CD54" i="64"/>
  <c r="BZ54" i="64"/>
  <c r="BV54" i="64"/>
  <c r="BR54" i="64"/>
  <c r="BR50" i="64" s="1"/>
  <c r="BN54" i="64"/>
  <c r="BJ54" i="64"/>
  <c r="BF54" i="64"/>
  <c r="BB54" i="64"/>
  <c r="AH54" i="64" s="1"/>
  <c r="AG54" i="64" s="1"/>
  <c r="AX54" i="64"/>
  <c r="AT54" i="64"/>
  <c r="AP54" i="64"/>
  <c r="AL54" i="64"/>
  <c r="AF54" i="64"/>
  <c r="AD54" i="64"/>
  <c r="J54" i="64"/>
  <c r="I54" i="64"/>
  <c r="G54" i="64"/>
  <c r="D54" i="64"/>
  <c r="C54" i="64"/>
  <c r="CD53" i="64"/>
  <c r="AH53" i="64" s="1"/>
  <c r="AG53" i="64" s="1"/>
  <c r="BZ53" i="64"/>
  <c r="BV53" i="64"/>
  <c r="BR53" i="64"/>
  <c r="BN53" i="64"/>
  <c r="BJ53" i="64"/>
  <c r="BF53" i="64"/>
  <c r="BB53" i="64"/>
  <c r="AX53" i="64"/>
  <c r="AT53" i="64"/>
  <c r="AP53" i="64"/>
  <c r="AP50" i="64" s="1"/>
  <c r="AL53" i="64"/>
  <c r="AF53" i="64"/>
  <c r="AD53" i="64"/>
  <c r="J53" i="64"/>
  <c r="I53" i="64"/>
  <c r="G53" i="64"/>
  <c r="D53" i="64"/>
  <c r="CD52" i="64"/>
  <c r="BZ52" i="64"/>
  <c r="BV52" i="64"/>
  <c r="BR52" i="64"/>
  <c r="BN52" i="64"/>
  <c r="BJ52" i="64"/>
  <c r="BF52" i="64"/>
  <c r="BB52" i="64"/>
  <c r="AX52" i="64"/>
  <c r="AX50" i="64" s="1"/>
  <c r="AT52" i="64"/>
  <c r="AT50" i="64" s="1"/>
  <c r="AP52" i="64"/>
  <c r="AL52" i="64"/>
  <c r="AH52" i="64" s="1"/>
  <c r="AG52" i="64" s="1"/>
  <c r="AF52" i="64"/>
  <c r="AD52" i="64"/>
  <c r="J52" i="64"/>
  <c r="I52" i="64"/>
  <c r="G52" i="64"/>
  <c r="D52" i="64"/>
  <c r="C52" i="64"/>
  <c r="CD51" i="64"/>
  <c r="CD50" i="64" s="1"/>
  <c r="BZ51" i="64"/>
  <c r="BZ50" i="64" s="1"/>
  <c r="BV51" i="64"/>
  <c r="BV50" i="64" s="1"/>
  <c r="BR51" i="64"/>
  <c r="BN51" i="64"/>
  <c r="BJ51" i="64"/>
  <c r="BF51" i="64"/>
  <c r="BF50" i="64" s="1"/>
  <c r="BB51" i="64"/>
  <c r="BB50" i="64" s="1"/>
  <c r="AX51" i="64"/>
  <c r="AT51" i="64"/>
  <c r="AP51" i="64"/>
  <c r="AL51" i="64"/>
  <c r="AF51" i="64"/>
  <c r="AD51" i="64"/>
  <c r="J51" i="64"/>
  <c r="I51" i="64"/>
  <c r="G51" i="64"/>
  <c r="D51" i="64"/>
  <c r="C51" i="64"/>
  <c r="AD50" i="64"/>
  <c r="D50" i="64"/>
  <c r="C50" i="64"/>
  <c r="CD49" i="64"/>
  <c r="BZ49" i="64"/>
  <c r="BV49" i="64"/>
  <c r="BR49" i="64"/>
  <c r="BN49" i="64"/>
  <c r="BJ49" i="64"/>
  <c r="BF49" i="64"/>
  <c r="BB49" i="64"/>
  <c r="AX49" i="64"/>
  <c r="AT49" i="64"/>
  <c r="AP49" i="64"/>
  <c r="AH49" i="64" s="1"/>
  <c r="AG49" i="64" s="1"/>
  <c r="AL49" i="64"/>
  <c r="AF49" i="64"/>
  <c r="AD49" i="64"/>
  <c r="J49" i="64"/>
  <c r="K49" i="64" s="1"/>
  <c r="G49" i="64"/>
  <c r="D49" i="64"/>
  <c r="C49" i="64"/>
  <c r="CD48" i="64"/>
  <c r="BZ48" i="64"/>
  <c r="BV48" i="64"/>
  <c r="BR48" i="64"/>
  <c r="BN48" i="64"/>
  <c r="AH48" i="64" s="1"/>
  <c r="AG48" i="64" s="1"/>
  <c r="BJ48" i="64"/>
  <c r="BF48" i="64"/>
  <c r="BB48" i="64"/>
  <c r="AX48" i="64"/>
  <c r="AT48" i="64"/>
  <c r="AP48" i="64"/>
  <c r="AL48" i="64"/>
  <c r="AF48" i="64"/>
  <c r="AD48" i="64"/>
  <c r="J48" i="64"/>
  <c r="K48" i="64" s="1"/>
  <c r="G48" i="64"/>
  <c r="D48" i="64"/>
  <c r="CD47" i="64"/>
  <c r="BZ47" i="64"/>
  <c r="BV47" i="64"/>
  <c r="BR47" i="64"/>
  <c r="BN47" i="64"/>
  <c r="BJ47" i="64"/>
  <c r="BF47" i="64"/>
  <c r="BB47" i="64"/>
  <c r="AX47" i="64"/>
  <c r="AT47" i="64"/>
  <c r="AP47" i="64"/>
  <c r="AL47" i="64"/>
  <c r="AH47" i="64"/>
  <c r="AF47" i="64"/>
  <c r="AG47" i="64" s="1"/>
  <c r="AD47" i="64"/>
  <c r="J47" i="64"/>
  <c r="K47" i="64" s="1"/>
  <c r="G47" i="64"/>
  <c r="D47" i="64"/>
  <c r="C47" i="64"/>
  <c r="CD46" i="64"/>
  <c r="BZ46" i="64"/>
  <c r="BV46" i="64"/>
  <c r="BR46" i="64"/>
  <c r="BN46" i="64"/>
  <c r="BJ46" i="64"/>
  <c r="BF46" i="64"/>
  <c r="BB46" i="64"/>
  <c r="AX46" i="64"/>
  <c r="AH46" i="64" s="1"/>
  <c r="AG46" i="64" s="1"/>
  <c r="AT46" i="64"/>
  <c r="AP46" i="64"/>
  <c r="AL46" i="64"/>
  <c r="AF46" i="64"/>
  <c r="AD46" i="64"/>
  <c r="J46" i="64"/>
  <c r="K46" i="64" s="1"/>
  <c r="G46" i="64"/>
  <c r="D46" i="64"/>
  <c r="C46" i="64"/>
  <c r="CD45" i="64"/>
  <c r="BZ45" i="64"/>
  <c r="BV45" i="64"/>
  <c r="AH45" i="64" s="1"/>
  <c r="AG45" i="64" s="1"/>
  <c r="BR45" i="64"/>
  <c r="BN45" i="64"/>
  <c r="BJ45" i="64"/>
  <c r="BF45" i="64"/>
  <c r="BB45" i="64"/>
  <c r="AX45" i="64"/>
  <c r="AT45" i="64"/>
  <c r="AP45" i="64"/>
  <c r="AL45" i="64"/>
  <c r="AF45" i="64"/>
  <c r="AD45" i="64"/>
  <c r="J45" i="64"/>
  <c r="K45" i="64" s="1"/>
  <c r="G45" i="64"/>
  <c r="D45" i="64"/>
  <c r="CD44" i="64"/>
  <c r="BZ44" i="64"/>
  <c r="BV44" i="64"/>
  <c r="BR44" i="64"/>
  <c r="BN44" i="64"/>
  <c r="BJ44" i="64"/>
  <c r="BF44" i="64"/>
  <c r="BB44" i="64"/>
  <c r="AX44" i="64"/>
  <c r="AT44" i="64"/>
  <c r="AP44" i="64"/>
  <c r="AL44" i="64"/>
  <c r="AH44" i="64"/>
  <c r="AG44" i="64" s="1"/>
  <c r="AF44" i="64"/>
  <c r="AD44" i="64"/>
  <c r="J44" i="64"/>
  <c r="K44" i="64" s="1"/>
  <c r="G44" i="64"/>
  <c r="D44" i="64"/>
  <c r="C44" i="64"/>
  <c r="CD43" i="64"/>
  <c r="BZ43" i="64"/>
  <c r="BV43" i="64"/>
  <c r="BR43" i="64"/>
  <c r="BN43" i="64"/>
  <c r="BJ43" i="64"/>
  <c r="BF43" i="64"/>
  <c r="BB43" i="64"/>
  <c r="AX43" i="64"/>
  <c r="AT43" i="64"/>
  <c r="AP43" i="64"/>
  <c r="AL43" i="64"/>
  <c r="AH43" i="64" s="1"/>
  <c r="AG43" i="64" s="1"/>
  <c r="AF43" i="64"/>
  <c r="AD43" i="64"/>
  <c r="J43" i="64"/>
  <c r="K43" i="64" s="1"/>
  <c r="G43" i="64"/>
  <c r="D43" i="64"/>
  <c r="C43" i="64"/>
  <c r="CD42" i="64"/>
  <c r="AH42" i="64" s="1"/>
  <c r="AG42" i="64" s="1"/>
  <c r="BZ42" i="64"/>
  <c r="BV42" i="64"/>
  <c r="BR42" i="64"/>
  <c r="BN42" i="64"/>
  <c r="BJ42" i="64"/>
  <c r="BF42" i="64"/>
  <c r="BB42" i="64"/>
  <c r="AX42" i="64"/>
  <c r="AT42" i="64"/>
  <c r="AP42" i="64"/>
  <c r="AL42" i="64"/>
  <c r="AF42" i="64"/>
  <c r="AD42" i="64"/>
  <c r="J42" i="64"/>
  <c r="K42" i="64" s="1"/>
  <c r="G42" i="64"/>
  <c r="D42" i="64"/>
  <c r="C42" i="64"/>
  <c r="CD41" i="64"/>
  <c r="BZ41" i="64"/>
  <c r="BV41" i="64"/>
  <c r="BR41" i="64"/>
  <c r="BN41" i="64"/>
  <c r="BJ41" i="64"/>
  <c r="BF41" i="64"/>
  <c r="BB41" i="64"/>
  <c r="AX41" i="64"/>
  <c r="AT41" i="64"/>
  <c r="AP41" i="64"/>
  <c r="AH41" i="64" s="1"/>
  <c r="AG41" i="64" s="1"/>
  <c r="AL41" i="64"/>
  <c r="AF41" i="64"/>
  <c r="AD41" i="64"/>
  <c r="G41" i="64"/>
  <c r="D41" i="64"/>
  <c r="C41" i="64"/>
  <c r="CD40" i="64"/>
  <c r="BZ40" i="64"/>
  <c r="BV40" i="64"/>
  <c r="BR40" i="64"/>
  <c r="BN40" i="64"/>
  <c r="BJ40" i="64"/>
  <c r="BF40" i="64"/>
  <c r="BB40" i="64"/>
  <c r="AX40" i="64"/>
  <c r="AT40" i="64"/>
  <c r="AP40" i="64"/>
  <c r="AL40" i="64"/>
  <c r="AF40" i="64"/>
  <c r="AD40" i="64"/>
  <c r="G40" i="64"/>
  <c r="D40" i="64"/>
  <c r="CD39" i="64"/>
  <c r="BZ39" i="64"/>
  <c r="BV39" i="64"/>
  <c r="BR39" i="64"/>
  <c r="BN39" i="64"/>
  <c r="BJ39" i="64"/>
  <c r="BF39" i="64"/>
  <c r="BB39" i="64"/>
  <c r="AX39" i="64"/>
  <c r="AT39" i="64"/>
  <c r="AP39" i="64"/>
  <c r="AP37" i="64" s="1"/>
  <c r="AL39" i="64"/>
  <c r="AL37" i="64" s="1"/>
  <c r="AH39" i="64"/>
  <c r="AF39" i="64"/>
  <c r="AG39" i="64" s="1"/>
  <c r="AD39" i="64"/>
  <c r="G39" i="64"/>
  <c r="D39" i="64"/>
  <c r="C39" i="64"/>
  <c r="CD38" i="64"/>
  <c r="BZ38" i="64"/>
  <c r="BV38" i="64"/>
  <c r="BV37" i="64" s="1"/>
  <c r="BR38" i="64"/>
  <c r="BR37" i="64" s="1"/>
  <c r="BN38" i="64"/>
  <c r="BN37" i="64" s="1"/>
  <c r="BJ38" i="64"/>
  <c r="BJ37" i="64" s="1"/>
  <c r="BF38" i="64"/>
  <c r="BF37" i="64" s="1"/>
  <c r="BB38" i="64"/>
  <c r="BB37" i="64" s="1"/>
  <c r="AX38" i="64"/>
  <c r="AX37" i="64" s="1"/>
  <c r="AT38" i="64"/>
  <c r="AP38" i="64"/>
  <c r="AL38" i="64"/>
  <c r="AF38" i="64"/>
  <c r="AD38" i="64"/>
  <c r="G38" i="64"/>
  <c r="D38" i="64"/>
  <c r="C38" i="64"/>
  <c r="BZ37" i="64"/>
  <c r="AT37" i="64"/>
  <c r="AD37" i="64"/>
  <c r="D37" i="64"/>
  <c r="C37" i="64"/>
  <c r="CD36" i="64"/>
  <c r="BZ36" i="64"/>
  <c r="BV36" i="64"/>
  <c r="AH36" i="64" s="1"/>
  <c r="AG36" i="64" s="1"/>
  <c r="BR36" i="64"/>
  <c r="BN36" i="64"/>
  <c r="BJ36" i="64"/>
  <c r="BF36" i="64"/>
  <c r="BB36" i="64"/>
  <c r="AX36" i="64"/>
  <c r="AT36" i="64"/>
  <c r="AP36" i="64"/>
  <c r="AL36" i="64"/>
  <c r="AF36" i="64"/>
  <c r="AD36" i="64"/>
  <c r="J36" i="64"/>
  <c r="K36" i="64" s="1"/>
  <c r="G36" i="64"/>
  <c r="D36" i="64"/>
  <c r="CD35" i="64"/>
  <c r="BZ35" i="64"/>
  <c r="BV35" i="64"/>
  <c r="BR35" i="64"/>
  <c r="BN35" i="64"/>
  <c r="BJ35" i="64"/>
  <c r="BF35" i="64"/>
  <c r="BB35" i="64"/>
  <c r="AX35" i="64"/>
  <c r="AT35" i="64"/>
  <c r="AP35" i="64"/>
  <c r="AL35" i="64"/>
  <c r="AH35" i="64"/>
  <c r="AG35" i="64" s="1"/>
  <c r="AF35" i="64"/>
  <c r="AD35" i="64"/>
  <c r="J35" i="64"/>
  <c r="K35" i="64" s="1"/>
  <c r="G35" i="64"/>
  <c r="D35" i="64"/>
  <c r="C35" i="64"/>
  <c r="CD34" i="64"/>
  <c r="BZ34" i="64"/>
  <c r="BV34" i="64"/>
  <c r="BR34" i="64"/>
  <c r="BN34" i="64"/>
  <c r="BJ34" i="64"/>
  <c r="BF34" i="64"/>
  <c r="BB34" i="64"/>
  <c r="AX34" i="64"/>
  <c r="AT34" i="64"/>
  <c r="AP34" i="64"/>
  <c r="AL34" i="64"/>
  <c r="AH34" i="64" s="1"/>
  <c r="AG34" i="64" s="1"/>
  <c r="AF34" i="64"/>
  <c r="AD34" i="64"/>
  <c r="J34" i="64"/>
  <c r="K34" i="64" s="1"/>
  <c r="G34" i="64"/>
  <c r="D34" i="64"/>
  <c r="C34" i="64"/>
  <c r="CD33" i="64"/>
  <c r="AH33" i="64" s="1"/>
  <c r="AG33" i="64" s="1"/>
  <c r="BZ33" i="64"/>
  <c r="BV33" i="64"/>
  <c r="BR33" i="64"/>
  <c r="BN33" i="64"/>
  <c r="BJ33" i="64"/>
  <c r="BF33" i="64"/>
  <c r="BB33" i="64"/>
  <c r="AX33" i="64"/>
  <c r="AT33" i="64"/>
  <c r="AP33" i="64"/>
  <c r="AL33" i="64"/>
  <c r="AF33" i="64"/>
  <c r="AD33" i="64"/>
  <c r="J33" i="64"/>
  <c r="K33" i="64" s="1"/>
  <c r="G33" i="64"/>
  <c r="D33" i="64"/>
  <c r="C33" i="64"/>
  <c r="CD32" i="64"/>
  <c r="BZ32" i="64"/>
  <c r="BV32" i="64"/>
  <c r="BR32" i="64"/>
  <c r="BN32" i="64"/>
  <c r="BJ32" i="64"/>
  <c r="BF32" i="64"/>
  <c r="BB32" i="64"/>
  <c r="AX32" i="64"/>
  <c r="AT32" i="64"/>
  <c r="AP32" i="64"/>
  <c r="AH32" i="64" s="1"/>
  <c r="AG32" i="64" s="1"/>
  <c r="AL32" i="64"/>
  <c r="AF32" i="64"/>
  <c r="AD32" i="64"/>
  <c r="J32" i="64"/>
  <c r="K32" i="64" s="1"/>
  <c r="G32" i="64"/>
  <c r="D32" i="64"/>
  <c r="C32" i="64"/>
  <c r="CD31" i="64"/>
  <c r="BZ31" i="64"/>
  <c r="BV31" i="64"/>
  <c r="BR31" i="64"/>
  <c r="BR24" i="64" s="1"/>
  <c r="BN31" i="64"/>
  <c r="AH31" i="64" s="1"/>
  <c r="AG31" i="64" s="1"/>
  <c r="BJ31" i="64"/>
  <c r="BF31" i="64"/>
  <c r="BB31" i="64"/>
  <c r="AX31" i="64"/>
  <c r="AT31" i="64"/>
  <c r="AP31" i="64"/>
  <c r="AL31" i="64"/>
  <c r="AF31" i="64"/>
  <c r="AD31" i="64"/>
  <c r="J31" i="64"/>
  <c r="K31" i="64" s="1"/>
  <c r="G31" i="64"/>
  <c r="D31" i="64"/>
  <c r="CD30" i="64"/>
  <c r="BZ30" i="64"/>
  <c r="BV30" i="64"/>
  <c r="BR30" i="64"/>
  <c r="BN30" i="64"/>
  <c r="BJ30" i="64"/>
  <c r="BF30" i="64"/>
  <c r="BB30" i="64"/>
  <c r="AX30" i="64"/>
  <c r="AT30" i="64"/>
  <c r="AP30" i="64"/>
  <c r="AL30" i="64"/>
  <c r="AH30" i="64"/>
  <c r="AF30" i="64"/>
  <c r="AG30" i="64" s="1"/>
  <c r="AD30" i="64"/>
  <c r="J30" i="64"/>
  <c r="K30" i="64" s="1"/>
  <c r="G30" i="64"/>
  <c r="D30" i="64"/>
  <c r="C30" i="64"/>
  <c r="CD29" i="64"/>
  <c r="BZ29" i="64"/>
  <c r="BV29" i="64"/>
  <c r="BR29" i="64"/>
  <c r="BN29" i="64"/>
  <c r="BJ29" i="64"/>
  <c r="BF29" i="64"/>
  <c r="BB29" i="64"/>
  <c r="AX29" i="64"/>
  <c r="AH29" i="64" s="1"/>
  <c r="AG29" i="64" s="1"/>
  <c r="AT29" i="64"/>
  <c r="AP29" i="64"/>
  <c r="AL29" i="64"/>
  <c r="AF29" i="64"/>
  <c r="AD29" i="64"/>
  <c r="J29" i="64"/>
  <c r="K29" i="64" s="1"/>
  <c r="G29" i="64"/>
  <c r="D29" i="64"/>
  <c r="C29" i="64"/>
  <c r="CD28" i="64"/>
  <c r="BZ28" i="64"/>
  <c r="BV28" i="64"/>
  <c r="AH28" i="64" s="1"/>
  <c r="AG28" i="64" s="1"/>
  <c r="BR28" i="64"/>
  <c r="BN28" i="64"/>
  <c r="BJ28" i="64"/>
  <c r="BF28" i="64"/>
  <c r="BB28" i="64"/>
  <c r="AX28" i="64"/>
  <c r="AT28" i="64"/>
  <c r="AP28" i="64"/>
  <c r="AL28" i="64"/>
  <c r="AF28" i="64"/>
  <c r="AD28" i="64"/>
  <c r="J28" i="64"/>
  <c r="K28" i="64" s="1"/>
  <c r="G28" i="64"/>
  <c r="D28" i="64"/>
  <c r="CD27" i="64"/>
  <c r="BZ27" i="64"/>
  <c r="BV27" i="64"/>
  <c r="BR27" i="64"/>
  <c r="BN27" i="64"/>
  <c r="BJ27" i="64"/>
  <c r="BF27" i="64"/>
  <c r="BB27" i="64"/>
  <c r="AX27" i="64"/>
  <c r="AT27" i="64"/>
  <c r="AT24" i="64" s="1"/>
  <c r="AP27" i="64"/>
  <c r="AP24" i="64" s="1"/>
  <c r="AL27" i="64"/>
  <c r="AL24" i="64" s="1"/>
  <c r="AH27" i="64"/>
  <c r="AG27" i="64" s="1"/>
  <c r="AF27" i="64"/>
  <c r="AD27" i="64"/>
  <c r="J27" i="64"/>
  <c r="K27" i="64" s="1"/>
  <c r="G27" i="64"/>
  <c r="D27" i="64"/>
  <c r="C27" i="64"/>
  <c r="CD26" i="64"/>
  <c r="BZ26" i="64"/>
  <c r="BZ24" i="64" s="1"/>
  <c r="BV26" i="64"/>
  <c r="BV24" i="64" s="1"/>
  <c r="BR26" i="64"/>
  <c r="BN26" i="64"/>
  <c r="BJ26" i="64"/>
  <c r="BF26" i="64"/>
  <c r="BF24" i="64" s="1"/>
  <c r="BB26" i="64"/>
  <c r="AX26" i="64"/>
  <c r="AT26" i="64"/>
  <c r="AP26" i="64"/>
  <c r="AL26" i="64"/>
  <c r="AH26" i="64" s="1"/>
  <c r="AG26" i="64" s="1"/>
  <c r="AF26" i="64"/>
  <c r="AD26" i="64"/>
  <c r="J26" i="64"/>
  <c r="K26" i="64" s="1"/>
  <c r="G26" i="64"/>
  <c r="D26" i="64"/>
  <c r="C26" i="64"/>
  <c r="CD25" i="64"/>
  <c r="AH25" i="64" s="1"/>
  <c r="BZ25" i="64"/>
  <c r="BV25" i="64"/>
  <c r="BR25" i="64"/>
  <c r="BN25" i="64"/>
  <c r="BJ25" i="64"/>
  <c r="BJ24" i="64" s="1"/>
  <c r="BF25" i="64"/>
  <c r="BB25" i="64"/>
  <c r="BB24" i="64" s="1"/>
  <c r="AX25" i="64"/>
  <c r="AX24" i="64" s="1"/>
  <c r="AT25" i="64"/>
  <c r="AP25" i="64"/>
  <c r="AL25" i="64"/>
  <c r="AF25" i="64"/>
  <c r="AD25" i="64"/>
  <c r="J25" i="64"/>
  <c r="G25" i="64"/>
  <c r="D25" i="64"/>
  <c r="AD24" i="64"/>
  <c r="D24" i="64"/>
  <c r="CD23" i="64"/>
  <c r="BZ23" i="64"/>
  <c r="BV23" i="64"/>
  <c r="BR23" i="64"/>
  <c r="BN23" i="64"/>
  <c r="BJ23" i="64"/>
  <c r="BF23" i="64"/>
  <c r="BB23" i="64"/>
  <c r="AX23" i="64"/>
  <c r="AT23" i="64"/>
  <c r="AP23" i="64"/>
  <c r="AL23" i="64"/>
  <c r="AH23" i="64" s="1"/>
  <c r="AG23" i="64" s="1"/>
  <c r="AF23" i="64"/>
  <c r="AD23" i="64"/>
  <c r="O23" i="64"/>
  <c r="J23" i="64"/>
  <c r="K23" i="64" s="1"/>
  <c r="G23" i="64"/>
  <c r="D23" i="64"/>
  <c r="C23" i="64"/>
  <c r="CD22" i="64"/>
  <c r="BZ22" i="64"/>
  <c r="BV22" i="64"/>
  <c r="AH22" i="64" s="1"/>
  <c r="AG22" i="64" s="1"/>
  <c r="BR22" i="64"/>
  <c r="BN22" i="64"/>
  <c r="BJ22" i="64"/>
  <c r="BF22" i="64"/>
  <c r="BB22" i="64"/>
  <c r="AX22" i="64"/>
  <c r="AT22" i="64"/>
  <c r="AP22" i="64"/>
  <c r="AL22" i="64"/>
  <c r="AF22" i="64"/>
  <c r="AD22" i="64"/>
  <c r="O22" i="64"/>
  <c r="J22" i="64"/>
  <c r="K22" i="64" s="1"/>
  <c r="G22" i="64"/>
  <c r="D22" i="64"/>
  <c r="C22" i="64"/>
  <c r="CD21" i="64"/>
  <c r="BZ21" i="64"/>
  <c r="BV21" i="64"/>
  <c r="BR21" i="64"/>
  <c r="BN21" i="64"/>
  <c r="BJ21" i="64"/>
  <c r="BF21" i="64"/>
  <c r="BB21" i="64"/>
  <c r="AX21" i="64"/>
  <c r="AT21" i="64"/>
  <c r="AP21" i="64"/>
  <c r="AL21" i="64"/>
  <c r="AH21" i="64" s="1"/>
  <c r="AG21" i="64" s="1"/>
  <c r="AF21" i="64"/>
  <c r="AD21" i="64"/>
  <c r="O21" i="64"/>
  <c r="J21" i="64"/>
  <c r="K21" i="64" s="1"/>
  <c r="G21" i="64"/>
  <c r="D21" i="64"/>
  <c r="C21" i="64"/>
  <c r="CD20" i="64"/>
  <c r="BZ20" i="64"/>
  <c r="BV20" i="64"/>
  <c r="BR20" i="64"/>
  <c r="BN20" i="64"/>
  <c r="AH20" i="64" s="1"/>
  <c r="AG20" i="64" s="1"/>
  <c r="BJ20" i="64"/>
  <c r="BF20" i="64"/>
  <c r="BB20" i="64"/>
  <c r="AX20" i="64"/>
  <c r="AT20" i="64"/>
  <c r="AP20" i="64"/>
  <c r="AL20" i="64"/>
  <c r="AF20" i="64"/>
  <c r="AD20" i="64"/>
  <c r="O20" i="64"/>
  <c r="J20" i="64"/>
  <c r="K20" i="64" s="1"/>
  <c r="G20" i="64"/>
  <c r="D20" i="64"/>
  <c r="C20" i="64"/>
  <c r="CD19" i="64"/>
  <c r="BZ19" i="64"/>
  <c r="BV19" i="64"/>
  <c r="BR19" i="64"/>
  <c r="BN19" i="64"/>
  <c r="BJ19" i="64"/>
  <c r="BF19" i="64"/>
  <c r="BB19" i="64"/>
  <c r="AX19" i="64"/>
  <c r="AT19" i="64"/>
  <c r="AP19" i="64"/>
  <c r="AL19" i="64"/>
  <c r="AH19" i="64"/>
  <c r="AG19" i="64"/>
  <c r="AF19" i="64"/>
  <c r="AD19" i="64"/>
  <c r="O19" i="64"/>
  <c r="J19" i="64"/>
  <c r="K19" i="64" s="1"/>
  <c r="G19" i="64"/>
  <c r="D19" i="64"/>
  <c r="C19" i="64"/>
  <c r="CD18" i="64"/>
  <c r="BZ18" i="64"/>
  <c r="BV18" i="64"/>
  <c r="BR18" i="64"/>
  <c r="BN18" i="64"/>
  <c r="BJ18" i="64"/>
  <c r="BF18" i="64"/>
  <c r="BB18" i="64"/>
  <c r="AX18" i="64"/>
  <c r="AT18" i="64"/>
  <c r="AP18" i="64"/>
  <c r="AL18" i="64"/>
  <c r="AH18" i="64" s="1"/>
  <c r="AG18" i="64" s="1"/>
  <c r="AF18" i="64"/>
  <c r="AD18" i="64"/>
  <c r="O18" i="64"/>
  <c r="J18" i="64"/>
  <c r="K18" i="64" s="1"/>
  <c r="G18" i="64"/>
  <c r="D18" i="64"/>
  <c r="C18" i="64"/>
  <c r="CD17" i="64"/>
  <c r="BZ17" i="64"/>
  <c r="BV17" i="64"/>
  <c r="BR17" i="64"/>
  <c r="BN17" i="64"/>
  <c r="BJ17" i="64"/>
  <c r="BF17" i="64"/>
  <c r="BB17" i="64"/>
  <c r="AX17" i="64"/>
  <c r="AT17" i="64"/>
  <c r="AP17" i="64"/>
  <c r="AL17" i="64"/>
  <c r="AH17" i="64"/>
  <c r="AF17" i="64"/>
  <c r="AG17" i="64" s="1"/>
  <c r="AD17" i="64"/>
  <c r="O17" i="64"/>
  <c r="J17" i="64"/>
  <c r="K17" i="64" s="1"/>
  <c r="G17" i="64"/>
  <c r="D17" i="64"/>
  <c r="C17" i="64"/>
  <c r="CD16" i="64"/>
  <c r="BZ16" i="64"/>
  <c r="BV16" i="64"/>
  <c r="BR16" i="64"/>
  <c r="BN16" i="64"/>
  <c r="BJ16" i="64"/>
  <c r="BF16" i="64"/>
  <c r="BB16" i="64"/>
  <c r="AX16" i="64"/>
  <c r="AH16" i="64" s="1"/>
  <c r="AG16" i="64" s="1"/>
  <c r="AT16" i="64"/>
  <c r="AP16" i="64"/>
  <c r="AL16" i="64"/>
  <c r="AF16" i="64"/>
  <c r="AD16" i="64"/>
  <c r="O16" i="64"/>
  <c r="J16" i="64"/>
  <c r="K16" i="64" s="1"/>
  <c r="G16" i="64"/>
  <c r="D16" i="64"/>
  <c r="C16" i="64"/>
  <c r="CD15" i="64"/>
  <c r="BZ15" i="64"/>
  <c r="AH15" i="64" s="1"/>
  <c r="AG15" i="64" s="1"/>
  <c r="BV15" i="64"/>
  <c r="BR15" i="64"/>
  <c r="BN15" i="64"/>
  <c r="BJ15" i="64"/>
  <c r="BF15" i="64"/>
  <c r="BB15" i="64"/>
  <c r="AX15" i="64"/>
  <c r="AT15" i="64"/>
  <c r="AP15" i="64"/>
  <c r="AL15" i="64"/>
  <c r="AF15" i="64"/>
  <c r="AD15" i="64"/>
  <c r="O15" i="64"/>
  <c r="J15" i="64"/>
  <c r="K15" i="64" s="1"/>
  <c r="G15" i="64"/>
  <c r="D15" i="64"/>
  <c r="C15" i="64"/>
  <c r="CD14" i="64"/>
  <c r="BZ14" i="64"/>
  <c r="BV14" i="64"/>
  <c r="BR14" i="64"/>
  <c r="BN14" i="64"/>
  <c r="BJ14" i="64"/>
  <c r="BF14" i="64"/>
  <c r="BB14" i="64"/>
  <c r="AX14" i="64"/>
  <c r="AT14" i="64"/>
  <c r="AT11" i="64" s="1"/>
  <c r="AP14" i="64"/>
  <c r="AH14" i="64" s="1"/>
  <c r="AG14" i="64" s="1"/>
  <c r="AL14" i="64"/>
  <c r="AF14" i="64"/>
  <c r="AD14" i="64"/>
  <c r="O14" i="64"/>
  <c r="J14" i="64"/>
  <c r="K14" i="64" s="1"/>
  <c r="G14" i="64"/>
  <c r="D14" i="64"/>
  <c r="C14" i="64"/>
  <c r="CD13" i="64"/>
  <c r="CD11" i="64" s="1"/>
  <c r="BZ13" i="64"/>
  <c r="BZ11" i="64" s="1"/>
  <c r="BV13" i="64"/>
  <c r="BR13" i="64"/>
  <c r="AH13" i="64" s="1"/>
  <c r="AG13" i="64" s="1"/>
  <c r="BN13" i="64"/>
  <c r="BJ13" i="64"/>
  <c r="BF13" i="64"/>
  <c r="BB13" i="64"/>
  <c r="AX13" i="64"/>
  <c r="AT13" i="64"/>
  <c r="AP13" i="64"/>
  <c r="AL13" i="64"/>
  <c r="AF13" i="64"/>
  <c r="AD13" i="64"/>
  <c r="O13" i="64"/>
  <c r="J13" i="64"/>
  <c r="K13" i="64" s="1"/>
  <c r="G13" i="64"/>
  <c r="D13" i="64"/>
  <c r="CD12" i="64"/>
  <c r="BZ12" i="64"/>
  <c r="BV12" i="64"/>
  <c r="BR12" i="64"/>
  <c r="BR11" i="64" s="1"/>
  <c r="BN12" i="64"/>
  <c r="BN11" i="64" s="1"/>
  <c r="BJ12" i="64"/>
  <c r="BJ11" i="64" s="1"/>
  <c r="BF12" i="64"/>
  <c r="BF11" i="64" s="1"/>
  <c r="BB12" i="64"/>
  <c r="BB11" i="64" s="1"/>
  <c r="AX12" i="64"/>
  <c r="AX11" i="64" s="1"/>
  <c r="AT12" i="64"/>
  <c r="AP12" i="64"/>
  <c r="AL12" i="64"/>
  <c r="AL11" i="64" s="1"/>
  <c r="AH12" i="64"/>
  <c r="AG12" i="64" s="1"/>
  <c r="AF12" i="64"/>
  <c r="AD12" i="64"/>
  <c r="O12" i="64"/>
  <c r="J12" i="64"/>
  <c r="K12" i="64" s="1"/>
  <c r="G12" i="64"/>
  <c r="D12" i="64"/>
  <c r="C12" i="64"/>
  <c r="AD11" i="64"/>
  <c r="D11" i="64"/>
  <c r="C11" i="64"/>
  <c r="AF6" i="64"/>
  <c r="A3" i="64"/>
  <c r="C56" i="64" s="1"/>
  <c r="K50" i="75" l="1"/>
  <c r="J50" i="75" s="1"/>
  <c r="K58" i="64"/>
  <c r="K51" i="64"/>
  <c r="K54" i="64"/>
  <c r="K50" i="67"/>
  <c r="K50" i="65"/>
  <c r="J6" i="65" s="1"/>
  <c r="K59" i="64"/>
  <c r="BU6" i="67"/>
  <c r="BQ6" i="67"/>
  <c r="BY6" i="67"/>
  <c r="AO6" i="67"/>
  <c r="BM6" i="67"/>
  <c r="CD6" i="67"/>
  <c r="BI6" i="67"/>
  <c r="AG51" i="67"/>
  <c r="AH50" i="67"/>
  <c r="AK6" i="67"/>
  <c r="AH11" i="67"/>
  <c r="AG12" i="67"/>
  <c r="BB6" i="67"/>
  <c r="AX6" i="67"/>
  <c r="AH37" i="67"/>
  <c r="AG38" i="67"/>
  <c r="AS6" i="67"/>
  <c r="BF6" i="67"/>
  <c r="J24" i="67"/>
  <c r="N4" i="67"/>
  <c r="N3" i="67"/>
  <c r="J11" i="67"/>
  <c r="BI6" i="66"/>
  <c r="BM6" i="66"/>
  <c r="AH50" i="66"/>
  <c r="BQ6" i="66"/>
  <c r="AK6" i="66"/>
  <c r="BU6" i="66"/>
  <c r="AG38" i="66"/>
  <c r="AH37" i="66"/>
  <c r="AW6" i="66"/>
  <c r="AP6" i="66"/>
  <c r="AH11" i="66"/>
  <c r="BE6" i="66"/>
  <c r="BZ6" i="66"/>
  <c r="AS6" i="66"/>
  <c r="N3" i="66"/>
  <c r="BB6" i="66"/>
  <c r="CC6" i="66"/>
  <c r="N5" i="66"/>
  <c r="N4" i="66"/>
  <c r="BQ6" i="65"/>
  <c r="N3" i="65"/>
  <c r="J11" i="65"/>
  <c r="BM6" i="65"/>
  <c r="J24" i="65"/>
  <c r="N4" i="65"/>
  <c r="BE6" i="65"/>
  <c r="BI6" i="65"/>
  <c r="BA6" i="65"/>
  <c r="BY6" i="65"/>
  <c r="AO6" i="65"/>
  <c r="N5" i="65"/>
  <c r="J37" i="65"/>
  <c r="AG38" i="65"/>
  <c r="AH37" i="65"/>
  <c r="AW6" i="65"/>
  <c r="AG25" i="65"/>
  <c r="AH24" i="65"/>
  <c r="AK6" i="65"/>
  <c r="BU6" i="65"/>
  <c r="AS6" i="65"/>
  <c r="AH50" i="65"/>
  <c r="AG51" i="65"/>
  <c r="CC6" i="65"/>
  <c r="K55" i="64"/>
  <c r="K52" i="64"/>
  <c r="K56" i="64"/>
  <c r="K60" i="64"/>
  <c r="AH40" i="64"/>
  <c r="AG40" i="64" s="1"/>
  <c r="K53" i="64"/>
  <c r="K62" i="64"/>
  <c r="K57" i="64"/>
  <c r="K25" i="64"/>
  <c r="K24" i="64" s="1"/>
  <c r="J24" i="64" s="1"/>
  <c r="K61" i="64"/>
  <c r="AS6" i="64"/>
  <c r="K11" i="64"/>
  <c r="AW6" i="64"/>
  <c r="BY6" i="64"/>
  <c r="AK6" i="64"/>
  <c r="BA6" i="64"/>
  <c r="BE6" i="64"/>
  <c r="AG25" i="64"/>
  <c r="AH24" i="64"/>
  <c r="BQ6" i="64"/>
  <c r="BI6" i="64"/>
  <c r="BN24" i="64"/>
  <c r="BJ50" i="64"/>
  <c r="AH51" i="64"/>
  <c r="C24" i="64"/>
  <c r="C25" i="64"/>
  <c r="C53" i="64"/>
  <c r="CD24" i="64"/>
  <c r="AP11" i="64"/>
  <c r="BV11" i="64"/>
  <c r="AH38" i="64"/>
  <c r="AH11" i="64"/>
  <c r="C13" i="64"/>
  <c r="C28" i="64"/>
  <c r="C36" i="64"/>
  <c r="C45" i="64"/>
  <c r="C58" i="64"/>
  <c r="CD37" i="64"/>
  <c r="C31" i="64"/>
  <c r="C40" i="64"/>
  <c r="C48" i="64"/>
  <c r="N6" i="75" l="1"/>
  <c r="J50" i="65"/>
  <c r="N6" i="65"/>
  <c r="N7" i="65" s="1"/>
  <c r="O6" i="65" s="1"/>
  <c r="N6" i="67"/>
  <c r="J50" i="67"/>
  <c r="AT6" i="67"/>
  <c r="BN6" i="67"/>
  <c r="BZ6" i="67"/>
  <c r="BR6" i="67"/>
  <c r="AL6" i="67"/>
  <c r="BV6" i="67"/>
  <c r="BJ6" i="67"/>
  <c r="AP6" i="67"/>
  <c r="AG6" i="67"/>
  <c r="AT6" i="66"/>
  <c r="AX6" i="66"/>
  <c r="BV6" i="66"/>
  <c r="BR6" i="66"/>
  <c r="BF6" i="66"/>
  <c r="BJ6" i="66"/>
  <c r="CD6" i="66"/>
  <c r="AL6" i="66"/>
  <c r="BN6" i="66"/>
  <c r="AG6" i="66"/>
  <c r="BV6" i="65"/>
  <c r="BZ6" i="65"/>
  <c r="AL6" i="65"/>
  <c r="BB6" i="65"/>
  <c r="BJ6" i="65"/>
  <c r="BF6" i="65"/>
  <c r="AX6" i="65"/>
  <c r="BN6" i="65"/>
  <c r="AG6" i="65"/>
  <c r="CD6" i="65"/>
  <c r="K3" i="65"/>
  <c r="AP6" i="65"/>
  <c r="BR6" i="65"/>
  <c r="AT6" i="65"/>
  <c r="K50" i="64"/>
  <c r="J50" i="64" s="1"/>
  <c r="N4" i="64"/>
  <c r="BZ6" i="64"/>
  <c r="BM6" i="64"/>
  <c r="BB6" i="64"/>
  <c r="BU6" i="64"/>
  <c r="AO6" i="64"/>
  <c r="BJ6" i="64"/>
  <c r="BR6" i="64"/>
  <c r="AX6" i="64"/>
  <c r="N3" i="64"/>
  <c r="J11" i="64"/>
  <c r="AL6" i="64"/>
  <c r="AH50" i="64"/>
  <c r="AG51" i="64"/>
  <c r="BF6" i="64"/>
  <c r="CC6" i="64"/>
  <c r="AG38" i="64"/>
  <c r="AH37" i="64"/>
  <c r="AT6" i="64"/>
  <c r="O3" i="65" l="1"/>
  <c r="O4" i="65"/>
  <c r="AH6" i="67"/>
  <c r="AH6" i="66"/>
  <c r="N6" i="64"/>
  <c r="AH6" i="65"/>
  <c r="O5" i="65"/>
  <c r="AP6" i="64"/>
  <c r="AG6" i="64"/>
  <c r="BV6" i="64"/>
  <c r="BN6" i="64"/>
  <c r="CD6" i="64"/>
  <c r="AH6" i="64" l="1"/>
  <c r="H94" i="9" l="1"/>
  <c r="G94" i="9"/>
  <c r="H93" i="9"/>
  <c r="G93" i="9"/>
  <c r="H92" i="9"/>
  <c r="G92" i="9"/>
  <c r="H91" i="9"/>
  <c r="G91" i="9"/>
  <c r="H90" i="9"/>
  <c r="G90" i="9"/>
  <c r="H89" i="9"/>
  <c r="G89" i="9"/>
  <c r="H88" i="9"/>
  <c r="G88" i="9"/>
  <c r="H87" i="9"/>
  <c r="G87" i="9"/>
  <c r="H86" i="9"/>
  <c r="G86" i="9"/>
  <c r="H85" i="9"/>
  <c r="G85" i="9"/>
  <c r="H84" i="9"/>
  <c r="G84" i="9"/>
  <c r="H83" i="9"/>
  <c r="G83" i="9"/>
  <c r="H82" i="9"/>
  <c r="G82" i="9"/>
  <c r="H81" i="9"/>
  <c r="G81" i="9"/>
  <c r="H80" i="9"/>
  <c r="G80" i="9"/>
  <c r="H79" i="9"/>
  <c r="G79" i="9"/>
  <c r="H78" i="9"/>
  <c r="G78" i="9"/>
  <c r="H77" i="9"/>
  <c r="G77" i="9"/>
  <c r="H76" i="9"/>
  <c r="G76" i="9"/>
  <c r="H75" i="9"/>
  <c r="G75" i="9"/>
  <c r="H74" i="9"/>
  <c r="G74" i="9"/>
  <c r="H73" i="9"/>
  <c r="G73" i="9"/>
  <c r="H72" i="9"/>
  <c r="G72" i="9"/>
  <c r="H71" i="9"/>
  <c r="H70" i="9"/>
  <c r="H69" i="9"/>
  <c r="H68" i="9"/>
  <c r="H67" i="9"/>
  <c r="H66" i="9"/>
  <c r="H65" i="9"/>
  <c r="H64" i="9"/>
  <c r="H63" i="9"/>
  <c r="H62" i="9"/>
  <c r="H61" i="9"/>
  <c r="H60" i="9"/>
  <c r="H59" i="9"/>
  <c r="H58" i="9"/>
  <c r="H57" i="9"/>
  <c r="H56" i="9"/>
  <c r="H55" i="9"/>
  <c r="H54" i="9"/>
  <c r="H53" i="9"/>
  <c r="H52" i="9"/>
  <c r="H51" i="9"/>
  <c r="H50" i="9"/>
  <c r="H49" i="9"/>
  <c r="H48" i="9"/>
  <c r="H47" i="9"/>
  <c r="H46" i="9"/>
  <c r="H45" i="9"/>
  <c r="H44" i="9"/>
  <c r="H43" i="9"/>
  <c r="H42" i="9"/>
  <c r="H41" i="9"/>
  <c r="H40" i="9"/>
  <c r="H39" i="9"/>
  <c r="H38" i="9"/>
  <c r="H37" i="9"/>
  <c r="H36" i="9"/>
  <c r="H35" i="9"/>
  <c r="L34" i="9"/>
  <c r="J34" i="9"/>
  <c r="H34" i="9"/>
  <c r="H33" i="9"/>
  <c r="H32" i="9"/>
  <c r="H31" i="9"/>
  <c r="H30" i="9"/>
  <c r="H29" i="9"/>
  <c r="H28" i="9"/>
  <c r="H27" i="9"/>
  <c r="H25" i="9"/>
  <c r="H24" i="9"/>
  <c r="H23" i="9"/>
  <c r="H22" i="9"/>
  <c r="H21" i="9"/>
  <c r="H20" i="9"/>
  <c r="H19" i="9"/>
  <c r="H18" i="9"/>
  <c r="H17" i="9"/>
  <c r="H16" i="9"/>
  <c r="H15" i="9"/>
  <c r="H14" i="9"/>
  <c r="H13" i="9"/>
  <c r="H12" i="9"/>
  <c r="H11" i="9"/>
  <c r="H10" i="9"/>
  <c r="H9" i="9"/>
  <c r="H8" i="9"/>
  <c r="H7" i="9"/>
  <c r="H6" i="9"/>
  <c r="B63" i="4"/>
  <c r="D63" i="4"/>
  <c r="B64" i="4"/>
  <c r="G65" i="9" s="1"/>
  <c r="D64" i="4"/>
  <c r="B7" i="85" l="1"/>
  <c r="W19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C72" i="9"/>
  <c r="B73" i="9"/>
  <c r="C73" i="9"/>
  <c r="B74" i="9"/>
  <c r="C74" i="9"/>
  <c r="B75" i="9"/>
  <c r="C75" i="9"/>
  <c r="B76" i="9"/>
  <c r="C76" i="9"/>
  <c r="B77" i="9"/>
  <c r="C77" i="9"/>
  <c r="B78" i="9"/>
  <c r="C78" i="9"/>
  <c r="B79" i="9"/>
  <c r="C79" i="9"/>
  <c r="B80" i="9"/>
  <c r="C80" i="9"/>
  <c r="B81" i="9"/>
  <c r="C81" i="9"/>
  <c r="B82" i="9"/>
  <c r="C82" i="9"/>
  <c r="B83" i="9"/>
  <c r="C83" i="9"/>
  <c r="B84" i="9"/>
  <c r="C84" i="9"/>
  <c r="B85" i="9"/>
  <c r="C85" i="9"/>
  <c r="B86" i="9"/>
  <c r="C86" i="9"/>
  <c r="B87" i="9"/>
  <c r="C87" i="9"/>
  <c r="B88" i="9"/>
  <c r="C88" i="9"/>
  <c r="B89" i="9"/>
  <c r="C89" i="9"/>
  <c r="B90" i="9"/>
  <c r="C90" i="9"/>
  <c r="B91" i="9"/>
  <c r="C91" i="9"/>
  <c r="B92" i="9"/>
  <c r="C92" i="9"/>
  <c r="F93" i="9"/>
  <c r="B93" i="9" s="1"/>
  <c r="C93" i="9"/>
  <c r="E72" i="9"/>
  <c r="E73" i="9"/>
  <c r="Q73" i="9" s="1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F94" i="9"/>
  <c r="B94" i="9" s="1"/>
  <c r="C94" i="9"/>
  <c r="B56" i="4"/>
  <c r="G57" i="9" s="1"/>
  <c r="C57" i="9" s="1"/>
  <c r="D56" i="4"/>
  <c r="E57" i="9" s="1"/>
  <c r="B61" i="4"/>
  <c r="D61" i="4"/>
  <c r="B62" i="4"/>
  <c r="G64" i="9" s="1"/>
  <c r="D62" i="4"/>
  <c r="B59" i="4"/>
  <c r="D59" i="4"/>
  <c r="B58" i="4"/>
  <c r="D58" i="4"/>
  <c r="B60" i="4"/>
  <c r="D60" i="4"/>
  <c r="E61" i="9" s="1"/>
  <c r="B55" i="4"/>
  <c r="D55" i="4"/>
  <c r="E56" i="9" s="1"/>
  <c r="B51" i="4"/>
  <c r="D51" i="4"/>
  <c r="E53" i="9" s="1"/>
  <c r="B52" i="4"/>
  <c r="D52" i="4"/>
  <c r="E54" i="9" s="1"/>
  <c r="B53" i="4"/>
  <c r="D53" i="4"/>
  <c r="E55" i="9" s="1"/>
  <c r="B50" i="4"/>
  <c r="G52" i="9" s="1"/>
  <c r="C52" i="9" s="1"/>
  <c r="D50" i="4"/>
  <c r="E52" i="9" s="1"/>
  <c r="B49" i="4"/>
  <c r="D49" i="4"/>
  <c r="E51" i="9" s="1"/>
  <c r="P51" i="9" s="1"/>
  <c r="B57" i="4"/>
  <c r="D57" i="4"/>
  <c r="B33" i="9"/>
  <c r="P57" i="9"/>
  <c r="Q91" i="9"/>
  <c r="Q84" i="9"/>
  <c r="Q80" i="9"/>
  <c r="Q75" i="9"/>
  <c r="Q77" i="9"/>
  <c r="Q72" i="9"/>
  <c r="I52" i="9"/>
  <c r="Q74" i="9"/>
  <c r="Q79" i="9"/>
  <c r="Q82" i="9"/>
  <c r="Q52" i="9"/>
  <c r="Q85" i="9"/>
  <c r="P52" i="9"/>
  <c r="Q94" i="9"/>
  <c r="Q90" i="9"/>
  <c r="Q87" i="9"/>
  <c r="Q78" i="9"/>
  <c r="R52" i="9"/>
  <c r="Q83" i="9"/>
  <c r="Q76" i="9"/>
  <c r="Q81" i="9"/>
  <c r="Q92" i="9"/>
  <c r="Q88" i="9"/>
  <c r="Q93" i="9"/>
  <c r="Q89" i="9"/>
  <c r="Q86" i="9"/>
  <c r="I57" i="9"/>
  <c r="E58" i="85" l="1"/>
  <c r="E46" i="85"/>
  <c r="E29" i="85"/>
  <c r="E14" i="85"/>
  <c r="E52" i="85"/>
  <c r="E37" i="85"/>
  <c r="E38" i="85"/>
  <c r="E23" i="85"/>
  <c r="E18" i="85"/>
  <c r="E48" i="85"/>
  <c r="E27" i="85"/>
  <c r="E25" i="85"/>
  <c r="E13" i="85"/>
  <c r="E61" i="85"/>
  <c r="E59" i="85"/>
  <c r="E35" i="85"/>
  <c r="E28" i="85"/>
  <c r="E36" i="85"/>
  <c r="G7" i="85"/>
  <c r="E51" i="85"/>
  <c r="E56" i="85"/>
  <c r="E44" i="85"/>
  <c r="E15" i="85"/>
  <c r="E11" i="85"/>
  <c r="E24" i="85"/>
  <c r="E26" i="85"/>
  <c r="E33" i="85"/>
  <c r="E34" i="85"/>
  <c r="E45" i="85"/>
  <c r="E43" i="85"/>
  <c r="E55" i="85"/>
  <c r="E42" i="85"/>
  <c r="E20" i="85"/>
  <c r="E60" i="85"/>
  <c r="E22" i="85"/>
  <c r="E31" i="85"/>
  <c r="E54" i="85"/>
  <c r="E17" i="85"/>
  <c r="E16" i="85"/>
  <c r="E30" i="85"/>
  <c r="E50" i="85"/>
  <c r="E39" i="85"/>
  <c r="E21" i="85"/>
  <c r="E40" i="85"/>
  <c r="E57" i="85"/>
  <c r="E32" i="85"/>
  <c r="E47" i="85"/>
  <c r="E62" i="85"/>
  <c r="E19" i="85"/>
  <c r="E53" i="85"/>
  <c r="E49" i="85"/>
  <c r="E41" i="85"/>
  <c r="E12" i="85"/>
  <c r="M129" i="2"/>
  <c r="N129" i="2" s="1"/>
  <c r="O129" i="2" s="1"/>
  <c r="E63" i="9"/>
  <c r="L63" i="9" s="1"/>
  <c r="E58" i="9"/>
  <c r="L58" i="9" s="1"/>
  <c r="E59" i="9"/>
  <c r="J59" i="9" s="1"/>
  <c r="E62" i="9"/>
  <c r="J62" i="9" s="1"/>
  <c r="E60" i="9"/>
  <c r="J60" i="9" s="1"/>
  <c r="G60" i="9"/>
  <c r="G59" i="9"/>
  <c r="G63" i="9"/>
  <c r="G58" i="9"/>
  <c r="G62" i="9"/>
  <c r="C62" i="9" s="1"/>
  <c r="G54" i="9"/>
  <c r="C54" i="9" s="1"/>
  <c r="G53" i="9"/>
  <c r="G55" i="9"/>
  <c r="C55" i="9" s="1"/>
  <c r="G51" i="9"/>
  <c r="G61" i="9"/>
  <c r="G56" i="9"/>
  <c r="L57" i="9"/>
  <c r="J57" i="9"/>
  <c r="J58" i="9"/>
  <c r="R51" i="9"/>
  <c r="Q51" i="9"/>
  <c r="J61" i="9"/>
  <c r="L61" i="9"/>
  <c r="J55" i="9"/>
  <c r="L55" i="9"/>
  <c r="L56" i="9"/>
  <c r="J56" i="9"/>
  <c r="K57" i="9"/>
  <c r="L72" i="9"/>
  <c r="J72" i="9"/>
  <c r="L87" i="9"/>
  <c r="J87" i="9"/>
  <c r="L86" i="9"/>
  <c r="J86" i="9"/>
  <c r="L84" i="9"/>
  <c r="J84" i="9"/>
  <c r="J81" i="9"/>
  <c r="L81" i="9"/>
  <c r="L89" i="9"/>
  <c r="J89" i="9"/>
  <c r="L76" i="9"/>
  <c r="J76" i="9"/>
  <c r="L79" i="9"/>
  <c r="J79" i="9"/>
  <c r="J78" i="9"/>
  <c r="L78" i="9"/>
  <c r="J93" i="9"/>
  <c r="L93" i="9"/>
  <c r="L92" i="9"/>
  <c r="J92" i="9"/>
  <c r="L75" i="9"/>
  <c r="J75" i="9"/>
  <c r="L73" i="9"/>
  <c r="J73" i="9"/>
  <c r="L88" i="9"/>
  <c r="J88" i="9"/>
  <c r="L85" i="9"/>
  <c r="J85" i="9"/>
  <c r="L83" i="9"/>
  <c r="J83" i="9"/>
  <c r="L82" i="9"/>
  <c r="J82" i="9"/>
  <c r="L80" i="9"/>
  <c r="J80" i="9"/>
  <c r="L94" i="9"/>
  <c r="J94" i="9"/>
  <c r="L77" i="9"/>
  <c r="J77" i="9"/>
  <c r="L91" i="9"/>
  <c r="J91" i="9"/>
  <c r="J90" i="9"/>
  <c r="L90" i="9"/>
  <c r="L74" i="9"/>
  <c r="J74" i="9"/>
  <c r="L52" i="9"/>
  <c r="J52" i="9"/>
  <c r="K52" i="9"/>
  <c r="L53" i="9"/>
  <c r="J53" i="9"/>
  <c r="J51" i="9"/>
  <c r="L51" i="9"/>
  <c r="L54" i="9"/>
  <c r="J54" i="9"/>
  <c r="B156" i="2"/>
  <c r="E155" i="2"/>
  <c r="B155" i="2"/>
  <c r="P63" i="9"/>
  <c r="I53" i="9"/>
  <c r="R53" i="9"/>
  <c r="R59" i="9"/>
  <c r="P59" i="9"/>
  <c r="Q53" i="9"/>
  <c r="Q54" i="9"/>
  <c r="I62" i="9"/>
  <c r="P56" i="9"/>
  <c r="I51" i="9"/>
  <c r="P53" i="9"/>
  <c r="P62" i="9"/>
  <c r="I58" i="9"/>
  <c r="I54" i="9"/>
  <c r="P58" i="9"/>
  <c r="P55" i="9"/>
  <c r="I59" i="9"/>
  <c r="P61" i="9"/>
  <c r="R54" i="9"/>
  <c r="I63" i="9"/>
  <c r="Q59" i="9"/>
  <c r="P54" i="9"/>
  <c r="J63" i="9" l="1"/>
  <c r="L59" i="9"/>
  <c r="M139" i="2"/>
  <c r="N139" i="2" s="1"/>
  <c r="M128" i="2"/>
  <c r="N128" i="2" s="1"/>
  <c r="M137" i="2"/>
  <c r="N137" i="2" s="1"/>
  <c r="O137" i="2" s="1"/>
  <c r="L60" i="9"/>
  <c r="L62" i="9"/>
  <c r="M57" i="9"/>
  <c r="N57" i="9" s="1"/>
  <c r="K53" i="9"/>
  <c r="M53" i="9" s="1"/>
  <c r="N53" i="9" s="1"/>
  <c r="K58" i="9"/>
  <c r="M58" i="9" s="1"/>
  <c r="N58" i="9" s="1"/>
  <c r="K62" i="9"/>
  <c r="K63" i="9"/>
  <c r="M63" i="9" s="1"/>
  <c r="N63" i="9" s="1"/>
  <c r="K59" i="9"/>
  <c r="K54" i="9"/>
  <c r="M54" i="9" s="1"/>
  <c r="N54" i="9" s="1"/>
  <c r="K51" i="9"/>
  <c r="M51" i="9" s="1"/>
  <c r="N51" i="9" s="1"/>
  <c r="C53" i="9"/>
  <c r="C58" i="9"/>
  <c r="C63" i="9"/>
  <c r="C61" i="9"/>
  <c r="C59" i="9"/>
  <c r="C51" i="9"/>
  <c r="C60" i="9"/>
  <c r="C56" i="9"/>
  <c r="M52" i="9"/>
  <c r="N52" i="9" s="1"/>
  <c r="M59" i="9" l="1"/>
  <c r="N59" i="9" s="1"/>
  <c r="O128" i="2"/>
  <c r="N127" i="2"/>
  <c r="O127" i="2" s="1"/>
  <c r="O139" i="2"/>
  <c r="M62" i="9"/>
  <c r="N62" i="9" s="1"/>
  <c r="H79" i="38" l="1"/>
  <c r="H70" i="38"/>
  <c r="A152" i="38"/>
  <c r="I152" i="38"/>
  <c r="K152" i="38" s="1"/>
  <c r="J152" i="38"/>
  <c r="J149" i="38"/>
  <c r="I149" i="38"/>
  <c r="K149" i="38" s="1"/>
  <c r="I148" i="38"/>
  <c r="K148" i="38" s="1"/>
  <c r="H148" i="38"/>
  <c r="J148" i="38" s="1"/>
  <c r="H50" i="38"/>
  <c r="A49" i="38"/>
  <c r="I49" i="38"/>
  <c r="K49" i="38" s="1"/>
  <c r="J49" i="38"/>
  <c r="H48" i="38"/>
  <c r="H47" i="38"/>
  <c r="H36" i="38"/>
  <c r="H35" i="38"/>
  <c r="H34" i="38"/>
  <c r="H137" i="38"/>
  <c r="H123" i="38"/>
  <c r="H105" i="38"/>
  <c r="H151" i="38"/>
  <c r="H146" i="38"/>
  <c r="H26" i="38"/>
  <c r="I25" i="38"/>
  <c r="K25" i="38" s="1"/>
  <c r="H25" i="38"/>
  <c r="J25" i="38" s="1"/>
  <c r="H24" i="38"/>
  <c r="J24" i="38" s="1"/>
  <c r="I19" i="38"/>
  <c r="H19" i="38"/>
  <c r="J19" i="38" s="1"/>
  <c r="H23" i="38"/>
  <c r="J23" i="38" s="1"/>
  <c r="H28" i="38"/>
  <c r="I18" i="38"/>
  <c r="K18" i="38" s="1"/>
  <c r="H18" i="38"/>
  <c r="J18" i="38" s="1"/>
  <c r="A17" i="38"/>
  <c r="I17" i="38"/>
  <c r="K17" i="38" s="1"/>
  <c r="H17" i="38"/>
  <c r="J17" i="38" s="1"/>
  <c r="I24" i="38"/>
  <c r="K24" i="38" s="1"/>
  <c r="I23" i="38"/>
  <c r="K23" i="38" s="1"/>
  <c r="I22" i="38"/>
  <c r="K22" i="38" s="1"/>
  <c r="H22" i="38"/>
  <c r="J22" i="38" s="1"/>
  <c r="I21" i="38"/>
  <c r="K21" i="38" s="1"/>
  <c r="I20" i="38"/>
  <c r="K20" i="38" s="1"/>
  <c r="H21" i="38"/>
  <c r="J21" i="38" s="1"/>
  <c r="H20" i="38"/>
  <c r="J20" i="38" s="1"/>
  <c r="I16" i="38"/>
  <c r="K16" i="38" s="1"/>
  <c r="A16" i="38"/>
  <c r="H16" i="38"/>
  <c r="J16" i="38" s="1"/>
  <c r="H15" i="38"/>
  <c r="CD62" i="63" l="1"/>
  <c r="BZ62" i="63"/>
  <c r="BV62" i="63"/>
  <c r="BR62" i="63"/>
  <c r="BN62" i="63"/>
  <c r="BJ62" i="63"/>
  <c r="BF62" i="63"/>
  <c r="BB62" i="63"/>
  <c r="AX62" i="63"/>
  <c r="AT62" i="63"/>
  <c r="AP62" i="63"/>
  <c r="AL62" i="63"/>
  <c r="AH62" i="63"/>
  <c r="AF62" i="63"/>
  <c r="AG62" i="63" s="1"/>
  <c r="AD62" i="63"/>
  <c r="J62" i="63"/>
  <c r="I62" i="63"/>
  <c r="G62" i="63"/>
  <c r="D62" i="63"/>
  <c r="C62" i="63"/>
  <c r="CD61" i="63"/>
  <c r="BZ61" i="63"/>
  <c r="BV61" i="63"/>
  <c r="BR61" i="63"/>
  <c r="BN61" i="63"/>
  <c r="BJ61" i="63"/>
  <c r="BF61" i="63"/>
  <c r="BB61" i="63"/>
  <c r="AX61" i="63"/>
  <c r="AH61" i="63" s="1"/>
  <c r="AG61" i="63" s="1"/>
  <c r="AT61" i="63"/>
  <c r="AP61" i="63"/>
  <c r="AL61" i="63"/>
  <c r="AF61" i="63"/>
  <c r="AD61" i="63"/>
  <c r="J61" i="63"/>
  <c r="I61" i="63"/>
  <c r="G61" i="63"/>
  <c r="D61" i="63"/>
  <c r="C61" i="63"/>
  <c r="CD60" i="63"/>
  <c r="BZ60" i="63"/>
  <c r="BV60" i="63"/>
  <c r="BR60" i="63"/>
  <c r="BN60" i="63"/>
  <c r="BJ60" i="63"/>
  <c r="BF60" i="63"/>
  <c r="BB60" i="63"/>
  <c r="AX60" i="63"/>
  <c r="AT60" i="63"/>
  <c r="AP60" i="63"/>
  <c r="AL60" i="63"/>
  <c r="AH60" i="63" s="1"/>
  <c r="AG60" i="63" s="1"/>
  <c r="AF60" i="63"/>
  <c r="AD60" i="63"/>
  <c r="J60" i="63"/>
  <c r="I60" i="63"/>
  <c r="G60" i="63"/>
  <c r="D60" i="63"/>
  <c r="C60" i="63"/>
  <c r="CD59" i="63"/>
  <c r="BZ59" i="63"/>
  <c r="BV59" i="63"/>
  <c r="BR59" i="63"/>
  <c r="BN59" i="63"/>
  <c r="BJ59" i="63"/>
  <c r="BF59" i="63"/>
  <c r="BB59" i="63"/>
  <c r="AX59" i="63"/>
  <c r="AT59" i="63"/>
  <c r="AP59" i="63"/>
  <c r="AH59" i="63" s="1"/>
  <c r="AG59" i="63" s="1"/>
  <c r="AL59" i="63"/>
  <c r="AF59" i="63"/>
  <c r="AD59" i="63"/>
  <c r="J59" i="63"/>
  <c r="I59" i="63"/>
  <c r="G59" i="63"/>
  <c r="D59" i="63"/>
  <c r="C59" i="63"/>
  <c r="CD58" i="63"/>
  <c r="BZ58" i="63"/>
  <c r="BV58" i="63"/>
  <c r="BR58" i="63"/>
  <c r="BN58" i="63"/>
  <c r="BJ58" i="63"/>
  <c r="BF58" i="63"/>
  <c r="BB58" i="63"/>
  <c r="AX58" i="63"/>
  <c r="AT58" i="63"/>
  <c r="AP58" i="63"/>
  <c r="AL58" i="63"/>
  <c r="AH58" i="63"/>
  <c r="AG58" i="63" s="1"/>
  <c r="AF58" i="63"/>
  <c r="AD58" i="63"/>
  <c r="J58" i="63"/>
  <c r="I58" i="63"/>
  <c r="G58" i="63"/>
  <c r="D58" i="63"/>
  <c r="CD57" i="63"/>
  <c r="BZ57" i="63"/>
  <c r="BV57" i="63"/>
  <c r="BR57" i="63"/>
  <c r="BN57" i="63"/>
  <c r="BJ57" i="63"/>
  <c r="BF57" i="63"/>
  <c r="BB57" i="63"/>
  <c r="AH57" i="63" s="1"/>
  <c r="AG57" i="63" s="1"/>
  <c r="AX57" i="63"/>
  <c r="AT57" i="63"/>
  <c r="AP57" i="63"/>
  <c r="AL57" i="63"/>
  <c r="AF57" i="63"/>
  <c r="AD57" i="63"/>
  <c r="J57" i="63"/>
  <c r="I57" i="63"/>
  <c r="G57" i="63"/>
  <c r="D57" i="63"/>
  <c r="C57" i="63"/>
  <c r="CD56" i="63"/>
  <c r="BZ56" i="63"/>
  <c r="BV56" i="63"/>
  <c r="BV50" i="63" s="1"/>
  <c r="BR56" i="63"/>
  <c r="BR50" i="63" s="1"/>
  <c r="BN56" i="63"/>
  <c r="BJ56" i="63"/>
  <c r="BF56" i="63"/>
  <c r="BB56" i="63"/>
  <c r="AX56" i="63"/>
  <c r="AT56" i="63"/>
  <c r="AP56" i="63"/>
  <c r="AL56" i="63"/>
  <c r="AF56" i="63"/>
  <c r="AD56" i="63"/>
  <c r="J56" i="63"/>
  <c r="I56" i="63"/>
  <c r="G56" i="63"/>
  <c r="D56" i="63"/>
  <c r="CD55" i="63"/>
  <c r="BZ55" i="63"/>
  <c r="BV55" i="63"/>
  <c r="BR55" i="63"/>
  <c r="BN55" i="63"/>
  <c r="BJ55" i="63"/>
  <c r="BF55" i="63"/>
  <c r="BB55" i="63"/>
  <c r="AX55" i="63"/>
  <c r="AT55" i="63"/>
  <c r="AP55" i="63"/>
  <c r="AL55" i="63"/>
  <c r="AH55" i="63"/>
  <c r="AF55" i="63"/>
  <c r="AG55" i="63" s="1"/>
  <c r="AD55" i="63"/>
  <c r="J55" i="63"/>
  <c r="I55" i="63"/>
  <c r="G55" i="63"/>
  <c r="D55" i="63"/>
  <c r="C55" i="63"/>
  <c r="CD54" i="63"/>
  <c r="BZ54" i="63"/>
  <c r="BV54" i="63"/>
  <c r="BR54" i="63"/>
  <c r="BN54" i="63"/>
  <c r="BJ54" i="63"/>
  <c r="BF54" i="63"/>
  <c r="BB54" i="63"/>
  <c r="AH54" i="63" s="1"/>
  <c r="AG54" i="63" s="1"/>
  <c r="AX54" i="63"/>
  <c r="AT54" i="63"/>
  <c r="AP54" i="63"/>
  <c r="AL54" i="63"/>
  <c r="AF54" i="63"/>
  <c r="AD54" i="63"/>
  <c r="J54" i="63"/>
  <c r="I54" i="63"/>
  <c r="G54" i="63"/>
  <c r="D54" i="63"/>
  <c r="C54" i="63"/>
  <c r="CD53" i="63"/>
  <c r="BZ53" i="63"/>
  <c r="BV53" i="63"/>
  <c r="BR53" i="63"/>
  <c r="BN53" i="63"/>
  <c r="BJ53" i="63"/>
  <c r="BF53" i="63"/>
  <c r="BB53" i="63"/>
  <c r="AX53" i="63"/>
  <c r="AT53" i="63"/>
  <c r="AP53" i="63"/>
  <c r="AP50" i="63" s="1"/>
  <c r="AL53" i="63"/>
  <c r="AF53" i="63"/>
  <c r="AD53" i="63"/>
  <c r="J53" i="63"/>
  <c r="I53" i="63"/>
  <c r="G53" i="63"/>
  <c r="D53" i="63"/>
  <c r="C53" i="63"/>
  <c r="CD52" i="63"/>
  <c r="BZ52" i="63"/>
  <c r="BV52" i="63"/>
  <c r="BR52" i="63"/>
  <c r="BN52" i="63"/>
  <c r="BJ52" i="63"/>
  <c r="BJ50" i="63" s="1"/>
  <c r="BF52" i="63"/>
  <c r="BB52" i="63"/>
  <c r="AX52" i="63"/>
  <c r="AT52" i="63"/>
  <c r="AT50" i="63" s="1"/>
  <c r="AP52" i="63"/>
  <c r="AL52" i="63"/>
  <c r="AH52" i="63" s="1"/>
  <c r="AG52" i="63" s="1"/>
  <c r="AF52" i="63"/>
  <c r="AD52" i="63"/>
  <c r="J52" i="63"/>
  <c r="I52" i="63"/>
  <c r="G52" i="63"/>
  <c r="D52" i="63"/>
  <c r="C52" i="63"/>
  <c r="CD51" i="63"/>
  <c r="BZ51" i="63"/>
  <c r="BV51" i="63"/>
  <c r="BR51" i="63"/>
  <c r="BN51" i="63"/>
  <c r="BJ51" i="63"/>
  <c r="BF51" i="63"/>
  <c r="BB51" i="63"/>
  <c r="AX51" i="63"/>
  <c r="AT51" i="63"/>
  <c r="AP51" i="63"/>
  <c r="AL51" i="63"/>
  <c r="AH51" i="63" s="1"/>
  <c r="AF51" i="63"/>
  <c r="AD51" i="63"/>
  <c r="J51" i="63"/>
  <c r="G51" i="63"/>
  <c r="D51" i="63"/>
  <c r="C51" i="63"/>
  <c r="BN50" i="63"/>
  <c r="AD50" i="63"/>
  <c r="D50" i="63"/>
  <c r="C50" i="63"/>
  <c r="CD49" i="63"/>
  <c r="BZ49" i="63"/>
  <c r="BV49" i="63"/>
  <c r="BR49" i="63"/>
  <c r="BN49" i="63"/>
  <c r="BJ49" i="63"/>
  <c r="BF49" i="63"/>
  <c r="BB49" i="63"/>
  <c r="AX49" i="63"/>
  <c r="AT49" i="63"/>
  <c r="AP49" i="63"/>
  <c r="AL49" i="63"/>
  <c r="AF49" i="63"/>
  <c r="AD49" i="63"/>
  <c r="J49" i="63"/>
  <c r="K49" i="63" s="1"/>
  <c r="G49" i="63"/>
  <c r="D49" i="63"/>
  <c r="C49" i="63"/>
  <c r="CD48" i="63"/>
  <c r="BZ48" i="63"/>
  <c r="BV48" i="63"/>
  <c r="BR48" i="63"/>
  <c r="BN48" i="63"/>
  <c r="BJ48" i="63"/>
  <c r="BF48" i="63"/>
  <c r="BB48" i="63"/>
  <c r="AX48" i="63"/>
  <c r="AT48" i="63"/>
  <c r="AP48" i="63"/>
  <c r="AL48" i="63"/>
  <c r="AF48" i="63"/>
  <c r="AD48" i="63"/>
  <c r="J48" i="63"/>
  <c r="K48" i="63" s="1"/>
  <c r="G48" i="63"/>
  <c r="D48" i="63"/>
  <c r="CD47" i="63"/>
  <c r="BZ47" i="63"/>
  <c r="BV47" i="63"/>
  <c r="BR47" i="63"/>
  <c r="BN47" i="63"/>
  <c r="BJ47" i="63"/>
  <c r="BF47" i="63"/>
  <c r="BB47" i="63"/>
  <c r="AX47" i="63"/>
  <c r="AT47" i="63"/>
  <c r="AP47" i="63"/>
  <c r="AL47" i="63"/>
  <c r="AH47" i="63"/>
  <c r="AG47" i="63" s="1"/>
  <c r="AF47" i="63"/>
  <c r="AD47" i="63"/>
  <c r="J47" i="63"/>
  <c r="K47" i="63" s="1"/>
  <c r="G47" i="63"/>
  <c r="D47" i="63"/>
  <c r="C47" i="63"/>
  <c r="CD46" i="63"/>
  <c r="BZ46" i="63"/>
  <c r="BV46" i="63"/>
  <c r="BR46" i="63"/>
  <c r="BN46" i="63"/>
  <c r="BJ46" i="63"/>
  <c r="BF46" i="63"/>
  <c r="BB46" i="63"/>
  <c r="AX46" i="63"/>
  <c r="AT46" i="63"/>
  <c r="AP46" i="63"/>
  <c r="AL46" i="63"/>
  <c r="AF46" i="63"/>
  <c r="AD46" i="63"/>
  <c r="J46" i="63"/>
  <c r="K46" i="63" s="1"/>
  <c r="G46" i="63"/>
  <c r="D46" i="63"/>
  <c r="C46" i="63"/>
  <c r="CD45" i="63"/>
  <c r="BZ45" i="63"/>
  <c r="BV45" i="63"/>
  <c r="AH45" i="63" s="1"/>
  <c r="AG45" i="63" s="1"/>
  <c r="BR45" i="63"/>
  <c r="BN45" i="63"/>
  <c r="BJ45" i="63"/>
  <c r="BF45" i="63"/>
  <c r="BB45" i="63"/>
  <c r="AX45" i="63"/>
  <c r="AT45" i="63"/>
  <c r="AP45" i="63"/>
  <c r="AL45" i="63"/>
  <c r="AF45" i="63"/>
  <c r="AD45" i="63"/>
  <c r="J45" i="63"/>
  <c r="K45" i="63" s="1"/>
  <c r="G45" i="63"/>
  <c r="D45" i="63"/>
  <c r="CD44" i="63"/>
  <c r="BZ44" i="63"/>
  <c r="BV44" i="63"/>
  <c r="BR44" i="63"/>
  <c r="BN44" i="63"/>
  <c r="BJ44" i="63"/>
  <c r="BF44" i="63"/>
  <c r="BB44" i="63"/>
  <c r="AX44" i="63"/>
  <c r="AT44" i="63"/>
  <c r="AP44" i="63"/>
  <c r="AL44" i="63"/>
  <c r="AH44" i="63"/>
  <c r="AG44" i="63" s="1"/>
  <c r="AF44" i="63"/>
  <c r="AD44" i="63"/>
  <c r="J44" i="63"/>
  <c r="K44" i="63" s="1"/>
  <c r="G44" i="63"/>
  <c r="D44" i="63"/>
  <c r="C44" i="63"/>
  <c r="CD43" i="63"/>
  <c r="BZ43" i="63"/>
  <c r="BV43" i="63"/>
  <c r="BR43" i="63"/>
  <c r="BN43" i="63"/>
  <c r="BJ43" i="63"/>
  <c r="BF43" i="63"/>
  <c r="AH43" i="63" s="1"/>
  <c r="AG43" i="63" s="1"/>
  <c r="BB43" i="63"/>
  <c r="AX43" i="63"/>
  <c r="AT43" i="63"/>
  <c r="AP43" i="63"/>
  <c r="AL43" i="63"/>
  <c r="AF43" i="63"/>
  <c r="AD43" i="63"/>
  <c r="J43" i="63"/>
  <c r="K43" i="63" s="1"/>
  <c r="G43" i="63"/>
  <c r="D43" i="63"/>
  <c r="C43" i="63"/>
  <c r="CD42" i="63"/>
  <c r="BZ42" i="63"/>
  <c r="BV42" i="63"/>
  <c r="BR42" i="63"/>
  <c r="BN42" i="63"/>
  <c r="BJ42" i="63"/>
  <c r="BF42" i="63"/>
  <c r="BB42" i="63"/>
  <c r="AX42" i="63"/>
  <c r="AT42" i="63"/>
  <c r="AH42" i="63" s="1"/>
  <c r="AG42" i="63" s="1"/>
  <c r="AP42" i="63"/>
  <c r="AL42" i="63"/>
  <c r="AF42" i="63"/>
  <c r="AD42" i="63"/>
  <c r="J42" i="63"/>
  <c r="K42" i="63" s="1"/>
  <c r="G42" i="63"/>
  <c r="D42" i="63"/>
  <c r="C42" i="63"/>
  <c r="CD41" i="63"/>
  <c r="BZ41" i="63"/>
  <c r="BV41" i="63"/>
  <c r="BR41" i="63"/>
  <c r="BN41" i="63"/>
  <c r="BJ41" i="63"/>
  <c r="BF41" i="63"/>
  <c r="BB41" i="63"/>
  <c r="AX41" i="63"/>
  <c r="AT41" i="63"/>
  <c r="AP41" i="63"/>
  <c r="AL41" i="63"/>
  <c r="AF41" i="63"/>
  <c r="AD41" i="63"/>
  <c r="J41" i="63"/>
  <c r="K41" i="63" s="1"/>
  <c r="G41" i="63"/>
  <c r="D41" i="63"/>
  <c r="C41" i="63"/>
  <c r="CD40" i="63"/>
  <c r="CD37" i="63" s="1"/>
  <c r="BZ40" i="63"/>
  <c r="BZ37" i="63" s="1"/>
  <c r="BV40" i="63"/>
  <c r="BR40" i="63"/>
  <c r="BN40" i="63"/>
  <c r="BJ40" i="63"/>
  <c r="BF40" i="63"/>
  <c r="BB40" i="63"/>
  <c r="AX40" i="63"/>
  <c r="AT40" i="63"/>
  <c r="AP40" i="63"/>
  <c r="AL40" i="63"/>
  <c r="AF40" i="63"/>
  <c r="AD40" i="63"/>
  <c r="J40" i="63"/>
  <c r="K40" i="63" s="1"/>
  <c r="G40" i="63"/>
  <c r="D40" i="63"/>
  <c r="CD39" i="63"/>
  <c r="BZ39" i="63"/>
  <c r="BV39" i="63"/>
  <c r="BR39" i="63"/>
  <c r="BN39" i="63"/>
  <c r="BJ39" i="63"/>
  <c r="BF39" i="63"/>
  <c r="BB39" i="63"/>
  <c r="AX39" i="63"/>
  <c r="AT39" i="63"/>
  <c r="AT37" i="63" s="1"/>
  <c r="AP39" i="63"/>
  <c r="AL39" i="63"/>
  <c r="AH39" i="63"/>
  <c r="AG39" i="63"/>
  <c r="AF39" i="63"/>
  <c r="AD39" i="63"/>
  <c r="J39" i="63"/>
  <c r="K39" i="63" s="1"/>
  <c r="G39" i="63"/>
  <c r="D39" i="63"/>
  <c r="C39" i="63"/>
  <c r="CD38" i="63"/>
  <c r="BZ38" i="63"/>
  <c r="BV38" i="63"/>
  <c r="BR38" i="63"/>
  <c r="BN38" i="63"/>
  <c r="BJ38" i="63"/>
  <c r="BF38" i="63"/>
  <c r="BB38" i="63"/>
  <c r="BB37" i="63" s="1"/>
  <c r="AX38" i="63"/>
  <c r="AH38" i="63" s="1"/>
  <c r="AT38" i="63"/>
  <c r="AP38" i="63"/>
  <c r="AL38" i="63"/>
  <c r="AF38" i="63"/>
  <c r="AD38" i="63"/>
  <c r="J38" i="63"/>
  <c r="K38" i="63" s="1"/>
  <c r="G38" i="63"/>
  <c r="D38" i="63"/>
  <c r="C38" i="63"/>
  <c r="BF37" i="63"/>
  <c r="AD37" i="63"/>
  <c r="D37" i="63"/>
  <c r="C37" i="63"/>
  <c r="CD36" i="63"/>
  <c r="BZ36" i="63"/>
  <c r="BV36" i="63"/>
  <c r="AH36" i="63" s="1"/>
  <c r="AG36" i="63" s="1"/>
  <c r="BR36" i="63"/>
  <c r="BN36" i="63"/>
  <c r="BJ36" i="63"/>
  <c r="BF36" i="63"/>
  <c r="BB36" i="63"/>
  <c r="AX36" i="63"/>
  <c r="AT36" i="63"/>
  <c r="AP36" i="63"/>
  <c r="AL36" i="63"/>
  <c r="AF36" i="63"/>
  <c r="AD36" i="63"/>
  <c r="J36" i="63"/>
  <c r="K36" i="63" s="1"/>
  <c r="G36" i="63"/>
  <c r="D36" i="63"/>
  <c r="CD35" i="63"/>
  <c r="BZ35" i="63"/>
  <c r="BV35" i="63"/>
  <c r="BR35" i="63"/>
  <c r="BN35" i="63"/>
  <c r="BJ35" i="63"/>
  <c r="BF35" i="63"/>
  <c r="BB35" i="63"/>
  <c r="AX35" i="63"/>
  <c r="AT35" i="63"/>
  <c r="AP35" i="63"/>
  <c r="AL35" i="63"/>
  <c r="AH35" i="63"/>
  <c r="AG35" i="63" s="1"/>
  <c r="AF35" i="63"/>
  <c r="AD35" i="63"/>
  <c r="J35" i="63"/>
  <c r="K35" i="63" s="1"/>
  <c r="G35" i="63"/>
  <c r="D35" i="63"/>
  <c r="C35" i="63"/>
  <c r="CD34" i="63"/>
  <c r="BZ34" i="63"/>
  <c r="BV34" i="63"/>
  <c r="BR34" i="63"/>
  <c r="BN34" i="63"/>
  <c r="BJ34" i="63"/>
  <c r="BF34" i="63"/>
  <c r="AH34" i="63" s="1"/>
  <c r="AG34" i="63" s="1"/>
  <c r="BB34" i="63"/>
  <c r="AX34" i="63"/>
  <c r="AT34" i="63"/>
  <c r="AP34" i="63"/>
  <c r="AL34" i="63"/>
  <c r="AF34" i="63"/>
  <c r="AD34" i="63"/>
  <c r="J34" i="63"/>
  <c r="K34" i="63" s="1"/>
  <c r="G34" i="63"/>
  <c r="D34" i="63"/>
  <c r="C34" i="63"/>
  <c r="CD33" i="63"/>
  <c r="BZ33" i="63"/>
  <c r="BV33" i="63"/>
  <c r="BR33" i="63"/>
  <c r="BN33" i="63"/>
  <c r="BJ33" i="63"/>
  <c r="BF33" i="63"/>
  <c r="BB33" i="63"/>
  <c r="AX33" i="63"/>
  <c r="AT33" i="63"/>
  <c r="AH33" i="63" s="1"/>
  <c r="AG33" i="63" s="1"/>
  <c r="AP33" i="63"/>
  <c r="AL33" i="63"/>
  <c r="AF33" i="63"/>
  <c r="AD33" i="63"/>
  <c r="J33" i="63"/>
  <c r="K33" i="63" s="1"/>
  <c r="G33" i="63"/>
  <c r="D33" i="63"/>
  <c r="C33" i="63"/>
  <c r="CD32" i="63"/>
  <c r="BZ32" i="63"/>
  <c r="BV32" i="63"/>
  <c r="BR32" i="63"/>
  <c r="BN32" i="63"/>
  <c r="BJ32" i="63"/>
  <c r="BF32" i="63"/>
  <c r="BB32" i="63"/>
  <c r="AX32" i="63"/>
  <c r="AT32" i="63"/>
  <c r="AP32" i="63"/>
  <c r="AL32" i="63"/>
  <c r="AF32" i="63"/>
  <c r="AD32" i="63"/>
  <c r="J32" i="63"/>
  <c r="K32" i="63" s="1"/>
  <c r="G32" i="63"/>
  <c r="D32" i="63"/>
  <c r="C32" i="63"/>
  <c r="CD31" i="63"/>
  <c r="BZ31" i="63"/>
  <c r="BZ24" i="63" s="1"/>
  <c r="BV31" i="63"/>
  <c r="BR31" i="63"/>
  <c r="BN31" i="63"/>
  <c r="BJ31" i="63"/>
  <c r="BF31" i="63"/>
  <c r="BB31" i="63"/>
  <c r="AX31" i="63"/>
  <c r="AT31" i="63"/>
  <c r="AP31" i="63"/>
  <c r="AL31" i="63"/>
  <c r="AF31" i="63"/>
  <c r="AD31" i="63"/>
  <c r="J31" i="63"/>
  <c r="K31" i="63" s="1"/>
  <c r="G31" i="63"/>
  <c r="D31" i="63"/>
  <c r="CD30" i="63"/>
  <c r="BZ30" i="63"/>
  <c r="BV30" i="63"/>
  <c r="BR30" i="63"/>
  <c r="BN30" i="63"/>
  <c r="BJ30" i="63"/>
  <c r="BF30" i="63"/>
  <c r="BB30" i="63"/>
  <c r="AX30" i="63"/>
  <c r="AT30" i="63"/>
  <c r="AP30" i="63"/>
  <c r="AL30" i="63"/>
  <c r="AL24" i="63" s="1"/>
  <c r="AH30" i="63"/>
  <c r="AG30" i="63"/>
  <c r="AF30" i="63"/>
  <c r="AD30" i="63"/>
  <c r="J30" i="63"/>
  <c r="K30" i="63" s="1"/>
  <c r="G30" i="63"/>
  <c r="D30" i="63"/>
  <c r="C30" i="63"/>
  <c r="CD29" i="63"/>
  <c r="BZ29" i="63"/>
  <c r="BV29" i="63"/>
  <c r="BR29" i="63"/>
  <c r="BN29" i="63"/>
  <c r="BN24" i="63" s="1"/>
  <c r="BJ29" i="63"/>
  <c r="BF29" i="63"/>
  <c r="BB29" i="63"/>
  <c r="AX29" i="63"/>
  <c r="AH29" i="63" s="1"/>
  <c r="AG29" i="63" s="1"/>
  <c r="AT29" i="63"/>
  <c r="AP29" i="63"/>
  <c r="AL29" i="63"/>
  <c r="AF29" i="63"/>
  <c r="AD29" i="63"/>
  <c r="J29" i="63"/>
  <c r="K29" i="63" s="1"/>
  <c r="G29" i="63"/>
  <c r="D29" i="63"/>
  <c r="C29" i="63"/>
  <c r="CD28" i="63"/>
  <c r="BZ28" i="63"/>
  <c r="BV28" i="63"/>
  <c r="AH28" i="63" s="1"/>
  <c r="AG28" i="63" s="1"/>
  <c r="BR28" i="63"/>
  <c r="BN28" i="63"/>
  <c r="BJ28" i="63"/>
  <c r="BF28" i="63"/>
  <c r="BB28" i="63"/>
  <c r="AX28" i="63"/>
  <c r="AT28" i="63"/>
  <c r="AP28" i="63"/>
  <c r="AL28" i="63"/>
  <c r="AF28" i="63"/>
  <c r="AD28" i="63"/>
  <c r="J28" i="63"/>
  <c r="K28" i="63" s="1"/>
  <c r="G28" i="63"/>
  <c r="D28" i="63"/>
  <c r="CD27" i="63"/>
  <c r="BZ27" i="63"/>
  <c r="BV27" i="63"/>
  <c r="BR27" i="63"/>
  <c r="BN27" i="63"/>
  <c r="BJ27" i="63"/>
  <c r="BF27" i="63"/>
  <c r="BB27" i="63"/>
  <c r="AX27" i="63"/>
  <c r="AT27" i="63"/>
  <c r="AP27" i="63"/>
  <c r="AP24" i="63" s="1"/>
  <c r="AL27" i="63"/>
  <c r="AH27" i="63"/>
  <c r="AG27" i="63" s="1"/>
  <c r="AF27" i="63"/>
  <c r="AD27" i="63"/>
  <c r="J27" i="63"/>
  <c r="K27" i="63" s="1"/>
  <c r="G27" i="63"/>
  <c r="D27" i="63"/>
  <c r="C27" i="63"/>
  <c r="CD26" i="63"/>
  <c r="BZ26" i="63"/>
  <c r="BV26" i="63"/>
  <c r="BR26" i="63"/>
  <c r="BR24" i="63" s="1"/>
  <c r="BN26" i="63"/>
  <c r="BJ26" i="63"/>
  <c r="BF26" i="63"/>
  <c r="AH26" i="63" s="1"/>
  <c r="BB26" i="63"/>
  <c r="AX26" i="63"/>
  <c r="AT26" i="63"/>
  <c r="AP26" i="63"/>
  <c r="AL26" i="63"/>
  <c r="AF26" i="63"/>
  <c r="AD26" i="63"/>
  <c r="J26" i="63"/>
  <c r="K26" i="63" s="1"/>
  <c r="G26" i="63"/>
  <c r="D26" i="63"/>
  <c r="C26" i="63"/>
  <c r="CD25" i="63"/>
  <c r="BZ25" i="63"/>
  <c r="BV25" i="63"/>
  <c r="BR25" i="63"/>
  <c r="BN25" i="63"/>
  <c r="BJ25" i="63"/>
  <c r="BF25" i="63"/>
  <c r="BB25" i="63"/>
  <c r="AX25" i="63"/>
  <c r="AT25" i="63"/>
  <c r="AH25" i="63" s="1"/>
  <c r="AP25" i="63"/>
  <c r="AL25" i="63"/>
  <c r="AF25" i="63"/>
  <c r="AD25" i="63"/>
  <c r="J25" i="63"/>
  <c r="I25" i="63"/>
  <c r="G25" i="63"/>
  <c r="D25" i="63"/>
  <c r="C25" i="63"/>
  <c r="BV24" i="63"/>
  <c r="AD24" i="63"/>
  <c r="D24" i="63"/>
  <c r="C24" i="63"/>
  <c r="CD23" i="63"/>
  <c r="BZ23" i="63"/>
  <c r="BV23" i="63"/>
  <c r="BR23" i="63"/>
  <c r="BN23" i="63"/>
  <c r="BJ23" i="63"/>
  <c r="BF23" i="63"/>
  <c r="BB23" i="63"/>
  <c r="AX23" i="63"/>
  <c r="AT23" i="63"/>
  <c r="AP23" i="63"/>
  <c r="AL23" i="63"/>
  <c r="AH23" i="63" s="1"/>
  <c r="AG23" i="63" s="1"/>
  <c r="AF23" i="63"/>
  <c r="AD23" i="63"/>
  <c r="O23" i="63"/>
  <c r="J23" i="63"/>
  <c r="K23" i="63" s="1"/>
  <c r="G23" i="63"/>
  <c r="D23" i="63"/>
  <c r="C23" i="63"/>
  <c r="CD22" i="63"/>
  <c r="BZ22" i="63"/>
  <c r="BV22" i="63"/>
  <c r="AH22" i="63" s="1"/>
  <c r="AG22" i="63" s="1"/>
  <c r="BR22" i="63"/>
  <c r="BN22" i="63"/>
  <c r="BJ22" i="63"/>
  <c r="BF22" i="63"/>
  <c r="BB22" i="63"/>
  <c r="AX22" i="63"/>
  <c r="AT22" i="63"/>
  <c r="AP22" i="63"/>
  <c r="AL22" i="63"/>
  <c r="AF22" i="63"/>
  <c r="AD22" i="63"/>
  <c r="O22" i="63"/>
  <c r="J22" i="63"/>
  <c r="K22" i="63" s="1"/>
  <c r="G22" i="63"/>
  <c r="D22" i="63"/>
  <c r="C22" i="63"/>
  <c r="CD21" i="63"/>
  <c r="BZ21" i="63"/>
  <c r="BV21" i="63"/>
  <c r="BR21" i="63"/>
  <c r="BN21" i="63"/>
  <c r="BJ21" i="63"/>
  <c r="BF21" i="63"/>
  <c r="BB21" i="63"/>
  <c r="AX21" i="63"/>
  <c r="AT21" i="63"/>
  <c r="AP21" i="63"/>
  <c r="AL21" i="63"/>
  <c r="AF21" i="63"/>
  <c r="AD21" i="63"/>
  <c r="O21" i="63"/>
  <c r="J21" i="63"/>
  <c r="K21" i="63" s="1"/>
  <c r="G21" i="63"/>
  <c r="D21" i="63"/>
  <c r="C21" i="63"/>
  <c r="CD20" i="63"/>
  <c r="BZ20" i="63"/>
  <c r="BV20" i="63"/>
  <c r="BR20" i="63"/>
  <c r="BN20" i="63"/>
  <c r="BJ20" i="63"/>
  <c r="BF20" i="63"/>
  <c r="BB20" i="63"/>
  <c r="AX20" i="63"/>
  <c r="AT20" i="63"/>
  <c r="AP20" i="63"/>
  <c r="AL20" i="63"/>
  <c r="AH20" i="63"/>
  <c r="AF20" i="63"/>
  <c r="AG20" i="63" s="1"/>
  <c r="AD20" i="63"/>
  <c r="O20" i="63"/>
  <c r="J20" i="63"/>
  <c r="K20" i="63" s="1"/>
  <c r="G20" i="63"/>
  <c r="D20" i="63"/>
  <c r="CD19" i="63"/>
  <c r="BZ19" i="63"/>
  <c r="BV19" i="63"/>
  <c r="BR19" i="63"/>
  <c r="BN19" i="63"/>
  <c r="BJ19" i="63"/>
  <c r="BF19" i="63"/>
  <c r="BB19" i="63"/>
  <c r="AX19" i="63"/>
  <c r="AT19" i="63"/>
  <c r="AH19" i="63" s="1"/>
  <c r="AG19" i="63" s="1"/>
  <c r="AP19" i="63"/>
  <c r="AL19" i="63"/>
  <c r="AF19" i="63"/>
  <c r="AD19" i="63"/>
  <c r="O19" i="63"/>
  <c r="J19" i="63"/>
  <c r="K19" i="63" s="1"/>
  <c r="G19" i="63"/>
  <c r="D19" i="63"/>
  <c r="C19" i="63"/>
  <c r="CD18" i="63"/>
  <c r="BZ18" i="63"/>
  <c r="BV18" i="63"/>
  <c r="BR18" i="63"/>
  <c r="BN18" i="63"/>
  <c r="BJ18" i="63"/>
  <c r="BF18" i="63"/>
  <c r="BB18" i="63"/>
  <c r="AX18" i="63"/>
  <c r="AT18" i="63"/>
  <c r="AP18" i="63"/>
  <c r="AL18" i="63"/>
  <c r="AF18" i="63"/>
  <c r="AD18" i="63"/>
  <c r="O18" i="63"/>
  <c r="J18" i="63"/>
  <c r="K18" i="63" s="1"/>
  <c r="G18" i="63"/>
  <c r="D18" i="63"/>
  <c r="C18" i="63"/>
  <c r="CD17" i="63"/>
  <c r="BZ17" i="63"/>
  <c r="BV17" i="63"/>
  <c r="BR17" i="63"/>
  <c r="BN17" i="63"/>
  <c r="BJ17" i="63"/>
  <c r="BF17" i="63"/>
  <c r="BB17" i="63"/>
  <c r="AX17" i="63"/>
  <c r="AT17" i="63"/>
  <c r="AP17" i="63"/>
  <c r="AL17" i="63"/>
  <c r="AH17" i="63"/>
  <c r="AF17" i="63"/>
  <c r="AG17" i="63" s="1"/>
  <c r="AD17" i="63"/>
  <c r="O17" i="63"/>
  <c r="J17" i="63"/>
  <c r="K17" i="63" s="1"/>
  <c r="G17" i="63"/>
  <c r="D17" i="63"/>
  <c r="C17" i="63"/>
  <c r="CD16" i="63"/>
  <c r="BZ16" i="63"/>
  <c r="BV16" i="63"/>
  <c r="BR16" i="63"/>
  <c r="BN16" i="63"/>
  <c r="BJ16" i="63"/>
  <c r="BF16" i="63"/>
  <c r="BB16" i="63"/>
  <c r="AX16" i="63"/>
  <c r="AH16" i="63" s="1"/>
  <c r="AG16" i="63" s="1"/>
  <c r="AT16" i="63"/>
  <c r="AP16" i="63"/>
  <c r="AL16" i="63"/>
  <c r="AF16" i="63"/>
  <c r="AD16" i="63"/>
  <c r="O16" i="63"/>
  <c r="J16" i="63"/>
  <c r="K16" i="63" s="1"/>
  <c r="G16" i="63"/>
  <c r="D16" i="63"/>
  <c r="C16" i="63"/>
  <c r="CD15" i="63"/>
  <c r="BZ15" i="63"/>
  <c r="BV15" i="63"/>
  <c r="BR15" i="63"/>
  <c r="BN15" i="63"/>
  <c r="BJ15" i="63"/>
  <c r="BF15" i="63"/>
  <c r="BB15" i="63"/>
  <c r="AX15" i="63"/>
  <c r="AT15" i="63"/>
  <c r="AH15" i="63" s="1"/>
  <c r="AG15" i="63" s="1"/>
  <c r="AP15" i="63"/>
  <c r="AL15" i="63"/>
  <c r="AF15" i="63"/>
  <c r="AD15" i="63"/>
  <c r="O15" i="63"/>
  <c r="J15" i="63"/>
  <c r="K15" i="63" s="1"/>
  <c r="G15" i="63"/>
  <c r="D15" i="63"/>
  <c r="C15" i="63"/>
  <c r="CD14" i="63"/>
  <c r="BZ14" i="63"/>
  <c r="BV14" i="63"/>
  <c r="BR14" i="63"/>
  <c r="BN14" i="63"/>
  <c r="BJ14" i="63"/>
  <c r="BF14" i="63"/>
  <c r="BB14" i="63"/>
  <c r="BB11" i="63" s="1"/>
  <c r="AX14" i="63"/>
  <c r="AX11" i="63" s="1"/>
  <c r="AT14" i="63"/>
  <c r="AP14" i="63"/>
  <c r="AL14" i="63"/>
  <c r="AH14" i="63" s="1"/>
  <c r="AG14" i="63" s="1"/>
  <c r="AF14" i="63"/>
  <c r="AD14" i="63"/>
  <c r="O14" i="63"/>
  <c r="J14" i="63"/>
  <c r="K14" i="63" s="1"/>
  <c r="G14" i="63"/>
  <c r="D14" i="63"/>
  <c r="C14" i="63"/>
  <c r="CD13" i="63"/>
  <c r="BZ13" i="63"/>
  <c r="BZ11" i="63" s="1"/>
  <c r="BV13" i="63"/>
  <c r="BV11" i="63" s="1"/>
  <c r="BR13" i="63"/>
  <c r="AH13" i="63" s="1"/>
  <c r="AG13" i="63" s="1"/>
  <c r="BN13" i="63"/>
  <c r="BJ13" i="63"/>
  <c r="BF13" i="63"/>
  <c r="BB13" i="63"/>
  <c r="AX13" i="63"/>
  <c r="AT13" i="63"/>
  <c r="AP13" i="63"/>
  <c r="AL13" i="63"/>
  <c r="AF13" i="63"/>
  <c r="AD13" i="63"/>
  <c r="O13" i="63"/>
  <c r="J13" i="63"/>
  <c r="K13" i="63" s="1"/>
  <c r="G13" i="63"/>
  <c r="D13" i="63"/>
  <c r="CD12" i="63"/>
  <c r="BZ12" i="63"/>
  <c r="BV12" i="63"/>
  <c r="BR12" i="63"/>
  <c r="BN12" i="63"/>
  <c r="BJ12" i="63"/>
  <c r="BJ11" i="63" s="1"/>
  <c r="BF12" i="63"/>
  <c r="BB12" i="63"/>
  <c r="AX12" i="63"/>
  <c r="AT12" i="63"/>
  <c r="AP12" i="63"/>
  <c r="AH12" i="63" s="1"/>
  <c r="AL12" i="63"/>
  <c r="AF12" i="63"/>
  <c r="AD12" i="63"/>
  <c r="O12" i="63"/>
  <c r="J12" i="63"/>
  <c r="K12" i="63" s="1"/>
  <c r="G12" i="63"/>
  <c r="D12" i="63"/>
  <c r="C12" i="63"/>
  <c r="CD11" i="63"/>
  <c r="AP11" i="63"/>
  <c r="AD11" i="63"/>
  <c r="D11" i="63"/>
  <c r="C11" i="63"/>
  <c r="AF6" i="63"/>
  <c r="A3" i="63"/>
  <c r="C56" i="63" s="1"/>
  <c r="M12" i="62"/>
  <c r="I14" i="62"/>
  <c r="O14" i="62" s="1"/>
  <c r="I12" i="62"/>
  <c r="H40" i="62"/>
  <c r="H39" i="62"/>
  <c r="H38" i="62"/>
  <c r="I13" i="62"/>
  <c r="O13" i="62" s="1"/>
  <c r="I62" i="62"/>
  <c r="CD62" i="62"/>
  <c r="BZ62" i="62"/>
  <c r="BV62" i="62"/>
  <c r="BR62" i="62"/>
  <c r="BN62" i="62"/>
  <c r="BJ62" i="62"/>
  <c r="BF62" i="62"/>
  <c r="BB62" i="62"/>
  <c r="AX62" i="62"/>
  <c r="AT62" i="62"/>
  <c r="AP62" i="62"/>
  <c r="AL62" i="62"/>
  <c r="AH62" i="62"/>
  <c r="AF62" i="62"/>
  <c r="AG62" i="62" s="1"/>
  <c r="AD62" i="62"/>
  <c r="J62" i="62"/>
  <c r="G62" i="62"/>
  <c r="D62" i="62"/>
  <c r="C62" i="62"/>
  <c r="CD61" i="62"/>
  <c r="BZ61" i="62"/>
  <c r="BV61" i="62"/>
  <c r="BR61" i="62"/>
  <c r="BN61" i="62"/>
  <c r="BJ61" i="62"/>
  <c r="BF61" i="62"/>
  <c r="BB61" i="62"/>
  <c r="AX61" i="62"/>
  <c r="AT61" i="62"/>
  <c r="AP61" i="62"/>
  <c r="AH61" i="62" s="1"/>
  <c r="AG61" i="62" s="1"/>
  <c r="AL61" i="62"/>
  <c r="AF61" i="62"/>
  <c r="AD61" i="62"/>
  <c r="J61" i="62"/>
  <c r="I61" i="62"/>
  <c r="G61" i="62"/>
  <c r="D61" i="62"/>
  <c r="C61" i="62"/>
  <c r="CD60" i="62"/>
  <c r="BZ60" i="62"/>
  <c r="BV60" i="62"/>
  <c r="BR60" i="62"/>
  <c r="BN60" i="62"/>
  <c r="BJ60" i="62"/>
  <c r="BF60" i="62"/>
  <c r="BB60" i="62"/>
  <c r="AX60" i="62"/>
  <c r="AT60" i="62"/>
  <c r="AP60" i="62"/>
  <c r="AL60" i="62"/>
  <c r="AH60" i="62" s="1"/>
  <c r="AG60" i="62" s="1"/>
  <c r="AF60" i="62"/>
  <c r="AD60" i="62"/>
  <c r="J60" i="62"/>
  <c r="G60" i="62"/>
  <c r="D60" i="62"/>
  <c r="C60" i="62"/>
  <c r="CD59" i="62"/>
  <c r="BZ59" i="62"/>
  <c r="BV59" i="62"/>
  <c r="BR59" i="62"/>
  <c r="BN59" i="62"/>
  <c r="BJ59" i="62"/>
  <c r="BF59" i="62"/>
  <c r="BB59" i="62"/>
  <c r="AX59" i="62"/>
  <c r="AT59" i="62"/>
  <c r="AP59" i="62"/>
  <c r="AH59" i="62" s="1"/>
  <c r="AG59" i="62" s="1"/>
  <c r="AL59" i="62"/>
  <c r="AF59" i="62"/>
  <c r="AD59" i="62"/>
  <c r="J59" i="62"/>
  <c r="I59" i="62"/>
  <c r="G59" i="62"/>
  <c r="D59" i="62"/>
  <c r="C59" i="62"/>
  <c r="CD58" i="62"/>
  <c r="BZ58" i="62"/>
  <c r="BV58" i="62"/>
  <c r="BR58" i="62"/>
  <c r="BN58" i="62"/>
  <c r="BJ58" i="62"/>
  <c r="BF58" i="62"/>
  <c r="BB58" i="62"/>
  <c r="AX58" i="62"/>
  <c r="AT58" i="62"/>
  <c r="AP58" i="62"/>
  <c r="AL58" i="62"/>
  <c r="AF58" i="62"/>
  <c r="AD58" i="62"/>
  <c r="J58" i="62"/>
  <c r="I58" i="62"/>
  <c r="G58" i="62"/>
  <c r="D58" i="62"/>
  <c r="CD57" i="62"/>
  <c r="BZ57" i="62"/>
  <c r="BV57" i="62"/>
  <c r="BR57" i="62"/>
  <c r="BN57" i="62"/>
  <c r="BJ57" i="62"/>
  <c r="BF57" i="62"/>
  <c r="BB57" i="62"/>
  <c r="AX57" i="62"/>
  <c r="AH57" i="62" s="1"/>
  <c r="AG57" i="62" s="1"/>
  <c r="AT57" i="62"/>
  <c r="AP57" i="62"/>
  <c r="AL57" i="62"/>
  <c r="AF57" i="62"/>
  <c r="AD57" i="62"/>
  <c r="J57" i="62"/>
  <c r="I57" i="62"/>
  <c r="G57" i="62"/>
  <c r="D57" i="62"/>
  <c r="C57" i="62"/>
  <c r="CD56" i="62"/>
  <c r="BZ56" i="62"/>
  <c r="BV56" i="62"/>
  <c r="BR56" i="62"/>
  <c r="BR50" i="62" s="1"/>
  <c r="BN56" i="62"/>
  <c r="BN50" i="62" s="1"/>
  <c r="BJ56" i="62"/>
  <c r="BF56" i="62"/>
  <c r="BB56" i="62"/>
  <c r="AX56" i="62"/>
  <c r="AT56" i="62"/>
  <c r="AP56" i="62"/>
  <c r="AL56" i="62"/>
  <c r="AF56" i="62"/>
  <c r="AD56" i="62"/>
  <c r="J56" i="62"/>
  <c r="I56" i="62"/>
  <c r="G56" i="62"/>
  <c r="D56" i="62"/>
  <c r="CD55" i="62"/>
  <c r="BZ55" i="62"/>
  <c r="BV55" i="62"/>
  <c r="BR55" i="62"/>
  <c r="BN55" i="62"/>
  <c r="BJ55" i="62"/>
  <c r="BF55" i="62"/>
  <c r="BB55" i="62"/>
  <c r="AX55" i="62"/>
  <c r="AT55" i="62"/>
  <c r="AP55" i="62"/>
  <c r="AL55" i="62"/>
  <c r="AH55" i="62"/>
  <c r="AF55" i="62"/>
  <c r="AG55" i="62" s="1"/>
  <c r="AD55" i="62"/>
  <c r="J55" i="62"/>
  <c r="I55" i="62"/>
  <c r="G55" i="62"/>
  <c r="D55" i="62"/>
  <c r="CD54" i="62"/>
  <c r="BZ54" i="62"/>
  <c r="BV54" i="62"/>
  <c r="BR54" i="62"/>
  <c r="BN54" i="62"/>
  <c r="BJ54" i="62"/>
  <c r="BF54" i="62"/>
  <c r="BB54" i="62"/>
  <c r="AH54" i="62" s="1"/>
  <c r="AG54" i="62" s="1"/>
  <c r="AX54" i="62"/>
  <c r="AT54" i="62"/>
  <c r="AP54" i="62"/>
  <c r="AL54" i="62"/>
  <c r="AF54" i="62"/>
  <c r="AD54" i="62"/>
  <c r="J54" i="62"/>
  <c r="I54" i="62"/>
  <c r="G54" i="62"/>
  <c r="D54" i="62"/>
  <c r="C54" i="62"/>
  <c r="CD53" i="62"/>
  <c r="BZ53" i="62"/>
  <c r="BV53" i="62"/>
  <c r="BR53" i="62"/>
  <c r="BN53" i="62"/>
  <c r="BJ53" i="62"/>
  <c r="BF53" i="62"/>
  <c r="BB53" i="62"/>
  <c r="AX53" i="62"/>
  <c r="AT53" i="62"/>
  <c r="AP53" i="62"/>
  <c r="AL53" i="62"/>
  <c r="AH53" i="62"/>
  <c r="AG53" i="62"/>
  <c r="AF53" i="62"/>
  <c r="AD53" i="62"/>
  <c r="J53" i="62"/>
  <c r="I53" i="62"/>
  <c r="G53" i="62"/>
  <c r="D53" i="62"/>
  <c r="C53" i="62"/>
  <c r="CD52" i="62"/>
  <c r="BZ52" i="62"/>
  <c r="BV52" i="62"/>
  <c r="BR52" i="62"/>
  <c r="BN52" i="62"/>
  <c r="BJ52" i="62"/>
  <c r="BF52" i="62"/>
  <c r="BB52" i="62"/>
  <c r="AX52" i="62"/>
  <c r="AT52" i="62"/>
  <c r="AP52" i="62"/>
  <c r="AL52" i="62"/>
  <c r="AF52" i="62"/>
  <c r="AD52" i="62"/>
  <c r="J52" i="62"/>
  <c r="I52" i="62"/>
  <c r="G52" i="62"/>
  <c r="D52" i="62"/>
  <c r="C52" i="62"/>
  <c r="CD51" i="62"/>
  <c r="BZ51" i="62"/>
  <c r="BV51" i="62"/>
  <c r="BR51" i="62"/>
  <c r="BN51" i="62"/>
  <c r="BJ51" i="62"/>
  <c r="BF51" i="62"/>
  <c r="BB51" i="62"/>
  <c r="AX51" i="62"/>
  <c r="AT51" i="62"/>
  <c r="AP51" i="62"/>
  <c r="AL51" i="62"/>
  <c r="AH51" i="62"/>
  <c r="AF51" i="62"/>
  <c r="AG51" i="62" s="1"/>
  <c r="AD51" i="62"/>
  <c r="J51" i="62"/>
  <c r="I51" i="62"/>
  <c r="G51" i="62"/>
  <c r="D51" i="62"/>
  <c r="BJ50" i="62"/>
  <c r="AP50" i="62"/>
  <c r="AL50" i="62"/>
  <c r="AD50" i="62"/>
  <c r="D50" i="62"/>
  <c r="C50" i="62"/>
  <c r="CD49" i="62"/>
  <c r="BZ49" i="62"/>
  <c r="BV49" i="62"/>
  <c r="BR49" i="62"/>
  <c r="BN49" i="62"/>
  <c r="BJ49" i="62"/>
  <c r="BF49" i="62"/>
  <c r="BB49" i="62"/>
  <c r="AX49" i="62"/>
  <c r="AT49" i="62"/>
  <c r="AP49" i="62"/>
  <c r="AL49" i="62"/>
  <c r="AF49" i="62"/>
  <c r="AD49" i="62"/>
  <c r="J49" i="62"/>
  <c r="K49" i="62" s="1"/>
  <c r="G49" i="62"/>
  <c r="D49" i="62"/>
  <c r="C49" i="62"/>
  <c r="CD48" i="62"/>
  <c r="BZ48" i="62"/>
  <c r="BV48" i="62"/>
  <c r="BR48" i="62"/>
  <c r="BN48" i="62"/>
  <c r="BJ48" i="62"/>
  <c r="BF48" i="62"/>
  <c r="BB48" i="62"/>
  <c r="AX48" i="62"/>
  <c r="AT48" i="62"/>
  <c r="AP48" i="62"/>
  <c r="AL48" i="62"/>
  <c r="AF48" i="62"/>
  <c r="AD48" i="62"/>
  <c r="J48" i="62"/>
  <c r="K48" i="62" s="1"/>
  <c r="G48" i="62"/>
  <c r="D48" i="62"/>
  <c r="CD47" i="62"/>
  <c r="BZ47" i="62"/>
  <c r="BV47" i="62"/>
  <c r="BR47" i="62"/>
  <c r="BN47" i="62"/>
  <c r="BJ47" i="62"/>
  <c r="BF47" i="62"/>
  <c r="BB47" i="62"/>
  <c r="AX47" i="62"/>
  <c r="AT47" i="62"/>
  <c r="AP47" i="62"/>
  <c r="AL47" i="62"/>
  <c r="AH47" i="62"/>
  <c r="AF47" i="62"/>
  <c r="AG47" i="62" s="1"/>
  <c r="AD47" i="62"/>
  <c r="J47" i="62"/>
  <c r="K47" i="62" s="1"/>
  <c r="G47" i="62"/>
  <c r="D47" i="62"/>
  <c r="C47" i="62"/>
  <c r="CD46" i="62"/>
  <c r="BZ46" i="62"/>
  <c r="BV46" i="62"/>
  <c r="BR46" i="62"/>
  <c r="BN46" i="62"/>
  <c r="BJ46" i="62"/>
  <c r="BF46" i="62"/>
  <c r="BB46" i="62"/>
  <c r="AX46" i="62"/>
  <c r="AT46" i="62"/>
  <c r="AP46" i="62"/>
  <c r="AL46" i="62"/>
  <c r="AH46" i="62" s="1"/>
  <c r="AG46" i="62" s="1"/>
  <c r="AF46" i="62"/>
  <c r="AD46" i="62"/>
  <c r="J46" i="62"/>
  <c r="K46" i="62" s="1"/>
  <c r="G46" i="62"/>
  <c r="D46" i="62"/>
  <c r="C46" i="62"/>
  <c r="CD45" i="62"/>
  <c r="BZ45" i="62"/>
  <c r="BV45" i="62"/>
  <c r="AH45" i="62" s="1"/>
  <c r="AG45" i="62" s="1"/>
  <c r="BR45" i="62"/>
  <c r="BN45" i="62"/>
  <c r="BJ45" i="62"/>
  <c r="BF45" i="62"/>
  <c r="BB45" i="62"/>
  <c r="AX45" i="62"/>
  <c r="AT45" i="62"/>
  <c r="AP45" i="62"/>
  <c r="AL45" i="62"/>
  <c r="AF45" i="62"/>
  <c r="AD45" i="62"/>
  <c r="J45" i="62"/>
  <c r="K45" i="62" s="1"/>
  <c r="G45" i="62"/>
  <c r="D45" i="62"/>
  <c r="CD44" i="62"/>
  <c r="BZ44" i="62"/>
  <c r="BV44" i="62"/>
  <c r="BR44" i="62"/>
  <c r="BN44" i="62"/>
  <c r="BJ44" i="62"/>
  <c r="BF44" i="62"/>
  <c r="BB44" i="62"/>
  <c r="AX44" i="62"/>
  <c r="AT44" i="62"/>
  <c r="AP44" i="62"/>
  <c r="AL44" i="62"/>
  <c r="AH44" i="62" s="1"/>
  <c r="AG44" i="62" s="1"/>
  <c r="AF44" i="62"/>
  <c r="AD44" i="62"/>
  <c r="J44" i="62"/>
  <c r="K44" i="62" s="1"/>
  <c r="G44" i="62"/>
  <c r="D44" i="62"/>
  <c r="C44" i="62"/>
  <c r="CD43" i="62"/>
  <c r="BZ43" i="62"/>
  <c r="BV43" i="62"/>
  <c r="BR43" i="62"/>
  <c r="BN43" i="62"/>
  <c r="BJ43" i="62"/>
  <c r="BF43" i="62"/>
  <c r="BB43" i="62"/>
  <c r="AX43" i="62"/>
  <c r="AT43" i="62"/>
  <c r="AP43" i="62"/>
  <c r="AL43" i="62"/>
  <c r="AF43" i="62"/>
  <c r="AD43" i="62"/>
  <c r="G43" i="62"/>
  <c r="D43" i="62"/>
  <c r="C43" i="62"/>
  <c r="CD42" i="62"/>
  <c r="BZ42" i="62"/>
  <c r="BV42" i="62"/>
  <c r="BR42" i="62"/>
  <c r="BN42" i="62"/>
  <c r="BJ42" i="62"/>
  <c r="BF42" i="62"/>
  <c r="BB42" i="62"/>
  <c r="AX42" i="62"/>
  <c r="AT42" i="62"/>
  <c r="AP42" i="62"/>
  <c r="AL42" i="62"/>
  <c r="AH42" i="62"/>
  <c r="AF42" i="62"/>
  <c r="AG42" i="62" s="1"/>
  <c r="AD42" i="62"/>
  <c r="G42" i="62"/>
  <c r="D42" i="62"/>
  <c r="C42" i="62"/>
  <c r="CD41" i="62"/>
  <c r="BZ41" i="62"/>
  <c r="BV41" i="62"/>
  <c r="BR41" i="62"/>
  <c r="BN41" i="62"/>
  <c r="BJ41" i="62"/>
  <c r="BF41" i="62"/>
  <c r="BF37" i="62" s="1"/>
  <c r="BB41" i="62"/>
  <c r="BB37" i="62" s="1"/>
  <c r="AX41" i="62"/>
  <c r="AX37" i="62" s="1"/>
  <c r="AT41" i="62"/>
  <c r="AT37" i="62" s="1"/>
  <c r="AP41" i="62"/>
  <c r="AH41" i="62" s="1"/>
  <c r="AG41" i="62" s="1"/>
  <c r="AL41" i="62"/>
  <c r="AF41" i="62"/>
  <c r="AD41" i="62"/>
  <c r="G41" i="62"/>
  <c r="D41" i="62"/>
  <c r="C41" i="62"/>
  <c r="CD40" i="62"/>
  <c r="CD37" i="62" s="1"/>
  <c r="BZ40" i="62"/>
  <c r="BV40" i="62"/>
  <c r="BR40" i="62"/>
  <c r="BN40" i="62"/>
  <c r="BJ40" i="62"/>
  <c r="BF40" i="62"/>
  <c r="BB40" i="62"/>
  <c r="AX40" i="62"/>
  <c r="AT40" i="62"/>
  <c r="AP40" i="62"/>
  <c r="AL40" i="62"/>
  <c r="AF40" i="62"/>
  <c r="AD40" i="62"/>
  <c r="G40" i="62"/>
  <c r="D40" i="62"/>
  <c r="CD39" i="62"/>
  <c r="BZ39" i="62"/>
  <c r="BV39" i="62"/>
  <c r="BR39" i="62"/>
  <c r="BN39" i="62"/>
  <c r="BJ39" i="62"/>
  <c r="BF39" i="62"/>
  <c r="BB39" i="62"/>
  <c r="AX39" i="62"/>
  <c r="AH39" i="62" s="1"/>
  <c r="AG39" i="62" s="1"/>
  <c r="AT39" i="62"/>
  <c r="AP39" i="62"/>
  <c r="AL39" i="62"/>
  <c r="AF39" i="62"/>
  <c r="AD39" i="62"/>
  <c r="G39" i="62"/>
  <c r="D39" i="62"/>
  <c r="C39" i="62"/>
  <c r="CD38" i="62"/>
  <c r="BZ38" i="62"/>
  <c r="BZ37" i="62" s="1"/>
  <c r="BV38" i="62"/>
  <c r="BR38" i="62"/>
  <c r="BN38" i="62"/>
  <c r="BJ38" i="62"/>
  <c r="BF38" i="62"/>
  <c r="BB38" i="62"/>
  <c r="AX38" i="62"/>
  <c r="AT38" i="62"/>
  <c r="AP38" i="62"/>
  <c r="AL38" i="62"/>
  <c r="AH38" i="62" s="1"/>
  <c r="AF38" i="62"/>
  <c r="AD38" i="62"/>
  <c r="G38" i="62"/>
  <c r="D38" i="62"/>
  <c r="C38" i="62"/>
  <c r="AD37" i="62"/>
  <c r="D37" i="62"/>
  <c r="C37" i="62"/>
  <c r="CD36" i="62"/>
  <c r="BZ36" i="62"/>
  <c r="BV36" i="62"/>
  <c r="BR36" i="62"/>
  <c r="BN36" i="62"/>
  <c r="BJ36" i="62"/>
  <c r="BF36" i="62"/>
  <c r="BB36" i="62"/>
  <c r="AX36" i="62"/>
  <c r="AT36" i="62"/>
  <c r="AP36" i="62"/>
  <c r="AL36" i="62"/>
  <c r="AH36" i="62" s="1"/>
  <c r="AG36" i="62" s="1"/>
  <c r="AF36" i="62"/>
  <c r="AD36" i="62"/>
  <c r="J36" i="62"/>
  <c r="K36" i="62" s="1"/>
  <c r="G36" i="62"/>
  <c r="D36" i="62"/>
  <c r="CD35" i="62"/>
  <c r="BZ35" i="62"/>
  <c r="BV35" i="62"/>
  <c r="BR35" i="62"/>
  <c r="BN35" i="62"/>
  <c r="BJ35" i="62"/>
  <c r="BF35" i="62"/>
  <c r="BB35" i="62"/>
  <c r="AH35" i="62" s="1"/>
  <c r="AG35" i="62" s="1"/>
  <c r="AX35" i="62"/>
  <c r="AT35" i="62"/>
  <c r="AP35" i="62"/>
  <c r="AL35" i="62"/>
  <c r="AF35" i="62"/>
  <c r="AD35" i="62"/>
  <c r="J35" i="62"/>
  <c r="K35" i="62" s="1"/>
  <c r="G35" i="62"/>
  <c r="D35" i="62"/>
  <c r="C35" i="62"/>
  <c r="CD34" i="62"/>
  <c r="BZ34" i="62"/>
  <c r="BV34" i="62"/>
  <c r="BR34" i="62"/>
  <c r="BN34" i="62"/>
  <c r="BJ34" i="62"/>
  <c r="BF34" i="62"/>
  <c r="BB34" i="62"/>
  <c r="AX34" i="62"/>
  <c r="AT34" i="62"/>
  <c r="AP34" i="62"/>
  <c r="AL34" i="62"/>
  <c r="AF34" i="62"/>
  <c r="AD34" i="62"/>
  <c r="J34" i="62"/>
  <c r="K34" i="62" s="1"/>
  <c r="G34" i="62"/>
  <c r="D34" i="62"/>
  <c r="C34" i="62"/>
  <c r="CD33" i="62"/>
  <c r="AH33" i="62" s="1"/>
  <c r="AG33" i="62" s="1"/>
  <c r="BZ33" i="62"/>
  <c r="BV33" i="62"/>
  <c r="BR33" i="62"/>
  <c r="BN33" i="62"/>
  <c r="BJ33" i="62"/>
  <c r="BF33" i="62"/>
  <c r="BB33" i="62"/>
  <c r="AX33" i="62"/>
  <c r="AT33" i="62"/>
  <c r="AP33" i="62"/>
  <c r="AL33" i="62"/>
  <c r="AF33" i="62"/>
  <c r="AD33" i="62"/>
  <c r="J33" i="62"/>
  <c r="K33" i="62" s="1"/>
  <c r="G33" i="62"/>
  <c r="D33" i="62"/>
  <c r="C33" i="62"/>
  <c r="CD32" i="62"/>
  <c r="BZ32" i="62"/>
  <c r="BV32" i="62"/>
  <c r="BR32" i="62"/>
  <c r="BN32" i="62"/>
  <c r="BJ32" i="62"/>
  <c r="BF32" i="62"/>
  <c r="BB32" i="62"/>
  <c r="AX32" i="62"/>
  <c r="AT32" i="62"/>
  <c r="AP32" i="62"/>
  <c r="AH32" i="62" s="1"/>
  <c r="AG32" i="62" s="1"/>
  <c r="AL32" i="62"/>
  <c r="AF32" i="62"/>
  <c r="AD32" i="62"/>
  <c r="J32" i="62"/>
  <c r="K32" i="62" s="1"/>
  <c r="G32" i="62"/>
  <c r="D32" i="62"/>
  <c r="C32" i="62"/>
  <c r="CD31" i="62"/>
  <c r="BZ31" i="62"/>
  <c r="BV31" i="62"/>
  <c r="BR31" i="62"/>
  <c r="BN31" i="62"/>
  <c r="BJ31" i="62"/>
  <c r="BF31" i="62"/>
  <c r="BB31" i="62"/>
  <c r="AX31" i="62"/>
  <c r="AT31" i="62"/>
  <c r="AP31" i="62"/>
  <c r="AL31" i="62"/>
  <c r="AF31" i="62"/>
  <c r="AD31" i="62"/>
  <c r="J31" i="62"/>
  <c r="K31" i="62" s="1"/>
  <c r="G31" i="62"/>
  <c r="D31" i="62"/>
  <c r="CD30" i="62"/>
  <c r="BZ30" i="62"/>
  <c r="BV30" i="62"/>
  <c r="BR30" i="62"/>
  <c r="BN30" i="62"/>
  <c r="BJ30" i="62"/>
  <c r="BF30" i="62"/>
  <c r="BB30" i="62"/>
  <c r="AX30" i="62"/>
  <c r="AT30" i="62"/>
  <c r="AH30" i="62" s="1"/>
  <c r="AG30" i="62" s="1"/>
  <c r="AP30" i="62"/>
  <c r="AL30" i="62"/>
  <c r="AF30" i="62"/>
  <c r="AD30" i="62"/>
  <c r="J30" i="62"/>
  <c r="K30" i="62" s="1"/>
  <c r="G30" i="62"/>
  <c r="D30" i="62"/>
  <c r="C30" i="62"/>
  <c r="CD29" i="62"/>
  <c r="BZ29" i="62"/>
  <c r="BV29" i="62"/>
  <c r="BR29" i="62"/>
  <c r="BN29" i="62"/>
  <c r="BJ29" i="62"/>
  <c r="BF29" i="62"/>
  <c r="BB29" i="62"/>
  <c r="AX29" i="62"/>
  <c r="AT29" i="62"/>
  <c r="AP29" i="62"/>
  <c r="AL29" i="62"/>
  <c r="AH29" i="62" s="1"/>
  <c r="AG29" i="62" s="1"/>
  <c r="AF29" i="62"/>
  <c r="AD29" i="62"/>
  <c r="J29" i="62"/>
  <c r="K29" i="62" s="1"/>
  <c r="G29" i="62"/>
  <c r="D29" i="62"/>
  <c r="C29" i="62"/>
  <c r="CD28" i="62"/>
  <c r="BZ28" i="62"/>
  <c r="BV28" i="62"/>
  <c r="BR28" i="62"/>
  <c r="BN28" i="62"/>
  <c r="BJ28" i="62"/>
  <c r="BF28" i="62"/>
  <c r="BB28" i="62"/>
  <c r="AX28" i="62"/>
  <c r="AT28" i="62"/>
  <c r="AP28" i="62"/>
  <c r="AL28" i="62"/>
  <c r="AH28" i="62"/>
  <c r="AG28" i="62"/>
  <c r="AF28" i="62"/>
  <c r="AD28" i="62"/>
  <c r="J28" i="62"/>
  <c r="K28" i="62" s="1"/>
  <c r="G28" i="62"/>
  <c r="D28" i="62"/>
  <c r="CD27" i="62"/>
  <c r="BZ27" i="62"/>
  <c r="BV27" i="62"/>
  <c r="BR27" i="62"/>
  <c r="BN27" i="62"/>
  <c r="BJ27" i="62"/>
  <c r="BF27" i="62"/>
  <c r="BB27" i="62"/>
  <c r="AX27" i="62"/>
  <c r="AX24" i="62" s="1"/>
  <c r="AT27" i="62"/>
  <c r="AH27" i="62" s="1"/>
  <c r="AG27" i="62" s="1"/>
  <c r="AP27" i="62"/>
  <c r="AL27" i="62"/>
  <c r="AF27" i="62"/>
  <c r="AD27" i="62"/>
  <c r="J27" i="62"/>
  <c r="K27" i="62" s="1"/>
  <c r="G27" i="62"/>
  <c r="D27" i="62"/>
  <c r="C27" i="62"/>
  <c r="CD26" i="62"/>
  <c r="BZ26" i="62"/>
  <c r="BZ24" i="62" s="1"/>
  <c r="BV26" i="62"/>
  <c r="BV24" i="62" s="1"/>
  <c r="BR26" i="62"/>
  <c r="BR24" i="62" s="1"/>
  <c r="BN26" i="62"/>
  <c r="BN24" i="62" s="1"/>
  <c r="BJ26" i="62"/>
  <c r="BF26" i="62"/>
  <c r="AH26" i="62" s="1"/>
  <c r="AG26" i="62" s="1"/>
  <c r="BB26" i="62"/>
  <c r="AX26" i="62"/>
  <c r="AT26" i="62"/>
  <c r="AP26" i="62"/>
  <c r="AL26" i="62"/>
  <c r="AF26" i="62"/>
  <c r="AD26" i="62"/>
  <c r="J26" i="62"/>
  <c r="K26" i="62" s="1"/>
  <c r="G26" i="62"/>
  <c r="D26" i="62"/>
  <c r="C26" i="62"/>
  <c r="CD25" i="62"/>
  <c r="BZ25" i="62"/>
  <c r="BV25" i="62"/>
  <c r="BR25" i="62"/>
  <c r="BN25" i="62"/>
  <c r="BJ25" i="62"/>
  <c r="BF25" i="62"/>
  <c r="BB25" i="62"/>
  <c r="AX25" i="62"/>
  <c r="AT25" i="62"/>
  <c r="AP25" i="62"/>
  <c r="AL25" i="62"/>
  <c r="AF25" i="62"/>
  <c r="AD25" i="62"/>
  <c r="J25" i="62"/>
  <c r="G25" i="62"/>
  <c r="D25" i="62"/>
  <c r="C25" i="62"/>
  <c r="AL24" i="62"/>
  <c r="AD24" i="62"/>
  <c r="D24" i="62"/>
  <c r="C24" i="62"/>
  <c r="CD23" i="62"/>
  <c r="BZ23" i="62"/>
  <c r="BV23" i="62"/>
  <c r="BR23" i="62"/>
  <c r="BN23" i="62"/>
  <c r="BJ23" i="62"/>
  <c r="BF23" i="62"/>
  <c r="BB23" i="62"/>
  <c r="AX23" i="62"/>
  <c r="AT23" i="62"/>
  <c r="AH23" i="62" s="1"/>
  <c r="AG23" i="62" s="1"/>
  <c r="AP23" i="62"/>
  <c r="AL23" i="62"/>
  <c r="AF23" i="62"/>
  <c r="AD23" i="62"/>
  <c r="O23" i="62"/>
  <c r="J23" i="62"/>
  <c r="K23" i="62" s="1"/>
  <c r="G23" i="62"/>
  <c r="D23" i="62"/>
  <c r="C23" i="62"/>
  <c r="CD22" i="62"/>
  <c r="BZ22" i="62"/>
  <c r="BV22" i="62"/>
  <c r="AH22" i="62" s="1"/>
  <c r="AG22" i="62" s="1"/>
  <c r="BR22" i="62"/>
  <c r="BN22" i="62"/>
  <c r="BJ22" i="62"/>
  <c r="BF22" i="62"/>
  <c r="BB22" i="62"/>
  <c r="AX22" i="62"/>
  <c r="AT22" i="62"/>
  <c r="AP22" i="62"/>
  <c r="AL22" i="62"/>
  <c r="AF22" i="62"/>
  <c r="AD22" i="62"/>
  <c r="O22" i="62"/>
  <c r="J22" i="62"/>
  <c r="K22" i="62" s="1"/>
  <c r="G22" i="62"/>
  <c r="D22" i="62"/>
  <c r="CD21" i="62"/>
  <c r="BZ21" i="62"/>
  <c r="BV21" i="62"/>
  <c r="BR21" i="62"/>
  <c r="BN21" i="62"/>
  <c r="BJ21" i="62"/>
  <c r="BF21" i="62"/>
  <c r="BB21" i="62"/>
  <c r="AX21" i="62"/>
  <c r="AT21" i="62"/>
  <c r="AP21" i="62"/>
  <c r="AL21" i="62"/>
  <c r="AH21" i="62" s="1"/>
  <c r="AG21" i="62" s="1"/>
  <c r="AF21" i="62"/>
  <c r="AD21" i="62"/>
  <c r="O21" i="62"/>
  <c r="J21" i="62"/>
  <c r="K21" i="62" s="1"/>
  <c r="G21" i="62"/>
  <c r="D21" i="62"/>
  <c r="C21" i="62"/>
  <c r="CD20" i="62"/>
  <c r="BZ20" i="62"/>
  <c r="BV20" i="62"/>
  <c r="BR20" i="62"/>
  <c r="BN20" i="62"/>
  <c r="BJ20" i="62"/>
  <c r="BF20" i="62"/>
  <c r="BB20" i="62"/>
  <c r="AX20" i="62"/>
  <c r="AT20" i="62"/>
  <c r="AP20" i="62"/>
  <c r="AL20" i="62"/>
  <c r="AH20" i="62" s="1"/>
  <c r="AG20" i="62"/>
  <c r="AF20" i="62"/>
  <c r="AD20" i="62"/>
  <c r="O20" i="62"/>
  <c r="J20" i="62"/>
  <c r="K20" i="62" s="1"/>
  <c r="G20" i="62"/>
  <c r="D20" i="62"/>
  <c r="CD19" i="62"/>
  <c r="BZ19" i="62"/>
  <c r="BV19" i="62"/>
  <c r="BR19" i="62"/>
  <c r="BN19" i="62"/>
  <c r="BJ19" i="62"/>
  <c r="BF19" i="62"/>
  <c r="BB19" i="62"/>
  <c r="AH19" i="62" s="1"/>
  <c r="AG19" i="62" s="1"/>
  <c r="AX19" i="62"/>
  <c r="AT19" i="62"/>
  <c r="AP19" i="62"/>
  <c r="AL19" i="62"/>
  <c r="AF19" i="62"/>
  <c r="AD19" i="62"/>
  <c r="O19" i="62"/>
  <c r="J19" i="62"/>
  <c r="K19" i="62" s="1"/>
  <c r="G19" i="62"/>
  <c r="D19" i="62"/>
  <c r="C19" i="62"/>
  <c r="CD18" i="62"/>
  <c r="BZ18" i="62"/>
  <c r="BV18" i="62"/>
  <c r="BR18" i="62"/>
  <c r="BN18" i="62"/>
  <c r="BJ18" i="62"/>
  <c r="BF18" i="62"/>
  <c r="BB18" i="62"/>
  <c r="AX18" i="62"/>
  <c r="AT18" i="62"/>
  <c r="AP18" i="62"/>
  <c r="AL18" i="62"/>
  <c r="AF18" i="62"/>
  <c r="AD18" i="62"/>
  <c r="O18" i="62"/>
  <c r="J18" i="62"/>
  <c r="K18" i="62" s="1"/>
  <c r="G18" i="62"/>
  <c r="D18" i="62"/>
  <c r="C18" i="62"/>
  <c r="CD17" i="62"/>
  <c r="BZ17" i="62"/>
  <c r="BV17" i="62"/>
  <c r="BR17" i="62"/>
  <c r="BN17" i="62"/>
  <c r="BJ17" i="62"/>
  <c r="BF17" i="62"/>
  <c r="BB17" i="62"/>
  <c r="AX17" i="62"/>
  <c r="AT17" i="62"/>
  <c r="AP17" i="62"/>
  <c r="AL17" i="62"/>
  <c r="AH17" i="62"/>
  <c r="AG17" i="62"/>
  <c r="AF17" i="62"/>
  <c r="AD17" i="62"/>
  <c r="O17" i="62"/>
  <c r="J17" i="62"/>
  <c r="K17" i="62" s="1"/>
  <c r="G17" i="62"/>
  <c r="D17" i="62"/>
  <c r="C17" i="62"/>
  <c r="CD16" i="62"/>
  <c r="BZ16" i="62"/>
  <c r="BV16" i="62"/>
  <c r="BR16" i="62"/>
  <c r="BN16" i="62"/>
  <c r="BJ16" i="62"/>
  <c r="BF16" i="62"/>
  <c r="BB16" i="62"/>
  <c r="AX16" i="62"/>
  <c r="AT16" i="62"/>
  <c r="AP16" i="62"/>
  <c r="AL16" i="62"/>
  <c r="AF16" i="62"/>
  <c r="AD16" i="62"/>
  <c r="O16" i="62"/>
  <c r="J16" i="62"/>
  <c r="K16" i="62" s="1"/>
  <c r="G16" i="62"/>
  <c r="D16" i="62"/>
  <c r="C16" i="62"/>
  <c r="CD15" i="62"/>
  <c r="BZ15" i="62"/>
  <c r="AH15" i="62" s="1"/>
  <c r="AG15" i="62" s="1"/>
  <c r="BV15" i="62"/>
  <c r="BR15" i="62"/>
  <c r="BN15" i="62"/>
  <c r="BJ15" i="62"/>
  <c r="BF15" i="62"/>
  <c r="BB15" i="62"/>
  <c r="AX15" i="62"/>
  <c r="AT15" i="62"/>
  <c r="AP15" i="62"/>
  <c r="AL15" i="62"/>
  <c r="AF15" i="62"/>
  <c r="AD15" i="62"/>
  <c r="O15" i="62"/>
  <c r="J15" i="62"/>
  <c r="K15" i="62" s="1"/>
  <c r="G15" i="62"/>
  <c r="D15" i="62"/>
  <c r="C15" i="62"/>
  <c r="CD14" i="62"/>
  <c r="BZ14" i="62"/>
  <c r="BV14" i="62"/>
  <c r="BR14" i="62"/>
  <c r="BN14" i="62"/>
  <c r="BJ14" i="62"/>
  <c r="BF14" i="62"/>
  <c r="BB14" i="62"/>
  <c r="AX14" i="62"/>
  <c r="AX11" i="62" s="1"/>
  <c r="AT14" i="62"/>
  <c r="AT11" i="62" s="1"/>
  <c r="AP14" i="62"/>
  <c r="AH14" i="62" s="1"/>
  <c r="AG14" i="62" s="1"/>
  <c r="AL14" i="62"/>
  <c r="AF14" i="62"/>
  <c r="AD14" i="62"/>
  <c r="G14" i="62"/>
  <c r="D14" i="62"/>
  <c r="C14" i="62"/>
  <c r="CD13" i="62"/>
  <c r="CD11" i="62" s="1"/>
  <c r="BZ13" i="62"/>
  <c r="BZ11" i="62" s="1"/>
  <c r="BV13" i="62"/>
  <c r="BV11" i="62" s="1"/>
  <c r="BR13" i="62"/>
  <c r="AH13" i="62" s="1"/>
  <c r="AG13" i="62" s="1"/>
  <c r="BN13" i="62"/>
  <c r="BJ13" i="62"/>
  <c r="BF13" i="62"/>
  <c r="BB13" i="62"/>
  <c r="AX13" i="62"/>
  <c r="AT13" i="62"/>
  <c r="AP13" i="62"/>
  <c r="AL13" i="62"/>
  <c r="AF13" i="62"/>
  <c r="AD13" i="62"/>
  <c r="J13" i="62"/>
  <c r="G13" i="62"/>
  <c r="D13" i="62"/>
  <c r="CD12" i="62"/>
  <c r="BZ12" i="62"/>
  <c r="BV12" i="62"/>
  <c r="BR12" i="62"/>
  <c r="BR11" i="62" s="1"/>
  <c r="BN12" i="62"/>
  <c r="BJ12" i="62"/>
  <c r="BF12" i="62"/>
  <c r="BB12" i="62"/>
  <c r="BB11" i="62" s="1"/>
  <c r="AX12" i="62"/>
  <c r="AT12" i="62"/>
  <c r="AP12" i="62"/>
  <c r="AL12" i="62"/>
  <c r="AH12" i="62"/>
  <c r="AF12" i="62"/>
  <c r="AD12" i="62"/>
  <c r="J12" i="62"/>
  <c r="G12" i="62"/>
  <c r="D12" i="62"/>
  <c r="C12" i="62"/>
  <c r="AP11" i="62"/>
  <c r="AD11" i="62"/>
  <c r="D11" i="62"/>
  <c r="C11" i="62"/>
  <c r="AF6" i="62"/>
  <c r="A3" i="62"/>
  <c r="C56" i="62" s="1"/>
  <c r="I16" i="61"/>
  <c r="O16" i="61" s="1"/>
  <c r="I15" i="61"/>
  <c r="O15" i="61" s="1"/>
  <c r="I14" i="61"/>
  <c r="O14" i="61" s="1"/>
  <c r="I13" i="61"/>
  <c r="O13" i="61" s="1"/>
  <c r="I12" i="61"/>
  <c r="D46" i="3"/>
  <c r="I61" i="61"/>
  <c r="CD62" i="61"/>
  <c r="BZ62" i="61"/>
  <c r="BV62" i="61"/>
  <c r="BR62" i="61"/>
  <c r="BN62" i="61"/>
  <c r="BJ62" i="61"/>
  <c r="BF62" i="61"/>
  <c r="BB62" i="61"/>
  <c r="AX62" i="61"/>
  <c r="AT62" i="61"/>
  <c r="AP62" i="61"/>
  <c r="AL62" i="61"/>
  <c r="AH62" i="61"/>
  <c r="AF62" i="61"/>
  <c r="AG62" i="61" s="1"/>
  <c r="AD62" i="61"/>
  <c r="J62" i="61"/>
  <c r="I62" i="61"/>
  <c r="G62" i="61"/>
  <c r="D62" i="61"/>
  <c r="CD61" i="61"/>
  <c r="BZ61" i="61"/>
  <c r="BV61" i="61"/>
  <c r="BR61" i="61"/>
  <c r="BN61" i="61"/>
  <c r="BJ61" i="61"/>
  <c r="BF61" i="61"/>
  <c r="BB61" i="61"/>
  <c r="AX61" i="61"/>
  <c r="AT61" i="61"/>
  <c r="AP61" i="61"/>
  <c r="AH61" i="61" s="1"/>
  <c r="AG61" i="61" s="1"/>
  <c r="AL61" i="61"/>
  <c r="AF61" i="61"/>
  <c r="AD61" i="61"/>
  <c r="J61" i="61"/>
  <c r="G61" i="61"/>
  <c r="D61" i="61"/>
  <c r="CD60" i="61"/>
  <c r="AH60" i="61" s="1"/>
  <c r="AG60" i="61" s="1"/>
  <c r="BZ60" i="61"/>
  <c r="BV60" i="61"/>
  <c r="BR60" i="61"/>
  <c r="BN60" i="61"/>
  <c r="BJ60" i="61"/>
  <c r="BF60" i="61"/>
  <c r="BB60" i="61"/>
  <c r="AX60" i="61"/>
  <c r="AT60" i="61"/>
  <c r="AP60" i="61"/>
  <c r="AL60" i="61"/>
  <c r="AF60" i="61"/>
  <c r="AD60" i="61"/>
  <c r="J60" i="61"/>
  <c r="I60" i="61"/>
  <c r="G60" i="61"/>
  <c r="D60" i="61"/>
  <c r="CD59" i="61"/>
  <c r="BZ59" i="61"/>
  <c r="BV59" i="61"/>
  <c r="BR59" i="61"/>
  <c r="BN59" i="61"/>
  <c r="BJ59" i="61"/>
  <c r="BF59" i="61"/>
  <c r="BB59" i="61"/>
  <c r="AX59" i="61"/>
  <c r="AT59" i="61"/>
  <c r="AP59" i="61"/>
  <c r="AH59" i="61" s="1"/>
  <c r="AG59" i="61" s="1"/>
  <c r="AL59" i="61"/>
  <c r="AF59" i="61"/>
  <c r="AD59" i="61"/>
  <c r="J59" i="61"/>
  <c r="I59" i="61"/>
  <c r="G59" i="61"/>
  <c r="D59" i="61"/>
  <c r="CD58" i="61"/>
  <c r="BZ58" i="61"/>
  <c r="BV58" i="61"/>
  <c r="BR58" i="61"/>
  <c r="BN58" i="61"/>
  <c r="BJ58" i="61"/>
  <c r="BF58" i="61"/>
  <c r="BB58" i="61"/>
  <c r="AX58" i="61"/>
  <c r="AT58" i="61"/>
  <c r="AP58" i="61"/>
  <c r="AL58" i="61"/>
  <c r="AH58" i="61" s="1"/>
  <c r="AG58" i="61" s="1"/>
  <c r="AF58" i="61"/>
  <c r="AD58" i="61"/>
  <c r="J58" i="61"/>
  <c r="I58" i="61"/>
  <c r="G58" i="61"/>
  <c r="D58" i="61"/>
  <c r="CD57" i="61"/>
  <c r="BZ57" i="61"/>
  <c r="BV57" i="61"/>
  <c r="BR57" i="61"/>
  <c r="BN57" i="61"/>
  <c r="BJ57" i="61"/>
  <c r="BF57" i="61"/>
  <c r="BB57" i="61"/>
  <c r="AX57" i="61"/>
  <c r="AT57" i="61"/>
  <c r="AP57" i="61"/>
  <c r="AL57" i="61"/>
  <c r="AH57" i="61" s="1"/>
  <c r="AG57" i="61" s="1"/>
  <c r="AF57" i="61"/>
  <c r="AD57" i="61"/>
  <c r="J57" i="61"/>
  <c r="I57" i="61"/>
  <c r="G57" i="61"/>
  <c r="D57" i="61"/>
  <c r="CD56" i="61"/>
  <c r="BZ56" i="61"/>
  <c r="BV56" i="61"/>
  <c r="BR56" i="61"/>
  <c r="BN56" i="61"/>
  <c r="BN50" i="61" s="1"/>
  <c r="BJ56" i="61"/>
  <c r="AH56" i="61" s="1"/>
  <c r="AG56" i="61" s="1"/>
  <c r="BF56" i="61"/>
  <c r="BB56" i="61"/>
  <c r="AX56" i="61"/>
  <c r="AT56" i="61"/>
  <c r="AP56" i="61"/>
  <c r="AL56" i="61"/>
  <c r="AF56" i="61"/>
  <c r="AD56" i="61"/>
  <c r="J56" i="61"/>
  <c r="I56" i="61"/>
  <c r="G56" i="61"/>
  <c r="D56" i="61"/>
  <c r="CD55" i="61"/>
  <c r="BZ55" i="61"/>
  <c r="BV55" i="61"/>
  <c r="BR55" i="61"/>
  <c r="BN55" i="61"/>
  <c r="BJ55" i="61"/>
  <c r="BF55" i="61"/>
  <c r="BB55" i="61"/>
  <c r="AX55" i="61"/>
  <c r="AT55" i="61"/>
  <c r="AP55" i="61"/>
  <c r="AL55" i="61"/>
  <c r="AL50" i="61" s="1"/>
  <c r="AH55" i="61"/>
  <c r="AG55" i="61"/>
  <c r="AF55" i="61"/>
  <c r="AD55" i="61"/>
  <c r="J55" i="61"/>
  <c r="I55" i="61"/>
  <c r="G55" i="61"/>
  <c r="D55" i="61"/>
  <c r="CD54" i="61"/>
  <c r="BZ54" i="61"/>
  <c r="BV54" i="61"/>
  <c r="BR54" i="61"/>
  <c r="BR50" i="61" s="1"/>
  <c r="BN54" i="61"/>
  <c r="BJ54" i="61"/>
  <c r="BF54" i="61"/>
  <c r="BB54" i="61"/>
  <c r="AH54" i="61" s="1"/>
  <c r="AG54" i="61" s="1"/>
  <c r="AX54" i="61"/>
  <c r="AT54" i="61"/>
  <c r="AP54" i="61"/>
  <c r="AL54" i="61"/>
  <c r="AF54" i="61"/>
  <c r="AD54" i="61"/>
  <c r="J54" i="61"/>
  <c r="I54" i="61"/>
  <c r="G54" i="61"/>
  <c r="D54" i="61"/>
  <c r="CD53" i="61"/>
  <c r="BZ53" i="61"/>
  <c r="BV53" i="61"/>
  <c r="BR53" i="61"/>
  <c r="BN53" i="61"/>
  <c r="BJ53" i="61"/>
  <c r="BF53" i="61"/>
  <c r="BB53" i="61"/>
  <c r="AX53" i="61"/>
  <c r="AT53" i="61"/>
  <c r="AP53" i="61"/>
  <c r="AL53" i="61"/>
  <c r="AH53" i="61"/>
  <c r="AF53" i="61"/>
  <c r="AG53" i="61" s="1"/>
  <c r="AD53" i="61"/>
  <c r="J53" i="61"/>
  <c r="I53" i="61"/>
  <c r="G53" i="61"/>
  <c r="D53" i="61"/>
  <c r="CD52" i="61"/>
  <c r="BZ52" i="61"/>
  <c r="BV52" i="61"/>
  <c r="BR52" i="61"/>
  <c r="BN52" i="61"/>
  <c r="BJ52" i="61"/>
  <c r="BF52" i="61"/>
  <c r="BB52" i="61"/>
  <c r="AX52" i="61"/>
  <c r="AT52" i="61"/>
  <c r="AT50" i="61" s="1"/>
  <c r="AP52" i="61"/>
  <c r="AL52" i="61"/>
  <c r="AF52" i="61"/>
  <c r="AD52" i="61"/>
  <c r="G52" i="61"/>
  <c r="D52" i="61"/>
  <c r="CD51" i="61"/>
  <c r="CD50" i="61" s="1"/>
  <c r="BZ51" i="61"/>
  <c r="BZ50" i="61" s="1"/>
  <c r="BV51" i="61"/>
  <c r="BV50" i="61" s="1"/>
  <c r="BR51" i="61"/>
  <c r="BN51" i="61"/>
  <c r="BJ51" i="61"/>
  <c r="BF51" i="61"/>
  <c r="BF50" i="61" s="1"/>
  <c r="BB51" i="61"/>
  <c r="AX51" i="61"/>
  <c r="AX50" i="61" s="1"/>
  <c r="AT51" i="61"/>
  <c r="AP51" i="61"/>
  <c r="AP50" i="61" s="1"/>
  <c r="AL51" i="61"/>
  <c r="AF51" i="61"/>
  <c r="AD51" i="61"/>
  <c r="J51" i="61"/>
  <c r="G51" i="61"/>
  <c r="D51" i="61"/>
  <c r="BJ50" i="61"/>
  <c r="AD50" i="61"/>
  <c r="D50" i="61"/>
  <c r="CD49" i="61"/>
  <c r="BZ49" i="61"/>
  <c r="BV49" i="61"/>
  <c r="BR49" i="61"/>
  <c r="BN49" i="61"/>
  <c r="BJ49" i="61"/>
  <c r="BF49" i="61"/>
  <c r="BB49" i="61"/>
  <c r="AX49" i="61"/>
  <c r="AT49" i="61"/>
  <c r="AP49" i="61"/>
  <c r="AH49" i="61" s="1"/>
  <c r="AG49" i="61" s="1"/>
  <c r="AL49" i="61"/>
  <c r="AF49" i="61"/>
  <c r="AD49" i="61"/>
  <c r="J49" i="61"/>
  <c r="K49" i="61" s="1"/>
  <c r="G49" i="61"/>
  <c r="D49" i="61"/>
  <c r="CD48" i="61"/>
  <c r="BZ48" i="61"/>
  <c r="BV48" i="61"/>
  <c r="BR48" i="61"/>
  <c r="AH48" i="61" s="1"/>
  <c r="AG48" i="61" s="1"/>
  <c r="BN48" i="61"/>
  <c r="BJ48" i="61"/>
  <c r="BF48" i="61"/>
  <c r="BB48" i="61"/>
  <c r="AX48" i="61"/>
  <c r="AT48" i="61"/>
  <c r="AP48" i="61"/>
  <c r="AL48" i="61"/>
  <c r="AF48" i="61"/>
  <c r="AD48" i="61"/>
  <c r="J48" i="61"/>
  <c r="K48" i="61" s="1"/>
  <c r="G48" i="61"/>
  <c r="D48" i="61"/>
  <c r="CD47" i="61"/>
  <c r="BZ47" i="61"/>
  <c r="BV47" i="61"/>
  <c r="BR47" i="61"/>
  <c r="BN47" i="61"/>
  <c r="BJ47" i="61"/>
  <c r="BF47" i="61"/>
  <c r="BB47" i="61"/>
  <c r="AX47" i="61"/>
  <c r="AT47" i="61"/>
  <c r="AP47" i="61"/>
  <c r="AL47" i="61"/>
  <c r="AH47" i="61"/>
  <c r="AG47" i="61"/>
  <c r="AF47" i="61"/>
  <c r="AD47" i="61"/>
  <c r="G47" i="61"/>
  <c r="D47" i="61"/>
  <c r="CD46" i="61"/>
  <c r="BZ46" i="61"/>
  <c r="BV46" i="61"/>
  <c r="BR46" i="61"/>
  <c r="BN46" i="61"/>
  <c r="BJ46" i="61"/>
  <c r="BF46" i="61"/>
  <c r="BB46" i="61"/>
  <c r="AX46" i="61"/>
  <c r="AT46" i="61"/>
  <c r="AP46" i="61"/>
  <c r="AH46" i="61" s="1"/>
  <c r="AG46" i="61" s="1"/>
  <c r="AL46" i="61"/>
  <c r="AF46" i="61"/>
  <c r="AD46" i="61"/>
  <c r="G46" i="61"/>
  <c r="D46" i="61"/>
  <c r="CD45" i="61"/>
  <c r="BZ45" i="61"/>
  <c r="BV45" i="61"/>
  <c r="BR45" i="61"/>
  <c r="BN45" i="61"/>
  <c r="BJ45" i="61"/>
  <c r="BF45" i="61"/>
  <c r="BB45" i="61"/>
  <c r="AX45" i="61"/>
  <c r="AT45" i="61"/>
  <c r="AP45" i="61"/>
  <c r="AH45" i="61" s="1"/>
  <c r="AG45" i="61" s="1"/>
  <c r="AL45" i="61"/>
  <c r="AF45" i="61"/>
  <c r="AD45" i="61"/>
  <c r="G45" i="61"/>
  <c r="D45" i="61"/>
  <c r="CD44" i="61"/>
  <c r="BZ44" i="61"/>
  <c r="BV44" i="61"/>
  <c r="BR44" i="61"/>
  <c r="BN44" i="61"/>
  <c r="BJ44" i="61"/>
  <c r="BF44" i="61"/>
  <c r="BB44" i="61"/>
  <c r="AX44" i="61"/>
  <c r="AT44" i="61"/>
  <c r="AP44" i="61"/>
  <c r="AL44" i="61"/>
  <c r="AH44" i="61" s="1"/>
  <c r="AF44" i="61"/>
  <c r="AD44" i="61"/>
  <c r="G44" i="61"/>
  <c r="D44" i="61"/>
  <c r="CD43" i="61"/>
  <c r="BZ43" i="61"/>
  <c r="BV43" i="61"/>
  <c r="BR43" i="61"/>
  <c r="BN43" i="61"/>
  <c r="BJ43" i="61"/>
  <c r="BF43" i="61"/>
  <c r="AH43" i="61" s="1"/>
  <c r="AG43" i="61" s="1"/>
  <c r="BB43" i="61"/>
  <c r="AX43" i="61"/>
  <c r="AT43" i="61"/>
  <c r="AP43" i="61"/>
  <c r="AL43" i="61"/>
  <c r="AF43" i="61"/>
  <c r="AD43" i="61"/>
  <c r="G43" i="61"/>
  <c r="D43" i="61"/>
  <c r="CD42" i="61"/>
  <c r="BZ42" i="61"/>
  <c r="BV42" i="61"/>
  <c r="BR42" i="61"/>
  <c r="BN42" i="61"/>
  <c r="BJ42" i="61"/>
  <c r="BF42" i="61"/>
  <c r="BB42" i="61"/>
  <c r="AX42" i="61"/>
  <c r="AT42" i="61"/>
  <c r="AP42" i="61"/>
  <c r="AL42" i="61"/>
  <c r="AH42" i="61"/>
  <c r="AF42" i="61"/>
  <c r="AG42" i="61" s="1"/>
  <c r="AD42" i="61"/>
  <c r="G42" i="61"/>
  <c r="D42" i="61"/>
  <c r="CD41" i="61"/>
  <c r="BZ41" i="61"/>
  <c r="BV41" i="61"/>
  <c r="BR41" i="61"/>
  <c r="BN41" i="61"/>
  <c r="BJ41" i="61"/>
  <c r="BF41" i="61"/>
  <c r="BB41" i="61"/>
  <c r="AX41" i="61"/>
  <c r="AT41" i="61"/>
  <c r="AP41" i="61"/>
  <c r="AH41" i="61" s="1"/>
  <c r="AG41" i="61" s="1"/>
  <c r="AL41" i="61"/>
  <c r="AF41" i="61"/>
  <c r="AD41" i="61"/>
  <c r="G41" i="61"/>
  <c r="D41" i="61"/>
  <c r="CD40" i="61"/>
  <c r="BZ40" i="61"/>
  <c r="BZ37" i="61" s="1"/>
  <c r="BV40" i="61"/>
  <c r="BR40" i="61"/>
  <c r="AH40" i="61" s="1"/>
  <c r="AG40" i="61" s="1"/>
  <c r="BN40" i="61"/>
  <c r="BJ40" i="61"/>
  <c r="BF40" i="61"/>
  <c r="BB40" i="61"/>
  <c r="AX40" i="61"/>
  <c r="AT40" i="61"/>
  <c r="AP40" i="61"/>
  <c r="AL40" i="61"/>
  <c r="AF40" i="61"/>
  <c r="AD40" i="61"/>
  <c r="G40" i="61"/>
  <c r="D40" i="61"/>
  <c r="CD39" i="61"/>
  <c r="BZ39" i="61"/>
  <c r="BV39" i="61"/>
  <c r="BR39" i="61"/>
  <c r="BN39" i="61"/>
  <c r="BJ39" i="61"/>
  <c r="BF39" i="61"/>
  <c r="BB39" i="61"/>
  <c r="AX39" i="61"/>
  <c r="AT39" i="61"/>
  <c r="AP39" i="61"/>
  <c r="AL39" i="61"/>
  <c r="AL37" i="61" s="1"/>
  <c r="AH39" i="61"/>
  <c r="AG39" i="61"/>
  <c r="AF39" i="61"/>
  <c r="AD39" i="61"/>
  <c r="G39" i="61"/>
  <c r="D39" i="61"/>
  <c r="C39" i="61"/>
  <c r="CD38" i="61"/>
  <c r="BZ38" i="61"/>
  <c r="BV38" i="61"/>
  <c r="BV37" i="61" s="1"/>
  <c r="BR38" i="61"/>
  <c r="BR37" i="61" s="1"/>
  <c r="BN38" i="61"/>
  <c r="BN37" i="61" s="1"/>
  <c r="BJ38" i="61"/>
  <c r="BJ37" i="61" s="1"/>
  <c r="BF38" i="61"/>
  <c r="BF37" i="61" s="1"/>
  <c r="BB38" i="61"/>
  <c r="BB37" i="61" s="1"/>
  <c r="AX38" i="61"/>
  <c r="AT38" i="61"/>
  <c r="AP38" i="61"/>
  <c r="AH38" i="61" s="1"/>
  <c r="AL38" i="61"/>
  <c r="AF38" i="61"/>
  <c r="AD38" i="61"/>
  <c r="G38" i="61"/>
  <c r="D38" i="61"/>
  <c r="CD37" i="61"/>
  <c r="AX37" i="61"/>
  <c r="AD37" i="61"/>
  <c r="D37" i="61"/>
  <c r="CD36" i="61"/>
  <c r="BZ36" i="61"/>
  <c r="BV36" i="61"/>
  <c r="BR36" i="61"/>
  <c r="BN36" i="61"/>
  <c r="BJ36" i="61"/>
  <c r="BF36" i="61"/>
  <c r="BB36" i="61"/>
  <c r="AX36" i="61"/>
  <c r="AT36" i="61"/>
  <c r="AP36" i="61"/>
  <c r="AH36" i="61" s="1"/>
  <c r="AG36" i="61" s="1"/>
  <c r="AL36" i="61"/>
  <c r="AF36" i="61"/>
  <c r="AD36" i="61"/>
  <c r="J36" i="61"/>
  <c r="K36" i="61" s="1"/>
  <c r="G36" i="61"/>
  <c r="D36" i="61"/>
  <c r="CD35" i="61"/>
  <c r="BZ35" i="61"/>
  <c r="BV35" i="61"/>
  <c r="BR35" i="61"/>
  <c r="BN35" i="61"/>
  <c r="BJ35" i="61"/>
  <c r="BF35" i="61"/>
  <c r="BB35" i="61"/>
  <c r="AX35" i="61"/>
  <c r="AT35" i="61"/>
  <c r="AP35" i="61"/>
  <c r="AL35" i="61"/>
  <c r="AH35" i="61" s="1"/>
  <c r="AG35" i="61" s="1"/>
  <c r="AF35" i="61"/>
  <c r="AD35" i="61"/>
  <c r="J35" i="61"/>
  <c r="K35" i="61" s="1"/>
  <c r="G35" i="61"/>
  <c r="D35" i="61"/>
  <c r="CD34" i="61"/>
  <c r="BZ34" i="61"/>
  <c r="BV34" i="61"/>
  <c r="BR34" i="61"/>
  <c r="BN34" i="61"/>
  <c r="BJ34" i="61"/>
  <c r="BF34" i="61"/>
  <c r="AH34" i="61" s="1"/>
  <c r="AG34" i="61" s="1"/>
  <c r="BB34" i="61"/>
  <c r="AX34" i="61"/>
  <c r="AT34" i="61"/>
  <c r="AP34" i="61"/>
  <c r="AL34" i="61"/>
  <c r="AF34" i="61"/>
  <c r="AD34" i="61"/>
  <c r="J34" i="61"/>
  <c r="K34" i="61" s="1"/>
  <c r="G34" i="61"/>
  <c r="D34" i="61"/>
  <c r="CD33" i="61"/>
  <c r="BZ33" i="61"/>
  <c r="BV33" i="61"/>
  <c r="BR33" i="61"/>
  <c r="BN33" i="61"/>
  <c r="BJ33" i="61"/>
  <c r="BF33" i="61"/>
  <c r="BB33" i="61"/>
  <c r="AX33" i="61"/>
  <c r="AT33" i="61"/>
  <c r="AP33" i="61"/>
  <c r="AL33" i="61"/>
  <c r="AH33" i="61"/>
  <c r="AF33" i="61"/>
  <c r="AG33" i="61" s="1"/>
  <c r="AD33" i="61"/>
  <c r="J33" i="61"/>
  <c r="K33" i="61" s="1"/>
  <c r="G33" i="61"/>
  <c r="D33" i="61"/>
  <c r="CD32" i="61"/>
  <c r="BZ32" i="61"/>
  <c r="BV32" i="61"/>
  <c r="BR32" i="61"/>
  <c r="BN32" i="61"/>
  <c r="BJ32" i="61"/>
  <c r="BF32" i="61"/>
  <c r="BB32" i="61"/>
  <c r="AX32" i="61"/>
  <c r="AT32" i="61"/>
  <c r="AP32" i="61"/>
  <c r="AH32" i="61" s="1"/>
  <c r="AG32" i="61" s="1"/>
  <c r="AL32" i="61"/>
  <c r="AF32" i="61"/>
  <c r="AD32" i="61"/>
  <c r="J32" i="61"/>
  <c r="K32" i="61" s="1"/>
  <c r="G32" i="61"/>
  <c r="D32" i="61"/>
  <c r="C32" i="61"/>
  <c r="CD31" i="61"/>
  <c r="BZ31" i="61"/>
  <c r="BV31" i="61"/>
  <c r="BR31" i="61"/>
  <c r="BR24" i="61" s="1"/>
  <c r="BN31" i="61"/>
  <c r="BJ31" i="61"/>
  <c r="BF31" i="61"/>
  <c r="BB31" i="61"/>
  <c r="AX31" i="61"/>
  <c r="AT31" i="61"/>
  <c r="AP31" i="61"/>
  <c r="AL31" i="61"/>
  <c r="AF31" i="61"/>
  <c r="AD31" i="61"/>
  <c r="J31" i="61"/>
  <c r="K31" i="61" s="1"/>
  <c r="G31" i="61"/>
  <c r="D31" i="61"/>
  <c r="CD30" i="61"/>
  <c r="BZ30" i="61"/>
  <c r="BV30" i="61"/>
  <c r="BR30" i="61"/>
  <c r="BN30" i="61"/>
  <c r="BJ30" i="61"/>
  <c r="BF30" i="61"/>
  <c r="BB30" i="61"/>
  <c r="AX30" i="61"/>
  <c r="AT30" i="61"/>
  <c r="AP30" i="61"/>
  <c r="AL30" i="61"/>
  <c r="AH30" i="61"/>
  <c r="AG30" i="61"/>
  <c r="AF30" i="61"/>
  <c r="AD30" i="61"/>
  <c r="J30" i="61"/>
  <c r="K30" i="61" s="1"/>
  <c r="G30" i="61"/>
  <c r="D30" i="61"/>
  <c r="CD29" i="61"/>
  <c r="BZ29" i="61"/>
  <c r="BV29" i="61"/>
  <c r="BR29" i="61"/>
  <c r="BN29" i="61"/>
  <c r="BJ29" i="61"/>
  <c r="BF29" i="61"/>
  <c r="BB29" i="61"/>
  <c r="AX29" i="61"/>
  <c r="AT29" i="61"/>
  <c r="AP29" i="61"/>
  <c r="AL29" i="61"/>
  <c r="AH29" i="61" s="1"/>
  <c r="AG29" i="61" s="1"/>
  <c r="AF29" i="61"/>
  <c r="AD29" i="61"/>
  <c r="J29" i="61"/>
  <c r="K29" i="61" s="1"/>
  <c r="G29" i="61"/>
  <c r="D29" i="61"/>
  <c r="CD28" i="61"/>
  <c r="BZ28" i="61"/>
  <c r="BV28" i="61"/>
  <c r="BR28" i="61"/>
  <c r="BN28" i="61"/>
  <c r="BJ28" i="61"/>
  <c r="BF28" i="61"/>
  <c r="BB28" i="61"/>
  <c r="AX28" i="61"/>
  <c r="AT28" i="61"/>
  <c r="AP28" i="61"/>
  <c r="AH28" i="61" s="1"/>
  <c r="AG28" i="61" s="1"/>
  <c r="AL28" i="61"/>
  <c r="AF28" i="61"/>
  <c r="AD28" i="61"/>
  <c r="J28" i="61"/>
  <c r="K28" i="61" s="1"/>
  <c r="G28" i="61"/>
  <c r="D28" i="61"/>
  <c r="CD27" i="61"/>
  <c r="BZ27" i="61"/>
  <c r="BV27" i="61"/>
  <c r="BR27" i="61"/>
  <c r="BN27" i="61"/>
  <c r="BJ27" i="61"/>
  <c r="BF27" i="61"/>
  <c r="BB27" i="61"/>
  <c r="AX27" i="61"/>
  <c r="AT27" i="61"/>
  <c r="AT24" i="61" s="1"/>
  <c r="AP27" i="61"/>
  <c r="AP24" i="61" s="1"/>
  <c r="AL27" i="61"/>
  <c r="AL24" i="61" s="1"/>
  <c r="AF27" i="61"/>
  <c r="AD27" i="61"/>
  <c r="J27" i="61"/>
  <c r="K27" i="61" s="1"/>
  <c r="G27" i="61"/>
  <c r="D27" i="61"/>
  <c r="CD26" i="61"/>
  <c r="BZ26" i="61"/>
  <c r="BZ24" i="61" s="1"/>
  <c r="BV26" i="61"/>
  <c r="BV24" i="61" s="1"/>
  <c r="BR26" i="61"/>
  <c r="BN26" i="61"/>
  <c r="BJ26" i="61"/>
  <c r="BF26" i="61"/>
  <c r="AH26" i="61" s="1"/>
  <c r="BB26" i="61"/>
  <c r="AX26" i="61"/>
  <c r="AT26" i="61"/>
  <c r="AP26" i="61"/>
  <c r="AL26" i="61"/>
  <c r="AF26" i="61"/>
  <c r="AD26" i="61"/>
  <c r="J26" i="61"/>
  <c r="K26" i="61" s="1"/>
  <c r="G26" i="61"/>
  <c r="D26" i="61"/>
  <c r="CD25" i="61"/>
  <c r="CD24" i="61" s="1"/>
  <c r="BZ25" i="61"/>
  <c r="BV25" i="61"/>
  <c r="BR25" i="61"/>
  <c r="BN25" i="61"/>
  <c r="BJ25" i="61"/>
  <c r="BJ24" i="61" s="1"/>
  <c r="BF25" i="61"/>
  <c r="BF24" i="61" s="1"/>
  <c r="BB25" i="61"/>
  <c r="BB24" i="61" s="1"/>
  <c r="AX25" i="61"/>
  <c r="AX24" i="61" s="1"/>
  <c r="AT25" i="61"/>
  <c r="AP25" i="61"/>
  <c r="AL25" i="61"/>
  <c r="AH25" i="61"/>
  <c r="AF25" i="61"/>
  <c r="AG25" i="61" s="1"/>
  <c r="AD25" i="61"/>
  <c r="G25" i="61"/>
  <c r="D25" i="61"/>
  <c r="BN24" i="61"/>
  <c r="AD24" i="61"/>
  <c r="D24" i="61"/>
  <c r="CD23" i="61"/>
  <c r="BZ23" i="61"/>
  <c r="BV23" i="61"/>
  <c r="BR23" i="61"/>
  <c r="BN23" i="61"/>
  <c r="BJ23" i="61"/>
  <c r="BF23" i="61"/>
  <c r="BB23" i="61"/>
  <c r="AX23" i="61"/>
  <c r="AT23" i="61"/>
  <c r="AP23" i="61"/>
  <c r="AL23" i="61"/>
  <c r="AH23" i="61" s="1"/>
  <c r="AG23" i="61" s="1"/>
  <c r="AF23" i="61"/>
  <c r="AD23" i="61"/>
  <c r="O23" i="61"/>
  <c r="J23" i="61"/>
  <c r="K23" i="61" s="1"/>
  <c r="G23" i="61"/>
  <c r="D23" i="61"/>
  <c r="CD22" i="61"/>
  <c r="BZ22" i="61"/>
  <c r="BV22" i="61"/>
  <c r="BR22" i="61"/>
  <c r="BN22" i="61"/>
  <c r="BJ22" i="61"/>
  <c r="BF22" i="61"/>
  <c r="BB22" i="61"/>
  <c r="AX22" i="61"/>
  <c r="AT22" i="61"/>
  <c r="AP22" i="61"/>
  <c r="AH22" i="61" s="1"/>
  <c r="AG22" i="61" s="1"/>
  <c r="AL22" i="61"/>
  <c r="AF22" i="61"/>
  <c r="AD22" i="61"/>
  <c r="O22" i="61"/>
  <c r="J22" i="61"/>
  <c r="K22" i="61" s="1"/>
  <c r="G22" i="61"/>
  <c r="D22" i="61"/>
  <c r="CD21" i="61"/>
  <c r="BZ21" i="61"/>
  <c r="BV21" i="61"/>
  <c r="BR21" i="61"/>
  <c r="BN21" i="61"/>
  <c r="BJ21" i="61"/>
  <c r="BF21" i="61"/>
  <c r="BB21" i="61"/>
  <c r="AX21" i="61"/>
  <c r="AT21" i="61"/>
  <c r="AP21" i="61"/>
  <c r="AL21" i="61"/>
  <c r="AH21" i="61" s="1"/>
  <c r="AG21" i="61" s="1"/>
  <c r="AF21" i="61"/>
  <c r="AD21" i="61"/>
  <c r="O21" i="61"/>
  <c r="J21" i="61"/>
  <c r="K21" i="61" s="1"/>
  <c r="G21" i="61"/>
  <c r="D21" i="61"/>
  <c r="CD20" i="61"/>
  <c r="BZ20" i="61"/>
  <c r="BV20" i="61"/>
  <c r="BR20" i="61"/>
  <c r="BN20" i="61"/>
  <c r="AH20" i="61" s="1"/>
  <c r="AG20" i="61" s="1"/>
  <c r="BJ20" i="61"/>
  <c r="BF20" i="61"/>
  <c r="BB20" i="61"/>
  <c r="AX20" i="61"/>
  <c r="AT20" i="61"/>
  <c r="AP20" i="61"/>
  <c r="AL20" i="61"/>
  <c r="AF20" i="61"/>
  <c r="AD20" i="61"/>
  <c r="O20" i="61"/>
  <c r="J20" i="61"/>
  <c r="K20" i="61" s="1"/>
  <c r="G20" i="61"/>
  <c r="D20" i="61"/>
  <c r="CD19" i="61"/>
  <c r="BZ19" i="61"/>
  <c r="BV19" i="61"/>
  <c r="BR19" i="61"/>
  <c r="BN19" i="61"/>
  <c r="BJ19" i="61"/>
  <c r="BF19" i="61"/>
  <c r="BB19" i="61"/>
  <c r="AX19" i="61"/>
  <c r="AT19" i="61"/>
  <c r="AP19" i="61"/>
  <c r="AL19" i="61"/>
  <c r="AH19" i="61"/>
  <c r="AG19" i="61" s="1"/>
  <c r="AF19" i="61"/>
  <c r="AD19" i="61"/>
  <c r="O19" i="61"/>
  <c r="J19" i="61"/>
  <c r="K19" i="61" s="1"/>
  <c r="G19" i="61"/>
  <c r="D19" i="61"/>
  <c r="CD18" i="61"/>
  <c r="BZ18" i="61"/>
  <c r="BV18" i="61"/>
  <c r="BR18" i="61"/>
  <c r="BN18" i="61"/>
  <c r="BJ18" i="61"/>
  <c r="BF18" i="61"/>
  <c r="AH18" i="61" s="1"/>
  <c r="AG18" i="61" s="1"/>
  <c r="BB18" i="61"/>
  <c r="AX18" i="61"/>
  <c r="AT18" i="61"/>
  <c r="AP18" i="61"/>
  <c r="AL18" i="61"/>
  <c r="AF18" i="61"/>
  <c r="AD18" i="61"/>
  <c r="O18" i="61"/>
  <c r="J18" i="61"/>
  <c r="K18" i="61" s="1"/>
  <c r="G18" i="61"/>
  <c r="D18" i="61"/>
  <c r="CD17" i="61"/>
  <c r="BZ17" i="61"/>
  <c r="BV17" i="61"/>
  <c r="BR17" i="61"/>
  <c r="BN17" i="61"/>
  <c r="BJ17" i="61"/>
  <c r="BF17" i="61"/>
  <c r="BB17" i="61"/>
  <c r="AX17" i="61"/>
  <c r="AT17" i="61"/>
  <c r="AP17" i="61"/>
  <c r="AL17" i="61"/>
  <c r="AH17" i="61"/>
  <c r="AF17" i="61"/>
  <c r="AG17" i="61" s="1"/>
  <c r="AD17" i="61"/>
  <c r="O17" i="61"/>
  <c r="G17" i="61"/>
  <c r="D17" i="61"/>
  <c r="CD16" i="61"/>
  <c r="BZ16" i="61"/>
  <c r="BV16" i="61"/>
  <c r="BR16" i="61"/>
  <c r="BN16" i="61"/>
  <c r="BJ16" i="61"/>
  <c r="BF16" i="61"/>
  <c r="BB16" i="61"/>
  <c r="AX16" i="61"/>
  <c r="AT16" i="61"/>
  <c r="AP16" i="61"/>
  <c r="AL16" i="61"/>
  <c r="AH16" i="61" s="1"/>
  <c r="AG16" i="61" s="1"/>
  <c r="AF16" i="61"/>
  <c r="AD16" i="61"/>
  <c r="G16" i="61"/>
  <c r="D16" i="61"/>
  <c r="CD15" i="61"/>
  <c r="AH15" i="61" s="1"/>
  <c r="AG15" i="61" s="1"/>
  <c r="BZ15" i="61"/>
  <c r="BV15" i="61"/>
  <c r="BR15" i="61"/>
  <c r="BN15" i="61"/>
  <c r="BJ15" i="61"/>
  <c r="BF15" i="61"/>
  <c r="BB15" i="61"/>
  <c r="AX15" i="61"/>
  <c r="AT15" i="61"/>
  <c r="AP15" i="61"/>
  <c r="AL15" i="61"/>
  <c r="AF15" i="61"/>
  <c r="AD15" i="61"/>
  <c r="J15" i="61"/>
  <c r="G15" i="61"/>
  <c r="D15" i="61"/>
  <c r="CD14" i="61"/>
  <c r="BZ14" i="61"/>
  <c r="BV14" i="61"/>
  <c r="BR14" i="61"/>
  <c r="BN14" i="61"/>
  <c r="BJ14" i="61"/>
  <c r="BJ11" i="61" s="1"/>
  <c r="BF14" i="61"/>
  <c r="BF11" i="61" s="1"/>
  <c r="BB14" i="61"/>
  <c r="AX14" i="61"/>
  <c r="AT14" i="61"/>
  <c r="AT11" i="61" s="1"/>
  <c r="AP14" i="61"/>
  <c r="AH14" i="61" s="1"/>
  <c r="AG14" i="61" s="1"/>
  <c r="AL14" i="61"/>
  <c r="AF14" i="61"/>
  <c r="AD14" i="61"/>
  <c r="J14" i="61"/>
  <c r="G14" i="61"/>
  <c r="D14" i="61"/>
  <c r="CD13" i="61"/>
  <c r="CD11" i="61" s="1"/>
  <c r="BZ13" i="61"/>
  <c r="BZ11" i="61" s="1"/>
  <c r="BV13" i="61"/>
  <c r="BR13" i="61"/>
  <c r="BN13" i="61"/>
  <c r="BJ13" i="61"/>
  <c r="BF13" i="61"/>
  <c r="BB13" i="61"/>
  <c r="AX13" i="61"/>
  <c r="AT13" i="61"/>
  <c r="AP13" i="61"/>
  <c r="AL13" i="61"/>
  <c r="AH13" i="61" s="1"/>
  <c r="AG13" i="61" s="1"/>
  <c r="AF13" i="61"/>
  <c r="AD13" i="61"/>
  <c r="J13" i="61"/>
  <c r="G13" i="61"/>
  <c r="D13" i="61"/>
  <c r="CD12" i="61"/>
  <c r="BZ12" i="61"/>
  <c r="BV12" i="61"/>
  <c r="BR12" i="61"/>
  <c r="BR11" i="61" s="1"/>
  <c r="BN12" i="61"/>
  <c r="BN11" i="61" s="1"/>
  <c r="BJ12" i="61"/>
  <c r="BF12" i="61"/>
  <c r="BB12" i="61"/>
  <c r="BB11" i="61" s="1"/>
  <c r="AX12" i="61"/>
  <c r="AX11" i="61" s="1"/>
  <c r="AT12" i="61"/>
  <c r="AP12" i="61"/>
  <c r="AL12" i="61"/>
  <c r="AL11" i="61" s="1"/>
  <c r="AF12" i="61"/>
  <c r="AD12" i="61"/>
  <c r="J12" i="61"/>
  <c r="G12" i="61"/>
  <c r="D12" i="61"/>
  <c r="BV11" i="61"/>
  <c r="BU6" i="61" s="1"/>
  <c r="AP11" i="61"/>
  <c r="AD11" i="61"/>
  <c r="D11" i="61"/>
  <c r="AF6" i="61"/>
  <c r="A3" i="61"/>
  <c r="C56" i="61" s="1"/>
  <c r="H40" i="60"/>
  <c r="H39" i="60"/>
  <c r="H38" i="60"/>
  <c r="I12" i="60"/>
  <c r="O12" i="60" s="1"/>
  <c r="I13" i="60"/>
  <c r="O13" i="60" s="1"/>
  <c r="I14" i="60"/>
  <c r="O14" i="60" s="1"/>
  <c r="D52" i="3"/>
  <c r="J12" i="60" s="1"/>
  <c r="D47" i="3"/>
  <c r="J13" i="60" s="1"/>
  <c r="R13" i="60" s="1"/>
  <c r="D45" i="3"/>
  <c r="J14" i="60" s="1"/>
  <c r="CD62" i="60"/>
  <c r="BZ62" i="60"/>
  <c r="BV62" i="60"/>
  <c r="BR62" i="60"/>
  <c r="BN62" i="60"/>
  <c r="BJ62" i="60"/>
  <c r="BF62" i="60"/>
  <c r="BB62" i="60"/>
  <c r="AX62" i="60"/>
  <c r="AT62" i="60"/>
  <c r="AP62" i="60"/>
  <c r="AL62" i="60"/>
  <c r="AH62" i="60"/>
  <c r="AF62" i="60"/>
  <c r="AG62" i="60" s="1"/>
  <c r="AD62" i="60"/>
  <c r="J62" i="60"/>
  <c r="I62" i="60"/>
  <c r="G62" i="60"/>
  <c r="D62" i="60"/>
  <c r="C62" i="60"/>
  <c r="CD61" i="60"/>
  <c r="BZ61" i="60"/>
  <c r="BV61" i="60"/>
  <c r="BR61" i="60"/>
  <c r="BN61" i="60"/>
  <c r="BJ61" i="60"/>
  <c r="BF61" i="60"/>
  <c r="BB61" i="60"/>
  <c r="AX61" i="60"/>
  <c r="AT61" i="60"/>
  <c r="AH61" i="60" s="1"/>
  <c r="AG61" i="60" s="1"/>
  <c r="AP61" i="60"/>
  <c r="AL61" i="60"/>
  <c r="AF61" i="60"/>
  <c r="AD61" i="60"/>
  <c r="J61" i="60"/>
  <c r="I61" i="60"/>
  <c r="G61" i="60"/>
  <c r="D61" i="60"/>
  <c r="C61" i="60"/>
  <c r="CD60" i="60"/>
  <c r="BZ60" i="60"/>
  <c r="AH60" i="60" s="1"/>
  <c r="AG60" i="60" s="1"/>
  <c r="BV60" i="60"/>
  <c r="BR60" i="60"/>
  <c r="BN60" i="60"/>
  <c r="BJ60" i="60"/>
  <c r="BF60" i="60"/>
  <c r="BB60" i="60"/>
  <c r="AX60" i="60"/>
  <c r="AT60" i="60"/>
  <c r="AP60" i="60"/>
  <c r="AL60" i="60"/>
  <c r="AF60" i="60"/>
  <c r="AD60" i="60"/>
  <c r="J60" i="60"/>
  <c r="I60" i="60"/>
  <c r="G60" i="60"/>
  <c r="D60" i="60"/>
  <c r="C60" i="60"/>
  <c r="CD59" i="60"/>
  <c r="BZ59" i="60"/>
  <c r="BV59" i="60"/>
  <c r="BR59" i="60"/>
  <c r="BN59" i="60"/>
  <c r="BJ59" i="60"/>
  <c r="BF59" i="60"/>
  <c r="BB59" i="60"/>
  <c r="AX59" i="60"/>
  <c r="AT59" i="60"/>
  <c r="AP59" i="60"/>
  <c r="AL59" i="60"/>
  <c r="AH59" i="60" s="1"/>
  <c r="AG59" i="60" s="1"/>
  <c r="AF59" i="60"/>
  <c r="AD59" i="60"/>
  <c r="J59" i="60"/>
  <c r="I59" i="60"/>
  <c r="G59" i="60"/>
  <c r="D59" i="60"/>
  <c r="C59" i="60"/>
  <c r="CD58" i="60"/>
  <c r="BZ58" i="60"/>
  <c r="BV58" i="60"/>
  <c r="BR58" i="60"/>
  <c r="BN58" i="60"/>
  <c r="BJ58" i="60"/>
  <c r="BF58" i="60"/>
  <c r="BB58" i="60"/>
  <c r="AX58" i="60"/>
  <c r="AT58" i="60"/>
  <c r="AP58" i="60"/>
  <c r="AL58" i="60"/>
  <c r="AF58" i="60"/>
  <c r="AD58" i="60"/>
  <c r="J58" i="60"/>
  <c r="I58" i="60"/>
  <c r="G58" i="60"/>
  <c r="D58" i="60"/>
  <c r="CD57" i="60"/>
  <c r="BZ57" i="60"/>
  <c r="BV57" i="60"/>
  <c r="BR57" i="60"/>
  <c r="BN57" i="60"/>
  <c r="BJ57" i="60"/>
  <c r="BF57" i="60"/>
  <c r="BB57" i="60"/>
  <c r="AX57" i="60"/>
  <c r="AT57" i="60"/>
  <c r="AP57" i="60"/>
  <c r="AL57" i="60"/>
  <c r="AH57" i="60" s="1"/>
  <c r="AG57" i="60" s="1"/>
  <c r="AF57" i="60"/>
  <c r="AD57" i="60"/>
  <c r="J57" i="60"/>
  <c r="I57" i="60"/>
  <c r="G57" i="60"/>
  <c r="D57" i="60"/>
  <c r="C57" i="60"/>
  <c r="CD56" i="60"/>
  <c r="BZ56" i="60"/>
  <c r="BV56" i="60"/>
  <c r="BR56" i="60"/>
  <c r="BN56" i="60"/>
  <c r="BN50" i="60" s="1"/>
  <c r="BJ56" i="60"/>
  <c r="AH56" i="60" s="1"/>
  <c r="AG56" i="60" s="1"/>
  <c r="BF56" i="60"/>
  <c r="BB56" i="60"/>
  <c r="AX56" i="60"/>
  <c r="AT56" i="60"/>
  <c r="AP56" i="60"/>
  <c r="AL56" i="60"/>
  <c r="AF56" i="60"/>
  <c r="AD56" i="60"/>
  <c r="J56" i="60"/>
  <c r="I56" i="60"/>
  <c r="G56" i="60"/>
  <c r="D56" i="60"/>
  <c r="C56" i="60"/>
  <c r="CD55" i="60"/>
  <c r="BZ55" i="60"/>
  <c r="BV55" i="60"/>
  <c r="BR55" i="60"/>
  <c r="BN55" i="60"/>
  <c r="BJ55" i="60"/>
  <c r="BF55" i="60"/>
  <c r="BB55" i="60"/>
  <c r="AX55" i="60"/>
  <c r="AT55" i="60"/>
  <c r="AP55" i="60"/>
  <c r="AL55" i="60"/>
  <c r="AH55" i="60"/>
  <c r="AF55" i="60"/>
  <c r="AG55" i="60" s="1"/>
  <c r="AD55" i="60"/>
  <c r="J55" i="60"/>
  <c r="I55" i="60"/>
  <c r="G55" i="60"/>
  <c r="D55" i="60"/>
  <c r="C55" i="60"/>
  <c r="CD54" i="60"/>
  <c r="BZ54" i="60"/>
  <c r="BV54" i="60"/>
  <c r="BR54" i="60"/>
  <c r="BN54" i="60"/>
  <c r="BJ54" i="60"/>
  <c r="BF54" i="60"/>
  <c r="BB54" i="60"/>
  <c r="AH54" i="60" s="1"/>
  <c r="AG54" i="60" s="1"/>
  <c r="AX54" i="60"/>
  <c r="AT54" i="60"/>
  <c r="AP54" i="60"/>
  <c r="AL54" i="60"/>
  <c r="AF54" i="60"/>
  <c r="AD54" i="60"/>
  <c r="J54" i="60"/>
  <c r="I54" i="60"/>
  <c r="G54" i="60"/>
  <c r="D54" i="60"/>
  <c r="C54" i="60"/>
  <c r="CD53" i="60"/>
  <c r="AH53" i="60" s="1"/>
  <c r="AG53" i="60" s="1"/>
  <c r="BZ53" i="60"/>
  <c r="BV53" i="60"/>
  <c r="BR53" i="60"/>
  <c r="BN53" i="60"/>
  <c r="BJ53" i="60"/>
  <c r="BF53" i="60"/>
  <c r="BB53" i="60"/>
  <c r="AX53" i="60"/>
  <c r="AT53" i="60"/>
  <c r="AP53" i="60"/>
  <c r="AL53" i="60"/>
  <c r="AF53" i="60"/>
  <c r="AD53" i="60"/>
  <c r="J53" i="60"/>
  <c r="I53" i="60"/>
  <c r="G53" i="60"/>
  <c r="D53" i="60"/>
  <c r="CD52" i="60"/>
  <c r="BZ52" i="60"/>
  <c r="BV52" i="60"/>
  <c r="BR52" i="60"/>
  <c r="BN52" i="60"/>
  <c r="BJ52" i="60"/>
  <c r="BJ50" i="60" s="1"/>
  <c r="BF52" i="60"/>
  <c r="BB52" i="60"/>
  <c r="AX52" i="60"/>
  <c r="AT52" i="60"/>
  <c r="AP52" i="60"/>
  <c r="AL52" i="60"/>
  <c r="AF52" i="60"/>
  <c r="AD52" i="60"/>
  <c r="J52" i="60"/>
  <c r="I52" i="60"/>
  <c r="G52" i="60"/>
  <c r="D52" i="60"/>
  <c r="C52" i="60"/>
  <c r="CD51" i="60"/>
  <c r="CD50" i="60" s="1"/>
  <c r="BZ51" i="60"/>
  <c r="BZ50" i="60" s="1"/>
  <c r="BV51" i="60"/>
  <c r="BR51" i="60"/>
  <c r="BN51" i="60"/>
  <c r="BJ51" i="60"/>
  <c r="BF51" i="60"/>
  <c r="BB51" i="60"/>
  <c r="AX51" i="60"/>
  <c r="AT51" i="60"/>
  <c r="AP51" i="60"/>
  <c r="AL51" i="60"/>
  <c r="AF51" i="60"/>
  <c r="AD51" i="60"/>
  <c r="J51" i="60"/>
  <c r="I51" i="60"/>
  <c r="G51" i="60"/>
  <c r="D51" i="60"/>
  <c r="C51" i="60"/>
  <c r="AD50" i="60"/>
  <c r="D50" i="60"/>
  <c r="C50" i="60"/>
  <c r="CD49" i="60"/>
  <c r="BZ49" i="60"/>
  <c r="BV49" i="60"/>
  <c r="BR49" i="60"/>
  <c r="BN49" i="60"/>
  <c r="BJ49" i="60"/>
  <c r="BF49" i="60"/>
  <c r="BB49" i="60"/>
  <c r="AX49" i="60"/>
  <c r="AT49" i="60"/>
  <c r="AP49" i="60"/>
  <c r="AL49" i="60"/>
  <c r="AH49" i="60" s="1"/>
  <c r="AG49" i="60" s="1"/>
  <c r="AF49" i="60"/>
  <c r="AD49" i="60"/>
  <c r="J49" i="60"/>
  <c r="K49" i="60" s="1"/>
  <c r="G49" i="60"/>
  <c r="D49" i="60"/>
  <c r="C49" i="60"/>
  <c r="CD48" i="60"/>
  <c r="BZ48" i="60"/>
  <c r="BV48" i="60"/>
  <c r="BR48" i="60"/>
  <c r="BN48" i="60"/>
  <c r="BJ48" i="60"/>
  <c r="BF48" i="60"/>
  <c r="BB48" i="60"/>
  <c r="AX48" i="60"/>
  <c r="AT48" i="60"/>
  <c r="AP48" i="60"/>
  <c r="AL48" i="60"/>
  <c r="AF48" i="60"/>
  <c r="AD48" i="60"/>
  <c r="J48" i="60"/>
  <c r="K48" i="60" s="1"/>
  <c r="G48" i="60"/>
  <c r="D48" i="60"/>
  <c r="C48" i="60"/>
  <c r="CD47" i="60"/>
  <c r="BZ47" i="60"/>
  <c r="BV47" i="60"/>
  <c r="BR47" i="60"/>
  <c r="BN47" i="60"/>
  <c r="BJ47" i="60"/>
  <c r="BF47" i="60"/>
  <c r="BB47" i="60"/>
  <c r="AX47" i="60"/>
  <c r="AT47" i="60"/>
  <c r="AP47" i="60"/>
  <c r="AL47" i="60"/>
  <c r="AH47" i="60" s="1"/>
  <c r="AG47" i="60" s="1"/>
  <c r="AF47" i="60"/>
  <c r="AD47" i="60"/>
  <c r="J47" i="60"/>
  <c r="K47" i="60" s="1"/>
  <c r="G47" i="60"/>
  <c r="D47" i="60"/>
  <c r="C47" i="60"/>
  <c r="CD46" i="60"/>
  <c r="BZ46" i="60"/>
  <c r="BV46" i="60"/>
  <c r="BR46" i="60"/>
  <c r="BN46" i="60"/>
  <c r="BJ46" i="60"/>
  <c r="BF46" i="60"/>
  <c r="BB46" i="60"/>
  <c r="AX46" i="60"/>
  <c r="AT46" i="60"/>
  <c r="AP46" i="60"/>
  <c r="AL46" i="60"/>
  <c r="AF46" i="60"/>
  <c r="AD46" i="60"/>
  <c r="J46" i="60"/>
  <c r="K46" i="60" s="1"/>
  <c r="G46" i="60"/>
  <c r="D46" i="60"/>
  <c r="C46" i="60"/>
  <c r="CD45" i="60"/>
  <c r="BZ45" i="60"/>
  <c r="BV45" i="60"/>
  <c r="AH45" i="60" s="1"/>
  <c r="AG45" i="60" s="1"/>
  <c r="BR45" i="60"/>
  <c r="BN45" i="60"/>
  <c r="BJ45" i="60"/>
  <c r="BF45" i="60"/>
  <c r="BB45" i="60"/>
  <c r="AX45" i="60"/>
  <c r="AT45" i="60"/>
  <c r="AP45" i="60"/>
  <c r="AL45" i="60"/>
  <c r="AF45" i="60"/>
  <c r="AD45" i="60"/>
  <c r="J45" i="60"/>
  <c r="K45" i="60" s="1"/>
  <c r="G45" i="60"/>
  <c r="D45" i="60"/>
  <c r="CD44" i="60"/>
  <c r="BZ44" i="60"/>
  <c r="BV44" i="60"/>
  <c r="BR44" i="60"/>
  <c r="BN44" i="60"/>
  <c r="BJ44" i="60"/>
  <c r="BF44" i="60"/>
  <c r="BB44" i="60"/>
  <c r="AX44" i="60"/>
  <c r="AT44" i="60"/>
  <c r="AP44" i="60"/>
  <c r="AL44" i="60"/>
  <c r="AH44" i="60"/>
  <c r="AG44" i="60" s="1"/>
  <c r="AF44" i="60"/>
  <c r="AD44" i="60"/>
  <c r="J44" i="60"/>
  <c r="K44" i="60" s="1"/>
  <c r="G44" i="60"/>
  <c r="D44" i="60"/>
  <c r="C44" i="60"/>
  <c r="CD43" i="60"/>
  <c r="BZ43" i="60"/>
  <c r="BV43" i="60"/>
  <c r="BR43" i="60"/>
  <c r="BN43" i="60"/>
  <c r="BJ43" i="60"/>
  <c r="BF43" i="60"/>
  <c r="BB43" i="60"/>
  <c r="AX43" i="60"/>
  <c r="AT43" i="60"/>
  <c r="AP43" i="60"/>
  <c r="AL43" i="60"/>
  <c r="AH43" i="60" s="1"/>
  <c r="AG43" i="60" s="1"/>
  <c r="AF43" i="60"/>
  <c r="AD43" i="60"/>
  <c r="J43" i="60"/>
  <c r="K43" i="60" s="1"/>
  <c r="G43" i="60"/>
  <c r="D43" i="60"/>
  <c r="C43" i="60"/>
  <c r="CD42" i="60"/>
  <c r="BZ42" i="60"/>
  <c r="BV42" i="60"/>
  <c r="BR42" i="60"/>
  <c r="BN42" i="60"/>
  <c r="BJ42" i="60"/>
  <c r="BF42" i="60"/>
  <c r="BB42" i="60"/>
  <c r="AX42" i="60"/>
  <c r="AT42" i="60"/>
  <c r="AP42" i="60"/>
  <c r="AL42" i="60"/>
  <c r="AH42" i="60"/>
  <c r="AG42" i="60"/>
  <c r="AF42" i="60"/>
  <c r="AD42" i="60"/>
  <c r="J42" i="60"/>
  <c r="K42" i="60" s="1"/>
  <c r="G42" i="60"/>
  <c r="D42" i="60"/>
  <c r="C42" i="60"/>
  <c r="CD41" i="60"/>
  <c r="BZ41" i="60"/>
  <c r="BV41" i="60"/>
  <c r="BR41" i="60"/>
  <c r="BN41" i="60"/>
  <c r="BJ41" i="60"/>
  <c r="BF41" i="60"/>
  <c r="BB41" i="60"/>
  <c r="AX41" i="60"/>
  <c r="AT41" i="60"/>
  <c r="AP41" i="60"/>
  <c r="AL41" i="60"/>
  <c r="AF41" i="60"/>
  <c r="AD41" i="60"/>
  <c r="G41" i="60"/>
  <c r="D41" i="60"/>
  <c r="C41" i="60"/>
  <c r="CD40" i="60"/>
  <c r="CD37" i="60" s="1"/>
  <c r="BZ40" i="60"/>
  <c r="BZ37" i="60" s="1"/>
  <c r="BV40" i="60"/>
  <c r="BR40" i="60"/>
  <c r="BN40" i="60"/>
  <c r="AH40" i="60" s="1"/>
  <c r="AG40" i="60" s="1"/>
  <c r="BJ40" i="60"/>
  <c r="BF40" i="60"/>
  <c r="BB40" i="60"/>
  <c r="AX40" i="60"/>
  <c r="AT40" i="60"/>
  <c r="AP40" i="60"/>
  <c r="AL40" i="60"/>
  <c r="AF40" i="60"/>
  <c r="AD40" i="60"/>
  <c r="G40" i="60"/>
  <c r="D40" i="60"/>
  <c r="C40" i="60"/>
  <c r="CD39" i="60"/>
  <c r="BZ39" i="60"/>
  <c r="BV39" i="60"/>
  <c r="BR39" i="60"/>
  <c r="BN39" i="60"/>
  <c r="BJ39" i="60"/>
  <c r="BF39" i="60"/>
  <c r="BB39" i="60"/>
  <c r="AX39" i="60"/>
  <c r="AT39" i="60"/>
  <c r="AP39" i="60"/>
  <c r="AL39" i="60"/>
  <c r="AH39" i="60"/>
  <c r="AF39" i="60"/>
  <c r="AG39" i="60" s="1"/>
  <c r="AD39" i="60"/>
  <c r="G39" i="60"/>
  <c r="D39" i="60"/>
  <c r="C39" i="60"/>
  <c r="CD38" i="60"/>
  <c r="BZ38" i="60"/>
  <c r="BV38" i="60"/>
  <c r="BR38" i="60"/>
  <c r="BN38" i="60"/>
  <c r="BJ38" i="60"/>
  <c r="BF38" i="60"/>
  <c r="BB38" i="60"/>
  <c r="BB37" i="60" s="1"/>
  <c r="AX38" i="60"/>
  <c r="AX37" i="60" s="1"/>
  <c r="AT38" i="60"/>
  <c r="AH38" i="60" s="1"/>
  <c r="AP38" i="60"/>
  <c r="AL38" i="60"/>
  <c r="AF38" i="60"/>
  <c r="AD38" i="60"/>
  <c r="G38" i="60"/>
  <c r="D38" i="60"/>
  <c r="C38" i="60"/>
  <c r="AT37" i="60"/>
  <c r="AD37" i="60"/>
  <c r="D37" i="60"/>
  <c r="C37" i="60"/>
  <c r="CD36" i="60"/>
  <c r="BZ36" i="60"/>
  <c r="BV36" i="60"/>
  <c r="BR36" i="60"/>
  <c r="BN36" i="60"/>
  <c r="BJ36" i="60"/>
  <c r="BF36" i="60"/>
  <c r="BB36" i="60"/>
  <c r="AX36" i="60"/>
  <c r="AT36" i="60"/>
  <c r="AP36" i="60"/>
  <c r="AL36" i="60"/>
  <c r="AF36" i="60"/>
  <c r="AD36" i="60"/>
  <c r="J36" i="60"/>
  <c r="K36" i="60" s="1"/>
  <c r="G36" i="60"/>
  <c r="D36" i="60"/>
  <c r="CD35" i="60"/>
  <c r="BZ35" i="60"/>
  <c r="BV35" i="60"/>
  <c r="BR35" i="60"/>
  <c r="BN35" i="60"/>
  <c r="BJ35" i="60"/>
  <c r="BF35" i="60"/>
  <c r="BB35" i="60"/>
  <c r="AX35" i="60"/>
  <c r="AT35" i="60"/>
  <c r="AP35" i="60"/>
  <c r="AL35" i="60"/>
  <c r="AH35" i="60"/>
  <c r="AG35" i="60" s="1"/>
  <c r="AF35" i="60"/>
  <c r="AD35" i="60"/>
  <c r="J35" i="60"/>
  <c r="K35" i="60" s="1"/>
  <c r="G35" i="60"/>
  <c r="D35" i="60"/>
  <c r="C35" i="60"/>
  <c r="CD34" i="60"/>
  <c r="BZ34" i="60"/>
  <c r="BV34" i="60"/>
  <c r="BR34" i="60"/>
  <c r="BN34" i="60"/>
  <c r="BJ34" i="60"/>
  <c r="BF34" i="60"/>
  <c r="BB34" i="60"/>
  <c r="AX34" i="60"/>
  <c r="AT34" i="60"/>
  <c r="AP34" i="60"/>
  <c r="AL34" i="60"/>
  <c r="AH34" i="60" s="1"/>
  <c r="AG34" i="60" s="1"/>
  <c r="AF34" i="60"/>
  <c r="AD34" i="60"/>
  <c r="J34" i="60"/>
  <c r="K34" i="60" s="1"/>
  <c r="G34" i="60"/>
  <c r="D34" i="60"/>
  <c r="C34" i="60"/>
  <c r="CD33" i="60"/>
  <c r="AH33" i="60" s="1"/>
  <c r="AG33" i="60" s="1"/>
  <c r="BZ33" i="60"/>
  <c r="BV33" i="60"/>
  <c r="BR33" i="60"/>
  <c r="BN33" i="60"/>
  <c r="BJ33" i="60"/>
  <c r="BF33" i="60"/>
  <c r="BB33" i="60"/>
  <c r="AX33" i="60"/>
  <c r="AT33" i="60"/>
  <c r="AP33" i="60"/>
  <c r="AL33" i="60"/>
  <c r="AF33" i="60"/>
  <c r="AD33" i="60"/>
  <c r="J33" i="60"/>
  <c r="K33" i="60" s="1"/>
  <c r="G33" i="60"/>
  <c r="D33" i="60"/>
  <c r="C33" i="60"/>
  <c r="CD32" i="60"/>
  <c r="BZ32" i="60"/>
  <c r="BV32" i="60"/>
  <c r="BR32" i="60"/>
  <c r="BN32" i="60"/>
  <c r="BJ32" i="60"/>
  <c r="BF32" i="60"/>
  <c r="BB32" i="60"/>
  <c r="AX32" i="60"/>
  <c r="AT32" i="60"/>
  <c r="AP32" i="60"/>
  <c r="AL32" i="60"/>
  <c r="AF32" i="60"/>
  <c r="AD32" i="60"/>
  <c r="J32" i="60"/>
  <c r="K32" i="60" s="1"/>
  <c r="G32" i="60"/>
  <c r="D32" i="60"/>
  <c r="C32" i="60"/>
  <c r="CD31" i="60"/>
  <c r="BZ31" i="60"/>
  <c r="BV31" i="60"/>
  <c r="BR31" i="60"/>
  <c r="BN31" i="60"/>
  <c r="BJ31" i="60"/>
  <c r="BF31" i="60"/>
  <c r="BB31" i="60"/>
  <c r="AX31" i="60"/>
  <c r="AT31" i="60"/>
  <c r="AP31" i="60"/>
  <c r="AL31" i="60"/>
  <c r="AF31" i="60"/>
  <c r="AD31" i="60"/>
  <c r="J31" i="60"/>
  <c r="K31" i="60" s="1"/>
  <c r="G31" i="60"/>
  <c r="D31" i="60"/>
  <c r="C31" i="60"/>
  <c r="CD30" i="60"/>
  <c r="BZ30" i="60"/>
  <c r="BV30" i="60"/>
  <c r="BR30" i="60"/>
  <c r="BN30" i="60"/>
  <c r="BJ30" i="60"/>
  <c r="BF30" i="60"/>
  <c r="BB30" i="60"/>
  <c r="AX30" i="60"/>
  <c r="AT30" i="60"/>
  <c r="AP30" i="60"/>
  <c r="AL30" i="60"/>
  <c r="AL24" i="60" s="1"/>
  <c r="AH30" i="60"/>
  <c r="AF30" i="60"/>
  <c r="AG30" i="60" s="1"/>
  <c r="AD30" i="60"/>
  <c r="J30" i="60"/>
  <c r="K30" i="60" s="1"/>
  <c r="G30" i="60"/>
  <c r="D30" i="60"/>
  <c r="C30" i="60"/>
  <c r="CD29" i="60"/>
  <c r="BZ29" i="60"/>
  <c r="BV29" i="60"/>
  <c r="BR29" i="60"/>
  <c r="BN29" i="60"/>
  <c r="BJ29" i="60"/>
  <c r="BF29" i="60"/>
  <c r="BB29" i="60"/>
  <c r="AX29" i="60"/>
  <c r="AT29" i="60"/>
  <c r="AH29" i="60" s="1"/>
  <c r="AG29" i="60" s="1"/>
  <c r="AP29" i="60"/>
  <c r="AL29" i="60"/>
  <c r="AF29" i="60"/>
  <c r="AD29" i="60"/>
  <c r="J29" i="60"/>
  <c r="K29" i="60" s="1"/>
  <c r="G29" i="60"/>
  <c r="D29" i="60"/>
  <c r="C29" i="60"/>
  <c r="CD28" i="60"/>
  <c r="BZ28" i="60"/>
  <c r="BV28" i="60"/>
  <c r="AH28" i="60" s="1"/>
  <c r="AG28" i="60" s="1"/>
  <c r="BR28" i="60"/>
  <c r="BN28" i="60"/>
  <c r="BJ28" i="60"/>
  <c r="BF28" i="60"/>
  <c r="BB28" i="60"/>
  <c r="AX28" i="60"/>
  <c r="AT28" i="60"/>
  <c r="AP28" i="60"/>
  <c r="AL28" i="60"/>
  <c r="AF28" i="60"/>
  <c r="AD28" i="60"/>
  <c r="J28" i="60"/>
  <c r="K28" i="60" s="1"/>
  <c r="G28" i="60"/>
  <c r="D28" i="60"/>
  <c r="CD27" i="60"/>
  <c r="BZ27" i="60"/>
  <c r="BV27" i="60"/>
  <c r="BR27" i="60"/>
  <c r="BN27" i="60"/>
  <c r="BJ27" i="60"/>
  <c r="BF27" i="60"/>
  <c r="BB27" i="60"/>
  <c r="AX27" i="60"/>
  <c r="AT27" i="60"/>
  <c r="AP27" i="60"/>
  <c r="AL27" i="60"/>
  <c r="AH27" i="60" s="1"/>
  <c r="AG27" i="60" s="1"/>
  <c r="AF27" i="60"/>
  <c r="AD27" i="60"/>
  <c r="J27" i="60"/>
  <c r="K27" i="60" s="1"/>
  <c r="G27" i="60"/>
  <c r="D27" i="60"/>
  <c r="C27" i="60"/>
  <c r="CD26" i="60"/>
  <c r="BZ26" i="60"/>
  <c r="BV26" i="60"/>
  <c r="BR26" i="60"/>
  <c r="BR24" i="60" s="1"/>
  <c r="BN26" i="60"/>
  <c r="BN24" i="60" s="1"/>
  <c r="BJ26" i="60"/>
  <c r="BF26" i="60"/>
  <c r="BB26" i="60"/>
  <c r="AX26" i="60"/>
  <c r="AT26" i="60"/>
  <c r="AP26" i="60"/>
  <c r="AL26" i="60"/>
  <c r="AF26" i="60"/>
  <c r="AD26" i="60"/>
  <c r="J26" i="60"/>
  <c r="K26" i="60" s="1"/>
  <c r="G26" i="60"/>
  <c r="D26" i="60"/>
  <c r="C26" i="60"/>
  <c r="CD25" i="60"/>
  <c r="CD24" i="60" s="1"/>
  <c r="BZ25" i="60"/>
  <c r="BV25" i="60"/>
  <c r="BR25" i="60"/>
  <c r="BN25" i="60"/>
  <c r="BJ25" i="60"/>
  <c r="BF25" i="60"/>
  <c r="BB25" i="60"/>
  <c r="AX25" i="60"/>
  <c r="AT25" i="60"/>
  <c r="AP25" i="60"/>
  <c r="AL25" i="60"/>
  <c r="AF25" i="60"/>
  <c r="AD25" i="60"/>
  <c r="J25" i="60"/>
  <c r="G25" i="60"/>
  <c r="D25" i="60"/>
  <c r="AD24" i="60"/>
  <c r="D24" i="60"/>
  <c r="CD23" i="60"/>
  <c r="BZ23" i="60"/>
  <c r="BV23" i="60"/>
  <c r="BR23" i="60"/>
  <c r="BN23" i="60"/>
  <c r="BJ23" i="60"/>
  <c r="BF23" i="60"/>
  <c r="BB23" i="60"/>
  <c r="AX23" i="60"/>
  <c r="AT23" i="60"/>
  <c r="AP23" i="60"/>
  <c r="AH23" i="60" s="1"/>
  <c r="AG23" i="60" s="1"/>
  <c r="AL23" i="60"/>
  <c r="AF23" i="60"/>
  <c r="AD23" i="60"/>
  <c r="O23" i="60"/>
  <c r="J23" i="60"/>
  <c r="K23" i="60" s="1"/>
  <c r="G23" i="60"/>
  <c r="D23" i="60"/>
  <c r="C23" i="60"/>
  <c r="CD22" i="60"/>
  <c r="BZ22" i="60"/>
  <c r="BV22" i="60"/>
  <c r="BR22" i="60"/>
  <c r="BN22" i="60"/>
  <c r="BJ22" i="60"/>
  <c r="BF22" i="60"/>
  <c r="BB22" i="60"/>
  <c r="AX22" i="60"/>
  <c r="AT22" i="60"/>
  <c r="AP22" i="60"/>
  <c r="AL22" i="60"/>
  <c r="AF22" i="60"/>
  <c r="AD22" i="60"/>
  <c r="O22" i="60"/>
  <c r="J22" i="60"/>
  <c r="K22" i="60" s="1"/>
  <c r="G22" i="60"/>
  <c r="D22" i="60"/>
  <c r="C22" i="60"/>
  <c r="CD21" i="60"/>
  <c r="BZ21" i="60"/>
  <c r="BV21" i="60"/>
  <c r="BR21" i="60"/>
  <c r="BN21" i="60"/>
  <c r="BJ21" i="60"/>
  <c r="BF21" i="60"/>
  <c r="BB21" i="60"/>
  <c r="AX21" i="60"/>
  <c r="AT21" i="60"/>
  <c r="AP21" i="60"/>
  <c r="AL21" i="60"/>
  <c r="AF21" i="60"/>
  <c r="AD21" i="60"/>
  <c r="O21" i="60"/>
  <c r="J21" i="60"/>
  <c r="K21" i="60" s="1"/>
  <c r="G21" i="60"/>
  <c r="D21" i="60"/>
  <c r="C21" i="60"/>
  <c r="CD20" i="60"/>
  <c r="BZ20" i="60"/>
  <c r="BV20" i="60"/>
  <c r="BR20" i="60"/>
  <c r="BN20" i="60"/>
  <c r="AH20" i="60" s="1"/>
  <c r="AG20" i="60" s="1"/>
  <c r="BJ20" i="60"/>
  <c r="BF20" i="60"/>
  <c r="BB20" i="60"/>
  <c r="AX20" i="60"/>
  <c r="AT20" i="60"/>
  <c r="AP20" i="60"/>
  <c r="AL20" i="60"/>
  <c r="AF20" i="60"/>
  <c r="AD20" i="60"/>
  <c r="O20" i="60"/>
  <c r="J20" i="60"/>
  <c r="K20" i="60" s="1"/>
  <c r="G20" i="60"/>
  <c r="D20" i="60"/>
  <c r="CD19" i="60"/>
  <c r="BZ19" i="60"/>
  <c r="BV19" i="60"/>
  <c r="BR19" i="60"/>
  <c r="BN19" i="60"/>
  <c r="BJ19" i="60"/>
  <c r="BF19" i="60"/>
  <c r="BB19" i="60"/>
  <c r="AX19" i="60"/>
  <c r="AT19" i="60"/>
  <c r="AP19" i="60"/>
  <c r="AL19" i="60"/>
  <c r="AH19" i="60"/>
  <c r="AG19" i="60"/>
  <c r="AF19" i="60"/>
  <c r="AD19" i="60"/>
  <c r="O19" i="60"/>
  <c r="J19" i="60"/>
  <c r="K19" i="60" s="1"/>
  <c r="G19" i="60"/>
  <c r="D19" i="60"/>
  <c r="C19" i="60"/>
  <c r="CD18" i="60"/>
  <c r="BZ18" i="60"/>
  <c r="BV18" i="60"/>
  <c r="BR18" i="60"/>
  <c r="BN18" i="60"/>
  <c r="BJ18" i="60"/>
  <c r="BF18" i="60"/>
  <c r="BB18" i="60"/>
  <c r="AX18" i="60"/>
  <c r="AT18" i="60"/>
  <c r="AP18" i="60"/>
  <c r="AL18" i="60"/>
  <c r="AH18" i="60" s="1"/>
  <c r="AG18" i="60" s="1"/>
  <c r="AF18" i="60"/>
  <c r="AD18" i="60"/>
  <c r="O18" i="60"/>
  <c r="J18" i="60"/>
  <c r="K18" i="60" s="1"/>
  <c r="G18" i="60"/>
  <c r="D18" i="60"/>
  <c r="C18" i="60"/>
  <c r="CD17" i="60"/>
  <c r="BZ17" i="60"/>
  <c r="BV17" i="60"/>
  <c r="BR17" i="60"/>
  <c r="BN17" i="60"/>
  <c r="BJ17" i="60"/>
  <c r="BF17" i="60"/>
  <c r="BB17" i="60"/>
  <c r="AX17" i="60"/>
  <c r="AT17" i="60"/>
  <c r="AP17" i="60"/>
  <c r="AL17" i="60"/>
  <c r="AH17" i="60"/>
  <c r="AG17" i="60"/>
  <c r="AF17" i="60"/>
  <c r="AD17" i="60"/>
  <c r="O17" i="60"/>
  <c r="J17" i="60"/>
  <c r="K17" i="60" s="1"/>
  <c r="G17" i="60"/>
  <c r="D17" i="60"/>
  <c r="C17" i="60"/>
  <c r="CD16" i="60"/>
  <c r="BZ16" i="60"/>
  <c r="BV16" i="60"/>
  <c r="BR16" i="60"/>
  <c r="BN16" i="60"/>
  <c r="BJ16" i="60"/>
  <c r="BF16" i="60"/>
  <c r="BB16" i="60"/>
  <c r="AX16" i="60"/>
  <c r="AT16" i="60"/>
  <c r="AP16" i="60"/>
  <c r="AL16" i="60"/>
  <c r="AF16" i="60"/>
  <c r="AD16" i="60"/>
  <c r="O16" i="60"/>
  <c r="J16" i="60"/>
  <c r="K16" i="60" s="1"/>
  <c r="G16" i="60"/>
  <c r="D16" i="60"/>
  <c r="C16" i="60"/>
  <c r="CD15" i="60"/>
  <c r="BZ15" i="60"/>
  <c r="BV15" i="60"/>
  <c r="BR15" i="60"/>
  <c r="BN15" i="60"/>
  <c r="BJ15" i="60"/>
  <c r="BF15" i="60"/>
  <c r="BB15" i="60"/>
  <c r="AX15" i="60"/>
  <c r="AT15" i="60"/>
  <c r="AP15" i="60"/>
  <c r="AL15" i="60"/>
  <c r="AH15" i="60"/>
  <c r="AF15" i="60"/>
  <c r="AG15" i="60" s="1"/>
  <c r="AD15" i="60"/>
  <c r="O15" i="60"/>
  <c r="J15" i="60"/>
  <c r="K15" i="60" s="1"/>
  <c r="G15" i="60"/>
  <c r="D15" i="60"/>
  <c r="C15" i="60"/>
  <c r="CD14" i="60"/>
  <c r="BZ14" i="60"/>
  <c r="BV14" i="60"/>
  <c r="BR14" i="60"/>
  <c r="BN14" i="60"/>
  <c r="BJ14" i="60"/>
  <c r="BF14" i="60"/>
  <c r="BB14" i="60"/>
  <c r="AX14" i="60"/>
  <c r="AX11" i="60" s="1"/>
  <c r="AT14" i="60"/>
  <c r="AT11" i="60" s="1"/>
  <c r="AP14" i="60"/>
  <c r="AL14" i="60"/>
  <c r="AF14" i="60"/>
  <c r="AD14" i="60"/>
  <c r="G14" i="60"/>
  <c r="D14" i="60"/>
  <c r="C14" i="60"/>
  <c r="CD13" i="60"/>
  <c r="CD11" i="60" s="1"/>
  <c r="BZ13" i="60"/>
  <c r="BZ11" i="60" s="1"/>
  <c r="BV13" i="60"/>
  <c r="BV11" i="60" s="1"/>
  <c r="BR13" i="60"/>
  <c r="AH13" i="60" s="1"/>
  <c r="AG13" i="60" s="1"/>
  <c r="BN13" i="60"/>
  <c r="BJ13" i="60"/>
  <c r="BF13" i="60"/>
  <c r="BB13" i="60"/>
  <c r="AX13" i="60"/>
  <c r="AT13" i="60"/>
  <c r="AP13" i="60"/>
  <c r="AL13" i="60"/>
  <c r="AF13" i="60"/>
  <c r="AD13" i="60"/>
  <c r="G13" i="60"/>
  <c r="D13" i="60"/>
  <c r="CD12" i="60"/>
  <c r="BZ12" i="60"/>
  <c r="BV12" i="60"/>
  <c r="BR12" i="60"/>
  <c r="BR11" i="60" s="1"/>
  <c r="BN12" i="60"/>
  <c r="BJ12" i="60"/>
  <c r="BF12" i="60"/>
  <c r="BB12" i="60"/>
  <c r="AX12" i="60"/>
  <c r="AT12" i="60"/>
  <c r="AP12" i="60"/>
  <c r="AL12" i="60"/>
  <c r="AH12" i="60"/>
  <c r="AF12" i="60"/>
  <c r="AD12" i="60"/>
  <c r="G12" i="60"/>
  <c r="D12" i="60"/>
  <c r="C12" i="60"/>
  <c r="AP11" i="60"/>
  <c r="AD11" i="60"/>
  <c r="D11" i="60"/>
  <c r="C11" i="60"/>
  <c r="AF6" i="60"/>
  <c r="A3" i="60"/>
  <c r="C20" i="60" s="1"/>
  <c r="B36" i="4"/>
  <c r="G38" i="9" s="1"/>
  <c r="D36" i="4"/>
  <c r="E38" i="9" s="1"/>
  <c r="B37" i="4"/>
  <c r="G39" i="9" s="1"/>
  <c r="D37" i="4"/>
  <c r="I38" i="9"/>
  <c r="Q38" i="9"/>
  <c r="P38" i="9"/>
  <c r="R38" i="9"/>
  <c r="I25" i="61" l="1"/>
  <c r="J16" i="61"/>
  <c r="J12" i="85"/>
  <c r="K12" i="85" s="1"/>
  <c r="K11" i="85" s="1"/>
  <c r="O12" i="62"/>
  <c r="N30" i="62"/>
  <c r="C47" i="61"/>
  <c r="C11" i="61"/>
  <c r="C52" i="61"/>
  <c r="C16" i="61"/>
  <c r="C20" i="61"/>
  <c r="C33" i="61"/>
  <c r="C46" i="61"/>
  <c r="C25" i="61"/>
  <c r="C15" i="61"/>
  <c r="C57" i="61"/>
  <c r="C53" i="61"/>
  <c r="K53" i="63"/>
  <c r="K54" i="62"/>
  <c r="L94" i="2"/>
  <c r="L90" i="2"/>
  <c r="J17" i="61"/>
  <c r="K17" i="61" s="1"/>
  <c r="K58" i="60"/>
  <c r="K61" i="62"/>
  <c r="K59" i="63"/>
  <c r="K14" i="60"/>
  <c r="K25" i="63"/>
  <c r="K24" i="63" s="1"/>
  <c r="K13" i="60"/>
  <c r="K60" i="61"/>
  <c r="K15" i="61"/>
  <c r="K12" i="62"/>
  <c r="K13" i="62"/>
  <c r="K16" i="61"/>
  <c r="I25" i="60"/>
  <c r="K25" i="60" s="1"/>
  <c r="K24" i="60" s="1"/>
  <c r="K12" i="60"/>
  <c r="K62" i="61"/>
  <c r="K14" i="61"/>
  <c r="K25" i="61"/>
  <c r="K24" i="61" s="1"/>
  <c r="I25" i="62"/>
  <c r="K25" i="62" s="1"/>
  <c r="K24" i="62" s="1"/>
  <c r="J14" i="62"/>
  <c r="K14" i="62" s="1"/>
  <c r="K53" i="62"/>
  <c r="K56" i="62"/>
  <c r="K53" i="60"/>
  <c r="K52" i="63"/>
  <c r="K52" i="62"/>
  <c r="K57" i="62"/>
  <c r="K55" i="63"/>
  <c r="K58" i="62"/>
  <c r="K61" i="63"/>
  <c r="K52" i="60"/>
  <c r="K56" i="63"/>
  <c r="O12" i="61"/>
  <c r="K57" i="61"/>
  <c r="K12" i="61"/>
  <c r="K13" i="61"/>
  <c r="K51" i="62"/>
  <c r="K57" i="63"/>
  <c r="K53" i="61"/>
  <c r="L38" i="9"/>
  <c r="J38" i="9"/>
  <c r="K38" i="9"/>
  <c r="E39" i="9"/>
  <c r="C38" i="9"/>
  <c r="K62" i="63"/>
  <c r="K58" i="63"/>
  <c r="K54" i="63"/>
  <c r="K60" i="63"/>
  <c r="AG25" i="63"/>
  <c r="AG51" i="63"/>
  <c r="AG12" i="63"/>
  <c r="AH11" i="63"/>
  <c r="K37" i="63"/>
  <c r="AW6" i="63"/>
  <c r="AL37" i="63"/>
  <c r="BN11" i="63"/>
  <c r="AX24" i="63"/>
  <c r="BJ24" i="63"/>
  <c r="BN37" i="63"/>
  <c r="K11" i="63"/>
  <c r="AH21" i="63"/>
  <c r="AG21" i="63" s="1"/>
  <c r="AH49" i="63"/>
  <c r="AG49" i="63" s="1"/>
  <c r="AT24" i="63"/>
  <c r="CD24" i="63"/>
  <c r="AH32" i="63"/>
  <c r="AG32" i="63" s="1"/>
  <c r="AH41" i="63"/>
  <c r="AG41" i="63" s="1"/>
  <c r="AH53" i="63"/>
  <c r="AG53" i="63" s="1"/>
  <c r="AL11" i="63"/>
  <c r="BZ50" i="63"/>
  <c r="AG38" i="63"/>
  <c r="AO6" i="63"/>
  <c r="BF24" i="63"/>
  <c r="BJ37" i="63"/>
  <c r="AP37" i="63"/>
  <c r="AX50" i="63"/>
  <c r="AG26" i="63"/>
  <c r="AL50" i="63"/>
  <c r="CD50" i="63"/>
  <c r="AH18" i="63"/>
  <c r="AG18" i="63" s="1"/>
  <c r="AH56" i="63"/>
  <c r="AG56" i="63" s="1"/>
  <c r="CC6" i="63"/>
  <c r="BR11" i="63"/>
  <c r="BB24" i="63"/>
  <c r="BB50" i="63"/>
  <c r="AT11" i="63"/>
  <c r="BR37" i="63"/>
  <c r="BF50" i="63"/>
  <c r="BV37" i="63"/>
  <c r="AH48" i="63"/>
  <c r="AG48" i="63" s="1"/>
  <c r="AH31" i="63"/>
  <c r="AG31" i="63" s="1"/>
  <c r="AX37" i="63"/>
  <c r="AH40" i="63"/>
  <c r="AG40" i="63" s="1"/>
  <c r="BF11" i="63"/>
  <c r="AH46" i="63"/>
  <c r="AG46" i="63" s="1"/>
  <c r="K56" i="61"/>
  <c r="C13" i="63"/>
  <c r="C28" i="63"/>
  <c r="C36" i="63"/>
  <c r="C45" i="63"/>
  <c r="C58" i="63"/>
  <c r="C20" i="63"/>
  <c r="K54" i="60"/>
  <c r="C31" i="63"/>
  <c r="C40" i="63"/>
  <c r="C48" i="63"/>
  <c r="K62" i="62"/>
  <c r="I60" i="62"/>
  <c r="K60" i="62"/>
  <c r="K59" i="62"/>
  <c r="K55" i="62"/>
  <c r="CC6" i="62"/>
  <c r="BA6" i="62"/>
  <c r="AG12" i="62"/>
  <c r="BB50" i="62"/>
  <c r="AL11" i="62"/>
  <c r="BF50" i="62"/>
  <c r="AT24" i="62"/>
  <c r="AG38" i="62"/>
  <c r="AP37" i="62"/>
  <c r="AT50" i="62"/>
  <c r="AH52" i="62"/>
  <c r="AG52" i="62" s="1"/>
  <c r="AH58" i="62"/>
  <c r="AG58" i="62" s="1"/>
  <c r="BJ37" i="62"/>
  <c r="AH48" i="62"/>
  <c r="AG48" i="62" s="1"/>
  <c r="AP24" i="62"/>
  <c r="CD24" i="62"/>
  <c r="AH25" i="62"/>
  <c r="BB24" i="62"/>
  <c r="AH18" i="62"/>
  <c r="AG18" i="62" s="1"/>
  <c r="BF24" i="62"/>
  <c r="BR37" i="62"/>
  <c r="AH40" i="62"/>
  <c r="AG40" i="62" s="1"/>
  <c r="BV50" i="62"/>
  <c r="BF11" i="62"/>
  <c r="AH16" i="62"/>
  <c r="AG16" i="62" s="1"/>
  <c r="BJ24" i="62"/>
  <c r="AH31" i="62"/>
  <c r="AG31" i="62" s="1"/>
  <c r="BV37" i="62"/>
  <c r="AH43" i="62"/>
  <c r="AG43" i="62" s="1"/>
  <c r="BZ50" i="62"/>
  <c r="BJ11" i="62"/>
  <c r="AH34" i="62"/>
  <c r="AG34" i="62" s="1"/>
  <c r="AH49" i="62"/>
  <c r="AG49" i="62" s="1"/>
  <c r="CD50" i="62"/>
  <c r="AX50" i="62"/>
  <c r="BN37" i="62"/>
  <c r="BN11" i="62"/>
  <c r="AH56" i="62"/>
  <c r="AG56" i="62" s="1"/>
  <c r="C55" i="62"/>
  <c r="C22" i="62"/>
  <c r="AL37" i="62"/>
  <c r="C51" i="62"/>
  <c r="C36" i="62"/>
  <c r="C45" i="62"/>
  <c r="C58" i="62"/>
  <c r="C20" i="62"/>
  <c r="C13" i="62"/>
  <c r="C28" i="62"/>
  <c r="C31" i="62"/>
  <c r="C40" i="62"/>
  <c r="C48" i="62"/>
  <c r="AH52" i="61"/>
  <c r="BB50" i="61"/>
  <c r="C12" i="61"/>
  <c r="C42" i="61"/>
  <c r="K59" i="60"/>
  <c r="C23" i="61"/>
  <c r="C29" i="61"/>
  <c r="C50" i="61"/>
  <c r="K59" i="61"/>
  <c r="C60" i="61"/>
  <c r="C21" i="61"/>
  <c r="C26" i="61"/>
  <c r="C17" i="61"/>
  <c r="C27" i="61"/>
  <c r="C41" i="61"/>
  <c r="C59" i="61"/>
  <c r="C35" i="61"/>
  <c r="C49" i="61"/>
  <c r="AG52" i="61"/>
  <c r="C54" i="61"/>
  <c r="C18" i="61"/>
  <c r="C37" i="61"/>
  <c r="C55" i="61"/>
  <c r="C24" i="61"/>
  <c r="C61" i="61"/>
  <c r="C14" i="61"/>
  <c r="C19" i="61"/>
  <c r="C44" i="61"/>
  <c r="K55" i="61"/>
  <c r="C34" i="61"/>
  <c r="C30" i="61"/>
  <c r="C62" i="61"/>
  <c r="C43" i="61"/>
  <c r="K61" i="60"/>
  <c r="C38" i="61"/>
  <c r="K54" i="61"/>
  <c r="K51" i="60"/>
  <c r="K62" i="60"/>
  <c r="AP37" i="61"/>
  <c r="AO6" i="61" s="1"/>
  <c r="AP6" i="61" s="1"/>
  <c r="AT37" i="61"/>
  <c r="AG44" i="61"/>
  <c r="K61" i="61"/>
  <c r="K56" i="60"/>
  <c r="K58" i="61"/>
  <c r="K52" i="61"/>
  <c r="K51" i="61"/>
  <c r="BM6" i="61"/>
  <c r="AS6" i="61"/>
  <c r="BV6" i="61"/>
  <c r="BQ6" i="61"/>
  <c r="AG26" i="61"/>
  <c r="AH24" i="61"/>
  <c r="AG38" i="61"/>
  <c r="AH37" i="61"/>
  <c r="BE6" i="61"/>
  <c r="BI6" i="61"/>
  <c r="BY6" i="61"/>
  <c r="CC6" i="61"/>
  <c r="AK6" i="61"/>
  <c r="BA6" i="61"/>
  <c r="AW6" i="61"/>
  <c r="AH12" i="61"/>
  <c r="AH27" i="61"/>
  <c r="AG27" i="61" s="1"/>
  <c r="AH51" i="61"/>
  <c r="AH31" i="61"/>
  <c r="AG31" i="61" s="1"/>
  <c r="C22" i="61"/>
  <c r="C51" i="61"/>
  <c r="C13" i="61"/>
  <c r="C28" i="61"/>
  <c r="C36" i="61"/>
  <c r="C45" i="61"/>
  <c r="C58" i="61"/>
  <c r="C31" i="61"/>
  <c r="C40" i="61"/>
  <c r="C48" i="61"/>
  <c r="K55" i="60"/>
  <c r="K60" i="60"/>
  <c r="K57" i="60"/>
  <c r="BY6" i="60"/>
  <c r="CC6" i="60"/>
  <c r="BQ6" i="60"/>
  <c r="BV24" i="60"/>
  <c r="BZ24" i="60"/>
  <c r="AH25" i="60"/>
  <c r="BB24" i="60"/>
  <c r="AH32" i="60"/>
  <c r="AG32" i="60" s="1"/>
  <c r="BJ37" i="60"/>
  <c r="AH16" i="60"/>
  <c r="AG16" i="60" s="1"/>
  <c r="AH22" i="60"/>
  <c r="AG22" i="60" s="1"/>
  <c r="BN37" i="60"/>
  <c r="BB50" i="60"/>
  <c r="AH52" i="60"/>
  <c r="AG52" i="60" s="1"/>
  <c r="BR50" i="60"/>
  <c r="AH58" i="60"/>
  <c r="AG58" i="60" s="1"/>
  <c r="AG38" i="60"/>
  <c r="AL11" i="60"/>
  <c r="AX24" i="60"/>
  <c r="AH26" i="60"/>
  <c r="AG26" i="60" s="1"/>
  <c r="BF37" i="60"/>
  <c r="AP37" i="60"/>
  <c r="BJ24" i="60"/>
  <c r="BR37" i="60"/>
  <c r="AH48" i="60"/>
  <c r="AG48" i="60" s="1"/>
  <c r="AT50" i="60"/>
  <c r="BB11" i="60"/>
  <c r="AP24" i="60"/>
  <c r="BV37" i="60"/>
  <c r="AX50" i="60"/>
  <c r="BF11" i="60"/>
  <c r="AH21" i="60"/>
  <c r="AG21" i="60" s="1"/>
  <c r="BF24" i="60"/>
  <c r="AT24" i="60"/>
  <c r="AH41" i="60"/>
  <c r="AG41" i="60" s="1"/>
  <c r="BJ11" i="60"/>
  <c r="AH14" i="60"/>
  <c r="AG14" i="60" s="1"/>
  <c r="AH31" i="60"/>
  <c r="AG31" i="60" s="1"/>
  <c r="AH46" i="60"/>
  <c r="AG46" i="60" s="1"/>
  <c r="BF50" i="60"/>
  <c r="AG12" i="60"/>
  <c r="AL37" i="60"/>
  <c r="AL50" i="60"/>
  <c r="BN11" i="60"/>
  <c r="AH36" i="60"/>
  <c r="AG36" i="60" s="1"/>
  <c r="BV50" i="60"/>
  <c r="AH51" i="60"/>
  <c r="AP50" i="60"/>
  <c r="C24" i="60"/>
  <c r="C25" i="60"/>
  <c r="C53" i="60"/>
  <c r="C13" i="60"/>
  <c r="C28" i="60"/>
  <c r="C36" i="60"/>
  <c r="C45" i="60"/>
  <c r="C58" i="60"/>
  <c r="P39" i="9"/>
  <c r="N3" i="85" l="1"/>
  <c r="J11" i="85"/>
  <c r="L88" i="2"/>
  <c r="L89" i="2"/>
  <c r="L19" i="2"/>
  <c r="K11" i="62"/>
  <c r="J11" i="62" s="1"/>
  <c r="K11" i="61"/>
  <c r="N3" i="61" s="1"/>
  <c r="K11" i="60"/>
  <c r="N3" i="60" s="1"/>
  <c r="K50" i="62"/>
  <c r="J50" i="62" s="1"/>
  <c r="M38" i="9"/>
  <c r="N38" i="9" s="1"/>
  <c r="J39" i="9"/>
  <c r="L39" i="9"/>
  <c r="C39" i="9"/>
  <c r="CD6" i="63"/>
  <c r="AX6" i="63"/>
  <c r="N5" i="63"/>
  <c r="J37" i="63"/>
  <c r="J24" i="63"/>
  <c r="N4" i="63"/>
  <c r="BY6" i="63"/>
  <c r="AK6" i="63"/>
  <c r="AH50" i="63"/>
  <c r="BU6" i="63"/>
  <c r="J11" i="63"/>
  <c r="N3" i="63"/>
  <c r="AS6" i="63"/>
  <c r="AH24" i="63"/>
  <c r="BE6" i="63"/>
  <c r="BI6" i="63"/>
  <c r="AP6" i="63"/>
  <c r="BM6" i="63"/>
  <c r="BQ6" i="63"/>
  <c r="AH37" i="63"/>
  <c r="BA6" i="63"/>
  <c r="BY6" i="62"/>
  <c r="BQ6" i="62"/>
  <c r="BU6" i="62"/>
  <c r="BB6" i="62"/>
  <c r="CD6" i="62"/>
  <c r="BM6" i="62"/>
  <c r="AH37" i="62"/>
  <c r="AW6" i="62"/>
  <c r="AG25" i="62"/>
  <c r="AH24" i="62"/>
  <c r="AK6" i="62"/>
  <c r="AH50" i="62"/>
  <c r="J24" i="62"/>
  <c r="N4" i="62"/>
  <c r="AO6" i="62"/>
  <c r="BE6" i="62"/>
  <c r="BI6" i="62"/>
  <c r="AH11" i="62"/>
  <c r="AS6" i="62"/>
  <c r="K50" i="61"/>
  <c r="J50" i="61" s="1"/>
  <c r="K50" i="60"/>
  <c r="J50" i="60" s="1"/>
  <c r="BB6" i="61"/>
  <c r="BR6" i="61"/>
  <c r="AT6" i="61"/>
  <c r="BZ6" i="61"/>
  <c r="BN6" i="61"/>
  <c r="BF6" i="61"/>
  <c r="J24" i="61"/>
  <c r="N4" i="61"/>
  <c r="CD6" i="61"/>
  <c r="AX6" i="61"/>
  <c r="AL6" i="61"/>
  <c r="AH50" i="61"/>
  <c r="AG51" i="61"/>
  <c r="AG12" i="61"/>
  <c r="AH11" i="61"/>
  <c r="BJ6" i="61"/>
  <c r="BI6" i="60"/>
  <c r="AH37" i="60"/>
  <c r="BM6" i="60"/>
  <c r="CD6" i="60"/>
  <c r="AH11" i="60"/>
  <c r="AG25" i="60"/>
  <c r="AH24" i="60"/>
  <c r="BR6" i="60"/>
  <c r="AK6" i="60"/>
  <c r="BE6" i="60"/>
  <c r="AS6" i="60"/>
  <c r="AG51" i="60"/>
  <c r="AH50" i="60"/>
  <c r="BZ6" i="60"/>
  <c r="BA6" i="60"/>
  <c r="J24" i="60"/>
  <c r="N4" i="60"/>
  <c r="BU6" i="60"/>
  <c r="AO6" i="60"/>
  <c r="AW6" i="60"/>
  <c r="L17" i="2" l="1"/>
  <c r="N3" i="62"/>
  <c r="J11" i="61"/>
  <c r="J11" i="60"/>
  <c r="N6" i="62"/>
  <c r="N6" i="61"/>
  <c r="N6" i="60"/>
  <c r="BN6" i="63"/>
  <c r="BJ6" i="63"/>
  <c r="AL6" i="63"/>
  <c r="AT6" i="63"/>
  <c r="BF6" i="63"/>
  <c r="BV6" i="63"/>
  <c r="BZ6" i="63"/>
  <c r="BB6" i="63"/>
  <c r="BR6" i="63"/>
  <c r="AG6" i="63"/>
  <c r="AG6" i="62"/>
  <c r="BN6" i="62"/>
  <c r="AL6" i="62"/>
  <c r="BJ6" i="62"/>
  <c r="BF6" i="62"/>
  <c r="AP6" i="62"/>
  <c r="BV6" i="62"/>
  <c r="AT6" i="62"/>
  <c r="AX6" i="62"/>
  <c r="BR6" i="62"/>
  <c r="BZ6" i="62"/>
  <c r="AG6" i="61"/>
  <c r="BF6" i="60"/>
  <c r="AX6" i="60"/>
  <c r="BJ6" i="60"/>
  <c r="AL6" i="60"/>
  <c r="AP6" i="60"/>
  <c r="BV6" i="60"/>
  <c r="BB6" i="60"/>
  <c r="AG6" i="60"/>
  <c r="BN6" i="60"/>
  <c r="AT6" i="60"/>
  <c r="AH6" i="63" l="1"/>
  <c r="AH6" i="62"/>
  <c r="AH6" i="61"/>
  <c r="AH6" i="60"/>
  <c r="O12" i="41" l="1"/>
  <c r="I25" i="41"/>
  <c r="O23" i="41"/>
  <c r="O22" i="41"/>
  <c r="O21" i="41"/>
  <c r="O20" i="41"/>
  <c r="O19" i="41"/>
  <c r="O18" i="41"/>
  <c r="O17" i="41"/>
  <c r="O16" i="41"/>
  <c r="O15" i="41"/>
  <c r="O14" i="41"/>
  <c r="O13" i="41"/>
  <c r="M5" i="2"/>
  <c r="M4" i="2"/>
  <c r="D11" i="41"/>
  <c r="D12" i="41"/>
  <c r="D13" i="41"/>
  <c r="D14" i="41"/>
  <c r="D15" i="41"/>
  <c r="D16" i="41"/>
  <c r="D17" i="41"/>
  <c r="D18" i="41"/>
  <c r="D19" i="41"/>
  <c r="D20" i="41"/>
  <c r="D21" i="41"/>
  <c r="D22" i="41"/>
  <c r="D23" i="41"/>
  <c r="D24" i="41"/>
  <c r="D25" i="41"/>
  <c r="D26" i="41"/>
  <c r="D27" i="41"/>
  <c r="D28" i="41"/>
  <c r="D29" i="41"/>
  <c r="D30" i="41"/>
  <c r="D31" i="41"/>
  <c r="D32" i="41"/>
  <c r="D33" i="41"/>
  <c r="D34" i="41"/>
  <c r="D35" i="41"/>
  <c r="D36" i="41"/>
  <c r="D37" i="41"/>
  <c r="D38" i="41"/>
  <c r="D39" i="41"/>
  <c r="D40" i="41"/>
  <c r="D41" i="41"/>
  <c r="D42" i="41"/>
  <c r="D43" i="41"/>
  <c r="D44" i="41"/>
  <c r="D45" i="41"/>
  <c r="D46" i="41"/>
  <c r="D47" i="41"/>
  <c r="D48" i="41"/>
  <c r="D49" i="41"/>
  <c r="D50" i="41"/>
  <c r="D51" i="41"/>
  <c r="D52" i="41"/>
  <c r="D53" i="41"/>
  <c r="D54" i="41"/>
  <c r="D55" i="41"/>
  <c r="D56" i="41"/>
  <c r="D57" i="41"/>
  <c r="D58" i="41"/>
  <c r="D59" i="41"/>
  <c r="D60" i="41"/>
  <c r="D61" i="41"/>
  <c r="D62" i="41"/>
  <c r="A3" i="41"/>
  <c r="C11" i="41" s="1"/>
  <c r="G13" i="41"/>
  <c r="C16" i="41" l="1"/>
  <c r="C58" i="41"/>
  <c r="C50" i="41"/>
  <c r="C42" i="41"/>
  <c r="C34" i="41"/>
  <c r="C26" i="41"/>
  <c r="C18" i="41"/>
  <c r="C57" i="41"/>
  <c r="C49" i="41"/>
  <c r="C41" i="41"/>
  <c r="C33" i="41"/>
  <c r="C25" i="41"/>
  <c r="C17" i="41"/>
  <c r="C62" i="41"/>
  <c r="C54" i="41"/>
  <c r="C46" i="41"/>
  <c r="C38" i="41"/>
  <c r="C30" i="41"/>
  <c r="C22" i="41"/>
  <c r="C14" i="41"/>
  <c r="C24" i="41"/>
  <c r="C55" i="41"/>
  <c r="C47" i="41"/>
  <c r="C39" i="41"/>
  <c r="C31" i="41"/>
  <c r="C61" i="41"/>
  <c r="C53" i="41"/>
  <c r="C45" i="41"/>
  <c r="C37" i="41"/>
  <c r="C29" i="41"/>
  <c r="C21" i="41"/>
  <c r="C13" i="41"/>
  <c r="C56" i="41"/>
  <c r="C40" i="41"/>
  <c r="C15" i="41"/>
  <c r="C60" i="41"/>
  <c r="C52" i="41"/>
  <c r="C44" i="41"/>
  <c r="C36" i="41"/>
  <c r="C28" i="41"/>
  <c r="C20" i="41"/>
  <c r="C12" i="41"/>
  <c r="C48" i="41"/>
  <c r="C32" i="41"/>
  <c r="C23" i="41"/>
  <c r="C59" i="41"/>
  <c r="C51" i="41"/>
  <c r="C43" i="41"/>
  <c r="C35" i="41"/>
  <c r="C27" i="41"/>
  <c r="C19" i="41"/>
  <c r="M30" i="3"/>
  <c r="T2" i="3"/>
  <c r="U2" i="3" s="1"/>
  <c r="H30" i="3" l="1"/>
  <c r="H17" i="3"/>
  <c r="O17" i="3" s="1"/>
  <c r="P17" i="3" s="1"/>
  <c r="Q17" i="3" s="1"/>
  <c r="D17" i="3" s="1"/>
  <c r="O30" i="3"/>
  <c r="P30" i="3" s="1"/>
  <c r="Q30" i="3" s="1"/>
  <c r="D30" i="3" s="1"/>
  <c r="H32" i="3"/>
  <c r="H31" i="3"/>
  <c r="S31" i="3" s="1"/>
  <c r="T31" i="3" s="1"/>
  <c r="M32" i="3"/>
  <c r="M31" i="3"/>
  <c r="O32" i="3"/>
  <c r="P32" i="3" s="1"/>
  <c r="Q32" i="3" s="1"/>
  <c r="D32" i="3" s="1"/>
  <c r="H25" i="3"/>
  <c r="H29" i="3"/>
  <c r="S29" i="3" s="1"/>
  <c r="T29" i="3" s="1"/>
  <c r="M6" i="3"/>
  <c r="M29" i="3"/>
  <c r="M28" i="3"/>
  <c r="M22" i="3"/>
  <c r="M18" i="3"/>
  <c r="M11" i="3"/>
  <c r="M5" i="3"/>
  <c r="H26" i="3"/>
  <c r="O26" i="3" s="1"/>
  <c r="H12" i="3"/>
  <c r="O12" i="3" s="1"/>
  <c r="H24" i="3"/>
  <c r="O24" i="3" s="1"/>
  <c r="H8" i="3"/>
  <c r="H3" i="3"/>
  <c r="O3" i="3" s="1"/>
  <c r="H20" i="3"/>
  <c r="M27" i="3"/>
  <c r="M10" i="3"/>
  <c r="H19" i="3"/>
  <c r="H7" i="3"/>
  <c r="O7" i="3" s="1"/>
  <c r="H14" i="3"/>
  <c r="O14" i="3" s="1"/>
  <c r="H6" i="3"/>
  <c r="O6" i="3" s="1"/>
  <c r="M23" i="3"/>
  <c r="H33" i="3"/>
  <c r="O33" i="3" s="1"/>
  <c r="H13" i="3"/>
  <c r="H5" i="3"/>
  <c r="O5" i="3" s="1"/>
  <c r="M16" i="3"/>
  <c r="H18" i="3"/>
  <c r="H11" i="3"/>
  <c r="M21" i="3"/>
  <c r="M15" i="3"/>
  <c r="M9" i="3"/>
  <c r="H28" i="3"/>
  <c r="H23" i="3"/>
  <c r="S23" i="3" s="1"/>
  <c r="T23" i="3" s="1"/>
  <c r="H10" i="3"/>
  <c r="O10" i="3" s="1"/>
  <c r="H4" i="3"/>
  <c r="O4" i="3" s="1"/>
  <c r="M26" i="3"/>
  <c r="M14" i="3"/>
  <c r="H27" i="3"/>
  <c r="H22" i="3"/>
  <c r="M25" i="3"/>
  <c r="M20" i="3"/>
  <c r="M13" i="3"/>
  <c r="M8" i="3"/>
  <c r="M7" i="3"/>
  <c r="H16" i="3"/>
  <c r="M3" i="3"/>
  <c r="M33" i="3"/>
  <c r="M24" i="3"/>
  <c r="M19" i="3"/>
  <c r="M12" i="3"/>
  <c r="H21" i="3"/>
  <c r="H15" i="3"/>
  <c r="H9" i="3"/>
  <c r="C5" i="53"/>
  <c r="O19" i="3" l="1"/>
  <c r="S19" i="3"/>
  <c r="T19" i="3" s="1"/>
  <c r="O25" i="3"/>
  <c r="S25" i="3"/>
  <c r="T25" i="3" s="1"/>
  <c r="O8" i="3"/>
  <c r="S8" i="3"/>
  <c r="T8" i="3" s="1"/>
  <c r="O13" i="3"/>
  <c r="S13" i="3"/>
  <c r="T13" i="3" s="1"/>
  <c r="O9" i="3"/>
  <c r="S9" i="3"/>
  <c r="T9" i="3" s="1"/>
  <c r="O20" i="3"/>
  <c r="S20" i="3"/>
  <c r="T20" i="3" s="1"/>
  <c r="O11" i="3"/>
  <c r="S11" i="3"/>
  <c r="T11" i="3" s="1"/>
  <c r="J38" i="84"/>
  <c r="K38" i="84" s="1"/>
  <c r="J38" i="83"/>
  <c r="K38" i="83" s="1"/>
  <c r="J38" i="78"/>
  <c r="K38" i="78" s="1"/>
  <c r="J38" i="72"/>
  <c r="K38" i="72" s="1"/>
  <c r="J38" i="68"/>
  <c r="K38" i="68" s="1"/>
  <c r="J38" i="76"/>
  <c r="K38" i="76" s="1"/>
  <c r="J38" i="77"/>
  <c r="K38" i="77" s="1"/>
  <c r="O31" i="3"/>
  <c r="O29" i="3"/>
  <c r="P29" i="3" s="1"/>
  <c r="Q29" i="3" s="1"/>
  <c r="D29" i="3" s="1"/>
  <c r="J40" i="67" s="1"/>
  <c r="K40" i="67" s="1"/>
  <c r="O16" i="3"/>
  <c r="O22" i="3"/>
  <c r="O23" i="3"/>
  <c r="O28" i="3"/>
  <c r="O27" i="3"/>
  <c r="O18" i="3"/>
  <c r="O15" i="3"/>
  <c r="O21" i="3"/>
  <c r="C6" i="53"/>
  <c r="P31" i="3" l="1"/>
  <c r="Q31" i="3" s="1"/>
  <c r="D31" i="3" s="1"/>
  <c r="O38" i="3"/>
  <c r="J45" i="61"/>
  <c r="K45" i="61" s="1"/>
  <c r="J43" i="62"/>
  <c r="K43" i="62" s="1"/>
  <c r="C8" i="53"/>
  <c r="D5" i="53"/>
  <c r="C9" i="53" l="1"/>
  <c r="E5" i="53"/>
  <c r="E8" i="53" s="1"/>
  <c r="D6" i="53"/>
  <c r="C10" i="53"/>
  <c r="C11" i="53" s="1"/>
  <c r="D8" i="53"/>
  <c r="C18" i="53" l="1"/>
  <c r="F5" i="53"/>
  <c r="E6" i="53"/>
  <c r="E10" i="53"/>
  <c r="E11" i="53" s="1"/>
  <c r="E18" i="53" s="1"/>
  <c r="E9" i="53"/>
  <c r="D10" i="53"/>
  <c r="D11" i="53" s="1"/>
  <c r="D9" i="53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H4" i="9"/>
  <c r="B4" i="9"/>
  <c r="N33" i="3"/>
  <c r="L33" i="3"/>
  <c r="N28" i="3"/>
  <c r="L28" i="3"/>
  <c r="N27" i="3"/>
  <c r="L27" i="3"/>
  <c r="N26" i="3"/>
  <c r="L26" i="3"/>
  <c r="N25" i="3"/>
  <c r="L25" i="3"/>
  <c r="N24" i="3"/>
  <c r="L24" i="3"/>
  <c r="N23" i="3"/>
  <c r="L23" i="3"/>
  <c r="N22" i="3"/>
  <c r="L22" i="3"/>
  <c r="N21" i="3"/>
  <c r="L21" i="3"/>
  <c r="N20" i="3"/>
  <c r="L20" i="3"/>
  <c r="N19" i="3"/>
  <c r="L19" i="3"/>
  <c r="P19" i="3" s="1"/>
  <c r="N18" i="3"/>
  <c r="L18" i="3"/>
  <c r="N16" i="3"/>
  <c r="L16" i="3"/>
  <c r="P16" i="3" s="1"/>
  <c r="N15" i="3"/>
  <c r="L15" i="3"/>
  <c r="N14" i="3"/>
  <c r="N13" i="3"/>
  <c r="L13" i="3"/>
  <c r="N12" i="3"/>
  <c r="L12" i="3"/>
  <c r="P12" i="3" s="1"/>
  <c r="N11" i="3"/>
  <c r="L11" i="3"/>
  <c r="N10" i="3"/>
  <c r="L10" i="3"/>
  <c r="P10" i="3" s="1"/>
  <c r="N9" i="3"/>
  <c r="L9" i="3"/>
  <c r="N8" i="3"/>
  <c r="L8" i="3"/>
  <c r="N7" i="3"/>
  <c r="L7" i="3"/>
  <c r="N6" i="3"/>
  <c r="L6" i="3"/>
  <c r="P6" i="3" s="1"/>
  <c r="Q6" i="3" s="1"/>
  <c r="N5" i="3"/>
  <c r="L5" i="3"/>
  <c r="N3" i="3"/>
  <c r="L3" i="3"/>
  <c r="P27" i="3" l="1"/>
  <c r="P14" i="3"/>
  <c r="Q14" i="3" s="1"/>
  <c r="D14" i="3" s="1"/>
  <c r="P23" i="3"/>
  <c r="Q23" i="3" s="1"/>
  <c r="D23" i="3" s="1"/>
  <c r="P33" i="3"/>
  <c r="Q33" i="3" s="1"/>
  <c r="D33" i="3" s="1"/>
  <c r="P26" i="3"/>
  <c r="Q26" i="3" s="1"/>
  <c r="D26" i="3" s="1"/>
  <c r="P22" i="3"/>
  <c r="P7" i="3"/>
  <c r="Q7" i="3" s="1"/>
  <c r="D7" i="3" s="1"/>
  <c r="P24" i="3"/>
  <c r="Q24" i="3" s="1"/>
  <c r="D24" i="3" s="1"/>
  <c r="J38" i="75" s="1"/>
  <c r="K38" i="75" s="1"/>
  <c r="K37" i="75" s="1"/>
  <c r="P5" i="3"/>
  <c r="Q5" i="3" s="1"/>
  <c r="D5" i="3" s="1"/>
  <c r="J41" i="78" s="1"/>
  <c r="K41" i="78" s="1"/>
  <c r="P9" i="3"/>
  <c r="Q9" i="3" s="1"/>
  <c r="D9" i="3" s="1"/>
  <c r="P11" i="3"/>
  <c r="Q11" i="3" s="1"/>
  <c r="D11" i="3" s="1"/>
  <c r="P15" i="3"/>
  <c r="Q15" i="3" s="1"/>
  <c r="D15" i="3" s="1"/>
  <c r="J38" i="62" s="1"/>
  <c r="K38" i="62" s="1"/>
  <c r="P18" i="3"/>
  <c r="Q18" i="3" s="1"/>
  <c r="D18" i="3" s="1"/>
  <c r="P21" i="3"/>
  <c r="Q21" i="3" s="1"/>
  <c r="D21" i="3" s="1"/>
  <c r="J42" i="61" s="1"/>
  <c r="K42" i="61" s="1"/>
  <c r="P3" i="3"/>
  <c r="Q3" i="3" s="1"/>
  <c r="P28" i="3"/>
  <c r="Q28" i="3" s="1"/>
  <c r="D28" i="3" s="1"/>
  <c r="P8" i="3"/>
  <c r="Q8" i="3" s="1"/>
  <c r="D8" i="3" s="1"/>
  <c r="P13" i="3"/>
  <c r="Q13" i="3" s="1"/>
  <c r="D13" i="3" s="1"/>
  <c r="P20" i="3"/>
  <c r="Q20" i="3" s="1"/>
  <c r="D20" i="3" s="1"/>
  <c r="J38" i="60" s="1"/>
  <c r="K38" i="60" s="1"/>
  <c r="P25" i="3"/>
  <c r="Q25" i="3" s="1"/>
  <c r="D25" i="3" s="1"/>
  <c r="P4" i="3"/>
  <c r="Q4" i="3" s="1"/>
  <c r="D4" i="3" s="1"/>
  <c r="Q27" i="3"/>
  <c r="D27" i="3" s="1"/>
  <c r="Q22" i="3"/>
  <c r="D22" i="3" s="1"/>
  <c r="J38" i="67" s="1"/>
  <c r="K38" i="67" s="1"/>
  <c r="D18" i="53"/>
  <c r="G5" i="53"/>
  <c r="F6" i="53"/>
  <c r="F8" i="53"/>
  <c r="Q12" i="3"/>
  <c r="D12" i="3" s="1"/>
  <c r="Q16" i="3"/>
  <c r="D16" i="3" s="1"/>
  <c r="D6" i="3"/>
  <c r="J40" i="78" s="1"/>
  <c r="K40" i="78" s="1"/>
  <c r="Q19" i="3"/>
  <c r="D19" i="3" s="1"/>
  <c r="Q10" i="3"/>
  <c r="D10" i="3" s="1"/>
  <c r="J39" i="62" l="1"/>
  <c r="K39" i="62" s="1"/>
  <c r="J41" i="60"/>
  <c r="K41" i="60" s="1"/>
  <c r="J38" i="61"/>
  <c r="K38" i="61" s="1"/>
  <c r="J42" i="62"/>
  <c r="K42" i="62" s="1"/>
  <c r="J44" i="61"/>
  <c r="K44" i="61" s="1"/>
  <c r="J39" i="85"/>
  <c r="K39" i="85" s="1"/>
  <c r="J43" i="61"/>
  <c r="K43" i="61" s="1"/>
  <c r="J38" i="85"/>
  <c r="K38" i="85" s="1"/>
  <c r="K37" i="85" s="1"/>
  <c r="J39" i="84"/>
  <c r="K39" i="84" s="1"/>
  <c r="K37" i="84" s="1"/>
  <c r="J39" i="83"/>
  <c r="K39" i="83" s="1"/>
  <c r="K37" i="83" s="1"/>
  <c r="J38" i="64"/>
  <c r="K38" i="64" s="1"/>
  <c r="J38" i="81"/>
  <c r="K38" i="81" s="1"/>
  <c r="J38" i="80"/>
  <c r="J47" i="61"/>
  <c r="K47" i="61" s="1"/>
  <c r="J39" i="81"/>
  <c r="K39" i="81" s="1"/>
  <c r="J39" i="80"/>
  <c r="K39" i="80" s="1"/>
  <c r="J40" i="81"/>
  <c r="K40" i="81" s="1"/>
  <c r="J40" i="80"/>
  <c r="K40" i="80" s="1"/>
  <c r="J41" i="80"/>
  <c r="K41" i="80" s="1"/>
  <c r="J41" i="81"/>
  <c r="K41" i="81" s="1"/>
  <c r="J39" i="61"/>
  <c r="K39" i="61" s="1"/>
  <c r="J41" i="64"/>
  <c r="K41" i="64" s="1"/>
  <c r="J39" i="78"/>
  <c r="K39" i="78" s="1"/>
  <c r="K37" i="78" s="1"/>
  <c r="J39" i="72"/>
  <c r="K39" i="72" s="1"/>
  <c r="K37" i="72" s="1"/>
  <c r="J39" i="68"/>
  <c r="K39" i="68" s="1"/>
  <c r="K37" i="68" s="1"/>
  <c r="J6" i="68" s="1"/>
  <c r="J39" i="77"/>
  <c r="K39" i="77" s="1"/>
  <c r="K37" i="77" s="1"/>
  <c r="J39" i="76"/>
  <c r="K39" i="76" s="1"/>
  <c r="K37" i="76" s="1"/>
  <c r="N5" i="76" s="1"/>
  <c r="J37" i="75"/>
  <c r="N5" i="75"/>
  <c r="J6" i="75"/>
  <c r="K3" i="75" s="1"/>
  <c r="J40" i="64"/>
  <c r="K40" i="64" s="1"/>
  <c r="J42" i="67"/>
  <c r="K42" i="67" s="1"/>
  <c r="J41" i="61"/>
  <c r="K41" i="61" s="1"/>
  <c r="J41" i="67"/>
  <c r="K41" i="67" s="1"/>
  <c r="J40" i="61"/>
  <c r="K40" i="61" s="1"/>
  <c r="J39" i="67"/>
  <c r="K39" i="67" s="1"/>
  <c r="J40" i="60"/>
  <c r="K40" i="60" s="1"/>
  <c r="J39" i="64"/>
  <c r="K39" i="64" s="1"/>
  <c r="J39" i="60"/>
  <c r="K39" i="60" s="1"/>
  <c r="J40" i="62"/>
  <c r="K40" i="62" s="1"/>
  <c r="J41" i="62"/>
  <c r="K41" i="62" s="1"/>
  <c r="J46" i="61"/>
  <c r="K46" i="61" s="1"/>
  <c r="F10" i="53"/>
  <c r="F11" i="53" s="1"/>
  <c r="F9" i="53"/>
  <c r="H5" i="53"/>
  <c r="G6" i="53"/>
  <c r="G8" i="53"/>
  <c r="B69" i="4"/>
  <c r="D69" i="4"/>
  <c r="B70" i="4"/>
  <c r="G69" i="9" s="1"/>
  <c r="C69" i="9" s="1"/>
  <c r="D70" i="4"/>
  <c r="B3" i="4"/>
  <c r="G5" i="9" s="1"/>
  <c r="C5" i="9" s="1"/>
  <c r="D3" i="4"/>
  <c r="E5" i="9" s="1"/>
  <c r="P5" i="9"/>
  <c r="I56" i="9"/>
  <c r="J37" i="85" l="1"/>
  <c r="N5" i="85"/>
  <c r="J6" i="85"/>
  <c r="N5" i="83"/>
  <c r="J37" i="83"/>
  <c r="J6" i="83"/>
  <c r="K3" i="83" s="1"/>
  <c r="N5" i="84"/>
  <c r="J37" i="84"/>
  <c r="J6" i="84"/>
  <c r="K3" i="84" s="1"/>
  <c r="K38" i="80"/>
  <c r="K37" i="80" s="1"/>
  <c r="N38" i="80"/>
  <c r="O38" i="80" s="1"/>
  <c r="K37" i="81"/>
  <c r="M126" i="2"/>
  <c r="N126" i="2" s="1"/>
  <c r="O126" i="2" s="1"/>
  <c r="N5" i="68"/>
  <c r="N7" i="68" s="1"/>
  <c r="O5" i="68" s="1"/>
  <c r="J37" i="68"/>
  <c r="N5" i="72"/>
  <c r="J37" i="72"/>
  <c r="N5" i="78"/>
  <c r="J37" i="78"/>
  <c r="K37" i="67"/>
  <c r="N5" i="67" s="1"/>
  <c r="K56" i="9"/>
  <c r="M56" i="9" s="1"/>
  <c r="N56" i="9" s="1"/>
  <c r="K37" i="61"/>
  <c r="J6" i="61" s="1"/>
  <c r="K3" i="61" s="1"/>
  <c r="N7" i="75"/>
  <c r="O5" i="75" s="1"/>
  <c r="K37" i="60"/>
  <c r="N5" i="60" s="1"/>
  <c r="N7" i="60" s="1"/>
  <c r="J6" i="77"/>
  <c r="K3" i="77" s="1"/>
  <c r="N5" i="77"/>
  <c r="J37" i="77"/>
  <c r="M37" i="77" s="1"/>
  <c r="K37" i="64"/>
  <c r="N5" i="64" s="1"/>
  <c r="E69" i="9"/>
  <c r="R69" i="9" s="1"/>
  <c r="K3" i="68"/>
  <c r="K37" i="62"/>
  <c r="J37" i="62" s="1"/>
  <c r="L5" i="9"/>
  <c r="J5" i="9"/>
  <c r="F18" i="53"/>
  <c r="G9" i="53"/>
  <c r="G10" i="53"/>
  <c r="G11" i="53" s="1"/>
  <c r="I5" i="53"/>
  <c r="H6" i="53"/>
  <c r="H8" i="53"/>
  <c r="I61" i="9"/>
  <c r="I69" i="9"/>
  <c r="N7" i="85" l="1"/>
  <c r="O5" i="85" s="1"/>
  <c r="K3" i="85"/>
  <c r="J7" i="85" s="1"/>
  <c r="N7" i="84"/>
  <c r="O5" i="84" s="1"/>
  <c r="N7" i="83"/>
  <c r="O5" i="83" s="1"/>
  <c r="N5" i="80"/>
  <c r="J37" i="80"/>
  <c r="J6" i="80"/>
  <c r="N5" i="81"/>
  <c r="J37" i="81"/>
  <c r="J6" i="81"/>
  <c r="M136" i="2"/>
  <c r="N136" i="2" s="1"/>
  <c r="M156" i="2"/>
  <c r="N156" i="2" s="1"/>
  <c r="M113" i="2"/>
  <c r="N113" i="2" s="1"/>
  <c r="P69" i="9"/>
  <c r="Q69" i="9"/>
  <c r="J37" i="61"/>
  <c r="N5" i="61"/>
  <c r="N7" i="61" s="1"/>
  <c r="O5" i="61" s="1"/>
  <c r="J37" i="67"/>
  <c r="J6" i="67"/>
  <c r="K3" i="67" s="1"/>
  <c r="J37" i="60"/>
  <c r="J6" i="60"/>
  <c r="K3" i="60" s="1"/>
  <c r="K61" i="9"/>
  <c r="M61" i="9" s="1"/>
  <c r="N61" i="9" s="1"/>
  <c r="N7" i="77"/>
  <c r="O5" i="77" s="1"/>
  <c r="O6" i="75"/>
  <c r="O4" i="75"/>
  <c r="O3" i="75"/>
  <c r="J6" i="64"/>
  <c r="K3" i="64" s="1"/>
  <c r="P1" i="64" s="1"/>
  <c r="J37" i="64"/>
  <c r="K69" i="9"/>
  <c r="J69" i="9"/>
  <c r="L69" i="9"/>
  <c r="O6" i="68"/>
  <c r="O4" i="68"/>
  <c r="O3" i="68"/>
  <c r="N5" i="62"/>
  <c r="N7" i="62" s="1"/>
  <c r="O5" i="62" s="1"/>
  <c r="N7" i="67"/>
  <c r="O5" i="67" s="1"/>
  <c r="J6" i="62"/>
  <c r="K3" i="62" s="1"/>
  <c r="N7" i="64"/>
  <c r="O5" i="64" s="1"/>
  <c r="O5" i="60"/>
  <c r="O6" i="60"/>
  <c r="O3" i="60"/>
  <c r="O4" i="60"/>
  <c r="G18" i="53"/>
  <c r="H10" i="53"/>
  <c r="H9" i="53"/>
  <c r="J5" i="53"/>
  <c r="I6" i="53"/>
  <c r="I8" i="53"/>
  <c r="B18" i="4"/>
  <c r="G20" i="9" s="1"/>
  <c r="D18" i="4"/>
  <c r="AB157" i="9"/>
  <c r="I39" i="9"/>
  <c r="I55" i="9"/>
  <c r="O3" i="85" l="1"/>
  <c r="O4" i="85"/>
  <c r="O6" i="85"/>
  <c r="O3" i="83"/>
  <c r="O4" i="83"/>
  <c r="O6" i="83"/>
  <c r="O4" i="84"/>
  <c r="O6" i="84"/>
  <c r="O3" i="84"/>
  <c r="K3" i="81"/>
  <c r="N7" i="81"/>
  <c r="O5" i="81" s="1"/>
  <c r="K3" i="80"/>
  <c r="N7" i="80"/>
  <c r="O5" i="80" s="1"/>
  <c r="M124" i="2"/>
  <c r="N124" i="2" s="1"/>
  <c r="O124" i="2" s="1"/>
  <c r="M123" i="2"/>
  <c r="N123" i="2" s="1"/>
  <c r="O123" i="2" s="1"/>
  <c r="M122" i="2"/>
  <c r="N122" i="2" s="1"/>
  <c r="M125" i="2"/>
  <c r="N125" i="2" s="1"/>
  <c r="O125" i="2" s="1"/>
  <c r="N112" i="2"/>
  <c r="O112" i="2" s="1"/>
  <c r="O113" i="2"/>
  <c r="O156" i="2"/>
  <c r="N155" i="2"/>
  <c r="O155" i="2" s="1"/>
  <c r="N135" i="2"/>
  <c r="O135" i="2" s="1"/>
  <c r="O136" i="2"/>
  <c r="K55" i="9"/>
  <c r="M55" i="9" s="1"/>
  <c r="N55" i="9" s="1"/>
  <c r="O3" i="77"/>
  <c r="O6" i="77"/>
  <c r="O4" i="77"/>
  <c r="M69" i="9"/>
  <c r="N69" i="9" s="1"/>
  <c r="O6" i="67"/>
  <c r="O3" i="67"/>
  <c r="O4" i="67"/>
  <c r="K39" i="9"/>
  <c r="M39" i="9" s="1"/>
  <c r="N39" i="9" s="1"/>
  <c r="O4" i="64"/>
  <c r="O6" i="64"/>
  <c r="O3" i="64"/>
  <c r="O6" i="62"/>
  <c r="O3" i="62"/>
  <c r="O4" i="62"/>
  <c r="O3" i="61"/>
  <c r="O4" i="61"/>
  <c r="O6" i="61"/>
  <c r="H11" i="53"/>
  <c r="H18" i="53" s="1"/>
  <c r="I10" i="53"/>
  <c r="I11" i="53" s="1"/>
  <c r="I9" i="53"/>
  <c r="K5" i="53"/>
  <c r="J6" i="53"/>
  <c r="J8" i="53"/>
  <c r="O3" i="80" l="1"/>
  <c r="O6" i="80"/>
  <c r="O4" i="80"/>
  <c r="O3" i="81"/>
  <c r="O4" i="81"/>
  <c r="O6" i="81"/>
  <c r="O122" i="2"/>
  <c r="N121" i="2"/>
  <c r="O121" i="2" s="1"/>
  <c r="I18" i="53"/>
  <c r="J10" i="53"/>
  <c r="J11" i="53" s="1"/>
  <c r="J9" i="53"/>
  <c r="L5" i="53"/>
  <c r="K6" i="53"/>
  <c r="K8" i="53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AA464" i="2"/>
  <c r="AA465" i="2"/>
  <c r="AA466" i="2"/>
  <c r="AA467" i="2"/>
  <c r="AA468" i="2"/>
  <c r="AA469" i="2"/>
  <c r="AA470" i="2"/>
  <c r="AA471" i="2"/>
  <c r="AA472" i="2"/>
  <c r="AA473" i="2"/>
  <c r="AA474" i="2"/>
  <c r="AA475" i="2"/>
  <c r="AA476" i="2"/>
  <c r="AA477" i="2"/>
  <c r="AA478" i="2"/>
  <c r="AA479" i="2"/>
  <c r="AA480" i="2"/>
  <c r="AA481" i="2"/>
  <c r="AA482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7" i="2"/>
  <c r="AA498" i="2"/>
  <c r="AA499" i="2"/>
  <c r="AA500" i="2"/>
  <c r="AA501" i="2"/>
  <c r="AA502" i="2"/>
  <c r="AA503" i="2"/>
  <c r="AA504" i="2"/>
  <c r="AA505" i="2"/>
  <c r="AA506" i="2"/>
  <c r="AA507" i="2"/>
  <c r="AA508" i="2"/>
  <c r="AA509" i="2"/>
  <c r="AA510" i="2"/>
  <c r="AA511" i="2"/>
  <c r="AA512" i="2"/>
  <c r="AA513" i="2"/>
  <c r="AA514" i="2"/>
  <c r="AA515" i="2"/>
  <c r="AA516" i="2"/>
  <c r="AA517" i="2"/>
  <c r="AA518" i="2"/>
  <c r="AA519" i="2"/>
  <c r="AA520" i="2"/>
  <c r="AA521" i="2"/>
  <c r="AA522" i="2"/>
  <c r="AA523" i="2"/>
  <c r="AA524" i="2"/>
  <c r="AA525" i="2"/>
  <c r="AA526" i="2"/>
  <c r="AA527" i="2"/>
  <c r="AA528" i="2"/>
  <c r="AA529" i="2"/>
  <c r="AA530" i="2"/>
  <c r="AA531" i="2"/>
  <c r="AA532" i="2"/>
  <c r="AA533" i="2"/>
  <c r="AA534" i="2"/>
  <c r="AA535" i="2"/>
  <c r="AA536" i="2"/>
  <c r="AA537" i="2"/>
  <c r="AA538" i="2"/>
  <c r="AA539" i="2"/>
  <c r="AA540" i="2"/>
  <c r="AA541" i="2"/>
  <c r="AA542" i="2"/>
  <c r="AA543" i="2"/>
  <c r="AA544" i="2"/>
  <c r="AA545" i="2"/>
  <c r="AA546" i="2"/>
  <c r="AA547" i="2"/>
  <c r="AA548" i="2"/>
  <c r="AA549" i="2"/>
  <c r="AA550" i="2"/>
  <c r="AA551" i="2"/>
  <c r="AA552" i="2"/>
  <c r="AA553" i="2"/>
  <c r="AA554" i="2"/>
  <c r="AA555" i="2"/>
  <c r="AA556" i="2"/>
  <c r="AA557" i="2"/>
  <c r="AA558" i="2"/>
  <c r="AA559" i="2"/>
  <c r="AA560" i="2"/>
  <c r="AA561" i="2"/>
  <c r="AA562" i="2"/>
  <c r="AA563" i="2"/>
  <c r="AA564" i="2"/>
  <c r="AA565" i="2"/>
  <c r="AA566" i="2"/>
  <c r="AA567" i="2"/>
  <c r="AA568" i="2"/>
  <c r="AA569" i="2"/>
  <c r="AA570" i="2"/>
  <c r="AA571" i="2"/>
  <c r="AA572" i="2"/>
  <c r="AA573" i="2"/>
  <c r="AA574" i="2"/>
  <c r="AA575" i="2"/>
  <c r="AA576" i="2"/>
  <c r="AA577" i="2"/>
  <c r="AA578" i="2"/>
  <c r="AA579" i="2"/>
  <c r="AA580" i="2"/>
  <c r="AA581" i="2"/>
  <c r="AA582" i="2"/>
  <c r="AA583" i="2"/>
  <c r="AA584" i="2"/>
  <c r="AA585" i="2"/>
  <c r="AA586" i="2"/>
  <c r="AA587" i="2"/>
  <c r="AA588" i="2"/>
  <c r="AA589" i="2"/>
  <c r="AA590" i="2"/>
  <c r="AA591" i="2"/>
  <c r="AA592" i="2"/>
  <c r="AA593" i="2"/>
  <c r="AA594" i="2"/>
  <c r="AA595" i="2"/>
  <c r="AA596" i="2"/>
  <c r="AA597" i="2"/>
  <c r="AA598" i="2"/>
  <c r="AA599" i="2"/>
  <c r="AA600" i="2"/>
  <c r="AA601" i="2"/>
  <c r="AA602" i="2"/>
  <c r="AA603" i="2"/>
  <c r="AA604" i="2"/>
  <c r="AA605" i="2"/>
  <c r="AA606" i="2"/>
  <c r="AA607" i="2"/>
  <c r="AA608" i="2"/>
  <c r="AA609" i="2"/>
  <c r="AA610" i="2"/>
  <c r="AA611" i="2"/>
  <c r="AA612" i="2"/>
  <c r="AA613" i="2"/>
  <c r="AA614" i="2"/>
  <c r="AA615" i="2"/>
  <c r="AA616" i="2"/>
  <c r="AA617" i="2"/>
  <c r="AA618" i="2"/>
  <c r="AA619" i="2"/>
  <c r="AA620" i="2"/>
  <c r="AA621" i="2"/>
  <c r="AA622" i="2"/>
  <c r="AA623" i="2"/>
  <c r="AA624" i="2"/>
  <c r="AA625" i="2"/>
  <c r="AA626" i="2"/>
  <c r="AA627" i="2"/>
  <c r="AA628" i="2"/>
  <c r="AA629" i="2"/>
  <c r="AA630" i="2"/>
  <c r="AA631" i="2"/>
  <c r="AA632" i="2"/>
  <c r="AA633" i="2"/>
  <c r="AA634" i="2"/>
  <c r="AA635" i="2"/>
  <c r="AA636" i="2"/>
  <c r="AA637" i="2"/>
  <c r="AA638" i="2"/>
  <c r="AA639" i="2"/>
  <c r="AA640" i="2"/>
  <c r="AA641" i="2"/>
  <c r="AA642" i="2"/>
  <c r="AA643" i="2"/>
  <c r="AA644" i="2"/>
  <c r="AA645" i="2"/>
  <c r="AA646" i="2"/>
  <c r="AA647" i="2"/>
  <c r="AA648" i="2"/>
  <c r="AA649" i="2"/>
  <c r="AA650" i="2"/>
  <c r="AA651" i="2"/>
  <c r="AA652" i="2"/>
  <c r="AA653" i="2"/>
  <c r="AA654" i="2"/>
  <c r="AA655" i="2"/>
  <c r="AA656" i="2"/>
  <c r="AA657" i="2"/>
  <c r="AA658" i="2"/>
  <c r="AA659" i="2"/>
  <c r="AA660" i="2"/>
  <c r="AA661" i="2"/>
  <c r="AA662" i="2"/>
  <c r="AA663" i="2"/>
  <c r="AA664" i="2"/>
  <c r="AA665" i="2"/>
  <c r="AA666" i="2"/>
  <c r="AA667" i="2"/>
  <c r="AA668" i="2"/>
  <c r="AA669" i="2"/>
  <c r="AA670" i="2"/>
  <c r="AA671" i="2"/>
  <c r="AA672" i="2"/>
  <c r="AA673" i="2"/>
  <c r="AA674" i="2"/>
  <c r="AA675" i="2"/>
  <c r="AA676" i="2"/>
  <c r="AA677" i="2"/>
  <c r="AA678" i="2"/>
  <c r="AA679" i="2"/>
  <c r="AA680" i="2"/>
  <c r="AA681" i="2"/>
  <c r="AA682" i="2"/>
  <c r="AA683" i="2"/>
  <c r="AA684" i="2"/>
  <c r="AA685" i="2"/>
  <c r="AA686" i="2"/>
  <c r="AA687" i="2"/>
  <c r="AA688" i="2"/>
  <c r="AA689" i="2"/>
  <c r="AA690" i="2"/>
  <c r="AA691" i="2"/>
  <c r="AA692" i="2"/>
  <c r="AA693" i="2"/>
  <c r="AA694" i="2"/>
  <c r="AA695" i="2"/>
  <c r="AA696" i="2"/>
  <c r="AA697" i="2"/>
  <c r="AA698" i="2"/>
  <c r="AA699" i="2"/>
  <c r="AA700" i="2"/>
  <c r="AA701" i="2"/>
  <c r="AA702" i="2"/>
  <c r="AA703" i="2"/>
  <c r="AA704" i="2"/>
  <c r="AA705" i="2"/>
  <c r="AA706" i="2"/>
  <c r="AA707" i="2"/>
  <c r="AA708" i="2"/>
  <c r="AA709" i="2"/>
  <c r="AA710" i="2"/>
  <c r="AA711" i="2"/>
  <c r="AA712" i="2"/>
  <c r="AA713" i="2"/>
  <c r="AA714" i="2"/>
  <c r="AA715" i="2"/>
  <c r="AA716" i="2"/>
  <c r="AA717" i="2"/>
  <c r="AA718" i="2"/>
  <c r="AA719" i="2"/>
  <c r="AA720" i="2"/>
  <c r="AA721" i="2"/>
  <c r="AA722" i="2"/>
  <c r="AA723" i="2"/>
  <c r="AA724" i="2"/>
  <c r="AA725" i="2"/>
  <c r="AA726" i="2"/>
  <c r="AA727" i="2"/>
  <c r="AA728" i="2"/>
  <c r="AA729" i="2"/>
  <c r="AA730" i="2"/>
  <c r="AA731" i="2"/>
  <c r="AA732" i="2"/>
  <c r="AA733" i="2"/>
  <c r="AA734" i="2"/>
  <c r="AA735" i="2"/>
  <c r="AA736" i="2"/>
  <c r="AA737" i="2"/>
  <c r="AA738" i="2"/>
  <c r="AA739" i="2"/>
  <c r="AA740" i="2"/>
  <c r="AA741" i="2"/>
  <c r="AA742" i="2"/>
  <c r="AA743" i="2"/>
  <c r="AA744" i="2"/>
  <c r="AA745" i="2"/>
  <c r="AA746" i="2"/>
  <c r="AA747" i="2"/>
  <c r="AA748" i="2"/>
  <c r="AA749" i="2"/>
  <c r="AA750" i="2"/>
  <c r="AA751" i="2"/>
  <c r="AA752" i="2"/>
  <c r="AA753" i="2"/>
  <c r="AA754" i="2"/>
  <c r="AA755" i="2"/>
  <c r="AA756" i="2"/>
  <c r="AA757" i="2"/>
  <c r="AA758" i="2"/>
  <c r="AA759" i="2"/>
  <c r="AA760" i="2"/>
  <c r="AA761" i="2"/>
  <c r="AA762" i="2"/>
  <c r="AA763" i="2"/>
  <c r="AA764" i="2"/>
  <c r="AA765" i="2"/>
  <c r="AA766" i="2"/>
  <c r="AA767" i="2"/>
  <c r="AA768" i="2"/>
  <c r="AA769" i="2"/>
  <c r="AA770" i="2"/>
  <c r="AA771" i="2"/>
  <c r="AA772" i="2"/>
  <c r="AA773" i="2"/>
  <c r="AA774" i="2"/>
  <c r="AA775" i="2"/>
  <c r="AA776" i="2"/>
  <c r="AA777" i="2"/>
  <c r="AA778" i="2"/>
  <c r="AA779" i="2"/>
  <c r="AA780" i="2"/>
  <c r="AA781" i="2"/>
  <c r="AA782" i="2"/>
  <c r="AA783" i="2"/>
  <c r="AA784" i="2"/>
  <c r="AA785" i="2"/>
  <c r="AA786" i="2"/>
  <c r="AA787" i="2"/>
  <c r="AA788" i="2"/>
  <c r="AA789" i="2"/>
  <c r="AA790" i="2"/>
  <c r="AA791" i="2"/>
  <c r="AA792" i="2"/>
  <c r="AA793" i="2"/>
  <c r="AA794" i="2"/>
  <c r="AA795" i="2"/>
  <c r="AA796" i="2"/>
  <c r="AA797" i="2"/>
  <c r="AA798" i="2"/>
  <c r="AA799" i="2"/>
  <c r="AA800" i="2"/>
  <c r="AA801" i="2"/>
  <c r="AA802" i="2"/>
  <c r="AA803" i="2"/>
  <c r="AA804" i="2"/>
  <c r="AA805" i="2"/>
  <c r="AA806" i="2"/>
  <c r="AA807" i="2"/>
  <c r="AA808" i="2"/>
  <c r="AA809" i="2"/>
  <c r="AA810" i="2"/>
  <c r="AA811" i="2"/>
  <c r="AA812" i="2"/>
  <c r="AA813" i="2"/>
  <c r="AA814" i="2"/>
  <c r="AA815" i="2"/>
  <c r="AA816" i="2"/>
  <c r="AA817" i="2"/>
  <c r="AA818" i="2"/>
  <c r="AA819" i="2"/>
  <c r="AA820" i="2"/>
  <c r="AA821" i="2"/>
  <c r="AA822" i="2"/>
  <c r="AA823" i="2"/>
  <c r="AA824" i="2"/>
  <c r="AA825" i="2"/>
  <c r="AA826" i="2"/>
  <c r="AA827" i="2"/>
  <c r="AA828" i="2"/>
  <c r="AA829" i="2"/>
  <c r="AA830" i="2"/>
  <c r="AA831" i="2"/>
  <c r="AA832" i="2"/>
  <c r="AA833" i="2"/>
  <c r="AA834" i="2"/>
  <c r="AA835" i="2"/>
  <c r="AA836" i="2"/>
  <c r="AA837" i="2"/>
  <c r="AA838" i="2"/>
  <c r="AA839" i="2"/>
  <c r="AA840" i="2"/>
  <c r="AA841" i="2"/>
  <c r="AA842" i="2"/>
  <c r="AA843" i="2"/>
  <c r="AA844" i="2"/>
  <c r="AA845" i="2"/>
  <c r="AA846" i="2"/>
  <c r="AA847" i="2"/>
  <c r="AA848" i="2"/>
  <c r="AA849" i="2"/>
  <c r="AA850" i="2"/>
  <c r="AA851" i="2"/>
  <c r="AA852" i="2"/>
  <c r="AA853" i="2"/>
  <c r="AA854" i="2"/>
  <c r="AA855" i="2"/>
  <c r="AA856" i="2"/>
  <c r="AA857" i="2"/>
  <c r="AA858" i="2"/>
  <c r="AA859" i="2"/>
  <c r="AA860" i="2"/>
  <c r="AA861" i="2"/>
  <c r="AA862" i="2"/>
  <c r="AA863" i="2"/>
  <c r="AA864" i="2"/>
  <c r="AA865" i="2"/>
  <c r="AA866" i="2"/>
  <c r="AA867" i="2"/>
  <c r="AA868" i="2"/>
  <c r="AA869" i="2"/>
  <c r="AA870" i="2"/>
  <c r="AA871" i="2"/>
  <c r="AA872" i="2"/>
  <c r="AA873" i="2"/>
  <c r="AA874" i="2"/>
  <c r="AA875" i="2"/>
  <c r="AA876" i="2"/>
  <c r="AA877" i="2"/>
  <c r="AA878" i="2"/>
  <c r="AA879" i="2"/>
  <c r="AA880" i="2"/>
  <c r="AA881" i="2"/>
  <c r="AA882" i="2"/>
  <c r="AA883" i="2"/>
  <c r="AA884" i="2"/>
  <c r="AA885" i="2"/>
  <c r="AA886" i="2"/>
  <c r="AA887" i="2"/>
  <c r="AA888" i="2"/>
  <c r="AA889" i="2"/>
  <c r="AA890" i="2"/>
  <c r="AA891" i="2"/>
  <c r="AA892" i="2"/>
  <c r="AA893" i="2"/>
  <c r="AA894" i="2"/>
  <c r="AA895" i="2"/>
  <c r="AA896" i="2"/>
  <c r="AA897" i="2"/>
  <c r="AA898" i="2"/>
  <c r="AA899" i="2"/>
  <c r="AA900" i="2"/>
  <c r="AA901" i="2"/>
  <c r="AA902" i="2"/>
  <c r="AA903" i="2"/>
  <c r="AA904" i="2"/>
  <c r="AA905" i="2"/>
  <c r="AA906" i="2"/>
  <c r="AA907" i="2"/>
  <c r="AA908" i="2"/>
  <c r="AA909" i="2"/>
  <c r="AA910" i="2"/>
  <c r="AA911" i="2"/>
  <c r="AA912" i="2"/>
  <c r="AA913" i="2"/>
  <c r="AA914" i="2"/>
  <c r="AA915" i="2"/>
  <c r="AA916" i="2"/>
  <c r="AA917" i="2"/>
  <c r="AA918" i="2"/>
  <c r="AA919" i="2"/>
  <c r="AA920" i="2"/>
  <c r="AA921" i="2"/>
  <c r="AA922" i="2"/>
  <c r="AA923" i="2"/>
  <c r="AA924" i="2"/>
  <c r="AA925" i="2"/>
  <c r="AA926" i="2"/>
  <c r="AA927" i="2"/>
  <c r="AA928" i="2"/>
  <c r="AA929" i="2"/>
  <c r="AA930" i="2"/>
  <c r="AA931" i="2"/>
  <c r="AA932" i="2"/>
  <c r="AA933" i="2"/>
  <c r="AA934" i="2"/>
  <c r="AA935" i="2"/>
  <c r="AA936" i="2"/>
  <c r="AA937" i="2"/>
  <c r="AA938" i="2"/>
  <c r="AA939" i="2"/>
  <c r="AA940" i="2"/>
  <c r="AA941" i="2"/>
  <c r="AA942" i="2"/>
  <c r="AA943" i="2"/>
  <c r="AA944" i="2"/>
  <c r="AA945" i="2"/>
  <c r="AA946" i="2"/>
  <c r="AA947" i="2"/>
  <c r="AA948" i="2"/>
  <c r="AA949" i="2"/>
  <c r="AA950" i="2"/>
  <c r="AA951" i="2"/>
  <c r="AA952" i="2"/>
  <c r="AA953" i="2"/>
  <c r="AA954" i="2"/>
  <c r="AA955" i="2"/>
  <c r="AA956" i="2"/>
  <c r="AA957" i="2"/>
  <c r="AA958" i="2"/>
  <c r="AA959" i="2"/>
  <c r="AA960" i="2"/>
  <c r="AA961" i="2"/>
  <c r="AA962" i="2"/>
  <c r="AA963" i="2"/>
  <c r="AA964" i="2"/>
  <c r="AA965" i="2"/>
  <c r="AA966" i="2"/>
  <c r="AA967" i="2"/>
  <c r="AA968" i="2"/>
  <c r="AA969" i="2"/>
  <c r="AA970" i="2"/>
  <c r="AA971" i="2"/>
  <c r="AA972" i="2"/>
  <c r="AA973" i="2"/>
  <c r="AA974" i="2"/>
  <c r="AA975" i="2"/>
  <c r="AA976" i="2"/>
  <c r="AA977" i="2"/>
  <c r="AA978" i="2"/>
  <c r="AA979" i="2"/>
  <c r="AA980" i="2"/>
  <c r="AA981" i="2"/>
  <c r="AA982" i="2"/>
  <c r="AA983" i="2"/>
  <c r="AA984" i="2"/>
  <c r="AA985" i="2"/>
  <c r="AA986" i="2"/>
  <c r="AA987" i="2"/>
  <c r="AA988" i="2"/>
  <c r="AA989" i="2"/>
  <c r="AA990" i="2"/>
  <c r="AA991" i="2"/>
  <c r="AA992" i="2"/>
  <c r="AA993" i="2"/>
  <c r="AA994" i="2"/>
  <c r="AA995" i="2"/>
  <c r="AA996" i="2"/>
  <c r="AA997" i="2"/>
  <c r="AA998" i="2"/>
  <c r="AA999" i="2"/>
  <c r="AA1000" i="2"/>
  <c r="AA1001" i="2"/>
  <c r="AA1002" i="2"/>
  <c r="AA1003" i="2"/>
  <c r="AA1004" i="2"/>
  <c r="AA1005" i="2"/>
  <c r="AA1006" i="2"/>
  <c r="AA1007" i="2"/>
  <c r="AA1008" i="2"/>
  <c r="AA1009" i="2"/>
  <c r="AA1010" i="2"/>
  <c r="AA1011" i="2"/>
  <c r="AA1012" i="2"/>
  <c r="AA1013" i="2"/>
  <c r="AA1014" i="2"/>
  <c r="AA1015" i="2"/>
  <c r="AA1016" i="2"/>
  <c r="AA1017" i="2"/>
  <c r="AA1018" i="2"/>
  <c r="AA1019" i="2"/>
  <c r="AA1020" i="2"/>
  <c r="AA1021" i="2"/>
  <c r="AA1022" i="2"/>
  <c r="AA1023" i="2"/>
  <c r="AA1024" i="2"/>
  <c r="AA1025" i="2"/>
  <c r="AA1026" i="2"/>
  <c r="AA1027" i="2"/>
  <c r="AA1028" i="2"/>
  <c r="AA1029" i="2"/>
  <c r="AA1030" i="2"/>
  <c r="AA1031" i="2"/>
  <c r="AA1032" i="2"/>
  <c r="AA1033" i="2"/>
  <c r="AA1034" i="2"/>
  <c r="AA1035" i="2"/>
  <c r="AA1036" i="2"/>
  <c r="AA1037" i="2"/>
  <c r="AA1038" i="2"/>
  <c r="AA1039" i="2"/>
  <c r="AA1040" i="2"/>
  <c r="AA1041" i="2"/>
  <c r="AA1042" i="2"/>
  <c r="AA1043" i="2"/>
  <c r="AA1044" i="2"/>
  <c r="AA1045" i="2"/>
  <c r="AA1046" i="2"/>
  <c r="AA1047" i="2"/>
  <c r="AA1048" i="2"/>
  <c r="AA1049" i="2"/>
  <c r="AA1050" i="2"/>
  <c r="AA1051" i="2"/>
  <c r="AA1052" i="2"/>
  <c r="AA1053" i="2"/>
  <c r="AA1054" i="2"/>
  <c r="AA1055" i="2"/>
  <c r="AA1056" i="2"/>
  <c r="AA1057" i="2"/>
  <c r="AA1058" i="2"/>
  <c r="AA1059" i="2"/>
  <c r="AA1060" i="2"/>
  <c r="AA1061" i="2"/>
  <c r="AA1062" i="2"/>
  <c r="AA1063" i="2"/>
  <c r="AA1064" i="2"/>
  <c r="AA1065" i="2"/>
  <c r="AA1066" i="2"/>
  <c r="AA1067" i="2"/>
  <c r="AA1068" i="2"/>
  <c r="AA1069" i="2"/>
  <c r="AA1070" i="2"/>
  <c r="AA1071" i="2"/>
  <c r="AA1072" i="2"/>
  <c r="AA1073" i="2"/>
  <c r="AA1074" i="2"/>
  <c r="AA1075" i="2"/>
  <c r="AA1076" i="2"/>
  <c r="AA1077" i="2"/>
  <c r="AA1078" i="2"/>
  <c r="AA1079" i="2"/>
  <c r="AA1080" i="2"/>
  <c r="AA1081" i="2"/>
  <c r="AA1082" i="2"/>
  <c r="AA1083" i="2"/>
  <c r="AA1084" i="2"/>
  <c r="AA1085" i="2"/>
  <c r="AA1086" i="2"/>
  <c r="AA1087" i="2"/>
  <c r="AA1088" i="2"/>
  <c r="AA1089" i="2"/>
  <c r="AA1090" i="2"/>
  <c r="AA1091" i="2"/>
  <c r="AA1092" i="2"/>
  <c r="AA1093" i="2"/>
  <c r="AA1094" i="2"/>
  <c r="AA1095" i="2"/>
  <c r="AA1096" i="2"/>
  <c r="AA1097" i="2"/>
  <c r="AA1098" i="2"/>
  <c r="AA1099" i="2"/>
  <c r="AA1100" i="2"/>
  <c r="AA1101" i="2"/>
  <c r="AA1102" i="2"/>
  <c r="AA1103" i="2"/>
  <c r="AA1104" i="2"/>
  <c r="AA1105" i="2"/>
  <c r="AA1106" i="2"/>
  <c r="AA1107" i="2"/>
  <c r="AA1108" i="2"/>
  <c r="AA1109" i="2"/>
  <c r="AA1110" i="2"/>
  <c r="AA1111" i="2"/>
  <c r="AA1112" i="2"/>
  <c r="AA1113" i="2"/>
  <c r="AA1114" i="2"/>
  <c r="AA1115" i="2"/>
  <c r="AA1116" i="2"/>
  <c r="AA1117" i="2"/>
  <c r="AA1118" i="2"/>
  <c r="AA1119" i="2"/>
  <c r="AA1120" i="2"/>
  <c r="AA1121" i="2"/>
  <c r="AA1122" i="2"/>
  <c r="AA1123" i="2"/>
  <c r="AA1124" i="2"/>
  <c r="AA1125" i="2"/>
  <c r="AA1126" i="2"/>
  <c r="AA1127" i="2"/>
  <c r="AA1128" i="2"/>
  <c r="AA1129" i="2"/>
  <c r="AA1130" i="2"/>
  <c r="AA1131" i="2"/>
  <c r="AA1132" i="2"/>
  <c r="AA1133" i="2"/>
  <c r="AA1134" i="2"/>
  <c r="AA1135" i="2"/>
  <c r="AA1136" i="2"/>
  <c r="AA1137" i="2"/>
  <c r="AA1138" i="2"/>
  <c r="AA1139" i="2"/>
  <c r="AA1140" i="2"/>
  <c r="AA1141" i="2"/>
  <c r="AA1142" i="2"/>
  <c r="AA1143" i="2"/>
  <c r="AA1144" i="2"/>
  <c r="AA1145" i="2"/>
  <c r="AA1146" i="2"/>
  <c r="AA1147" i="2"/>
  <c r="AA1148" i="2"/>
  <c r="AA1149" i="2"/>
  <c r="AA1150" i="2"/>
  <c r="AA1151" i="2"/>
  <c r="AA1152" i="2"/>
  <c r="AA1153" i="2"/>
  <c r="AA1154" i="2"/>
  <c r="AA1155" i="2"/>
  <c r="AA1156" i="2"/>
  <c r="AA1157" i="2"/>
  <c r="AA1158" i="2"/>
  <c r="AA1159" i="2"/>
  <c r="AA1160" i="2"/>
  <c r="AA1161" i="2"/>
  <c r="AA1162" i="2"/>
  <c r="AA1163" i="2"/>
  <c r="AA1164" i="2"/>
  <c r="AA1165" i="2"/>
  <c r="AA1166" i="2"/>
  <c r="AA1167" i="2"/>
  <c r="AA1168" i="2"/>
  <c r="AA1169" i="2"/>
  <c r="AA1170" i="2"/>
  <c r="AA1171" i="2"/>
  <c r="AA1172" i="2"/>
  <c r="AA1173" i="2"/>
  <c r="AA1174" i="2"/>
  <c r="AA1175" i="2"/>
  <c r="AA1176" i="2"/>
  <c r="AA1177" i="2"/>
  <c r="AA1178" i="2"/>
  <c r="AA1179" i="2"/>
  <c r="AA1180" i="2"/>
  <c r="AA1181" i="2"/>
  <c r="AA1182" i="2"/>
  <c r="AA1183" i="2"/>
  <c r="AA1184" i="2"/>
  <c r="AA1185" i="2"/>
  <c r="AA1186" i="2"/>
  <c r="AA1187" i="2"/>
  <c r="AA1188" i="2"/>
  <c r="AA1189" i="2"/>
  <c r="AA1190" i="2"/>
  <c r="AA1191" i="2"/>
  <c r="AA1192" i="2"/>
  <c r="AA1193" i="2"/>
  <c r="AA1194" i="2"/>
  <c r="AA1195" i="2"/>
  <c r="AA1196" i="2"/>
  <c r="AA1197" i="2"/>
  <c r="AA1198" i="2"/>
  <c r="AA1199" i="2"/>
  <c r="AA1200" i="2"/>
  <c r="AA1201" i="2"/>
  <c r="AA1202" i="2"/>
  <c r="AA1203" i="2"/>
  <c r="AA1204" i="2"/>
  <c r="AA1205" i="2"/>
  <c r="AA1206" i="2"/>
  <c r="AA1207" i="2"/>
  <c r="AA1208" i="2"/>
  <c r="AA1209" i="2"/>
  <c r="AA1210" i="2"/>
  <c r="AA1211" i="2"/>
  <c r="AA1212" i="2"/>
  <c r="AA1213" i="2"/>
  <c r="AA1214" i="2"/>
  <c r="AA1215" i="2"/>
  <c r="AA1216" i="2"/>
  <c r="AA1217" i="2"/>
  <c r="AA1218" i="2"/>
  <c r="AA1219" i="2"/>
  <c r="AA1220" i="2"/>
  <c r="AA1221" i="2"/>
  <c r="AA1222" i="2"/>
  <c r="AA1223" i="2"/>
  <c r="AA1224" i="2"/>
  <c r="AA1225" i="2"/>
  <c r="AA1226" i="2"/>
  <c r="AA1227" i="2"/>
  <c r="AA1228" i="2"/>
  <c r="AA1229" i="2"/>
  <c r="AA1230" i="2"/>
  <c r="AA1231" i="2"/>
  <c r="AA1232" i="2"/>
  <c r="AA1233" i="2"/>
  <c r="AA1234" i="2"/>
  <c r="AA1235" i="2"/>
  <c r="AA1236" i="2"/>
  <c r="AA1237" i="2"/>
  <c r="AA1238" i="2"/>
  <c r="AA1239" i="2"/>
  <c r="AA1240" i="2"/>
  <c r="AA1241" i="2"/>
  <c r="AA1242" i="2"/>
  <c r="AA1243" i="2"/>
  <c r="AA1244" i="2"/>
  <c r="AA1245" i="2"/>
  <c r="AA1246" i="2"/>
  <c r="AA1247" i="2"/>
  <c r="AA1248" i="2"/>
  <c r="AA1249" i="2"/>
  <c r="AA1250" i="2"/>
  <c r="AA1251" i="2"/>
  <c r="AA1252" i="2"/>
  <c r="AA1253" i="2"/>
  <c r="AA1254" i="2"/>
  <c r="AA1255" i="2"/>
  <c r="AA1256" i="2"/>
  <c r="AA1257" i="2"/>
  <c r="AA1258" i="2"/>
  <c r="AA1259" i="2"/>
  <c r="AA1260" i="2"/>
  <c r="AA1261" i="2"/>
  <c r="AA1262" i="2"/>
  <c r="AA1263" i="2"/>
  <c r="AA1264" i="2"/>
  <c r="AA1265" i="2"/>
  <c r="AA1266" i="2"/>
  <c r="AA1267" i="2"/>
  <c r="AA1268" i="2"/>
  <c r="AA1269" i="2"/>
  <c r="AA1270" i="2"/>
  <c r="AA1271" i="2"/>
  <c r="AA1272" i="2"/>
  <c r="AA1273" i="2"/>
  <c r="AA1274" i="2"/>
  <c r="AA1275" i="2"/>
  <c r="AA1276" i="2"/>
  <c r="AA1277" i="2"/>
  <c r="AA1278" i="2"/>
  <c r="AA1279" i="2"/>
  <c r="AA1280" i="2"/>
  <c r="AA1281" i="2"/>
  <c r="AA1282" i="2"/>
  <c r="AA1283" i="2"/>
  <c r="AA1284" i="2"/>
  <c r="AA1285" i="2"/>
  <c r="AA1286" i="2"/>
  <c r="AA1287" i="2"/>
  <c r="AA1288" i="2"/>
  <c r="AA1289" i="2"/>
  <c r="AA1290" i="2"/>
  <c r="AA1291" i="2"/>
  <c r="AA1292" i="2"/>
  <c r="AA1293" i="2"/>
  <c r="AA1294" i="2"/>
  <c r="AA1295" i="2"/>
  <c r="AA1296" i="2"/>
  <c r="AA1297" i="2"/>
  <c r="AA1298" i="2"/>
  <c r="AA1299" i="2"/>
  <c r="AA1300" i="2"/>
  <c r="AA1301" i="2"/>
  <c r="AA1302" i="2"/>
  <c r="AA1303" i="2"/>
  <c r="AA1304" i="2"/>
  <c r="AA1305" i="2"/>
  <c r="AA1306" i="2"/>
  <c r="AA1307" i="2"/>
  <c r="AA1308" i="2"/>
  <c r="AA1309" i="2"/>
  <c r="AA1310" i="2"/>
  <c r="AA1311" i="2"/>
  <c r="AA1312" i="2"/>
  <c r="AA1313" i="2"/>
  <c r="AA1314" i="2"/>
  <c r="AA1315" i="2"/>
  <c r="AA1316" i="2"/>
  <c r="AA1317" i="2"/>
  <c r="AA1318" i="2"/>
  <c r="AA1319" i="2"/>
  <c r="AA1320" i="2"/>
  <c r="AA1321" i="2"/>
  <c r="AA1322" i="2"/>
  <c r="AA1323" i="2"/>
  <c r="AA1324" i="2"/>
  <c r="AA1325" i="2"/>
  <c r="AA1326" i="2"/>
  <c r="AA1327" i="2"/>
  <c r="AA1328" i="2"/>
  <c r="AA1329" i="2"/>
  <c r="AA1330" i="2"/>
  <c r="AA1331" i="2"/>
  <c r="AA1332" i="2"/>
  <c r="AA1333" i="2"/>
  <c r="AA1334" i="2"/>
  <c r="AA1335" i="2"/>
  <c r="AA1336" i="2"/>
  <c r="AA1337" i="2"/>
  <c r="AA1338" i="2"/>
  <c r="AA1339" i="2"/>
  <c r="AA1340" i="2"/>
  <c r="AA1341" i="2"/>
  <c r="AA1342" i="2"/>
  <c r="AA1343" i="2"/>
  <c r="AA1344" i="2"/>
  <c r="AA1345" i="2"/>
  <c r="AA1346" i="2"/>
  <c r="AA1347" i="2"/>
  <c r="AA1348" i="2"/>
  <c r="AA1349" i="2"/>
  <c r="AA1350" i="2"/>
  <c r="AA1351" i="2"/>
  <c r="AA1352" i="2"/>
  <c r="AA1353" i="2"/>
  <c r="AA1354" i="2"/>
  <c r="AA1355" i="2"/>
  <c r="AA1356" i="2"/>
  <c r="AA1357" i="2"/>
  <c r="AA1358" i="2"/>
  <c r="AA1359" i="2"/>
  <c r="AA1360" i="2"/>
  <c r="AA1361" i="2"/>
  <c r="AA1362" i="2"/>
  <c r="AA1363" i="2"/>
  <c r="AA1364" i="2"/>
  <c r="AA1365" i="2"/>
  <c r="AA1366" i="2"/>
  <c r="AA1367" i="2"/>
  <c r="AA1368" i="2"/>
  <c r="AA1369" i="2"/>
  <c r="AA1370" i="2"/>
  <c r="AA1371" i="2"/>
  <c r="AA1372" i="2"/>
  <c r="AA1373" i="2"/>
  <c r="AA1374" i="2"/>
  <c r="AA1375" i="2"/>
  <c r="AA1376" i="2"/>
  <c r="AA1377" i="2"/>
  <c r="AA1378" i="2"/>
  <c r="AA1379" i="2"/>
  <c r="AA1380" i="2"/>
  <c r="AA1381" i="2"/>
  <c r="AA1382" i="2"/>
  <c r="AA1383" i="2"/>
  <c r="AA1384" i="2"/>
  <c r="AA1385" i="2"/>
  <c r="AA1386" i="2"/>
  <c r="AA1387" i="2"/>
  <c r="AA1388" i="2"/>
  <c r="AA1389" i="2"/>
  <c r="AA1390" i="2"/>
  <c r="AA1391" i="2"/>
  <c r="AA1392" i="2"/>
  <c r="AA1393" i="2"/>
  <c r="AA1394" i="2"/>
  <c r="AA1395" i="2"/>
  <c r="AA1396" i="2"/>
  <c r="AA1397" i="2"/>
  <c r="AA1398" i="2"/>
  <c r="AA1399" i="2"/>
  <c r="AA1400" i="2"/>
  <c r="AA1401" i="2"/>
  <c r="AA1402" i="2"/>
  <c r="AA1403" i="2"/>
  <c r="AA1404" i="2"/>
  <c r="AA1405" i="2"/>
  <c r="AA1406" i="2"/>
  <c r="AA1407" i="2"/>
  <c r="AA1408" i="2"/>
  <c r="AA1409" i="2"/>
  <c r="AA1410" i="2"/>
  <c r="AA1411" i="2"/>
  <c r="AA1412" i="2"/>
  <c r="AA1413" i="2"/>
  <c r="AA1414" i="2"/>
  <c r="AA1415" i="2"/>
  <c r="AA1416" i="2"/>
  <c r="AA1417" i="2"/>
  <c r="AA1418" i="2"/>
  <c r="AA1419" i="2"/>
  <c r="AA1420" i="2"/>
  <c r="AA1421" i="2"/>
  <c r="AA1422" i="2"/>
  <c r="AA1423" i="2"/>
  <c r="AA1424" i="2"/>
  <c r="AA1425" i="2"/>
  <c r="AA1426" i="2"/>
  <c r="AA1427" i="2"/>
  <c r="AA1428" i="2"/>
  <c r="AA1429" i="2"/>
  <c r="AA1430" i="2"/>
  <c r="AA1431" i="2"/>
  <c r="AA1432" i="2"/>
  <c r="AA1433" i="2"/>
  <c r="AA1434" i="2"/>
  <c r="AA1435" i="2"/>
  <c r="AA1436" i="2"/>
  <c r="AA1437" i="2"/>
  <c r="AA1438" i="2"/>
  <c r="AA1439" i="2"/>
  <c r="AA1440" i="2"/>
  <c r="AA1441" i="2"/>
  <c r="AA1442" i="2"/>
  <c r="AA1443" i="2"/>
  <c r="AA1444" i="2"/>
  <c r="AA1445" i="2"/>
  <c r="AA1446" i="2"/>
  <c r="AA1447" i="2"/>
  <c r="AA1448" i="2"/>
  <c r="AA1449" i="2"/>
  <c r="AA1450" i="2"/>
  <c r="AA1451" i="2"/>
  <c r="AA1452" i="2"/>
  <c r="AA1453" i="2"/>
  <c r="AA1454" i="2"/>
  <c r="AA1455" i="2"/>
  <c r="AA1456" i="2"/>
  <c r="AA1457" i="2"/>
  <c r="AA1458" i="2"/>
  <c r="AA1459" i="2"/>
  <c r="AA1460" i="2"/>
  <c r="AA1461" i="2"/>
  <c r="AA1462" i="2"/>
  <c r="AA1463" i="2"/>
  <c r="AA1464" i="2"/>
  <c r="AA1465" i="2"/>
  <c r="AA1466" i="2"/>
  <c r="AA1467" i="2"/>
  <c r="AA1468" i="2"/>
  <c r="AA1469" i="2"/>
  <c r="AA1470" i="2"/>
  <c r="AA1471" i="2"/>
  <c r="AA1472" i="2"/>
  <c r="AA1473" i="2"/>
  <c r="AA1474" i="2"/>
  <c r="AA1475" i="2"/>
  <c r="AA1476" i="2"/>
  <c r="AA1477" i="2"/>
  <c r="AA1478" i="2"/>
  <c r="AA1479" i="2"/>
  <c r="AA1480" i="2"/>
  <c r="AA1481" i="2"/>
  <c r="AA1482" i="2"/>
  <c r="AA1483" i="2"/>
  <c r="AA1484" i="2"/>
  <c r="AA1485" i="2"/>
  <c r="AA1486" i="2"/>
  <c r="AA1487" i="2"/>
  <c r="AA1488" i="2"/>
  <c r="AA1489" i="2"/>
  <c r="AA1490" i="2"/>
  <c r="AA1491" i="2"/>
  <c r="AA1492" i="2"/>
  <c r="AA1493" i="2"/>
  <c r="AA1494" i="2"/>
  <c r="AA1495" i="2"/>
  <c r="AA1496" i="2"/>
  <c r="AA1497" i="2"/>
  <c r="AA1498" i="2"/>
  <c r="AA1499" i="2"/>
  <c r="AA1500" i="2"/>
  <c r="AA1501" i="2"/>
  <c r="AA1502" i="2"/>
  <c r="AA1503" i="2"/>
  <c r="AA1504" i="2"/>
  <c r="AA1505" i="2"/>
  <c r="AA1506" i="2"/>
  <c r="AA1507" i="2"/>
  <c r="AA1508" i="2"/>
  <c r="AA1509" i="2"/>
  <c r="AA1510" i="2"/>
  <c r="AA1511" i="2"/>
  <c r="AA1512" i="2"/>
  <c r="AA1513" i="2"/>
  <c r="AA1514" i="2"/>
  <c r="AA1515" i="2"/>
  <c r="AA1516" i="2"/>
  <c r="AA1517" i="2"/>
  <c r="AA1518" i="2"/>
  <c r="AA1519" i="2"/>
  <c r="AA1520" i="2"/>
  <c r="AA1521" i="2"/>
  <c r="AA1522" i="2"/>
  <c r="AA1523" i="2"/>
  <c r="AA1524" i="2"/>
  <c r="AA1525" i="2"/>
  <c r="AA1526" i="2"/>
  <c r="AA1527" i="2"/>
  <c r="AA1528" i="2"/>
  <c r="AA1529" i="2"/>
  <c r="AA1530" i="2"/>
  <c r="AA1531" i="2"/>
  <c r="AA1532" i="2"/>
  <c r="AA1533" i="2"/>
  <c r="AA1534" i="2"/>
  <c r="AA1535" i="2"/>
  <c r="AA1536" i="2"/>
  <c r="AA1537" i="2"/>
  <c r="AA1538" i="2"/>
  <c r="AA1539" i="2"/>
  <c r="AA1540" i="2"/>
  <c r="AA1541" i="2"/>
  <c r="AA1542" i="2"/>
  <c r="AA1543" i="2"/>
  <c r="AA1544" i="2"/>
  <c r="AA1545" i="2"/>
  <c r="AA1546" i="2"/>
  <c r="AA1547" i="2"/>
  <c r="AA1548" i="2"/>
  <c r="AA1549" i="2"/>
  <c r="AA1550" i="2"/>
  <c r="AA1551" i="2"/>
  <c r="AA1552" i="2"/>
  <c r="AA1553" i="2"/>
  <c r="AA1554" i="2"/>
  <c r="AA1555" i="2"/>
  <c r="AA1556" i="2"/>
  <c r="AA1557" i="2"/>
  <c r="AA1558" i="2"/>
  <c r="AA1559" i="2"/>
  <c r="AA1560" i="2"/>
  <c r="AA1561" i="2"/>
  <c r="AA1562" i="2"/>
  <c r="AA1563" i="2"/>
  <c r="AA1564" i="2"/>
  <c r="AA1565" i="2"/>
  <c r="AA1566" i="2"/>
  <c r="AA1567" i="2"/>
  <c r="AA1568" i="2"/>
  <c r="AA1569" i="2"/>
  <c r="AA1570" i="2"/>
  <c r="AA1571" i="2"/>
  <c r="AA1572" i="2"/>
  <c r="AA1573" i="2"/>
  <c r="AA1574" i="2"/>
  <c r="AA1575" i="2"/>
  <c r="AA1576" i="2"/>
  <c r="AA1577" i="2"/>
  <c r="AA1578" i="2"/>
  <c r="AA1579" i="2"/>
  <c r="AA1580" i="2"/>
  <c r="AA1581" i="2"/>
  <c r="AA1582" i="2"/>
  <c r="AA1583" i="2"/>
  <c r="AA1584" i="2"/>
  <c r="AA1585" i="2"/>
  <c r="AA1586" i="2"/>
  <c r="AA1587" i="2"/>
  <c r="AA1588" i="2"/>
  <c r="AA1589" i="2"/>
  <c r="AA1590" i="2"/>
  <c r="AA1591" i="2"/>
  <c r="AA1592" i="2"/>
  <c r="AA1593" i="2"/>
  <c r="AA1594" i="2"/>
  <c r="AA1595" i="2"/>
  <c r="AA1596" i="2"/>
  <c r="AA1597" i="2"/>
  <c r="AA1598" i="2"/>
  <c r="AA1599" i="2"/>
  <c r="AA1600" i="2"/>
  <c r="AA1601" i="2"/>
  <c r="AA1602" i="2"/>
  <c r="AA1603" i="2"/>
  <c r="AA1604" i="2"/>
  <c r="AA1605" i="2"/>
  <c r="AA1606" i="2"/>
  <c r="AA1607" i="2"/>
  <c r="AA1608" i="2"/>
  <c r="AA1609" i="2"/>
  <c r="AA1610" i="2"/>
  <c r="AA1611" i="2"/>
  <c r="AA1612" i="2"/>
  <c r="AA1613" i="2"/>
  <c r="AA1614" i="2"/>
  <c r="AA1615" i="2"/>
  <c r="AA1616" i="2"/>
  <c r="AA1617" i="2"/>
  <c r="AA1618" i="2"/>
  <c r="AA1619" i="2"/>
  <c r="AA1620" i="2"/>
  <c r="AA1621" i="2"/>
  <c r="AA1622" i="2"/>
  <c r="AA1623" i="2"/>
  <c r="AA1624" i="2"/>
  <c r="AA1625" i="2"/>
  <c r="AA1626" i="2"/>
  <c r="AA1627" i="2"/>
  <c r="AA1628" i="2"/>
  <c r="AA1629" i="2"/>
  <c r="AA1630" i="2"/>
  <c r="AA1631" i="2"/>
  <c r="AA1632" i="2"/>
  <c r="AA1633" i="2"/>
  <c r="AA1634" i="2"/>
  <c r="AA1635" i="2"/>
  <c r="AA1636" i="2"/>
  <c r="AA1637" i="2"/>
  <c r="AA1638" i="2"/>
  <c r="AA1639" i="2"/>
  <c r="AA1640" i="2"/>
  <c r="AA1641" i="2"/>
  <c r="AA1642" i="2"/>
  <c r="AA1643" i="2"/>
  <c r="AA1644" i="2"/>
  <c r="AA1645" i="2"/>
  <c r="AA1646" i="2"/>
  <c r="AA1647" i="2"/>
  <c r="AA1648" i="2"/>
  <c r="AA1649" i="2"/>
  <c r="AA1650" i="2"/>
  <c r="AA1651" i="2"/>
  <c r="AA1652" i="2"/>
  <c r="AA1653" i="2"/>
  <c r="AA1654" i="2"/>
  <c r="AA1655" i="2"/>
  <c r="AA1656" i="2"/>
  <c r="AA1657" i="2"/>
  <c r="AA1658" i="2"/>
  <c r="AA1659" i="2"/>
  <c r="AA1660" i="2"/>
  <c r="AA1661" i="2"/>
  <c r="AA1662" i="2"/>
  <c r="AA1663" i="2"/>
  <c r="AA1664" i="2"/>
  <c r="AA1665" i="2"/>
  <c r="AA1666" i="2"/>
  <c r="AA1667" i="2"/>
  <c r="AA1668" i="2"/>
  <c r="AA1669" i="2"/>
  <c r="AA1670" i="2"/>
  <c r="AA1671" i="2"/>
  <c r="AA1672" i="2"/>
  <c r="AA1673" i="2"/>
  <c r="AA1674" i="2"/>
  <c r="AA1675" i="2"/>
  <c r="AA1676" i="2"/>
  <c r="AA1677" i="2"/>
  <c r="AA1678" i="2"/>
  <c r="AA1679" i="2"/>
  <c r="AA1680" i="2"/>
  <c r="AA1681" i="2"/>
  <c r="AA1682" i="2"/>
  <c r="AA1683" i="2"/>
  <c r="AA1684" i="2"/>
  <c r="AA1685" i="2"/>
  <c r="AA1686" i="2"/>
  <c r="AA1687" i="2"/>
  <c r="AA1688" i="2"/>
  <c r="AA1689" i="2"/>
  <c r="AA1690" i="2"/>
  <c r="AA1691" i="2"/>
  <c r="AA1692" i="2"/>
  <c r="AA1693" i="2"/>
  <c r="AA1694" i="2"/>
  <c r="AA1695" i="2"/>
  <c r="AA1696" i="2"/>
  <c r="AA1697" i="2"/>
  <c r="AA1698" i="2"/>
  <c r="AA1699" i="2"/>
  <c r="AA1700" i="2"/>
  <c r="AA1701" i="2"/>
  <c r="AA1702" i="2"/>
  <c r="AA1703" i="2"/>
  <c r="AA1704" i="2"/>
  <c r="AA1705" i="2"/>
  <c r="AA1706" i="2"/>
  <c r="AA1707" i="2"/>
  <c r="AA1708" i="2"/>
  <c r="AA1709" i="2"/>
  <c r="AA1710" i="2"/>
  <c r="AA1711" i="2"/>
  <c r="AA1712" i="2"/>
  <c r="AA1713" i="2"/>
  <c r="AA1714" i="2"/>
  <c r="AA1715" i="2"/>
  <c r="AA1716" i="2"/>
  <c r="AA1717" i="2"/>
  <c r="AA1718" i="2"/>
  <c r="AA1719" i="2"/>
  <c r="AA1720" i="2"/>
  <c r="AA1721" i="2"/>
  <c r="AA1722" i="2"/>
  <c r="AA1723" i="2"/>
  <c r="AA1724" i="2"/>
  <c r="AA1725" i="2"/>
  <c r="AA1726" i="2"/>
  <c r="AA1727" i="2"/>
  <c r="AA1728" i="2"/>
  <c r="AA1729" i="2"/>
  <c r="AA1730" i="2"/>
  <c r="AA1731" i="2"/>
  <c r="AA1732" i="2"/>
  <c r="AA1733" i="2"/>
  <c r="AA1734" i="2"/>
  <c r="AA1735" i="2"/>
  <c r="AA1736" i="2"/>
  <c r="AA1737" i="2"/>
  <c r="AA1738" i="2"/>
  <c r="AA1739" i="2"/>
  <c r="AA1740" i="2"/>
  <c r="AA1741" i="2"/>
  <c r="AA1742" i="2"/>
  <c r="AA1743" i="2"/>
  <c r="AA1744" i="2"/>
  <c r="AA1745" i="2"/>
  <c r="AA1746" i="2"/>
  <c r="AA1747" i="2"/>
  <c r="AA1748" i="2"/>
  <c r="AA1749" i="2"/>
  <c r="AA1750" i="2"/>
  <c r="AA1751" i="2"/>
  <c r="AA1752" i="2"/>
  <c r="AA1753" i="2"/>
  <c r="AA1754" i="2"/>
  <c r="AA1755" i="2"/>
  <c r="AA1756" i="2"/>
  <c r="AA1757" i="2"/>
  <c r="AA1758" i="2"/>
  <c r="AA1759" i="2"/>
  <c r="AA1760" i="2"/>
  <c r="AA1761" i="2"/>
  <c r="AA1762" i="2"/>
  <c r="AA1763" i="2"/>
  <c r="AA1764" i="2"/>
  <c r="AA1765" i="2"/>
  <c r="AA1766" i="2"/>
  <c r="AA1767" i="2"/>
  <c r="AA1768" i="2"/>
  <c r="AA1769" i="2"/>
  <c r="AA1770" i="2"/>
  <c r="AA1771" i="2"/>
  <c r="AA1772" i="2"/>
  <c r="AA1773" i="2"/>
  <c r="AA1774" i="2"/>
  <c r="AA1775" i="2"/>
  <c r="AA1776" i="2"/>
  <c r="AA1777" i="2"/>
  <c r="AA1778" i="2"/>
  <c r="AA1779" i="2"/>
  <c r="AA1780" i="2"/>
  <c r="AA1781" i="2"/>
  <c r="AA1782" i="2"/>
  <c r="AA1783" i="2"/>
  <c r="AA1784" i="2"/>
  <c r="AA1785" i="2"/>
  <c r="AA1786" i="2"/>
  <c r="AA1787" i="2"/>
  <c r="AA1788" i="2"/>
  <c r="AA1789" i="2"/>
  <c r="AA1790" i="2"/>
  <c r="AA1791" i="2"/>
  <c r="AA1792" i="2"/>
  <c r="AA1793" i="2"/>
  <c r="AA1794" i="2"/>
  <c r="AA1795" i="2"/>
  <c r="AA1796" i="2"/>
  <c r="AA1797" i="2"/>
  <c r="AA1798" i="2"/>
  <c r="AA1799" i="2"/>
  <c r="AA1800" i="2"/>
  <c r="AA1801" i="2"/>
  <c r="AA1802" i="2"/>
  <c r="AA1803" i="2"/>
  <c r="AA1804" i="2"/>
  <c r="AA1805" i="2"/>
  <c r="AA1806" i="2"/>
  <c r="AA1807" i="2"/>
  <c r="AA1808" i="2"/>
  <c r="AA1809" i="2"/>
  <c r="AA1810" i="2"/>
  <c r="AA1811" i="2"/>
  <c r="AA1812" i="2"/>
  <c r="AA1813" i="2"/>
  <c r="AA1814" i="2"/>
  <c r="AA1815" i="2"/>
  <c r="AA1816" i="2"/>
  <c r="AA1817" i="2"/>
  <c r="AA1818" i="2"/>
  <c r="AA1819" i="2"/>
  <c r="AA1820" i="2"/>
  <c r="AA1821" i="2"/>
  <c r="AA1822" i="2"/>
  <c r="AA1823" i="2"/>
  <c r="AA1824" i="2"/>
  <c r="AA1825" i="2"/>
  <c r="AA1826" i="2"/>
  <c r="AA1827" i="2"/>
  <c r="AA1828" i="2"/>
  <c r="AA1829" i="2"/>
  <c r="AA1830" i="2"/>
  <c r="AA1831" i="2"/>
  <c r="AA1832" i="2"/>
  <c r="AA1833" i="2"/>
  <c r="AA1834" i="2"/>
  <c r="AA1835" i="2"/>
  <c r="AA1836" i="2"/>
  <c r="AA1837" i="2"/>
  <c r="AA1838" i="2"/>
  <c r="AA1839" i="2"/>
  <c r="AA1840" i="2"/>
  <c r="AA1841" i="2"/>
  <c r="AA1842" i="2"/>
  <c r="AA1843" i="2"/>
  <c r="AA1844" i="2"/>
  <c r="AA1845" i="2"/>
  <c r="AA1846" i="2"/>
  <c r="AA1847" i="2"/>
  <c r="AA1848" i="2"/>
  <c r="AA1849" i="2"/>
  <c r="AA1850" i="2"/>
  <c r="AA1851" i="2"/>
  <c r="AA1852" i="2"/>
  <c r="AA1853" i="2"/>
  <c r="AA1854" i="2"/>
  <c r="AA1855" i="2"/>
  <c r="AA1856" i="2"/>
  <c r="AA1857" i="2"/>
  <c r="AA1858" i="2"/>
  <c r="AA1859" i="2"/>
  <c r="AA1860" i="2"/>
  <c r="AA1861" i="2"/>
  <c r="AA1862" i="2"/>
  <c r="AA1863" i="2"/>
  <c r="AA1864" i="2"/>
  <c r="AA1865" i="2"/>
  <c r="AA1866" i="2"/>
  <c r="AA1867" i="2"/>
  <c r="AA1868" i="2"/>
  <c r="AA1869" i="2"/>
  <c r="AA1870" i="2"/>
  <c r="AA1871" i="2"/>
  <c r="AA1872" i="2"/>
  <c r="AA1873" i="2"/>
  <c r="AA1874" i="2"/>
  <c r="AA1875" i="2"/>
  <c r="AA1876" i="2"/>
  <c r="AA1877" i="2"/>
  <c r="AA1878" i="2"/>
  <c r="AA1879" i="2"/>
  <c r="AA1880" i="2"/>
  <c r="AA1881" i="2"/>
  <c r="AA1882" i="2"/>
  <c r="AA1883" i="2"/>
  <c r="AA1884" i="2"/>
  <c r="AA1885" i="2"/>
  <c r="AA1886" i="2"/>
  <c r="AA1887" i="2"/>
  <c r="AA1888" i="2"/>
  <c r="AA1889" i="2"/>
  <c r="AA1890" i="2"/>
  <c r="AA1891" i="2"/>
  <c r="AA1892" i="2"/>
  <c r="AA1893" i="2"/>
  <c r="AA1894" i="2"/>
  <c r="AA1895" i="2"/>
  <c r="AA1896" i="2"/>
  <c r="AA1897" i="2"/>
  <c r="AA1898" i="2"/>
  <c r="AA1899" i="2"/>
  <c r="AA1900" i="2"/>
  <c r="AA1901" i="2"/>
  <c r="AA1902" i="2"/>
  <c r="AA1903" i="2"/>
  <c r="AA1904" i="2"/>
  <c r="AA1905" i="2"/>
  <c r="AA1906" i="2"/>
  <c r="AA1907" i="2"/>
  <c r="AA1908" i="2"/>
  <c r="AA1909" i="2"/>
  <c r="AA1910" i="2"/>
  <c r="AA1911" i="2"/>
  <c r="AA1912" i="2"/>
  <c r="AA1913" i="2"/>
  <c r="AA1914" i="2"/>
  <c r="AA1915" i="2"/>
  <c r="AA1916" i="2"/>
  <c r="AA1917" i="2"/>
  <c r="AA1918" i="2"/>
  <c r="AA1919" i="2"/>
  <c r="AA1920" i="2"/>
  <c r="AA1921" i="2"/>
  <c r="AA1922" i="2"/>
  <c r="AA1923" i="2"/>
  <c r="AA1924" i="2"/>
  <c r="AA1925" i="2"/>
  <c r="AA1926" i="2"/>
  <c r="AA1927" i="2"/>
  <c r="AA1928" i="2"/>
  <c r="AA1929" i="2"/>
  <c r="AA1930" i="2"/>
  <c r="AA1931" i="2"/>
  <c r="AA1932" i="2"/>
  <c r="AA1933" i="2"/>
  <c r="AA1934" i="2"/>
  <c r="AA1935" i="2"/>
  <c r="AA1936" i="2"/>
  <c r="AA1937" i="2"/>
  <c r="AA1938" i="2"/>
  <c r="AA1939" i="2"/>
  <c r="AA1940" i="2"/>
  <c r="AA1941" i="2"/>
  <c r="AA1942" i="2"/>
  <c r="AA1943" i="2"/>
  <c r="AA1944" i="2"/>
  <c r="AA1945" i="2"/>
  <c r="AA1946" i="2"/>
  <c r="AA1947" i="2"/>
  <c r="AA1948" i="2"/>
  <c r="AA1949" i="2"/>
  <c r="AA1950" i="2"/>
  <c r="AA1951" i="2"/>
  <c r="AA1952" i="2"/>
  <c r="AA1953" i="2"/>
  <c r="AA1954" i="2"/>
  <c r="AA1955" i="2"/>
  <c r="AA1956" i="2"/>
  <c r="AA1957" i="2"/>
  <c r="AA1958" i="2"/>
  <c r="AA1959" i="2"/>
  <c r="AA1960" i="2"/>
  <c r="AA1961" i="2"/>
  <c r="AA1962" i="2"/>
  <c r="AA1963" i="2"/>
  <c r="AA1964" i="2"/>
  <c r="AA1965" i="2"/>
  <c r="AA1966" i="2"/>
  <c r="AA1967" i="2"/>
  <c r="AA1968" i="2"/>
  <c r="AA1969" i="2"/>
  <c r="AA1970" i="2"/>
  <c r="AA1971" i="2"/>
  <c r="AA1972" i="2"/>
  <c r="AA1973" i="2"/>
  <c r="AA1974" i="2"/>
  <c r="AA1975" i="2"/>
  <c r="AA1976" i="2"/>
  <c r="AA1977" i="2"/>
  <c r="AA1978" i="2"/>
  <c r="AA1979" i="2"/>
  <c r="AA1980" i="2"/>
  <c r="AA1981" i="2"/>
  <c r="AA1982" i="2"/>
  <c r="AA1983" i="2"/>
  <c r="AA1984" i="2"/>
  <c r="AA1985" i="2"/>
  <c r="AA1986" i="2"/>
  <c r="AA1987" i="2"/>
  <c r="AA1988" i="2"/>
  <c r="AA1989" i="2"/>
  <c r="AA1990" i="2"/>
  <c r="AA1991" i="2"/>
  <c r="AA1992" i="2"/>
  <c r="AA1993" i="2"/>
  <c r="AA1994" i="2"/>
  <c r="AA1995" i="2"/>
  <c r="AA1996" i="2"/>
  <c r="AA1997" i="2"/>
  <c r="AA1998" i="2"/>
  <c r="AA1999" i="2"/>
  <c r="AA2000" i="2"/>
  <c r="AA2001" i="2"/>
  <c r="J18" i="53" l="1"/>
  <c r="K9" i="53"/>
  <c r="K10" i="53"/>
  <c r="K11" i="53" s="1"/>
  <c r="M5" i="53"/>
  <c r="L6" i="53"/>
  <c r="L8" i="53"/>
  <c r="AA7" i="9"/>
  <c r="AA8" i="9"/>
  <c r="AA140" i="9"/>
  <c r="AA124" i="9"/>
  <c r="AA108" i="9"/>
  <c r="AA96" i="9"/>
  <c r="AA80" i="9"/>
  <c r="AA63" i="9"/>
  <c r="AA47" i="9"/>
  <c r="AA30" i="9"/>
  <c r="AA61" i="9"/>
  <c r="AA45" i="9"/>
  <c r="AA59" i="9"/>
  <c r="AA26" i="9"/>
  <c r="AA157" i="9"/>
  <c r="AA139" i="9"/>
  <c r="AA123" i="9"/>
  <c r="AA107" i="9"/>
  <c r="AA95" i="9"/>
  <c r="AA79" i="9"/>
  <c r="AA62" i="9"/>
  <c r="AA46" i="9"/>
  <c r="AA29" i="9"/>
  <c r="AA156" i="9"/>
  <c r="AA138" i="9"/>
  <c r="AA122" i="9"/>
  <c r="AA106" i="9"/>
  <c r="AA94" i="9"/>
  <c r="AA77" i="9"/>
  <c r="AA28" i="9"/>
  <c r="AA48" i="9"/>
  <c r="AA153" i="9"/>
  <c r="AA137" i="9"/>
  <c r="AA121" i="9"/>
  <c r="AA105" i="9"/>
  <c r="AA93" i="9"/>
  <c r="AA76" i="9"/>
  <c r="AA60" i="9"/>
  <c r="AA44" i="9"/>
  <c r="AA27" i="9"/>
  <c r="AA152" i="9"/>
  <c r="AA136" i="9"/>
  <c r="AA120" i="9"/>
  <c r="AA104" i="9"/>
  <c r="AA92" i="9"/>
  <c r="AA75" i="9"/>
  <c r="AA43" i="9"/>
  <c r="AA151" i="9"/>
  <c r="AA135" i="9"/>
  <c r="AA119" i="9"/>
  <c r="AA103" i="9"/>
  <c r="AA91" i="9"/>
  <c r="AA74" i="9"/>
  <c r="AA58" i="9"/>
  <c r="AA42" i="9"/>
  <c r="AA25" i="9"/>
  <c r="AA150" i="9"/>
  <c r="AA134" i="9"/>
  <c r="AA118" i="9"/>
  <c r="AA102" i="9"/>
  <c r="AA90" i="9"/>
  <c r="AA73" i="9"/>
  <c r="AA57" i="9"/>
  <c r="AA41" i="9"/>
  <c r="AA50" i="9"/>
  <c r="AA32" i="9"/>
  <c r="AA149" i="9"/>
  <c r="AA133" i="9"/>
  <c r="AA117" i="9"/>
  <c r="AA89" i="9"/>
  <c r="AA72" i="9"/>
  <c r="AA56" i="9"/>
  <c r="AA40" i="9"/>
  <c r="AA110" i="9"/>
  <c r="AA109" i="9"/>
  <c r="AA148" i="9"/>
  <c r="AA132" i="9"/>
  <c r="AA116" i="9"/>
  <c r="AA88" i="9"/>
  <c r="AA71" i="9"/>
  <c r="AA55" i="9"/>
  <c r="AA39" i="9"/>
  <c r="AA53" i="9"/>
  <c r="AA126" i="9"/>
  <c r="AA125" i="9"/>
  <c r="AA147" i="9"/>
  <c r="AA131" i="9"/>
  <c r="AA115" i="9"/>
  <c r="AA87" i="9"/>
  <c r="AA70" i="9"/>
  <c r="AA54" i="9"/>
  <c r="AA38" i="9"/>
  <c r="AA37" i="9"/>
  <c r="AA65" i="9"/>
  <c r="AA64" i="9"/>
  <c r="AA146" i="9"/>
  <c r="AA130" i="9"/>
  <c r="AA114" i="9"/>
  <c r="AA86" i="9"/>
  <c r="AA69" i="9"/>
  <c r="AA34" i="9"/>
  <c r="AA31" i="9"/>
  <c r="AA145" i="9"/>
  <c r="AA129" i="9"/>
  <c r="AA113" i="9"/>
  <c r="AA101" i="9"/>
  <c r="AA85" i="9"/>
  <c r="AA68" i="9"/>
  <c r="AA52" i="9"/>
  <c r="AA36" i="9"/>
  <c r="AA99" i="9"/>
  <c r="AA66" i="9"/>
  <c r="AA49" i="9"/>
  <c r="AA144" i="9"/>
  <c r="AA128" i="9"/>
  <c r="AA112" i="9"/>
  <c r="AA100" i="9"/>
  <c r="AA84" i="9"/>
  <c r="AA67" i="9"/>
  <c r="AA51" i="9"/>
  <c r="AA35" i="9"/>
  <c r="AA127" i="9"/>
  <c r="AA111" i="9"/>
  <c r="AA83" i="9"/>
  <c r="AA98" i="9"/>
  <c r="AA82" i="9"/>
  <c r="AA97" i="9"/>
  <c r="AA143" i="9"/>
  <c r="AA81" i="9"/>
  <c r="AA142" i="9"/>
  <c r="AA141" i="9"/>
  <c r="AA9" i="9"/>
  <c r="AA15" i="9"/>
  <c r="AA18" i="9"/>
  <c r="AA24" i="9"/>
  <c r="AA19" i="9"/>
  <c r="AA10" i="9"/>
  <c r="AA11" i="9"/>
  <c r="AA20" i="9"/>
  <c r="AA4" i="9"/>
  <c r="AA12" i="9"/>
  <c r="AA21" i="9"/>
  <c r="AA5" i="9"/>
  <c r="AA13" i="9"/>
  <c r="AA22" i="9"/>
  <c r="AA6" i="9"/>
  <c r="AA14" i="9"/>
  <c r="AA23" i="9"/>
  <c r="AA16" i="9"/>
  <c r="K18" i="53" l="1"/>
  <c r="N5" i="53"/>
  <c r="M6" i="53"/>
  <c r="M8" i="53"/>
  <c r="L10" i="53"/>
  <c r="L11" i="53" s="1"/>
  <c r="L9" i="53"/>
  <c r="AD157" i="9"/>
  <c r="AC157" i="9"/>
  <c r="CD62" i="41"/>
  <c r="BZ62" i="41"/>
  <c r="BV62" i="41"/>
  <c r="BR62" i="41"/>
  <c r="BN62" i="41"/>
  <c r="BJ62" i="41"/>
  <c r="BF62" i="41"/>
  <c r="BB62" i="41"/>
  <c r="AX62" i="41"/>
  <c r="AT62" i="41"/>
  <c r="AP62" i="41"/>
  <c r="AL62" i="41"/>
  <c r="AF62" i="41"/>
  <c r="AD62" i="41"/>
  <c r="CD61" i="41"/>
  <c r="BZ61" i="41"/>
  <c r="BV61" i="41"/>
  <c r="BR61" i="41"/>
  <c r="BN61" i="41"/>
  <c r="BJ61" i="41"/>
  <c r="BF61" i="41"/>
  <c r="BB61" i="41"/>
  <c r="AX61" i="41"/>
  <c r="AT61" i="41"/>
  <c r="AP61" i="41"/>
  <c r="AL61" i="41"/>
  <c r="AF61" i="41"/>
  <c r="AD61" i="41"/>
  <c r="CD60" i="41"/>
  <c r="BZ60" i="41"/>
  <c r="BV60" i="41"/>
  <c r="BR60" i="41"/>
  <c r="BN60" i="41"/>
  <c r="BJ60" i="41"/>
  <c r="BF60" i="41"/>
  <c r="BB60" i="41"/>
  <c r="AX60" i="41"/>
  <c r="AT60" i="41"/>
  <c r="AP60" i="41"/>
  <c r="AL60" i="41"/>
  <c r="AF60" i="41"/>
  <c r="AD60" i="41"/>
  <c r="CD59" i="41"/>
  <c r="BZ59" i="41"/>
  <c r="BV59" i="41"/>
  <c r="BR59" i="41"/>
  <c r="BN59" i="41"/>
  <c r="BJ59" i="41"/>
  <c r="BF59" i="41"/>
  <c r="BB59" i="41"/>
  <c r="AX59" i="41"/>
  <c r="AT59" i="41"/>
  <c r="AP59" i="41"/>
  <c r="AL59" i="41"/>
  <c r="AF59" i="41"/>
  <c r="AD59" i="41"/>
  <c r="CD58" i="41"/>
  <c r="BZ58" i="41"/>
  <c r="BV58" i="41"/>
  <c r="BR58" i="41"/>
  <c r="BN58" i="41"/>
  <c r="BJ58" i="41"/>
  <c r="BF58" i="41"/>
  <c r="BB58" i="41"/>
  <c r="AX58" i="41"/>
  <c r="AT58" i="41"/>
  <c r="AP58" i="41"/>
  <c r="AL58" i="41"/>
  <c r="AF58" i="41"/>
  <c r="AD58" i="41"/>
  <c r="CD57" i="41"/>
  <c r="BZ57" i="41"/>
  <c r="BV57" i="41"/>
  <c r="BR57" i="41"/>
  <c r="BN57" i="41"/>
  <c r="BJ57" i="41"/>
  <c r="BF57" i="41"/>
  <c r="BB57" i="41"/>
  <c r="AX57" i="41"/>
  <c r="AT57" i="41"/>
  <c r="AP57" i="41"/>
  <c r="AL57" i="41"/>
  <c r="AF57" i="41"/>
  <c r="AD57" i="41"/>
  <c r="CD56" i="41"/>
  <c r="BZ56" i="41"/>
  <c r="BV56" i="41"/>
  <c r="BR56" i="41"/>
  <c r="BN56" i="41"/>
  <c r="BJ56" i="41"/>
  <c r="BF56" i="41"/>
  <c r="BB56" i="41"/>
  <c r="AX56" i="41"/>
  <c r="AT56" i="41"/>
  <c r="AP56" i="41"/>
  <c r="AL56" i="41"/>
  <c r="AF56" i="41"/>
  <c r="AD56" i="41"/>
  <c r="CD55" i="41"/>
  <c r="BZ55" i="41"/>
  <c r="BV55" i="41"/>
  <c r="BR55" i="41"/>
  <c r="BN55" i="41"/>
  <c r="BJ55" i="41"/>
  <c r="BF55" i="41"/>
  <c r="BB55" i="41"/>
  <c r="AX55" i="41"/>
  <c r="AT55" i="41"/>
  <c r="AP55" i="41"/>
  <c r="AL55" i="41"/>
  <c r="AF55" i="41"/>
  <c r="AD55" i="41"/>
  <c r="CD54" i="41"/>
  <c r="BZ54" i="41"/>
  <c r="BV54" i="41"/>
  <c r="BR54" i="41"/>
  <c r="BN54" i="41"/>
  <c r="BJ54" i="41"/>
  <c r="BF54" i="41"/>
  <c r="BB54" i="41"/>
  <c r="AX54" i="41"/>
  <c r="AT54" i="41"/>
  <c r="AP54" i="41"/>
  <c r="AL54" i="41"/>
  <c r="AF54" i="41"/>
  <c r="AD54" i="41"/>
  <c r="CD53" i="41"/>
  <c r="BZ53" i="41"/>
  <c r="BV53" i="41"/>
  <c r="BR53" i="41"/>
  <c r="BN53" i="41"/>
  <c r="BJ53" i="41"/>
  <c r="BF53" i="41"/>
  <c r="BB53" i="41"/>
  <c r="AX53" i="41"/>
  <c r="AT53" i="41"/>
  <c r="AP53" i="41"/>
  <c r="AL53" i="41"/>
  <c r="AF53" i="41"/>
  <c r="AD53" i="41"/>
  <c r="CD52" i="41"/>
  <c r="BZ52" i="41"/>
  <c r="BV52" i="41"/>
  <c r="BR52" i="41"/>
  <c r="BN52" i="41"/>
  <c r="BJ52" i="41"/>
  <c r="BF52" i="41"/>
  <c r="BB52" i="41"/>
  <c r="AX52" i="41"/>
  <c r="AT52" i="41"/>
  <c r="AP52" i="41"/>
  <c r="AL52" i="41"/>
  <c r="AF52" i="41"/>
  <c r="AD52" i="41"/>
  <c r="CD51" i="41"/>
  <c r="BZ51" i="41"/>
  <c r="BV51" i="41"/>
  <c r="BR51" i="41"/>
  <c r="BN51" i="41"/>
  <c r="BJ51" i="41"/>
  <c r="BF51" i="41"/>
  <c r="BB51" i="41"/>
  <c r="AX51" i="41"/>
  <c r="AT51" i="41"/>
  <c r="AP51" i="41"/>
  <c r="AL51" i="41"/>
  <c r="AF51" i="41"/>
  <c r="AD51" i="41"/>
  <c r="AD50" i="41"/>
  <c r="CD49" i="41"/>
  <c r="BZ49" i="41"/>
  <c r="BV49" i="41"/>
  <c r="BR49" i="41"/>
  <c r="BN49" i="41"/>
  <c r="BJ49" i="41"/>
  <c r="BF49" i="41"/>
  <c r="BB49" i="41"/>
  <c r="AX49" i="41"/>
  <c r="AT49" i="41"/>
  <c r="AP49" i="41"/>
  <c r="AL49" i="41"/>
  <c r="AF49" i="41"/>
  <c r="AD49" i="41"/>
  <c r="CD48" i="41"/>
  <c r="BZ48" i="41"/>
  <c r="BV48" i="41"/>
  <c r="BR48" i="41"/>
  <c r="BN48" i="41"/>
  <c r="BJ48" i="41"/>
  <c r="BF48" i="41"/>
  <c r="BB48" i="41"/>
  <c r="AX48" i="41"/>
  <c r="AT48" i="41"/>
  <c r="AP48" i="41"/>
  <c r="AL48" i="41"/>
  <c r="AF48" i="41"/>
  <c r="AD48" i="41"/>
  <c r="CD47" i="41"/>
  <c r="BZ47" i="41"/>
  <c r="BV47" i="41"/>
  <c r="BR47" i="41"/>
  <c r="BN47" i="41"/>
  <c r="BJ47" i="41"/>
  <c r="BF47" i="41"/>
  <c r="BB47" i="41"/>
  <c r="AX47" i="41"/>
  <c r="AT47" i="41"/>
  <c r="AP47" i="41"/>
  <c r="AL47" i="41"/>
  <c r="AF47" i="41"/>
  <c r="AD47" i="41"/>
  <c r="CD46" i="41"/>
  <c r="BZ46" i="41"/>
  <c r="BV46" i="41"/>
  <c r="BR46" i="41"/>
  <c r="BN46" i="41"/>
  <c r="BJ46" i="41"/>
  <c r="BF46" i="41"/>
  <c r="BB46" i="41"/>
  <c r="AX46" i="41"/>
  <c r="AT46" i="41"/>
  <c r="AP46" i="41"/>
  <c r="AL46" i="41"/>
  <c r="AF46" i="41"/>
  <c r="AD46" i="41"/>
  <c r="CD45" i="41"/>
  <c r="BZ45" i="41"/>
  <c r="BV45" i="41"/>
  <c r="BR45" i="41"/>
  <c r="BN45" i="41"/>
  <c r="BJ45" i="41"/>
  <c r="BF45" i="41"/>
  <c r="BB45" i="41"/>
  <c r="AX45" i="41"/>
  <c r="AT45" i="41"/>
  <c r="AP45" i="41"/>
  <c r="AL45" i="41"/>
  <c r="AF45" i="41"/>
  <c r="AD45" i="41"/>
  <c r="CD44" i="41"/>
  <c r="BZ44" i="41"/>
  <c r="BV44" i="41"/>
  <c r="BR44" i="41"/>
  <c r="BN44" i="41"/>
  <c r="BJ44" i="41"/>
  <c r="BF44" i="41"/>
  <c r="BB44" i="41"/>
  <c r="AX44" i="41"/>
  <c r="AT44" i="41"/>
  <c r="AP44" i="41"/>
  <c r="AL44" i="41"/>
  <c r="AF44" i="41"/>
  <c r="AD44" i="41"/>
  <c r="CD43" i="41"/>
  <c r="BZ43" i="41"/>
  <c r="BV43" i="41"/>
  <c r="BR43" i="41"/>
  <c r="BN43" i="41"/>
  <c r="BJ43" i="41"/>
  <c r="BF43" i="41"/>
  <c r="BB43" i="41"/>
  <c r="AX43" i="41"/>
  <c r="AT43" i="41"/>
  <c r="AP43" i="41"/>
  <c r="AL43" i="41"/>
  <c r="AF43" i="41"/>
  <c r="AD43" i="41"/>
  <c r="CD42" i="41"/>
  <c r="BZ42" i="41"/>
  <c r="BV42" i="41"/>
  <c r="BR42" i="41"/>
  <c r="BN42" i="41"/>
  <c r="BJ42" i="41"/>
  <c r="BF42" i="41"/>
  <c r="BB42" i="41"/>
  <c r="AX42" i="41"/>
  <c r="AT42" i="41"/>
  <c r="AP42" i="41"/>
  <c r="AL42" i="41"/>
  <c r="AF42" i="41"/>
  <c r="AD42" i="41"/>
  <c r="CD41" i="41"/>
  <c r="BZ41" i="41"/>
  <c r="BV41" i="41"/>
  <c r="BR41" i="41"/>
  <c r="BN41" i="41"/>
  <c r="BJ41" i="41"/>
  <c r="BF41" i="41"/>
  <c r="BB41" i="41"/>
  <c r="AX41" i="41"/>
  <c r="AT41" i="41"/>
  <c r="AP41" i="41"/>
  <c r="AL41" i="41"/>
  <c r="AF41" i="41"/>
  <c r="AD41" i="41"/>
  <c r="CD40" i="41"/>
  <c r="BZ40" i="41"/>
  <c r="BV40" i="41"/>
  <c r="BR40" i="41"/>
  <c r="BN40" i="41"/>
  <c r="BJ40" i="41"/>
  <c r="BF40" i="41"/>
  <c r="BB40" i="41"/>
  <c r="AX40" i="41"/>
  <c r="AT40" i="41"/>
  <c r="AP40" i="41"/>
  <c r="AL40" i="41"/>
  <c r="AF40" i="41"/>
  <c r="AD40" i="41"/>
  <c r="CD39" i="41"/>
  <c r="BZ39" i="41"/>
  <c r="BV39" i="41"/>
  <c r="BR39" i="41"/>
  <c r="BN39" i="41"/>
  <c r="BJ39" i="41"/>
  <c r="BF39" i="41"/>
  <c r="BB39" i="41"/>
  <c r="AX39" i="41"/>
  <c r="AT39" i="41"/>
  <c r="AP39" i="41"/>
  <c r="AL39" i="41"/>
  <c r="AF39" i="41"/>
  <c r="AD39" i="41"/>
  <c r="CD38" i="41"/>
  <c r="BZ38" i="41"/>
  <c r="BV38" i="41"/>
  <c r="BR38" i="41"/>
  <c r="BN38" i="41"/>
  <c r="BJ38" i="41"/>
  <c r="BF38" i="41"/>
  <c r="BB38" i="41"/>
  <c r="AX38" i="41"/>
  <c r="AT38" i="41"/>
  <c r="AP38" i="41"/>
  <c r="AL38" i="41"/>
  <c r="AF38" i="41"/>
  <c r="AD38" i="41"/>
  <c r="AD37" i="41"/>
  <c r="CD36" i="41"/>
  <c r="BZ36" i="41"/>
  <c r="BV36" i="41"/>
  <c r="BR36" i="41"/>
  <c r="BN36" i="41"/>
  <c r="BJ36" i="41"/>
  <c r="BF36" i="41"/>
  <c r="BB36" i="41"/>
  <c r="AX36" i="41"/>
  <c r="AT36" i="41"/>
  <c r="AP36" i="41"/>
  <c r="AL36" i="41"/>
  <c r="AF36" i="41"/>
  <c r="AD36" i="41"/>
  <c r="CD35" i="41"/>
  <c r="BZ35" i="41"/>
  <c r="BV35" i="41"/>
  <c r="BR35" i="41"/>
  <c r="BN35" i="41"/>
  <c r="BJ35" i="41"/>
  <c r="BF35" i="41"/>
  <c r="BB35" i="41"/>
  <c r="AX35" i="41"/>
  <c r="AT35" i="41"/>
  <c r="AP35" i="41"/>
  <c r="AL35" i="41"/>
  <c r="AF35" i="41"/>
  <c r="AD35" i="41"/>
  <c r="CD34" i="41"/>
  <c r="BZ34" i="41"/>
  <c r="BV34" i="41"/>
  <c r="BR34" i="41"/>
  <c r="BN34" i="41"/>
  <c r="BJ34" i="41"/>
  <c r="BF34" i="41"/>
  <c r="BB34" i="41"/>
  <c r="AX34" i="41"/>
  <c r="AT34" i="41"/>
  <c r="AP34" i="41"/>
  <c r="AL34" i="41"/>
  <c r="AF34" i="41"/>
  <c r="AD34" i="41"/>
  <c r="CD33" i="41"/>
  <c r="BZ33" i="41"/>
  <c r="BV33" i="41"/>
  <c r="BR33" i="41"/>
  <c r="BN33" i="41"/>
  <c r="BJ33" i="41"/>
  <c r="BF33" i="41"/>
  <c r="BB33" i="41"/>
  <c r="AX33" i="41"/>
  <c r="AT33" i="41"/>
  <c r="AP33" i="41"/>
  <c r="AL33" i="41"/>
  <c r="AF33" i="41"/>
  <c r="AD33" i="41"/>
  <c r="CD32" i="41"/>
  <c r="BZ32" i="41"/>
  <c r="BV32" i="41"/>
  <c r="BR32" i="41"/>
  <c r="BN32" i="41"/>
  <c r="BJ32" i="41"/>
  <c r="BF32" i="41"/>
  <c r="BB32" i="41"/>
  <c r="AX32" i="41"/>
  <c r="AT32" i="41"/>
  <c r="AP32" i="41"/>
  <c r="AL32" i="41"/>
  <c r="AF32" i="41"/>
  <c r="AD32" i="41"/>
  <c r="CD31" i="41"/>
  <c r="BZ31" i="41"/>
  <c r="BV31" i="41"/>
  <c r="BR31" i="41"/>
  <c r="BN31" i="41"/>
  <c r="BJ31" i="41"/>
  <c r="BF31" i="41"/>
  <c r="BB31" i="41"/>
  <c r="AX31" i="41"/>
  <c r="AT31" i="41"/>
  <c r="AP31" i="41"/>
  <c r="AL31" i="41"/>
  <c r="AF31" i="41"/>
  <c r="AD31" i="41"/>
  <c r="CD30" i="41"/>
  <c r="BZ30" i="41"/>
  <c r="BV30" i="41"/>
  <c r="BR30" i="41"/>
  <c r="BN30" i="41"/>
  <c r="BJ30" i="41"/>
  <c r="BF30" i="41"/>
  <c r="BB30" i="41"/>
  <c r="AX30" i="41"/>
  <c r="AT30" i="41"/>
  <c r="AP30" i="41"/>
  <c r="AL30" i="41"/>
  <c r="AF30" i="41"/>
  <c r="AD30" i="41"/>
  <c r="CD29" i="41"/>
  <c r="BZ29" i="41"/>
  <c r="BV29" i="41"/>
  <c r="BR29" i="41"/>
  <c r="BN29" i="41"/>
  <c r="BJ29" i="41"/>
  <c r="BF29" i="41"/>
  <c r="BB29" i="41"/>
  <c r="AX29" i="41"/>
  <c r="AT29" i="41"/>
  <c r="AP29" i="41"/>
  <c r="AL29" i="41"/>
  <c r="AF29" i="41"/>
  <c r="AD29" i="41"/>
  <c r="CD28" i="41"/>
  <c r="BZ28" i="41"/>
  <c r="BV28" i="41"/>
  <c r="BR28" i="41"/>
  <c r="BN28" i="41"/>
  <c r="BJ28" i="41"/>
  <c r="BF28" i="41"/>
  <c r="BB28" i="41"/>
  <c r="AX28" i="41"/>
  <c r="AT28" i="41"/>
  <c r="AP28" i="41"/>
  <c r="AL28" i="41"/>
  <c r="AF28" i="41"/>
  <c r="AD28" i="41"/>
  <c r="CD27" i="41"/>
  <c r="BZ27" i="41"/>
  <c r="BV27" i="41"/>
  <c r="BR27" i="41"/>
  <c r="BN27" i="41"/>
  <c r="BJ27" i="41"/>
  <c r="BF27" i="41"/>
  <c r="BB27" i="41"/>
  <c r="AX27" i="41"/>
  <c r="AT27" i="41"/>
  <c r="AP27" i="41"/>
  <c r="AL27" i="41"/>
  <c r="AF27" i="41"/>
  <c r="AD27" i="41"/>
  <c r="CD26" i="41"/>
  <c r="BZ26" i="41"/>
  <c r="BV26" i="41"/>
  <c r="BR26" i="41"/>
  <c r="BN26" i="41"/>
  <c r="BJ26" i="41"/>
  <c r="BF26" i="41"/>
  <c r="BB26" i="41"/>
  <c r="AX26" i="41"/>
  <c r="AT26" i="41"/>
  <c r="AP26" i="41"/>
  <c r="AL26" i="41"/>
  <c r="AF26" i="41"/>
  <c r="AD26" i="41"/>
  <c r="CD25" i="41"/>
  <c r="BZ25" i="41"/>
  <c r="BV25" i="41"/>
  <c r="BR25" i="41"/>
  <c r="BN25" i="41"/>
  <c r="BJ25" i="41"/>
  <c r="BF25" i="41"/>
  <c r="BB25" i="41"/>
  <c r="AX25" i="41"/>
  <c r="AT25" i="41"/>
  <c r="AP25" i="41"/>
  <c r="AL25" i="41"/>
  <c r="AF25" i="41"/>
  <c r="AD25" i="41"/>
  <c r="AD24" i="41"/>
  <c r="CD23" i="41"/>
  <c r="BZ23" i="41"/>
  <c r="BV23" i="41"/>
  <c r="BR23" i="41"/>
  <c r="BN23" i="41"/>
  <c r="BJ23" i="41"/>
  <c r="BF23" i="41"/>
  <c r="BB23" i="41"/>
  <c r="AX23" i="41"/>
  <c r="AT23" i="41"/>
  <c r="AP23" i="41"/>
  <c r="AL23" i="41"/>
  <c r="AF23" i="41"/>
  <c r="AD23" i="41"/>
  <c r="CD22" i="41"/>
  <c r="BZ22" i="41"/>
  <c r="BV22" i="41"/>
  <c r="BR22" i="41"/>
  <c r="BN22" i="41"/>
  <c r="BJ22" i="41"/>
  <c r="BF22" i="41"/>
  <c r="BB22" i="41"/>
  <c r="AX22" i="41"/>
  <c r="AT22" i="41"/>
  <c r="AP22" i="41"/>
  <c r="AL22" i="41"/>
  <c r="AF22" i="41"/>
  <c r="AD22" i="41"/>
  <c r="CD21" i="41"/>
  <c r="BZ21" i="41"/>
  <c r="BV21" i="41"/>
  <c r="BR21" i="41"/>
  <c r="BN21" i="41"/>
  <c r="BJ21" i="41"/>
  <c r="BF21" i="41"/>
  <c r="BB21" i="41"/>
  <c r="AX21" i="41"/>
  <c r="AT21" i="41"/>
  <c r="AP21" i="41"/>
  <c r="AL21" i="41"/>
  <c r="AF21" i="41"/>
  <c r="AD21" i="41"/>
  <c r="CD20" i="41"/>
  <c r="BZ20" i="41"/>
  <c r="BV20" i="41"/>
  <c r="BR20" i="41"/>
  <c r="BN20" i="41"/>
  <c r="BJ20" i="41"/>
  <c r="BF20" i="41"/>
  <c r="BB20" i="41"/>
  <c r="AX20" i="41"/>
  <c r="AT20" i="41"/>
  <c r="AP20" i="41"/>
  <c r="AL20" i="41"/>
  <c r="AF20" i="41"/>
  <c r="AD20" i="41"/>
  <c r="CD19" i="41"/>
  <c r="BZ19" i="41"/>
  <c r="BV19" i="41"/>
  <c r="BR19" i="41"/>
  <c r="BN19" i="41"/>
  <c r="BJ19" i="41"/>
  <c r="BF19" i="41"/>
  <c r="BB19" i="41"/>
  <c r="AX19" i="41"/>
  <c r="AT19" i="41"/>
  <c r="AP19" i="41"/>
  <c r="AL19" i="41"/>
  <c r="AF19" i="41"/>
  <c r="AD19" i="41"/>
  <c r="CD18" i="41"/>
  <c r="BZ18" i="41"/>
  <c r="BV18" i="41"/>
  <c r="BR18" i="41"/>
  <c r="BN18" i="41"/>
  <c r="BJ18" i="41"/>
  <c r="BF18" i="41"/>
  <c r="BB18" i="41"/>
  <c r="AX18" i="41"/>
  <c r="AT18" i="41"/>
  <c r="AP18" i="41"/>
  <c r="AL18" i="41"/>
  <c r="AF18" i="41"/>
  <c r="AD18" i="41"/>
  <c r="CD17" i="41"/>
  <c r="BZ17" i="41"/>
  <c r="BV17" i="41"/>
  <c r="BR17" i="41"/>
  <c r="BN17" i="41"/>
  <c r="BJ17" i="41"/>
  <c r="BF17" i="41"/>
  <c r="BB17" i="41"/>
  <c r="AX17" i="41"/>
  <c r="AT17" i="41"/>
  <c r="AP17" i="41"/>
  <c r="AL17" i="41"/>
  <c r="AF17" i="41"/>
  <c r="AD17" i="41"/>
  <c r="CD16" i="41"/>
  <c r="BZ16" i="41"/>
  <c r="BV16" i="41"/>
  <c r="BR16" i="41"/>
  <c r="BN16" i="41"/>
  <c r="BJ16" i="41"/>
  <c r="BF16" i="41"/>
  <c r="BB16" i="41"/>
  <c r="AX16" i="41"/>
  <c r="AT16" i="41"/>
  <c r="AP16" i="41"/>
  <c r="AL16" i="41"/>
  <c r="AF16" i="41"/>
  <c r="AD16" i="41"/>
  <c r="CD15" i="41"/>
  <c r="BZ15" i="41"/>
  <c r="BV15" i="41"/>
  <c r="BR15" i="41"/>
  <c r="BN15" i="41"/>
  <c r="BJ15" i="41"/>
  <c r="BF15" i="41"/>
  <c r="BB15" i="41"/>
  <c r="AX15" i="41"/>
  <c r="AT15" i="41"/>
  <c r="AP15" i="41"/>
  <c r="AL15" i="41"/>
  <c r="AF15" i="41"/>
  <c r="AD15" i="41"/>
  <c r="CD14" i="41"/>
  <c r="BZ14" i="41"/>
  <c r="BV14" i="41"/>
  <c r="BR14" i="41"/>
  <c r="BN14" i="41"/>
  <c r="BJ14" i="41"/>
  <c r="BF14" i="41"/>
  <c r="BB14" i="41"/>
  <c r="AX14" i="41"/>
  <c r="AT14" i="41"/>
  <c r="AP14" i="41"/>
  <c r="AL14" i="41"/>
  <c r="AF14" i="41"/>
  <c r="AD14" i="41"/>
  <c r="CD13" i="41"/>
  <c r="BZ13" i="41"/>
  <c r="BV13" i="41"/>
  <c r="BR13" i="41"/>
  <c r="BN13" i="41"/>
  <c r="BJ13" i="41"/>
  <c r="BF13" i="41"/>
  <c r="BB13" i="41"/>
  <c r="AX13" i="41"/>
  <c r="AT13" i="41"/>
  <c r="AP13" i="41"/>
  <c r="AL13" i="41"/>
  <c r="AF13" i="41"/>
  <c r="AD13" i="41"/>
  <c r="CD12" i="41"/>
  <c r="BZ12" i="41"/>
  <c r="BV12" i="41"/>
  <c r="BR12" i="41"/>
  <c r="BN12" i="41"/>
  <c r="BJ12" i="41"/>
  <c r="BF12" i="41"/>
  <c r="BB12" i="41"/>
  <c r="AX12" i="41"/>
  <c r="AT12" i="41"/>
  <c r="AP12" i="41"/>
  <c r="AL12" i="41"/>
  <c r="AF12" i="41"/>
  <c r="AD12" i="41"/>
  <c r="AD11" i="41"/>
  <c r="AF6" i="41"/>
  <c r="AP11" i="41" l="1"/>
  <c r="BV24" i="41"/>
  <c r="AP50" i="41"/>
  <c r="L18" i="53"/>
  <c r="O5" i="53"/>
  <c r="N6" i="53"/>
  <c r="N8" i="53"/>
  <c r="M10" i="53"/>
  <c r="M11" i="53" s="1"/>
  <c r="M9" i="53"/>
  <c r="AH41" i="41"/>
  <c r="AG41" i="41" s="1"/>
  <c r="AL50" i="41"/>
  <c r="CD24" i="41"/>
  <c r="AP24" i="41"/>
  <c r="BJ11" i="41"/>
  <c r="AH17" i="41"/>
  <c r="BJ37" i="41"/>
  <c r="AH38" i="41"/>
  <c r="AG38" i="41" s="1"/>
  <c r="AH43" i="41"/>
  <c r="AG43" i="41" s="1"/>
  <c r="AH47" i="41"/>
  <c r="AG47" i="41" s="1"/>
  <c r="AE157" i="9"/>
  <c r="BB24" i="41"/>
  <c r="AH31" i="41"/>
  <c r="AG31" i="41" s="1"/>
  <c r="BZ37" i="41"/>
  <c r="AT50" i="41"/>
  <c r="AH54" i="41"/>
  <c r="AG54" i="41" s="1"/>
  <c r="AH62" i="41"/>
  <c r="AG62" i="41" s="1"/>
  <c r="BB11" i="41"/>
  <c r="BF24" i="41"/>
  <c r="BR24" i="41"/>
  <c r="BV37" i="41"/>
  <c r="BN24" i="41"/>
  <c r="AX50" i="41"/>
  <c r="BJ24" i="41"/>
  <c r="AH39" i="41"/>
  <c r="AG39" i="41" s="1"/>
  <c r="AH48" i="41"/>
  <c r="AG48" i="41" s="1"/>
  <c r="BJ50" i="41"/>
  <c r="AH58" i="41"/>
  <c r="AG58" i="41" s="1"/>
  <c r="AH40" i="41"/>
  <c r="AG40" i="41" s="1"/>
  <c r="AH46" i="41"/>
  <c r="AG46" i="41" s="1"/>
  <c r="BN50" i="41"/>
  <c r="BN11" i="41"/>
  <c r="BZ11" i="41"/>
  <c r="BR50" i="41"/>
  <c r="CD11" i="41"/>
  <c r="BV11" i="41"/>
  <c r="AH45" i="41"/>
  <c r="AG45" i="41" s="1"/>
  <c r="BB37" i="41"/>
  <c r="BF37" i="41"/>
  <c r="AH44" i="41"/>
  <c r="AG44" i="41" s="1"/>
  <c r="BV50" i="41"/>
  <c r="AX37" i="41"/>
  <c r="BZ50" i="41"/>
  <c r="AG17" i="41"/>
  <c r="AH49" i="41"/>
  <c r="AG49" i="41" s="1"/>
  <c r="AX24" i="41"/>
  <c r="CD50" i="41"/>
  <c r="AL24" i="41"/>
  <c r="AH35" i="41"/>
  <c r="AG35" i="41" s="1"/>
  <c r="AH13" i="41"/>
  <c r="AG13" i="41" s="1"/>
  <c r="AT11" i="41"/>
  <c r="AH21" i="41"/>
  <c r="AG21" i="41" s="1"/>
  <c r="AH42" i="41"/>
  <c r="AG42" i="41" s="1"/>
  <c r="AP37" i="41"/>
  <c r="BR11" i="41"/>
  <c r="AT37" i="41"/>
  <c r="AX11" i="41"/>
  <c r="CD37" i="41"/>
  <c r="AH20" i="41"/>
  <c r="AG20" i="41" s="1"/>
  <c r="AH26" i="41"/>
  <c r="AG26" i="41" s="1"/>
  <c r="AH30" i="41"/>
  <c r="AG30" i="41" s="1"/>
  <c r="AH34" i="41"/>
  <c r="AG34" i="41" s="1"/>
  <c r="AH53" i="41"/>
  <c r="AG53" i="41" s="1"/>
  <c r="AH57" i="41"/>
  <c r="AG57" i="41" s="1"/>
  <c r="AH61" i="41"/>
  <c r="AG61" i="41" s="1"/>
  <c r="AH15" i="41"/>
  <c r="AG15" i="41" s="1"/>
  <c r="AH19" i="41"/>
  <c r="AG19" i="41" s="1"/>
  <c r="AH23" i="41"/>
  <c r="AG23" i="41" s="1"/>
  <c r="AH25" i="41"/>
  <c r="AG25" i="41" s="1"/>
  <c r="AH29" i="41"/>
  <c r="AG29" i="41" s="1"/>
  <c r="AH33" i="41"/>
  <c r="AG33" i="41" s="1"/>
  <c r="AH52" i="41"/>
  <c r="AG52" i="41" s="1"/>
  <c r="AH56" i="41"/>
  <c r="AG56" i="41" s="1"/>
  <c r="AH60" i="41"/>
  <c r="AG60" i="41" s="1"/>
  <c r="BN37" i="41"/>
  <c r="AH16" i="41"/>
  <c r="AG16" i="41" s="1"/>
  <c r="AH14" i="41"/>
  <c r="AG14" i="41" s="1"/>
  <c r="AH18" i="41"/>
  <c r="AG18" i="41" s="1"/>
  <c r="AH22" i="41"/>
  <c r="AG22" i="41" s="1"/>
  <c r="AT24" i="41"/>
  <c r="BZ24" i="41"/>
  <c r="AH28" i="41"/>
  <c r="AG28" i="41" s="1"/>
  <c r="AH32" i="41"/>
  <c r="AG32" i="41" s="1"/>
  <c r="AH36" i="41"/>
  <c r="AG36" i="41" s="1"/>
  <c r="AL37" i="41"/>
  <c r="BR37" i="41"/>
  <c r="AH51" i="41"/>
  <c r="AG51" i="41" s="1"/>
  <c r="AH55" i="41"/>
  <c r="AG55" i="41" s="1"/>
  <c r="AH59" i="41"/>
  <c r="AG59" i="41" s="1"/>
  <c r="AH27" i="41"/>
  <c r="AG27" i="41" s="1"/>
  <c r="AH12" i="41"/>
  <c r="AG12" i="41" s="1"/>
  <c r="AL11" i="41"/>
  <c r="BF11" i="41"/>
  <c r="BF50" i="41"/>
  <c r="BB50" i="41"/>
  <c r="BI6" i="41" l="1"/>
  <c r="BJ6" i="41" s="1"/>
  <c r="AO6" i="41"/>
  <c r="AP6" i="41" s="1"/>
  <c r="M18" i="53"/>
  <c r="N10" i="53"/>
  <c r="N11" i="53" s="1"/>
  <c r="N9" i="53"/>
  <c r="P5" i="53"/>
  <c r="O6" i="53"/>
  <c r="O8" i="53"/>
  <c r="BM6" i="41"/>
  <c r="BN6" i="41" s="1"/>
  <c r="BU6" i="41"/>
  <c r="BV6" i="41" s="1"/>
  <c r="AS6" i="41"/>
  <c r="AT6" i="41" s="1"/>
  <c r="BQ6" i="41"/>
  <c r="BR6" i="41" s="1"/>
  <c r="CC6" i="41"/>
  <c r="CD6" i="41" s="1"/>
  <c r="BY6" i="41"/>
  <c r="BZ6" i="41" s="1"/>
  <c r="AH37" i="41"/>
  <c r="AH24" i="41"/>
  <c r="AW6" i="41"/>
  <c r="AX6" i="41" s="1"/>
  <c r="AK6" i="41"/>
  <c r="AL6" i="41" s="1"/>
  <c r="BE6" i="41"/>
  <c r="BF6" i="41" s="1"/>
  <c r="AH11" i="41"/>
  <c r="AH50" i="41"/>
  <c r="BA6" i="41"/>
  <c r="N18" i="53" l="1"/>
  <c r="Q5" i="53"/>
  <c r="P6" i="53"/>
  <c r="P8" i="53"/>
  <c r="O10" i="53"/>
  <c r="O11" i="53" s="1"/>
  <c r="O9" i="53"/>
  <c r="AG6" i="41"/>
  <c r="AH6" i="41" s="1"/>
  <c r="BB6" i="41"/>
  <c r="O18" i="53" l="1"/>
  <c r="P9" i="53"/>
  <c r="P10" i="53"/>
  <c r="P11" i="53" s="1"/>
  <c r="R5" i="53"/>
  <c r="Q6" i="53"/>
  <c r="Q8" i="53"/>
  <c r="P18" i="53" l="1"/>
  <c r="Q10" i="53"/>
  <c r="Q11" i="53" s="1"/>
  <c r="Q9" i="53"/>
  <c r="S5" i="53"/>
  <c r="R6" i="53"/>
  <c r="R8" i="53"/>
  <c r="B67" i="4"/>
  <c r="G66" i="9" s="1"/>
  <c r="C66" i="9" s="1"/>
  <c r="B68" i="4"/>
  <c r="B71" i="4"/>
  <c r="D67" i="4"/>
  <c r="E66" i="9" s="1"/>
  <c r="D68" i="4"/>
  <c r="D71" i="4"/>
  <c r="E71" i="9" s="1"/>
  <c r="I66" i="9"/>
  <c r="M153" i="2" l="1"/>
  <c r="N153" i="2" s="1"/>
  <c r="G70" i="9"/>
  <c r="C70" i="9" s="1"/>
  <c r="G71" i="9"/>
  <c r="G67" i="9"/>
  <c r="C67" i="9" s="1"/>
  <c r="G68" i="9"/>
  <c r="C68" i="9" s="1"/>
  <c r="L71" i="9"/>
  <c r="J71" i="9"/>
  <c r="E68" i="9"/>
  <c r="L68" i="9" s="1"/>
  <c r="E70" i="9"/>
  <c r="E65" i="9"/>
  <c r="J65" i="9" s="1"/>
  <c r="E67" i="9"/>
  <c r="L66" i="9"/>
  <c r="J66" i="9"/>
  <c r="K66" i="9"/>
  <c r="E64" i="9"/>
  <c r="E156" i="2"/>
  <c r="C65" i="9"/>
  <c r="C64" i="9"/>
  <c r="Q18" i="53"/>
  <c r="R10" i="53"/>
  <c r="R11" i="53" s="1"/>
  <c r="R9" i="53"/>
  <c r="T5" i="53"/>
  <c r="S6" i="53"/>
  <c r="S8" i="53"/>
  <c r="H5" i="9"/>
  <c r="P68" i="9"/>
  <c r="P66" i="9"/>
  <c r="P64" i="9"/>
  <c r="Q68" i="9"/>
  <c r="I64" i="9"/>
  <c r="Q71" i="9"/>
  <c r="P65" i="9"/>
  <c r="P71" i="9"/>
  <c r="I70" i="9"/>
  <c r="I71" i="9"/>
  <c r="M140" i="2" l="1"/>
  <c r="N140" i="2" s="1"/>
  <c r="O153" i="2"/>
  <c r="L65" i="9"/>
  <c r="K71" i="9"/>
  <c r="M71" i="9" s="1"/>
  <c r="N71" i="9" s="1"/>
  <c r="J68" i="9"/>
  <c r="C71" i="9"/>
  <c r="M66" i="9"/>
  <c r="N66" i="9" s="1"/>
  <c r="L67" i="9"/>
  <c r="J67" i="9"/>
  <c r="L70" i="9"/>
  <c r="J70" i="9"/>
  <c r="K70" i="9"/>
  <c r="L64" i="9"/>
  <c r="J64" i="9"/>
  <c r="K64" i="9"/>
  <c r="R18" i="53"/>
  <c r="S10" i="53"/>
  <c r="S11" i="53" s="1"/>
  <c r="S9" i="53"/>
  <c r="U5" i="53"/>
  <c r="T6" i="53"/>
  <c r="T8" i="53"/>
  <c r="D2" i="4"/>
  <c r="E4" i="9" s="1"/>
  <c r="D4" i="4"/>
  <c r="D5" i="4"/>
  <c r="D6" i="4"/>
  <c r="D7" i="4"/>
  <c r="D8" i="4"/>
  <c r="D9" i="4"/>
  <c r="D10" i="4"/>
  <c r="D11" i="4"/>
  <c r="E12" i="9" s="1"/>
  <c r="D12" i="4"/>
  <c r="D13" i="4"/>
  <c r="D14" i="4"/>
  <c r="E15" i="9" s="1"/>
  <c r="D15" i="4"/>
  <c r="D16" i="4"/>
  <c r="D17" i="4"/>
  <c r="D19" i="4"/>
  <c r="E20" i="9" s="1"/>
  <c r="D20" i="4"/>
  <c r="D21" i="4"/>
  <c r="D22" i="4"/>
  <c r="D23" i="4"/>
  <c r="D24" i="4"/>
  <c r="D25" i="4"/>
  <c r="D26" i="4"/>
  <c r="D27" i="4"/>
  <c r="D28" i="4"/>
  <c r="D29" i="4"/>
  <c r="D30" i="4"/>
  <c r="D31" i="4"/>
  <c r="E33" i="9" s="1"/>
  <c r="D32" i="4"/>
  <c r="E28" i="9" s="1"/>
  <c r="D33" i="4"/>
  <c r="D34" i="4"/>
  <c r="E36" i="9" s="1"/>
  <c r="D35" i="4"/>
  <c r="D38" i="4"/>
  <c r="E40" i="9" s="1"/>
  <c r="R40" i="9" s="1"/>
  <c r="D39" i="4"/>
  <c r="E41" i="9" s="1"/>
  <c r="D40" i="4"/>
  <c r="E42" i="9" s="1"/>
  <c r="D41" i="4"/>
  <c r="E43" i="9" s="1"/>
  <c r="D42" i="4"/>
  <c r="E44" i="9" s="1"/>
  <c r="D43" i="4"/>
  <c r="E45" i="9" s="1"/>
  <c r="D44" i="4"/>
  <c r="E46" i="9" s="1"/>
  <c r="D45" i="4"/>
  <c r="E47" i="9" s="1"/>
  <c r="D46" i="4"/>
  <c r="E48" i="9" s="1"/>
  <c r="D47" i="4"/>
  <c r="E49" i="9" s="1"/>
  <c r="D48" i="4"/>
  <c r="E50" i="9" s="1"/>
  <c r="X340" i="38"/>
  <c r="W340" i="38"/>
  <c r="V340" i="38"/>
  <c r="U340" i="38"/>
  <c r="T340" i="38"/>
  <c r="S340" i="38"/>
  <c r="R340" i="38"/>
  <c r="Q340" i="38"/>
  <c r="P340" i="38"/>
  <c r="O340" i="38"/>
  <c r="N340" i="38"/>
  <c r="M340" i="38"/>
  <c r="X339" i="38"/>
  <c r="W339" i="38"/>
  <c r="V339" i="38"/>
  <c r="U339" i="38"/>
  <c r="T339" i="38"/>
  <c r="S339" i="38"/>
  <c r="R339" i="38"/>
  <c r="Q339" i="38"/>
  <c r="P339" i="38"/>
  <c r="O339" i="38"/>
  <c r="N339" i="38"/>
  <c r="M339" i="38"/>
  <c r="J338" i="38"/>
  <c r="I338" i="38"/>
  <c r="K338" i="38" s="1"/>
  <c r="F338" i="38"/>
  <c r="A338" i="38"/>
  <c r="J337" i="38"/>
  <c r="I337" i="38"/>
  <c r="K337" i="38" s="1"/>
  <c r="F337" i="38"/>
  <c r="A337" i="38"/>
  <c r="J336" i="38"/>
  <c r="I336" i="38"/>
  <c r="K336" i="38" s="1"/>
  <c r="F336" i="38"/>
  <c r="A336" i="38"/>
  <c r="J335" i="38"/>
  <c r="I335" i="38"/>
  <c r="K335" i="38" s="1"/>
  <c r="F335" i="38"/>
  <c r="A335" i="38"/>
  <c r="J334" i="38"/>
  <c r="I334" i="38"/>
  <c r="K334" i="38" s="1"/>
  <c r="F334" i="38"/>
  <c r="A334" i="38"/>
  <c r="J333" i="38"/>
  <c r="I333" i="38"/>
  <c r="K333" i="38" s="1"/>
  <c r="F333" i="38"/>
  <c r="A333" i="38"/>
  <c r="J332" i="38"/>
  <c r="I332" i="38"/>
  <c r="K332" i="38" s="1"/>
  <c r="F332" i="38"/>
  <c r="A332" i="38"/>
  <c r="J331" i="38"/>
  <c r="I331" i="38"/>
  <c r="K331" i="38" s="1"/>
  <c r="F331" i="38"/>
  <c r="A331" i="38"/>
  <c r="J330" i="38"/>
  <c r="I330" i="38"/>
  <c r="K330" i="38" s="1"/>
  <c r="F330" i="38"/>
  <c r="A330" i="38"/>
  <c r="J329" i="38"/>
  <c r="I329" i="38"/>
  <c r="K329" i="38" s="1"/>
  <c r="F329" i="38"/>
  <c r="A329" i="38"/>
  <c r="J328" i="38"/>
  <c r="I328" i="38"/>
  <c r="K328" i="38" s="1"/>
  <c r="F328" i="38"/>
  <c r="A328" i="38"/>
  <c r="J327" i="38"/>
  <c r="I327" i="38"/>
  <c r="K327" i="38" s="1"/>
  <c r="F327" i="38"/>
  <c r="A327" i="38"/>
  <c r="J326" i="38"/>
  <c r="I326" i="38"/>
  <c r="K326" i="38" s="1"/>
  <c r="F326" i="38"/>
  <c r="A326" i="38"/>
  <c r="J325" i="38"/>
  <c r="I325" i="38"/>
  <c r="K325" i="38" s="1"/>
  <c r="F325" i="38"/>
  <c r="A325" i="38"/>
  <c r="J324" i="38"/>
  <c r="I324" i="38"/>
  <c r="K324" i="38" s="1"/>
  <c r="F324" i="38"/>
  <c r="A324" i="38"/>
  <c r="J323" i="38"/>
  <c r="I323" i="38"/>
  <c r="K323" i="38" s="1"/>
  <c r="F323" i="38"/>
  <c r="A323" i="38"/>
  <c r="J322" i="38"/>
  <c r="I322" i="38"/>
  <c r="K322" i="38" s="1"/>
  <c r="F322" i="38"/>
  <c r="A322" i="38"/>
  <c r="J321" i="38"/>
  <c r="I321" i="38"/>
  <c r="K321" i="38" s="1"/>
  <c r="F321" i="38"/>
  <c r="A321" i="38"/>
  <c r="J320" i="38"/>
  <c r="I320" i="38"/>
  <c r="K320" i="38" s="1"/>
  <c r="F320" i="38"/>
  <c r="A320" i="38"/>
  <c r="J319" i="38"/>
  <c r="I319" i="38"/>
  <c r="K319" i="38" s="1"/>
  <c r="F319" i="38"/>
  <c r="A319" i="38"/>
  <c r="J318" i="38"/>
  <c r="I318" i="38"/>
  <c r="K318" i="38" s="1"/>
  <c r="F318" i="38"/>
  <c r="A318" i="38"/>
  <c r="J317" i="38"/>
  <c r="I317" i="38"/>
  <c r="K317" i="38" s="1"/>
  <c r="F317" i="38"/>
  <c r="A317" i="38"/>
  <c r="J316" i="38"/>
  <c r="I316" i="38"/>
  <c r="K316" i="38" s="1"/>
  <c r="F316" i="38"/>
  <c r="A316" i="38"/>
  <c r="J315" i="38"/>
  <c r="I315" i="38"/>
  <c r="K315" i="38" s="1"/>
  <c r="F315" i="38"/>
  <c r="A315" i="38"/>
  <c r="J314" i="38"/>
  <c r="I314" i="38"/>
  <c r="K314" i="38" s="1"/>
  <c r="F314" i="38"/>
  <c r="A314" i="38"/>
  <c r="J313" i="38"/>
  <c r="I313" i="38"/>
  <c r="K313" i="38" s="1"/>
  <c r="F313" i="38"/>
  <c r="A313" i="38"/>
  <c r="J312" i="38"/>
  <c r="I312" i="38"/>
  <c r="K312" i="38" s="1"/>
  <c r="F312" i="38"/>
  <c r="A312" i="38"/>
  <c r="J311" i="38"/>
  <c r="I311" i="38"/>
  <c r="K311" i="38" s="1"/>
  <c r="F311" i="38"/>
  <c r="A311" i="38"/>
  <c r="J310" i="38"/>
  <c r="I310" i="38"/>
  <c r="K310" i="38" s="1"/>
  <c r="F310" i="38"/>
  <c r="A310" i="38"/>
  <c r="J309" i="38"/>
  <c r="I309" i="38"/>
  <c r="K309" i="38" s="1"/>
  <c r="F309" i="38"/>
  <c r="A309" i="38"/>
  <c r="J308" i="38"/>
  <c r="I308" i="38"/>
  <c r="K308" i="38" s="1"/>
  <c r="F308" i="38"/>
  <c r="A308" i="38"/>
  <c r="J307" i="38"/>
  <c r="I307" i="38"/>
  <c r="K307" i="38" s="1"/>
  <c r="F307" i="38"/>
  <c r="A307" i="38"/>
  <c r="J306" i="38"/>
  <c r="I306" i="38"/>
  <c r="K306" i="38" s="1"/>
  <c r="F306" i="38"/>
  <c r="A306" i="38"/>
  <c r="J305" i="38"/>
  <c r="I305" i="38"/>
  <c r="K305" i="38" s="1"/>
  <c r="F305" i="38"/>
  <c r="A305" i="38"/>
  <c r="J304" i="38"/>
  <c r="I304" i="38"/>
  <c r="K304" i="38" s="1"/>
  <c r="F304" i="38"/>
  <c r="A304" i="38"/>
  <c r="J303" i="38"/>
  <c r="I303" i="38"/>
  <c r="K303" i="38" s="1"/>
  <c r="F303" i="38"/>
  <c r="A303" i="38"/>
  <c r="J302" i="38"/>
  <c r="I302" i="38"/>
  <c r="K302" i="38" s="1"/>
  <c r="F302" i="38"/>
  <c r="A302" i="38"/>
  <c r="J301" i="38"/>
  <c r="I301" i="38"/>
  <c r="K301" i="38" s="1"/>
  <c r="F301" i="38"/>
  <c r="A301" i="38"/>
  <c r="J300" i="38"/>
  <c r="I300" i="38"/>
  <c r="K300" i="38" s="1"/>
  <c r="F300" i="38"/>
  <c r="A300" i="38"/>
  <c r="J299" i="38"/>
  <c r="I299" i="38"/>
  <c r="K299" i="38" s="1"/>
  <c r="F299" i="38"/>
  <c r="A299" i="38"/>
  <c r="J298" i="38"/>
  <c r="I298" i="38"/>
  <c r="K298" i="38" s="1"/>
  <c r="A298" i="38"/>
  <c r="J297" i="38"/>
  <c r="I297" i="38"/>
  <c r="K297" i="38" s="1"/>
  <c r="A297" i="38"/>
  <c r="J296" i="38"/>
  <c r="I296" i="38"/>
  <c r="K296" i="38" s="1"/>
  <c r="A296" i="38"/>
  <c r="J295" i="38"/>
  <c r="I295" i="38"/>
  <c r="K295" i="38" s="1"/>
  <c r="A295" i="38"/>
  <c r="J294" i="38"/>
  <c r="I294" i="38"/>
  <c r="K294" i="38" s="1"/>
  <c r="A294" i="38"/>
  <c r="J293" i="38"/>
  <c r="I293" i="38"/>
  <c r="K293" i="38" s="1"/>
  <c r="A293" i="38"/>
  <c r="J292" i="38"/>
  <c r="I292" i="38"/>
  <c r="K292" i="38" s="1"/>
  <c r="A292" i="38"/>
  <c r="J291" i="38"/>
  <c r="I291" i="38"/>
  <c r="K291" i="38" s="1"/>
  <c r="A291" i="38"/>
  <c r="J290" i="38"/>
  <c r="I290" i="38"/>
  <c r="K290" i="38" s="1"/>
  <c r="A290" i="38"/>
  <c r="J289" i="38"/>
  <c r="I289" i="38"/>
  <c r="K289" i="38" s="1"/>
  <c r="A289" i="38"/>
  <c r="J288" i="38"/>
  <c r="I288" i="38"/>
  <c r="K288" i="38" s="1"/>
  <c r="A288" i="38"/>
  <c r="J287" i="38"/>
  <c r="I287" i="38"/>
  <c r="K287" i="38" s="1"/>
  <c r="A287" i="38"/>
  <c r="J286" i="38"/>
  <c r="I286" i="38"/>
  <c r="K286" i="38" s="1"/>
  <c r="A286" i="38"/>
  <c r="J285" i="38"/>
  <c r="I285" i="38"/>
  <c r="K285" i="38" s="1"/>
  <c r="A285" i="38"/>
  <c r="J284" i="38"/>
  <c r="I284" i="38"/>
  <c r="K284" i="38" s="1"/>
  <c r="A284" i="38"/>
  <c r="J283" i="38"/>
  <c r="I283" i="38"/>
  <c r="K283" i="38" s="1"/>
  <c r="A283" i="38"/>
  <c r="J282" i="38"/>
  <c r="I282" i="38"/>
  <c r="K282" i="38" s="1"/>
  <c r="A282" i="38"/>
  <c r="J281" i="38"/>
  <c r="I281" i="38"/>
  <c r="K281" i="38" s="1"/>
  <c r="A281" i="38"/>
  <c r="J280" i="38"/>
  <c r="I280" i="38"/>
  <c r="K280" i="38" s="1"/>
  <c r="A280" i="38"/>
  <c r="J279" i="38"/>
  <c r="I279" i="38"/>
  <c r="K279" i="38" s="1"/>
  <c r="A279" i="38"/>
  <c r="J278" i="38"/>
  <c r="I278" i="38"/>
  <c r="K278" i="38" s="1"/>
  <c r="A278" i="38"/>
  <c r="J277" i="38"/>
  <c r="I277" i="38"/>
  <c r="K277" i="38" s="1"/>
  <c r="A277" i="38"/>
  <c r="J276" i="38"/>
  <c r="I276" i="38"/>
  <c r="K276" i="38" s="1"/>
  <c r="A276" i="38"/>
  <c r="J275" i="38"/>
  <c r="I275" i="38"/>
  <c r="K275" i="38" s="1"/>
  <c r="A275" i="38"/>
  <c r="J274" i="38"/>
  <c r="I274" i="38"/>
  <c r="K274" i="38" s="1"/>
  <c r="A274" i="38"/>
  <c r="I273" i="38"/>
  <c r="K273" i="38" s="1"/>
  <c r="A273" i="38"/>
  <c r="A272" i="38"/>
  <c r="A271" i="38"/>
  <c r="A270" i="38"/>
  <c r="J269" i="38"/>
  <c r="A269" i="38"/>
  <c r="J268" i="38"/>
  <c r="A268" i="38"/>
  <c r="J267" i="38"/>
  <c r="A267" i="38"/>
  <c r="I266" i="38"/>
  <c r="K266" i="38" s="1"/>
  <c r="A266" i="38"/>
  <c r="I265" i="38"/>
  <c r="K265" i="38" s="1"/>
  <c r="A265" i="38"/>
  <c r="A264" i="38"/>
  <c r="A263" i="38"/>
  <c r="J262" i="38"/>
  <c r="A262" i="38"/>
  <c r="J261" i="38"/>
  <c r="A261" i="38"/>
  <c r="A260" i="38"/>
  <c r="A259" i="38"/>
  <c r="I258" i="38"/>
  <c r="K258" i="38" s="1"/>
  <c r="A258" i="38"/>
  <c r="A257" i="38"/>
  <c r="A256" i="38"/>
  <c r="J255" i="38"/>
  <c r="A255" i="38"/>
  <c r="J254" i="38"/>
  <c r="A254" i="38"/>
  <c r="A253" i="38"/>
  <c r="J252" i="38"/>
  <c r="A252" i="38"/>
  <c r="J251" i="38"/>
  <c r="A251" i="38"/>
  <c r="I250" i="38"/>
  <c r="K250" i="38" s="1"/>
  <c r="A250" i="38"/>
  <c r="A249" i="38"/>
  <c r="A248" i="38"/>
  <c r="A247" i="38"/>
  <c r="J246" i="38"/>
  <c r="A246" i="38"/>
  <c r="J245" i="38"/>
  <c r="A245" i="38"/>
  <c r="A244" i="38"/>
  <c r="I243" i="38"/>
  <c r="K243" i="38" s="1"/>
  <c r="A243" i="38"/>
  <c r="I242" i="38"/>
  <c r="K242" i="38" s="1"/>
  <c r="A242" i="38"/>
  <c r="A241" i="38"/>
  <c r="J240" i="38"/>
  <c r="A240" i="38"/>
  <c r="J239" i="38"/>
  <c r="A239" i="38"/>
  <c r="J238" i="38"/>
  <c r="A238" i="38"/>
  <c r="I237" i="38"/>
  <c r="K237" i="38" s="1"/>
  <c r="A237" i="38"/>
  <c r="I236" i="38"/>
  <c r="K236" i="38" s="1"/>
  <c r="A236" i="38"/>
  <c r="A235" i="38"/>
  <c r="A234" i="38"/>
  <c r="A233" i="38"/>
  <c r="J232" i="38"/>
  <c r="A232" i="38"/>
  <c r="J231" i="38"/>
  <c r="A231" i="38"/>
  <c r="A230" i="38"/>
  <c r="I229" i="38"/>
  <c r="K229" i="38" s="1"/>
  <c r="A229" i="38"/>
  <c r="A228" i="38"/>
  <c r="A227" i="38"/>
  <c r="I226" i="38"/>
  <c r="K226" i="38" s="1"/>
  <c r="A226" i="38"/>
  <c r="A225" i="38"/>
  <c r="A224" i="38"/>
  <c r="J223" i="38"/>
  <c r="A223" i="38"/>
  <c r="I222" i="38"/>
  <c r="K222" i="38" s="1"/>
  <c r="A222" i="38"/>
  <c r="A221" i="38"/>
  <c r="A220" i="38"/>
  <c r="J219" i="38"/>
  <c r="A219" i="38"/>
  <c r="A218" i="38"/>
  <c r="J217" i="38"/>
  <c r="A217" i="38"/>
  <c r="J216" i="38"/>
  <c r="A216" i="38"/>
  <c r="A215" i="38"/>
  <c r="I214" i="38"/>
  <c r="K214" i="38" s="1"/>
  <c r="A214" i="38"/>
  <c r="A213" i="38"/>
  <c r="A212" i="38"/>
  <c r="I211" i="38"/>
  <c r="K211" i="38" s="1"/>
  <c r="A211" i="38"/>
  <c r="J210" i="38"/>
  <c r="A210" i="38"/>
  <c r="J209" i="38"/>
  <c r="A209" i="38"/>
  <c r="A208" i="38"/>
  <c r="J207" i="38"/>
  <c r="J206" i="38" s="1"/>
  <c r="A207" i="38"/>
  <c r="A206" i="38"/>
  <c r="I205" i="38"/>
  <c r="K205" i="38" s="1"/>
  <c r="A205" i="38"/>
  <c r="A204" i="38"/>
  <c r="A203" i="38"/>
  <c r="J202" i="38"/>
  <c r="A202" i="38"/>
  <c r="A201" i="38"/>
  <c r="A200" i="38"/>
  <c r="J199" i="38"/>
  <c r="A199" i="38"/>
  <c r="I198" i="38"/>
  <c r="K198" i="38" s="1"/>
  <c r="A198" i="38"/>
  <c r="A197" i="38"/>
  <c r="A196" i="38"/>
  <c r="J195" i="38"/>
  <c r="A195" i="38"/>
  <c r="J194" i="38"/>
  <c r="A194" i="38"/>
  <c r="A193" i="38"/>
  <c r="J192" i="38"/>
  <c r="J191" i="38" s="1"/>
  <c r="A192" i="38"/>
  <c r="A191" i="38"/>
  <c r="I190" i="38"/>
  <c r="K190" i="38" s="1"/>
  <c r="A190" i="38"/>
  <c r="I189" i="38"/>
  <c r="K189" i="38" s="1"/>
  <c r="A189" i="38"/>
  <c r="A188" i="38"/>
  <c r="A187" i="38"/>
  <c r="I186" i="38"/>
  <c r="K186" i="38" s="1"/>
  <c r="A186" i="38"/>
  <c r="J185" i="38"/>
  <c r="A185" i="38"/>
  <c r="A184" i="38"/>
  <c r="J183" i="38"/>
  <c r="A183" i="38"/>
  <c r="I182" i="38"/>
  <c r="K182" i="38" s="1"/>
  <c r="A182" i="38"/>
  <c r="A181" i="38"/>
  <c r="A180" i="38"/>
  <c r="J179" i="38"/>
  <c r="A179" i="38"/>
  <c r="J178" i="38"/>
  <c r="A178" i="38"/>
  <c r="J177" i="38"/>
  <c r="A177" i="38"/>
  <c r="A176" i="38"/>
  <c r="J175" i="38"/>
  <c r="J174" i="38" s="1"/>
  <c r="A175" i="38"/>
  <c r="A174" i="38"/>
  <c r="A173" i="38"/>
  <c r="A172" i="38"/>
  <c r="J171" i="38"/>
  <c r="A171" i="38"/>
  <c r="I170" i="38"/>
  <c r="K170" i="38" s="1"/>
  <c r="A170" i="38"/>
  <c r="J169" i="38"/>
  <c r="A169" i="38"/>
  <c r="A168" i="38"/>
  <c r="A167" i="38"/>
  <c r="I166" i="38"/>
  <c r="K166" i="38" s="1"/>
  <c r="A166" i="38"/>
  <c r="I165" i="38"/>
  <c r="K165" i="38" s="1"/>
  <c r="A165" i="38"/>
  <c r="A164" i="38"/>
  <c r="J163" i="38"/>
  <c r="A163" i="38"/>
  <c r="J162" i="38"/>
  <c r="A162" i="38"/>
  <c r="J161" i="38"/>
  <c r="A161" i="38"/>
  <c r="A160" i="38"/>
  <c r="J159" i="38"/>
  <c r="J158" i="38" s="1"/>
  <c r="A159" i="38"/>
  <c r="A158" i="38"/>
  <c r="I157" i="38"/>
  <c r="I156" i="38" s="1"/>
  <c r="K156" i="38" s="1"/>
  <c r="A157" i="38"/>
  <c r="A156" i="38"/>
  <c r="I155" i="38"/>
  <c r="K155" i="38" s="1"/>
  <c r="A155" i="38"/>
  <c r="I154" i="38"/>
  <c r="K154" i="38" s="1"/>
  <c r="A154" i="38"/>
  <c r="A153" i="38"/>
  <c r="I151" i="38"/>
  <c r="A151" i="38"/>
  <c r="A150" i="38"/>
  <c r="A149" i="38"/>
  <c r="I147" i="38"/>
  <c r="K147" i="38" s="1"/>
  <c r="A147" i="38"/>
  <c r="J146" i="38"/>
  <c r="A146" i="38"/>
  <c r="I145" i="38"/>
  <c r="K145" i="38" s="1"/>
  <c r="A145" i="38"/>
  <c r="A144" i="38"/>
  <c r="A143" i="38"/>
  <c r="J142" i="38"/>
  <c r="A142" i="38"/>
  <c r="J141" i="38"/>
  <c r="A141" i="38"/>
  <c r="J140" i="38"/>
  <c r="A140" i="38"/>
  <c r="A139" i="38"/>
  <c r="J138" i="38"/>
  <c r="A138" i="38"/>
  <c r="I137" i="38"/>
  <c r="K137" i="38" s="1"/>
  <c r="A137" i="38"/>
  <c r="I136" i="38"/>
  <c r="K136" i="38" s="1"/>
  <c r="A136" i="38"/>
  <c r="A135" i="38"/>
  <c r="I134" i="38"/>
  <c r="K134" i="38" s="1"/>
  <c r="A134" i="38"/>
  <c r="I133" i="38"/>
  <c r="K133" i="38" s="1"/>
  <c r="A133" i="38"/>
  <c r="J132" i="38"/>
  <c r="A132" i="38"/>
  <c r="A131" i="38"/>
  <c r="A130" i="38"/>
  <c r="I129" i="38"/>
  <c r="K129" i="38" s="1"/>
  <c r="A129" i="38"/>
  <c r="A128" i="38"/>
  <c r="J127" i="38"/>
  <c r="A127" i="38"/>
  <c r="J126" i="38"/>
  <c r="A126" i="38"/>
  <c r="I125" i="38"/>
  <c r="K125" i="38" s="1"/>
  <c r="A125" i="38"/>
  <c r="A124" i="38"/>
  <c r="A123" i="38"/>
  <c r="J122" i="38"/>
  <c r="A122" i="38"/>
  <c r="I121" i="38"/>
  <c r="K121" i="38" s="1"/>
  <c r="A121" i="38"/>
  <c r="J120" i="38"/>
  <c r="A120" i="38"/>
  <c r="I119" i="38"/>
  <c r="K119" i="38" s="1"/>
  <c r="A119" i="38"/>
  <c r="I118" i="38"/>
  <c r="K118" i="38" s="1"/>
  <c r="A118" i="38"/>
  <c r="I117" i="38"/>
  <c r="K117" i="38" s="1"/>
  <c r="A117" i="38"/>
  <c r="A116" i="38"/>
  <c r="A115" i="38"/>
  <c r="I114" i="38"/>
  <c r="K114" i="38" s="1"/>
  <c r="A114" i="38"/>
  <c r="I113" i="38"/>
  <c r="K113" i="38" s="1"/>
  <c r="A113" i="38"/>
  <c r="I112" i="38"/>
  <c r="K112" i="38" s="1"/>
  <c r="A112" i="38"/>
  <c r="A111" i="38"/>
  <c r="I110" i="38"/>
  <c r="K110" i="38" s="1"/>
  <c r="A110" i="38"/>
  <c r="J109" i="38"/>
  <c r="A109" i="38"/>
  <c r="J108" i="38"/>
  <c r="A108" i="38"/>
  <c r="A107" i="38"/>
  <c r="J106" i="38"/>
  <c r="I106" i="38"/>
  <c r="K106" i="38" s="1"/>
  <c r="A106" i="38"/>
  <c r="I105" i="38"/>
  <c r="K105" i="38" s="1"/>
  <c r="A105" i="38"/>
  <c r="A104" i="38"/>
  <c r="A103" i="38"/>
  <c r="J102" i="38"/>
  <c r="A102" i="38"/>
  <c r="J101" i="38"/>
  <c r="A101" i="38"/>
  <c r="J100" i="38"/>
  <c r="A100" i="38"/>
  <c r="A99" i="38"/>
  <c r="I98" i="38"/>
  <c r="K98" i="38" s="1"/>
  <c r="A98" i="38"/>
  <c r="I97" i="38"/>
  <c r="K97" i="38" s="1"/>
  <c r="A97" i="38"/>
  <c r="J96" i="38"/>
  <c r="A96" i="38"/>
  <c r="J95" i="38"/>
  <c r="A95" i="38"/>
  <c r="J94" i="38"/>
  <c r="A94" i="38"/>
  <c r="I93" i="38"/>
  <c r="K93" i="38" s="1"/>
  <c r="A93" i="38"/>
  <c r="A92" i="38"/>
  <c r="A91" i="38"/>
  <c r="I90" i="38"/>
  <c r="K90" i="38" s="1"/>
  <c r="A90" i="38"/>
  <c r="A89" i="38"/>
  <c r="I88" i="38"/>
  <c r="K88" i="38" s="1"/>
  <c r="A88" i="38"/>
  <c r="J87" i="38"/>
  <c r="A87" i="38"/>
  <c r="I86" i="38"/>
  <c r="K86" i="38" s="1"/>
  <c r="A86" i="38"/>
  <c r="J85" i="38"/>
  <c r="A85" i="38"/>
  <c r="A84" i="38"/>
  <c r="A83" i="38"/>
  <c r="I82" i="38"/>
  <c r="K82" i="38" s="1"/>
  <c r="A82" i="38"/>
  <c r="A81" i="38"/>
  <c r="J80" i="38"/>
  <c r="A80" i="38"/>
  <c r="A79" i="38"/>
  <c r="A78" i="38"/>
  <c r="I77" i="38"/>
  <c r="I76" i="38" s="1"/>
  <c r="K76" i="38" s="1"/>
  <c r="A77" i="38"/>
  <c r="A76" i="38"/>
  <c r="I75" i="38"/>
  <c r="K75" i="38" s="1"/>
  <c r="A75" i="38"/>
  <c r="J74" i="38"/>
  <c r="A74" i="38"/>
  <c r="J73" i="38"/>
  <c r="A73" i="38"/>
  <c r="A72" i="38"/>
  <c r="J71" i="38"/>
  <c r="A71" i="38"/>
  <c r="A70" i="38"/>
  <c r="A69" i="38"/>
  <c r="A68" i="38"/>
  <c r="J56" i="38"/>
  <c r="A56" i="38"/>
  <c r="A55" i="38"/>
  <c r="I54" i="38"/>
  <c r="K54" i="38" s="1"/>
  <c r="A54" i="38"/>
  <c r="A53" i="38"/>
  <c r="I52" i="38"/>
  <c r="K52" i="38" s="1"/>
  <c r="A52" i="38"/>
  <c r="A51" i="38"/>
  <c r="I50" i="38"/>
  <c r="K50" i="38" s="1"/>
  <c r="A50" i="38"/>
  <c r="J48" i="38"/>
  <c r="A48" i="38"/>
  <c r="A47" i="38"/>
  <c r="A46" i="38"/>
  <c r="A45" i="38"/>
  <c r="I44" i="38"/>
  <c r="K44" i="38" s="1"/>
  <c r="A44" i="38"/>
  <c r="A43" i="38"/>
  <c r="J42" i="38"/>
  <c r="A42" i="38"/>
  <c r="A41" i="38"/>
  <c r="J40" i="38"/>
  <c r="A40" i="38"/>
  <c r="I39" i="38"/>
  <c r="K39" i="38" s="1"/>
  <c r="A39" i="38"/>
  <c r="A38" i="38"/>
  <c r="A37" i="38"/>
  <c r="J36" i="38"/>
  <c r="A36" i="38"/>
  <c r="I35" i="38"/>
  <c r="K35" i="38" s="1"/>
  <c r="A35" i="38"/>
  <c r="J34" i="38"/>
  <c r="A34" i="38"/>
  <c r="A33" i="38"/>
  <c r="A32" i="38"/>
  <c r="A31" i="38"/>
  <c r="I30" i="38"/>
  <c r="K30" i="38" s="1"/>
  <c r="A30" i="38"/>
  <c r="A29" i="38"/>
  <c r="I28" i="38"/>
  <c r="K28" i="38" s="1"/>
  <c r="A28" i="38"/>
  <c r="A27" i="38"/>
  <c r="J26" i="38"/>
  <c r="A26" i="38"/>
  <c r="A24" i="38"/>
  <c r="J15" i="38"/>
  <c r="A15" i="38"/>
  <c r="A14" i="38"/>
  <c r="I13" i="38"/>
  <c r="K13" i="38" s="1"/>
  <c r="A13" i="38"/>
  <c r="I12" i="38"/>
  <c r="K12" i="38" s="1"/>
  <c r="A12" i="38"/>
  <c r="J11" i="38"/>
  <c r="A11" i="38"/>
  <c r="J10" i="38"/>
  <c r="A10" i="38"/>
  <c r="J9" i="38"/>
  <c r="A9" i="38"/>
  <c r="I8" i="38"/>
  <c r="K8" i="38" s="1"/>
  <c r="A8" i="38"/>
  <c r="J7" i="38"/>
  <c r="A7" i="38"/>
  <c r="A6" i="38"/>
  <c r="A5" i="38"/>
  <c r="A4" i="38"/>
  <c r="AB103" i="9"/>
  <c r="AB117" i="9"/>
  <c r="AB112" i="9"/>
  <c r="AB133" i="9"/>
  <c r="AB143" i="9"/>
  <c r="AB150" i="9"/>
  <c r="AB146" i="9"/>
  <c r="AB111" i="9"/>
  <c r="AB127" i="9"/>
  <c r="AB113" i="9"/>
  <c r="AB99" i="9"/>
  <c r="AB119" i="9"/>
  <c r="AB135" i="9"/>
  <c r="AB144" i="9"/>
  <c r="AB156" i="9"/>
  <c r="Q70" i="9"/>
  <c r="P70" i="9"/>
  <c r="R70" i="9"/>
  <c r="AB45" i="9"/>
  <c r="AB52" i="9"/>
  <c r="AB28" i="9"/>
  <c r="AB70" i="9"/>
  <c r="AB67" i="9"/>
  <c r="AB20" i="9"/>
  <c r="AB58" i="9"/>
  <c r="AB4" i="9"/>
  <c r="AB59" i="9"/>
  <c r="AB47" i="9"/>
  <c r="AB63" i="9"/>
  <c r="AB61" i="9"/>
  <c r="AB15" i="9"/>
  <c r="AB46" i="9"/>
  <c r="AB55" i="9"/>
  <c r="AB39" i="9"/>
  <c r="AB84" i="9"/>
  <c r="AB54" i="9"/>
  <c r="AB66" i="9"/>
  <c r="AB72" i="9"/>
  <c r="AB87" i="9"/>
  <c r="AB88" i="9"/>
  <c r="AB41" i="9"/>
  <c r="AB53" i="9"/>
  <c r="AB71" i="9"/>
  <c r="AB51" i="9"/>
  <c r="AB89" i="9"/>
  <c r="AB69" i="9"/>
  <c r="AB75" i="9"/>
  <c r="AB77" i="9"/>
  <c r="AB42" i="9"/>
  <c r="AB60" i="9"/>
  <c r="AB76" i="9"/>
  <c r="AB44" i="9"/>
  <c r="AB68" i="9"/>
  <c r="P67" i="9"/>
  <c r="AB48" i="9"/>
  <c r="AB34" i="9"/>
  <c r="I20" i="9"/>
  <c r="AB86" i="9"/>
  <c r="AB56" i="9"/>
  <c r="AB36" i="9"/>
  <c r="AB5" i="9"/>
  <c r="AB83" i="9"/>
  <c r="Q67" i="9"/>
  <c r="O140" i="2" l="1"/>
  <c r="N138" i="2"/>
  <c r="O138" i="2" s="1"/>
  <c r="E11" i="9"/>
  <c r="L11" i="9" s="1"/>
  <c r="E14" i="9"/>
  <c r="J14" i="9" s="1"/>
  <c r="E25" i="9"/>
  <c r="L25" i="9" s="1"/>
  <c r="E8" i="9"/>
  <c r="L8" i="9" s="1"/>
  <c r="M70" i="9"/>
  <c r="N70" i="9" s="1"/>
  <c r="E17" i="9"/>
  <c r="L17" i="9" s="1"/>
  <c r="E13" i="9"/>
  <c r="L13" i="9" s="1"/>
  <c r="P40" i="9"/>
  <c r="Q40" i="9"/>
  <c r="E23" i="9"/>
  <c r="J23" i="9" s="1"/>
  <c r="E6" i="9"/>
  <c r="L6" i="9" s="1"/>
  <c r="E22" i="9"/>
  <c r="J22" i="9" s="1"/>
  <c r="M64" i="9"/>
  <c r="N64" i="9" s="1"/>
  <c r="L45" i="9"/>
  <c r="J45" i="9"/>
  <c r="J43" i="9"/>
  <c r="L43" i="9"/>
  <c r="L28" i="9"/>
  <c r="J28" i="9"/>
  <c r="L33" i="9"/>
  <c r="J33" i="9"/>
  <c r="L49" i="9"/>
  <c r="J49" i="9"/>
  <c r="L48" i="9"/>
  <c r="J48" i="9"/>
  <c r="L12" i="9"/>
  <c r="J12" i="9"/>
  <c r="J11" i="9"/>
  <c r="J42" i="9"/>
  <c r="L42" i="9"/>
  <c r="L40" i="9"/>
  <c r="J40" i="9"/>
  <c r="J44" i="9"/>
  <c r="L44" i="9"/>
  <c r="L41" i="9"/>
  <c r="J41" i="9"/>
  <c r="L20" i="9"/>
  <c r="J20" i="9"/>
  <c r="K20" i="9"/>
  <c r="L36" i="9"/>
  <c r="J36" i="9"/>
  <c r="J15" i="9"/>
  <c r="L15" i="9"/>
  <c r="L50" i="9"/>
  <c r="J50" i="9"/>
  <c r="J47" i="9"/>
  <c r="L47" i="9"/>
  <c r="L46" i="9"/>
  <c r="J46" i="9"/>
  <c r="E24" i="9"/>
  <c r="E7" i="9"/>
  <c r="E21" i="9"/>
  <c r="E26" i="9"/>
  <c r="E9" i="9"/>
  <c r="E31" i="9"/>
  <c r="E37" i="9"/>
  <c r="E18" i="9"/>
  <c r="E19" i="9"/>
  <c r="J19" i="9" s="1"/>
  <c r="E29" i="9"/>
  <c r="E35" i="9"/>
  <c r="E16" i="9"/>
  <c r="AC46" i="9"/>
  <c r="E27" i="9"/>
  <c r="E10" i="9"/>
  <c r="I72" i="38"/>
  <c r="K72" i="38" s="1"/>
  <c r="J79" i="38"/>
  <c r="J78" i="38" s="1"/>
  <c r="K151" i="38"/>
  <c r="R341" i="38"/>
  <c r="V341" i="38"/>
  <c r="E32" i="9"/>
  <c r="E30" i="9"/>
  <c r="L4" i="9"/>
  <c r="J4" i="9"/>
  <c r="AD4" i="9" s="1"/>
  <c r="S18" i="53"/>
  <c r="T10" i="53"/>
  <c r="T11" i="53" s="1"/>
  <c r="T9" i="53"/>
  <c r="V5" i="53"/>
  <c r="U6" i="53"/>
  <c r="U8" i="53"/>
  <c r="T341" i="38"/>
  <c r="O341" i="38"/>
  <c r="W341" i="38"/>
  <c r="J136" i="38"/>
  <c r="J88" i="38"/>
  <c r="K157" i="38"/>
  <c r="J165" i="38"/>
  <c r="J13" i="38"/>
  <c r="J118" i="38"/>
  <c r="N341" i="38"/>
  <c r="M341" i="38"/>
  <c r="I169" i="38"/>
  <c r="K169" i="38" s="1"/>
  <c r="J186" i="38"/>
  <c r="J184" i="38" s="1"/>
  <c r="I179" i="38"/>
  <c r="K179" i="38" s="1"/>
  <c r="J258" i="38"/>
  <c r="J257" i="38" s="1"/>
  <c r="U341" i="38"/>
  <c r="K77" i="38"/>
  <c r="AC47" i="9"/>
  <c r="AC127" i="9"/>
  <c r="AC146" i="9"/>
  <c r="AC89" i="9"/>
  <c r="AC72" i="9"/>
  <c r="AC56" i="9"/>
  <c r="AC48" i="9"/>
  <c r="AC39" i="9"/>
  <c r="AC133" i="9"/>
  <c r="AC117" i="9"/>
  <c r="AC150" i="9"/>
  <c r="AC63" i="9"/>
  <c r="AC87" i="9"/>
  <c r="AC70" i="9"/>
  <c r="AC54" i="9"/>
  <c r="AC45" i="9"/>
  <c r="AC28" i="9"/>
  <c r="AC113" i="9"/>
  <c r="AC86" i="9"/>
  <c r="AC77" i="9"/>
  <c r="AC69" i="9"/>
  <c r="AC61" i="9"/>
  <c r="AC53" i="9"/>
  <c r="AC44" i="9"/>
  <c r="AC36" i="9"/>
  <c r="AC144" i="9"/>
  <c r="AC112" i="9"/>
  <c r="AC76" i="9"/>
  <c r="AC68" i="9"/>
  <c r="AC60" i="9"/>
  <c r="AC52" i="9"/>
  <c r="AC156" i="9"/>
  <c r="AC55" i="9"/>
  <c r="AC84" i="9"/>
  <c r="AC75" i="9"/>
  <c r="AC67" i="9"/>
  <c r="AC59" i="9"/>
  <c r="AC51" i="9"/>
  <c r="AC42" i="9"/>
  <c r="AC34" i="9"/>
  <c r="AC88" i="9"/>
  <c r="AC71" i="9"/>
  <c r="AC83" i="9"/>
  <c r="AC66" i="9"/>
  <c r="AC58" i="9"/>
  <c r="AC41" i="9"/>
  <c r="AC143" i="9"/>
  <c r="AC135" i="9"/>
  <c r="AC119" i="9"/>
  <c r="AC111" i="9"/>
  <c r="AC103" i="9"/>
  <c r="AC99" i="9"/>
  <c r="AC5" i="9"/>
  <c r="AC4" i="9"/>
  <c r="AC20" i="9"/>
  <c r="AC15" i="9"/>
  <c r="J86" i="38"/>
  <c r="J117" i="38"/>
  <c r="I210" i="38"/>
  <c r="K210" i="38" s="1"/>
  <c r="J121" i="38"/>
  <c r="I246" i="38"/>
  <c r="K246" i="38" s="1"/>
  <c r="I261" i="38"/>
  <c r="K261" i="38" s="1"/>
  <c r="I177" i="38"/>
  <c r="K177" i="38" s="1"/>
  <c r="I194" i="38"/>
  <c r="K194" i="38" s="1"/>
  <c r="J114" i="38"/>
  <c r="J54" i="38"/>
  <c r="I163" i="38"/>
  <c r="K163" i="38" s="1"/>
  <c r="J50" i="38"/>
  <c r="J112" i="38"/>
  <c r="I185" i="38"/>
  <c r="K185" i="38" s="1"/>
  <c r="Q341" i="38"/>
  <c r="J44" i="38"/>
  <c r="J98" i="38"/>
  <c r="J182" i="38"/>
  <c r="J181" i="38" s="1"/>
  <c r="J119" i="38"/>
  <c r="J160" i="38"/>
  <c r="J250" i="38"/>
  <c r="J249" i="38" s="1"/>
  <c r="I29" i="38"/>
  <c r="K29" i="38" s="1"/>
  <c r="J75" i="38"/>
  <c r="I109" i="38"/>
  <c r="K109" i="38" s="1"/>
  <c r="I146" i="38"/>
  <c r="K146" i="38" s="1"/>
  <c r="J154" i="38"/>
  <c r="J170" i="38"/>
  <c r="J189" i="38"/>
  <c r="I73" i="38"/>
  <c r="K73" i="38" s="1"/>
  <c r="I100" i="38"/>
  <c r="K100" i="38" s="1"/>
  <c r="J133" i="38"/>
  <c r="I162" i="38"/>
  <c r="K162" i="38" s="1"/>
  <c r="J211" i="38"/>
  <c r="J208" i="38" s="1"/>
  <c r="J226" i="38"/>
  <c r="J225" i="38" s="1"/>
  <c r="I255" i="38"/>
  <c r="K255" i="38" s="1"/>
  <c r="J273" i="38"/>
  <c r="I11" i="38"/>
  <c r="K11" i="38" s="1"/>
  <c r="J52" i="38"/>
  <c r="J51" i="38" s="1"/>
  <c r="I104" i="38"/>
  <c r="K104" i="38" s="1"/>
  <c r="J155" i="38"/>
  <c r="I171" i="38"/>
  <c r="K171" i="38" s="1"/>
  <c r="I223" i="38"/>
  <c r="K223" i="38" s="1"/>
  <c r="J242" i="38"/>
  <c r="I87" i="38"/>
  <c r="K87" i="38" s="1"/>
  <c r="J215" i="38"/>
  <c r="I42" i="38"/>
  <c r="K42" i="38" s="1"/>
  <c r="I74" i="38"/>
  <c r="K74" i="38" s="1"/>
  <c r="S341" i="38"/>
  <c r="J12" i="38"/>
  <c r="J39" i="38"/>
  <c r="J38" i="38" s="1"/>
  <c r="J147" i="38"/>
  <c r="I195" i="38"/>
  <c r="K195" i="38" s="1"/>
  <c r="I219" i="38"/>
  <c r="K219" i="38" s="1"/>
  <c r="I262" i="38"/>
  <c r="K262" i="38" s="1"/>
  <c r="I36" i="38"/>
  <c r="K36" i="38" s="1"/>
  <c r="J55" i="38"/>
  <c r="J82" i="38"/>
  <c r="J99" i="38"/>
  <c r="I9" i="38"/>
  <c r="K9" i="38" s="1"/>
  <c r="I79" i="38"/>
  <c r="K79" i="38" s="1"/>
  <c r="J93" i="38"/>
  <c r="I101" i="38"/>
  <c r="K101" i="38" s="1"/>
  <c r="I111" i="38"/>
  <c r="K111" i="38" s="1"/>
  <c r="J125" i="38"/>
  <c r="J124" i="38" s="1"/>
  <c r="I141" i="38"/>
  <c r="K141" i="38" s="1"/>
  <c r="I267" i="38"/>
  <c r="K267" i="38" s="1"/>
  <c r="I56" i="38"/>
  <c r="K56" i="38" s="1"/>
  <c r="J72" i="38"/>
  <c r="J77" i="38"/>
  <c r="J76" i="38" s="1"/>
  <c r="I94" i="38"/>
  <c r="K94" i="38" s="1"/>
  <c r="J97" i="38"/>
  <c r="I102" i="38"/>
  <c r="K102" i="38" s="1"/>
  <c r="J110" i="38"/>
  <c r="J107" i="38" s="1"/>
  <c r="I126" i="38"/>
  <c r="K126" i="38" s="1"/>
  <c r="J129" i="38"/>
  <c r="I132" i="38"/>
  <c r="K132" i="38" s="1"/>
  <c r="J134" i="38"/>
  <c r="I142" i="38"/>
  <c r="K142" i="38" s="1"/>
  <c r="J151" i="38"/>
  <c r="I178" i="38"/>
  <c r="K178" i="38" s="1"/>
  <c r="J198" i="38"/>
  <c r="J197" i="38" s="1"/>
  <c r="J222" i="38"/>
  <c r="J221" i="38" s="1"/>
  <c r="I231" i="38"/>
  <c r="K231" i="38" s="1"/>
  <c r="I240" i="38"/>
  <c r="K240" i="38" s="1"/>
  <c r="I245" i="38"/>
  <c r="K245" i="38" s="1"/>
  <c r="I254" i="38"/>
  <c r="K254" i="38" s="1"/>
  <c r="I85" i="38"/>
  <c r="K85" i="38" s="1"/>
  <c r="J8" i="38"/>
  <c r="J35" i="38"/>
  <c r="J113" i="38"/>
  <c r="I120" i="38"/>
  <c r="K120" i="38" s="1"/>
  <c r="I140" i="38"/>
  <c r="K140" i="38" s="1"/>
  <c r="J145" i="38"/>
  <c r="I202" i="38"/>
  <c r="J205" i="38"/>
  <c r="I217" i="38"/>
  <c r="K217" i="38" s="1"/>
  <c r="J243" i="38"/>
  <c r="I251" i="38"/>
  <c r="K251" i="38" s="1"/>
  <c r="I34" i="38"/>
  <c r="K34" i="38" s="1"/>
  <c r="I40" i="38"/>
  <c r="K40" i="38" s="1"/>
  <c r="I161" i="38"/>
  <c r="K161" i="38" s="1"/>
  <c r="J166" i="38"/>
  <c r="J265" i="38"/>
  <c r="J190" i="38"/>
  <c r="I209" i="38"/>
  <c r="K209" i="38" s="1"/>
  <c r="J214" i="38"/>
  <c r="J213" i="38" s="1"/>
  <c r="J229" i="38"/>
  <c r="J237" i="38"/>
  <c r="J266" i="38"/>
  <c r="I269" i="38"/>
  <c r="K269" i="38" s="1"/>
  <c r="J236" i="38"/>
  <c r="J230" i="38"/>
  <c r="I89" i="38"/>
  <c r="K89" i="38" s="1"/>
  <c r="J90" i="38"/>
  <c r="I95" i="38"/>
  <c r="K95" i="38" s="1"/>
  <c r="I80" i="38"/>
  <c r="K80" i="38" s="1"/>
  <c r="I71" i="38"/>
  <c r="K71" i="38" s="1"/>
  <c r="J135" i="38"/>
  <c r="I135" i="38"/>
  <c r="K135" i="38" s="1"/>
  <c r="J47" i="38"/>
  <c r="I47" i="38"/>
  <c r="K47" i="38" s="1"/>
  <c r="J70" i="38"/>
  <c r="I70" i="38"/>
  <c r="K70" i="38" s="1"/>
  <c r="I15" i="38"/>
  <c r="K15" i="38" s="1"/>
  <c r="J30" i="38"/>
  <c r="I26" i="38"/>
  <c r="K26" i="38" s="1"/>
  <c r="J123" i="38"/>
  <c r="I123" i="38"/>
  <c r="K123" i="38" s="1"/>
  <c r="I7" i="38"/>
  <c r="K7" i="38" s="1"/>
  <c r="J28" i="38"/>
  <c r="J130" i="38"/>
  <c r="I130" i="38"/>
  <c r="K130" i="38" s="1"/>
  <c r="I10" i="38"/>
  <c r="K10" i="38" s="1"/>
  <c r="J14" i="38"/>
  <c r="I14" i="38"/>
  <c r="K14" i="38" s="1"/>
  <c r="J37" i="38"/>
  <c r="I37" i="38"/>
  <c r="K37" i="38" s="1"/>
  <c r="I48" i="38"/>
  <c r="K48" i="38" s="1"/>
  <c r="J139" i="38"/>
  <c r="J92" i="38"/>
  <c r="I92" i="38"/>
  <c r="K92" i="38" s="1"/>
  <c r="J248" i="38"/>
  <c r="J247" i="38" s="1"/>
  <c r="I248" i="38"/>
  <c r="K248" i="38" s="1"/>
  <c r="J260" i="38"/>
  <c r="I96" i="38"/>
  <c r="K96" i="38" s="1"/>
  <c r="I108" i="38"/>
  <c r="K108" i="38" s="1"/>
  <c r="I122" i="38"/>
  <c r="K122" i="38" s="1"/>
  <c r="I127" i="38"/>
  <c r="K127" i="38" s="1"/>
  <c r="I183" i="38"/>
  <c r="K183" i="38" s="1"/>
  <c r="J196" i="38"/>
  <c r="I196" i="38"/>
  <c r="K196" i="38" s="1"/>
  <c r="I207" i="38"/>
  <c r="K207" i="38" s="1"/>
  <c r="J256" i="38"/>
  <c r="J253" i="38" s="1"/>
  <c r="I256" i="38"/>
  <c r="K256" i="38" s="1"/>
  <c r="P341" i="38"/>
  <c r="X341" i="38"/>
  <c r="J188" i="38"/>
  <c r="I188" i="38"/>
  <c r="K188" i="38" s="1"/>
  <c r="J204" i="38"/>
  <c r="I204" i="38"/>
  <c r="K204" i="38" s="1"/>
  <c r="J264" i="38"/>
  <c r="I264" i="38"/>
  <c r="K264" i="38" s="1"/>
  <c r="I213" i="38"/>
  <c r="K213" i="38" s="1"/>
  <c r="J105" i="38"/>
  <c r="I138" i="38"/>
  <c r="K138" i="38" s="1"/>
  <c r="I164" i="38"/>
  <c r="K164" i="38" s="1"/>
  <c r="I199" i="38"/>
  <c r="K199" i="38" s="1"/>
  <c r="J244" i="38"/>
  <c r="J272" i="38"/>
  <c r="I272" i="38"/>
  <c r="K272" i="38" s="1"/>
  <c r="J201" i="38"/>
  <c r="J228" i="38"/>
  <c r="I228" i="38"/>
  <c r="J235" i="38"/>
  <c r="I235" i="38"/>
  <c r="K235" i="38" s="1"/>
  <c r="J168" i="38"/>
  <c r="I168" i="38"/>
  <c r="K168" i="38" s="1"/>
  <c r="J220" i="38"/>
  <c r="J218" i="38" s="1"/>
  <c r="I220" i="38"/>
  <c r="K220" i="38" s="1"/>
  <c r="I175" i="38"/>
  <c r="K175" i="38" s="1"/>
  <c r="I238" i="38"/>
  <c r="K238" i="38" s="1"/>
  <c r="J137" i="38"/>
  <c r="J157" i="38"/>
  <c r="J156" i="38" s="1"/>
  <c r="I159" i="38"/>
  <c r="K159" i="38" s="1"/>
  <c r="J180" i="38"/>
  <c r="I180" i="38"/>
  <c r="K180" i="38" s="1"/>
  <c r="I225" i="38"/>
  <c r="K225" i="38" s="1"/>
  <c r="J241" i="38"/>
  <c r="I241" i="38"/>
  <c r="K241" i="38" s="1"/>
  <c r="I257" i="38"/>
  <c r="K257" i="38" s="1"/>
  <c r="I192" i="38"/>
  <c r="K192" i="38" s="1"/>
  <c r="I216" i="38"/>
  <c r="K216" i="38" s="1"/>
  <c r="I232" i="38"/>
  <c r="K232" i="38" s="1"/>
  <c r="I239" i="38"/>
  <c r="K239" i="38" s="1"/>
  <c r="I252" i="38"/>
  <c r="K252" i="38" s="1"/>
  <c r="I268" i="38"/>
  <c r="K268" i="38" s="1"/>
  <c r="AB138" i="9"/>
  <c r="AB151" i="9"/>
  <c r="AB148" i="9"/>
  <c r="AB120" i="9"/>
  <c r="AB116" i="9"/>
  <c r="AB96" i="9"/>
  <c r="AB109" i="9"/>
  <c r="AB136" i="9"/>
  <c r="AB139" i="9"/>
  <c r="AB147" i="9"/>
  <c r="AB110" i="9"/>
  <c r="AB132" i="9"/>
  <c r="AB137" i="9"/>
  <c r="AB149" i="9"/>
  <c r="AB134" i="9"/>
  <c r="AB152" i="9"/>
  <c r="AB95" i="9"/>
  <c r="AB140" i="9"/>
  <c r="AB129" i="9"/>
  <c r="AB126" i="9"/>
  <c r="AB101" i="9"/>
  <c r="AB141" i="9"/>
  <c r="AB121" i="9"/>
  <c r="AB125" i="9"/>
  <c r="AB115" i="9"/>
  <c r="AB105" i="9"/>
  <c r="AB128" i="9"/>
  <c r="AB107" i="9"/>
  <c r="AB98" i="9"/>
  <c r="AB123" i="9"/>
  <c r="AB102" i="9"/>
  <c r="AB104" i="9"/>
  <c r="AB153" i="9"/>
  <c r="AB145" i="9"/>
  <c r="AB118" i="9"/>
  <c r="AB100" i="9"/>
  <c r="AB124" i="9"/>
  <c r="AB142" i="9"/>
  <c r="AB26" i="9"/>
  <c r="AB92" i="9"/>
  <c r="AB49" i="9"/>
  <c r="AB85" i="9"/>
  <c r="AB12" i="9"/>
  <c r="AB40" i="9"/>
  <c r="AB29" i="9"/>
  <c r="AB43" i="9"/>
  <c r="AB80" i="9"/>
  <c r="AB93" i="9"/>
  <c r="AB19" i="9"/>
  <c r="AB13" i="9"/>
  <c r="AB94" i="9"/>
  <c r="AB11" i="9"/>
  <c r="AB25" i="9"/>
  <c r="AB9" i="9"/>
  <c r="AB57" i="9"/>
  <c r="AB74" i="9"/>
  <c r="AB65" i="9"/>
  <c r="AB91" i="9"/>
  <c r="AB16" i="9"/>
  <c r="AB37" i="9"/>
  <c r="AB35" i="9"/>
  <c r="AB30" i="9"/>
  <c r="AB18" i="9"/>
  <c r="AB79" i="9"/>
  <c r="AB22" i="9"/>
  <c r="AB90" i="9"/>
  <c r="AB31" i="9"/>
  <c r="AB38" i="9"/>
  <c r="AB10" i="9"/>
  <c r="AB23" i="9"/>
  <c r="AB50" i="9"/>
  <c r="AB64" i="9"/>
  <c r="AB27" i="9"/>
  <c r="AB82" i="9"/>
  <c r="AB21" i="9"/>
  <c r="AB6" i="9"/>
  <c r="AB24" i="9"/>
  <c r="AB62" i="9"/>
  <c r="AB81" i="9"/>
  <c r="AB7" i="9"/>
  <c r="AB32" i="9"/>
  <c r="AB8" i="9"/>
  <c r="AB73" i="9"/>
  <c r="L14" i="9" l="1"/>
  <c r="J8" i="9"/>
  <c r="J25" i="9"/>
  <c r="AC11" i="9"/>
  <c r="AC8" i="9"/>
  <c r="AC25" i="9"/>
  <c r="AD25" i="9"/>
  <c r="J17" i="9"/>
  <c r="J13" i="9"/>
  <c r="J6" i="9"/>
  <c r="L23" i="9"/>
  <c r="Q6" i="9"/>
  <c r="P6" i="9"/>
  <c r="M20" i="9"/>
  <c r="N20" i="9" s="1"/>
  <c r="R6" i="9"/>
  <c r="AC6" i="9"/>
  <c r="AC23" i="9"/>
  <c r="L22" i="9"/>
  <c r="L24" i="9"/>
  <c r="J24" i="9"/>
  <c r="L16" i="9"/>
  <c r="I7" i="85" s="1"/>
  <c r="J16" i="9"/>
  <c r="L29" i="9"/>
  <c r="J29" i="9"/>
  <c r="L30" i="9"/>
  <c r="J30" i="9"/>
  <c r="L32" i="9"/>
  <c r="J32" i="9"/>
  <c r="L37" i="9"/>
  <c r="J37" i="9"/>
  <c r="J27" i="9"/>
  <c r="L27" i="9"/>
  <c r="AD46" i="9"/>
  <c r="AE46" i="9" s="1"/>
  <c r="L19" i="9"/>
  <c r="L18" i="9"/>
  <c r="J18" i="9"/>
  <c r="J31" i="9"/>
  <c r="L31" i="9"/>
  <c r="L9" i="9"/>
  <c r="J9" i="9"/>
  <c r="L10" i="9"/>
  <c r="J10" i="9"/>
  <c r="J7" i="9"/>
  <c r="L7" i="9"/>
  <c r="J35" i="9"/>
  <c r="L35" i="9"/>
  <c r="J26" i="9"/>
  <c r="L26" i="9"/>
  <c r="L21" i="9"/>
  <c r="J21" i="9"/>
  <c r="AC24" i="9"/>
  <c r="AC27" i="9"/>
  <c r="AC18" i="9"/>
  <c r="AC10" i="9"/>
  <c r="AC37" i="9"/>
  <c r="AC9" i="9"/>
  <c r="AC19" i="9"/>
  <c r="AD26" i="9"/>
  <c r="AC26" i="9"/>
  <c r="AC16" i="9"/>
  <c r="J84" i="38"/>
  <c r="J43" i="38"/>
  <c r="I221" i="38"/>
  <c r="K221" i="38" s="1"/>
  <c r="J164" i="38"/>
  <c r="J5" i="38"/>
  <c r="AC32" i="9"/>
  <c r="AC64" i="9"/>
  <c r="AC62" i="9"/>
  <c r="T18" i="53"/>
  <c r="U9" i="53"/>
  <c r="U10" i="53"/>
  <c r="U11" i="53" s="1"/>
  <c r="U18" i="53" s="1"/>
  <c r="W5" i="53"/>
  <c r="V6" i="53"/>
  <c r="V8" i="53"/>
  <c r="AC12" i="9"/>
  <c r="AC30" i="9"/>
  <c r="AC49" i="9"/>
  <c r="AC110" i="9"/>
  <c r="AC22" i="9"/>
  <c r="AC43" i="9"/>
  <c r="AC118" i="9"/>
  <c r="AC35" i="9"/>
  <c r="AC126" i="9"/>
  <c r="AC40" i="9"/>
  <c r="AC7" i="9"/>
  <c r="AC132" i="9"/>
  <c r="AC21" i="9"/>
  <c r="AC91" i="9"/>
  <c r="AC38" i="9"/>
  <c r="AC116" i="9"/>
  <c r="AC142" i="9"/>
  <c r="AC50" i="9"/>
  <c r="AC102" i="9"/>
  <c r="AC31" i="9"/>
  <c r="AC85" i="9"/>
  <c r="AC57" i="9"/>
  <c r="AC134" i="9"/>
  <c r="AC29" i="9"/>
  <c r="AC74" i="9"/>
  <c r="AC98" i="9"/>
  <c r="J116" i="38"/>
  <c r="AC13" i="9"/>
  <c r="AC65" i="9"/>
  <c r="AC73" i="9"/>
  <c r="J81" i="38"/>
  <c r="AC101" i="9"/>
  <c r="AC125" i="9"/>
  <c r="AC93" i="9"/>
  <c r="AC92" i="9"/>
  <c r="AC80" i="9"/>
  <c r="AC148" i="9"/>
  <c r="AC151" i="9"/>
  <c r="AC94" i="9"/>
  <c r="AC105" i="9"/>
  <c r="AC141" i="9"/>
  <c r="AC149" i="9"/>
  <c r="AC153" i="9"/>
  <c r="AC104" i="9"/>
  <c r="AC79" i="9"/>
  <c r="AC152" i="9"/>
  <c r="AC81" i="9"/>
  <c r="AC95" i="9"/>
  <c r="AC109" i="9"/>
  <c r="AC124" i="9"/>
  <c r="AC90" i="9"/>
  <c r="AC121" i="9"/>
  <c r="AC82" i="9"/>
  <c r="AC120" i="9"/>
  <c r="AC96" i="9"/>
  <c r="AC140" i="9"/>
  <c r="AC100" i="9"/>
  <c r="I43" i="38"/>
  <c r="K43" i="38" s="1"/>
  <c r="I144" i="38"/>
  <c r="K144" i="38" s="1"/>
  <c r="J153" i="38"/>
  <c r="I224" i="38"/>
  <c r="K224" i="38" s="1"/>
  <c r="K228" i="38"/>
  <c r="I201" i="38"/>
  <c r="K201" i="38" s="1"/>
  <c r="K202" i="38"/>
  <c r="I51" i="38"/>
  <c r="K51" i="38" s="1"/>
  <c r="J128" i="38"/>
  <c r="AC129" i="9"/>
  <c r="AC115" i="9"/>
  <c r="AC145" i="9"/>
  <c r="AC137" i="9"/>
  <c r="AC123" i="9"/>
  <c r="AC138" i="9"/>
  <c r="AC139" i="9"/>
  <c r="AC107" i="9"/>
  <c r="AC147" i="9"/>
  <c r="AC136" i="9"/>
  <c r="AC128" i="9"/>
  <c r="AE4" i="9"/>
  <c r="I193" i="38"/>
  <c r="K193" i="38" s="1"/>
  <c r="J111" i="38"/>
  <c r="I78" i="38"/>
  <c r="K78" i="38" s="1"/>
  <c r="I260" i="38"/>
  <c r="K260" i="38" s="1"/>
  <c r="J29" i="38"/>
  <c r="I139" i="38"/>
  <c r="K139" i="38" s="1"/>
  <c r="I38" i="38"/>
  <c r="K38" i="38" s="1"/>
  <c r="J91" i="38"/>
  <c r="J227" i="38"/>
  <c r="I184" i="38"/>
  <c r="K184" i="38" s="1"/>
  <c r="J150" i="38"/>
  <c r="J167" i="38"/>
  <c r="I208" i="38"/>
  <c r="K208" i="38" s="1"/>
  <c r="I160" i="38"/>
  <c r="K160" i="38" s="1"/>
  <c r="J33" i="38"/>
  <c r="I55" i="38"/>
  <c r="K55" i="38" s="1"/>
  <c r="I99" i="38"/>
  <c r="K99" i="38" s="1"/>
  <c r="J203" i="38"/>
  <c r="J144" i="38"/>
  <c r="I84" i="38"/>
  <c r="K84" i="38" s="1"/>
  <c r="J32" i="38"/>
  <c r="I153" i="38"/>
  <c r="K153" i="38" s="1"/>
  <c r="I131" i="38"/>
  <c r="K131" i="38" s="1"/>
  <c r="I181" i="38"/>
  <c r="K181" i="38" s="1"/>
  <c r="I212" i="38"/>
  <c r="K212" i="38" s="1"/>
  <c r="J263" i="38"/>
  <c r="J187" i="38"/>
  <c r="J41" i="38"/>
  <c r="I249" i="38"/>
  <c r="K249" i="38" s="1"/>
  <c r="I176" i="38"/>
  <c r="K176" i="38" s="1"/>
  <c r="J173" i="38"/>
  <c r="J143" i="38"/>
  <c r="J234" i="38"/>
  <c r="J176" i="38"/>
  <c r="J172" i="38"/>
  <c r="J31" i="38"/>
  <c r="I230" i="38"/>
  <c r="K230" i="38" s="1"/>
  <c r="I83" i="38"/>
  <c r="K83" i="38" s="1"/>
  <c r="I233" i="38"/>
  <c r="K233" i="38" s="1"/>
  <c r="I124" i="38"/>
  <c r="K124" i="38" s="1"/>
  <c r="J104" i="38"/>
  <c r="J103" i="38"/>
  <c r="J233" i="38"/>
  <c r="I206" i="38"/>
  <c r="K206" i="38" s="1"/>
  <c r="I45" i="38"/>
  <c r="K45" i="38" s="1"/>
  <c r="I46" i="38"/>
  <c r="K46" i="38" s="1"/>
  <c r="I227" i="38"/>
  <c r="K227" i="38" s="1"/>
  <c r="J193" i="38"/>
  <c r="I31" i="38"/>
  <c r="K31" i="38" s="1"/>
  <c r="J45" i="38"/>
  <c r="J46" i="38"/>
  <c r="I81" i="38"/>
  <c r="K81" i="38" s="1"/>
  <c r="J4" i="38"/>
  <c r="I150" i="38"/>
  <c r="K150" i="38" s="1"/>
  <c r="J53" i="38"/>
  <c r="I191" i="38"/>
  <c r="K191" i="38" s="1"/>
  <c r="I174" i="38"/>
  <c r="K174" i="38" s="1"/>
  <c r="I172" i="38"/>
  <c r="K172" i="38" s="1"/>
  <c r="I173" i="38"/>
  <c r="K173" i="38" s="1"/>
  <c r="J200" i="38"/>
  <c r="J259" i="38"/>
  <c r="I115" i="38"/>
  <c r="K115" i="38" s="1"/>
  <c r="I33" i="38"/>
  <c r="K33" i="38" s="1"/>
  <c r="J6" i="38"/>
  <c r="J89" i="38"/>
  <c r="J83" i="38"/>
  <c r="I197" i="38"/>
  <c r="K197" i="38" s="1"/>
  <c r="I263" i="38"/>
  <c r="K263" i="38" s="1"/>
  <c r="I203" i="38"/>
  <c r="K203" i="38" s="1"/>
  <c r="I247" i="38"/>
  <c r="K247" i="38" s="1"/>
  <c r="I259" i="38"/>
  <c r="K259" i="38" s="1"/>
  <c r="I128" i="38"/>
  <c r="K128" i="38" s="1"/>
  <c r="J27" i="38"/>
  <c r="I27" i="38"/>
  <c r="K27" i="38" s="1"/>
  <c r="I158" i="38"/>
  <c r="K158" i="38" s="1"/>
  <c r="I218" i="38"/>
  <c r="K218" i="38" s="1"/>
  <c r="I103" i="38"/>
  <c r="K103" i="38" s="1"/>
  <c r="I107" i="38"/>
  <c r="K107" i="38" s="1"/>
  <c r="I167" i="38"/>
  <c r="K167" i="38" s="1"/>
  <c r="I271" i="38"/>
  <c r="K271" i="38" s="1"/>
  <c r="I270" i="38"/>
  <c r="K270" i="38" s="1"/>
  <c r="I200" i="38"/>
  <c r="K200" i="38" s="1"/>
  <c r="I6" i="38"/>
  <c r="K6" i="38" s="1"/>
  <c r="I4" i="38"/>
  <c r="K4" i="38" s="1"/>
  <c r="I5" i="38"/>
  <c r="K5" i="38" s="1"/>
  <c r="I116" i="38"/>
  <c r="K116" i="38" s="1"/>
  <c r="I215" i="38"/>
  <c r="K215" i="38" s="1"/>
  <c r="I143" i="38"/>
  <c r="K143" i="38" s="1"/>
  <c r="I91" i="38"/>
  <c r="K91" i="38" s="1"/>
  <c r="J271" i="38"/>
  <c r="J270" i="38"/>
  <c r="I187" i="38"/>
  <c r="K187" i="38" s="1"/>
  <c r="J224" i="38"/>
  <c r="J115" i="38"/>
  <c r="I32" i="38"/>
  <c r="K32" i="38" s="1"/>
  <c r="I41" i="38"/>
  <c r="K41" i="38" s="1"/>
  <c r="I68" i="38"/>
  <c r="K68" i="38" s="1"/>
  <c r="I69" i="38"/>
  <c r="K69" i="38" s="1"/>
  <c r="I244" i="38"/>
  <c r="K244" i="38" s="1"/>
  <c r="I234" i="38"/>
  <c r="K234" i="38" s="1"/>
  <c r="I253" i="38"/>
  <c r="K253" i="38" s="1"/>
  <c r="J212" i="38"/>
  <c r="I53" i="38"/>
  <c r="K53" i="38" s="1"/>
  <c r="J69" i="38"/>
  <c r="J68" i="38"/>
  <c r="J131" i="38"/>
  <c r="AB97" i="9"/>
  <c r="AB131" i="9"/>
  <c r="AB114" i="9"/>
  <c r="AB122" i="9"/>
  <c r="AB106" i="9"/>
  <c r="AB130" i="9"/>
  <c r="AB108" i="9"/>
  <c r="AB14" i="9"/>
  <c r="I6" i="85" l="1"/>
  <c r="K6" i="85" s="1"/>
  <c r="K7" i="85"/>
  <c r="J339" i="38"/>
  <c r="M51" i="63"/>
  <c r="I51" i="63" s="1"/>
  <c r="K51" i="63" s="1"/>
  <c r="K50" i="63" s="1"/>
  <c r="L95" i="9"/>
  <c r="AE25" i="9"/>
  <c r="AE26" i="9"/>
  <c r="V10" i="53"/>
  <c r="V11" i="53" s="1"/>
  <c r="V9" i="53"/>
  <c r="X5" i="53"/>
  <c r="W6" i="53"/>
  <c r="W8" i="53"/>
  <c r="AC14" i="9"/>
  <c r="AC131" i="9"/>
  <c r="AC106" i="9"/>
  <c r="AC108" i="9"/>
  <c r="AC114" i="9"/>
  <c r="AC130" i="9"/>
  <c r="AC97" i="9"/>
  <c r="AD97" i="9"/>
  <c r="AC122" i="9"/>
  <c r="I339" i="38"/>
  <c r="K339" i="38" s="1"/>
  <c r="J6" i="63" l="1"/>
  <c r="K3" i="63" s="1"/>
  <c r="J50" i="63"/>
  <c r="N6" i="63"/>
  <c r="V18" i="53"/>
  <c r="W10" i="53"/>
  <c r="W11" i="53" s="1"/>
  <c r="W9" i="53"/>
  <c r="Y5" i="53"/>
  <c r="X6" i="53"/>
  <c r="X8" i="53"/>
  <c r="AC158" i="9"/>
  <c r="AE97" i="9"/>
  <c r="I62" i="41"/>
  <c r="I61" i="41"/>
  <c r="I60" i="41"/>
  <c r="I59" i="41"/>
  <c r="I58" i="41"/>
  <c r="I57" i="41"/>
  <c r="I56" i="41"/>
  <c r="I55" i="41"/>
  <c r="I54" i="41"/>
  <c r="I53" i="41"/>
  <c r="I52" i="41"/>
  <c r="I51" i="41"/>
  <c r="J62" i="41"/>
  <c r="G62" i="41"/>
  <c r="J61" i="41"/>
  <c r="G61" i="41"/>
  <c r="J60" i="41"/>
  <c r="G60" i="41"/>
  <c r="J59" i="41"/>
  <c r="G59" i="41"/>
  <c r="J58" i="41"/>
  <c r="G58" i="41"/>
  <c r="J57" i="41"/>
  <c r="G57" i="41"/>
  <c r="J56" i="41"/>
  <c r="G56" i="41"/>
  <c r="J55" i="41"/>
  <c r="G55" i="41"/>
  <c r="J54" i="41"/>
  <c r="G54" i="41"/>
  <c r="J53" i="41"/>
  <c r="G53" i="41"/>
  <c r="J52" i="41"/>
  <c r="G52" i="41"/>
  <c r="J51" i="41"/>
  <c r="K51" i="41" s="1"/>
  <c r="G51" i="41"/>
  <c r="J49" i="41"/>
  <c r="K49" i="41" s="1"/>
  <c r="G49" i="41"/>
  <c r="J48" i="41"/>
  <c r="K48" i="41" s="1"/>
  <c r="G48" i="41"/>
  <c r="J47" i="41"/>
  <c r="K47" i="41" s="1"/>
  <c r="G47" i="41"/>
  <c r="J46" i="41"/>
  <c r="K46" i="41" s="1"/>
  <c r="G46" i="41"/>
  <c r="J45" i="41"/>
  <c r="K45" i="41" s="1"/>
  <c r="G45" i="41"/>
  <c r="J44" i="41"/>
  <c r="K44" i="41" s="1"/>
  <c r="G44" i="41"/>
  <c r="J43" i="41"/>
  <c r="K43" i="41" s="1"/>
  <c r="G43" i="41"/>
  <c r="J42" i="41"/>
  <c r="K42" i="41" s="1"/>
  <c r="G42" i="41"/>
  <c r="J41" i="41"/>
  <c r="K41" i="41" s="1"/>
  <c r="G41" i="41"/>
  <c r="J40" i="41"/>
  <c r="K40" i="41" s="1"/>
  <c r="G40" i="41"/>
  <c r="J39" i="41"/>
  <c r="K39" i="41" s="1"/>
  <c r="G39" i="41"/>
  <c r="J38" i="41"/>
  <c r="K38" i="41" s="1"/>
  <c r="G38" i="41"/>
  <c r="J36" i="41"/>
  <c r="K36" i="41" s="1"/>
  <c r="G36" i="41"/>
  <c r="J35" i="41"/>
  <c r="K35" i="41" s="1"/>
  <c r="G35" i="41"/>
  <c r="J34" i="41"/>
  <c r="K34" i="41" s="1"/>
  <c r="G34" i="41"/>
  <c r="J33" i="41"/>
  <c r="K33" i="41" s="1"/>
  <c r="G33" i="41"/>
  <c r="J32" i="41"/>
  <c r="K32" i="41" s="1"/>
  <c r="G32" i="41"/>
  <c r="J31" i="41"/>
  <c r="K31" i="41" s="1"/>
  <c r="G31" i="41"/>
  <c r="J30" i="41"/>
  <c r="K30" i="41" s="1"/>
  <c r="G30" i="41"/>
  <c r="J29" i="41"/>
  <c r="K29" i="41" s="1"/>
  <c r="G29" i="41"/>
  <c r="J28" i="41"/>
  <c r="K28" i="41" s="1"/>
  <c r="G28" i="41"/>
  <c r="J27" i="41"/>
  <c r="K27" i="41" s="1"/>
  <c r="G27" i="41"/>
  <c r="J26" i="41"/>
  <c r="K26" i="41" s="1"/>
  <c r="G26" i="41"/>
  <c r="J25" i="41"/>
  <c r="G25" i="41"/>
  <c r="J23" i="41"/>
  <c r="K23" i="41" s="1"/>
  <c r="G23" i="41"/>
  <c r="J22" i="41"/>
  <c r="K22" i="41" s="1"/>
  <c r="G22" i="41"/>
  <c r="J21" i="41"/>
  <c r="K21" i="41" s="1"/>
  <c r="G21" i="41"/>
  <c r="J20" i="41"/>
  <c r="K20" i="41" s="1"/>
  <c r="G20" i="41"/>
  <c r="J19" i="41"/>
  <c r="K19" i="41" s="1"/>
  <c r="G19" i="41"/>
  <c r="J18" i="41"/>
  <c r="K18" i="41" s="1"/>
  <c r="G18" i="41"/>
  <c r="J17" i="41"/>
  <c r="K17" i="41" s="1"/>
  <c r="G17" i="41"/>
  <c r="J16" i="41"/>
  <c r="K16" i="41" s="1"/>
  <c r="G16" i="41"/>
  <c r="J15" i="41"/>
  <c r="K15" i="41" s="1"/>
  <c r="G15" i="41"/>
  <c r="J14" i="41"/>
  <c r="K14" i="41" s="1"/>
  <c r="G14" i="41"/>
  <c r="J13" i="41"/>
  <c r="K13" i="41" s="1"/>
  <c r="J12" i="41"/>
  <c r="K12" i="41" s="1"/>
  <c r="G12" i="41"/>
  <c r="I5" i="9"/>
  <c r="M7" i="2" l="1"/>
  <c r="M8" i="2"/>
  <c r="N8" i="2" s="1"/>
  <c r="M159" i="2"/>
  <c r="N159" i="2" s="1"/>
  <c r="M161" i="2"/>
  <c r="N161" i="2" s="1"/>
  <c r="M6" i="2"/>
  <c r="N6" i="2" s="1"/>
  <c r="O6" i="2" s="1"/>
  <c r="K5" i="9"/>
  <c r="M5" i="9" s="1"/>
  <c r="N5" i="9" s="1"/>
  <c r="N7" i="63"/>
  <c r="O6" i="63" s="1"/>
  <c r="W18" i="53"/>
  <c r="X10" i="53"/>
  <c r="X11" i="53" s="1"/>
  <c r="X9" i="53"/>
  <c r="Z5" i="53"/>
  <c r="Y6" i="53"/>
  <c r="Y8" i="53"/>
  <c r="K52" i="41"/>
  <c r="K53" i="41"/>
  <c r="K54" i="41"/>
  <c r="K55" i="41"/>
  <c r="K56" i="41"/>
  <c r="K57" i="41"/>
  <c r="K58" i="41"/>
  <c r="K59" i="41"/>
  <c r="K60" i="41"/>
  <c r="K61" i="41"/>
  <c r="K62" i="41"/>
  <c r="K25" i="41"/>
  <c r="K24" i="41" s="1"/>
  <c r="K37" i="41"/>
  <c r="K11" i="41"/>
  <c r="O161" i="2" l="1"/>
  <c r="N160" i="2"/>
  <c r="O160" i="2" s="1"/>
  <c r="O159" i="2"/>
  <c r="N158" i="2"/>
  <c r="O158" i="2" s="1"/>
  <c r="N157" i="2"/>
  <c r="O157" i="2" s="1"/>
  <c r="O8" i="2"/>
  <c r="N7" i="2"/>
  <c r="O7" i="2" s="1"/>
  <c r="O4" i="63"/>
  <c r="O3" i="63"/>
  <c r="O5" i="63"/>
  <c r="X18" i="53"/>
  <c r="Y10" i="53"/>
  <c r="Y11" i="53" s="1"/>
  <c r="Y9" i="53"/>
  <c r="Z8" i="53"/>
  <c r="Z6" i="53"/>
  <c r="K50" i="41"/>
  <c r="J50" i="41" s="1"/>
  <c r="J37" i="41"/>
  <c r="N5" i="41"/>
  <c r="N3" i="41"/>
  <c r="J24" i="41"/>
  <c r="N4" i="41"/>
  <c r="J11" i="41"/>
  <c r="Y18" i="53" l="1"/>
  <c r="Z9" i="53"/>
  <c r="Z10" i="53"/>
  <c r="J6" i="41"/>
  <c r="K3" i="41" s="1"/>
  <c r="N6" i="41"/>
  <c r="N7" i="41" s="1"/>
  <c r="O5" i="41" s="1"/>
  <c r="Z11" i="53" l="1"/>
  <c r="Z18" i="53" s="1"/>
  <c r="C20" i="53" s="1"/>
  <c r="O4" i="41"/>
  <c r="O6" i="41"/>
  <c r="O3" i="41"/>
  <c r="E4" i="2"/>
  <c r="E5" i="2"/>
  <c r="E6" i="2"/>
  <c r="E114" i="2"/>
  <c r="E115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6" i="2"/>
  <c r="E117" i="2"/>
  <c r="E118" i="2"/>
  <c r="E119" i="2"/>
  <c r="E111" i="2"/>
  <c r="E112" i="2"/>
  <c r="E113" i="2"/>
  <c r="E120" i="2"/>
  <c r="E121" i="2"/>
  <c r="E122" i="2"/>
  <c r="E123" i="2"/>
  <c r="E124" i="2"/>
  <c r="E125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D4" i="2"/>
  <c r="D5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AD127" i="9"/>
  <c r="AE127" i="9" s="1"/>
  <c r="AD107" i="9"/>
  <c r="AE107" i="9" s="1"/>
  <c r="AD108" i="9"/>
  <c r="AE108" i="9" s="1"/>
  <c r="AD143" i="9"/>
  <c r="AE143" i="9" s="1"/>
  <c r="AD134" i="9"/>
  <c r="AE134" i="9" s="1"/>
  <c r="AD112" i="9"/>
  <c r="AE112" i="9" s="1"/>
  <c r="AD151" i="9"/>
  <c r="AE151" i="9" s="1"/>
  <c r="AD101" i="9"/>
  <c r="AE101" i="9" s="1"/>
  <c r="AD96" i="9"/>
  <c r="AE96" i="9" s="1"/>
  <c r="AD98" i="9"/>
  <c r="AE98" i="9" s="1"/>
  <c r="AD99" i="9"/>
  <c r="AE99" i="9" s="1"/>
  <c r="AD100" i="9"/>
  <c r="AE100" i="9" s="1"/>
  <c r="AD102" i="9"/>
  <c r="AE102" i="9" s="1"/>
  <c r="AD103" i="9"/>
  <c r="AE103" i="9" s="1"/>
  <c r="AD104" i="9"/>
  <c r="AE104" i="9" s="1"/>
  <c r="AD105" i="9"/>
  <c r="AE105" i="9" s="1"/>
  <c r="AD106" i="9"/>
  <c r="AE106" i="9" s="1"/>
  <c r="AD109" i="9"/>
  <c r="AE109" i="9" s="1"/>
  <c r="AD110" i="9"/>
  <c r="AE110" i="9" s="1"/>
  <c r="AD111" i="9"/>
  <c r="AE111" i="9" s="1"/>
  <c r="AD113" i="9"/>
  <c r="AE113" i="9" s="1"/>
  <c r="AD114" i="9"/>
  <c r="AE114" i="9" s="1"/>
  <c r="AD115" i="9"/>
  <c r="AE115" i="9" s="1"/>
  <c r="AD116" i="9"/>
  <c r="AE116" i="9" s="1"/>
  <c r="AD117" i="9"/>
  <c r="AE117" i="9" s="1"/>
  <c r="AD118" i="9"/>
  <c r="AE118" i="9" s="1"/>
  <c r="AD119" i="9"/>
  <c r="AE119" i="9" s="1"/>
  <c r="AD120" i="9"/>
  <c r="AE120" i="9" s="1"/>
  <c r="AD121" i="9"/>
  <c r="AE121" i="9" s="1"/>
  <c r="AD122" i="9"/>
  <c r="AE122" i="9" s="1"/>
  <c r="AD123" i="9"/>
  <c r="AE123" i="9" s="1"/>
  <c r="AD124" i="9"/>
  <c r="AE124" i="9" s="1"/>
  <c r="AD125" i="9"/>
  <c r="AE125" i="9" s="1"/>
  <c r="AD126" i="9"/>
  <c r="AE126" i="9" s="1"/>
  <c r="AD128" i="9"/>
  <c r="AE128" i="9" s="1"/>
  <c r="AD129" i="9"/>
  <c r="AE129" i="9" s="1"/>
  <c r="AD130" i="9"/>
  <c r="AE130" i="9" s="1"/>
  <c r="AD131" i="9"/>
  <c r="AE131" i="9" s="1"/>
  <c r="AD132" i="9"/>
  <c r="AE132" i="9" s="1"/>
  <c r="AD133" i="9"/>
  <c r="AE133" i="9" s="1"/>
  <c r="AD135" i="9"/>
  <c r="AE135" i="9" s="1"/>
  <c r="AD136" i="9"/>
  <c r="AE136" i="9" s="1"/>
  <c r="AD137" i="9"/>
  <c r="AE137" i="9" s="1"/>
  <c r="AD138" i="9"/>
  <c r="AE138" i="9" s="1"/>
  <c r="AD139" i="9"/>
  <c r="AE139" i="9" s="1"/>
  <c r="AD140" i="9"/>
  <c r="AE140" i="9" s="1"/>
  <c r="AD141" i="9"/>
  <c r="AE141" i="9" s="1"/>
  <c r="AD142" i="9"/>
  <c r="AE142" i="9" s="1"/>
  <c r="AD144" i="9"/>
  <c r="AE144" i="9" s="1"/>
  <c r="AD145" i="9"/>
  <c r="AE145" i="9" s="1"/>
  <c r="AD146" i="9"/>
  <c r="AE146" i="9" s="1"/>
  <c r="AD147" i="9"/>
  <c r="AE147" i="9" s="1"/>
  <c r="AD148" i="9"/>
  <c r="AE148" i="9" s="1"/>
  <c r="AD149" i="9"/>
  <c r="AE149" i="9" s="1"/>
  <c r="AD150" i="9"/>
  <c r="AE150" i="9" s="1"/>
  <c r="AD152" i="9"/>
  <c r="AE152" i="9" s="1"/>
  <c r="AD153" i="9"/>
  <c r="AE153" i="9" s="1"/>
  <c r="AD156" i="9"/>
  <c r="AE156" i="9" s="1"/>
  <c r="AD5" i="9"/>
  <c r="AD6" i="9"/>
  <c r="AE6" i="9" s="1"/>
  <c r="AD7" i="9"/>
  <c r="AE7" i="9" s="1"/>
  <c r="AD8" i="9"/>
  <c r="AE8" i="9" s="1"/>
  <c r="AD9" i="9"/>
  <c r="AE9" i="9" s="1"/>
  <c r="AD10" i="9"/>
  <c r="AE10" i="9" s="1"/>
  <c r="AD11" i="9"/>
  <c r="AE11" i="9" s="1"/>
  <c r="AD12" i="9"/>
  <c r="AE12" i="9" s="1"/>
  <c r="AD13" i="9"/>
  <c r="AE13" i="9" s="1"/>
  <c r="AD14" i="9"/>
  <c r="AE14" i="9" s="1"/>
  <c r="AD15" i="9"/>
  <c r="AE15" i="9" s="1"/>
  <c r="AD16" i="9"/>
  <c r="AE16" i="9" s="1"/>
  <c r="AD18" i="9"/>
  <c r="AE18" i="9" s="1"/>
  <c r="AD19" i="9"/>
  <c r="AE19" i="9" s="1"/>
  <c r="AD20" i="9"/>
  <c r="AE20" i="9" s="1"/>
  <c r="AD21" i="9"/>
  <c r="AE21" i="9" s="1"/>
  <c r="AD22" i="9"/>
  <c r="AE22" i="9" s="1"/>
  <c r="AD23" i="9"/>
  <c r="AE23" i="9" s="1"/>
  <c r="AD24" i="9"/>
  <c r="AE24" i="9" s="1"/>
  <c r="AD27" i="9"/>
  <c r="AE27" i="9" s="1"/>
  <c r="AD28" i="9"/>
  <c r="AE28" i="9" s="1"/>
  <c r="AD29" i="9"/>
  <c r="AE29" i="9" s="1"/>
  <c r="AD30" i="9"/>
  <c r="AE30" i="9" s="1"/>
  <c r="AD31" i="9"/>
  <c r="AE31" i="9" s="1"/>
  <c r="AD32" i="9"/>
  <c r="AE32" i="9" s="1"/>
  <c r="AD34" i="9"/>
  <c r="AE34" i="9" s="1"/>
  <c r="AD35" i="9"/>
  <c r="AE35" i="9" s="1"/>
  <c r="AD36" i="9"/>
  <c r="AE36" i="9" s="1"/>
  <c r="AD37" i="9"/>
  <c r="AE37" i="9" s="1"/>
  <c r="AD38" i="9"/>
  <c r="AE38" i="9" s="1"/>
  <c r="AD39" i="9"/>
  <c r="AE39" i="9" s="1"/>
  <c r="AD40" i="9"/>
  <c r="AE40" i="9" s="1"/>
  <c r="AD41" i="9"/>
  <c r="AE41" i="9" s="1"/>
  <c r="AD42" i="9"/>
  <c r="AE42" i="9" s="1"/>
  <c r="AD43" i="9"/>
  <c r="AE43" i="9" s="1"/>
  <c r="AD44" i="9"/>
  <c r="AE44" i="9" s="1"/>
  <c r="AD45" i="9"/>
  <c r="AE45" i="9" s="1"/>
  <c r="AD47" i="9"/>
  <c r="AE47" i="9" s="1"/>
  <c r="AD48" i="9"/>
  <c r="AE48" i="9" s="1"/>
  <c r="AD49" i="9"/>
  <c r="AE49" i="9" s="1"/>
  <c r="AD50" i="9"/>
  <c r="AE50" i="9" s="1"/>
  <c r="AD51" i="9"/>
  <c r="AE51" i="9" s="1"/>
  <c r="AD52" i="9"/>
  <c r="AE52" i="9" s="1"/>
  <c r="AD53" i="9"/>
  <c r="AE53" i="9" s="1"/>
  <c r="AD54" i="9"/>
  <c r="AE54" i="9" s="1"/>
  <c r="AD55" i="9"/>
  <c r="AE55" i="9" s="1"/>
  <c r="AD56" i="9"/>
  <c r="AE56" i="9" s="1"/>
  <c r="AD57" i="9"/>
  <c r="AE57" i="9" s="1"/>
  <c r="AD58" i="9"/>
  <c r="AE58" i="9" s="1"/>
  <c r="AD59" i="9"/>
  <c r="AE59" i="9" s="1"/>
  <c r="AD60" i="9"/>
  <c r="AE60" i="9" s="1"/>
  <c r="AD61" i="9"/>
  <c r="AE61" i="9" s="1"/>
  <c r="AD62" i="9"/>
  <c r="AE62" i="9" s="1"/>
  <c r="AD63" i="9"/>
  <c r="AE63" i="9" s="1"/>
  <c r="AD64" i="9"/>
  <c r="AE64" i="9" s="1"/>
  <c r="AD65" i="9"/>
  <c r="AE65" i="9" s="1"/>
  <c r="AD66" i="9"/>
  <c r="AE66" i="9" s="1"/>
  <c r="AD67" i="9"/>
  <c r="AE67" i="9" s="1"/>
  <c r="AD68" i="9"/>
  <c r="AE68" i="9" s="1"/>
  <c r="AD69" i="9"/>
  <c r="AE69" i="9" s="1"/>
  <c r="AD70" i="9"/>
  <c r="AE70" i="9" s="1"/>
  <c r="AD71" i="9"/>
  <c r="AE71" i="9" s="1"/>
  <c r="AD72" i="9"/>
  <c r="AE72" i="9" s="1"/>
  <c r="AD73" i="9"/>
  <c r="AE73" i="9" s="1"/>
  <c r="AD74" i="9"/>
  <c r="AE74" i="9" s="1"/>
  <c r="AD75" i="9"/>
  <c r="AE75" i="9" s="1"/>
  <c r="AD76" i="9"/>
  <c r="AE76" i="9" s="1"/>
  <c r="AD77" i="9"/>
  <c r="AE77" i="9" s="1"/>
  <c r="AD79" i="9"/>
  <c r="AE79" i="9" s="1"/>
  <c r="AD80" i="9"/>
  <c r="AE80" i="9" s="1"/>
  <c r="AD81" i="9"/>
  <c r="AE81" i="9" s="1"/>
  <c r="AD82" i="9"/>
  <c r="AE82" i="9" s="1"/>
  <c r="AD83" i="9"/>
  <c r="AE83" i="9" s="1"/>
  <c r="AD84" i="9"/>
  <c r="AE84" i="9" s="1"/>
  <c r="AD85" i="9"/>
  <c r="AE85" i="9" s="1"/>
  <c r="AD86" i="9"/>
  <c r="AE86" i="9" s="1"/>
  <c r="AD87" i="9"/>
  <c r="AE87" i="9" s="1"/>
  <c r="AD88" i="9"/>
  <c r="AE88" i="9" s="1"/>
  <c r="AD89" i="9"/>
  <c r="AE89" i="9" s="1"/>
  <c r="AD90" i="9"/>
  <c r="AE90" i="9" s="1"/>
  <c r="AD91" i="9"/>
  <c r="AE91" i="9" s="1"/>
  <c r="AD92" i="9"/>
  <c r="AE92" i="9" s="1"/>
  <c r="AD93" i="9"/>
  <c r="AE93" i="9" s="1"/>
  <c r="AD94" i="9"/>
  <c r="AE94" i="9" s="1"/>
  <c r="AD95" i="9"/>
  <c r="AE95" i="9" s="1"/>
  <c r="B2" i="4"/>
  <c r="B4" i="4"/>
  <c r="G6" i="9" s="1"/>
  <c r="B5" i="4"/>
  <c r="B6" i="4"/>
  <c r="G8" i="9" s="1"/>
  <c r="B7" i="4"/>
  <c r="B8" i="4"/>
  <c r="G10" i="9" s="1"/>
  <c r="B9" i="4"/>
  <c r="G11" i="9" s="1"/>
  <c r="B10" i="4"/>
  <c r="B11" i="4"/>
  <c r="B12" i="4"/>
  <c r="B13" i="4"/>
  <c r="B14" i="4"/>
  <c r="B15" i="4"/>
  <c r="B16" i="4"/>
  <c r="B17" i="4"/>
  <c r="G19" i="9" s="1"/>
  <c r="B19" i="4"/>
  <c r="B20" i="4"/>
  <c r="G22" i="9" s="1"/>
  <c r="B21" i="4"/>
  <c r="G23" i="9" s="1"/>
  <c r="B22" i="4"/>
  <c r="B23" i="4"/>
  <c r="G25" i="9" s="1"/>
  <c r="B24" i="4"/>
  <c r="B25" i="4"/>
  <c r="G27" i="9" s="1"/>
  <c r="B26" i="4"/>
  <c r="G28" i="9" s="1"/>
  <c r="B27" i="4"/>
  <c r="G29" i="9" s="1"/>
  <c r="B28" i="4"/>
  <c r="G30" i="9" s="1"/>
  <c r="B29" i="4"/>
  <c r="G31" i="9" s="1"/>
  <c r="B30" i="4"/>
  <c r="B31" i="4"/>
  <c r="G33" i="9" s="1"/>
  <c r="B32" i="4"/>
  <c r="G34" i="9" s="1"/>
  <c r="B33" i="4"/>
  <c r="G35" i="9" s="1"/>
  <c r="B34" i="4"/>
  <c r="G36" i="9" s="1"/>
  <c r="B35" i="4"/>
  <c r="G37" i="9" s="1"/>
  <c r="B38" i="4"/>
  <c r="G40" i="9" s="1"/>
  <c r="B39" i="4"/>
  <c r="G41" i="9" s="1"/>
  <c r="B40" i="4"/>
  <c r="G42" i="9" s="1"/>
  <c r="B41" i="4"/>
  <c r="G43" i="9" s="1"/>
  <c r="B42" i="4"/>
  <c r="G44" i="9" s="1"/>
  <c r="B43" i="4"/>
  <c r="G45" i="9" s="1"/>
  <c r="B44" i="4"/>
  <c r="G46" i="9" s="1"/>
  <c r="B45" i="4"/>
  <c r="G47" i="9" s="1"/>
  <c r="B46" i="4"/>
  <c r="G48" i="9" s="1"/>
  <c r="B47" i="4"/>
  <c r="G49" i="9" s="1"/>
  <c r="B48" i="4"/>
  <c r="G50" i="9" s="1"/>
  <c r="Q23" i="9"/>
  <c r="R23" i="9"/>
  <c r="P23" i="9"/>
  <c r="Q7" i="9"/>
  <c r="R7" i="9"/>
  <c r="P7" i="9"/>
  <c r="R29" i="9"/>
  <c r="Q29" i="9"/>
  <c r="P29" i="9"/>
  <c r="I6" i="9"/>
  <c r="I19" i="9"/>
  <c r="I40" i="9"/>
  <c r="I23" i="9"/>
  <c r="I44" i="9"/>
  <c r="P8" i="9"/>
  <c r="I43" i="9"/>
  <c r="Q47" i="9"/>
  <c r="I50" i="9"/>
  <c r="I36" i="9"/>
  <c r="I42" i="9"/>
  <c r="I48" i="9"/>
  <c r="P45" i="9"/>
  <c r="R41" i="9"/>
  <c r="I29" i="9"/>
  <c r="Q50" i="9"/>
  <c r="I25" i="9"/>
  <c r="P42" i="9"/>
  <c r="R44" i="9"/>
  <c r="Q42" i="9"/>
  <c r="I11" i="9"/>
  <c r="I30" i="9"/>
  <c r="Q46" i="9"/>
  <c r="I33" i="9"/>
  <c r="R46" i="9"/>
  <c r="Q33" i="9"/>
  <c r="P11" i="9"/>
  <c r="P41" i="9"/>
  <c r="R42" i="9"/>
  <c r="I10" i="9"/>
  <c r="P43" i="9"/>
  <c r="I22" i="9"/>
  <c r="Q48" i="9"/>
  <c r="I47" i="9"/>
  <c r="P48" i="9"/>
  <c r="I34" i="9"/>
  <c r="P47" i="9"/>
  <c r="P25" i="9"/>
  <c r="I27" i="9"/>
  <c r="I45" i="9"/>
  <c r="P20" i="9"/>
  <c r="Q43" i="9"/>
  <c r="I37" i="9"/>
  <c r="I28" i="9"/>
  <c r="R43" i="9"/>
  <c r="Q45" i="9"/>
  <c r="Q25" i="9"/>
  <c r="Q41" i="9"/>
  <c r="I46" i="9"/>
  <c r="Q44" i="9"/>
  <c r="I49" i="9"/>
  <c r="P46" i="9"/>
  <c r="R48" i="9"/>
  <c r="P33" i="9"/>
  <c r="I8" i="9"/>
  <c r="R8" i="9"/>
  <c r="P50" i="9"/>
  <c r="Q8" i="9"/>
  <c r="I31" i="9"/>
  <c r="R33" i="9"/>
  <c r="R50" i="9"/>
  <c r="I35" i="9"/>
  <c r="I41" i="9"/>
  <c r="P44" i="9"/>
  <c r="M18" i="2" l="1"/>
  <c r="N18" i="2" s="1"/>
  <c r="O18" i="2" s="1"/>
  <c r="M12" i="2"/>
  <c r="Q12" i="2" s="1"/>
  <c r="M13" i="2"/>
  <c r="Q13" i="2" s="1"/>
  <c r="M30" i="2"/>
  <c r="M34" i="2"/>
  <c r="M33" i="2"/>
  <c r="M22" i="2"/>
  <c r="N22" i="2" s="1"/>
  <c r="O22" i="2" s="1"/>
  <c r="M96" i="2"/>
  <c r="N96" i="2" s="1"/>
  <c r="O96" i="2" s="1"/>
  <c r="M94" i="2"/>
  <c r="N94" i="2" s="1"/>
  <c r="O94" i="2" s="1"/>
  <c r="M21" i="2"/>
  <c r="N21" i="2" s="1"/>
  <c r="M91" i="2"/>
  <c r="N91" i="2" s="1"/>
  <c r="O91" i="2" s="1"/>
  <c r="M90" i="2"/>
  <c r="N90" i="2" s="1"/>
  <c r="BT3" i="78"/>
  <c r="J3" i="77"/>
  <c r="M50" i="77" s="1"/>
  <c r="J3" i="75"/>
  <c r="M50" i="75" s="1"/>
  <c r="J3" i="76"/>
  <c r="K37" i="9"/>
  <c r="M37" i="9" s="1"/>
  <c r="N37" i="9" s="1"/>
  <c r="K49" i="9"/>
  <c r="M49" i="9" s="1"/>
  <c r="N49" i="9" s="1"/>
  <c r="K31" i="9"/>
  <c r="M31" i="9" s="1"/>
  <c r="N31" i="9" s="1"/>
  <c r="K50" i="9"/>
  <c r="M50" i="9" s="1"/>
  <c r="N50" i="9" s="1"/>
  <c r="K48" i="9"/>
  <c r="M48" i="9" s="1"/>
  <c r="N48" i="9" s="1"/>
  <c r="K30" i="9"/>
  <c r="M30" i="9" s="1"/>
  <c r="N30" i="9" s="1"/>
  <c r="K47" i="9"/>
  <c r="M47" i="9" s="1"/>
  <c r="N47" i="9" s="1"/>
  <c r="K45" i="9"/>
  <c r="M45" i="9" s="1"/>
  <c r="N45" i="9" s="1"/>
  <c r="K34" i="9"/>
  <c r="M34" i="9" s="1"/>
  <c r="N34" i="9" s="1"/>
  <c r="K46" i="9"/>
  <c r="M46" i="9" s="1"/>
  <c r="N46" i="9" s="1"/>
  <c r="K27" i="9"/>
  <c r="M27" i="9" s="1"/>
  <c r="N27" i="9" s="1"/>
  <c r="K35" i="9"/>
  <c r="M35" i="9" s="1"/>
  <c r="N35" i="9" s="1"/>
  <c r="K28" i="9"/>
  <c r="M28" i="9" s="1"/>
  <c r="N28" i="9" s="1"/>
  <c r="K25" i="9"/>
  <c r="M25" i="9" s="1"/>
  <c r="N25" i="9" s="1"/>
  <c r="K19" i="9"/>
  <c r="M19" i="9" s="1"/>
  <c r="N19" i="9" s="1"/>
  <c r="K10" i="9"/>
  <c r="M10" i="9" s="1"/>
  <c r="N10" i="9" s="1"/>
  <c r="K44" i="9"/>
  <c r="M44" i="9" s="1"/>
  <c r="N44" i="9" s="1"/>
  <c r="K43" i="9"/>
  <c r="M43" i="9" s="1"/>
  <c r="N43" i="9" s="1"/>
  <c r="K41" i="9"/>
  <c r="M41" i="9" s="1"/>
  <c r="N41" i="9" s="1"/>
  <c r="K23" i="9"/>
  <c r="M23" i="9" s="1"/>
  <c r="N23" i="9" s="1"/>
  <c r="K6" i="9"/>
  <c r="M6" i="9" s="1"/>
  <c r="N6" i="9" s="1"/>
  <c r="K36" i="9"/>
  <c r="M36" i="9" s="1"/>
  <c r="N36" i="9" s="1"/>
  <c r="K33" i="9"/>
  <c r="M33" i="9" s="1"/>
  <c r="N33" i="9" s="1"/>
  <c r="K29" i="9"/>
  <c r="M29" i="9" s="1"/>
  <c r="N29" i="9" s="1"/>
  <c r="K11" i="9"/>
  <c r="M11" i="9" s="1"/>
  <c r="N11" i="9" s="1"/>
  <c r="K8" i="9"/>
  <c r="M8" i="9" s="1"/>
  <c r="N8" i="9" s="1"/>
  <c r="K42" i="9"/>
  <c r="M42" i="9" s="1"/>
  <c r="N42" i="9" s="1"/>
  <c r="K40" i="9"/>
  <c r="M40" i="9" s="1"/>
  <c r="N40" i="9" s="1"/>
  <c r="K22" i="9"/>
  <c r="M22" i="9" s="1"/>
  <c r="N22" i="9" s="1"/>
  <c r="C20" i="9"/>
  <c r="G21" i="9"/>
  <c r="G15" i="9"/>
  <c r="C15" i="9" s="1"/>
  <c r="G14" i="9"/>
  <c r="C14" i="9" s="1"/>
  <c r="G32" i="9"/>
  <c r="G13" i="9"/>
  <c r="C13" i="9" s="1"/>
  <c r="G18" i="9"/>
  <c r="C11" i="9"/>
  <c r="G12" i="9"/>
  <c r="G16" i="9"/>
  <c r="C8" i="9"/>
  <c r="G9" i="9"/>
  <c r="C6" i="9"/>
  <c r="G7" i="9"/>
  <c r="C23" i="9"/>
  <c r="G24" i="9"/>
  <c r="G17" i="9"/>
  <c r="C25" i="9"/>
  <c r="G26" i="9"/>
  <c r="J3" i="70"/>
  <c r="J3" i="73"/>
  <c r="J3" i="72"/>
  <c r="J3" i="68"/>
  <c r="J3" i="74"/>
  <c r="J3" i="71"/>
  <c r="J3" i="69"/>
  <c r="J3" i="65"/>
  <c r="M50" i="65" s="1"/>
  <c r="J3" i="67"/>
  <c r="J3" i="66"/>
  <c r="M50" i="66" s="1"/>
  <c r="J3" i="64"/>
  <c r="C48" i="9"/>
  <c r="C49" i="9"/>
  <c r="C47" i="9"/>
  <c r="C46" i="9"/>
  <c r="C45" i="9"/>
  <c r="C44" i="9"/>
  <c r="C42" i="9"/>
  <c r="C41" i="9"/>
  <c r="C33" i="9"/>
  <c r="C40" i="9"/>
  <c r="C50" i="9"/>
  <c r="C43" i="9"/>
  <c r="G4" i="9"/>
  <c r="J3" i="61"/>
  <c r="J3" i="63"/>
  <c r="J3" i="62"/>
  <c r="J3" i="60"/>
  <c r="D6" i="2"/>
  <c r="C22" i="53"/>
  <c r="C21" i="53"/>
  <c r="J3" i="41"/>
  <c r="M50" i="41" s="1"/>
  <c r="AE5" i="9"/>
  <c r="AD158" i="9"/>
  <c r="Q15" i="9"/>
  <c r="R31" i="9"/>
  <c r="I7" i="9"/>
  <c r="Q58" i="9"/>
  <c r="P13" i="9"/>
  <c r="Q34" i="9"/>
  <c r="P32" i="9"/>
  <c r="P10" i="9"/>
  <c r="P49" i="9"/>
  <c r="R35" i="9"/>
  <c r="Q22" i="9"/>
  <c r="Q20" i="9"/>
  <c r="R12" i="9"/>
  <c r="P31" i="9"/>
  <c r="R27" i="9"/>
  <c r="P37" i="9"/>
  <c r="Q37" i="9"/>
  <c r="P24" i="9"/>
  <c r="Q18" i="9"/>
  <c r="Q28" i="9"/>
  <c r="R28" i="9"/>
  <c r="R15" i="9"/>
  <c r="Q19" i="9"/>
  <c r="P9" i="9"/>
  <c r="Q27" i="9"/>
  <c r="P28" i="9"/>
  <c r="Q32" i="9"/>
  <c r="Q56" i="9"/>
  <c r="Q21" i="9"/>
  <c r="R17" i="9"/>
  <c r="Q17" i="9"/>
  <c r="P30" i="9"/>
  <c r="Q4" i="9"/>
  <c r="P17" i="9"/>
  <c r="Q30" i="9"/>
  <c r="Q10" i="9"/>
  <c r="Q64" i="9"/>
  <c r="R30" i="9"/>
  <c r="Q5" i="9"/>
  <c r="Q24" i="9"/>
  <c r="Q62" i="9"/>
  <c r="Q49" i="9"/>
  <c r="Q66" i="9"/>
  <c r="Q35" i="9"/>
  <c r="Q13" i="9"/>
  <c r="P22" i="9"/>
  <c r="I9" i="9"/>
  <c r="I17" i="9"/>
  <c r="I15" i="9"/>
  <c r="I18" i="9"/>
  <c r="R16" i="9"/>
  <c r="Q63" i="9"/>
  <c r="R32" i="9"/>
  <c r="I32" i="9"/>
  <c r="Q12" i="9"/>
  <c r="I13" i="9"/>
  <c r="R9" i="9"/>
  <c r="I14" i="9"/>
  <c r="P35" i="9"/>
  <c r="P19" i="9"/>
  <c r="P34" i="9"/>
  <c r="Q39" i="9"/>
  <c r="Q11" i="9"/>
  <c r="Q31" i="9"/>
  <c r="I12" i="9"/>
  <c r="Q57" i="9"/>
  <c r="Q16" i="9"/>
  <c r="P15" i="9"/>
  <c r="R34" i="9"/>
  <c r="Q65" i="9"/>
  <c r="Q61" i="9"/>
  <c r="Q60" i="9"/>
  <c r="I21" i="9"/>
  <c r="Q36" i="9"/>
  <c r="P27" i="9"/>
  <c r="R13" i="9"/>
  <c r="Q55" i="9"/>
  <c r="Q9" i="9"/>
  <c r="R49" i="9"/>
  <c r="P21" i="9"/>
  <c r="Q26" i="9"/>
  <c r="P36" i="9"/>
  <c r="P12" i="9"/>
  <c r="X19" i="9" l="1"/>
  <c r="BH3" i="79"/>
  <c r="CB3" i="84"/>
  <c r="BX3" i="84"/>
  <c r="BT3" i="84"/>
  <c r="BP3" i="84"/>
  <c r="BL3" i="84"/>
  <c r="BH3" i="84"/>
  <c r="BD3" i="84"/>
  <c r="AZ3" i="84"/>
  <c r="AV3" i="84"/>
  <c r="AR3" i="84"/>
  <c r="AN3" i="84"/>
  <c r="AJ3" i="84"/>
  <c r="CB3" i="83"/>
  <c r="BX3" i="83"/>
  <c r="BT3" i="83"/>
  <c r="BP3" i="83"/>
  <c r="BL3" i="83"/>
  <c r="BH3" i="83"/>
  <c r="BD3" i="83"/>
  <c r="AZ3" i="83"/>
  <c r="AV3" i="83"/>
  <c r="AR3" i="83"/>
  <c r="AN3" i="83"/>
  <c r="AJ3" i="83"/>
  <c r="CB3" i="82"/>
  <c r="BX3" i="82"/>
  <c r="BT3" i="82"/>
  <c r="BP3" i="82"/>
  <c r="BL3" i="82"/>
  <c r="BH3" i="82"/>
  <c r="BD3" i="82"/>
  <c r="AZ3" i="82"/>
  <c r="AV3" i="82"/>
  <c r="AR3" i="82"/>
  <c r="AN3" i="82"/>
  <c r="AJ3" i="82"/>
  <c r="BL3" i="80"/>
  <c r="N13" i="2"/>
  <c r="L13" i="2"/>
  <c r="N12" i="2"/>
  <c r="N11" i="2" s="1"/>
  <c r="L12" i="2"/>
  <c r="C16" i="9"/>
  <c r="B7" i="83"/>
  <c r="B7" i="84"/>
  <c r="I7" i="83"/>
  <c r="I7" i="84"/>
  <c r="B7" i="82"/>
  <c r="I7" i="82"/>
  <c r="B7" i="61"/>
  <c r="E18" i="61" s="1"/>
  <c r="BL3" i="79"/>
  <c r="BM24" i="79" s="1"/>
  <c r="BD3" i="78"/>
  <c r="BF3" i="78" s="1"/>
  <c r="AN3" i="78"/>
  <c r="AP3" i="78" s="1"/>
  <c r="M19" i="2"/>
  <c r="M32" i="2"/>
  <c r="M28" i="2"/>
  <c r="M24" i="2"/>
  <c r="N24" i="2" s="1"/>
  <c r="BX3" i="79"/>
  <c r="BY50" i="79" s="1"/>
  <c r="AV3" i="81"/>
  <c r="AW37" i="81" s="1"/>
  <c r="AN3" i="79"/>
  <c r="AP3" i="79" s="1"/>
  <c r="BH3" i="78"/>
  <c r="BI24" i="78" s="1"/>
  <c r="BH3" i="81"/>
  <c r="BP3" i="73"/>
  <c r="BQ24" i="73" s="1"/>
  <c r="CB3" i="78"/>
  <c r="CD3" i="78" s="1"/>
  <c r="CB3" i="79"/>
  <c r="CC50" i="79" s="1"/>
  <c r="AZ3" i="81"/>
  <c r="AJ3" i="80"/>
  <c r="BL3" i="81"/>
  <c r="AJ3" i="78"/>
  <c r="AL3" i="78" s="1"/>
  <c r="BD3" i="81"/>
  <c r="BX3" i="78"/>
  <c r="BY11" i="78" s="1"/>
  <c r="AV3" i="78"/>
  <c r="AW50" i="78" s="1"/>
  <c r="AN3" i="80"/>
  <c r="AR3" i="78"/>
  <c r="AS11" i="78" s="1"/>
  <c r="BH3" i="80"/>
  <c r="BM37" i="80"/>
  <c r="BM11" i="80"/>
  <c r="BM24" i="80"/>
  <c r="BM50" i="80"/>
  <c r="BN3" i="80"/>
  <c r="AZ3" i="78"/>
  <c r="BA24" i="78" s="1"/>
  <c r="AV3" i="80"/>
  <c r="BT3" i="80"/>
  <c r="BP3" i="78"/>
  <c r="BQ37" i="78" s="1"/>
  <c r="CB3" i="81"/>
  <c r="BX3" i="80"/>
  <c r="AJ3" i="79"/>
  <c r="AK24" i="79" s="1"/>
  <c r="BP3" i="81"/>
  <c r="AJ3" i="81"/>
  <c r="AR3" i="80"/>
  <c r="BL3" i="78"/>
  <c r="BM11" i="78" s="1"/>
  <c r="AR3" i="79"/>
  <c r="AS24" i="79" s="1"/>
  <c r="AV3" i="79"/>
  <c r="AW37" i="79" s="1"/>
  <c r="BT3" i="81"/>
  <c r="CB3" i="80"/>
  <c r="BP3" i="80"/>
  <c r="BP3" i="79"/>
  <c r="BQ11" i="79" s="1"/>
  <c r="BT3" i="79"/>
  <c r="BU11" i="79" s="1"/>
  <c r="AZ3" i="79"/>
  <c r="BB3" i="79" s="1"/>
  <c r="BX3" i="81"/>
  <c r="AN3" i="81"/>
  <c r="BD3" i="79"/>
  <c r="BE50" i="79" s="1"/>
  <c r="AZ3" i="80"/>
  <c r="AR3" i="81"/>
  <c r="BD3" i="80"/>
  <c r="B7" i="64"/>
  <c r="B7" i="81"/>
  <c r="B7" i="80"/>
  <c r="I7" i="81"/>
  <c r="I7" i="80"/>
  <c r="M92" i="2"/>
  <c r="N92" i="2" s="1"/>
  <c r="O92" i="2" s="1"/>
  <c r="M93" i="2"/>
  <c r="N93" i="2" s="1"/>
  <c r="O93" i="2" s="1"/>
  <c r="M98" i="2"/>
  <c r="N98" i="2" s="1"/>
  <c r="O98" i="2" s="1"/>
  <c r="O90" i="2"/>
  <c r="O21" i="2"/>
  <c r="BU50" i="78"/>
  <c r="BU11" i="78"/>
  <c r="BU24" i="78"/>
  <c r="BU37" i="78"/>
  <c r="BV3" i="78"/>
  <c r="AO11" i="78"/>
  <c r="AO50" i="78"/>
  <c r="AO37" i="78"/>
  <c r="AO24" i="78"/>
  <c r="BI50" i="79"/>
  <c r="BI11" i="79"/>
  <c r="BI37" i="79"/>
  <c r="BI24" i="79"/>
  <c r="BJ3" i="79"/>
  <c r="BM37" i="79"/>
  <c r="B7" i="79"/>
  <c r="I7" i="79"/>
  <c r="I7" i="78"/>
  <c r="B7" i="78"/>
  <c r="AN3" i="68"/>
  <c r="AO50" i="68" s="1"/>
  <c r="BX3" i="77"/>
  <c r="BY37" i="77" s="1"/>
  <c r="AN3" i="77"/>
  <c r="AO50" i="77" s="1"/>
  <c r="AZ3" i="76"/>
  <c r="BA11" i="76" s="1"/>
  <c r="M50" i="76"/>
  <c r="BP3" i="72"/>
  <c r="BR3" i="72" s="1"/>
  <c r="AJ3" i="75"/>
  <c r="AK50" i="75" s="1"/>
  <c r="BP3" i="76"/>
  <c r="BQ37" i="76" s="1"/>
  <c r="BD3" i="76"/>
  <c r="BE11" i="76" s="1"/>
  <c r="AR3" i="77"/>
  <c r="AR3" i="76"/>
  <c r="AS24" i="76" s="1"/>
  <c r="AV3" i="77"/>
  <c r="AJ3" i="77"/>
  <c r="AZ3" i="77"/>
  <c r="BD3" i="75"/>
  <c r="BE11" i="75" s="1"/>
  <c r="BH3" i="76"/>
  <c r="BI24" i="76" s="1"/>
  <c r="BD3" i="77"/>
  <c r="BT3" i="75"/>
  <c r="BU50" i="75" s="1"/>
  <c r="BP3" i="65"/>
  <c r="BQ24" i="65" s="1"/>
  <c r="CB3" i="75"/>
  <c r="CC37" i="75" s="1"/>
  <c r="AJ3" i="76"/>
  <c r="AL3" i="76" s="1"/>
  <c r="AV3" i="75"/>
  <c r="AW37" i="75" s="1"/>
  <c r="BP3" i="77"/>
  <c r="BH3" i="75"/>
  <c r="BI24" i="75" s="1"/>
  <c r="BX3" i="76"/>
  <c r="BY11" i="76" s="1"/>
  <c r="BT3" i="76"/>
  <c r="BV3" i="76" s="1"/>
  <c r="CB3" i="76"/>
  <c r="CC11" i="76" s="1"/>
  <c r="AN3" i="76"/>
  <c r="AO11" i="76" s="1"/>
  <c r="BL3" i="75"/>
  <c r="BM50" i="75" s="1"/>
  <c r="BL3" i="76"/>
  <c r="BM37" i="76" s="1"/>
  <c r="BT3" i="77"/>
  <c r="AN3" i="75"/>
  <c r="AO11" i="75" s="1"/>
  <c r="AR3" i="75"/>
  <c r="AS50" i="75" s="1"/>
  <c r="I7" i="77"/>
  <c r="B7" i="77"/>
  <c r="BH3" i="77"/>
  <c r="BL3" i="77"/>
  <c r="BX3" i="75"/>
  <c r="BY11" i="75" s="1"/>
  <c r="BP3" i="75"/>
  <c r="BQ37" i="75" s="1"/>
  <c r="AV3" i="73"/>
  <c r="AX3" i="73" s="1"/>
  <c r="CB3" i="74"/>
  <c r="CC24" i="74" s="1"/>
  <c r="AV3" i="76"/>
  <c r="AW37" i="76" s="1"/>
  <c r="AZ3" i="75"/>
  <c r="BB3" i="75" s="1"/>
  <c r="CB3" i="77"/>
  <c r="I7" i="76"/>
  <c r="B7" i="76"/>
  <c r="B7" i="75"/>
  <c r="I7" i="75"/>
  <c r="K12" i="9"/>
  <c r="M12" i="9" s="1"/>
  <c r="N12" i="9" s="1"/>
  <c r="K18" i="9"/>
  <c r="M18" i="9" s="1"/>
  <c r="N18" i="9" s="1"/>
  <c r="K21" i="9"/>
  <c r="M21" i="9" s="1"/>
  <c r="N21" i="9" s="1"/>
  <c r="K13" i="9"/>
  <c r="M13" i="9" s="1"/>
  <c r="N13" i="9" s="1"/>
  <c r="K17" i="9"/>
  <c r="M17" i="9" s="1"/>
  <c r="N17" i="9" s="1"/>
  <c r="K7" i="9"/>
  <c r="M7" i="9" s="1"/>
  <c r="N7" i="9" s="1"/>
  <c r="K32" i="9"/>
  <c r="M32" i="9" s="1"/>
  <c r="N32" i="9" s="1"/>
  <c r="K9" i="9"/>
  <c r="M9" i="9" s="1"/>
  <c r="N9" i="9" s="1"/>
  <c r="K14" i="9"/>
  <c r="M14" i="9" s="1"/>
  <c r="N14" i="9" s="1"/>
  <c r="K15" i="9"/>
  <c r="M15" i="9" s="1"/>
  <c r="N15" i="9" s="1"/>
  <c r="M50" i="74"/>
  <c r="BP3" i="69"/>
  <c r="AR3" i="71"/>
  <c r="AJ3" i="73"/>
  <c r="AR3" i="73"/>
  <c r="BD3" i="69"/>
  <c r="AN3" i="74"/>
  <c r="BD3" i="73"/>
  <c r="M50" i="70"/>
  <c r="BX3" i="74"/>
  <c r="I7" i="70"/>
  <c r="I7" i="73"/>
  <c r="I7" i="69"/>
  <c r="I7" i="68"/>
  <c r="B7" i="72"/>
  <c r="I57" i="72" s="1"/>
  <c r="K57" i="72" s="1"/>
  <c r="K50" i="72" s="1"/>
  <c r="B7" i="69"/>
  <c r="I7" i="74"/>
  <c r="B7" i="74"/>
  <c r="B7" i="70"/>
  <c r="B7" i="68"/>
  <c r="I7" i="71"/>
  <c r="B7" i="71"/>
  <c r="B7" i="73"/>
  <c r="I7" i="72"/>
  <c r="BP3" i="68"/>
  <c r="AN3" i="65"/>
  <c r="AO50" i="65" s="1"/>
  <c r="BH3" i="73"/>
  <c r="AZ3" i="72"/>
  <c r="AV3" i="71"/>
  <c r="BH3" i="74"/>
  <c r="AV3" i="69"/>
  <c r="CB3" i="72"/>
  <c r="AJ3" i="70"/>
  <c r="CB3" i="68"/>
  <c r="AR3" i="68"/>
  <c r="AN3" i="71"/>
  <c r="BL3" i="70"/>
  <c r="BT3" i="70"/>
  <c r="M50" i="72"/>
  <c r="BX3" i="72"/>
  <c r="AV3" i="70"/>
  <c r="AN3" i="73"/>
  <c r="AV3" i="65"/>
  <c r="AW24" i="65" s="1"/>
  <c r="AN3" i="70"/>
  <c r="AZ3" i="66"/>
  <c r="BA37" i="66" s="1"/>
  <c r="BX3" i="69"/>
  <c r="CB3" i="70"/>
  <c r="AZ3" i="71"/>
  <c r="BL3" i="71"/>
  <c r="AV3" i="72"/>
  <c r="AR3" i="70"/>
  <c r="BP3" i="71"/>
  <c r="CB3" i="73"/>
  <c r="AR3" i="65"/>
  <c r="AT3" i="65" s="1"/>
  <c r="BH3" i="72"/>
  <c r="BX3" i="71"/>
  <c r="C17" i="9"/>
  <c r="BD3" i="71"/>
  <c r="BT3" i="69"/>
  <c r="AR3" i="74"/>
  <c r="BH3" i="68"/>
  <c r="C12" i="9"/>
  <c r="BD3" i="70"/>
  <c r="BH3" i="71"/>
  <c r="AJ3" i="72"/>
  <c r="BL3" i="72"/>
  <c r="BL3" i="73"/>
  <c r="AZ3" i="68"/>
  <c r="BL3" i="65"/>
  <c r="BM50" i="65" s="1"/>
  <c r="M50" i="64"/>
  <c r="AZ3" i="70"/>
  <c r="AJ3" i="71"/>
  <c r="AV3" i="74"/>
  <c r="BL3" i="68"/>
  <c r="BP3" i="74"/>
  <c r="M50" i="68"/>
  <c r="AJ3" i="68"/>
  <c r="BH3" i="69"/>
  <c r="M50" i="67"/>
  <c r="CB3" i="71"/>
  <c r="BT3" i="72"/>
  <c r="AZ3" i="74"/>
  <c r="AR3" i="69"/>
  <c r="BT3" i="74"/>
  <c r="C32" i="9"/>
  <c r="AZ3" i="69"/>
  <c r="BT3" i="68"/>
  <c r="BX3" i="68"/>
  <c r="BT3" i="73"/>
  <c r="BD3" i="74"/>
  <c r="BH3" i="70"/>
  <c r="CB3" i="69"/>
  <c r="BL3" i="74"/>
  <c r="AN3" i="72"/>
  <c r="BX3" i="73"/>
  <c r="AV3" i="68"/>
  <c r="BT3" i="71"/>
  <c r="BD3" i="68"/>
  <c r="AN3" i="69"/>
  <c r="BD3" i="72"/>
  <c r="M50" i="73"/>
  <c r="AZ3" i="73"/>
  <c r="CB3" i="66"/>
  <c r="CC24" i="66" s="1"/>
  <c r="M50" i="69"/>
  <c r="BX3" i="70"/>
  <c r="M50" i="71"/>
  <c r="BL3" i="69"/>
  <c r="AJ3" i="74"/>
  <c r="AJ3" i="69"/>
  <c r="AR3" i="72"/>
  <c r="BP3" i="70"/>
  <c r="BT3" i="67"/>
  <c r="BP3" i="67"/>
  <c r="BL3" i="67"/>
  <c r="BH3" i="67"/>
  <c r="BD3" i="67"/>
  <c r="AZ3" i="67"/>
  <c r="AV3" i="67"/>
  <c r="AR3" i="67"/>
  <c r="AN3" i="67"/>
  <c r="AJ3" i="67"/>
  <c r="CB3" i="67"/>
  <c r="BX3" i="67"/>
  <c r="B7" i="67"/>
  <c r="I7" i="67"/>
  <c r="AJ3" i="65"/>
  <c r="AV3" i="66"/>
  <c r="BT3" i="65"/>
  <c r="BD3" i="66"/>
  <c r="AZ3" i="65"/>
  <c r="BX3" i="65"/>
  <c r="BH3" i="66"/>
  <c r="AJ3" i="66"/>
  <c r="CB3" i="65"/>
  <c r="BL3" i="66"/>
  <c r="AR3" i="66"/>
  <c r="BP3" i="66"/>
  <c r="AN3" i="66"/>
  <c r="BH3" i="65"/>
  <c r="BT3" i="66"/>
  <c r="BD3" i="65"/>
  <c r="BX3" i="66"/>
  <c r="I7" i="66"/>
  <c r="B7" i="66"/>
  <c r="B6" i="66" s="1"/>
  <c r="I7" i="65"/>
  <c r="B7" i="65"/>
  <c r="I7" i="64"/>
  <c r="BH3" i="64"/>
  <c r="BD3" i="64"/>
  <c r="BT3" i="64"/>
  <c r="AZ3" i="64"/>
  <c r="AV3" i="64"/>
  <c r="AR3" i="64"/>
  <c r="AN3" i="64"/>
  <c r="AJ3" i="64"/>
  <c r="BP3" i="64"/>
  <c r="BX3" i="64"/>
  <c r="CB3" i="64"/>
  <c r="BL3" i="64"/>
  <c r="C9" i="9"/>
  <c r="C26" i="9"/>
  <c r="C31" i="9"/>
  <c r="C21" i="9"/>
  <c r="C35" i="9"/>
  <c r="C30" i="9"/>
  <c r="C37" i="9"/>
  <c r="C18" i="9"/>
  <c r="C7" i="9"/>
  <c r="C19" i="9"/>
  <c r="C22" i="9"/>
  <c r="C24" i="9"/>
  <c r="C29" i="9"/>
  <c r="C10" i="9"/>
  <c r="C27" i="9"/>
  <c r="C34" i="9"/>
  <c r="C28" i="9"/>
  <c r="C36" i="9"/>
  <c r="AV3" i="62"/>
  <c r="AW24" i="62" s="1"/>
  <c r="AJ3" i="63"/>
  <c r="AL3" i="63" s="1"/>
  <c r="C4" i="9"/>
  <c r="I7" i="61"/>
  <c r="B7" i="62"/>
  <c r="E36" i="62" s="1"/>
  <c r="I7" i="62"/>
  <c r="B7" i="63"/>
  <c r="E11" i="63" s="1"/>
  <c r="I7" i="63"/>
  <c r="BP3" i="60"/>
  <c r="BQ37" i="60" s="1"/>
  <c r="CB3" i="61"/>
  <c r="CC37" i="61" s="1"/>
  <c r="CB3" i="60"/>
  <c r="CC37" i="60" s="1"/>
  <c r="BH3" i="60"/>
  <c r="BI50" i="60" s="1"/>
  <c r="AJ3" i="62"/>
  <c r="AK24" i="62" s="1"/>
  <c r="AV3" i="61"/>
  <c r="AW37" i="61" s="1"/>
  <c r="AZ3" i="61"/>
  <c r="BA50" i="61" s="1"/>
  <c r="BD3" i="63"/>
  <c r="BE37" i="63" s="1"/>
  <c r="AZ3" i="60"/>
  <c r="BA37" i="60" s="1"/>
  <c r="AZ3" i="63"/>
  <c r="BA37" i="63" s="1"/>
  <c r="BL3" i="62"/>
  <c r="BM37" i="62" s="1"/>
  <c r="AR3" i="63"/>
  <c r="AS37" i="63" s="1"/>
  <c r="BH3" i="61"/>
  <c r="BI11" i="61" s="1"/>
  <c r="BH3" i="62"/>
  <c r="BI37" i="62" s="1"/>
  <c r="BP3" i="61"/>
  <c r="BQ24" i="61" s="1"/>
  <c r="M50" i="60"/>
  <c r="AV3" i="63"/>
  <c r="AW11" i="63" s="1"/>
  <c r="AR3" i="61"/>
  <c r="AS24" i="61" s="1"/>
  <c r="BD3" i="61"/>
  <c r="BE37" i="61" s="1"/>
  <c r="BD3" i="60"/>
  <c r="BE24" i="60" s="1"/>
  <c r="BX3" i="61"/>
  <c r="BY24" i="61" s="1"/>
  <c r="BT3" i="61"/>
  <c r="BU37" i="61" s="1"/>
  <c r="BX3" i="62"/>
  <c r="BY11" i="62" s="1"/>
  <c r="CB3" i="63"/>
  <c r="CC37" i="63" s="1"/>
  <c r="BL3" i="60"/>
  <c r="BM50" i="60" s="1"/>
  <c r="AN3" i="63"/>
  <c r="AO37" i="63" s="1"/>
  <c r="BL3" i="63"/>
  <c r="BM50" i="63" s="1"/>
  <c r="M50" i="62"/>
  <c r="BP3" i="62"/>
  <c r="BQ24" i="62" s="1"/>
  <c r="M50" i="61"/>
  <c r="BP3" i="63"/>
  <c r="BQ50" i="63" s="1"/>
  <c r="CB3" i="62"/>
  <c r="CC11" i="62" s="1"/>
  <c r="BD3" i="62"/>
  <c r="BE11" i="62" s="1"/>
  <c r="BX3" i="60"/>
  <c r="BY50" i="60" s="1"/>
  <c r="BL3" i="61"/>
  <c r="BM50" i="61" s="1"/>
  <c r="AJ3" i="60"/>
  <c r="AK11" i="60" s="1"/>
  <c r="BT3" i="63"/>
  <c r="BU50" i="63" s="1"/>
  <c r="AN3" i="61"/>
  <c r="AO24" i="61" s="1"/>
  <c r="AR3" i="60"/>
  <c r="AS24" i="60" s="1"/>
  <c r="AR3" i="62"/>
  <c r="AS37" i="62" s="1"/>
  <c r="AN3" i="60"/>
  <c r="AO24" i="60" s="1"/>
  <c r="BT3" i="62"/>
  <c r="BU11" i="62" s="1"/>
  <c r="M50" i="63"/>
  <c r="BX3" i="63"/>
  <c r="BY24" i="63" s="1"/>
  <c r="AN3" i="62"/>
  <c r="AO50" i="62" s="1"/>
  <c r="AV3" i="41"/>
  <c r="AX3" i="41" s="1"/>
  <c r="AZ3" i="62"/>
  <c r="BB3" i="62" s="1"/>
  <c r="BT3" i="60"/>
  <c r="BU11" i="60" s="1"/>
  <c r="BH3" i="63"/>
  <c r="BJ3" i="63" s="1"/>
  <c r="AV3" i="60"/>
  <c r="AW11" i="60" s="1"/>
  <c r="AJ3" i="61"/>
  <c r="AK50" i="61" s="1"/>
  <c r="I7" i="60"/>
  <c r="B7" i="60"/>
  <c r="I7" i="41"/>
  <c r="BL3" i="41"/>
  <c r="AZ3" i="41"/>
  <c r="BH3" i="41"/>
  <c r="BP3" i="41"/>
  <c r="CB3" i="41"/>
  <c r="AN3" i="41"/>
  <c r="BT3" i="41"/>
  <c r="AR3" i="41"/>
  <c r="BD3" i="41"/>
  <c r="BX3" i="41"/>
  <c r="AJ3" i="41"/>
  <c r="B7" i="41"/>
  <c r="I24" i="9"/>
  <c r="Q14" i="9"/>
  <c r="R25" i="9"/>
  <c r="R14" i="9"/>
  <c r="P26" i="9"/>
  <c r="P18" i="9"/>
  <c r="R45" i="9"/>
  <c r="I4" i="9"/>
  <c r="P14" i="9"/>
  <c r="P16" i="9"/>
  <c r="P4" i="9"/>
  <c r="I16" i="9"/>
  <c r="R4" i="9"/>
  <c r="R18" i="9"/>
  <c r="BM50" i="79" l="1"/>
  <c r="BE50" i="78"/>
  <c r="BE37" i="78"/>
  <c r="BE24" i="78"/>
  <c r="BE11" i="78"/>
  <c r="BN3" i="79"/>
  <c r="BM11" i="79"/>
  <c r="K24" i="9"/>
  <c r="M24" i="9" s="1"/>
  <c r="N24" i="9" s="1"/>
  <c r="M15" i="2"/>
  <c r="N15" i="2" s="1"/>
  <c r="O15" i="2" s="1"/>
  <c r="K16" i="9"/>
  <c r="M16" i="9" s="1"/>
  <c r="N16" i="9" s="1"/>
  <c r="M20" i="2"/>
  <c r="N20" i="2" s="1"/>
  <c r="O20" i="2" s="1"/>
  <c r="K4" i="9"/>
  <c r="M4" i="9" s="1"/>
  <c r="N4" i="9" s="1"/>
  <c r="AS24" i="82"/>
  <c r="AS37" i="82"/>
  <c r="AS11" i="82"/>
  <c r="AS50" i="82"/>
  <c r="AT3" i="82"/>
  <c r="BE24" i="82"/>
  <c r="BE37" i="82"/>
  <c r="BE50" i="82"/>
  <c r="BE11" i="82"/>
  <c r="BF3" i="82"/>
  <c r="BQ24" i="82"/>
  <c r="BQ50" i="82"/>
  <c r="BQ37" i="82"/>
  <c r="BQ11" i="82"/>
  <c r="BR3" i="82"/>
  <c r="CC24" i="82"/>
  <c r="CC37" i="82"/>
  <c r="CC11" i="82"/>
  <c r="CC50" i="82"/>
  <c r="CD3" i="82"/>
  <c r="AS50" i="83"/>
  <c r="AS37" i="83"/>
  <c r="AS24" i="83"/>
  <c r="AS11" i="83"/>
  <c r="AT3" i="83"/>
  <c r="BE50" i="83"/>
  <c r="BE37" i="83"/>
  <c r="BE24" i="83"/>
  <c r="BE11" i="83"/>
  <c r="BF3" i="83"/>
  <c r="BQ24" i="83"/>
  <c r="BQ37" i="83"/>
  <c r="BQ50" i="83"/>
  <c r="BQ11" i="83"/>
  <c r="BR3" i="83"/>
  <c r="CC24" i="83"/>
  <c r="CC50" i="83"/>
  <c r="CC37" i="83"/>
  <c r="CC11" i="83"/>
  <c r="CD3" i="83"/>
  <c r="AS37" i="84"/>
  <c r="AS50" i="84"/>
  <c r="AS24" i="84"/>
  <c r="AS11" i="84"/>
  <c r="AT3" i="84"/>
  <c r="BE37" i="84"/>
  <c r="BE50" i="84"/>
  <c r="BE24" i="84"/>
  <c r="BE11" i="84"/>
  <c r="BF3" i="84"/>
  <c r="BQ37" i="84"/>
  <c r="BQ50" i="84"/>
  <c r="BQ24" i="84"/>
  <c r="BQ11" i="84"/>
  <c r="BR3" i="84"/>
  <c r="CC24" i="84"/>
  <c r="CC50" i="84"/>
  <c r="CC37" i="84"/>
  <c r="CC11" i="84"/>
  <c r="CD3" i="84"/>
  <c r="AK37" i="82"/>
  <c r="AK50" i="82"/>
  <c r="AF3" i="82"/>
  <c r="AK11" i="82"/>
  <c r="AK24" i="82"/>
  <c r="AL3" i="82"/>
  <c r="AW50" i="82"/>
  <c r="AW37" i="82"/>
  <c r="AW24" i="82"/>
  <c r="AW11" i="82"/>
  <c r="AX3" i="82"/>
  <c r="BI37" i="82"/>
  <c r="BI50" i="82"/>
  <c r="BI24" i="82"/>
  <c r="BI11" i="82"/>
  <c r="BJ3" i="82"/>
  <c r="BU37" i="82"/>
  <c r="BU50" i="82"/>
  <c r="BU24" i="82"/>
  <c r="BU11" i="82"/>
  <c r="BV3" i="82"/>
  <c r="AF3" i="83"/>
  <c r="AK50" i="83"/>
  <c r="AK37" i="83"/>
  <c r="AK11" i="83"/>
  <c r="AK24" i="83"/>
  <c r="AL3" i="83"/>
  <c r="AW24" i="83"/>
  <c r="AW37" i="83"/>
  <c r="AW50" i="83"/>
  <c r="AW11" i="83"/>
  <c r="AX3" i="83"/>
  <c r="BI37" i="83"/>
  <c r="BI50" i="83"/>
  <c r="BI24" i="83"/>
  <c r="BI11" i="83"/>
  <c r="BJ3" i="83"/>
  <c r="BU24" i="83"/>
  <c r="BU50" i="83"/>
  <c r="BU37" i="83"/>
  <c r="BU11" i="83"/>
  <c r="BV3" i="83"/>
  <c r="AF3" i="84"/>
  <c r="AK50" i="84"/>
  <c r="AK11" i="84"/>
  <c r="AK37" i="84"/>
  <c r="AK24" i="84"/>
  <c r="AL3" i="84"/>
  <c r="AW24" i="84"/>
  <c r="AW50" i="84"/>
  <c r="AW37" i="84"/>
  <c r="AW11" i="84"/>
  <c r="AX3" i="84"/>
  <c r="BI24" i="84"/>
  <c r="BI50" i="84"/>
  <c r="BI37" i="84"/>
  <c r="BI11" i="84"/>
  <c r="BJ3" i="84"/>
  <c r="BU37" i="84"/>
  <c r="BU24" i="84"/>
  <c r="BU11" i="84"/>
  <c r="BU50" i="84"/>
  <c r="BV3" i="84"/>
  <c r="AO24" i="82"/>
  <c r="AO50" i="82"/>
  <c r="AO37" i="82"/>
  <c r="AO11" i="82"/>
  <c r="AP3" i="82"/>
  <c r="BA50" i="82"/>
  <c r="BA37" i="82"/>
  <c r="BA24" i="82"/>
  <c r="BA11" i="82"/>
  <c r="BB3" i="82"/>
  <c r="BM50" i="82"/>
  <c r="BM24" i="82"/>
  <c r="BM37" i="82"/>
  <c r="BM11" i="82"/>
  <c r="BN3" i="82"/>
  <c r="BY24" i="82"/>
  <c r="BY50" i="82"/>
  <c r="BY37" i="82"/>
  <c r="BY11" i="82"/>
  <c r="BZ3" i="82"/>
  <c r="AO37" i="83"/>
  <c r="AO50" i="83"/>
  <c r="AO24" i="83"/>
  <c r="AO11" i="83"/>
  <c r="AP3" i="83"/>
  <c r="BA24" i="83"/>
  <c r="BA37" i="83"/>
  <c r="BA11" i="83"/>
  <c r="BA50" i="83"/>
  <c r="BB3" i="83"/>
  <c r="BM50" i="83"/>
  <c r="BM37" i="83"/>
  <c r="BM24" i="83"/>
  <c r="BM11" i="83"/>
  <c r="BN3" i="83"/>
  <c r="BY50" i="83"/>
  <c r="BY37" i="83"/>
  <c r="BY24" i="83"/>
  <c r="BY11" i="83"/>
  <c r="BZ3" i="83"/>
  <c r="AO11" i="84"/>
  <c r="AO24" i="84"/>
  <c r="AO50" i="84"/>
  <c r="AO37" i="84"/>
  <c r="AP3" i="84"/>
  <c r="BA24" i="84"/>
  <c r="BA50" i="84"/>
  <c r="BA37" i="84"/>
  <c r="BA11" i="84"/>
  <c r="BB3" i="84"/>
  <c r="BM37" i="84"/>
  <c r="BM24" i="84"/>
  <c r="BM11" i="84"/>
  <c r="BM50" i="84"/>
  <c r="BN3" i="84"/>
  <c r="BY24" i="84"/>
  <c r="BY37" i="84"/>
  <c r="BY50" i="84"/>
  <c r="BY11" i="84"/>
  <c r="BZ3" i="84"/>
  <c r="O13" i="2"/>
  <c r="O12" i="2"/>
  <c r="L11" i="2"/>
  <c r="O11" i="2" s="1"/>
  <c r="L10" i="2"/>
  <c r="I6" i="84"/>
  <c r="K6" i="84" s="1"/>
  <c r="I6" i="83"/>
  <c r="K6" i="83" s="1"/>
  <c r="E40" i="84"/>
  <c r="E54" i="84"/>
  <c r="E41" i="84"/>
  <c r="E53" i="84"/>
  <c r="E28" i="84"/>
  <c r="E49" i="84"/>
  <c r="E57" i="84"/>
  <c r="E45" i="84"/>
  <c r="E51" i="84"/>
  <c r="E22" i="84"/>
  <c r="E16" i="84"/>
  <c r="E24" i="84"/>
  <c r="E33" i="84"/>
  <c r="E13" i="84"/>
  <c r="E20" i="84"/>
  <c r="E23" i="84"/>
  <c r="G7" i="84"/>
  <c r="E29" i="84"/>
  <c r="E59" i="84"/>
  <c r="E61" i="84"/>
  <c r="E44" i="84"/>
  <c r="E56" i="84"/>
  <c r="E36" i="84"/>
  <c r="E26" i="84"/>
  <c r="E43" i="84"/>
  <c r="E35" i="84"/>
  <c r="E17" i="84"/>
  <c r="E48" i="84"/>
  <c r="J7" i="84"/>
  <c r="K7" i="84" s="1"/>
  <c r="E39" i="84"/>
  <c r="E11" i="84"/>
  <c r="E42" i="84"/>
  <c r="E31" i="84"/>
  <c r="E38" i="84"/>
  <c r="E46" i="84"/>
  <c r="E50" i="84"/>
  <c r="E18" i="84"/>
  <c r="E55" i="84"/>
  <c r="E21" i="84"/>
  <c r="E15" i="84"/>
  <c r="E60" i="84"/>
  <c r="E34" i="84"/>
  <c r="E52" i="84"/>
  <c r="E12" i="84"/>
  <c r="E19" i="84"/>
  <c r="E30" i="84"/>
  <c r="E14" i="84"/>
  <c r="E27" i="84"/>
  <c r="E47" i="84"/>
  <c r="E58" i="84"/>
  <c r="E25" i="84"/>
  <c r="E37" i="84"/>
  <c r="E32" i="84"/>
  <c r="E62" i="84"/>
  <c r="E59" i="83"/>
  <c r="E46" i="83"/>
  <c r="E53" i="83"/>
  <c r="E27" i="83"/>
  <c r="E48" i="83"/>
  <c r="E20" i="83"/>
  <c r="E31" i="83"/>
  <c r="E36" i="83"/>
  <c r="E62" i="83"/>
  <c r="E33" i="83"/>
  <c r="E50" i="83"/>
  <c r="E58" i="83"/>
  <c r="E21" i="83"/>
  <c r="E49" i="83"/>
  <c r="E45" i="83"/>
  <c r="J7" i="83"/>
  <c r="K7" i="83" s="1"/>
  <c r="E35" i="83"/>
  <c r="E30" i="83"/>
  <c r="E39" i="83"/>
  <c r="E26" i="83"/>
  <c r="E32" i="83"/>
  <c r="E13" i="83"/>
  <c r="G7" i="83"/>
  <c r="E38" i="83"/>
  <c r="E40" i="83"/>
  <c r="E51" i="83"/>
  <c r="E18" i="83"/>
  <c r="E52" i="83"/>
  <c r="E11" i="83"/>
  <c r="E17" i="83"/>
  <c r="E61" i="83"/>
  <c r="E60" i="83"/>
  <c r="E14" i="83"/>
  <c r="E28" i="83"/>
  <c r="E29" i="83"/>
  <c r="E24" i="83"/>
  <c r="E57" i="83"/>
  <c r="E41" i="83"/>
  <c r="E16" i="83"/>
  <c r="E54" i="83"/>
  <c r="E25" i="83"/>
  <c r="E44" i="83"/>
  <c r="E34" i="83"/>
  <c r="E43" i="83"/>
  <c r="E12" i="83"/>
  <c r="E55" i="83"/>
  <c r="E19" i="83"/>
  <c r="E22" i="83"/>
  <c r="E23" i="83"/>
  <c r="E56" i="83"/>
  <c r="E47" i="83"/>
  <c r="E15" i="83"/>
  <c r="E42" i="83"/>
  <c r="E37" i="83"/>
  <c r="I6" i="82"/>
  <c r="K6" i="82" s="1"/>
  <c r="E58" i="82"/>
  <c r="E32" i="82"/>
  <c r="E25" i="82"/>
  <c r="E24" i="82"/>
  <c r="E43" i="82"/>
  <c r="E49" i="82"/>
  <c r="E53" i="82"/>
  <c r="E13" i="82"/>
  <c r="E61" i="82"/>
  <c r="E62" i="82"/>
  <c r="E18" i="82"/>
  <c r="E54" i="82"/>
  <c r="E27" i="82"/>
  <c r="E30" i="82"/>
  <c r="E12" i="82"/>
  <c r="E52" i="82"/>
  <c r="E44" i="82"/>
  <c r="E55" i="82"/>
  <c r="E45" i="82"/>
  <c r="E37" i="82"/>
  <c r="E41" i="82"/>
  <c r="E39" i="82"/>
  <c r="E48" i="82"/>
  <c r="G7" i="82"/>
  <c r="E40" i="82"/>
  <c r="E59" i="82"/>
  <c r="E34" i="82"/>
  <c r="E42" i="82"/>
  <c r="E60" i="82"/>
  <c r="E22" i="82"/>
  <c r="E46" i="82"/>
  <c r="E35" i="82"/>
  <c r="E38" i="82"/>
  <c r="E29" i="82"/>
  <c r="E28" i="82"/>
  <c r="E26" i="82"/>
  <c r="E31" i="82"/>
  <c r="E14" i="82"/>
  <c r="E56" i="82"/>
  <c r="E16" i="82"/>
  <c r="E47" i="82"/>
  <c r="E17" i="82"/>
  <c r="J7" i="82"/>
  <c r="K7" i="82" s="1"/>
  <c r="E51" i="82"/>
  <c r="E11" i="82"/>
  <c r="E21" i="82"/>
  <c r="E20" i="82"/>
  <c r="E15" i="82"/>
  <c r="E36" i="82"/>
  <c r="E50" i="82"/>
  <c r="E23" i="82"/>
  <c r="E57" i="82"/>
  <c r="E19" i="82"/>
  <c r="E33" i="82"/>
  <c r="O24" i="2"/>
  <c r="BI50" i="78"/>
  <c r="AS11" i="79"/>
  <c r="BZ3" i="79"/>
  <c r="BY37" i="79"/>
  <c r="AS50" i="78"/>
  <c r="AS37" i="78"/>
  <c r="AW50" i="79"/>
  <c r="AW24" i="79"/>
  <c r="BJ3" i="78"/>
  <c r="BY11" i="79"/>
  <c r="BI37" i="78"/>
  <c r="BI11" i="78"/>
  <c r="BR3" i="79"/>
  <c r="BY24" i="79"/>
  <c r="AT3" i="78"/>
  <c r="CC37" i="79"/>
  <c r="AX3" i="79"/>
  <c r="BA37" i="79"/>
  <c r="BA24" i="79"/>
  <c r="AW24" i="78"/>
  <c r="AW11" i="78"/>
  <c r="AK11" i="78"/>
  <c r="AO50" i="79"/>
  <c r="AO37" i="79"/>
  <c r="AK37" i="78"/>
  <c r="AK50" i="78"/>
  <c r="AS50" i="79"/>
  <c r="AO11" i="79"/>
  <c r="BY50" i="78"/>
  <c r="BZ3" i="78"/>
  <c r="AL3" i="79"/>
  <c r="AS24" i="78"/>
  <c r="BY24" i="78"/>
  <c r="AK37" i="79"/>
  <c r="AK24" i="78"/>
  <c r="BY37" i="78"/>
  <c r="AK50" i="79"/>
  <c r="AK11" i="79"/>
  <c r="AX3" i="78"/>
  <c r="AW37" i="78"/>
  <c r="AO24" i="79"/>
  <c r="CC11" i="78"/>
  <c r="BV3" i="79"/>
  <c r="CC37" i="78"/>
  <c r="BU37" i="79"/>
  <c r="CC24" i="78"/>
  <c r="BR3" i="73"/>
  <c r="BB3" i="78"/>
  <c r="AX3" i="81"/>
  <c r="CC50" i="78"/>
  <c r="BQ37" i="73"/>
  <c r="AW11" i="81"/>
  <c r="BQ11" i="73"/>
  <c r="AW24" i="81"/>
  <c r="BQ50" i="73"/>
  <c r="AW50" i="81"/>
  <c r="AS37" i="79"/>
  <c r="BE11" i="81"/>
  <c r="BE37" i="81"/>
  <c r="BE24" i="81"/>
  <c r="BE50" i="81"/>
  <c r="BF3" i="81"/>
  <c r="BR3" i="78"/>
  <c r="BE24" i="79"/>
  <c r="BA50" i="79"/>
  <c r="AO24" i="81"/>
  <c r="AO37" i="81"/>
  <c r="AO50" i="81"/>
  <c r="AO11" i="81"/>
  <c r="AP3" i="81"/>
  <c r="CC11" i="81"/>
  <c r="CC50" i="81"/>
  <c r="CC24" i="81"/>
  <c r="CC37" i="81"/>
  <c r="CD3" i="81"/>
  <c r="BQ50" i="78"/>
  <c r="BE37" i="79"/>
  <c r="BQ24" i="79"/>
  <c r="BA50" i="78"/>
  <c r="AW24" i="80"/>
  <c r="AW37" i="80"/>
  <c r="AW11" i="80"/>
  <c r="AX3" i="80"/>
  <c r="AW50" i="80"/>
  <c r="BA37" i="81"/>
  <c r="BA11" i="81"/>
  <c r="BA24" i="81"/>
  <c r="BA50" i="81"/>
  <c r="BB3" i="81"/>
  <c r="AF3" i="78"/>
  <c r="AG24" i="78" s="1"/>
  <c r="BU50" i="79"/>
  <c r="BQ50" i="79"/>
  <c r="BA37" i="78"/>
  <c r="BQ50" i="80"/>
  <c r="BQ24" i="80"/>
  <c r="BQ11" i="80"/>
  <c r="BQ37" i="80"/>
  <c r="BR3" i="80"/>
  <c r="BY50" i="81"/>
  <c r="BY24" i="81"/>
  <c r="BY11" i="81"/>
  <c r="BY37" i="81"/>
  <c r="BZ3" i="81"/>
  <c r="BU24" i="79"/>
  <c r="BQ37" i="79"/>
  <c r="BA11" i="78"/>
  <c r="CC11" i="80"/>
  <c r="CC50" i="80"/>
  <c r="CC37" i="80"/>
  <c r="CC24" i="80"/>
  <c r="CD3" i="80"/>
  <c r="BF3" i="79"/>
  <c r="BQ11" i="78"/>
  <c r="BE11" i="79"/>
  <c r="BA11" i="79"/>
  <c r="BU24" i="81"/>
  <c r="BU37" i="81"/>
  <c r="BU50" i="81"/>
  <c r="BU11" i="81"/>
  <c r="BV3" i="81"/>
  <c r="BI50" i="81"/>
  <c r="BI24" i="81"/>
  <c r="BI11" i="81"/>
  <c r="BI37" i="81"/>
  <c r="BJ3" i="81"/>
  <c r="BM37" i="78"/>
  <c r="BI11" i="80"/>
  <c r="BI24" i="80"/>
  <c r="BI37" i="80"/>
  <c r="BI50" i="80"/>
  <c r="BJ3" i="80"/>
  <c r="AK11" i="80"/>
  <c r="AK50" i="80"/>
  <c r="AK24" i="80"/>
  <c r="AF3" i="80"/>
  <c r="AK37" i="80"/>
  <c r="AL3" i="80"/>
  <c r="BN3" i="78"/>
  <c r="BM24" i="78"/>
  <c r="AW11" i="79"/>
  <c r="CD3" i="79"/>
  <c r="AS11" i="80"/>
  <c r="AS50" i="80"/>
  <c r="AS24" i="80"/>
  <c r="AS37" i="80"/>
  <c r="AT3" i="80"/>
  <c r="BM50" i="78"/>
  <c r="AF3" i="79"/>
  <c r="AG37" i="79" s="1"/>
  <c r="CC11" i="79"/>
  <c r="BE24" i="80"/>
  <c r="BE37" i="80"/>
  <c r="BE11" i="80"/>
  <c r="BE50" i="80"/>
  <c r="BF3" i="80"/>
  <c r="AK11" i="81"/>
  <c r="AF3" i="81"/>
  <c r="AK50" i="81"/>
  <c r="AK24" i="81"/>
  <c r="AL3" i="81"/>
  <c r="AK37" i="81"/>
  <c r="AO37" i="80"/>
  <c r="AO50" i="80"/>
  <c r="AO24" i="80"/>
  <c r="AO11" i="80"/>
  <c r="AP3" i="80"/>
  <c r="BY37" i="80"/>
  <c r="BY24" i="80"/>
  <c r="BY50" i="80"/>
  <c r="BY11" i="80"/>
  <c r="BZ3" i="80"/>
  <c r="BM50" i="81"/>
  <c r="BM37" i="81"/>
  <c r="BM24" i="81"/>
  <c r="BM11" i="81"/>
  <c r="BN3" i="81"/>
  <c r="BU11" i="80"/>
  <c r="BU50" i="80"/>
  <c r="BU37" i="80"/>
  <c r="BU24" i="80"/>
  <c r="BV3" i="80"/>
  <c r="BQ24" i="78"/>
  <c r="AT3" i="79"/>
  <c r="CC24" i="79"/>
  <c r="AS50" i="81"/>
  <c r="AS37" i="81"/>
  <c r="AS24" i="81"/>
  <c r="AS11" i="81"/>
  <c r="AT3" i="81"/>
  <c r="BQ50" i="81"/>
  <c r="BQ24" i="81"/>
  <c r="BQ37" i="81"/>
  <c r="BQ11" i="81"/>
  <c r="BR3" i="81"/>
  <c r="BA50" i="80"/>
  <c r="BA24" i="80"/>
  <c r="BA11" i="80"/>
  <c r="BA37" i="80"/>
  <c r="BB3" i="80"/>
  <c r="I6" i="80"/>
  <c r="K6" i="80" s="1"/>
  <c r="I6" i="81"/>
  <c r="K6" i="81" s="1"/>
  <c r="E58" i="80"/>
  <c r="E56" i="80"/>
  <c r="E14" i="80"/>
  <c r="E36" i="80"/>
  <c r="E60" i="80"/>
  <c r="E39" i="80"/>
  <c r="E26" i="80"/>
  <c r="E15" i="80"/>
  <c r="E51" i="80"/>
  <c r="E44" i="80"/>
  <c r="E54" i="80"/>
  <c r="E29" i="80"/>
  <c r="E16" i="80"/>
  <c r="E22" i="80"/>
  <c r="E62" i="80"/>
  <c r="E24" i="80"/>
  <c r="E46" i="80"/>
  <c r="E27" i="80"/>
  <c r="E30" i="80"/>
  <c r="E20" i="80"/>
  <c r="E35" i="80"/>
  <c r="E18" i="80"/>
  <c r="E42" i="80"/>
  <c r="E55" i="80"/>
  <c r="E50" i="80"/>
  <c r="E41" i="80"/>
  <c r="E37" i="80"/>
  <c r="E61" i="80"/>
  <c r="E17" i="80"/>
  <c r="E21" i="80"/>
  <c r="E31" i="80"/>
  <c r="E53" i="80"/>
  <c r="E28" i="80"/>
  <c r="E40" i="80"/>
  <c r="E25" i="80"/>
  <c r="E23" i="80"/>
  <c r="E57" i="80"/>
  <c r="E43" i="80"/>
  <c r="G7" i="80"/>
  <c r="E48" i="80"/>
  <c r="E47" i="80"/>
  <c r="E45" i="80"/>
  <c r="E12" i="80"/>
  <c r="E11" i="80"/>
  <c r="E32" i="80"/>
  <c r="E38" i="80"/>
  <c r="E33" i="80"/>
  <c r="E59" i="80"/>
  <c r="E49" i="80"/>
  <c r="E34" i="80"/>
  <c r="E19" i="80"/>
  <c r="E13" i="80"/>
  <c r="E52" i="80"/>
  <c r="J7" i="80"/>
  <c r="K7" i="80" s="1"/>
  <c r="E41" i="81"/>
  <c r="E34" i="81"/>
  <c r="E16" i="81"/>
  <c r="E42" i="81"/>
  <c r="E29" i="81"/>
  <c r="E49" i="81"/>
  <c r="E54" i="81"/>
  <c r="E45" i="81"/>
  <c r="E59" i="81"/>
  <c r="E23" i="81"/>
  <c r="E55" i="81"/>
  <c r="E30" i="81"/>
  <c r="E25" i="81"/>
  <c r="E21" i="81"/>
  <c r="E36" i="81"/>
  <c r="E17" i="81"/>
  <c r="E61" i="81"/>
  <c r="E35" i="81"/>
  <c r="E43" i="81"/>
  <c r="E52" i="81"/>
  <c r="E40" i="81"/>
  <c r="E19" i="81"/>
  <c r="G7" i="81"/>
  <c r="N31" i="81" s="1"/>
  <c r="E14" i="81"/>
  <c r="E46" i="81"/>
  <c r="E24" i="81"/>
  <c r="E37" i="81"/>
  <c r="E38" i="81"/>
  <c r="E60" i="81"/>
  <c r="E20" i="81"/>
  <c r="E33" i="81"/>
  <c r="E27" i="81"/>
  <c r="E31" i="81"/>
  <c r="E51" i="81"/>
  <c r="E58" i="81"/>
  <c r="E28" i="81"/>
  <c r="E53" i="81"/>
  <c r="E18" i="81"/>
  <c r="E56" i="81"/>
  <c r="E62" i="81"/>
  <c r="E50" i="81"/>
  <c r="E15" i="81"/>
  <c r="E11" i="81"/>
  <c r="E44" i="81"/>
  <c r="E12" i="81"/>
  <c r="E48" i="81"/>
  <c r="E47" i="81"/>
  <c r="E26" i="81"/>
  <c r="E39" i="81"/>
  <c r="E32" i="81"/>
  <c r="E13" i="81"/>
  <c r="E57" i="81"/>
  <c r="E22" i="81"/>
  <c r="J7" i="81"/>
  <c r="K7" i="81" s="1"/>
  <c r="M51" i="79"/>
  <c r="I51" i="79" s="1"/>
  <c r="K51" i="79" s="1"/>
  <c r="K50" i="79" s="1"/>
  <c r="J50" i="79" s="1"/>
  <c r="N89" i="2"/>
  <c r="O89" i="2" s="1"/>
  <c r="N88" i="2"/>
  <c r="O88" i="2" s="1"/>
  <c r="BU37" i="75"/>
  <c r="BV3" i="75"/>
  <c r="AO24" i="68"/>
  <c r="AP3" i="68"/>
  <c r="AO37" i="68"/>
  <c r="AO11" i="68"/>
  <c r="J50" i="72"/>
  <c r="N50" i="72" s="1"/>
  <c r="N6" i="72"/>
  <c r="J6" i="72"/>
  <c r="K3" i="72" s="1"/>
  <c r="J7" i="72" s="1"/>
  <c r="K7" i="72" s="1"/>
  <c r="N59" i="75"/>
  <c r="N58" i="75"/>
  <c r="N60" i="75"/>
  <c r="N57" i="75"/>
  <c r="N62" i="75"/>
  <c r="N51" i="75"/>
  <c r="N54" i="75"/>
  <c r="N61" i="75"/>
  <c r="N55" i="75"/>
  <c r="N53" i="75"/>
  <c r="N52" i="75"/>
  <c r="N56" i="75"/>
  <c r="M52" i="78"/>
  <c r="M51" i="78"/>
  <c r="I51" i="78" s="1"/>
  <c r="K51" i="78" s="1"/>
  <c r="M53" i="78"/>
  <c r="I53" i="78" s="1"/>
  <c r="K53" i="78" s="1"/>
  <c r="I6" i="79"/>
  <c r="E58" i="79"/>
  <c r="E46" i="79"/>
  <c r="E40" i="79"/>
  <c r="E34" i="79"/>
  <c r="E14" i="79"/>
  <c r="G7" i="79"/>
  <c r="E53" i="79"/>
  <c r="E32" i="79"/>
  <c r="E41" i="79"/>
  <c r="E31" i="79"/>
  <c r="E47" i="79"/>
  <c r="E30" i="79"/>
  <c r="E23" i="79"/>
  <c r="E17" i="79"/>
  <c r="E61" i="79"/>
  <c r="E21" i="79"/>
  <c r="E29" i="79"/>
  <c r="E24" i="79"/>
  <c r="E38" i="79"/>
  <c r="E48" i="79"/>
  <c r="E62" i="79"/>
  <c r="E37" i="79"/>
  <c r="E39" i="79"/>
  <c r="E15" i="79"/>
  <c r="E59" i="79"/>
  <c r="E54" i="79"/>
  <c r="E11" i="79"/>
  <c r="E43" i="79"/>
  <c r="E49" i="79"/>
  <c r="E33" i="79"/>
  <c r="E18" i="79"/>
  <c r="E26" i="79"/>
  <c r="E52" i="79"/>
  <c r="E56" i="79"/>
  <c r="E25" i="79"/>
  <c r="E16" i="79"/>
  <c r="E12" i="79"/>
  <c r="E60" i="79"/>
  <c r="E28" i="79"/>
  <c r="E55" i="79"/>
  <c r="E36" i="79"/>
  <c r="E57" i="79"/>
  <c r="E22" i="79"/>
  <c r="E51" i="79"/>
  <c r="E27" i="79"/>
  <c r="E50" i="79"/>
  <c r="E13" i="79"/>
  <c r="E45" i="79"/>
  <c r="E19" i="79"/>
  <c r="E42" i="79"/>
  <c r="E44" i="79"/>
  <c r="E20" i="79"/>
  <c r="E35" i="79"/>
  <c r="E40" i="78"/>
  <c r="E56" i="78"/>
  <c r="E12" i="78"/>
  <c r="E59" i="78"/>
  <c r="E16" i="78"/>
  <c r="E31" i="78"/>
  <c r="E43" i="78"/>
  <c r="E37" i="78"/>
  <c r="E11" i="78"/>
  <c r="E49" i="78"/>
  <c r="E29" i="78"/>
  <c r="E18" i="78"/>
  <c r="E14" i="78"/>
  <c r="E34" i="78"/>
  <c r="E26" i="78"/>
  <c r="E48" i="78"/>
  <c r="E50" i="78"/>
  <c r="E47" i="78"/>
  <c r="E21" i="78"/>
  <c r="E42" i="78"/>
  <c r="E39" i="78"/>
  <c r="E24" i="78"/>
  <c r="E35" i="78"/>
  <c r="E54" i="78"/>
  <c r="E28" i="78"/>
  <c r="E20" i="78"/>
  <c r="E46" i="78"/>
  <c r="E58" i="78"/>
  <c r="E27" i="78"/>
  <c r="E61" i="78"/>
  <c r="E60" i="78"/>
  <c r="E33" i="78"/>
  <c r="E30" i="78"/>
  <c r="E15" i="78"/>
  <c r="E17" i="78"/>
  <c r="E52" i="78"/>
  <c r="E51" i="78"/>
  <c r="E44" i="78"/>
  <c r="E36" i="78"/>
  <c r="E38" i="78"/>
  <c r="E13" i="78"/>
  <c r="E55" i="78"/>
  <c r="E57" i="78"/>
  <c r="E22" i="78"/>
  <c r="E23" i="78"/>
  <c r="E53" i="78"/>
  <c r="E32" i="78"/>
  <c r="E25" i="78"/>
  <c r="G7" i="78"/>
  <c r="E41" i="78"/>
  <c r="E45" i="78"/>
  <c r="E19" i="78"/>
  <c r="E62" i="78"/>
  <c r="I6" i="78"/>
  <c r="BM11" i="75"/>
  <c r="BM37" i="75"/>
  <c r="BI37" i="76"/>
  <c r="BI11" i="76"/>
  <c r="BJ3" i="76"/>
  <c r="BB3" i="76"/>
  <c r="AO37" i="76"/>
  <c r="BI50" i="76"/>
  <c r="BN3" i="75"/>
  <c r="BA50" i="76"/>
  <c r="BE50" i="75"/>
  <c r="AT3" i="76"/>
  <c r="BF3" i="75"/>
  <c r="BE24" i="75"/>
  <c r="BA37" i="76"/>
  <c r="BA24" i="76"/>
  <c r="AS37" i="76"/>
  <c r="AP3" i="77"/>
  <c r="BA37" i="75"/>
  <c r="AO24" i="77"/>
  <c r="BA11" i="75"/>
  <c r="AO11" i="77"/>
  <c r="AO37" i="77"/>
  <c r="BZ3" i="77"/>
  <c r="BY50" i="77"/>
  <c r="BM24" i="75"/>
  <c r="BY24" i="77"/>
  <c r="BY11" i="77"/>
  <c r="BU11" i="75"/>
  <c r="AX3" i="65"/>
  <c r="BE37" i="75"/>
  <c r="AO24" i="75"/>
  <c r="AW50" i="65"/>
  <c r="AP3" i="76"/>
  <c r="AT3" i="75"/>
  <c r="AP3" i="65"/>
  <c r="AO50" i="76"/>
  <c r="AS50" i="76"/>
  <c r="CC24" i="76"/>
  <c r="AS11" i="76"/>
  <c r="AW11" i="65"/>
  <c r="AO24" i="76"/>
  <c r="CC50" i="76"/>
  <c r="BU24" i="75"/>
  <c r="CD3" i="75"/>
  <c r="CC50" i="75"/>
  <c r="CC24" i="75"/>
  <c r="BA50" i="75"/>
  <c r="CD3" i="76"/>
  <c r="AS11" i="75"/>
  <c r="AW11" i="76"/>
  <c r="AS37" i="75"/>
  <c r="CC37" i="76"/>
  <c r="AS24" i="75"/>
  <c r="BU50" i="76"/>
  <c r="BM50" i="76"/>
  <c r="BM24" i="76"/>
  <c r="BM11" i="76"/>
  <c r="CC11" i="75"/>
  <c r="AF3" i="76"/>
  <c r="AG24" i="76" s="1"/>
  <c r="AW50" i="73"/>
  <c r="AO11" i="65"/>
  <c r="AO37" i="65"/>
  <c r="AW37" i="65"/>
  <c r="BQ50" i="72"/>
  <c r="BA24" i="75"/>
  <c r="AW11" i="75"/>
  <c r="AO24" i="65"/>
  <c r="BQ24" i="72"/>
  <c r="AX3" i="76"/>
  <c r="AW24" i="75"/>
  <c r="BQ37" i="72"/>
  <c r="AW24" i="76"/>
  <c r="AW50" i="75"/>
  <c r="AW50" i="76"/>
  <c r="AK11" i="76"/>
  <c r="BU24" i="76"/>
  <c r="BU37" i="76"/>
  <c r="BN3" i="76"/>
  <c r="BU11" i="76"/>
  <c r="CC50" i="74"/>
  <c r="BQ11" i="72"/>
  <c r="AW11" i="73"/>
  <c r="BY37" i="75"/>
  <c r="AX3" i="75"/>
  <c r="BY37" i="76"/>
  <c r="AS24" i="77"/>
  <c r="AS37" i="77"/>
  <c r="AS50" i="77"/>
  <c r="AS11" i="77"/>
  <c r="AT3" i="77"/>
  <c r="CC37" i="74"/>
  <c r="AF3" i="75"/>
  <c r="AG37" i="75" s="1"/>
  <c r="BQ24" i="76"/>
  <c r="BE37" i="76"/>
  <c r="AF3" i="77"/>
  <c r="BM24" i="77"/>
  <c r="BM37" i="77"/>
  <c r="BM11" i="77"/>
  <c r="BM50" i="77"/>
  <c r="BN3" i="77"/>
  <c r="BQ11" i="76"/>
  <c r="AK24" i="76"/>
  <c r="BE50" i="76"/>
  <c r="BI37" i="77"/>
  <c r="BI24" i="77"/>
  <c r="BI50" i="77"/>
  <c r="BI11" i="77"/>
  <c r="BJ3" i="77"/>
  <c r="AW24" i="73"/>
  <c r="BR3" i="76"/>
  <c r="BF3" i="76"/>
  <c r="BE24" i="76"/>
  <c r="AK37" i="75"/>
  <c r="BQ24" i="75"/>
  <c r="AK37" i="76"/>
  <c r="I6" i="77"/>
  <c r="K6" i="77" s="1"/>
  <c r="BR3" i="65"/>
  <c r="AK24" i="75"/>
  <c r="BQ50" i="75"/>
  <c r="AK50" i="76"/>
  <c r="BE24" i="77"/>
  <c r="BE37" i="77"/>
  <c r="BE50" i="77"/>
  <c r="BE11" i="77"/>
  <c r="BF3" i="77"/>
  <c r="AL3" i="75"/>
  <c r="BR3" i="75"/>
  <c r="E58" i="77"/>
  <c r="E59" i="77"/>
  <c r="E43" i="77"/>
  <c r="E26" i="77"/>
  <c r="E54" i="77"/>
  <c r="E12" i="77"/>
  <c r="E48" i="77"/>
  <c r="E31" i="77"/>
  <c r="E16" i="77"/>
  <c r="E37" i="77"/>
  <c r="E57" i="77"/>
  <c r="E40" i="77"/>
  <c r="E11" i="77"/>
  <c r="E52" i="77"/>
  <c r="E35" i="77"/>
  <c r="E19" i="77"/>
  <c r="E61" i="77"/>
  <c r="E56" i="77"/>
  <c r="E46" i="77"/>
  <c r="E29" i="77"/>
  <c r="E34" i="77"/>
  <c r="E14" i="77"/>
  <c r="E23" i="77"/>
  <c r="E18" i="77"/>
  <c r="G7" i="77"/>
  <c r="E44" i="77"/>
  <c r="E38" i="77"/>
  <c r="E27" i="77"/>
  <c r="E28" i="77"/>
  <c r="E20" i="77"/>
  <c r="E55" i="77"/>
  <c r="E53" i="77"/>
  <c r="E42" i="77"/>
  <c r="E51" i="77"/>
  <c r="E36" i="77"/>
  <c r="E32" i="77"/>
  <c r="E41" i="77"/>
  <c r="E62" i="77"/>
  <c r="E24" i="77"/>
  <c r="E17" i="77"/>
  <c r="E15" i="77"/>
  <c r="E60" i="77"/>
  <c r="E22" i="77"/>
  <c r="E30" i="77"/>
  <c r="E45" i="77"/>
  <c r="E39" i="77"/>
  <c r="E49" i="77"/>
  <c r="E25" i="77"/>
  <c r="E21" i="77"/>
  <c r="E33" i="77"/>
  <c r="E47" i="77"/>
  <c r="E50" i="77"/>
  <c r="E13" i="77"/>
  <c r="J7" i="77"/>
  <c r="K7" i="77" s="1"/>
  <c r="BQ50" i="65"/>
  <c r="AK11" i="75"/>
  <c r="BQ11" i="75"/>
  <c r="BQ11" i="77"/>
  <c r="BQ37" i="77"/>
  <c r="BQ50" i="77"/>
  <c r="BQ24" i="77"/>
  <c r="BR3" i="77"/>
  <c r="AP3" i="75"/>
  <c r="BJ3" i="75"/>
  <c r="BU37" i="77"/>
  <c r="BU50" i="77"/>
  <c r="BU24" i="77"/>
  <c r="BU11" i="77"/>
  <c r="BV3" i="77"/>
  <c r="BQ37" i="65"/>
  <c r="BQ11" i="65"/>
  <c r="BZ3" i="75"/>
  <c r="AO50" i="75"/>
  <c r="BI11" i="75"/>
  <c r="BA37" i="77"/>
  <c r="BA11" i="77"/>
  <c r="BA24" i="77"/>
  <c r="BA50" i="77"/>
  <c r="BB3" i="77"/>
  <c r="CC11" i="74"/>
  <c r="AW37" i="73"/>
  <c r="BQ50" i="76"/>
  <c r="BY50" i="75"/>
  <c r="AO37" i="75"/>
  <c r="BI37" i="75"/>
  <c r="BZ3" i="76"/>
  <c r="AK11" i="77"/>
  <c r="AK24" i="77"/>
  <c r="AK50" i="77"/>
  <c r="AK37" i="77"/>
  <c r="AL3" i="77"/>
  <c r="BY50" i="76"/>
  <c r="CD3" i="74"/>
  <c r="BY24" i="75"/>
  <c r="BI50" i="75"/>
  <c r="BY24" i="76"/>
  <c r="CC37" i="77"/>
  <c r="CC50" i="77"/>
  <c r="CC24" i="77"/>
  <c r="CC11" i="77"/>
  <c r="CD3" i="77"/>
  <c r="AW37" i="77"/>
  <c r="AW11" i="77"/>
  <c r="AW50" i="77"/>
  <c r="AW24" i="77"/>
  <c r="AX3" i="77"/>
  <c r="E58" i="76"/>
  <c r="B6" i="76"/>
  <c r="E22" i="76"/>
  <c r="E61" i="76"/>
  <c r="M53" i="76"/>
  <c r="E40" i="76"/>
  <c r="M51" i="76"/>
  <c r="E60" i="76"/>
  <c r="E37" i="76"/>
  <c r="E33" i="76"/>
  <c r="E16" i="76"/>
  <c r="E57" i="76"/>
  <c r="E14" i="76"/>
  <c r="E26" i="76"/>
  <c r="E48" i="76"/>
  <c r="E47" i="76"/>
  <c r="E46" i="76"/>
  <c r="E23" i="76"/>
  <c r="E38" i="76"/>
  <c r="E18" i="76"/>
  <c r="E17" i="76"/>
  <c r="E56" i="76"/>
  <c r="E31" i="76"/>
  <c r="E12" i="76"/>
  <c r="E52" i="76"/>
  <c r="E19" i="76"/>
  <c r="E30" i="76"/>
  <c r="E25" i="76"/>
  <c r="E36" i="76"/>
  <c r="E32" i="76"/>
  <c r="E27" i="76"/>
  <c r="E50" i="76"/>
  <c r="E29" i="76"/>
  <c r="E11" i="76"/>
  <c r="E15" i="76"/>
  <c r="E21" i="76"/>
  <c r="E45" i="76"/>
  <c r="M52" i="76"/>
  <c r="E49" i="76"/>
  <c r="E54" i="76"/>
  <c r="E24" i="76"/>
  <c r="E59" i="76"/>
  <c r="E53" i="76"/>
  <c r="E39" i="76"/>
  <c r="E44" i="76"/>
  <c r="E55" i="76"/>
  <c r="E62" i="76"/>
  <c r="E13" i="76"/>
  <c r="E28" i="76"/>
  <c r="E34" i="76"/>
  <c r="E35" i="76"/>
  <c r="E41" i="76"/>
  <c r="E43" i="76"/>
  <c r="E42" i="76"/>
  <c r="E51" i="76"/>
  <c r="E20" i="76"/>
  <c r="I6" i="75"/>
  <c r="K6" i="75" s="1"/>
  <c r="E62" i="75"/>
  <c r="E55" i="75"/>
  <c r="E38" i="75"/>
  <c r="E54" i="75"/>
  <c r="E20" i="75"/>
  <c r="E33" i="75"/>
  <c r="E58" i="75"/>
  <c r="E47" i="75"/>
  <c r="E44" i="75"/>
  <c r="E37" i="75"/>
  <c r="E13" i="75"/>
  <c r="E12" i="75"/>
  <c r="E34" i="75"/>
  <c r="E21" i="75"/>
  <c r="E48" i="75"/>
  <c r="E40" i="75"/>
  <c r="E14" i="75"/>
  <c r="E52" i="75"/>
  <c r="E45" i="75"/>
  <c r="E39" i="75"/>
  <c r="E35" i="75"/>
  <c r="E29" i="75"/>
  <c r="E16" i="75"/>
  <c r="E43" i="75"/>
  <c r="E11" i="75"/>
  <c r="E15" i="75"/>
  <c r="E25" i="75"/>
  <c r="E36" i="75"/>
  <c r="E30" i="75"/>
  <c r="E27" i="75"/>
  <c r="E23" i="75"/>
  <c r="E57" i="75"/>
  <c r="E51" i="75"/>
  <c r="E56" i="75"/>
  <c r="E28" i="75"/>
  <c r="E17" i="75"/>
  <c r="E19" i="75"/>
  <c r="E61" i="75"/>
  <c r="E22" i="75"/>
  <c r="E59" i="75"/>
  <c r="E31" i="75"/>
  <c r="E60" i="75"/>
  <c r="E26" i="75"/>
  <c r="E49" i="75"/>
  <c r="E50" i="75"/>
  <c r="J7" i="75"/>
  <c r="K7" i="75" s="1"/>
  <c r="E41" i="75"/>
  <c r="E42" i="75"/>
  <c r="E18" i="75"/>
  <c r="E32" i="75"/>
  <c r="E53" i="75"/>
  <c r="E24" i="75"/>
  <c r="G7" i="75"/>
  <c r="E46" i="75"/>
  <c r="I6" i="71"/>
  <c r="K6" i="71" s="1"/>
  <c r="BA50" i="66"/>
  <c r="AS24" i="65"/>
  <c r="AS37" i="65"/>
  <c r="AS11" i="65"/>
  <c r="BB3" i="66"/>
  <c r="BA11" i="66"/>
  <c r="AS50" i="65"/>
  <c r="I6" i="72"/>
  <c r="BM37" i="65"/>
  <c r="BM24" i="69"/>
  <c r="BM11" i="69"/>
  <c r="BM37" i="69"/>
  <c r="BM50" i="69"/>
  <c r="BN3" i="69"/>
  <c r="BI50" i="70"/>
  <c r="BI24" i="70"/>
  <c r="BI11" i="70"/>
  <c r="BI37" i="70"/>
  <c r="BJ3" i="70"/>
  <c r="BQ24" i="74"/>
  <c r="BQ37" i="74"/>
  <c r="BQ11" i="74"/>
  <c r="BQ50" i="74"/>
  <c r="BR3" i="74"/>
  <c r="BM11" i="70"/>
  <c r="BM37" i="70"/>
  <c r="BM24" i="70"/>
  <c r="BM50" i="70"/>
  <c r="BN3" i="70"/>
  <c r="CD3" i="66"/>
  <c r="BE24" i="71"/>
  <c r="BE37" i="71"/>
  <c r="BE11" i="71"/>
  <c r="BE50" i="71"/>
  <c r="BF3" i="71"/>
  <c r="CC37" i="70"/>
  <c r="CC24" i="70"/>
  <c r="CC11" i="70"/>
  <c r="CC50" i="70"/>
  <c r="CD3" i="70"/>
  <c r="AW50" i="69"/>
  <c r="AW11" i="69"/>
  <c r="AW24" i="69"/>
  <c r="AW37" i="69"/>
  <c r="AX3" i="69"/>
  <c r="E37" i="72"/>
  <c r="E29" i="72"/>
  <c r="E42" i="72"/>
  <c r="E19" i="72"/>
  <c r="E26" i="72"/>
  <c r="E27" i="72"/>
  <c r="E46" i="72"/>
  <c r="E23" i="72"/>
  <c r="E56" i="72"/>
  <c r="E33" i="72"/>
  <c r="E55" i="72"/>
  <c r="E52" i="72"/>
  <c r="E34" i="72"/>
  <c r="E57" i="72"/>
  <c r="E15" i="72"/>
  <c r="E18" i="72"/>
  <c r="G7" i="72"/>
  <c r="M37" i="72" s="1"/>
  <c r="N37" i="72" s="1"/>
  <c r="E21" i="72"/>
  <c r="E54" i="72"/>
  <c r="E35" i="72"/>
  <c r="E53" i="72"/>
  <c r="E25" i="72"/>
  <c r="E24" i="72"/>
  <c r="E32" i="72"/>
  <c r="E20" i="72"/>
  <c r="E38" i="72"/>
  <c r="E51" i="72"/>
  <c r="E12" i="72"/>
  <c r="E31" i="72"/>
  <c r="E45" i="72"/>
  <c r="E14" i="72"/>
  <c r="E58" i="72"/>
  <c r="E22" i="72"/>
  <c r="E61" i="72"/>
  <c r="E11" i="72"/>
  <c r="E43" i="72"/>
  <c r="E62" i="72"/>
  <c r="E47" i="72"/>
  <c r="E36" i="72"/>
  <c r="E28" i="72"/>
  <c r="E39" i="72"/>
  <c r="E40" i="72"/>
  <c r="E59" i="72"/>
  <c r="E13" i="72"/>
  <c r="E30" i="72"/>
  <c r="E48" i="72"/>
  <c r="E16" i="72"/>
  <c r="E41" i="72"/>
  <c r="E60" i="72"/>
  <c r="E17" i="72"/>
  <c r="E49" i="72"/>
  <c r="E50" i="72"/>
  <c r="E44" i="72"/>
  <c r="AK11" i="73"/>
  <c r="AF3" i="73"/>
  <c r="AK24" i="73"/>
  <c r="AK50" i="73"/>
  <c r="AK37" i="73"/>
  <c r="AL3" i="73"/>
  <c r="CC50" i="66"/>
  <c r="BE11" i="72"/>
  <c r="BE24" i="72"/>
  <c r="BE37" i="72"/>
  <c r="BE50" i="72"/>
  <c r="BF3" i="72"/>
  <c r="BU24" i="74"/>
  <c r="BU50" i="74"/>
  <c r="BU11" i="74"/>
  <c r="BU37" i="74"/>
  <c r="BV3" i="74"/>
  <c r="BA11" i="68"/>
  <c r="BA37" i="68"/>
  <c r="BA24" i="68"/>
  <c r="BA50" i="68"/>
  <c r="BB3" i="68"/>
  <c r="BY50" i="69"/>
  <c r="BY37" i="69"/>
  <c r="BY24" i="69"/>
  <c r="BY11" i="69"/>
  <c r="BZ3" i="69"/>
  <c r="BI37" i="74"/>
  <c r="BI24" i="74"/>
  <c r="BI11" i="74"/>
  <c r="BI50" i="74"/>
  <c r="BJ3" i="74"/>
  <c r="I6" i="68"/>
  <c r="K6" i="68" s="1"/>
  <c r="AS50" i="71"/>
  <c r="AS37" i="71"/>
  <c r="AS24" i="71"/>
  <c r="AS11" i="71"/>
  <c r="AT3" i="71"/>
  <c r="CC50" i="68"/>
  <c r="CC37" i="68"/>
  <c r="CC24" i="68"/>
  <c r="CC11" i="68"/>
  <c r="CD3" i="68"/>
  <c r="AO11" i="69"/>
  <c r="AO50" i="69"/>
  <c r="AO37" i="69"/>
  <c r="AO24" i="69"/>
  <c r="AP3" i="69"/>
  <c r="BM50" i="73"/>
  <c r="BM24" i="73"/>
  <c r="BM11" i="73"/>
  <c r="BM37" i="73"/>
  <c r="BN3" i="73"/>
  <c r="BY24" i="71"/>
  <c r="BY50" i="71"/>
  <c r="BY11" i="71"/>
  <c r="BY37" i="71"/>
  <c r="BZ3" i="71"/>
  <c r="AW37" i="71"/>
  <c r="AW11" i="71"/>
  <c r="AW24" i="71"/>
  <c r="AW50" i="71"/>
  <c r="AX3" i="71"/>
  <c r="I6" i="69"/>
  <c r="K6" i="69" s="1"/>
  <c r="BQ24" i="69"/>
  <c r="BQ11" i="69"/>
  <c r="BQ37" i="69"/>
  <c r="BQ50" i="69"/>
  <c r="BR3" i="69"/>
  <c r="BU11" i="73"/>
  <c r="BU37" i="73"/>
  <c r="BU24" i="73"/>
  <c r="BU50" i="73"/>
  <c r="BV3" i="73"/>
  <c r="AW11" i="72"/>
  <c r="AW37" i="72"/>
  <c r="AW50" i="72"/>
  <c r="AW24" i="72"/>
  <c r="AX3" i="72"/>
  <c r="E45" i="74"/>
  <c r="E40" i="74"/>
  <c r="E24" i="74"/>
  <c r="E37" i="74"/>
  <c r="E58" i="74"/>
  <c r="E36" i="74"/>
  <c r="E31" i="74"/>
  <c r="E49" i="74"/>
  <c r="E29" i="74"/>
  <c r="E20" i="74"/>
  <c r="E28" i="74"/>
  <c r="G7" i="74"/>
  <c r="E41" i="74"/>
  <c r="E23" i="74"/>
  <c r="E60" i="74"/>
  <c r="E22" i="74"/>
  <c r="E12" i="74"/>
  <c r="E13" i="74"/>
  <c r="E32" i="74"/>
  <c r="E62" i="74"/>
  <c r="E18" i="74"/>
  <c r="E50" i="74"/>
  <c r="E21" i="74"/>
  <c r="E51" i="74"/>
  <c r="E42" i="74"/>
  <c r="E59" i="74"/>
  <c r="E33" i="74"/>
  <c r="E14" i="74"/>
  <c r="E15" i="74"/>
  <c r="E11" i="74"/>
  <c r="E44" i="74"/>
  <c r="E47" i="74"/>
  <c r="E54" i="74"/>
  <c r="E16" i="74"/>
  <c r="E35" i="74"/>
  <c r="E39" i="74"/>
  <c r="E27" i="74"/>
  <c r="E30" i="74"/>
  <c r="E25" i="74"/>
  <c r="E43" i="74"/>
  <c r="E19" i="74"/>
  <c r="E17" i="74"/>
  <c r="E34" i="74"/>
  <c r="E57" i="74"/>
  <c r="E55" i="74"/>
  <c r="E48" i="74"/>
  <c r="E26" i="74"/>
  <c r="E61" i="74"/>
  <c r="E52" i="74"/>
  <c r="E53" i="74"/>
  <c r="E56" i="74"/>
  <c r="E46" i="74"/>
  <c r="E38" i="74"/>
  <c r="J7" i="74"/>
  <c r="K7" i="74" s="1"/>
  <c r="BE37" i="69"/>
  <c r="BE50" i="69"/>
  <c r="BE24" i="69"/>
  <c r="BE11" i="69"/>
  <c r="BF3" i="69"/>
  <c r="BU24" i="69"/>
  <c r="BU11" i="69"/>
  <c r="BU50" i="69"/>
  <c r="BU37" i="69"/>
  <c r="BV3" i="69"/>
  <c r="AS11" i="69"/>
  <c r="AS50" i="69"/>
  <c r="AS24" i="69"/>
  <c r="AS37" i="69"/>
  <c r="AT3" i="69"/>
  <c r="CC37" i="66"/>
  <c r="BN3" i="65"/>
  <c r="BE11" i="68"/>
  <c r="BE37" i="68"/>
  <c r="BE24" i="68"/>
  <c r="BE50" i="68"/>
  <c r="BF3" i="68"/>
  <c r="BA37" i="74"/>
  <c r="BA11" i="74"/>
  <c r="BA24" i="74"/>
  <c r="BA50" i="74"/>
  <c r="BB3" i="74"/>
  <c r="BM24" i="72"/>
  <c r="BM50" i="72"/>
  <c r="BM37" i="72"/>
  <c r="BM11" i="72"/>
  <c r="BN3" i="72"/>
  <c r="AF3" i="72"/>
  <c r="BI50" i="72"/>
  <c r="BI37" i="72"/>
  <c r="BI11" i="72"/>
  <c r="BI24" i="72"/>
  <c r="BJ3" i="72"/>
  <c r="AO24" i="70"/>
  <c r="AO11" i="70"/>
  <c r="AO37" i="70"/>
  <c r="AO50" i="70"/>
  <c r="AP3" i="70"/>
  <c r="BA11" i="72"/>
  <c r="BA37" i="72"/>
  <c r="BA50" i="72"/>
  <c r="BA24" i="72"/>
  <c r="BB3" i="72"/>
  <c r="I6" i="73"/>
  <c r="K6" i="73" s="1"/>
  <c r="AS11" i="68"/>
  <c r="AT3" i="68"/>
  <c r="AS50" i="68"/>
  <c r="AS24" i="68"/>
  <c r="AS37" i="68"/>
  <c r="E51" i="70"/>
  <c r="E37" i="70"/>
  <c r="E56" i="70"/>
  <c r="E45" i="70"/>
  <c r="E34" i="70"/>
  <c r="E28" i="70"/>
  <c r="E23" i="70"/>
  <c r="E13" i="70"/>
  <c r="E18" i="70"/>
  <c r="E61" i="70"/>
  <c r="E44" i="70"/>
  <c r="E38" i="70"/>
  <c r="E27" i="70"/>
  <c r="E54" i="70"/>
  <c r="E48" i="70"/>
  <c r="E31" i="70"/>
  <c r="E21" i="70"/>
  <c r="E16" i="70"/>
  <c r="E40" i="70"/>
  <c r="E58" i="70"/>
  <c r="E36" i="70"/>
  <c r="E52" i="70"/>
  <c r="E46" i="70"/>
  <c r="E35" i="70"/>
  <c r="E29" i="70"/>
  <c r="E19" i="70"/>
  <c r="E41" i="70"/>
  <c r="G7" i="70"/>
  <c r="E49" i="70"/>
  <c r="E32" i="70"/>
  <c r="E43" i="70"/>
  <c r="E26" i="70"/>
  <c r="E12" i="70"/>
  <c r="E24" i="70"/>
  <c r="E17" i="70"/>
  <c r="E20" i="70"/>
  <c r="E25" i="70"/>
  <c r="E57" i="70"/>
  <c r="E14" i="70"/>
  <c r="E30" i="70"/>
  <c r="E55" i="70"/>
  <c r="E53" i="70"/>
  <c r="E15" i="70"/>
  <c r="E47" i="70"/>
  <c r="E33" i="70"/>
  <c r="E42" i="70"/>
  <c r="E59" i="70"/>
  <c r="E39" i="70"/>
  <c r="E50" i="70"/>
  <c r="E62" i="70"/>
  <c r="E60" i="70"/>
  <c r="E11" i="70"/>
  <c r="E22" i="70"/>
  <c r="J7" i="70"/>
  <c r="K7" i="70" s="1"/>
  <c r="BA50" i="70"/>
  <c r="BA24" i="70"/>
  <c r="BA37" i="70"/>
  <c r="BA11" i="70"/>
  <c r="BB3" i="70"/>
  <c r="CC11" i="72"/>
  <c r="CC37" i="72"/>
  <c r="CC50" i="72"/>
  <c r="CC24" i="72"/>
  <c r="CD3" i="72"/>
  <c r="BA24" i="66"/>
  <c r="CC11" i="66"/>
  <c r="BM11" i="65"/>
  <c r="BV3" i="71"/>
  <c r="BU37" i="71"/>
  <c r="BU11" i="71"/>
  <c r="BU24" i="71"/>
  <c r="BU50" i="71"/>
  <c r="BU50" i="72"/>
  <c r="BU37" i="72"/>
  <c r="BU11" i="72"/>
  <c r="BU24" i="72"/>
  <c r="BV3" i="72"/>
  <c r="AK50" i="72"/>
  <c r="AK24" i="72"/>
  <c r="AK37" i="72"/>
  <c r="AK11" i="72"/>
  <c r="AL3" i="72"/>
  <c r="BI50" i="73"/>
  <c r="BI37" i="73"/>
  <c r="BI11" i="73"/>
  <c r="BI24" i="73"/>
  <c r="BJ3" i="73"/>
  <c r="I6" i="70"/>
  <c r="K6" i="70" s="1"/>
  <c r="AO24" i="71"/>
  <c r="AO37" i="71"/>
  <c r="AO11" i="71"/>
  <c r="AO50" i="71"/>
  <c r="AP3" i="71"/>
  <c r="E58" i="68"/>
  <c r="E14" i="68"/>
  <c r="E46" i="68"/>
  <c r="E52" i="68"/>
  <c r="G7" i="68"/>
  <c r="E43" i="68"/>
  <c r="E47" i="68"/>
  <c r="E33" i="68"/>
  <c r="E18" i="68"/>
  <c r="E21" i="68"/>
  <c r="E17" i="68"/>
  <c r="E61" i="68"/>
  <c r="E29" i="68"/>
  <c r="E31" i="68"/>
  <c r="E49" i="68"/>
  <c r="E15" i="68"/>
  <c r="E40" i="68"/>
  <c r="E42" i="68"/>
  <c r="E24" i="68"/>
  <c r="E16" i="68"/>
  <c r="E25" i="68"/>
  <c r="E27" i="68"/>
  <c r="E26" i="68"/>
  <c r="E48" i="68"/>
  <c r="E54" i="68"/>
  <c r="E62" i="68"/>
  <c r="E13" i="68"/>
  <c r="E11" i="68"/>
  <c r="E44" i="68"/>
  <c r="E56" i="68"/>
  <c r="E50" i="68"/>
  <c r="E60" i="68"/>
  <c r="E23" i="68"/>
  <c r="E19" i="68"/>
  <c r="E41" i="68"/>
  <c r="E28" i="68"/>
  <c r="E12" i="68"/>
  <c r="E55" i="68"/>
  <c r="E53" i="68"/>
  <c r="E38" i="68"/>
  <c r="E57" i="68"/>
  <c r="E39" i="68"/>
  <c r="E36" i="68"/>
  <c r="E22" i="68"/>
  <c r="E37" i="68"/>
  <c r="E30" i="68"/>
  <c r="E51" i="68"/>
  <c r="E45" i="68"/>
  <c r="E59" i="68"/>
  <c r="E32" i="68"/>
  <c r="E34" i="68"/>
  <c r="E35" i="68"/>
  <c r="E20" i="68"/>
  <c r="J7" i="68"/>
  <c r="K7" i="68" s="1"/>
  <c r="BI11" i="68"/>
  <c r="BI50" i="68"/>
  <c r="BI24" i="68"/>
  <c r="BJ3" i="68"/>
  <c r="BI37" i="68"/>
  <c r="BM24" i="71"/>
  <c r="BM37" i="71"/>
  <c r="BM11" i="71"/>
  <c r="BM50" i="71"/>
  <c r="BN3" i="71"/>
  <c r="BA24" i="69"/>
  <c r="BA11" i="69"/>
  <c r="BB3" i="69"/>
  <c r="BA50" i="69"/>
  <c r="BA37" i="69"/>
  <c r="AS37" i="73"/>
  <c r="AS11" i="73"/>
  <c r="AS50" i="73"/>
  <c r="AS24" i="73"/>
  <c r="AT3" i="73"/>
  <c r="BM24" i="65"/>
  <c r="AW50" i="68"/>
  <c r="AW11" i="68"/>
  <c r="AX3" i="68"/>
  <c r="AW24" i="68"/>
  <c r="AW37" i="68"/>
  <c r="CC37" i="71"/>
  <c r="CC24" i="71"/>
  <c r="CC11" i="71"/>
  <c r="CC50" i="71"/>
  <c r="CD3" i="71"/>
  <c r="BI11" i="71"/>
  <c r="BI37" i="71"/>
  <c r="BI24" i="71"/>
  <c r="BI50" i="71"/>
  <c r="BJ3" i="71"/>
  <c r="CC37" i="73"/>
  <c r="CC11" i="73"/>
  <c r="CC50" i="73"/>
  <c r="CC24" i="73"/>
  <c r="CD3" i="73"/>
  <c r="AO11" i="73"/>
  <c r="AO37" i="73"/>
  <c r="AO50" i="73"/>
  <c r="AO24" i="73"/>
  <c r="AP3" i="73"/>
  <c r="BY24" i="74"/>
  <c r="BY37" i="74"/>
  <c r="BY11" i="74"/>
  <c r="BY50" i="74"/>
  <c r="BZ3" i="74"/>
  <c r="BM11" i="68"/>
  <c r="BM37" i="68"/>
  <c r="BN3" i="68"/>
  <c r="BM50" i="68"/>
  <c r="BM24" i="68"/>
  <c r="AW37" i="74"/>
  <c r="AW24" i="74"/>
  <c r="AW11" i="74"/>
  <c r="AW50" i="74"/>
  <c r="AX3" i="74"/>
  <c r="BU37" i="68"/>
  <c r="BU11" i="68"/>
  <c r="BU50" i="68"/>
  <c r="BU24" i="68"/>
  <c r="BV3" i="68"/>
  <c r="BA37" i="71"/>
  <c r="BA24" i="71"/>
  <c r="BA50" i="71"/>
  <c r="BA11" i="71"/>
  <c r="BB3" i="71"/>
  <c r="E26" i="69"/>
  <c r="E54" i="69"/>
  <c r="E12" i="69"/>
  <c r="E43" i="69"/>
  <c r="E23" i="69"/>
  <c r="E30" i="69"/>
  <c r="E40" i="69"/>
  <c r="E20" i="69"/>
  <c r="E37" i="69"/>
  <c r="E18" i="69"/>
  <c r="E33" i="69"/>
  <c r="E19" i="69"/>
  <c r="E48" i="69"/>
  <c r="E15" i="69"/>
  <c r="E38" i="69"/>
  <c r="E44" i="69"/>
  <c r="E59" i="69"/>
  <c r="E53" i="69"/>
  <c r="E16" i="69"/>
  <c r="E25" i="69"/>
  <c r="E51" i="69"/>
  <c r="E39" i="69"/>
  <c r="E28" i="69"/>
  <c r="E61" i="69"/>
  <c r="E47" i="69"/>
  <c r="E22" i="69"/>
  <c r="E52" i="69"/>
  <c r="E24" i="69"/>
  <c r="E41" i="69"/>
  <c r="E31" i="69"/>
  <c r="E58" i="69"/>
  <c r="E62" i="69"/>
  <c r="E32" i="69"/>
  <c r="E57" i="69"/>
  <c r="E36" i="69"/>
  <c r="E11" i="69"/>
  <c r="E17" i="69"/>
  <c r="E45" i="69"/>
  <c r="E55" i="69"/>
  <c r="E14" i="69"/>
  <c r="E29" i="69"/>
  <c r="E13" i="69"/>
  <c r="E56" i="69"/>
  <c r="E27" i="69"/>
  <c r="E49" i="69"/>
  <c r="E60" i="69"/>
  <c r="E46" i="69"/>
  <c r="E21" i="69"/>
  <c r="E50" i="69"/>
  <c r="E34" i="69"/>
  <c r="E42" i="69"/>
  <c r="G7" i="69"/>
  <c r="E35" i="69"/>
  <c r="J7" i="69"/>
  <c r="K7" i="69" s="1"/>
  <c r="BQ24" i="70"/>
  <c r="BQ37" i="70"/>
  <c r="BQ11" i="70"/>
  <c r="BQ50" i="70"/>
  <c r="BR3" i="70"/>
  <c r="BY37" i="73"/>
  <c r="BY11" i="73"/>
  <c r="BY24" i="73"/>
  <c r="BY50" i="73"/>
  <c r="BZ3" i="73"/>
  <c r="BE37" i="70"/>
  <c r="BE11" i="70"/>
  <c r="BE24" i="70"/>
  <c r="BE50" i="70"/>
  <c r="BF3" i="70"/>
  <c r="BQ11" i="71"/>
  <c r="BQ37" i="71"/>
  <c r="BQ50" i="71"/>
  <c r="BQ24" i="71"/>
  <c r="BR3" i="71"/>
  <c r="AW50" i="70"/>
  <c r="AW24" i="70"/>
  <c r="AW37" i="70"/>
  <c r="AW11" i="70"/>
  <c r="AX3" i="70"/>
  <c r="BQ50" i="68"/>
  <c r="BQ11" i="68"/>
  <c r="BR3" i="68"/>
  <c r="BQ24" i="68"/>
  <c r="BQ37" i="68"/>
  <c r="BY37" i="68"/>
  <c r="BY50" i="68"/>
  <c r="BY24" i="68"/>
  <c r="BZ3" i="68"/>
  <c r="BY11" i="68"/>
  <c r="AS37" i="72"/>
  <c r="AS11" i="72"/>
  <c r="AS24" i="72"/>
  <c r="AS50" i="72"/>
  <c r="AT3" i="72"/>
  <c r="AO24" i="72"/>
  <c r="AO50" i="72"/>
  <c r="AO11" i="72"/>
  <c r="AO37" i="72"/>
  <c r="AP3" i="72"/>
  <c r="BI50" i="69"/>
  <c r="BI37" i="69"/>
  <c r="BI11" i="69"/>
  <c r="BI24" i="69"/>
  <c r="BJ3" i="69"/>
  <c r="AS11" i="70"/>
  <c r="AS50" i="70"/>
  <c r="AS24" i="70"/>
  <c r="AS37" i="70"/>
  <c r="AT3" i="70"/>
  <c r="BY11" i="72"/>
  <c r="BY37" i="72"/>
  <c r="BY24" i="72"/>
  <c r="BZ3" i="72"/>
  <c r="BY50" i="72"/>
  <c r="BE24" i="73"/>
  <c r="BE50" i="73"/>
  <c r="BE11" i="73"/>
  <c r="BE37" i="73"/>
  <c r="BF3" i="73"/>
  <c r="AF3" i="70"/>
  <c r="AK11" i="70"/>
  <c r="AK24" i="70"/>
  <c r="AK37" i="70"/>
  <c r="AK50" i="70"/>
  <c r="AL3" i="70"/>
  <c r="I6" i="74"/>
  <c r="K6" i="74" s="1"/>
  <c r="AK50" i="69"/>
  <c r="AF3" i="69"/>
  <c r="AK37" i="69"/>
  <c r="AK24" i="69"/>
  <c r="AK11" i="69"/>
  <c r="AL3" i="69"/>
  <c r="BM50" i="74"/>
  <c r="BM24" i="74"/>
  <c r="BM37" i="74"/>
  <c r="BM11" i="74"/>
  <c r="BN3" i="74"/>
  <c r="AF3" i="68"/>
  <c r="AK11" i="68"/>
  <c r="AK50" i="68"/>
  <c r="AK37" i="68"/>
  <c r="AK24" i="68"/>
  <c r="AL3" i="68"/>
  <c r="E48" i="73"/>
  <c r="G7" i="73"/>
  <c r="E34" i="73"/>
  <c r="E26" i="73"/>
  <c r="E40" i="73"/>
  <c r="E31" i="73"/>
  <c r="E18" i="73"/>
  <c r="E43" i="73"/>
  <c r="E15" i="73"/>
  <c r="E29" i="73"/>
  <c r="E59" i="73"/>
  <c r="E62" i="73"/>
  <c r="E57" i="73"/>
  <c r="E53" i="73"/>
  <c r="E23" i="73"/>
  <c r="E14" i="73"/>
  <c r="E56" i="73"/>
  <c r="E25" i="73"/>
  <c r="E55" i="73"/>
  <c r="E58" i="73"/>
  <c r="E24" i="73"/>
  <c r="E44" i="73"/>
  <c r="E54" i="73"/>
  <c r="E35" i="73"/>
  <c r="E51" i="73"/>
  <c r="E27" i="73"/>
  <c r="E22" i="73"/>
  <c r="E19" i="73"/>
  <c r="E20" i="73"/>
  <c r="E45" i="73"/>
  <c r="E47" i="73"/>
  <c r="E12" i="73"/>
  <c r="E28" i="73"/>
  <c r="E30" i="73"/>
  <c r="E61" i="73"/>
  <c r="E36" i="73"/>
  <c r="E39" i="73"/>
  <c r="E11" i="73"/>
  <c r="E13" i="73"/>
  <c r="E17" i="73"/>
  <c r="E16" i="73"/>
  <c r="E60" i="73"/>
  <c r="E52" i="73"/>
  <c r="E49" i="73"/>
  <c r="E50" i="73"/>
  <c r="E46" i="73"/>
  <c r="E41" i="73"/>
  <c r="E42" i="73"/>
  <c r="E38" i="73"/>
  <c r="E32" i="73"/>
  <c r="E33" i="73"/>
  <c r="E21" i="73"/>
  <c r="E37" i="73"/>
  <c r="J7" i="73"/>
  <c r="K7" i="73" s="1"/>
  <c r="AO37" i="74"/>
  <c r="AO50" i="74"/>
  <c r="AO11" i="74"/>
  <c r="AO24" i="74"/>
  <c r="AP3" i="74"/>
  <c r="BE24" i="74"/>
  <c r="BE50" i="74"/>
  <c r="BE37" i="74"/>
  <c r="BE11" i="74"/>
  <c r="BF3" i="74"/>
  <c r="BY37" i="70"/>
  <c r="BY11" i="70"/>
  <c r="BY24" i="70"/>
  <c r="BY50" i="70"/>
  <c r="BZ3" i="70"/>
  <c r="AF3" i="71"/>
  <c r="AK11" i="71"/>
  <c r="AK50" i="71"/>
  <c r="AK24" i="71"/>
  <c r="AK37" i="71"/>
  <c r="AL3" i="71"/>
  <c r="AS24" i="74"/>
  <c r="AS37" i="74"/>
  <c r="AS50" i="74"/>
  <c r="AS11" i="74"/>
  <c r="AT3" i="74"/>
  <c r="BA24" i="73"/>
  <c r="BA50" i="73"/>
  <c r="BA37" i="73"/>
  <c r="BA11" i="73"/>
  <c r="BB3" i="73"/>
  <c r="AK24" i="74"/>
  <c r="AF3" i="74"/>
  <c r="AK50" i="74"/>
  <c r="AK37" i="74"/>
  <c r="AK11" i="74"/>
  <c r="AL3" i="74"/>
  <c r="CC11" i="69"/>
  <c r="CC37" i="69"/>
  <c r="CC50" i="69"/>
  <c r="CC24" i="69"/>
  <c r="CD3" i="69"/>
  <c r="BU37" i="70"/>
  <c r="BU11" i="70"/>
  <c r="BU50" i="70"/>
  <c r="BU24" i="70"/>
  <c r="BV3" i="70"/>
  <c r="E58" i="71"/>
  <c r="E61" i="71"/>
  <c r="E54" i="71"/>
  <c r="E11" i="71"/>
  <c r="E52" i="71"/>
  <c r="E47" i="71"/>
  <c r="E41" i="71"/>
  <c r="E26" i="71"/>
  <c r="E55" i="71"/>
  <c r="E17" i="71"/>
  <c r="E46" i="71"/>
  <c r="E40" i="71"/>
  <c r="E49" i="71"/>
  <c r="E34" i="71"/>
  <c r="E29" i="71"/>
  <c r="E19" i="71"/>
  <c r="E37" i="71"/>
  <c r="E31" i="71"/>
  <c r="E21" i="71"/>
  <c r="E12" i="71"/>
  <c r="E35" i="71"/>
  <c r="E30" i="71"/>
  <c r="E44" i="71"/>
  <c r="E39" i="71"/>
  <c r="E62" i="71"/>
  <c r="E43" i="71"/>
  <c r="E38" i="71"/>
  <c r="E48" i="71"/>
  <c r="E23" i="71"/>
  <c r="E14" i="71"/>
  <c r="G7" i="71"/>
  <c r="E57" i="71"/>
  <c r="E27" i="71"/>
  <c r="E18" i="71"/>
  <c r="E56" i="71"/>
  <c r="E32" i="71"/>
  <c r="E59" i="71"/>
  <c r="E16" i="71"/>
  <c r="E25" i="71"/>
  <c r="E51" i="71"/>
  <c r="E33" i="71"/>
  <c r="E13" i="71"/>
  <c r="E53" i="71"/>
  <c r="E28" i="71"/>
  <c r="E45" i="71"/>
  <c r="E15" i="71"/>
  <c r="E36" i="71"/>
  <c r="E42" i="71"/>
  <c r="E50" i="71"/>
  <c r="E20" i="71"/>
  <c r="E60" i="71"/>
  <c r="E22" i="71"/>
  <c r="E24" i="71"/>
  <c r="J7" i="71"/>
  <c r="K7" i="71" s="1"/>
  <c r="AS11" i="67"/>
  <c r="AS50" i="67"/>
  <c r="AS24" i="67"/>
  <c r="AS37" i="67"/>
  <c r="AT3" i="67"/>
  <c r="CC50" i="67"/>
  <c r="CC11" i="67"/>
  <c r="CC24" i="67"/>
  <c r="CC37" i="67"/>
  <c r="CD3" i="67"/>
  <c r="AO50" i="67"/>
  <c r="AO24" i="67"/>
  <c r="AO11" i="67"/>
  <c r="AO37" i="67"/>
  <c r="AP3" i="67"/>
  <c r="AW24" i="67"/>
  <c r="AW11" i="67"/>
  <c r="AW50" i="67"/>
  <c r="AW37" i="67"/>
  <c r="AX3" i="67"/>
  <c r="BE50" i="67"/>
  <c r="BE11" i="67"/>
  <c r="BE37" i="67"/>
  <c r="BE24" i="67"/>
  <c r="BF3" i="67"/>
  <c r="AF3" i="67"/>
  <c r="AK24" i="67"/>
  <c r="AK37" i="67"/>
  <c r="AK11" i="67"/>
  <c r="AK50" i="67"/>
  <c r="AL3" i="67"/>
  <c r="BA24" i="67"/>
  <c r="BA11" i="67"/>
  <c r="BA37" i="67"/>
  <c r="BA50" i="67"/>
  <c r="BB3" i="67"/>
  <c r="BI11" i="67"/>
  <c r="BI37" i="67"/>
  <c r="BI50" i="67"/>
  <c r="BI24" i="67"/>
  <c r="BJ3" i="67"/>
  <c r="BY50" i="67"/>
  <c r="BY24" i="67"/>
  <c r="BY11" i="67"/>
  <c r="BY37" i="67"/>
  <c r="BZ3" i="67"/>
  <c r="BM50" i="67"/>
  <c r="BM37" i="67"/>
  <c r="BM24" i="67"/>
  <c r="BM11" i="67"/>
  <c r="BN3" i="67"/>
  <c r="BQ37" i="67"/>
  <c r="BQ24" i="67"/>
  <c r="BQ11" i="67"/>
  <c r="BQ50" i="67"/>
  <c r="BR3" i="67"/>
  <c r="BU50" i="67"/>
  <c r="BU24" i="67"/>
  <c r="BU37" i="67"/>
  <c r="BU11" i="67"/>
  <c r="BV3" i="67"/>
  <c r="I6" i="67"/>
  <c r="K6" i="67" s="1"/>
  <c r="E56" i="67"/>
  <c r="E48" i="67"/>
  <c r="E40" i="67"/>
  <c r="E31" i="67"/>
  <c r="G7" i="67"/>
  <c r="E60" i="67"/>
  <c r="E50" i="67"/>
  <c r="E42" i="67"/>
  <c r="E33" i="67"/>
  <c r="E15" i="67"/>
  <c r="E53" i="67"/>
  <c r="E25" i="67"/>
  <c r="E24" i="67"/>
  <c r="E20" i="67"/>
  <c r="E58" i="67"/>
  <c r="E45" i="67"/>
  <c r="E36" i="67"/>
  <c r="E28" i="67"/>
  <c r="E13" i="67"/>
  <c r="E51" i="67"/>
  <c r="E22" i="67"/>
  <c r="E52" i="67"/>
  <c r="E46" i="67"/>
  <c r="E41" i="67"/>
  <c r="E19" i="67"/>
  <c r="E32" i="67"/>
  <c r="E12" i="67"/>
  <c r="E27" i="67"/>
  <c r="E38" i="67"/>
  <c r="E23" i="67"/>
  <c r="E34" i="67"/>
  <c r="E49" i="67"/>
  <c r="E37" i="67"/>
  <c r="E39" i="67"/>
  <c r="E35" i="67"/>
  <c r="E47" i="67"/>
  <c r="E43" i="67"/>
  <c r="E61" i="67"/>
  <c r="E11" i="67"/>
  <c r="E26" i="67"/>
  <c r="J7" i="67"/>
  <c r="K7" i="67" s="1"/>
  <c r="E29" i="67"/>
  <c r="E16" i="67"/>
  <c r="E62" i="67"/>
  <c r="E55" i="67"/>
  <c r="E57" i="67"/>
  <c r="E54" i="67"/>
  <c r="E17" i="67"/>
  <c r="E59" i="67"/>
  <c r="E44" i="67"/>
  <c r="E21" i="67"/>
  <c r="E18" i="67"/>
  <c r="E14" i="67"/>
  <c r="E30" i="67"/>
  <c r="BY11" i="66"/>
  <c r="BY37" i="66"/>
  <c r="BY24" i="66"/>
  <c r="BY50" i="66"/>
  <c r="BZ3" i="66"/>
  <c r="BQ24" i="66"/>
  <c r="BQ50" i="66"/>
  <c r="BQ37" i="66"/>
  <c r="BQ11" i="66"/>
  <c r="BR3" i="66"/>
  <c r="BE11" i="65"/>
  <c r="BE37" i="65"/>
  <c r="BE24" i="65"/>
  <c r="BE50" i="65"/>
  <c r="BF3" i="65"/>
  <c r="BA11" i="65"/>
  <c r="BA24" i="65"/>
  <c r="BA37" i="65"/>
  <c r="BA50" i="65"/>
  <c r="BB3" i="65"/>
  <c r="BM24" i="66"/>
  <c r="BM50" i="66"/>
  <c r="BM37" i="66"/>
  <c r="BM11" i="66"/>
  <c r="BN3" i="66"/>
  <c r="BI37" i="66"/>
  <c r="BI50" i="66"/>
  <c r="BI11" i="66"/>
  <c r="BI24" i="66"/>
  <c r="BJ3" i="66"/>
  <c r="BU50" i="66"/>
  <c r="BU24" i="66"/>
  <c r="BU37" i="66"/>
  <c r="BU11" i="66"/>
  <c r="BV3" i="66"/>
  <c r="BI37" i="65"/>
  <c r="BI50" i="65"/>
  <c r="BI24" i="65"/>
  <c r="BI11" i="65"/>
  <c r="BJ3" i="65"/>
  <c r="AK50" i="66"/>
  <c r="AK24" i="66"/>
  <c r="AK37" i="66"/>
  <c r="AK11" i="66"/>
  <c r="AL3" i="66"/>
  <c r="CC24" i="65"/>
  <c r="CC37" i="65"/>
  <c r="CC11" i="65"/>
  <c r="CC50" i="65"/>
  <c r="CD3" i="65"/>
  <c r="AK24" i="65"/>
  <c r="AK50" i="65"/>
  <c r="AK11" i="65"/>
  <c r="AK37" i="65"/>
  <c r="AL3" i="65"/>
  <c r="BY50" i="65"/>
  <c r="BY37" i="65"/>
  <c r="BY24" i="65"/>
  <c r="BY11" i="65"/>
  <c r="BZ3" i="65"/>
  <c r="BE24" i="66"/>
  <c r="BE11" i="66"/>
  <c r="BE37" i="66"/>
  <c r="BE50" i="66"/>
  <c r="BF3" i="66"/>
  <c r="AF3" i="65"/>
  <c r="BU24" i="65"/>
  <c r="BU50" i="65"/>
  <c r="BU11" i="65"/>
  <c r="BU37" i="65"/>
  <c r="BV3" i="65"/>
  <c r="AF3" i="66"/>
  <c r="AS11" i="66"/>
  <c r="AS24" i="66"/>
  <c r="AS50" i="66"/>
  <c r="AS37" i="66"/>
  <c r="AT3" i="66"/>
  <c r="AO24" i="66"/>
  <c r="AO50" i="66"/>
  <c r="AO11" i="66"/>
  <c r="AP3" i="66"/>
  <c r="AO37" i="66"/>
  <c r="AW11" i="66"/>
  <c r="AW37" i="66"/>
  <c r="AW24" i="66"/>
  <c r="AW50" i="66"/>
  <c r="AX3" i="66"/>
  <c r="D52" i="66"/>
  <c r="D33" i="66"/>
  <c r="D21" i="66"/>
  <c r="O20" i="66"/>
  <c r="D16" i="66"/>
  <c r="I56" i="66"/>
  <c r="K56" i="66" s="1"/>
  <c r="D32" i="66"/>
  <c r="D60" i="66"/>
  <c r="I62" i="66"/>
  <c r="K62" i="66" s="1"/>
  <c r="D57" i="66"/>
  <c r="I51" i="66"/>
  <c r="K51" i="66" s="1"/>
  <c r="D46" i="66"/>
  <c r="O15" i="66"/>
  <c r="D39" i="66"/>
  <c r="D61" i="66"/>
  <c r="D62" i="66"/>
  <c r="D51" i="66"/>
  <c r="D25" i="66"/>
  <c r="D20" i="66"/>
  <c r="D11" i="66"/>
  <c r="I61" i="66"/>
  <c r="K61" i="66" s="1"/>
  <c r="D56" i="66"/>
  <c r="D38" i="66"/>
  <c r="D31" i="66"/>
  <c r="O19" i="66"/>
  <c r="I55" i="66"/>
  <c r="K55" i="66" s="1"/>
  <c r="D45" i="66"/>
  <c r="D15" i="66"/>
  <c r="O14" i="66"/>
  <c r="D44" i="66"/>
  <c r="D30" i="66"/>
  <c r="I60" i="66"/>
  <c r="K60" i="66" s="1"/>
  <c r="D55" i="66"/>
  <c r="D37" i="66"/>
  <c r="D24" i="66"/>
  <c r="O23" i="66"/>
  <c r="D19" i="66"/>
  <c r="O18" i="66"/>
  <c r="D36" i="66"/>
  <c r="D29" i="66"/>
  <c r="I59" i="66"/>
  <c r="K59" i="66" s="1"/>
  <c r="D54" i="66"/>
  <c r="D49" i="66"/>
  <c r="D35" i="66"/>
  <c r="D23" i="66"/>
  <c r="D18" i="66"/>
  <c r="O17" i="66"/>
  <c r="I53" i="66"/>
  <c r="K53" i="66" s="1"/>
  <c r="D42" i="66"/>
  <c r="D28" i="66"/>
  <c r="O22" i="66"/>
  <c r="D13" i="66"/>
  <c r="O12" i="66"/>
  <c r="D59" i="66"/>
  <c r="D34" i="66"/>
  <c r="D27" i="66"/>
  <c r="I58" i="66"/>
  <c r="K58" i="66" s="1"/>
  <c r="D48" i="66"/>
  <c r="D41" i="66"/>
  <c r="O21" i="66"/>
  <c r="D17" i="66"/>
  <c r="O16" i="66"/>
  <c r="I52" i="66"/>
  <c r="K52" i="66" s="1"/>
  <c r="D26" i="66"/>
  <c r="D22" i="66"/>
  <c r="D12" i="66"/>
  <c r="D58" i="66"/>
  <c r="I57" i="66"/>
  <c r="K57" i="66" s="1"/>
  <c r="D47" i="66"/>
  <c r="D40" i="66"/>
  <c r="D53" i="66"/>
  <c r="I54" i="66"/>
  <c r="K54" i="66" s="1"/>
  <c r="D50" i="66"/>
  <c r="D43" i="66"/>
  <c r="D14" i="66"/>
  <c r="O13" i="66"/>
  <c r="J24" i="66"/>
  <c r="J11" i="66"/>
  <c r="J37" i="66"/>
  <c r="E41" i="65"/>
  <c r="E19" i="65"/>
  <c r="E54" i="65"/>
  <c r="E16" i="65"/>
  <c r="E37" i="65"/>
  <c r="E44" i="65"/>
  <c r="E27" i="65"/>
  <c r="E25" i="65"/>
  <c r="E20" i="65"/>
  <c r="E58" i="65"/>
  <c r="E47" i="65"/>
  <c r="E49" i="65"/>
  <c r="E62" i="65"/>
  <c r="E12" i="65"/>
  <c r="E59" i="65"/>
  <c r="E43" i="65"/>
  <c r="E29" i="65"/>
  <c r="E56" i="65"/>
  <c r="E33" i="65"/>
  <c r="E53" i="65"/>
  <c r="E32" i="65"/>
  <c r="E24" i="65"/>
  <c r="E52" i="65"/>
  <c r="E14" i="65"/>
  <c r="E30" i="65"/>
  <c r="E61" i="65"/>
  <c r="E40" i="65"/>
  <c r="G7" i="65"/>
  <c r="E51" i="65"/>
  <c r="E26" i="65"/>
  <c r="E60" i="65"/>
  <c r="E23" i="65"/>
  <c r="E45" i="65"/>
  <c r="E39" i="65"/>
  <c r="E11" i="65"/>
  <c r="E48" i="65"/>
  <c r="E36" i="65"/>
  <c r="E35" i="65"/>
  <c r="E50" i="65"/>
  <c r="E15" i="65"/>
  <c r="E28" i="65"/>
  <c r="E17" i="65"/>
  <c r="E38" i="65"/>
  <c r="E21" i="65"/>
  <c r="E13" i="65"/>
  <c r="E55" i="65"/>
  <c r="E22" i="65"/>
  <c r="E18" i="65"/>
  <c r="E34" i="65"/>
  <c r="E31" i="65"/>
  <c r="E42" i="65"/>
  <c r="E46" i="65"/>
  <c r="E57" i="65"/>
  <c r="J7" i="65"/>
  <c r="K7" i="65" s="1"/>
  <c r="I6" i="65"/>
  <c r="K6" i="65" s="1"/>
  <c r="E58" i="66"/>
  <c r="E45" i="66"/>
  <c r="E36" i="66"/>
  <c r="E28" i="66"/>
  <c r="E13" i="66"/>
  <c r="E62" i="66"/>
  <c r="E30" i="66"/>
  <c r="E55" i="66"/>
  <c r="E44" i="66"/>
  <c r="E35" i="66"/>
  <c r="E27" i="66"/>
  <c r="E19" i="66"/>
  <c r="E51" i="66"/>
  <c r="E22" i="66"/>
  <c r="E60" i="66"/>
  <c r="E50" i="66"/>
  <c r="E42" i="66"/>
  <c r="E33" i="66"/>
  <c r="E15" i="66"/>
  <c r="E47" i="66"/>
  <c r="E39" i="66"/>
  <c r="E17" i="66"/>
  <c r="E53" i="66"/>
  <c r="E25" i="66"/>
  <c r="E24" i="66"/>
  <c r="E38" i="66"/>
  <c r="E16" i="66"/>
  <c r="E40" i="66"/>
  <c r="E59" i="66"/>
  <c r="E56" i="66"/>
  <c r="E49" i="66"/>
  <c r="E21" i="66"/>
  <c r="E18" i="66"/>
  <c r="E43" i="66"/>
  <c r="E14" i="66"/>
  <c r="E31" i="66"/>
  <c r="E41" i="66"/>
  <c r="E37" i="66"/>
  <c r="E29" i="66"/>
  <c r="E34" i="66"/>
  <c r="G7" i="66"/>
  <c r="E12" i="66"/>
  <c r="E61" i="66"/>
  <c r="E48" i="66"/>
  <c r="E11" i="66"/>
  <c r="E52" i="66"/>
  <c r="E32" i="66"/>
  <c r="E57" i="66"/>
  <c r="E54" i="66"/>
  <c r="E26" i="66"/>
  <c r="E23" i="66"/>
  <c r="E20" i="66"/>
  <c r="E46" i="66"/>
  <c r="I6" i="66"/>
  <c r="I6" i="64"/>
  <c r="K6" i="64" s="1"/>
  <c r="E26" i="64"/>
  <c r="E35" i="64"/>
  <c r="E22" i="64"/>
  <c r="E45" i="64"/>
  <c r="E60" i="64"/>
  <c r="E52" i="64"/>
  <c r="E30" i="64"/>
  <c r="E13" i="64"/>
  <c r="E28" i="64"/>
  <c r="E44" i="64"/>
  <c r="E24" i="64"/>
  <c r="E11" i="64"/>
  <c r="E25" i="64"/>
  <c r="E37" i="64"/>
  <c r="E56" i="64"/>
  <c r="E36" i="64"/>
  <c r="E32" i="64"/>
  <c r="E15" i="64"/>
  <c r="E49" i="64"/>
  <c r="E61" i="64"/>
  <c r="E18" i="64"/>
  <c r="E58" i="64"/>
  <c r="E43" i="64"/>
  <c r="E47" i="64"/>
  <c r="E20" i="64"/>
  <c r="E53" i="64"/>
  <c r="E27" i="64"/>
  <c r="E23" i="64"/>
  <c r="E54" i="64"/>
  <c r="E40" i="64"/>
  <c r="E48" i="64"/>
  <c r="E55" i="64"/>
  <c r="E39" i="64"/>
  <c r="E41" i="64"/>
  <c r="E57" i="64"/>
  <c r="E59" i="64"/>
  <c r="E33" i="64"/>
  <c r="E51" i="64"/>
  <c r="E14" i="64"/>
  <c r="E62" i="64"/>
  <c r="E19" i="64"/>
  <c r="E31" i="64"/>
  <c r="E29" i="64"/>
  <c r="E34" i="64"/>
  <c r="E17" i="64"/>
  <c r="E38" i="64"/>
  <c r="E46" i="64"/>
  <c r="G7" i="64"/>
  <c r="E21" i="64"/>
  <c r="E50" i="64"/>
  <c r="E16" i="64"/>
  <c r="E42" i="64"/>
  <c r="E12" i="64"/>
  <c r="J7" i="64"/>
  <c r="K7" i="64" s="1"/>
  <c r="BY24" i="64"/>
  <c r="BY50" i="64"/>
  <c r="BY11" i="64"/>
  <c r="BY37" i="64"/>
  <c r="BZ3" i="64"/>
  <c r="AS37" i="64"/>
  <c r="AS11" i="64"/>
  <c r="AS50" i="64"/>
  <c r="AS24" i="64"/>
  <c r="AT3" i="64"/>
  <c r="AW24" i="64"/>
  <c r="AW50" i="64"/>
  <c r="AW37" i="64"/>
  <c r="AW11" i="64"/>
  <c r="AX3" i="64"/>
  <c r="BA24" i="64"/>
  <c r="BA37" i="64"/>
  <c r="BA11" i="64"/>
  <c r="BA50" i="64"/>
  <c r="BB3" i="64"/>
  <c r="CC50" i="64"/>
  <c r="CC11" i="64"/>
  <c r="CC37" i="64"/>
  <c r="CC24" i="64"/>
  <c r="CD3" i="64"/>
  <c r="BU24" i="64"/>
  <c r="BU50" i="64"/>
  <c r="BU37" i="64"/>
  <c r="BU11" i="64"/>
  <c r="BV3" i="64"/>
  <c r="BM37" i="64"/>
  <c r="BM50" i="64"/>
  <c r="BM11" i="64"/>
  <c r="BM24" i="64"/>
  <c r="BN3" i="64"/>
  <c r="BQ37" i="64"/>
  <c r="BQ11" i="64"/>
  <c r="BQ50" i="64"/>
  <c r="BQ24" i="64"/>
  <c r="BR3" i="64"/>
  <c r="AF3" i="64"/>
  <c r="AK11" i="64"/>
  <c r="AK50" i="64"/>
  <c r="AK24" i="64"/>
  <c r="AK37" i="64"/>
  <c r="AL3" i="64"/>
  <c r="AO50" i="64"/>
  <c r="AO24" i="64"/>
  <c r="AO37" i="64"/>
  <c r="AO11" i="64"/>
  <c r="AP3" i="64"/>
  <c r="BE11" i="64"/>
  <c r="BE37" i="64"/>
  <c r="BE24" i="64"/>
  <c r="BE50" i="64"/>
  <c r="BF3" i="64"/>
  <c r="BI24" i="64"/>
  <c r="BI11" i="64"/>
  <c r="BI37" i="64"/>
  <c r="BI50" i="64"/>
  <c r="BJ3" i="64"/>
  <c r="E41" i="61"/>
  <c r="E54" i="61"/>
  <c r="E16" i="61"/>
  <c r="E37" i="61"/>
  <c r="E23" i="61"/>
  <c r="I6" i="61"/>
  <c r="K6" i="61" s="1"/>
  <c r="E27" i="61"/>
  <c r="E47" i="61"/>
  <c r="G7" i="61"/>
  <c r="E38" i="61"/>
  <c r="E48" i="61"/>
  <c r="E17" i="61"/>
  <c r="E22" i="61"/>
  <c r="E62" i="61"/>
  <c r="E49" i="61"/>
  <c r="E51" i="61"/>
  <c r="E58" i="61"/>
  <c r="E44" i="61"/>
  <c r="E45" i="61"/>
  <c r="J7" i="61"/>
  <c r="E35" i="61"/>
  <c r="E15" i="61"/>
  <c r="E33" i="61"/>
  <c r="E57" i="61"/>
  <c r="E39" i="61"/>
  <c r="E43" i="61"/>
  <c r="E32" i="61"/>
  <c r="E29" i="61"/>
  <c r="E13" i="61"/>
  <c r="E19" i="61"/>
  <c r="E34" i="61"/>
  <c r="E14" i="61"/>
  <c r="E55" i="61"/>
  <c r="E31" i="61"/>
  <c r="E53" i="61"/>
  <c r="E46" i="61"/>
  <c r="AX3" i="62"/>
  <c r="E25" i="61"/>
  <c r="E59" i="61"/>
  <c r="E52" i="61"/>
  <c r="E30" i="61"/>
  <c r="E60" i="61"/>
  <c r="E21" i="61"/>
  <c r="E40" i="61"/>
  <c r="AW50" i="62"/>
  <c r="E28" i="61"/>
  <c r="E36" i="61"/>
  <c r="E50" i="61"/>
  <c r="E26" i="61"/>
  <c r="E12" i="61"/>
  <c r="E24" i="61"/>
  <c r="E56" i="61"/>
  <c r="E20" i="61"/>
  <c r="E61" i="61"/>
  <c r="E11" i="61"/>
  <c r="E42" i="61"/>
  <c r="AW11" i="62"/>
  <c r="AW37" i="62"/>
  <c r="AK11" i="63"/>
  <c r="AK37" i="63"/>
  <c r="E39" i="63"/>
  <c r="E41" i="62"/>
  <c r="E43" i="62"/>
  <c r="E15" i="62"/>
  <c r="E11" i="62"/>
  <c r="E12" i="62"/>
  <c r="E35" i="63"/>
  <c r="G7" i="63"/>
  <c r="E31" i="63"/>
  <c r="E23" i="63"/>
  <c r="E24" i="63"/>
  <c r="E37" i="63"/>
  <c r="E36" i="63"/>
  <c r="E28" i="63"/>
  <c r="G7" i="62"/>
  <c r="E20" i="63"/>
  <c r="E40" i="63"/>
  <c r="E13" i="63"/>
  <c r="AK50" i="63"/>
  <c r="AK24" i="63"/>
  <c r="E57" i="62"/>
  <c r="CD3" i="60"/>
  <c r="I6" i="63"/>
  <c r="K6" i="63" s="1"/>
  <c r="BQ50" i="60"/>
  <c r="BR3" i="60"/>
  <c r="BN3" i="61"/>
  <c r="BQ24" i="60"/>
  <c r="BF3" i="61"/>
  <c r="BQ11" i="60"/>
  <c r="E22" i="63"/>
  <c r="E17" i="63"/>
  <c r="E57" i="63"/>
  <c r="E29" i="63"/>
  <c r="E32" i="63"/>
  <c r="E45" i="63"/>
  <c r="E62" i="63"/>
  <c r="E58" i="63"/>
  <c r="E51" i="63"/>
  <c r="E47" i="63"/>
  <c r="E44" i="63"/>
  <c r="E39" i="62"/>
  <c r="E56" i="63"/>
  <c r="BM11" i="61"/>
  <c r="AT3" i="61"/>
  <c r="BE11" i="61"/>
  <c r="AL3" i="61"/>
  <c r="AK37" i="61"/>
  <c r="BM24" i="61"/>
  <c r="AS37" i="61"/>
  <c r="AS50" i="61"/>
  <c r="AS11" i="61"/>
  <c r="CC24" i="61"/>
  <c r="CD3" i="61"/>
  <c r="AK11" i="61"/>
  <c r="AK50" i="60"/>
  <c r="AK50" i="62"/>
  <c r="AK24" i="61"/>
  <c r="AK24" i="60"/>
  <c r="CC24" i="60"/>
  <c r="BM37" i="61"/>
  <c r="CC50" i="60"/>
  <c r="BI11" i="62"/>
  <c r="AK37" i="60"/>
  <c r="CC11" i="60"/>
  <c r="E56" i="62"/>
  <c r="E27" i="62"/>
  <c r="E45" i="62"/>
  <c r="E42" i="63"/>
  <c r="E18" i="63"/>
  <c r="J7" i="62"/>
  <c r="K7" i="62" s="1"/>
  <c r="E24" i="62"/>
  <c r="E52" i="62"/>
  <c r="E44" i="62"/>
  <c r="E52" i="63"/>
  <c r="E46" i="63"/>
  <c r="E59" i="63"/>
  <c r="E16" i="62"/>
  <c r="E35" i="62"/>
  <c r="E58" i="62"/>
  <c r="E46" i="62"/>
  <c r="E37" i="62"/>
  <c r="E18" i="62"/>
  <c r="E50" i="62"/>
  <c r="E29" i="62"/>
  <c r="E60" i="62"/>
  <c r="E54" i="63"/>
  <c r="E27" i="63"/>
  <c r="E14" i="62"/>
  <c r="E22" i="62"/>
  <c r="E49" i="63"/>
  <c r="E33" i="63"/>
  <c r="E41" i="63"/>
  <c r="I6" i="62"/>
  <c r="K6" i="62" s="1"/>
  <c r="E32" i="62"/>
  <c r="E51" i="62"/>
  <c r="E50" i="63"/>
  <c r="E61" i="63"/>
  <c r="E25" i="62"/>
  <c r="E42" i="62"/>
  <c r="E23" i="62"/>
  <c r="E54" i="62"/>
  <c r="E55" i="62"/>
  <c r="E20" i="62"/>
  <c r="E38" i="62"/>
  <c r="E17" i="62"/>
  <c r="E61" i="62"/>
  <c r="E59" i="62"/>
  <c r="E30" i="62"/>
  <c r="E53" i="63"/>
  <c r="E55" i="63"/>
  <c r="E47" i="62"/>
  <c r="E21" i="62"/>
  <c r="E19" i="62"/>
  <c r="E34" i="63"/>
  <c r="E25" i="63"/>
  <c r="E38" i="63"/>
  <c r="E21" i="63"/>
  <c r="E12" i="63"/>
  <c r="J7" i="63"/>
  <c r="K7" i="63" s="1"/>
  <c r="E15" i="63"/>
  <c r="E34" i="62"/>
  <c r="E40" i="62"/>
  <c r="E62" i="62"/>
  <c r="E28" i="62"/>
  <c r="E16" i="63"/>
  <c r="E43" i="63"/>
  <c r="E60" i="63"/>
  <c r="E49" i="62"/>
  <c r="E26" i="62"/>
  <c r="E53" i="62"/>
  <c r="E13" i="62"/>
  <c r="E26" i="63"/>
  <c r="E48" i="63"/>
  <c r="E30" i="63"/>
  <c r="E48" i="62"/>
  <c r="E31" i="62"/>
  <c r="E33" i="62"/>
  <c r="E14" i="63"/>
  <c r="E19" i="63"/>
  <c r="BE11" i="60"/>
  <c r="BE50" i="61"/>
  <c r="BE50" i="60"/>
  <c r="BE24" i="61"/>
  <c r="CC50" i="61"/>
  <c r="BN3" i="60"/>
  <c r="BF3" i="60"/>
  <c r="BE37" i="60"/>
  <c r="BY50" i="61"/>
  <c r="CC11" i="61"/>
  <c r="BY11" i="61"/>
  <c r="BY37" i="61"/>
  <c r="AO24" i="63"/>
  <c r="BY50" i="62"/>
  <c r="AP3" i="63"/>
  <c r="BU37" i="63"/>
  <c r="BE24" i="63"/>
  <c r="AS37" i="60"/>
  <c r="BU24" i="63"/>
  <c r="BE11" i="63"/>
  <c r="CD3" i="63"/>
  <c r="BV3" i="62"/>
  <c r="AS11" i="60"/>
  <c r="BZ3" i="62"/>
  <c r="BV3" i="63"/>
  <c r="BF3" i="63"/>
  <c r="CC50" i="63"/>
  <c r="CC24" i="63"/>
  <c r="BY24" i="62"/>
  <c r="BY37" i="62"/>
  <c r="BA50" i="60"/>
  <c r="BU11" i="63"/>
  <c r="CC11" i="63"/>
  <c r="BB3" i="60"/>
  <c r="BJ3" i="60"/>
  <c r="BU11" i="61"/>
  <c r="AX3" i="61"/>
  <c r="AL3" i="60"/>
  <c r="BI11" i="60"/>
  <c r="BU50" i="61"/>
  <c r="AW24" i="61"/>
  <c r="BI24" i="60"/>
  <c r="BU24" i="61"/>
  <c r="AW11" i="61"/>
  <c r="AW50" i="61"/>
  <c r="BI50" i="61"/>
  <c r="AO11" i="60"/>
  <c r="BI37" i="60"/>
  <c r="AL3" i="62"/>
  <c r="BA11" i="61"/>
  <c r="BI37" i="61"/>
  <c r="AF3" i="63"/>
  <c r="AG11" i="63" s="1"/>
  <c r="AK37" i="62"/>
  <c r="BA24" i="61"/>
  <c r="AK11" i="62"/>
  <c r="BZ3" i="61"/>
  <c r="BA37" i="61"/>
  <c r="BM50" i="62"/>
  <c r="BI24" i="61"/>
  <c r="BU50" i="62"/>
  <c r="BM11" i="60"/>
  <c r="BA24" i="60"/>
  <c r="BM24" i="62"/>
  <c r="BU37" i="62"/>
  <c r="BM37" i="60"/>
  <c r="BA11" i="60"/>
  <c r="BB3" i="63"/>
  <c r="BE50" i="63"/>
  <c r="BU24" i="62"/>
  <c r="BM24" i="60"/>
  <c r="BA24" i="63"/>
  <c r="BZ3" i="63"/>
  <c r="BA50" i="63"/>
  <c r="BV3" i="61"/>
  <c r="BY50" i="63"/>
  <c r="AO37" i="60"/>
  <c r="BA11" i="63"/>
  <c r="BY37" i="63"/>
  <c r="AO50" i="60"/>
  <c r="BB3" i="61"/>
  <c r="BY11" i="63"/>
  <c r="BJ3" i="62"/>
  <c r="AO37" i="61"/>
  <c r="AF3" i="62"/>
  <c r="AG11" i="62" s="1"/>
  <c r="BE24" i="62"/>
  <c r="BI50" i="62"/>
  <c r="AP3" i="62"/>
  <c r="BI24" i="63"/>
  <c r="BA50" i="62"/>
  <c r="AF3" i="61"/>
  <c r="AG37" i="61" s="1"/>
  <c r="BR3" i="63"/>
  <c r="AX3" i="60"/>
  <c r="AT3" i="63"/>
  <c r="BI50" i="63"/>
  <c r="AO50" i="61"/>
  <c r="BM37" i="63"/>
  <c r="BQ24" i="63"/>
  <c r="BZ3" i="60"/>
  <c r="AW24" i="63"/>
  <c r="AO37" i="62"/>
  <c r="BI11" i="63"/>
  <c r="BA37" i="62"/>
  <c r="BM11" i="63"/>
  <c r="BQ11" i="63"/>
  <c r="BE37" i="62"/>
  <c r="AF3" i="60"/>
  <c r="AH3" i="60" s="1"/>
  <c r="BY24" i="60"/>
  <c r="AW50" i="63"/>
  <c r="AO11" i="62"/>
  <c r="BI24" i="62"/>
  <c r="BA24" i="62"/>
  <c r="AO24" i="62"/>
  <c r="BI37" i="63"/>
  <c r="BA11" i="62"/>
  <c r="BN3" i="63"/>
  <c r="BQ37" i="63"/>
  <c r="AW37" i="41"/>
  <c r="BV3" i="60"/>
  <c r="AW24" i="60"/>
  <c r="BY37" i="60"/>
  <c r="AS24" i="63"/>
  <c r="AW37" i="63"/>
  <c r="AO50" i="63"/>
  <c r="AT3" i="62"/>
  <c r="AP3" i="61"/>
  <c r="BM24" i="63"/>
  <c r="AW24" i="41"/>
  <c r="BU24" i="60"/>
  <c r="AW50" i="60"/>
  <c r="BY11" i="60"/>
  <c r="AS11" i="63"/>
  <c r="AX3" i="63"/>
  <c r="AO11" i="63"/>
  <c r="CC24" i="62"/>
  <c r="AS50" i="62"/>
  <c r="AO11" i="61"/>
  <c r="BR3" i="62"/>
  <c r="AW11" i="41"/>
  <c r="BU37" i="60"/>
  <c r="AW37" i="60"/>
  <c r="AS50" i="63"/>
  <c r="CD3" i="62"/>
  <c r="AS24" i="62"/>
  <c r="BR3" i="61"/>
  <c r="BQ37" i="62"/>
  <c r="AW50" i="41"/>
  <c r="BU50" i="60"/>
  <c r="CC50" i="62"/>
  <c r="AS11" i="62"/>
  <c r="BQ50" i="61"/>
  <c r="BQ11" i="62"/>
  <c r="AT3" i="60"/>
  <c r="BN3" i="62"/>
  <c r="CC37" i="62"/>
  <c r="BF3" i="62"/>
  <c r="BQ37" i="61"/>
  <c r="BQ50" i="62"/>
  <c r="AP3" i="60"/>
  <c r="AS50" i="60"/>
  <c r="BM11" i="62"/>
  <c r="BJ3" i="61"/>
  <c r="BE50" i="62"/>
  <c r="BQ11" i="61"/>
  <c r="E54" i="60"/>
  <c r="E18" i="60"/>
  <c r="G7" i="60"/>
  <c r="E40" i="60"/>
  <c r="E34" i="60"/>
  <c r="E61" i="60"/>
  <c r="E56" i="60"/>
  <c r="E26" i="60"/>
  <c r="E20" i="60"/>
  <c r="E16" i="60"/>
  <c r="E43" i="60"/>
  <c r="E31" i="60"/>
  <c r="E58" i="60"/>
  <c r="E19" i="60"/>
  <c r="E35" i="60"/>
  <c r="E36" i="60"/>
  <c r="E28" i="60"/>
  <c r="E46" i="60"/>
  <c r="E11" i="60"/>
  <c r="E13" i="60"/>
  <c r="E23" i="60"/>
  <c r="E37" i="60"/>
  <c r="E55" i="60"/>
  <c r="E41" i="60"/>
  <c r="E32" i="60"/>
  <c r="E21" i="60"/>
  <c r="E51" i="60"/>
  <c r="E22" i="60"/>
  <c r="E33" i="60"/>
  <c r="E45" i="60"/>
  <c r="E57" i="60"/>
  <c r="E27" i="60"/>
  <c r="E52" i="60"/>
  <c r="E12" i="60"/>
  <c r="E38" i="60"/>
  <c r="E49" i="60"/>
  <c r="E29" i="60"/>
  <c r="E59" i="60"/>
  <c r="E60" i="60"/>
  <c r="E14" i="60"/>
  <c r="E48" i="60"/>
  <c r="E50" i="60"/>
  <c r="E42" i="60"/>
  <c r="E62" i="60"/>
  <c r="E15" i="60"/>
  <c r="E47" i="60"/>
  <c r="E53" i="60"/>
  <c r="E39" i="60"/>
  <c r="E25" i="60"/>
  <c r="E30" i="60"/>
  <c r="E24" i="60"/>
  <c r="E17" i="60"/>
  <c r="E44" i="60"/>
  <c r="J7" i="60"/>
  <c r="K7" i="60" s="1"/>
  <c r="I6" i="60"/>
  <c r="K6" i="60" s="1"/>
  <c r="E11" i="41"/>
  <c r="E19" i="41"/>
  <c r="E27" i="41"/>
  <c r="E35" i="41"/>
  <c r="E43" i="41"/>
  <c r="E51" i="41"/>
  <c r="E59" i="41"/>
  <c r="E12" i="41"/>
  <c r="E20" i="41"/>
  <c r="E28" i="41"/>
  <c r="E36" i="41"/>
  <c r="E44" i="41"/>
  <c r="E52" i="41"/>
  <c r="E60" i="41"/>
  <c r="E13" i="41"/>
  <c r="E21" i="41"/>
  <c r="E29" i="41"/>
  <c r="E37" i="41"/>
  <c r="E45" i="41"/>
  <c r="E53" i="41"/>
  <c r="E61" i="41"/>
  <c r="E38" i="41"/>
  <c r="E46" i="41"/>
  <c r="E62" i="41"/>
  <c r="E14" i="41"/>
  <c r="E15" i="41"/>
  <c r="E23" i="41"/>
  <c r="E31" i="41"/>
  <c r="E39" i="41"/>
  <c r="E47" i="41"/>
  <c r="E55" i="41"/>
  <c r="E33" i="41"/>
  <c r="E41" i="41"/>
  <c r="E49" i="41"/>
  <c r="E57" i="41"/>
  <c r="E26" i="41"/>
  <c r="E34" i="41"/>
  <c r="E50" i="41"/>
  <c r="E30" i="41"/>
  <c r="E54" i="41"/>
  <c r="E16" i="41"/>
  <c r="E24" i="41"/>
  <c r="E32" i="41"/>
  <c r="E40" i="41"/>
  <c r="E48" i="41"/>
  <c r="E56" i="41"/>
  <c r="E25" i="41"/>
  <c r="E18" i="41"/>
  <c r="E42" i="41"/>
  <c r="E58" i="41"/>
  <c r="E22" i="41"/>
  <c r="E17" i="41"/>
  <c r="BI11" i="41"/>
  <c r="BI37" i="41"/>
  <c r="BI24" i="41"/>
  <c r="BI50" i="41"/>
  <c r="BJ3" i="41"/>
  <c r="BA37" i="41"/>
  <c r="BA11" i="41"/>
  <c r="BA24" i="41"/>
  <c r="BA50" i="41"/>
  <c r="BB3" i="41"/>
  <c r="BE24" i="41"/>
  <c r="BE11" i="41"/>
  <c r="BE37" i="41"/>
  <c r="BF3" i="41"/>
  <c r="BE50" i="41"/>
  <c r="BM11" i="41"/>
  <c r="BM50" i="41"/>
  <c r="BM24" i="41"/>
  <c r="BN3" i="41"/>
  <c r="BM37" i="41"/>
  <c r="AS37" i="41"/>
  <c r="AS11" i="41"/>
  <c r="AS50" i="41"/>
  <c r="AS24" i="41"/>
  <c r="AT3" i="41"/>
  <c r="BU50" i="41"/>
  <c r="BV3" i="41"/>
  <c r="BU37" i="41"/>
  <c r="BU24" i="41"/>
  <c r="BU11" i="41"/>
  <c r="AP3" i="41"/>
  <c r="AO24" i="41"/>
  <c r="AO50" i="41"/>
  <c r="AO11" i="41"/>
  <c r="AO37" i="41"/>
  <c r="AK24" i="41"/>
  <c r="AK50" i="41"/>
  <c r="AF3" i="41"/>
  <c r="AK11" i="41"/>
  <c r="AK37" i="41"/>
  <c r="AL3" i="41"/>
  <c r="CC11" i="41"/>
  <c r="CC50" i="41"/>
  <c r="CD3" i="41"/>
  <c r="CC37" i="41"/>
  <c r="CC24" i="41"/>
  <c r="BY24" i="41"/>
  <c r="BY50" i="41"/>
  <c r="BY37" i="41"/>
  <c r="BY11" i="41"/>
  <c r="BZ3" i="41"/>
  <c r="BQ11" i="41"/>
  <c r="BQ50" i="41"/>
  <c r="BQ24" i="41"/>
  <c r="BQ37" i="41"/>
  <c r="BR3" i="41"/>
  <c r="B2001" i="2"/>
  <c r="B2000" i="2"/>
  <c r="B1999" i="2"/>
  <c r="B1998" i="2"/>
  <c r="B1997" i="2"/>
  <c r="B1996" i="2"/>
  <c r="B1995" i="2"/>
  <c r="B1994" i="2"/>
  <c r="B1993" i="2"/>
  <c r="B1992" i="2"/>
  <c r="B1991" i="2"/>
  <c r="B1990" i="2"/>
  <c r="B1989" i="2"/>
  <c r="B1988" i="2"/>
  <c r="B1987" i="2"/>
  <c r="B1986" i="2"/>
  <c r="B1985" i="2"/>
  <c r="B1984" i="2"/>
  <c r="B1983" i="2"/>
  <c r="B1982" i="2"/>
  <c r="B1981" i="2"/>
  <c r="B1980" i="2"/>
  <c r="B1979" i="2"/>
  <c r="B1978" i="2"/>
  <c r="B1977" i="2"/>
  <c r="B1976" i="2"/>
  <c r="B1975" i="2"/>
  <c r="B1974" i="2"/>
  <c r="B1973" i="2"/>
  <c r="B1972" i="2"/>
  <c r="B1971" i="2"/>
  <c r="B1970" i="2"/>
  <c r="B1969" i="2"/>
  <c r="B1968" i="2"/>
  <c r="B1967" i="2"/>
  <c r="B1966" i="2"/>
  <c r="B1965" i="2"/>
  <c r="B1964" i="2"/>
  <c r="B1963" i="2"/>
  <c r="B1962" i="2"/>
  <c r="B1961" i="2"/>
  <c r="B1960" i="2"/>
  <c r="B1959" i="2"/>
  <c r="B1958" i="2"/>
  <c r="B1957" i="2"/>
  <c r="B1956" i="2"/>
  <c r="B1955" i="2"/>
  <c r="B1954" i="2"/>
  <c r="B1953" i="2"/>
  <c r="B1952" i="2"/>
  <c r="B1951" i="2"/>
  <c r="B1950" i="2"/>
  <c r="B1949" i="2"/>
  <c r="B1948" i="2"/>
  <c r="B1947" i="2"/>
  <c r="B1946" i="2"/>
  <c r="B1945" i="2"/>
  <c r="B1944" i="2"/>
  <c r="B1943" i="2"/>
  <c r="B1942" i="2"/>
  <c r="B1941" i="2"/>
  <c r="B1940" i="2"/>
  <c r="B1939" i="2"/>
  <c r="B1938" i="2"/>
  <c r="B1937" i="2"/>
  <c r="B1936" i="2"/>
  <c r="B1935" i="2"/>
  <c r="B1934" i="2"/>
  <c r="B1933" i="2"/>
  <c r="B1932" i="2"/>
  <c r="B1931" i="2"/>
  <c r="B1930" i="2"/>
  <c r="B1929" i="2"/>
  <c r="B1928" i="2"/>
  <c r="B1927" i="2"/>
  <c r="B1926" i="2"/>
  <c r="B1925" i="2"/>
  <c r="B1924" i="2"/>
  <c r="B1923" i="2"/>
  <c r="B1922" i="2"/>
  <c r="B1921" i="2"/>
  <c r="B1920" i="2"/>
  <c r="B1919" i="2"/>
  <c r="B1918" i="2"/>
  <c r="B1917" i="2"/>
  <c r="B1916" i="2"/>
  <c r="B1915" i="2"/>
  <c r="B1914" i="2"/>
  <c r="B1913" i="2"/>
  <c r="B1912" i="2"/>
  <c r="B1911" i="2"/>
  <c r="B1910" i="2"/>
  <c r="B1909" i="2"/>
  <c r="B1908" i="2"/>
  <c r="B1907" i="2"/>
  <c r="B1906" i="2"/>
  <c r="B1905" i="2"/>
  <c r="B1904" i="2"/>
  <c r="B1903" i="2"/>
  <c r="B1902" i="2"/>
  <c r="B1901" i="2"/>
  <c r="B1900" i="2"/>
  <c r="B1899" i="2"/>
  <c r="B1898" i="2"/>
  <c r="B1897" i="2"/>
  <c r="B1896" i="2"/>
  <c r="B1895" i="2"/>
  <c r="B1894" i="2"/>
  <c r="B1893" i="2"/>
  <c r="B1892" i="2"/>
  <c r="B1891" i="2"/>
  <c r="B1890" i="2"/>
  <c r="B1889" i="2"/>
  <c r="B1888" i="2"/>
  <c r="B1887" i="2"/>
  <c r="B1886" i="2"/>
  <c r="B1885" i="2"/>
  <c r="B1884" i="2"/>
  <c r="B1883" i="2"/>
  <c r="B1882" i="2"/>
  <c r="B1881" i="2"/>
  <c r="B1880" i="2"/>
  <c r="B1879" i="2"/>
  <c r="B1878" i="2"/>
  <c r="B1877" i="2"/>
  <c r="B1876" i="2"/>
  <c r="B1875" i="2"/>
  <c r="B1874" i="2"/>
  <c r="B1873" i="2"/>
  <c r="B1872" i="2"/>
  <c r="B1871" i="2"/>
  <c r="B1870" i="2"/>
  <c r="B1869" i="2"/>
  <c r="B1868" i="2"/>
  <c r="B1867" i="2"/>
  <c r="B1866" i="2"/>
  <c r="B1865" i="2"/>
  <c r="B1864" i="2"/>
  <c r="B1863" i="2"/>
  <c r="B1862" i="2"/>
  <c r="B1861" i="2"/>
  <c r="B1860" i="2"/>
  <c r="B1859" i="2"/>
  <c r="B1858" i="2"/>
  <c r="B1857" i="2"/>
  <c r="B1856" i="2"/>
  <c r="B1855" i="2"/>
  <c r="B1854" i="2"/>
  <c r="B1853" i="2"/>
  <c r="B1852" i="2"/>
  <c r="B1851" i="2"/>
  <c r="B1850" i="2"/>
  <c r="B1849" i="2"/>
  <c r="B1848" i="2"/>
  <c r="B1847" i="2"/>
  <c r="B1846" i="2"/>
  <c r="B1845" i="2"/>
  <c r="B1844" i="2"/>
  <c r="B1843" i="2"/>
  <c r="B1842" i="2"/>
  <c r="B1841" i="2"/>
  <c r="B1840" i="2"/>
  <c r="B1839" i="2"/>
  <c r="B1838" i="2"/>
  <c r="B1837" i="2"/>
  <c r="B1836" i="2"/>
  <c r="B1835" i="2"/>
  <c r="B1834" i="2"/>
  <c r="B1833" i="2"/>
  <c r="B1832" i="2"/>
  <c r="B1831" i="2"/>
  <c r="B1830" i="2"/>
  <c r="B1829" i="2"/>
  <c r="B1828" i="2"/>
  <c r="B1827" i="2"/>
  <c r="B1826" i="2"/>
  <c r="B1825" i="2"/>
  <c r="B1824" i="2"/>
  <c r="B1823" i="2"/>
  <c r="B1822" i="2"/>
  <c r="B1821" i="2"/>
  <c r="B1820" i="2"/>
  <c r="B1819" i="2"/>
  <c r="B1818" i="2"/>
  <c r="B1817" i="2"/>
  <c r="B1816" i="2"/>
  <c r="B1815" i="2"/>
  <c r="B1814" i="2"/>
  <c r="B1813" i="2"/>
  <c r="B1812" i="2"/>
  <c r="B1811" i="2"/>
  <c r="B1810" i="2"/>
  <c r="B1809" i="2"/>
  <c r="B1808" i="2"/>
  <c r="B1807" i="2"/>
  <c r="B1806" i="2"/>
  <c r="B1805" i="2"/>
  <c r="B1804" i="2"/>
  <c r="B1803" i="2"/>
  <c r="B1802" i="2"/>
  <c r="B1801" i="2"/>
  <c r="B1800" i="2"/>
  <c r="B1799" i="2"/>
  <c r="B1798" i="2"/>
  <c r="B1797" i="2"/>
  <c r="B1796" i="2"/>
  <c r="B1795" i="2"/>
  <c r="B1794" i="2"/>
  <c r="B1793" i="2"/>
  <c r="B1792" i="2"/>
  <c r="B1791" i="2"/>
  <c r="B1790" i="2"/>
  <c r="B1789" i="2"/>
  <c r="B1788" i="2"/>
  <c r="B1787" i="2"/>
  <c r="B1786" i="2"/>
  <c r="B1785" i="2"/>
  <c r="B1784" i="2"/>
  <c r="B1783" i="2"/>
  <c r="B1782" i="2"/>
  <c r="B1781" i="2"/>
  <c r="B1780" i="2"/>
  <c r="B1779" i="2"/>
  <c r="B1778" i="2"/>
  <c r="B1777" i="2"/>
  <c r="B1776" i="2"/>
  <c r="B1775" i="2"/>
  <c r="B1774" i="2"/>
  <c r="B1773" i="2"/>
  <c r="B1772" i="2"/>
  <c r="B1771" i="2"/>
  <c r="B1770" i="2"/>
  <c r="B1769" i="2"/>
  <c r="B1768" i="2"/>
  <c r="B1767" i="2"/>
  <c r="B1766" i="2"/>
  <c r="B1765" i="2"/>
  <c r="B1764" i="2"/>
  <c r="B1763" i="2"/>
  <c r="B1762" i="2"/>
  <c r="B1761" i="2"/>
  <c r="B1760" i="2"/>
  <c r="B1759" i="2"/>
  <c r="B1758" i="2"/>
  <c r="B1757" i="2"/>
  <c r="B1756" i="2"/>
  <c r="B1755" i="2"/>
  <c r="B1754" i="2"/>
  <c r="B1753" i="2"/>
  <c r="B1752" i="2"/>
  <c r="B1751" i="2"/>
  <c r="B1750" i="2"/>
  <c r="B1749" i="2"/>
  <c r="B1748" i="2"/>
  <c r="B1747" i="2"/>
  <c r="B1746" i="2"/>
  <c r="B1745" i="2"/>
  <c r="B1744" i="2"/>
  <c r="B1743" i="2"/>
  <c r="B1742" i="2"/>
  <c r="B1741" i="2"/>
  <c r="B1740" i="2"/>
  <c r="B1739" i="2"/>
  <c r="B1738" i="2"/>
  <c r="B1737" i="2"/>
  <c r="B1736" i="2"/>
  <c r="B1735" i="2"/>
  <c r="B1734" i="2"/>
  <c r="B1733" i="2"/>
  <c r="B1732" i="2"/>
  <c r="B1731" i="2"/>
  <c r="B1730" i="2"/>
  <c r="B1729" i="2"/>
  <c r="B1728" i="2"/>
  <c r="B1727" i="2"/>
  <c r="B1726" i="2"/>
  <c r="B1725" i="2"/>
  <c r="B1724" i="2"/>
  <c r="B1723" i="2"/>
  <c r="B1722" i="2"/>
  <c r="B1721" i="2"/>
  <c r="B1720" i="2"/>
  <c r="B1719" i="2"/>
  <c r="B1718" i="2"/>
  <c r="B1717" i="2"/>
  <c r="B1716" i="2"/>
  <c r="B1715" i="2"/>
  <c r="B1714" i="2"/>
  <c r="B1713" i="2"/>
  <c r="B1712" i="2"/>
  <c r="B1711" i="2"/>
  <c r="B1710" i="2"/>
  <c r="B1709" i="2"/>
  <c r="B1708" i="2"/>
  <c r="B1707" i="2"/>
  <c r="B1706" i="2"/>
  <c r="B1705" i="2"/>
  <c r="B1704" i="2"/>
  <c r="B1703" i="2"/>
  <c r="B1702" i="2"/>
  <c r="B1701" i="2"/>
  <c r="B1700" i="2"/>
  <c r="B1699" i="2"/>
  <c r="B1698" i="2"/>
  <c r="B1697" i="2"/>
  <c r="B1696" i="2"/>
  <c r="B1695" i="2"/>
  <c r="B1694" i="2"/>
  <c r="B1693" i="2"/>
  <c r="B1692" i="2"/>
  <c r="B1691" i="2"/>
  <c r="B1690" i="2"/>
  <c r="B1689" i="2"/>
  <c r="B1688" i="2"/>
  <c r="B1687" i="2"/>
  <c r="B1686" i="2"/>
  <c r="B1685" i="2"/>
  <c r="B1684" i="2"/>
  <c r="B1683" i="2"/>
  <c r="B1682" i="2"/>
  <c r="B1681" i="2"/>
  <c r="B1680" i="2"/>
  <c r="B1679" i="2"/>
  <c r="B1678" i="2"/>
  <c r="B1677" i="2"/>
  <c r="B1676" i="2"/>
  <c r="B1675" i="2"/>
  <c r="B1674" i="2"/>
  <c r="B1673" i="2"/>
  <c r="B1672" i="2"/>
  <c r="B1671" i="2"/>
  <c r="B1670" i="2"/>
  <c r="B1669" i="2"/>
  <c r="B1668" i="2"/>
  <c r="B1667" i="2"/>
  <c r="B1666" i="2"/>
  <c r="B1665" i="2"/>
  <c r="B1664" i="2"/>
  <c r="B1663" i="2"/>
  <c r="B1662" i="2"/>
  <c r="B1661" i="2"/>
  <c r="B1660" i="2"/>
  <c r="B1659" i="2"/>
  <c r="B1658" i="2"/>
  <c r="B1657" i="2"/>
  <c r="B1656" i="2"/>
  <c r="B1655" i="2"/>
  <c r="B1654" i="2"/>
  <c r="B1653" i="2"/>
  <c r="B1652" i="2"/>
  <c r="B1651" i="2"/>
  <c r="B1650" i="2"/>
  <c r="B1649" i="2"/>
  <c r="B1648" i="2"/>
  <c r="B1647" i="2"/>
  <c r="B1646" i="2"/>
  <c r="B1645" i="2"/>
  <c r="B1644" i="2"/>
  <c r="B1643" i="2"/>
  <c r="B1642" i="2"/>
  <c r="B1641" i="2"/>
  <c r="B1640" i="2"/>
  <c r="B1639" i="2"/>
  <c r="B1638" i="2"/>
  <c r="B1637" i="2"/>
  <c r="B1636" i="2"/>
  <c r="B1635" i="2"/>
  <c r="B1634" i="2"/>
  <c r="B1633" i="2"/>
  <c r="B1632" i="2"/>
  <c r="B1631" i="2"/>
  <c r="B1630" i="2"/>
  <c r="B1629" i="2"/>
  <c r="B1628" i="2"/>
  <c r="B1627" i="2"/>
  <c r="B1626" i="2"/>
  <c r="B1625" i="2"/>
  <c r="B1624" i="2"/>
  <c r="B1623" i="2"/>
  <c r="B1622" i="2"/>
  <c r="B1621" i="2"/>
  <c r="B1620" i="2"/>
  <c r="B1619" i="2"/>
  <c r="B1618" i="2"/>
  <c r="B1617" i="2"/>
  <c r="B1616" i="2"/>
  <c r="B1615" i="2"/>
  <c r="B1614" i="2"/>
  <c r="B1613" i="2"/>
  <c r="B1612" i="2"/>
  <c r="B1611" i="2"/>
  <c r="B1610" i="2"/>
  <c r="B1609" i="2"/>
  <c r="B1608" i="2"/>
  <c r="B1607" i="2"/>
  <c r="B1606" i="2"/>
  <c r="B1605" i="2"/>
  <c r="B1604" i="2"/>
  <c r="B1603" i="2"/>
  <c r="B1602" i="2"/>
  <c r="B1601" i="2"/>
  <c r="B1600" i="2"/>
  <c r="B1599" i="2"/>
  <c r="B1598" i="2"/>
  <c r="B1597" i="2"/>
  <c r="B1596" i="2"/>
  <c r="B1595" i="2"/>
  <c r="B1594" i="2"/>
  <c r="B1593" i="2"/>
  <c r="B1592" i="2"/>
  <c r="B1591" i="2"/>
  <c r="B1590" i="2"/>
  <c r="B1589" i="2"/>
  <c r="B1588" i="2"/>
  <c r="B1587" i="2"/>
  <c r="B1586" i="2"/>
  <c r="B1585" i="2"/>
  <c r="B1584" i="2"/>
  <c r="B1583" i="2"/>
  <c r="B1582" i="2"/>
  <c r="B1581" i="2"/>
  <c r="B1580" i="2"/>
  <c r="B1579" i="2"/>
  <c r="B1578" i="2"/>
  <c r="B1577" i="2"/>
  <c r="B1576" i="2"/>
  <c r="B1575" i="2"/>
  <c r="B1574" i="2"/>
  <c r="B1573" i="2"/>
  <c r="B1572" i="2"/>
  <c r="B1571" i="2"/>
  <c r="B1570" i="2"/>
  <c r="B1569" i="2"/>
  <c r="B1568" i="2"/>
  <c r="B1567" i="2"/>
  <c r="B1566" i="2"/>
  <c r="B1565" i="2"/>
  <c r="B1564" i="2"/>
  <c r="B1563" i="2"/>
  <c r="B1562" i="2"/>
  <c r="B1561" i="2"/>
  <c r="B1560" i="2"/>
  <c r="B1559" i="2"/>
  <c r="B1558" i="2"/>
  <c r="B1557" i="2"/>
  <c r="B1556" i="2"/>
  <c r="B1555" i="2"/>
  <c r="B1554" i="2"/>
  <c r="B1553" i="2"/>
  <c r="B1552" i="2"/>
  <c r="B1551" i="2"/>
  <c r="B1550" i="2"/>
  <c r="B1549" i="2"/>
  <c r="B1548" i="2"/>
  <c r="B1547" i="2"/>
  <c r="B1546" i="2"/>
  <c r="B1545" i="2"/>
  <c r="B1544" i="2"/>
  <c r="B1543" i="2"/>
  <c r="B1542" i="2"/>
  <c r="B1541" i="2"/>
  <c r="B1540" i="2"/>
  <c r="B1539" i="2"/>
  <c r="B1538" i="2"/>
  <c r="B1537" i="2"/>
  <c r="B1536" i="2"/>
  <c r="B1535" i="2"/>
  <c r="B1534" i="2"/>
  <c r="B1533" i="2"/>
  <c r="B1532" i="2"/>
  <c r="B1531" i="2"/>
  <c r="B1530" i="2"/>
  <c r="B1529" i="2"/>
  <c r="B1528" i="2"/>
  <c r="B1527" i="2"/>
  <c r="B1526" i="2"/>
  <c r="B1525" i="2"/>
  <c r="B1524" i="2"/>
  <c r="B1523" i="2"/>
  <c r="B1522" i="2"/>
  <c r="B1521" i="2"/>
  <c r="B1520" i="2"/>
  <c r="B1519" i="2"/>
  <c r="B1518" i="2"/>
  <c r="B1517" i="2"/>
  <c r="B1516" i="2"/>
  <c r="B1515" i="2"/>
  <c r="B1514" i="2"/>
  <c r="B1513" i="2"/>
  <c r="B1512" i="2"/>
  <c r="B1511" i="2"/>
  <c r="B1510" i="2"/>
  <c r="B1509" i="2"/>
  <c r="B1508" i="2"/>
  <c r="B1507" i="2"/>
  <c r="B1506" i="2"/>
  <c r="B1505" i="2"/>
  <c r="B1504" i="2"/>
  <c r="B1503" i="2"/>
  <c r="B1502" i="2"/>
  <c r="B1501" i="2"/>
  <c r="B1500" i="2"/>
  <c r="B1499" i="2"/>
  <c r="B1498" i="2"/>
  <c r="B1497" i="2"/>
  <c r="B1496" i="2"/>
  <c r="B1495" i="2"/>
  <c r="B1494" i="2"/>
  <c r="B1493" i="2"/>
  <c r="B1492" i="2"/>
  <c r="B1491" i="2"/>
  <c r="B1490" i="2"/>
  <c r="B1489" i="2"/>
  <c r="B1488" i="2"/>
  <c r="B1487" i="2"/>
  <c r="B1486" i="2"/>
  <c r="B1485" i="2"/>
  <c r="B1484" i="2"/>
  <c r="B1483" i="2"/>
  <c r="B1482" i="2"/>
  <c r="B1481" i="2"/>
  <c r="B1480" i="2"/>
  <c r="B1479" i="2"/>
  <c r="B1478" i="2"/>
  <c r="B1477" i="2"/>
  <c r="B1476" i="2"/>
  <c r="B1475" i="2"/>
  <c r="B1474" i="2"/>
  <c r="B1473" i="2"/>
  <c r="B1472" i="2"/>
  <c r="B1471" i="2"/>
  <c r="B1470" i="2"/>
  <c r="B1469" i="2"/>
  <c r="B1468" i="2"/>
  <c r="B1467" i="2"/>
  <c r="B1466" i="2"/>
  <c r="B1465" i="2"/>
  <c r="B1464" i="2"/>
  <c r="B1463" i="2"/>
  <c r="B1462" i="2"/>
  <c r="B1461" i="2"/>
  <c r="B1460" i="2"/>
  <c r="B1459" i="2"/>
  <c r="B1458" i="2"/>
  <c r="B1457" i="2"/>
  <c r="B1456" i="2"/>
  <c r="B1455" i="2"/>
  <c r="B1454" i="2"/>
  <c r="B1453" i="2"/>
  <c r="B1452" i="2"/>
  <c r="B1451" i="2"/>
  <c r="B1450" i="2"/>
  <c r="B1449" i="2"/>
  <c r="B1448" i="2"/>
  <c r="B1447" i="2"/>
  <c r="B1446" i="2"/>
  <c r="B1445" i="2"/>
  <c r="B1444" i="2"/>
  <c r="B1443" i="2"/>
  <c r="B1442" i="2"/>
  <c r="B1441" i="2"/>
  <c r="B1440" i="2"/>
  <c r="B1439" i="2"/>
  <c r="B1438" i="2"/>
  <c r="B1437" i="2"/>
  <c r="B1436" i="2"/>
  <c r="B1435" i="2"/>
  <c r="B1434" i="2"/>
  <c r="B1433" i="2"/>
  <c r="B1432" i="2"/>
  <c r="B1431" i="2"/>
  <c r="B1430" i="2"/>
  <c r="B1429" i="2"/>
  <c r="B1428" i="2"/>
  <c r="B1427" i="2"/>
  <c r="B1426" i="2"/>
  <c r="B1425" i="2"/>
  <c r="B1424" i="2"/>
  <c r="B1423" i="2"/>
  <c r="B1422" i="2"/>
  <c r="B1421" i="2"/>
  <c r="B1420" i="2"/>
  <c r="B1419" i="2"/>
  <c r="B1418" i="2"/>
  <c r="B1417" i="2"/>
  <c r="B1416" i="2"/>
  <c r="B1415" i="2"/>
  <c r="B1414" i="2"/>
  <c r="B1413" i="2"/>
  <c r="B1412" i="2"/>
  <c r="B1411" i="2"/>
  <c r="B1410" i="2"/>
  <c r="B1409" i="2"/>
  <c r="B1408" i="2"/>
  <c r="B1407" i="2"/>
  <c r="B1406" i="2"/>
  <c r="B1405" i="2"/>
  <c r="B1404" i="2"/>
  <c r="B1403" i="2"/>
  <c r="B1402" i="2"/>
  <c r="B1401" i="2"/>
  <c r="B1400" i="2"/>
  <c r="B1399" i="2"/>
  <c r="B1398" i="2"/>
  <c r="B1397" i="2"/>
  <c r="B1396" i="2"/>
  <c r="B1395" i="2"/>
  <c r="B1394" i="2"/>
  <c r="B1393" i="2"/>
  <c r="B1392" i="2"/>
  <c r="B1391" i="2"/>
  <c r="B1390" i="2"/>
  <c r="B1389" i="2"/>
  <c r="B1388" i="2"/>
  <c r="B1387" i="2"/>
  <c r="B1386" i="2"/>
  <c r="B1385" i="2"/>
  <c r="B1384" i="2"/>
  <c r="B1383" i="2"/>
  <c r="B1382" i="2"/>
  <c r="B1381" i="2"/>
  <c r="B1380" i="2"/>
  <c r="B1379" i="2"/>
  <c r="B1378" i="2"/>
  <c r="B1377" i="2"/>
  <c r="B1376" i="2"/>
  <c r="B1375" i="2"/>
  <c r="B1374" i="2"/>
  <c r="B1373" i="2"/>
  <c r="B1372" i="2"/>
  <c r="B1371" i="2"/>
  <c r="B1370" i="2"/>
  <c r="B1369" i="2"/>
  <c r="B1368" i="2"/>
  <c r="B1367" i="2"/>
  <c r="B1366" i="2"/>
  <c r="B1365" i="2"/>
  <c r="B1364" i="2"/>
  <c r="B1363" i="2"/>
  <c r="B1362" i="2"/>
  <c r="B1361" i="2"/>
  <c r="B1360" i="2"/>
  <c r="B1359" i="2"/>
  <c r="B1358" i="2"/>
  <c r="B1357" i="2"/>
  <c r="B1356" i="2"/>
  <c r="B1355" i="2"/>
  <c r="B1354" i="2"/>
  <c r="B1353" i="2"/>
  <c r="B1352" i="2"/>
  <c r="B1351" i="2"/>
  <c r="B1350" i="2"/>
  <c r="B1349" i="2"/>
  <c r="B1348" i="2"/>
  <c r="B1347" i="2"/>
  <c r="B1346" i="2"/>
  <c r="B1345" i="2"/>
  <c r="B1344" i="2"/>
  <c r="B1343" i="2"/>
  <c r="B1342" i="2"/>
  <c r="B1341" i="2"/>
  <c r="B1340" i="2"/>
  <c r="B1339" i="2"/>
  <c r="B1338" i="2"/>
  <c r="B1337" i="2"/>
  <c r="B1336" i="2"/>
  <c r="B1335" i="2"/>
  <c r="B1334" i="2"/>
  <c r="B1333" i="2"/>
  <c r="B1332" i="2"/>
  <c r="B1331" i="2"/>
  <c r="B1330" i="2"/>
  <c r="B1329" i="2"/>
  <c r="B1328" i="2"/>
  <c r="B1327" i="2"/>
  <c r="B1326" i="2"/>
  <c r="B1325" i="2"/>
  <c r="B1324" i="2"/>
  <c r="B1323" i="2"/>
  <c r="B1322" i="2"/>
  <c r="B1321" i="2"/>
  <c r="B1320" i="2"/>
  <c r="B1319" i="2"/>
  <c r="B1318" i="2"/>
  <c r="B1317" i="2"/>
  <c r="B1316" i="2"/>
  <c r="B1315" i="2"/>
  <c r="B1314" i="2"/>
  <c r="B1313" i="2"/>
  <c r="B1312" i="2"/>
  <c r="B1311" i="2"/>
  <c r="B1310" i="2"/>
  <c r="B1309" i="2"/>
  <c r="B1308" i="2"/>
  <c r="B1307" i="2"/>
  <c r="B1306" i="2"/>
  <c r="B1305" i="2"/>
  <c r="B1304" i="2"/>
  <c r="B1303" i="2"/>
  <c r="B1302" i="2"/>
  <c r="B1301" i="2"/>
  <c r="B1300" i="2"/>
  <c r="B1299" i="2"/>
  <c r="B1298" i="2"/>
  <c r="B1297" i="2"/>
  <c r="B1296" i="2"/>
  <c r="B1295" i="2"/>
  <c r="B1294" i="2"/>
  <c r="B1293" i="2"/>
  <c r="B1292" i="2"/>
  <c r="B1291" i="2"/>
  <c r="B1290" i="2"/>
  <c r="B1289" i="2"/>
  <c r="B1288" i="2"/>
  <c r="B1287" i="2"/>
  <c r="B1286" i="2"/>
  <c r="B1285" i="2"/>
  <c r="B1284" i="2"/>
  <c r="B1283" i="2"/>
  <c r="B1282" i="2"/>
  <c r="B1281" i="2"/>
  <c r="B1280" i="2"/>
  <c r="B1279" i="2"/>
  <c r="B1278" i="2"/>
  <c r="B1277" i="2"/>
  <c r="B1276" i="2"/>
  <c r="B1275" i="2"/>
  <c r="B1274" i="2"/>
  <c r="B1273" i="2"/>
  <c r="B1272" i="2"/>
  <c r="B1271" i="2"/>
  <c r="B1270" i="2"/>
  <c r="B1269" i="2"/>
  <c r="B1268" i="2"/>
  <c r="B1267" i="2"/>
  <c r="B1266" i="2"/>
  <c r="B1265" i="2"/>
  <c r="B1264" i="2"/>
  <c r="B1263" i="2"/>
  <c r="B1262" i="2"/>
  <c r="B1261" i="2"/>
  <c r="B1260" i="2"/>
  <c r="B1259" i="2"/>
  <c r="B1258" i="2"/>
  <c r="B1257" i="2"/>
  <c r="B1256" i="2"/>
  <c r="B1255" i="2"/>
  <c r="B1254" i="2"/>
  <c r="B1253" i="2"/>
  <c r="B1252" i="2"/>
  <c r="B1251" i="2"/>
  <c r="B1250" i="2"/>
  <c r="B1249" i="2"/>
  <c r="B1248" i="2"/>
  <c r="B1247" i="2"/>
  <c r="B1246" i="2"/>
  <c r="B1245" i="2"/>
  <c r="B1244" i="2"/>
  <c r="B1243" i="2"/>
  <c r="B1242" i="2"/>
  <c r="B1241" i="2"/>
  <c r="B1240" i="2"/>
  <c r="B1239" i="2"/>
  <c r="B1238" i="2"/>
  <c r="B1237" i="2"/>
  <c r="B1236" i="2"/>
  <c r="B1235" i="2"/>
  <c r="B1234" i="2"/>
  <c r="B1233" i="2"/>
  <c r="B1232" i="2"/>
  <c r="B1231" i="2"/>
  <c r="B1230" i="2"/>
  <c r="B1229" i="2"/>
  <c r="B1228" i="2"/>
  <c r="B1227" i="2"/>
  <c r="B1226" i="2"/>
  <c r="B1225" i="2"/>
  <c r="B1224" i="2"/>
  <c r="B1223" i="2"/>
  <c r="B1222" i="2"/>
  <c r="B1221" i="2"/>
  <c r="B1220" i="2"/>
  <c r="B1219" i="2"/>
  <c r="B1218" i="2"/>
  <c r="B1217" i="2"/>
  <c r="B1216" i="2"/>
  <c r="B1215" i="2"/>
  <c r="B1214" i="2"/>
  <c r="B1213" i="2"/>
  <c r="B1212" i="2"/>
  <c r="B1211" i="2"/>
  <c r="B1210" i="2"/>
  <c r="B1209" i="2"/>
  <c r="B1208" i="2"/>
  <c r="B1207" i="2"/>
  <c r="B1206" i="2"/>
  <c r="B1205" i="2"/>
  <c r="B1204" i="2"/>
  <c r="B1203" i="2"/>
  <c r="B1202" i="2"/>
  <c r="B1201" i="2"/>
  <c r="B1200" i="2"/>
  <c r="B1199" i="2"/>
  <c r="B1198" i="2"/>
  <c r="B1197" i="2"/>
  <c r="B1196" i="2"/>
  <c r="B1195" i="2"/>
  <c r="B1194" i="2"/>
  <c r="B1193" i="2"/>
  <c r="B1192" i="2"/>
  <c r="B1191" i="2"/>
  <c r="B1190" i="2"/>
  <c r="B1189" i="2"/>
  <c r="B1188" i="2"/>
  <c r="B1187" i="2"/>
  <c r="B1186" i="2"/>
  <c r="B1185" i="2"/>
  <c r="B1184" i="2"/>
  <c r="B1183" i="2"/>
  <c r="B1182" i="2"/>
  <c r="B1181" i="2"/>
  <c r="B1180" i="2"/>
  <c r="B1179" i="2"/>
  <c r="B1178" i="2"/>
  <c r="B1177" i="2"/>
  <c r="B1176" i="2"/>
  <c r="B1175" i="2"/>
  <c r="B1174" i="2"/>
  <c r="B1173" i="2"/>
  <c r="B1172" i="2"/>
  <c r="B1171" i="2"/>
  <c r="B1170" i="2"/>
  <c r="B1169" i="2"/>
  <c r="B1168" i="2"/>
  <c r="B1167" i="2"/>
  <c r="B1166" i="2"/>
  <c r="B1165" i="2"/>
  <c r="B1164" i="2"/>
  <c r="B1163" i="2"/>
  <c r="B1162" i="2"/>
  <c r="B1161" i="2"/>
  <c r="B1160" i="2"/>
  <c r="B1159" i="2"/>
  <c r="B1158" i="2"/>
  <c r="B1157" i="2"/>
  <c r="B1156" i="2"/>
  <c r="B1155" i="2"/>
  <c r="B1154" i="2"/>
  <c r="B1153" i="2"/>
  <c r="B1152" i="2"/>
  <c r="B1151" i="2"/>
  <c r="B1150" i="2"/>
  <c r="B1149" i="2"/>
  <c r="B1148" i="2"/>
  <c r="B1147" i="2"/>
  <c r="B1146" i="2"/>
  <c r="B1145" i="2"/>
  <c r="B1144" i="2"/>
  <c r="B1143" i="2"/>
  <c r="B1142" i="2"/>
  <c r="B1141" i="2"/>
  <c r="B1140" i="2"/>
  <c r="B1139" i="2"/>
  <c r="B1138" i="2"/>
  <c r="B1137" i="2"/>
  <c r="B1136" i="2"/>
  <c r="B1135" i="2"/>
  <c r="B1134" i="2"/>
  <c r="B1133" i="2"/>
  <c r="B1132" i="2"/>
  <c r="B1131" i="2"/>
  <c r="B1130" i="2"/>
  <c r="B1129" i="2"/>
  <c r="B1128" i="2"/>
  <c r="B1127" i="2"/>
  <c r="B1126" i="2"/>
  <c r="B1125" i="2"/>
  <c r="B1124" i="2"/>
  <c r="B1123" i="2"/>
  <c r="B1122" i="2"/>
  <c r="B1121" i="2"/>
  <c r="B1120" i="2"/>
  <c r="B1119" i="2"/>
  <c r="B1118" i="2"/>
  <c r="B1117" i="2"/>
  <c r="B1116" i="2"/>
  <c r="B1115" i="2"/>
  <c r="B1114" i="2"/>
  <c r="B1113" i="2"/>
  <c r="B1112" i="2"/>
  <c r="B1111" i="2"/>
  <c r="B1110" i="2"/>
  <c r="B1109" i="2"/>
  <c r="B1108" i="2"/>
  <c r="B1107" i="2"/>
  <c r="B1106" i="2"/>
  <c r="B1105" i="2"/>
  <c r="B1104" i="2"/>
  <c r="B1103" i="2"/>
  <c r="B1102" i="2"/>
  <c r="B1101" i="2"/>
  <c r="B1100" i="2"/>
  <c r="B1099" i="2"/>
  <c r="B1098" i="2"/>
  <c r="B1097" i="2"/>
  <c r="B1096" i="2"/>
  <c r="B1095" i="2"/>
  <c r="B1094" i="2"/>
  <c r="B1093" i="2"/>
  <c r="B1092" i="2"/>
  <c r="B1091" i="2"/>
  <c r="B1090" i="2"/>
  <c r="B1089" i="2"/>
  <c r="B1088" i="2"/>
  <c r="B1087" i="2"/>
  <c r="B1086" i="2"/>
  <c r="B1085" i="2"/>
  <c r="B1084" i="2"/>
  <c r="B1083" i="2"/>
  <c r="B1082" i="2"/>
  <c r="B1081" i="2"/>
  <c r="B1080" i="2"/>
  <c r="B1079" i="2"/>
  <c r="B1078" i="2"/>
  <c r="B1077" i="2"/>
  <c r="B1076" i="2"/>
  <c r="B1075" i="2"/>
  <c r="B1074" i="2"/>
  <c r="B1073" i="2"/>
  <c r="B1072" i="2"/>
  <c r="B1071" i="2"/>
  <c r="B1070" i="2"/>
  <c r="B1069" i="2"/>
  <c r="B1068" i="2"/>
  <c r="B1067" i="2"/>
  <c r="B1066" i="2"/>
  <c r="B1065" i="2"/>
  <c r="B1064" i="2"/>
  <c r="B1063" i="2"/>
  <c r="B1062" i="2"/>
  <c r="B1061" i="2"/>
  <c r="B1060" i="2"/>
  <c r="B1059" i="2"/>
  <c r="B1058" i="2"/>
  <c r="B1057" i="2"/>
  <c r="B1056" i="2"/>
  <c r="B1055" i="2"/>
  <c r="B1054" i="2"/>
  <c r="B1053" i="2"/>
  <c r="B1052" i="2"/>
  <c r="B1051" i="2"/>
  <c r="B1050" i="2"/>
  <c r="B1049" i="2"/>
  <c r="B1048" i="2"/>
  <c r="B1047" i="2"/>
  <c r="B1046" i="2"/>
  <c r="B1045" i="2"/>
  <c r="B1044" i="2"/>
  <c r="B1043" i="2"/>
  <c r="B1042" i="2"/>
  <c r="B1041" i="2"/>
  <c r="B1040" i="2"/>
  <c r="B1039" i="2"/>
  <c r="B1038" i="2"/>
  <c r="B1037" i="2"/>
  <c r="B1036" i="2"/>
  <c r="B1035" i="2"/>
  <c r="B1034" i="2"/>
  <c r="B1033" i="2"/>
  <c r="B1032" i="2"/>
  <c r="B1031" i="2"/>
  <c r="B1030" i="2"/>
  <c r="B1029" i="2"/>
  <c r="B1028" i="2"/>
  <c r="B1027" i="2"/>
  <c r="B1026" i="2"/>
  <c r="B1025" i="2"/>
  <c r="B1024" i="2"/>
  <c r="B1023" i="2"/>
  <c r="B1022" i="2"/>
  <c r="B1021" i="2"/>
  <c r="B1020" i="2"/>
  <c r="B1019" i="2"/>
  <c r="B1018" i="2"/>
  <c r="B1017" i="2"/>
  <c r="B1016" i="2"/>
  <c r="B1015" i="2"/>
  <c r="B1014" i="2"/>
  <c r="B1013" i="2"/>
  <c r="B1012" i="2"/>
  <c r="B1011" i="2"/>
  <c r="B1010" i="2"/>
  <c r="B1009" i="2"/>
  <c r="B1008" i="2"/>
  <c r="B1007" i="2"/>
  <c r="B1006" i="2"/>
  <c r="B1005" i="2"/>
  <c r="B1004" i="2"/>
  <c r="B1003" i="2"/>
  <c r="B1002" i="2"/>
  <c r="B1001" i="2"/>
  <c r="B1000" i="2"/>
  <c r="B999" i="2"/>
  <c r="B998" i="2"/>
  <c r="B997" i="2"/>
  <c r="B996" i="2"/>
  <c r="B995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677" i="2"/>
  <c r="B676" i="2"/>
  <c r="B675" i="2"/>
  <c r="B674" i="2"/>
  <c r="B673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5" i="2"/>
  <c r="B124" i="2"/>
  <c r="B123" i="2"/>
  <c r="B122" i="2"/>
  <c r="B121" i="2"/>
  <c r="B120" i="2"/>
  <c r="B113" i="2"/>
  <c r="B112" i="2"/>
  <c r="B111" i="2"/>
  <c r="B119" i="2"/>
  <c r="B118" i="2"/>
  <c r="B117" i="2"/>
  <c r="B116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115" i="2"/>
  <c r="B114" i="2"/>
  <c r="B26" i="2"/>
  <c r="B25" i="2"/>
  <c r="B24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7" i="2"/>
  <c r="B6" i="2"/>
  <c r="B5" i="2"/>
  <c r="B4" i="2"/>
  <c r="R61" i="9"/>
  <c r="R39" i="9"/>
  <c r="R66" i="9"/>
  <c r="R71" i="9"/>
  <c r="P60" i="9"/>
  <c r="R5" i="9"/>
  <c r="I65" i="9"/>
  <c r="R21" i="9"/>
  <c r="R22" i="9"/>
  <c r="R68" i="9"/>
  <c r="R26" i="9"/>
  <c r="R24" i="9"/>
  <c r="R55" i="9"/>
  <c r="R58" i="9"/>
  <c r="R20" i="9"/>
  <c r="R62" i="9"/>
  <c r="R56" i="9"/>
  <c r="R19" i="9"/>
  <c r="R64" i="9"/>
  <c r="R63" i="9"/>
  <c r="R47" i="9"/>
  <c r="R65" i="9"/>
  <c r="R11" i="9"/>
  <c r="R37" i="9"/>
  <c r="R10" i="9"/>
  <c r="R67" i="9"/>
  <c r="R57" i="9"/>
  <c r="R36" i="9"/>
  <c r="Y19" i="9" l="1"/>
  <c r="AG37" i="84"/>
  <c r="AG50" i="84"/>
  <c r="AG24" i="84"/>
  <c r="AG11" i="84"/>
  <c r="AH3" i="84"/>
  <c r="AG37" i="83"/>
  <c r="AG24" i="83"/>
  <c r="AG50" i="83"/>
  <c r="AG11" i="83"/>
  <c r="AH3" i="83"/>
  <c r="AG24" i="82"/>
  <c r="AG37" i="82"/>
  <c r="AG50" i="82"/>
  <c r="AG11" i="82"/>
  <c r="AH3" i="82"/>
  <c r="AG37" i="78"/>
  <c r="AG50" i="78"/>
  <c r="AG11" i="78"/>
  <c r="AG50" i="79"/>
  <c r="AG24" i="80"/>
  <c r="AG37" i="80"/>
  <c r="AG11" i="80"/>
  <c r="AH3" i="80"/>
  <c r="AG50" i="80"/>
  <c r="AH3" i="79"/>
  <c r="AG24" i="79"/>
  <c r="AG11" i="79"/>
  <c r="AH3" i="78"/>
  <c r="AG50" i="81"/>
  <c r="AG11" i="81"/>
  <c r="AG37" i="81"/>
  <c r="AG24" i="81"/>
  <c r="AH3" i="81"/>
  <c r="K7" i="61"/>
  <c r="N6" i="79"/>
  <c r="N7" i="79" s="1"/>
  <c r="J6" i="79"/>
  <c r="K3" i="79" s="1"/>
  <c r="M154" i="2"/>
  <c r="N154" i="2" s="1"/>
  <c r="K6" i="72"/>
  <c r="K65" i="9"/>
  <c r="M65" i="9" s="1"/>
  <c r="N65" i="9" s="1"/>
  <c r="N7" i="72"/>
  <c r="O6" i="72" s="1"/>
  <c r="M54" i="78"/>
  <c r="I54" i="78" s="1"/>
  <c r="K54" i="78" s="1"/>
  <c r="I52" i="78"/>
  <c r="K52" i="78" s="1"/>
  <c r="AG11" i="76"/>
  <c r="AH3" i="76"/>
  <c r="AG50" i="76"/>
  <c r="AG37" i="76"/>
  <c r="AG37" i="77"/>
  <c r="AG24" i="77"/>
  <c r="AG50" i="77"/>
  <c r="AG11" i="77"/>
  <c r="AH3" i="77"/>
  <c r="AH3" i="75"/>
  <c r="AG11" i="75"/>
  <c r="AG24" i="75"/>
  <c r="AG50" i="75"/>
  <c r="AG24" i="72"/>
  <c r="AG50" i="72"/>
  <c r="AG37" i="72"/>
  <c r="AG11" i="72"/>
  <c r="AH3" i="72"/>
  <c r="AG50" i="73"/>
  <c r="AG37" i="73"/>
  <c r="AG24" i="73"/>
  <c r="AG11" i="73"/>
  <c r="AH3" i="73"/>
  <c r="AG37" i="70"/>
  <c r="AG50" i="70"/>
  <c r="AG24" i="70"/>
  <c r="AG11" i="70"/>
  <c r="AH3" i="70"/>
  <c r="AG24" i="69"/>
  <c r="AG37" i="69"/>
  <c r="AG11" i="69"/>
  <c r="AG50" i="69"/>
  <c r="AH3" i="69"/>
  <c r="AG24" i="74"/>
  <c r="AG11" i="74"/>
  <c r="AG37" i="74"/>
  <c r="AG50" i="74"/>
  <c r="AH3" i="74"/>
  <c r="AG37" i="71"/>
  <c r="AG11" i="71"/>
  <c r="AG50" i="71"/>
  <c r="AG24" i="71"/>
  <c r="AH3" i="71"/>
  <c r="AG37" i="68"/>
  <c r="AG50" i="68"/>
  <c r="AG24" i="68"/>
  <c r="AG11" i="68"/>
  <c r="AH3" i="68"/>
  <c r="AG24" i="67"/>
  <c r="AG37" i="67"/>
  <c r="AG50" i="67"/>
  <c r="AG11" i="67"/>
  <c r="AH3" i="67"/>
  <c r="AG24" i="66"/>
  <c r="AG50" i="66"/>
  <c r="AG37" i="66"/>
  <c r="AG11" i="66"/>
  <c r="AH3" i="66"/>
  <c r="AG11" i="65"/>
  <c r="AG24" i="65"/>
  <c r="AG37" i="65"/>
  <c r="AG50" i="65"/>
  <c r="AH3" i="65"/>
  <c r="K50" i="66"/>
  <c r="AG11" i="64"/>
  <c r="AG24" i="64"/>
  <c r="AG50" i="64"/>
  <c r="AG37" i="64"/>
  <c r="AH3" i="64"/>
  <c r="AG50" i="62"/>
  <c r="AG50" i="60"/>
  <c r="AG11" i="61"/>
  <c r="AG50" i="61"/>
  <c r="AH3" i="62"/>
  <c r="AG24" i="62"/>
  <c r="AG24" i="60"/>
  <c r="AG37" i="60"/>
  <c r="AG11" i="60"/>
  <c r="AH3" i="61"/>
  <c r="AG37" i="62"/>
  <c r="AH3" i="63"/>
  <c r="AG24" i="63"/>
  <c r="AG50" i="63"/>
  <c r="AG24" i="61"/>
  <c r="AG37" i="63"/>
  <c r="N4" i="2"/>
  <c r="N5" i="2"/>
  <c r="AG37" i="41"/>
  <c r="AG24" i="41"/>
  <c r="AG11" i="41"/>
  <c r="AH3" i="41"/>
  <c r="AG50" i="41"/>
  <c r="L5" i="2"/>
  <c r="L4" i="2"/>
  <c r="I68" i="9"/>
  <c r="K6" i="79" l="1"/>
  <c r="M150" i="2"/>
  <c r="N150" i="2" s="1"/>
  <c r="O150" i="2" s="1"/>
  <c r="K68" i="9"/>
  <c r="M68" i="9" s="1"/>
  <c r="N68" i="9" s="1"/>
  <c r="J7" i="79"/>
  <c r="K7" i="79" s="1"/>
  <c r="O5" i="79"/>
  <c r="O3" i="79"/>
  <c r="O4" i="79"/>
  <c r="O6" i="79"/>
  <c r="O154" i="2"/>
  <c r="N152" i="2"/>
  <c r="O152" i="2" s="1"/>
  <c r="K50" i="78"/>
  <c r="J50" i="78" s="1"/>
  <c r="O5" i="72"/>
  <c r="O3" i="72"/>
  <c r="O4" i="72"/>
  <c r="J50" i="66"/>
  <c r="N6" i="66"/>
  <c r="J6" i="66"/>
  <c r="L2" i="2"/>
  <c r="O5" i="2"/>
  <c r="O4" i="2"/>
  <c r="G7" i="41"/>
  <c r="J7" i="41"/>
  <c r="K7" i="41" s="1"/>
  <c r="I6" i="41"/>
  <c r="K6" i="41" s="1"/>
  <c r="J6" i="78" l="1"/>
  <c r="K3" i="78" s="1"/>
  <c r="N6" i="78"/>
  <c r="N7" i="78" s="1"/>
  <c r="O6" i="78" s="1"/>
  <c r="K3" i="66"/>
  <c r="K6" i="66"/>
  <c r="N7" i="66"/>
  <c r="O6" i="66" s="1"/>
  <c r="I26" i="9"/>
  <c r="I67" i="9"/>
  <c r="M16" i="2" l="1"/>
  <c r="N16" i="2" s="1"/>
  <c r="M29" i="2"/>
  <c r="N29" i="2" s="1"/>
  <c r="O29" i="2" s="1"/>
  <c r="M25" i="2"/>
  <c r="N25" i="2" s="1"/>
  <c r="M151" i="2"/>
  <c r="N151" i="2" s="1"/>
  <c r="M31" i="2"/>
  <c r="N31" i="2" s="1"/>
  <c r="K6" i="78"/>
  <c r="K67" i="9"/>
  <c r="M67" i="9" s="1"/>
  <c r="N67" i="9" s="1"/>
  <c r="O5" i="78"/>
  <c r="O4" i="78"/>
  <c r="O3" i="78"/>
  <c r="J7" i="78"/>
  <c r="K7" i="78" s="1"/>
  <c r="K26" i="9"/>
  <c r="J7" i="66"/>
  <c r="K7" i="66" s="1"/>
  <c r="O5" i="66"/>
  <c r="O4" i="66"/>
  <c r="O3" i="66"/>
  <c r="O16" i="2" l="1"/>
  <c r="N14" i="2"/>
  <c r="O14" i="2" s="1"/>
  <c r="O25" i="2"/>
  <c r="N23" i="2"/>
  <c r="O23" i="2" s="1"/>
  <c r="O31" i="2"/>
  <c r="N28" i="2"/>
  <c r="O151" i="2"/>
  <c r="N147" i="2"/>
  <c r="O147" i="2" s="1"/>
  <c r="N141" i="2"/>
  <c r="O141" i="2" s="1"/>
  <c r="M26" i="9"/>
  <c r="O28" i="2" l="1"/>
  <c r="N26" i="9"/>
  <c r="G7" i="76" l="1"/>
  <c r="R73" i="9"/>
  <c r="I6" i="76"/>
  <c r="I56" i="76"/>
  <c r="K56" i="76" s="1"/>
  <c r="I52" i="76"/>
  <c r="K52" i="76" s="1"/>
  <c r="I58" i="76"/>
  <c r="K58" i="76" s="1"/>
  <c r="I55" i="76"/>
  <c r="K55" i="76" s="1"/>
  <c r="I62" i="76"/>
  <c r="K62" i="76" s="1"/>
  <c r="P73" i="9"/>
  <c r="P84" i="9"/>
  <c r="R93" i="9"/>
  <c r="P92" i="9"/>
  <c r="R74" i="9"/>
  <c r="R88" i="9"/>
  <c r="P87" i="9"/>
  <c r="P86" i="9"/>
  <c r="R81" i="9"/>
  <c r="P78" i="9"/>
  <c r="R60" i="9"/>
  <c r="P83" i="9"/>
  <c r="P94" i="9"/>
  <c r="P90" i="9"/>
  <c r="P74" i="9"/>
  <c r="R75" i="9"/>
  <c r="P82" i="9"/>
  <c r="R84" i="9"/>
  <c r="P76" i="9"/>
  <c r="R91" i="9"/>
  <c r="R86" i="9"/>
  <c r="P79" i="9"/>
  <c r="R87" i="9"/>
  <c r="P85" i="9"/>
  <c r="R94" i="9"/>
  <c r="P91" i="9"/>
  <c r="P93" i="9"/>
  <c r="P89" i="9"/>
  <c r="P80" i="9"/>
  <c r="P88" i="9"/>
  <c r="R72" i="9"/>
  <c r="R82" i="9"/>
  <c r="P75" i="9"/>
  <c r="R90" i="9"/>
  <c r="R85" i="9"/>
  <c r="R80" i="9"/>
  <c r="R79" i="9"/>
  <c r="P81" i="9"/>
  <c r="R77" i="9"/>
  <c r="R89" i="9"/>
  <c r="R92" i="9"/>
  <c r="R76" i="9"/>
  <c r="P72" i="9"/>
  <c r="R83" i="9"/>
  <c r="P77" i="9"/>
  <c r="R78" i="9"/>
  <c r="J24" i="76" l="1"/>
  <c r="J11" i="76"/>
  <c r="J37" i="76"/>
  <c r="D60" i="76"/>
  <c r="O17" i="76"/>
  <c r="D32" i="76"/>
  <c r="D41" i="76"/>
  <c r="O19" i="76"/>
  <c r="D20" i="76"/>
  <c r="D36" i="76"/>
  <c r="D45" i="76"/>
  <c r="I53" i="76"/>
  <c r="K53" i="76" s="1"/>
  <c r="D54" i="76"/>
  <c r="D15" i="76"/>
  <c r="D26" i="76"/>
  <c r="D37" i="76"/>
  <c r="D46" i="76"/>
  <c r="O14" i="76"/>
  <c r="I54" i="76"/>
  <c r="K54" i="76" s="1"/>
  <c r="D55" i="76"/>
  <c r="I60" i="76"/>
  <c r="K60" i="76" s="1"/>
  <c r="D61" i="76"/>
  <c r="O15" i="76"/>
  <c r="D28" i="76"/>
  <c r="D38" i="76"/>
  <c r="D56" i="76"/>
  <c r="D22" i="76"/>
  <c r="D29" i="76"/>
  <c r="D48" i="76"/>
  <c r="I61" i="76"/>
  <c r="K61" i="76" s="1"/>
  <c r="D62" i="76"/>
  <c r="D11" i="76"/>
  <c r="O16" i="76"/>
  <c r="D17" i="76"/>
  <c r="D30" i="76"/>
  <c r="D49" i="76"/>
  <c r="D57" i="76"/>
  <c r="D13" i="76"/>
  <c r="D24" i="76"/>
  <c r="D33" i="76"/>
  <c r="D52" i="76"/>
  <c r="D59" i="76"/>
  <c r="O12" i="76"/>
  <c r="D19" i="76"/>
  <c r="O23" i="76"/>
  <c r="D42" i="76"/>
  <c r="D14" i="76"/>
  <c r="O18" i="76"/>
  <c r="D25" i="76"/>
  <c r="D34" i="76"/>
  <c r="D43" i="76"/>
  <c r="D53" i="76"/>
  <c r="I59" i="76"/>
  <c r="K59" i="76" s="1"/>
  <c r="O13" i="76"/>
  <c r="D35" i="76"/>
  <c r="D44" i="76"/>
  <c r="D16" i="76"/>
  <c r="O20" i="76"/>
  <c r="D21" i="76"/>
  <c r="D27" i="76"/>
  <c r="D47" i="76"/>
  <c r="O21" i="76"/>
  <c r="D39" i="76"/>
  <c r="D31" i="76"/>
  <c r="D40" i="76"/>
  <c r="D50" i="76"/>
  <c r="D12" i="76"/>
  <c r="D23" i="76"/>
  <c r="D18" i="76"/>
  <c r="O22" i="76"/>
  <c r="D51" i="76"/>
  <c r="I57" i="76"/>
  <c r="K57" i="76" s="1"/>
  <c r="I51" i="76"/>
  <c r="K51" i="76" s="1"/>
  <c r="D58" i="76"/>
  <c r="K50" i="76" l="1"/>
  <c r="J6" i="76" l="1"/>
  <c r="N6" i="76"/>
  <c r="J50" i="76"/>
  <c r="N7" i="76" l="1"/>
  <c r="O6" i="76" s="1"/>
  <c r="K3" i="76"/>
  <c r="K6" i="76"/>
  <c r="I93" i="9"/>
  <c r="I88" i="9"/>
  <c r="I92" i="9"/>
  <c r="I85" i="9"/>
  <c r="I89" i="9"/>
  <c r="I81" i="9"/>
  <c r="I77" i="9"/>
  <c r="I80" i="9"/>
  <c r="I74" i="9"/>
  <c r="I75" i="9"/>
  <c r="I78" i="9"/>
  <c r="I79" i="9"/>
  <c r="I83" i="9"/>
  <c r="I72" i="9"/>
  <c r="I82" i="9"/>
  <c r="I84" i="9"/>
  <c r="I73" i="9"/>
  <c r="I90" i="9"/>
  <c r="I94" i="9"/>
  <c r="I76" i="9"/>
  <c r="I60" i="9"/>
  <c r="I86" i="9"/>
  <c r="I87" i="9"/>
  <c r="I91" i="9"/>
  <c r="M134" i="2" l="1"/>
  <c r="N134" i="2" s="1"/>
  <c r="K60" i="9"/>
  <c r="K86" i="9"/>
  <c r="M86" i="9" s="1"/>
  <c r="N86" i="9" s="1"/>
  <c r="K79" i="9"/>
  <c r="M79" i="9" s="1"/>
  <c r="N79" i="9" s="1"/>
  <c r="K90" i="9"/>
  <c r="M90" i="9" s="1"/>
  <c r="N90" i="9" s="1"/>
  <c r="K81" i="9"/>
  <c r="M81" i="9" s="1"/>
  <c r="N81" i="9" s="1"/>
  <c r="K83" i="9"/>
  <c r="M83" i="9" s="1"/>
  <c r="N83" i="9" s="1"/>
  <c r="K78" i="9"/>
  <c r="M78" i="9" s="1"/>
  <c r="N78" i="9" s="1"/>
  <c r="K75" i="9"/>
  <c r="M75" i="9" s="1"/>
  <c r="N75" i="9" s="1"/>
  <c r="K76" i="9"/>
  <c r="M76" i="9" s="1"/>
  <c r="N76" i="9" s="1"/>
  <c r="K94" i="9"/>
  <c r="M94" i="9" s="1"/>
  <c r="N94" i="9" s="1"/>
  <c r="K74" i="9"/>
  <c r="M74" i="9" s="1"/>
  <c r="N74" i="9" s="1"/>
  <c r="K92" i="9"/>
  <c r="M92" i="9" s="1"/>
  <c r="N92" i="9" s="1"/>
  <c r="K87" i="9"/>
  <c r="M87" i="9" s="1"/>
  <c r="N87" i="9" s="1"/>
  <c r="K82" i="9"/>
  <c r="M82" i="9" s="1"/>
  <c r="N82" i="9" s="1"/>
  <c r="K80" i="9"/>
  <c r="M80" i="9" s="1"/>
  <c r="N80" i="9" s="1"/>
  <c r="K72" i="9"/>
  <c r="M72" i="9" s="1"/>
  <c r="N72" i="9" s="1"/>
  <c r="K84" i="9"/>
  <c r="M84" i="9" s="1"/>
  <c r="N84" i="9" s="1"/>
  <c r="K73" i="9"/>
  <c r="M73" i="9" s="1"/>
  <c r="N73" i="9" s="1"/>
  <c r="K88" i="9"/>
  <c r="M88" i="9" s="1"/>
  <c r="N88" i="9" s="1"/>
  <c r="K93" i="9"/>
  <c r="M93" i="9" s="1"/>
  <c r="N93" i="9" s="1"/>
  <c r="K85" i="9"/>
  <c r="M85" i="9" s="1"/>
  <c r="N85" i="9" s="1"/>
  <c r="K89" i="9"/>
  <c r="M89" i="9" s="1"/>
  <c r="N89" i="9" s="1"/>
  <c r="K77" i="9"/>
  <c r="M77" i="9" s="1"/>
  <c r="N77" i="9" s="1"/>
  <c r="K91" i="9"/>
  <c r="M91" i="9" s="1"/>
  <c r="N91" i="9" s="1"/>
  <c r="J7" i="76"/>
  <c r="K7" i="76" s="1"/>
  <c r="O3" i="76"/>
  <c r="O5" i="76"/>
  <c r="O4" i="76"/>
  <c r="N33" i="2" l="1"/>
  <c r="O33" i="2" s="1"/>
  <c r="N34" i="2"/>
  <c r="O34" i="2" s="1"/>
  <c r="N32" i="2"/>
  <c r="N133" i="2"/>
  <c r="O133" i="2" s="1"/>
  <c r="O134" i="2"/>
  <c r="N114" i="2"/>
  <c r="O114" i="2" s="1"/>
  <c r="M60" i="9"/>
  <c r="K95" i="9"/>
  <c r="O32" i="2" l="1"/>
  <c r="N30" i="2"/>
  <c r="N26" i="2" s="1"/>
  <c r="O26" i="2" s="1"/>
  <c r="N19" i="2"/>
  <c r="N60" i="9"/>
  <c r="M95" i="9"/>
  <c r="N95" i="9" s="1"/>
  <c r="O19" i="2" l="1"/>
  <c r="N17" i="2"/>
  <c r="O17" i="2" s="1"/>
  <c r="N10" i="2"/>
  <c r="O10" i="2" s="1"/>
  <c r="O30" i="2"/>
  <c r="N27" i="2"/>
  <c r="O27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Anderson Ferraz De Aguiar</author>
  </authors>
  <commentList>
    <comment ref="I3" authorId="0" shapeId="0" xr:uid="{00000000-0006-0000-0100-000001000000}">
      <text>
        <r>
          <rPr>
            <sz val="9"/>
            <color indexed="81"/>
            <rFont val="Segoe UI"/>
            <family val="2"/>
          </rPr>
          <t xml:space="preserve">k -&gt; coeficiente multiplicador para calculo da quantidade do agrupador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Anderson Ferraz De Aguiar</author>
  </authors>
  <commentList>
    <comment ref="H10" authorId="0" shapeId="0" xr:uid="{00000000-0006-0000-0B00-000001000000}">
      <text>
        <r>
          <rPr>
            <sz val="9"/>
            <color indexed="81"/>
            <rFont val="Segoe UI"/>
            <family val="2"/>
          </rPr>
          <t>Nº de equipamentos / funcionários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Anderson Ferraz De Aguiar</author>
  </authors>
  <commentList>
    <comment ref="H10" authorId="0" shapeId="0" xr:uid="{4E26129A-2509-4396-955A-2FAFBBA05CAA}">
      <text>
        <r>
          <rPr>
            <sz val="9"/>
            <color indexed="81"/>
            <rFont val="Segoe UI"/>
            <family val="2"/>
          </rPr>
          <t>Nº de equipamentos / funcionários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Anderson Ferraz De Aguiar</author>
  </authors>
  <commentList>
    <comment ref="H10" authorId="0" shapeId="0" xr:uid="{3462F5AC-A62C-455C-BEE9-48585B840C92}">
      <text>
        <r>
          <rPr>
            <sz val="9"/>
            <color indexed="81"/>
            <rFont val="Segoe UI"/>
            <family val="2"/>
          </rPr>
          <t>Nº de equipamentos / funcionários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Anderson Ferraz De Aguiar</author>
  </authors>
  <commentList>
    <comment ref="H10" authorId="0" shapeId="0" xr:uid="{95C318A3-E8F5-4129-A222-899871816A14}">
      <text>
        <r>
          <rPr>
            <sz val="9"/>
            <color indexed="81"/>
            <rFont val="Segoe UI"/>
            <family val="2"/>
          </rPr>
          <t>Nº de equipamentos / funcionários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Anderson Ferraz De Aguiar</author>
  </authors>
  <commentList>
    <comment ref="H10" authorId="0" shapeId="0" xr:uid="{1041E457-BC14-4B8F-8245-61B62021AAB0}">
      <text>
        <r>
          <rPr>
            <sz val="9"/>
            <color indexed="81"/>
            <rFont val="Segoe UI"/>
            <family val="2"/>
          </rPr>
          <t>Nº de equipamentos / funcionários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Anderson Ferraz De Aguiar</author>
  </authors>
  <commentList>
    <comment ref="H10" authorId="0" shapeId="0" xr:uid="{2622C9F4-3EB5-431B-86B3-6361C819F686}">
      <text>
        <r>
          <rPr>
            <sz val="9"/>
            <color indexed="81"/>
            <rFont val="Segoe UI"/>
            <family val="2"/>
          </rPr>
          <t>Nº de equipamentos / funcionários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Anderson Ferraz De Aguiar</author>
  </authors>
  <commentList>
    <comment ref="H10" authorId="0" shapeId="0" xr:uid="{2EF12AF9-692A-4C64-96FE-E3549840AE85}">
      <text>
        <r>
          <rPr>
            <sz val="9"/>
            <color indexed="81"/>
            <rFont val="Segoe UI"/>
            <family val="2"/>
          </rPr>
          <t>Nº de equipamentos / funcionários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Anderson Ferraz De Aguiar</author>
  </authors>
  <commentList>
    <comment ref="H10" authorId="0" shapeId="0" xr:uid="{DA29B547-7ED3-47B3-B198-565A8ACE1903}">
      <text>
        <r>
          <rPr>
            <sz val="9"/>
            <color indexed="81"/>
            <rFont val="Segoe UI"/>
            <family val="2"/>
          </rPr>
          <t>Nº de equipamentos / funcionários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Anderson Ferraz De Aguiar</author>
  </authors>
  <commentList>
    <comment ref="H10" authorId="0" shapeId="0" xr:uid="{788AE06B-6F1F-4967-B27F-CEBE8DC9F571}">
      <text>
        <r>
          <rPr>
            <sz val="9"/>
            <color indexed="81"/>
            <rFont val="Segoe UI"/>
            <family val="2"/>
          </rPr>
          <t>Nº de equipamentos / funcionários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Anderson Ferraz De Aguiar</author>
  </authors>
  <commentList>
    <comment ref="H10" authorId="0" shapeId="0" xr:uid="{FCE14605-C666-45D3-984F-64B8388C62A8}">
      <text>
        <r>
          <rPr>
            <sz val="9"/>
            <color indexed="81"/>
            <rFont val="Segoe UI"/>
            <family val="2"/>
          </rPr>
          <t>Nº de equipamentos / funcionários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Anderson Ferraz De Aguiar</author>
  </authors>
  <commentList>
    <comment ref="H10" authorId="0" shapeId="0" xr:uid="{F5650565-EE93-43B7-BF98-867751D592D7}">
      <text>
        <r>
          <rPr>
            <sz val="9"/>
            <color indexed="81"/>
            <rFont val="Segoe UI"/>
            <family val="2"/>
          </rPr>
          <t>Nº de equipamentos / funcionários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Anderson Ferraz De Aguiar</author>
  </authors>
  <commentList>
    <comment ref="H10" authorId="0" shapeId="0" xr:uid="{312E4FCB-6AAA-41BF-B9B5-E8E919D2CC5F}">
      <text>
        <r>
          <rPr>
            <sz val="9"/>
            <color indexed="81"/>
            <rFont val="Segoe UI"/>
            <family val="2"/>
          </rPr>
          <t>Nº de equipamentos / funcionários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Anderson Ferraz De Aguiar</author>
  </authors>
  <commentList>
    <comment ref="H10" authorId="0" shapeId="0" xr:uid="{548E490B-6B9C-4AA1-8E39-A440ED2244F5}">
      <text>
        <r>
          <rPr>
            <sz val="9"/>
            <color indexed="81"/>
            <rFont val="Segoe UI"/>
            <family val="2"/>
          </rPr>
          <t>Nº de equipamentos / funcionários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Anderson Ferraz De Aguiar</author>
  </authors>
  <commentList>
    <comment ref="H10" authorId="0" shapeId="0" xr:uid="{F38E8D42-BBBA-4609-97AA-A10CF1DF8C6E}">
      <text>
        <r>
          <rPr>
            <sz val="9"/>
            <color indexed="81"/>
            <rFont val="Segoe UI"/>
            <family val="2"/>
          </rPr>
          <t>Nº de equipamentos / funcionários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Anderson Ferraz De Aguiar</author>
  </authors>
  <commentList>
    <comment ref="H10" authorId="0" shapeId="0" xr:uid="{9A9AEE17-B15D-408F-8BED-4D24303FA1CB}">
      <text>
        <r>
          <rPr>
            <sz val="9"/>
            <color indexed="81"/>
            <rFont val="Segoe UI"/>
            <family val="2"/>
          </rPr>
          <t>Nº de equipamentos / funcionários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Anderson Ferraz De Aguiar</author>
  </authors>
  <commentList>
    <comment ref="H10" authorId="0" shapeId="0" xr:uid="{35B44917-4D3C-4279-9CC1-0CC15A3019D3}">
      <text>
        <r>
          <rPr>
            <sz val="9"/>
            <color indexed="81"/>
            <rFont val="Segoe UI"/>
            <family val="2"/>
          </rPr>
          <t>Nº de equipamentos / funcionários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Anderson Ferraz De Aguiar</author>
  </authors>
  <commentList>
    <comment ref="H10" authorId="0" shapeId="0" xr:uid="{95E81297-5AB2-4285-B6A8-741AB936E03D}">
      <text>
        <r>
          <rPr>
            <sz val="9"/>
            <color indexed="81"/>
            <rFont val="Segoe UI"/>
            <family val="2"/>
          </rPr>
          <t>Nº de equipamentos / funcionários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Anderson Ferraz De Aguiar</author>
  </authors>
  <commentList>
    <comment ref="H10" authorId="0" shapeId="0" xr:uid="{A293FBBE-D7DB-4A83-8361-E218F0373B86}">
      <text>
        <r>
          <rPr>
            <sz val="9"/>
            <color indexed="81"/>
            <rFont val="Segoe UI"/>
            <family val="2"/>
          </rPr>
          <t>Nº de equipamentos / funcionários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Anderson Ferraz De Aguiar</author>
  </authors>
  <commentList>
    <comment ref="H10" authorId="0" shapeId="0" xr:uid="{99855BDA-00D3-46B2-8EA9-75453251C8D6}">
      <text>
        <r>
          <rPr>
            <sz val="9"/>
            <color indexed="81"/>
            <rFont val="Segoe UI"/>
            <family val="2"/>
          </rPr>
          <t>Nº de equipamentos / funcionários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Anderson Ferraz De Aguiar</author>
  </authors>
  <commentList>
    <comment ref="H10" authorId="0" shapeId="0" xr:uid="{A2548FCA-7E6F-4C63-9112-088107D6EAA0}">
      <text>
        <r>
          <rPr>
            <sz val="9"/>
            <color indexed="81"/>
            <rFont val="Segoe UI"/>
            <family val="2"/>
          </rPr>
          <t>Nº de equipamentos / funcionários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Anderson Ferraz De Aguiar</author>
  </authors>
  <commentList>
    <comment ref="H10" authorId="0" shapeId="0" xr:uid="{77D02F47-4203-439E-9893-47610B77D45B}">
      <text>
        <r>
          <rPr>
            <sz val="9"/>
            <color indexed="81"/>
            <rFont val="Segoe UI"/>
            <family val="2"/>
          </rPr>
          <t>Nº de equipamentos / funcionários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Anderson Ferraz De Aguiar</author>
  </authors>
  <commentList>
    <comment ref="H10" authorId="0" shapeId="0" xr:uid="{0D56BC2B-D832-4117-898E-0790FE62C2BF}">
      <text>
        <r>
          <rPr>
            <sz val="9"/>
            <color indexed="81"/>
            <rFont val="Segoe UI"/>
            <family val="2"/>
          </rPr>
          <t>Nº de equipamentos / funcionários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Anderson Ferraz De Aguiar</author>
  </authors>
  <commentList>
    <comment ref="H10" authorId="0" shapeId="0" xr:uid="{4D08FDFA-6E69-4AEE-91E0-C449B9940F19}">
      <text>
        <r>
          <rPr>
            <sz val="9"/>
            <color indexed="81"/>
            <rFont val="Segoe UI"/>
            <family val="2"/>
          </rPr>
          <t>Nº de equipamentos / funcionários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Anderson Ferraz De Aguiar</author>
  </authors>
  <commentList>
    <comment ref="H10" authorId="0" shapeId="0" xr:uid="{68DFECC4-F676-4FB9-A992-AA2ECA0F02C3}">
      <text>
        <r>
          <rPr>
            <sz val="9"/>
            <color indexed="81"/>
            <rFont val="Segoe UI"/>
            <family val="2"/>
          </rPr>
          <t>Nº de equipamentos / funcionários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Anderson Ferraz De Aguiar</author>
  </authors>
  <commentList>
    <comment ref="H10" authorId="0" shapeId="0" xr:uid="{99BA44E6-162B-4ABB-9219-7D51418D51ED}">
      <text>
        <r>
          <rPr>
            <sz val="9"/>
            <color indexed="81"/>
            <rFont val="Segoe UI"/>
            <family val="2"/>
          </rPr>
          <t>Nº de equipamentos / funcionários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Anderson Ferraz De Aguiar</author>
  </authors>
  <commentList>
    <comment ref="H10" authorId="0" shapeId="0" xr:uid="{380D32AC-2F50-4C33-A645-B617C36F922F}">
      <text>
        <r>
          <rPr>
            <sz val="9"/>
            <color indexed="81"/>
            <rFont val="Segoe UI"/>
            <family val="2"/>
          </rPr>
          <t>Nº de equipamentos / funcionários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Anderson Ferraz De Aguiar</author>
  </authors>
  <commentList>
    <comment ref="H10" authorId="0" shapeId="0" xr:uid="{47A96AA7-0DBE-4213-873F-E4035566FF67}">
      <text>
        <r>
          <rPr>
            <sz val="9"/>
            <color indexed="81"/>
            <rFont val="Segoe UI"/>
            <family val="2"/>
          </rPr>
          <t>Nº de equipamentos / funcionários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Anderson Ferraz De Aguiar</author>
  </authors>
  <commentList>
    <comment ref="F1" authorId="0" shapeId="0" xr:uid="{00000000-0006-0000-0700-000001000000}">
      <text>
        <r>
          <rPr>
            <b/>
            <sz val="9"/>
            <color indexed="81"/>
            <rFont val="Segoe UI"/>
            <family val="2"/>
          </rPr>
          <t>Preencher com nº 1 - para os serviços a serem utilizados no projeto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CD5AA13-62CB-4FC1-B9D4-BFCAC1F04D0D}" keepAlive="1" name="Consulta - dRecurso" description="Conexão com a consulta 'dRecurso' na pasta de trabalho." type="5" refreshedVersion="8" background="1" saveData="1">
    <dbPr connection="Provider=Microsoft.Mashup.OleDb.1;Data Source=$Workbook$;Location=dRecurso;Extended Properties=&quot;&quot;" command="SELECT * FROM [dRecurso]"/>
  </connection>
  <connection id="2" xr16:uid="{8D1424BB-490A-46AA-93D0-15E6CAD40C9E}" keepAlive="1" name="Consulta - fAbc" description="Conexão com a consulta 'fAbc' na pasta de trabalho." type="5" refreshedVersion="8" background="1" saveData="1">
    <dbPr connection="Provider=Microsoft.Mashup.OleDb.1;Data Source=$Workbook$;Location=fAbc;Extended Properties=&quot;&quot;" command="SELECT * FROM [fAbc]"/>
  </connection>
  <connection id="3" xr16:uid="{D4FC7592-C9F8-4F46-9767-0C3417FA55B1}" name="Consulta - fHistograma" description="Conexão com a consulta 'fHistograma' na pasta de trabalho." type="100" refreshedVersion="8" minRefreshableVersion="5">
    <extLst>
      <ext xmlns:x15="http://schemas.microsoft.com/office/spreadsheetml/2010/11/main" uri="{DE250136-89BD-433C-8126-D09CA5730AF9}">
        <x15:connection id="9a306a8d-68be-43b9-b796-1ce5838d057f"/>
      </ext>
    </extLst>
  </connection>
  <connection id="4" xr16:uid="{00000000-0015-0000-FFFF-FFFF01000000}" name="Consulta - fOrcamento" description="Conexão com a consulta 'fOrcamento' na pasta de trabalho." type="100" refreshedVersion="8" minRefreshableVersion="5">
    <extLst>
      <ext xmlns:x15="http://schemas.microsoft.com/office/spreadsheetml/2010/11/main" uri="{DE250136-89BD-433C-8126-D09CA5730AF9}">
        <x15:connection id="8460ae43-2979-4e5d-bd4c-47643972a926"/>
      </ext>
    </extLst>
  </connection>
  <connection id="5" xr16:uid="{00000000-0015-0000-FFFF-FFFF00000000}" keepAlive="1" name="Consulta - fServico" description="Conexão com a consulta 'fServico' na pasta de trabalho." type="5" refreshedVersion="8" background="1" saveData="1">
    <dbPr connection="Provider=Microsoft.Mashup.OleDb.1;Data Source=$Workbook$;Location=fServico;Extended Properties=&quot;&quot;" command="SELECT * FROM [fServico]"/>
  </connection>
  <connection id="6" xr16:uid="{00000000-0015-0000-FFFF-FFFF02000000}" keepAlive="1" name="ModelConnection_DadosExternos_1" description="Modelo de Dados" type="5" refreshedVersion="8" minRefreshableVersion="5" saveData="1">
    <dbPr connection="Data Model Connection" command="fOrcamento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2C8FB2C6-75A5-4A6D-88DE-076A2379F69E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8" xr16:uid="{00000000-0015-0000-FFFF-FFFF04000000}" keepAlive="1" name="ThisWorkbookDataModel1" description="Modelo de Dados" type="5" refreshedVersion="5" minRefreshableVersion="5" background="1">
    <dbPr connection="Data Model Connection" command="Tabela2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00000000-0015-0000-FFFF-FFFF05000000}" keepAlive="1" name="ThisWorkbookDataModel2" description="Modelo de Dados" type="5" refreshedVersion="5" minRefreshableVersion="5" background="1">
    <dbPr connection="Data Model Connection" command="Tabela2" commandType="3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<sst xmlns="http://schemas.openxmlformats.org/spreadsheetml/2006/main" count="17459" uniqueCount="1071">
  <si>
    <t>Planilha Orçamentária</t>
  </si>
  <si>
    <t>Planilha Agrupada</t>
  </si>
  <si>
    <t>Quadro Lucratividade</t>
  </si>
  <si>
    <t>ABC Insumos</t>
  </si>
  <si>
    <t>Indireto</t>
  </si>
  <si>
    <t>Parâmetros do Projeto</t>
  </si>
  <si>
    <t>Cadastro Recursos</t>
  </si>
  <si>
    <t>Calendário</t>
  </si>
  <si>
    <t>Cadastro Agrupadores</t>
  </si>
  <si>
    <t>Organograma</t>
  </si>
  <si>
    <t>Premissas</t>
  </si>
  <si>
    <t>Reajuste</t>
  </si>
  <si>
    <t>AUX</t>
  </si>
  <si>
    <t>AGRUPADOR</t>
  </si>
  <si>
    <t>DESCRIÇÃO AGRUPADOR</t>
  </si>
  <si>
    <t>UNID. AGRUPADOR</t>
  </si>
  <si>
    <t>ITEM</t>
  </si>
  <si>
    <t>DESCRIÇÃO</t>
  </si>
  <si>
    <t>UNID.</t>
  </si>
  <si>
    <t>K</t>
  </si>
  <si>
    <t>QUANT.</t>
  </si>
  <si>
    <t>VENDA UNIT</t>
  </si>
  <si>
    <t>VENDA TOTAL</t>
  </si>
  <si>
    <t>CUSTO UNIT</t>
  </si>
  <si>
    <t>CUSTO TOTAL</t>
  </si>
  <si>
    <t>LUCR %</t>
  </si>
  <si>
    <t>Acum. 2023</t>
  </si>
  <si>
    <t>01/jan</t>
  </si>
  <si>
    <t>01/fev</t>
  </si>
  <si>
    <t>01/mar</t>
  </si>
  <si>
    <t>01/abr</t>
  </si>
  <si>
    <t>01/mai</t>
  </si>
  <si>
    <t>01/jun</t>
  </si>
  <si>
    <t>01/jul</t>
  </si>
  <si>
    <t>01/ago</t>
  </si>
  <si>
    <t>01/set</t>
  </si>
  <si>
    <t>01/out</t>
  </si>
  <si>
    <t>01/nov</t>
  </si>
  <si>
    <t>01/dez</t>
  </si>
  <si>
    <t>001</t>
  </si>
  <si>
    <t>SERVIÇOS DA PRODUÇÃO</t>
  </si>
  <si>
    <t/>
  </si>
  <si>
    <t>001.90</t>
  </si>
  <si>
    <t>ADMINISTRAÇÃO DE OBRAS</t>
  </si>
  <si>
    <t>01.01.01 Administracao local diversos</t>
  </si>
  <si>
    <t>001.01.01</t>
  </si>
  <si>
    <t>ANO</t>
  </si>
  <si>
    <t>001.02.01</t>
  </si>
  <si>
    <t>CANTEIRO DE OBRAS</t>
  </si>
  <si>
    <t>001.03.01</t>
  </si>
  <si>
    <t>MOBILIZAÇÃO</t>
  </si>
  <si>
    <t>001.03.02</t>
  </si>
  <si>
    <t>DESMOBILIZAÇÃO</t>
  </si>
  <si>
    <t>002</t>
  </si>
  <si>
    <t>SERVIÇOS INICIAIS</t>
  </si>
  <si>
    <t>002.01</t>
  </si>
  <si>
    <t>CANTEIRO CENTRAL E FAIXA DE DOMÍNIO</t>
  </si>
  <si>
    <t>02.06.10 Cerca</t>
  </si>
  <si>
    <t>002.01.01</t>
  </si>
  <si>
    <t>CERCA COM 4 FIOS DE ARAME FARPADO E MOURÃO DE CONCRETO DE SEÇÃO QUADRADA DE 11 CM A CADA 2,5 M E ESTICADOR DE 15 CM A CADA 50 M - AREIA E BRITA COMERCIAIS</t>
  </si>
  <si>
    <t>M</t>
  </si>
  <si>
    <t>02.06.15 Recomposição cerca</t>
  </si>
  <si>
    <t>002.01.02</t>
  </si>
  <si>
    <t>RECOMPOSIÇÃO TOTAL DE CERCA COM MOURÃO DE CONCRETO SEÇÃO QUADRADA - AREIA E BRITA COMERCIAIS</t>
  </si>
  <si>
    <t>002.02</t>
  </si>
  <si>
    <t>SINALIZAÇÃO</t>
  </si>
  <si>
    <t>02.04.10 Sinalização Horizontal</t>
  </si>
  <si>
    <t>002.02.01</t>
  </si>
  <si>
    <t>PINTURA DE FAIXA COM TINTA ACRÍLICA - ESPESSURA DE 0,6 MM</t>
  </si>
  <si>
    <t>M²</t>
  </si>
  <si>
    <t>02.04.30 Tacha Refletiva</t>
  </si>
  <si>
    <t>002.02.02</t>
  </si>
  <si>
    <t>TACHA REFLETIVA METÁLICA - BIDIRECIONAL TIPO II - COM DOIS PINOS - FORNECIMENTO E COLOCAÇÃO</t>
  </si>
  <si>
    <t>UN</t>
  </si>
  <si>
    <t>002.03</t>
  </si>
  <si>
    <t>PAVIMENTO FLEXÍVEL</t>
  </si>
  <si>
    <t>02.03.25 Fresagem Descontinua</t>
  </si>
  <si>
    <t>002.03.01</t>
  </si>
  <si>
    <t>FRESAGEM DESCONTÍNUA DE REVESTIMENTO ASFÁLTICO</t>
  </si>
  <si>
    <t>M³</t>
  </si>
  <si>
    <t>02.03.60 Micro Revestimento</t>
  </si>
  <si>
    <t>002.03.02</t>
  </si>
  <si>
    <t>M2</t>
  </si>
  <si>
    <t>02.03.45 Pintura de Ligação</t>
  </si>
  <si>
    <t>002.03.03</t>
  </si>
  <si>
    <t>PINTURA DE LIGAÇÃO</t>
  </si>
  <si>
    <t>02.03.50 Capa - CBUQ</t>
  </si>
  <si>
    <t>002.03.04</t>
  </si>
  <si>
    <t>CONCRETO ASFÁLTICO - FAIXA C - AREIA E BRITA COMERCIAIS</t>
  </si>
  <si>
    <t>02.03.65 Transporte cbuq</t>
  </si>
  <si>
    <t>002.03.05</t>
  </si>
  <si>
    <t>TRANSPORTE DE MASSA</t>
  </si>
  <si>
    <t>TXKM</t>
  </si>
  <si>
    <t>Serviço</t>
  </si>
  <si>
    <t>Quant</t>
  </si>
  <si>
    <t>Venda Unit.</t>
  </si>
  <si>
    <t>Venda Total.</t>
  </si>
  <si>
    <t>(vazio)</t>
  </si>
  <si>
    <t>Total Geral</t>
  </si>
  <si>
    <t>Parâmetros</t>
  </si>
  <si>
    <t>INFORMAÇÕES DO CONTRATO</t>
  </si>
  <si>
    <t>CONTRATANTE:</t>
  </si>
  <si>
    <t>CONTRATADA:</t>
  </si>
  <si>
    <t>CONTRATO Nº:</t>
  </si>
  <si>
    <t>PRAZO DA OBRA:</t>
  </si>
  <si>
    <t>VALOR DA OBRA:</t>
  </si>
  <si>
    <t>ÓRGÃO FINANCIADOR:</t>
  </si>
  <si>
    <t>TIPO CONTRATO:</t>
  </si>
  <si>
    <t>Preço Unitário</t>
  </si>
  <si>
    <t>TAXA</t>
  </si>
  <si>
    <t>ORGANOGRAMA CÓDIGOS DAS OBRAS</t>
  </si>
  <si>
    <t>Código Tarefa</t>
  </si>
  <si>
    <t>Descrição da Tarefa</t>
  </si>
  <si>
    <t>Unid</t>
  </si>
  <si>
    <t>Quantidade</t>
  </si>
  <si>
    <t>Venda Unit</t>
  </si>
  <si>
    <t>Custo Unit</t>
  </si>
  <si>
    <t>Total Venda</t>
  </si>
  <si>
    <t>Total Custo</t>
  </si>
  <si>
    <t>Lucr.(%)</t>
  </si>
  <si>
    <t>Obs</t>
  </si>
  <si>
    <t>APOIO À PRODUÇÃO</t>
  </si>
  <si>
    <t>a</t>
  </si>
  <si>
    <t>001.01</t>
  </si>
  <si>
    <t>EQUIPE ADMINISTRATIVA</t>
  </si>
  <si>
    <t>MÃO DE OBRA INDIRETA</t>
  </si>
  <si>
    <t>001.01.01.01</t>
  </si>
  <si>
    <t>Gerente de Engenharia</t>
  </si>
  <si>
    <t>MÊS</t>
  </si>
  <si>
    <t>001.01.01.02</t>
  </si>
  <si>
    <t>Gerente de contrato</t>
  </si>
  <si>
    <t>001.01.01.03</t>
  </si>
  <si>
    <t>Gerente de produção</t>
  </si>
  <si>
    <t>001.01.01.04</t>
  </si>
  <si>
    <t>Engenheiro produção 01</t>
  </si>
  <si>
    <t>001.01.01.05</t>
  </si>
  <si>
    <t>Engenheiro planejamento</t>
  </si>
  <si>
    <t>001.01.01.06</t>
  </si>
  <si>
    <t>Gerente adm financeiro</t>
  </si>
  <si>
    <t>001.01.01.07</t>
  </si>
  <si>
    <t>Gerente QSMS</t>
  </si>
  <si>
    <t>001.01.01.08</t>
  </si>
  <si>
    <t>Gerente de medição / custos</t>
  </si>
  <si>
    <t>001.01.01.09</t>
  </si>
  <si>
    <t>Tecnico de medição</t>
  </si>
  <si>
    <t>001.01.01.10</t>
  </si>
  <si>
    <t>Tecnico de controle de qualidade</t>
  </si>
  <si>
    <t>001.01.01.11</t>
  </si>
  <si>
    <t>Encarregado de sala tecnica</t>
  </si>
  <si>
    <t>001.01.01.12</t>
  </si>
  <si>
    <t>Comprador</t>
  </si>
  <si>
    <t>001.01.01.13</t>
  </si>
  <si>
    <t>Chefe administrativo</t>
  </si>
  <si>
    <t>001.01.01.14</t>
  </si>
  <si>
    <t>Auxiliar tecnico</t>
  </si>
  <si>
    <t>001.01.01.15</t>
  </si>
  <si>
    <t>Assistente tecnico</t>
  </si>
  <si>
    <t>001.01.01.16</t>
  </si>
  <si>
    <t>Assistente de pessoal RH</t>
  </si>
  <si>
    <t>001.01.01.17</t>
  </si>
  <si>
    <t>Assistente financeiro</t>
  </si>
  <si>
    <t>001.01.01.18</t>
  </si>
  <si>
    <t>Auxiliar adm</t>
  </si>
  <si>
    <t>001.01.01.19</t>
  </si>
  <si>
    <t>Auxiliar de serviços gerais</t>
  </si>
  <si>
    <t>001.01.01.22</t>
  </si>
  <si>
    <t>Motorista de veículo leve</t>
  </si>
  <si>
    <t>Mês</t>
  </si>
  <si>
    <t>001.01.02</t>
  </si>
  <si>
    <t>VEÍCULOS DE SUPORTE</t>
  </si>
  <si>
    <t>001.01.02.01</t>
  </si>
  <si>
    <t>Veículo de apoio</t>
  </si>
  <si>
    <t>001.01.03</t>
  </si>
  <si>
    <t>COMBUSTÍVEIS DOS VEÍCULOS DE SUPORTE</t>
  </si>
  <si>
    <t>001.01.03.02</t>
  </si>
  <si>
    <t>Gasolina</t>
  </si>
  <si>
    <t>L</t>
  </si>
  <si>
    <t>001.02</t>
  </si>
  <si>
    <t>EQUIPE ADMINISTRATIVA - PRODUÇÃO</t>
  </si>
  <si>
    <t>PRODUÇÃO PAVIMENTAÇÃO</t>
  </si>
  <si>
    <t>001.02.01.01</t>
  </si>
  <si>
    <t>MÃO DE OBRA</t>
  </si>
  <si>
    <t>001.02.01.01.01</t>
  </si>
  <si>
    <t>Enc. geral rodoviario</t>
  </si>
  <si>
    <t>001.02.01.01.02</t>
  </si>
  <si>
    <t>Enc. de capa asfaltica</t>
  </si>
  <si>
    <t>001.02.01.01.03</t>
  </si>
  <si>
    <t>Apontador</t>
  </si>
  <si>
    <t>001.02.01.01.04</t>
  </si>
  <si>
    <t>Vigilancia terceiros</t>
  </si>
  <si>
    <t>001.02.01.02</t>
  </si>
  <si>
    <t>MATERIAIS DIVERSOS DA PRODUÇÃO</t>
  </si>
  <si>
    <t>001.02.01.02.01</t>
  </si>
  <si>
    <t>Materiais gerais para capa</t>
  </si>
  <si>
    <t>VB</t>
  </si>
  <si>
    <t>001.02.01.02.02</t>
  </si>
  <si>
    <t>Materiais para reparo de lig. domiciliares</t>
  </si>
  <si>
    <t>001.02.01.03</t>
  </si>
  <si>
    <t>001.02.01.03.01</t>
  </si>
  <si>
    <t>001.02.01.04</t>
  </si>
  <si>
    <t>001.02.01.04.02</t>
  </si>
  <si>
    <t>001.02.02</t>
  </si>
  <si>
    <t>PRODUÇÃO MICRO REVESTIMENTO</t>
  </si>
  <si>
    <t>001.02.02.01</t>
  </si>
  <si>
    <t>001.02.02.01.02</t>
  </si>
  <si>
    <t>Enc. De Micro revestimento</t>
  </si>
  <si>
    <t>001.02.02.01.06</t>
  </si>
  <si>
    <t>001.02.02.01.16</t>
  </si>
  <si>
    <t>001.02.02.01.17</t>
  </si>
  <si>
    <t>001.02.02.02</t>
  </si>
  <si>
    <t>001.02.02.02.01</t>
  </si>
  <si>
    <t>001.02.02.03</t>
  </si>
  <si>
    <t>001.02.02.03.01</t>
  </si>
  <si>
    <t>001.02.02.04</t>
  </si>
  <si>
    <t>001.02.02.04.02</t>
  </si>
  <si>
    <t>001.02.03</t>
  </si>
  <si>
    <t>PRODUÇÃO CIVIL</t>
  </si>
  <si>
    <t>001.02.03.01</t>
  </si>
  <si>
    <t>001.02.03.01.01</t>
  </si>
  <si>
    <t>Enc. Obra civil</t>
  </si>
  <si>
    <t>001.02.03.01.03</t>
  </si>
  <si>
    <t>001.02.03.01.04</t>
  </si>
  <si>
    <t>001.02.03.02</t>
  </si>
  <si>
    <t>001.02.03.02.01</t>
  </si>
  <si>
    <t>Materiais diversos</t>
  </si>
  <si>
    <t>001.02.03.03</t>
  </si>
  <si>
    <t>001.02.03.03.01</t>
  </si>
  <si>
    <t>001.02.03.04</t>
  </si>
  <si>
    <t>001.02.03.04.01</t>
  </si>
  <si>
    <t>001.03</t>
  </si>
  <si>
    <t>EQUIPE DA TOPOGRAFIA</t>
  </si>
  <si>
    <t>MÃO DE OBRA DA TOPOGRAFIA</t>
  </si>
  <si>
    <t>001.03.01.01</t>
  </si>
  <si>
    <t>Enc. de topografia</t>
  </si>
  <si>
    <t>001.03.01.02</t>
  </si>
  <si>
    <t>Topografo</t>
  </si>
  <si>
    <t>001.03.01.03</t>
  </si>
  <si>
    <t>Nivelador</t>
  </si>
  <si>
    <t>001.03.01.04</t>
  </si>
  <si>
    <t>Greidista</t>
  </si>
  <si>
    <t>001.03.01.05</t>
  </si>
  <si>
    <t>Aux de topografia</t>
  </si>
  <si>
    <t>001.03.01.06</t>
  </si>
  <si>
    <t>MATERIAIS DA TOPOGRAFIA</t>
  </si>
  <si>
    <t>001.03.02.01</t>
  </si>
  <si>
    <t>Materiais gerais topografia</t>
  </si>
  <si>
    <t>001.03.03</t>
  </si>
  <si>
    <t>001.03.03.01</t>
  </si>
  <si>
    <t>001.03.03.04</t>
  </si>
  <si>
    <t>Equipamentos para topografia</t>
  </si>
  <si>
    <t>001.03.04</t>
  </si>
  <si>
    <t>001.03.04.02</t>
  </si>
  <si>
    <t>001.04</t>
  </si>
  <si>
    <t>EQUIPE DO LABORATÓRIO</t>
  </si>
  <si>
    <t>001.04.01</t>
  </si>
  <si>
    <t>MÃO DE OBRA DO LABORATÓRIO</t>
  </si>
  <si>
    <t>001.04.01.01</t>
  </si>
  <si>
    <t>Enc de laboratório</t>
  </si>
  <si>
    <t>001.04.01.02</t>
  </si>
  <si>
    <t>Laboratorista</t>
  </si>
  <si>
    <t>001.04.01.03</t>
  </si>
  <si>
    <t>Aux de laboratório</t>
  </si>
  <si>
    <t>001.04.01.04</t>
  </si>
  <si>
    <t>001.04.02</t>
  </si>
  <si>
    <t>MATERIAIS DO LABORATÓRIO</t>
  </si>
  <si>
    <t>001.04.02.01</t>
  </si>
  <si>
    <t>Materiais gerais laboratório</t>
  </si>
  <si>
    <t>001.04.03</t>
  </si>
  <si>
    <t>001.04.03.01</t>
  </si>
  <si>
    <t>Gol</t>
  </si>
  <si>
    <t>KM</t>
  </si>
  <si>
    <t>001.04.03.02</t>
  </si>
  <si>
    <t>Saveiro</t>
  </si>
  <si>
    <t>001.04.03.03</t>
  </si>
  <si>
    <t>Kombi</t>
  </si>
  <si>
    <t>001.04.03.04</t>
  </si>
  <si>
    <t>Kombi (terceiros)</t>
  </si>
  <si>
    <t>001.04.03.05</t>
  </si>
  <si>
    <t>Equipamentos para laboratório</t>
  </si>
  <si>
    <t>001.04.03.06</t>
  </si>
  <si>
    <t>Equipamentos para laboratório (terceiros)</t>
  </si>
  <si>
    <t>001.04.03.07</t>
  </si>
  <si>
    <t>Veículos de pequeno porte (Administrativo)</t>
  </si>
  <si>
    <t>001.04.04</t>
  </si>
  <si>
    <t>001.04.04.01</t>
  </si>
  <si>
    <t>Álcool</t>
  </si>
  <si>
    <t>001.04.04.02</t>
  </si>
  <si>
    <t>001.04.04.03</t>
  </si>
  <si>
    <t>Óleo diesel</t>
  </si>
  <si>
    <t>001.05</t>
  </si>
  <si>
    <t>EQUIPE DO ALMOXARIFADO</t>
  </si>
  <si>
    <t>001.05.01</t>
  </si>
  <si>
    <t>MÃO DE OBRA DO ALMOXARIFADO</t>
  </si>
  <si>
    <t>001.05.01.01</t>
  </si>
  <si>
    <t>Almoxarife</t>
  </si>
  <si>
    <t>001.05.02</t>
  </si>
  <si>
    <t>MATERIAIS DIVERSOS DO ALMOXARIFADO</t>
  </si>
  <si>
    <t>001.05.03</t>
  </si>
  <si>
    <t>001.05.03.01</t>
  </si>
  <si>
    <t>001.05.03.02</t>
  </si>
  <si>
    <t>001.05.03.03</t>
  </si>
  <si>
    <t>001.05.04</t>
  </si>
  <si>
    <t>001.05.04.01</t>
  </si>
  <si>
    <t>001.05.04.02</t>
  </si>
  <si>
    <t>001.05.04.03</t>
  </si>
  <si>
    <t>001.06</t>
  </si>
  <si>
    <t>EQUIPE DA LUBRIFICAÇÃO E MECÂNICA</t>
  </si>
  <si>
    <t>001.06.01</t>
  </si>
  <si>
    <t>MÃO DE OBRA DA LUB. E MECÂNICA</t>
  </si>
  <si>
    <t>001.06.01.01</t>
  </si>
  <si>
    <t>Enc. de mecanica</t>
  </si>
  <si>
    <t>001.06.01.02</t>
  </si>
  <si>
    <t>Enc. de lubrificacao</t>
  </si>
  <si>
    <t>001.06.01.03</t>
  </si>
  <si>
    <t>Mecânico</t>
  </si>
  <si>
    <t>001.06.01.04</t>
  </si>
  <si>
    <t>Lubrificador</t>
  </si>
  <si>
    <t>001.06.01.05</t>
  </si>
  <si>
    <t>Aux. de mecânica</t>
  </si>
  <si>
    <t>001.06.01.06</t>
  </si>
  <si>
    <t>Aux de lubrificacao</t>
  </si>
  <si>
    <t>001.06.01.07</t>
  </si>
  <si>
    <t>Motorista de cam comboio</t>
  </si>
  <si>
    <t>001.06.02</t>
  </si>
  <si>
    <t>SERVIÇOS</t>
  </si>
  <si>
    <t>001.06.02.01</t>
  </si>
  <si>
    <t>Serviços de borracharia</t>
  </si>
  <si>
    <t>001.06.02.02</t>
  </si>
  <si>
    <t>Serviços de torno</t>
  </si>
  <si>
    <t>001.06.02.03</t>
  </si>
  <si>
    <t>Serviços de solda</t>
  </si>
  <si>
    <t>001.06.03</t>
  </si>
  <si>
    <t>MATERIAIS DESGASTE / PENETRAÇÃO</t>
  </si>
  <si>
    <t>001.06.03.01</t>
  </si>
  <si>
    <t>Material de desgaste / penetração</t>
  </si>
  <si>
    <t>001.06.03.02</t>
  </si>
  <si>
    <t>Materiais para oficina da obra</t>
  </si>
  <si>
    <t>001.06.04</t>
  </si>
  <si>
    <t>001.06.04.01</t>
  </si>
  <si>
    <t>001.06.04.02</t>
  </si>
  <si>
    <t>001.06.04.03</t>
  </si>
  <si>
    <t>001.06.04.04</t>
  </si>
  <si>
    <t>Camionete Hyndai HR</t>
  </si>
  <si>
    <t>001.06.04.05</t>
  </si>
  <si>
    <t>Camionete D-20</t>
  </si>
  <si>
    <t>001.06.04.06</t>
  </si>
  <si>
    <t>Cam. comboio VW 17.180</t>
  </si>
  <si>
    <t>DIA</t>
  </si>
  <si>
    <t>001.06.04.07</t>
  </si>
  <si>
    <t>001.06.05</t>
  </si>
  <si>
    <t>001.06.05.01</t>
  </si>
  <si>
    <t>001.06.05.02</t>
  </si>
  <si>
    <t>001.06.05.03</t>
  </si>
  <si>
    <t>001.07</t>
  </si>
  <si>
    <t>DESPESAS COM SEGURANÇA NO TRABALHO</t>
  </si>
  <si>
    <t>001.07.01</t>
  </si>
  <si>
    <t>MÃO DE OBRA APOIO SEGURANÇA NO TRABALHO</t>
  </si>
  <si>
    <t>001.07.01.01</t>
  </si>
  <si>
    <t>001.07.01.02</t>
  </si>
  <si>
    <t>Tecnico de seg do trabalho</t>
  </si>
  <si>
    <t>001.07.01.03</t>
  </si>
  <si>
    <t>Ajudante geral</t>
  </si>
  <si>
    <t>001.07.01.04</t>
  </si>
  <si>
    <t>Feitor de sinalização</t>
  </si>
  <si>
    <t>Motorista de cam basculante</t>
  </si>
  <si>
    <t>001.07.02</t>
  </si>
  <si>
    <t>001.07.02.01</t>
  </si>
  <si>
    <t>001.07.02.04</t>
  </si>
  <si>
    <t>Cam carroceria VW 9.160 c/cabine</t>
  </si>
  <si>
    <t>001.07.03</t>
  </si>
  <si>
    <t>001.07.03.02</t>
  </si>
  <si>
    <t>001.07.03.03</t>
  </si>
  <si>
    <t>001.07.05</t>
  </si>
  <si>
    <t>EPI - EQUIPAMENTOS DE PROTEÇÃO INDIVIDUAL</t>
  </si>
  <si>
    <t>001.07.05.01</t>
  </si>
  <si>
    <t>EPI - Equipamentos de proteção individual / uniforme</t>
  </si>
  <si>
    <t>001.07.06</t>
  </si>
  <si>
    <t>EPC - EQUIPAMENTOS DE PROTEÇÃO COLETIVA</t>
  </si>
  <si>
    <t>001.07.06.01</t>
  </si>
  <si>
    <t>EPC - Equipamentos de proteção coletiva</t>
  </si>
  <si>
    <t>001.07.07</t>
  </si>
  <si>
    <t>PCMAT / PCMSO</t>
  </si>
  <si>
    <t>001.07.07.01</t>
  </si>
  <si>
    <t>PCMAT</t>
  </si>
  <si>
    <t>SV</t>
  </si>
  <si>
    <t>001.07.07.02</t>
  </si>
  <si>
    <t>PCMSO</t>
  </si>
  <si>
    <t>001.07.07.03</t>
  </si>
  <si>
    <t>Seguro de obra</t>
  </si>
  <si>
    <t>001.07.08</t>
  </si>
  <si>
    <t>EXAMES / MEDICAMENTOS</t>
  </si>
  <si>
    <t>001.07.08.01</t>
  </si>
  <si>
    <t>Exames médicos</t>
  </si>
  <si>
    <t>001.07.08.02</t>
  </si>
  <si>
    <t>Medicamentos</t>
  </si>
  <si>
    <t>001.08</t>
  </si>
  <si>
    <t>ALIMENTAÇÃO</t>
  </si>
  <si>
    <t>001.08.01</t>
  </si>
  <si>
    <t>Alimentação equipe administrativa (café/almoço/lanche)</t>
  </si>
  <si>
    <t>001.08.02</t>
  </si>
  <si>
    <t>Alimentação equipe administrativa (janta)</t>
  </si>
  <si>
    <t>001.08.03</t>
  </si>
  <si>
    <t>Alimentação equipe da produção (café/almoço/lanche)</t>
  </si>
  <si>
    <t>001.08.04</t>
  </si>
  <si>
    <t>Alimentação equipe da produção (janta)</t>
  </si>
  <si>
    <t>001.09</t>
  </si>
  <si>
    <t>ESTRUTURA DO CANTEIRO DE OBRAS / ALOJAMENTOS</t>
  </si>
  <si>
    <t>001.09.01</t>
  </si>
  <si>
    <t>ADMINISTRAÇÃO</t>
  </si>
  <si>
    <t>001.09.01.01</t>
  </si>
  <si>
    <t>ALUGUÉIS E CONDOMÍNIOS</t>
  </si>
  <si>
    <t>001.09.01.01.01</t>
  </si>
  <si>
    <t>Aluguel de imóvel (canteiro)</t>
  </si>
  <si>
    <t>001.09.01.02</t>
  </si>
  <si>
    <t>CONSUMOS</t>
  </si>
  <si>
    <t>001.09.01.02.01</t>
  </si>
  <si>
    <t>Água / esgoto (canteiro)</t>
  </si>
  <si>
    <t>001.09.01.02.02</t>
  </si>
  <si>
    <t>Energia elétrica (canteiro)</t>
  </si>
  <si>
    <t>001.09.01.02.03</t>
  </si>
  <si>
    <t>Materiais expediente administração local</t>
  </si>
  <si>
    <t>001.09.01.02.04</t>
  </si>
  <si>
    <t>Despesas anteriores ao planejamento</t>
  </si>
  <si>
    <t>001.09.01.03</t>
  </si>
  <si>
    <t>LIMPEZA E CONSERVAÇÃO</t>
  </si>
  <si>
    <t>001.09.01.03.01</t>
  </si>
  <si>
    <t>Materiais de limpeza</t>
  </si>
  <si>
    <t>001.09.01.03.02</t>
  </si>
  <si>
    <t>Materiais para instalação e conservação de canteiros</t>
  </si>
  <si>
    <t>001.09.01.04</t>
  </si>
  <si>
    <t>COMUNICAÇÕES</t>
  </si>
  <si>
    <t>001.09.01.04.01</t>
  </si>
  <si>
    <t>Telefeno fixo / celular (canteiro)</t>
  </si>
  <si>
    <t>001.09.01.04.02</t>
  </si>
  <si>
    <t>Correios</t>
  </si>
  <si>
    <t>001.09.01.05</t>
  </si>
  <si>
    <t>TAXAS / CERTIDÕES / SEGUROS</t>
  </si>
  <si>
    <t>001.09.01.05.01</t>
  </si>
  <si>
    <t>Despesas cartoriais</t>
  </si>
  <si>
    <t>001.09.01.05.02</t>
  </si>
  <si>
    <t>Taxas, emolumentos e Impostos - diversos</t>
  </si>
  <si>
    <t>001.09.01.05.03</t>
  </si>
  <si>
    <t>001.09.01.06</t>
  </si>
  <si>
    <t>IMPRESSOS GRÁFICOS</t>
  </si>
  <si>
    <t>001.09.01.06.01</t>
  </si>
  <si>
    <t>Cópias / reproduções</t>
  </si>
  <si>
    <t>001.09.01.07</t>
  </si>
  <si>
    <t>INFORMÁTICA</t>
  </si>
  <si>
    <t>001.09.01.07.01</t>
  </si>
  <si>
    <t>Suprimentos e periféricos (informática)</t>
  </si>
  <si>
    <t>001.09.01.07.02</t>
  </si>
  <si>
    <t>Software (aquisição)</t>
  </si>
  <si>
    <t>001.09.01.07.03</t>
  </si>
  <si>
    <t>Hardware (aquisição)</t>
  </si>
  <si>
    <t>001.09.01.08</t>
  </si>
  <si>
    <t>MOBILIÁRIOS</t>
  </si>
  <si>
    <t>001.09.01.08.01</t>
  </si>
  <si>
    <t>Mobiliários / equipamentos para alojamento, canteiro e escritório</t>
  </si>
  <si>
    <t>001.09.01.08.02</t>
  </si>
  <si>
    <t>Utensílios alojamento</t>
  </si>
  <si>
    <t>001.09.02</t>
  </si>
  <si>
    <t>ALOJAMENTOS</t>
  </si>
  <si>
    <t>001.09.02.01</t>
  </si>
  <si>
    <t>001.09.02.01.01</t>
  </si>
  <si>
    <t>Aluguel de imóvel (alojamento)</t>
  </si>
  <si>
    <t>001.09.02.02</t>
  </si>
  <si>
    <t>001.09.02.02.01</t>
  </si>
  <si>
    <t>Água / esgoto (alojamento)</t>
  </si>
  <si>
    <t>001.09.02.02.02</t>
  </si>
  <si>
    <t>Energia elétrica (alojamento)</t>
  </si>
  <si>
    <t>001.09.02.03</t>
  </si>
  <si>
    <t>001.09.02.03.01</t>
  </si>
  <si>
    <t>Telefone celular / (encarregados)</t>
  </si>
  <si>
    <t>001.09.02.04</t>
  </si>
  <si>
    <t>001.09.02.04.01</t>
  </si>
  <si>
    <t>001.09.02.04.02</t>
  </si>
  <si>
    <t>001.09.02.04.03</t>
  </si>
  <si>
    <t xml:space="preserve">Banheiro químico </t>
  </si>
  <si>
    <t>001.09.03</t>
  </si>
  <si>
    <t>OPERACIONAIS E NÃO-QUALIFICADOS</t>
  </si>
  <si>
    <t>001.09.03.01</t>
  </si>
  <si>
    <t>001.09.03.01.01</t>
  </si>
  <si>
    <t>Aluguel de imóvel</t>
  </si>
  <si>
    <t>001.09.03.02</t>
  </si>
  <si>
    <t>001.09.03.02.01</t>
  </si>
  <si>
    <t>Água / esgoto</t>
  </si>
  <si>
    <t>001.09.03.02.02</t>
  </si>
  <si>
    <t>Energia elétrica</t>
  </si>
  <si>
    <t>001.09.03.03</t>
  </si>
  <si>
    <t>001.09.03.03.01</t>
  </si>
  <si>
    <t>001.09.03.03.02</t>
  </si>
  <si>
    <t>001.09.03.04</t>
  </si>
  <si>
    <t>001.09.03.04.01</t>
  </si>
  <si>
    <t>001.09.03.04.02</t>
  </si>
  <si>
    <t>001.10</t>
  </si>
  <si>
    <t>MOBILIZAÇÃO E DESMOBILIZAÇÃO DE EQPTOS E PESSOAL</t>
  </si>
  <si>
    <t>001.10.01</t>
  </si>
  <si>
    <t>TRANSPORTE / FRETE</t>
  </si>
  <si>
    <t>001.10.01.01</t>
  </si>
  <si>
    <t>Frete equipamentos / mobiliários</t>
  </si>
  <si>
    <t>001.10.02</t>
  </si>
  <si>
    <t>DESPESAS COM VIAGENS</t>
  </si>
  <si>
    <t>001.10.02.01</t>
  </si>
  <si>
    <t>Despesas de viagem</t>
  </si>
  <si>
    <t>001.10.02.02</t>
  </si>
  <si>
    <t>Vale transporte</t>
  </si>
  <si>
    <t>001.11</t>
  </si>
  <si>
    <t>DESPESAS NÃO-OPERACIONAIS</t>
  </si>
  <si>
    <t>001.11.01</t>
  </si>
  <si>
    <t>Equipamento Leve</t>
  </si>
  <si>
    <t>001.11.02</t>
  </si>
  <si>
    <t>Equipamento Pesado</t>
  </si>
  <si>
    <t>001.12</t>
  </si>
  <si>
    <t>MVE / COMBUSTÍVEIS / LUBRIFICANTES / MÃO-DE-OBRA</t>
  </si>
  <si>
    <t>001.12.01</t>
  </si>
  <si>
    <t>MÁQUINAS E EQUIPAMENTOS</t>
  </si>
  <si>
    <t>001.12.01.02</t>
  </si>
  <si>
    <t>Grupo gerador 60 KVA</t>
  </si>
  <si>
    <t>001.12.01.03</t>
  </si>
  <si>
    <t>Caminhão plataforma</t>
  </si>
  <si>
    <t>001.12.01.05</t>
  </si>
  <si>
    <t>Cam carroceria VW 9.160</t>
  </si>
  <si>
    <t>001.12.01.06</t>
  </si>
  <si>
    <t>Ônibus (terceiros)</t>
  </si>
  <si>
    <t>001.12.01.07</t>
  </si>
  <si>
    <t>Veículo de transporte funcionários Van - Terceiros</t>
  </si>
  <si>
    <t>001.12.01.10</t>
  </si>
  <si>
    <t>Serra circular</t>
  </si>
  <si>
    <t>001.12.01.11</t>
  </si>
  <si>
    <t>Policorte</t>
  </si>
  <si>
    <t>001.12.01.12</t>
  </si>
  <si>
    <t>Betoneira</t>
  </si>
  <si>
    <t>001.12.01.13</t>
  </si>
  <si>
    <t>Vibrador de concreto com mangote</t>
  </si>
  <si>
    <t>001.12.02</t>
  </si>
  <si>
    <t>COMBUSTÍVEIS</t>
  </si>
  <si>
    <t>001.12.02.02</t>
  </si>
  <si>
    <t>001.12.02.03</t>
  </si>
  <si>
    <t>001.12.03</t>
  </si>
  <si>
    <t>LUBRIFICANTES</t>
  </si>
  <si>
    <t>001.12.03.01</t>
  </si>
  <si>
    <t>Lubrificantes</t>
  </si>
  <si>
    <t>VR</t>
  </si>
  <si>
    <t>001.12.04</t>
  </si>
  <si>
    <t>001.12.04.01</t>
  </si>
  <si>
    <t>Motorista de ônibus</t>
  </si>
  <si>
    <t>001.12.04.02</t>
  </si>
  <si>
    <t>Motorista de cam munck</t>
  </si>
  <si>
    <t>001.12.04.03</t>
  </si>
  <si>
    <t>Motorista de cam plataforma</t>
  </si>
  <si>
    <t>001.13</t>
  </si>
  <si>
    <t>INSTALAÇÕES ALMOXARIFADO / POSTO / OFICINA</t>
  </si>
  <si>
    <t>001.13.01</t>
  </si>
  <si>
    <t>001.13.02</t>
  </si>
  <si>
    <t>001.13.03</t>
  </si>
  <si>
    <t>Container</t>
  </si>
  <si>
    <t>001.14</t>
  </si>
  <si>
    <t>FERRAMENTAL</t>
  </si>
  <si>
    <t>001.14.01</t>
  </si>
  <si>
    <t>Ferramentas em geral</t>
  </si>
  <si>
    <t>001.16</t>
  </si>
  <si>
    <t>CONSULTORIAS E SERVIÇOS TÉCNICOS</t>
  </si>
  <si>
    <t>001.16.01</t>
  </si>
  <si>
    <t>CONSULTORIAS</t>
  </si>
  <si>
    <t>001.16.01.01</t>
  </si>
  <si>
    <t>Consultoria técnica</t>
  </si>
  <si>
    <t>001.16.01.02</t>
  </si>
  <si>
    <t>Rateio da estrutura de apoio</t>
  </si>
  <si>
    <t>001.16.02</t>
  </si>
  <si>
    <t>SERVIÇOS TÉCNICOS</t>
  </si>
  <si>
    <t>001.16.02.01</t>
  </si>
  <si>
    <t>Cadastro técnico (Terceiros)</t>
  </si>
  <si>
    <t>001.16.02.02</t>
  </si>
  <si>
    <t>Elaboração de nota de serviço - rede</t>
  </si>
  <si>
    <t>001.16.02.03</t>
  </si>
  <si>
    <t>Elaboração de nota de serviço - pavimentação</t>
  </si>
  <si>
    <t>001.16.02.04</t>
  </si>
  <si>
    <t>Elaboração prosposta técnica</t>
  </si>
  <si>
    <t>001.16.02.05</t>
  </si>
  <si>
    <t>Serviços topográficos em geral</t>
  </si>
  <si>
    <t>001.16.02.06</t>
  </si>
  <si>
    <t>Serviços de laboratório em geral</t>
  </si>
  <si>
    <t>001.17</t>
  </si>
  <si>
    <t>PROJETOS E ESTUDOS DE OBRAS</t>
  </si>
  <si>
    <t>001.17.01</t>
  </si>
  <si>
    <t>PROJETOS</t>
  </si>
  <si>
    <t>001.17.01.01</t>
  </si>
  <si>
    <t>Projetos em geral</t>
  </si>
  <si>
    <t>001.17.01.02</t>
  </si>
  <si>
    <t>Projeto social</t>
  </si>
  <si>
    <t>TOTAL</t>
  </si>
  <si>
    <t>RECEITA (R$)</t>
  </si>
  <si>
    <t>CUSTO (R$)</t>
  </si>
  <si>
    <t>LUCR. (%)</t>
  </si>
  <si>
    <t>s</t>
  </si>
  <si>
    <t>Custo Realizado</t>
  </si>
  <si>
    <t>Item</t>
  </si>
  <si>
    <t>CPU</t>
  </si>
  <si>
    <t>Codigo</t>
  </si>
  <si>
    <t>TIPO</t>
  </si>
  <si>
    <t>ETAPA</t>
  </si>
  <si>
    <t>Qtde.</t>
  </si>
  <si>
    <t>C. Unit</t>
  </si>
  <si>
    <t>V. Unit</t>
  </si>
  <si>
    <t>C. Total</t>
  </si>
  <si>
    <t>V. Total</t>
  </si>
  <si>
    <t>Lucro</t>
  </si>
  <si>
    <t>Lucr. %</t>
  </si>
  <si>
    <t>Coluna1</t>
  </si>
  <si>
    <t>Produção</t>
  </si>
  <si>
    <t>Unidade</t>
  </si>
  <si>
    <t>Prazo (dias)</t>
  </si>
  <si>
    <t>Mês 1</t>
  </si>
  <si>
    <t>mês 2</t>
  </si>
  <si>
    <t>C. Unit (Real)</t>
  </si>
  <si>
    <t>C. Total (Real)</t>
  </si>
  <si>
    <t>Dif. (Prev - Real)</t>
  </si>
  <si>
    <t>01.01 Administracao local</t>
  </si>
  <si>
    <t>02 Pavimentação Urbana / Rodoviaria</t>
  </si>
  <si>
    <t>02.03 Restauração</t>
  </si>
  <si>
    <t>02.03.10 Reparos localizados profundos</t>
  </si>
  <si>
    <t xml:space="preserve">02.03.15 Reparos localizados superficiais </t>
  </si>
  <si>
    <t>02.03.20 Fresagem Continua</t>
  </si>
  <si>
    <t>02.03.30 Reciclagem</t>
  </si>
  <si>
    <t>02.03.31 Base</t>
  </si>
  <si>
    <t>02.03.40 Pré misturado a Frio - PMF</t>
  </si>
  <si>
    <t>02.03.43 Imprimação</t>
  </si>
  <si>
    <t>02.03.47 Capa - TSS</t>
  </si>
  <si>
    <t>02.03.48 Capa - TSD</t>
  </si>
  <si>
    <t>02.03.52 Capa - Concreto</t>
  </si>
  <si>
    <t>02.04 Sinalização</t>
  </si>
  <si>
    <t>02.04.20 Sinalização Vertical</t>
  </si>
  <si>
    <t>02.04.40 Defensa Metalica</t>
  </si>
  <si>
    <t>02.04.60 Diversos SIN</t>
  </si>
  <si>
    <t>02.05 Calçamento</t>
  </si>
  <si>
    <t>02.05.10 Execução de calçada em concreto</t>
  </si>
  <si>
    <t>02.05.20 Piso Tátil</t>
  </si>
  <si>
    <t>02.05.30 Corte e demolição de calçada</t>
  </si>
  <si>
    <t>02.05.90 Diversos CAL</t>
  </si>
  <si>
    <t>02.06 Obras Complementares</t>
  </si>
  <si>
    <t>02.06.05 Gabião</t>
  </si>
  <si>
    <t>02.06.30 Revestimento Vegetal</t>
  </si>
  <si>
    <t>02.06.50 Conserva</t>
  </si>
  <si>
    <t>02.09 Drenagem</t>
  </si>
  <si>
    <t>02.09.10 Dreno Profundo</t>
  </si>
  <si>
    <t>02.09.20 Calha / Sarjeta</t>
  </si>
  <si>
    <t>02.09.30 Meio Fio</t>
  </si>
  <si>
    <t>02.09.40 Bueiro Tubular</t>
  </si>
  <si>
    <t>02.09.50 Bueiro Celular</t>
  </si>
  <si>
    <t>02.09.55 Forma DRE</t>
  </si>
  <si>
    <t>02.09.60 Aço DRE</t>
  </si>
  <si>
    <t>02.09.65 Concreto DRE</t>
  </si>
  <si>
    <t>02.09.70 Diversos DRE</t>
  </si>
  <si>
    <t>02.09.80 Colchão Drenante</t>
  </si>
  <si>
    <t>02.10 SAUS</t>
  </si>
  <si>
    <t>02.10.01 Limpeza</t>
  </si>
  <si>
    <t>02.10.05 Terraplenagem</t>
  </si>
  <si>
    <t>02.10.10 Base</t>
  </si>
  <si>
    <t>02.10.15 Capa SAUS</t>
  </si>
  <si>
    <t>02.10.16 Capa Concreto</t>
  </si>
  <si>
    <t>02.10.20 Sinalização horiz SAUS</t>
  </si>
  <si>
    <t>02.10.20 Sinalização vertical SAUS</t>
  </si>
  <si>
    <t>02.10.25 Defensa</t>
  </si>
  <si>
    <t>02.10.30 Drenagem Superficial</t>
  </si>
  <si>
    <t>02.10.35 Passeio de concreto</t>
  </si>
  <si>
    <t>02.10.40 Grama</t>
  </si>
  <si>
    <t>02.10.45 Iluminação de aproximação</t>
  </si>
  <si>
    <t>02.10.50 Iluminação BSO e SAL</t>
  </si>
  <si>
    <t>02.10.60 Alambrado</t>
  </si>
  <si>
    <t>02.10.70 Reservatorio</t>
  </si>
  <si>
    <t>02.10.75 Fundação estrutura metalica</t>
  </si>
  <si>
    <t>02.10.80 Instalação estrutura metalica</t>
  </si>
  <si>
    <t>99.01 Reajuste</t>
  </si>
  <si>
    <t>99.02 Riscos</t>
  </si>
  <si>
    <t>99.02.01 Riscos Materiais</t>
  </si>
  <si>
    <t>99.02.02 Riscos Mão de Obra</t>
  </si>
  <si>
    <t>99.03 Reequilíbrio</t>
  </si>
  <si>
    <t>Total</t>
  </si>
  <si>
    <t>&gt;&gt; REALIZADO</t>
  </si>
  <si>
    <t>SERVIÇO</t>
  </si>
  <si>
    <t>UNIDADE</t>
  </si>
  <si>
    <t>CUSTO UNIT.</t>
  </si>
  <si>
    <t>GRUPO</t>
  </si>
  <si>
    <t>CUSTO</t>
  </si>
  <si>
    <t>%</t>
  </si>
  <si>
    <t>MVE</t>
  </si>
  <si>
    <t>COMBUSTIVEL</t>
  </si>
  <si>
    <t>PRODUÇÃO EQUIPE</t>
  </si>
  <si>
    <t>OBSERVAÇÕES</t>
  </si>
  <si>
    <t>QTDE</t>
  </si>
  <si>
    <t>UNID</t>
  </si>
  <si>
    <t>RECEITA</t>
  </si>
  <si>
    <t>MO</t>
  </si>
  <si>
    <t>MATERIAL</t>
  </si>
  <si>
    <t>CUSTO por dia</t>
  </si>
  <si>
    <t>CODIGO</t>
  </si>
  <si>
    <t>PRODUÇÃO</t>
  </si>
  <si>
    <t>QTDE_TOTAL</t>
  </si>
  <si>
    <t>Nº</t>
  </si>
  <si>
    <t>C. UNIT</t>
  </si>
  <si>
    <t>C. TOTAL</t>
  </si>
  <si>
    <t>CONS. COMB</t>
  </si>
  <si>
    <t>INDICE PROD</t>
  </si>
  <si>
    <t>serviço</t>
  </si>
  <si>
    <t>Nº1</t>
  </si>
  <si>
    <t>QUANT.1</t>
  </si>
  <si>
    <t>C. UNIT1</t>
  </si>
  <si>
    <t>C. TOTAL1</t>
  </si>
  <si>
    <t>Nº2</t>
  </si>
  <si>
    <t>QUANT.2</t>
  </si>
  <si>
    <t>C. UNIT2</t>
  </si>
  <si>
    <t>C. TOTAL2</t>
  </si>
  <si>
    <t>Nº3</t>
  </si>
  <si>
    <t>QUANT.3</t>
  </si>
  <si>
    <t>C. UNIT3</t>
  </si>
  <si>
    <t>C. TOTAL3</t>
  </si>
  <si>
    <t>Nº4</t>
  </si>
  <si>
    <t>QUANT.4</t>
  </si>
  <si>
    <t>C. UNIT4</t>
  </si>
  <si>
    <t>C. TOTAL4</t>
  </si>
  <si>
    <t>Nº5</t>
  </si>
  <si>
    <t>QUANT.5</t>
  </si>
  <si>
    <t>C. UNIT5</t>
  </si>
  <si>
    <t>C. TOTAL5</t>
  </si>
  <si>
    <t>Nº6</t>
  </si>
  <si>
    <t>QUANT.6</t>
  </si>
  <si>
    <t>C. UNIT6</t>
  </si>
  <si>
    <t>C. TOTAL6</t>
  </si>
  <si>
    <t>Nº7</t>
  </si>
  <si>
    <t>QUANT.7</t>
  </si>
  <si>
    <t>C. UNIT7</t>
  </si>
  <si>
    <t>C. TOTAL7</t>
  </si>
  <si>
    <t>Nº8</t>
  </si>
  <si>
    <t>QUANT.8</t>
  </si>
  <si>
    <t>C. UNIT8</t>
  </si>
  <si>
    <t>C. TOTAL8</t>
  </si>
  <si>
    <t>Nº9</t>
  </si>
  <si>
    <t>QUANT.9</t>
  </si>
  <si>
    <t>C. UNIT9</t>
  </si>
  <si>
    <t>C. TOTAL9</t>
  </si>
  <si>
    <t>Nº10</t>
  </si>
  <si>
    <t>QUANT.10</t>
  </si>
  <si>
    <t>C. UNIT10</t>
  </si>
  <si>
    <t>C. TOTAL10</t>
  </si>
  <si>
    <t>Nº11</t>
  </si>
  <si>
    <t>QUANT.11</t>
  </si>
  <si>
    <t>C. UNIT11</t>
  </si>
  <si>
    <t>C. TOTAL11</t>
  </si>
  <si>
    <t>Nº12</t>
  </si>
  <si>
    <t>QUANT.12</t>
  </si>
  <si>
    <t>C. UNIT12</t>
  </si>
  <si>
    <t>C. TOTAL12</t>
  </si>
  <si>
    <t>EQUIPAMENTO</t>
  </si>
  <si>
    <t>Cons. combustível</t>
  </si>
  <si>
    <t>% Produtivo</t>
  </si>
  <si>
    <t>Ind. Produtividade</t>
  </si>
  <si>
    <t>Recomposição cerca</t>
  </si>
  <si>
    <t>Caminhão carroceria</t>
  </si>
  <si>
    <t>Pedreiro</t>
  </si>
  <si>
    <t>% Aproveitamento</t>
  </si>
  <si>
    <t>Poste de madeira p/cerca 2,20 x 10 a 12 cm</t>
  </si>
  <si>
    <t>Esticador de madeira p/cerca 2,80 x 14 a 16 cm</t>
  </si>
  <si>
    <t>Arame zincado ovalado 1,5/1,7 mm</t>
  </si>
  <si>
    <t>Cerca</t>
  </si>
  <si>
    <t>Transporte cbuq</t>
  </si>
  <si>
    <t>Transporte CBUQ</t>
  </si>
  <si>
    <t>Instalação estrutura metalica</t>
  </si>
  <si>
    <t>Estrutura metalica (Terceiros)</t>
  </si>
  <si>
    <t>Fundação estrutura metalica</t>
  </si>
  <si>
    <t>Carpinteiro</t>
  </si>
  <si>
    <t>Armador</t>
  </si>
  <si>
    <t>SAU 1</t>
  </si>
  <si>
    <t>SAU 2</t>
  </si>
  <si>
    <t>SAU 3</t>
  </si>
  <si>
    <t>SAU 4</t>
  </si>
  <si>
    <t>SAU 5</t>
  </si>
  <si>
    <t>SAU 6</t>
  </si>
  <si>
    <t>SAU 7</t>
  </si>
  <si>
    <t>SAU 8</t>
  </si>
  <si>
    <t>SAU 9</t>
  </si>
  <si>
    <t>Escavação estaca</t>
  </si>
  <si>
    <t>Aço CA-50 vários diâmetros</t>
  </si>
  <si>
    <t>Concreto usinado fck 25 MPA</t>
  </si>
  <si>
    <t>Arame recozido</t>
  </si>
  <si>
    <t>Tabua 30 cm</t>
  </si>
  <si>
    <t>Prego</t>
  </si>
  <si>
    <t>Passeio de concreto</t>
  </si>
  <si>
    <t>Tabua 15 cm</t>
  </si>
  <si>
    <t>Drenagem Superficial</t>
  </si>
  <si>
    <t>236 M³</t>
  </si>
  <si>
    <t>MFC 01</t>
  </si>
  <si>
    <t>STC 125-25</t>
  </si>
  <si>
    <t>STC 03</t>
  </si>
  <si>
    <t>Capa Concreto</t>
  </si>
  <si>
    <t>Retroescavadeira</t>
  </si>
  <si>
    <t>Op. de retroescavadeira</t>
  </si>
  <si>
    <t>Tela soldada Q 138</t>
  </si>
  <si>
    <t>Lona plastica</t>
  </si>
  <si>
    <t>Grelha aço</t>
  </si>
  <si>
    <t>Brita 1</t>
  </si>
  <si>
    <t>Tubo pvc 100 mm</t>
  </si>
  <si>
    <t>Piso concreto (Terceiros)</t>
  </si>
  <si>
    <t>KG</t>
  </si>
  <si>
    <t>Caibro 5x5</t>
  </si>
  <si>
    <t>Tela soldada Q 82</t>
  </si>
  <si>
    <t>Iluminação BSO e SAL</t>
  </si>
  <si>
    <t>Iluminação BSO e SAU (Terceiros)</t>
  </si>
  <si>
    <t>Iluminação de aproximação</t>
  </si>
  <si>
    <t>Iluminação de aproximação (Terceiros)</t>
  </si>
  <si>
    <t>Alambrado</t>
  </si>
  <si>
    <t>Painel belgo slim alt = 2,03</t>
  </si>
  <si>
    <t>Poste Nylofor alt = 2,6</t>
  </si>
  <si>
    <t>Fixador gradil</t>
  </si>
  <si>
    <t>Areia</t>
  </si>
  <si>
    <t>Cimento</t>
  </si>
  <si>
    <t>Coluna de aço 10x15 8 mm</t>
  </si>
  <si>
    <t>Sinalização vertical SAUS</t>
  </si>
  <si>
    <t>Sinalização vertical SAUS (Terceiros)</t>
  </si>
  <si>
    <t>Sinalização horiz SAUS</t>
  </si>
  <si>
    <t>Sinalização horizontal SAUS (Terceiros)</t>
  </si>
  <si>
    <t>Tacha refletiva tipo III (Terceiros)</t>
  </si>
  <si>
    <t>Grama</t>
  </si>
  <si>
    <t>Plantio de grama (Terceiros)</t>
  </si>
  <si>
    <t>Reservatorio</t>
  </si>
  <si>
    <t>Reservatorio metalico 10 m³</t>
  </si>
  <si>
    <t>Capa SAUS</t>
  </si>
  <si>
    <t>4 dias para executar cada SAU</t>
  </si>
  <si>
    <t>Motoniveladora</t>
  </si>
  <si>
    <t>Rolo pata vibratorio</t>
  </si>
  <si>
    <t>Vibro acabadora</t>
  </si>
  <si>
    <t>Rolo de pneus</t>
  </si>
  <si>
    <t>Rolo chapa vib tandem Dynapac CC424HF</t>
  </si>
  <si>
    <t>Op. de motoniveladora</t>
  </si>
  <si>
    <t>Op. de rolo compactador</t>
  </si>
  <si>
    <t>Op. de vibroacabadora</t>
  </si>
  <si>
    <t>Op. de rolo de pneu</t>
  </si>
  <si>
    <t>CBUQ exceto cap</t>
  </si>
  <si>
    <t>CAP 50 / 70</t>
  </si>
  <si>
    <t>EAI</t>
  </si>
  <si>
    <t>RR 1C</t>
  </si>
  <si>
    <t>Tacha Refletiva</t>
  </si>
  <si>
    <t>Tacha refletiva (Terceiros)</t>
  </si>
  <si>
    <t>Micro Revestimento</t>
  </si>
  <si>
    <t>produção agosto</t>
  </si>
  <si>
    <t>m²</t>
  </si>
  <si>
    <t>usinas</t>
  </si>
  <si>
    <t>usina / dia</t>
  </si>
  <si>
    <t>Cam Micro 6x4 VW 31.320</t>
  </si>
  <si>
    <t>Pa carreadeira</t>
  </si>
  <si>
    <t>Cam. pipa VW 17.180</t>
  </si>
  <si>
    <t>Motorista de cam usina</t>
  </si>
  <si>
    <t>Op. de pá-carregadeira</t>
  </si>
  <si>
    <t>Motorista de cam pipa</t>
  </si>
  <si>
    <t>Op. De usina micro</t>
  </si>
  <si>
    <t>Rasteleiro</t>
  </si>
  <si>
    <t>Sinalização Horizontal</t>
  </si>
  <si>
    <t>Sinalização horizontal (Terceiros)</t>
  </si>
  <si>
    <t>Sinalização horizontal (Fechamento)</t>
  </si>
  <si>
    <t>Conserva</t>
  </si>
  <si>
    <t>2,5 km/hora x largura de 1,33 m x 7 horas / dia</t>
  </si>
  <si>
    <r>
      <t xml:space="preserve">80% mec /  linear 3 km </t>
    </r>
    <r>
      <rPr>
        <sz val="9"/>
        <color theme="1"/>
        <rFont val="Calibri"/>
        <family val="2"/>
        <scheme val="minor"/>
      </rPr>
      <t>BR 060 e 12 km BR 452</t>
    </r>
  </si>
  <si>
    <t>Trator pneus 4x4</t>
  </si>
  <si>
    <t>Roçadeira hidraulica</t>
  </si>
  <si>
    <t>Roçadeira costal</t>
  </si>
  <si>
    <t>Total BR 060</t>
  </si>
  <si>
    <t>há</t>
  </si>
  <si>
    <t>Total BR 452</t>
  </si>
  <si>
    <t>Prod./equipe 1,5 Mês</t>
  </si>
  <si>
    <t>Nº Equipes</t>
  </si>
  <si>
    <t>Op. de trator de pneu</t>
  </si>
  <si>
    <t>Motorista de cam carroceria</t>
  </si>
  <si>
    <t>Op. De roçadeira</t>
  </si>
  <si>
    <t>produtividade</t>
  </si>
  <si>
    <t>7 km / hora x largura de 1,50 m x 6 horas / dia</t>
  </si>
  <si>
    <t>20% man</t>
  </si>
  <si>
    <t>Administracao local diversos</t>
  </si>
  <si>
    <t>Administração local</t>
  </si>
  <si>
    <t>Capa - CBUQ</t>
  </si>
  <si>
    <t>km usina 24 / execução 80 - 130  / dt médio 81 km</t>
  </si>
  <si>
    <t xml:space="preserve">Minicarregadeira </t>
  </si>
  <si>
    <t>Cam. espargidor VW 17.180</t>
  </si>
  <si>
    <t>Cam. basculante 8x2 VW 24.220</t>
  </si>
  <si>
    <t>Mesista de vibro acabadora (Asfalto)</t>
  </si>
  <si>
    <t>Op. de mini-escavadeira</t>
  </si>
  <si>
    <t>Motorista de cam espargidor</t>
  </si>
  <si>
    <t>Op. de espargidor</t>
  </si>
  <si>
    <t>CBUQ</t>
  </si>
  <si>
    <t>Fresagem Descontinua</t>
  </si>
  <si>
    <t>Fresadora Wirtgen W1000L</t>
  </si>
  <si>
    <t>Op. de fresadora</t>
  </si>
  <si>
    <t>BITZ</t>
  </si>
  <si>
    <t>Descrição</t>
  </si>
  <si>
    <t>Observação</t>
  </si>
  <si>
    <t xml:space="preserve">Data Inicio:  </t>
  </si>
  <si>
    <t xml:space="preserve">Data Fim:  </t>
  </si>
  <si>
    <t>Nº Dias</t>
  </si>
  <si>
    <t>Sábados</t>
  </si>
  <si>
    <t>Domingos</t>
  </si>
  <si>
    <t>Feriados nacionais</t>
  </si>
  <si>
    <t>Feriados locais</t>
  </si>
  <si>
    <t>Dias chuvosos</t>
  </si>
  <si>
    <t>Chuva (mm)</t>
  </si>
  <si>
    <t xml:space="preserve">Dias impraticáveis f: chuva  </t>
  </si>
  <si>
    <t>Dias baixada</t>
  </si>
  <si>
    <t>Dias trabalhados</t>
  </si>
  <si>
    <t>Média dias trabalhados</t>
  </si>
  <si>
    <t>Horas normais / mês</t>
  </si>
  <si>
    <t>Horas extras / mês</t>
  </si>
  <si>
    <t>HE Seg a Sex</t>
  </si>
  <si>
    <t>HE Sab</t>
  </si>
  <si>
    <t>Feriados</t>
  </si>
  <si>
    <t>Confraternização Universal</t>
  </si>
  <si>
    <t>Carnaval</t>
  </si>
  <si>
    <t>Paixão de Cristo</t>
  </si>
  <si>
    <t>Tiradentes</t>
  </si>
  <si>
    <t>Dia do Trabalho</t>
  </si>
  <si>
    <t>Corpus Christi</t>
  </si>
  <si>
    <t>Independência do Brasil</t>
  </si>
  <si>
    <t>Nossa Sr.a Aparecida - Padroeira do Brasil</t>
  </si>
  <si>
    <t>Finados</t>
  </si>
  <si>
    <t>Proclamação da República</t>
  </si>
  <si>
    <t>Natal</t>
  </si>
  <si>
    <t>Dia Nacional de Zumbi e da Consciência Negra</t>
  </si>
  <si>
    <t>SERVICO</t>
  </si>
  <si>
    <t>NOME SERVIÇO</t>
  </si>
  <si>
    <t>ETAPA/SERVICO</t>
  </si>
  <si>
    <t>Utilização</t>
  </si>
  <si>
    <t>01.01 Administracao local diversos</t>
  </si>
  <si>
    <t>T</t>
  </si>
  <si>
    <t>HÁ</t>
  </si>
  <si>
    <t>RECURSO</t>
  </si>
  <si>
    <t>Salario Base</t>
  </si>
  <si>
    <t>Quant. HE</t>
  </si>
  <si>
    <t>Insalubridade</t>
  </si>
  <si>
    <t>Periculosidade</t>
  </si>
  <si>
    <t>Gratificação</t>
  </si>
  <si>
    <t>Refeição</t>
  </si>
  <si>
    <t>VT/Viagens</t>
  </si>
  <si>
    <t>EPI</t>
  </si>
  <si>
    <t>Encargos</t>
  </si>
  <si>
    <t>Custo Total</t>
  </si>
  <si>
    <t>Custo horário</t>
  </si>
  <si>
    <t>HN por mês</t>
  </si>
  <si>
    <t>HE por mês</t>
  </si>
  <si>
    <t>Administração MO</t>
  </si>
  <si>
    <t>H</t>
  </si>
  <si>
    <t>Almoço/lanche (R$)</t>
  </si>
  <si>
    <t>Janta (R$)</t>
  </si>
  <si>
    <t>EPI / mês (R$)</t>
  </si>
  <si>
    <t>VT / Desp. Viagens / mês</t>
  </si>
  <si>
    <t>Encanador</t>
  </si>
  <si>
    <t>Op. de escavadeira hidráulica</t>
  </si>
  <si>
    <t>Op. de trator esteira</t>
  </si>
  <si>
    <t>Administração MVE</t>
  </si>
  <si>
    <t>Roçadeira lateral</t>
  </si>
  <si>
    <t>Roçadeira semi articulada</t>
  </si>
  <si>
    <t>Vassoura mini carregadeira</t>
  </si>
  <si>
    <t>Fresadora mini carregadeira</t>
  </si>
  <si>
    <t>x</t>
  </si>
  <si>
    <t>Cam. pipa VW 26.280</t>
  </si>
  <si>
    <t>Escavadeira hidráulica E215 LC</t>
  </si>
  <si>
    <t xml:space="preserve">Escavadeira hidráulica PC240 </t>
  </si>
  <si>
    <t>Rolo chapa vibratório tandem Dynapac CC900</t>
  </si>
  <si>
    <t>Rolo chapa vibratório VAP 55</t>
  </si>
  <si>
    <t>ADM</t>
  </si>
  <si>
    <t>M3</t>
  </si>
  <si>
    <t>TER</t>
  </si>
  <si>
    <t>m</t>
  </si>
  <si>
    <t>m2</t>
  </si>
  <si>
    <t>unid</t>
  </si>
  <si>
    <t>Reservatorio metalico 5 m³</t>
  </si>
  <si>
    <t>QUANT_X_K</t>
  </si>
  <si>
    <t>0</t>
  </si>
  <si>
    <t>1</t>
  </si>
  <si>
    <t>1059620,662</t>
  </si>
  <si>
    <t>3090587,5</t>
  </si>
  <si>
    <t>15,35</t>
  </si>
  <si>
    <t>1346962,5</t>
  </si>
  <si>
    <t>18,5</t>
  </si>
  <si>
    <t>1743625</t>
  </si>
  <si>
    <t>Pintura de Ligação</t>
  </si>
  <si>
    <t>Limpeza</t>
  </si>
  <si>
    <t>Terraplenagem</t>
  </si>
  <si>
    <t>Base</t>
  </si>
  <si>
    <t>Defensa</t>
  </si>
  <si>
    <t>CURVA ABC INSUMOS</t>
  </si>
  <si>
    <t>Insumo</t>
  </si>
  <si>
    <t>CPU_CapaCBUQ</t>
  </si>
  <si>
    <t>CPU_CapaSAUS</t>
  </si>
  <si>
    <t>CPU_Conserva</t>
  </si>
  <si>
    <t>CPU_FresagemDescontinua</t>
  </si>
  <si>
    <t>CPU_MicroRevestimento</t>
  </si>
  <si>
    <t>CPU_Recomposiçãocerca</t>
  </si>
  <si>
    <t>CPU_Cerca</t>
  </si>
  <si>
    <t>Name</t>
  </si>
  <si>
    <t>CUSTO_TOTAL</t>
  </si>
  <si>
    <t>CPU_5961</t>
  </si>
  <si>
    <t>CPU_59</t>
  </si>
  <si>
    <t>CPU_Fundaçãoestruturamet</t>
  </si>
  <si>
    <t>CPU_49</t>
  </si>
  <si>
    <t>CPU_Passeiodeconcreto</t>
  </si>
  <si>
    <t>CPU_47</t>
  </si>
  <si>
    <t>CPU_DrenagemSuperficial</t>
  </si>
  <si>
    <t>CPU_45</t>
  </si>
  <si>
    <t>CPU_CapaConcreto</t>
  </si>
  <si>
    <t>CPU_43</t>
  </si>
  <si>
    <t>CPU_IluminaçãoBSOeSAL</t>
  </si>
  <si>
    <t>CPU_41</t>
  </si>
  <si>
    <t>CPU_Iluminaçãodeaproxima</t>
  </si>
  <si>
    <t>CPU_39</t>
  </si>
  <si>
    <t>CPU_Alambrado</t>
  </si>
  <si>
    <t>CPU_37</t>
  </si>
  <si>
    <t>CPU_SinalizaçãoverticalS</t>
  </si>
  <si>
    <t>CPU_35</t>
  </si>
  <si>
    <t>CPU_SinalizaçãohorizSAUS</t>
  </si>
  <si>
    <t>CPU_32</t>
  </si>
  <si>
    <t>CPU_Grama</t>
  </si>
  <si>
    <t>CPU_30</t>
  </si>
  <si>
    <t>CPU_Reservatorio</t>
  </si>
  <si>
    <t>CPU_28</t>
  </si>
  <si>
    <t>CPU_26</t>
  </si>
  <si>
    <t>CPU_TachaRefletiva</t>
  </si>
  <si>
    <t>CPU_24</t>
  </si>
  <si>
    <t>CPU_16</t>
  </si>
  <si>
    <t>CPU_SinalizaçãoHorizonta</t>
  </si>
  <si>
    <t>CPU_22</t>
  </si>
  <si>
    <t>CPU_20</t>
  </si>
  <si>
    <t>CPU_2053</t>
  </si>
  <si>
    <t>CPU_2055</t>
  </si>
  <si>
    <t>CPU_Administracaolocaldi</t>
  </si>
  <si>
    <t>CPU_18</t>
  </si>
  <si>
    <t>CPU_14</t>
  </si>
  <si>
    <t>CPU_12</t>
  </si>
  <si>
    <t>Diesel Usinagem</t>
  </si>
  <si>
    <t>Oleo diesel FD</t>
  </si>
  <si>
    <t>9626365,817</t>
  </si>
  <si>
    <t>65,14020617</t>
  </si>
  <si>
    <t>1199665,681</t>
  </si>
  <si>
    <t>1,836397262</t>
  </si>
  <si>
    <t>832989,7981</t>
  </si>
  <si>
    <t>0,629549048</t>
  </si>
  <si>
    <t>231883,8974</t>
  </si>
  <si>
    <t>166,5571593</t>
  </si>
  <si>
    <t>7361826,441</t>
  </si>
  <si>
    <t>CPU_PinturadeLigação</t>
  </si>
  <si>
    <t>CPU_63</t>
  </si>
  <si>
    <t>MICRORREVESTIMENTO A FRIO COM EMULSÃO MODIFICADA COM POLÍMERO DE 0,8 CM - BRITA COMERCIAL</t>
  </si>
  <si>
    <t>4238482,649</t>
  </si>
  <si>
    <t>Cerca vedação (Terceiros)</t>
  </si>
  <si>
    <t>Recomposição cerca (Terceiros)</t>
  </si>
  <si>
    <t>0,146182724</t>
  </si>
  <si>
    <t>0,045909518</t>
  </si>
  <si>
    <t>0,8492</t>
  </si>
  <si>
    <t>15235457,96</t>
  </si>
  <si>
    <t>0,136982232</t>
  </si>
  <si>
    <t>2518504,64</t>
  </si>
  <si>
    <t>0,224138887</t>
  </si>
  <si>
    <t>30,4108666</t>
  </si>
  <si>
    <t>969346,3729</t>
  </si>
  <si>
    <t>0,271350892</t>
  </si>
  <si>
    <t>27,91276156</t>
  </si>
  <si>
    <t>1549158,267</t>
  </si>
  <si>
    <t>0,190461838</t>
  </si>
  <si>
    <t>0,236087339</t>
  </si>
  <si>
    <t>0,329389638</t>
  </si>
  <si>
    <t>0,137387765</t>
  </si>
  <si>
    <t>0,067937047</t>
  </si>
  <si>
    <t>0,326405408</t>
  </si>
  <si>
    <t>0,129749554</t>
  </si>
  <si>
    <t>-0,757612273</t>
  </si>
  <si>
    <t>0,005408633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</si>
</sst>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1" formatCode="_-* #,##0_-;\-* #,##0_-;_-* &quot;-&quot;_-;_-@_-"/>
    <numFmt numFmtId="43" formatCode="_-* #,##0.00_-;\-* #,##0.00_-;_-* &quot;-&quot;??_-;_-@_-"/>
    <numFmt numFmtId="164" formatCode="_-* #,##0_-;\-* #,##0_-;_-* &quot;-&quot;??_-;_-@_-"/>
    <numFmt numFmtId="165" formatCode="#,##0_ ;[Red]\-#,##0\ "/>
    <numFmt numFmtId="166" formatCode="&quot;R$ &quot;#,##0.00_);[Red]\(&quot;R$ &quot;#,##0.00\)"/>
    <numFmt numFmtId="167" formatCode="#,##0.00_ ;[Red]\-#,##0.00\ "/>
    <numFmt numFmtId="168" formatCode="_-[$R$-416]\ * #,##0.00_-;\-[$R$-416]\ * #,##0.00_-;_-[$R$-416]\ * &quot;-&quot;??_-;_-@_-"/>
    <numFmt numFmtId="169" formatCode="#,##0.00_ ;\-#,##0.00\ "/>
    <numFmt numFmtId="170" formatCode="[$-416]mmm\-yy;@"/>
    <numFmt numFmtId="171" formatCode="dd/mm/yy;@"/>
    <numFmt numFmtId="172" formatCode="0.000"/>
    <numFmt numFmtId="173" formatCode="_-* #,##0.000_-;\-* #,##0.000_-;_-* &quot;-&quot;??_-;_-@_-"/>
    <numFmt numFmtId="174" formatCode="_-* #,##0.0000_-;\-* #,##0.0000_-;_-* &quot;-&quot;??_-;_-@_-"/>
    <numFmt numFmtId="175" formatCode="_-* #,##0.00000_-;\-* #,##0.00000_-;_-* &quot;-&quot;??_-;_-@_-"/>
  </numFmts>
  <fonts count="7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rgb="FFFF0000"/>
      <name val="Tahoma"/>
      <family val="2"/>
    </font>
    <font>
      <sz val="8"/>
      <color rgb="FF0000FF"/>
      <name val="Tahoma"/>
      <family val="2"/>
    </font>
    <font>
      <sz val="10"/>
      <name val="Arial"/>
      <family val="2"/>
    </font>
    <font>
      <b/>
      <sz val="6"/>
      <color theme="0"/>
      <name val="Calibri"/>
      <family val="2"/>
      <scheme val="minor"/>
    </font>
    <font>
      <sz val="7"/>
      <color theme="1"/>
      <name val="Calibri"/>
      <family val="2"/>
      <scheme val="minor"/>
    </font>
    <font>
      <sz val="8"/>
      <color theme="0" tint="-0.249977111117893"/>
      <name val="Tahoma"/>
      <family val="2"/>
    </font>
    <font>
      <sz val="9"/>
      <color indexed="81"/>
      <name val="Segoe UI"/>
      <family val="2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0" tint="-0.34998626667073579"/>
      <name val="Calibri"/>
      <family val="2"/>
      <scheme val="minor"/>
    </font>
    <font>
      <sz val="14"/>
      <color rgb="FF00206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9"/>
      <color indexed="81"/>
      <name val="Segoe UI"/>
      <family val="2"/>
    </font>
    <font>
      <b/>
      <sz val="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7.5"/>
      <color theme="1"/>
      <name val="Arial"/>
      <family val="2"/>
    </font>
    <font>
      <sz val="8"/>
      <color theme="1"/>
      <name val="Arial"/>
      <family val="2"/>
    </font>
    <font>
      <b/>
      <sz val="8"/>
      <color rgb="FF000000"/>
      <name val="Tahoma"/>
      <family val="2"/>
    </font>
    <font>
      <sz val="8"/>
      <name val="Tahoma"/>
      <family val="2"/>
    </font>
    <font>
      <b/>
      <sz val="8"/>
      <name val="Tahoma"/>
      <family val="2"/>
    </font>
    <font>
      <sz val="10"/>
      <color theme="0"/>
      <name val="Calibri"/>
      <family val="2"/>
    </font>
    <font>
      <sz val="12"/>
      <color indexed="23"/>
      <name val="Calibri Light"/>
      <family val="2"/>
      <scheme val="major"/>
    </font>
    <font>
      <b/>
      <i/>
      <sz val="11"/>
      <color theme="1"/>
      <name val="Calibri Light"/>
      <family val="2"/>
      <scheme val="major"/>
    </font>
    <font>
      <sz val="11"/>
      <color indexed="23"/>
      <name val="Calibri Light"/>
      <family val="2"/>
      <scheme val="major"/>
    </font>
    <font>
      <sz val="10"/>
      <name val="Calibri Light"/>
      <family val="2"/>
      <scheme val="major"/>
    </font>
    <font>
      <sz val="11"/>
      <name val="Calibri Light"/>
      <family val="2"/>
      <scheme val="major"/>
    </font>
    <font>
      <b/>
      <sz val="11"/>
      <name val="Calibri Light"/>
      <family val="2"/>
      <scheme val="major"/>
    </font>
    <font>
      <b/>
      <i/>
      <sz val="12"/>
      <color rgb="FF002060"/>
      <name val="Calibri"/>
      <family val="2"/>
      <scheme val="minor"/>
    </font>
    <font>
      <b/>
      <sz val="12"/>
      <color rgb="FF002060"/>
      <name val="Calibri Light"/>
      <family val="2"/>
      <scheme val="major"/>
    </font>
    <font>
      <sz val="10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theme="0"/>
      <name val="Arial"/>
      <family val="2"/>
    </font>
    <font>
      <b/>
      <sz val="14"/>
      <color rgb="FF00206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Tahoma"/>
      <family val="2"/>
    </font>
    <font>
      <sz val="7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8"/>
      <color rgb="FFFF0000"/>
      <name val="Tahoma"/>
      <family val="2"/>
    </font>
    <font>
      <b/>
      <sz val="10"/>
      <color theme="0"/>
      <name val="Calibri"/>
      <family val="2"/>
    </font>
    <font>
      <b/>
      <sz val="8"/>
      <color rgb="FF0000FF"/>
      <name val="Tahoma"/>
      <family val="2"/>
    </font>
    <font>
      <sz val="10"/>
      <name val="Calibri"/>
      <family val="2"/>
      <scheme val="minor"/>
    </font>
    <font>
      <sz val="8.25"/>
      <color rgb="FF0000FF"/>
      <name val="Tahoma"/>
      <family val="2"/>
    </font>
    <font>
      <sz val="7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3D3D3"/>
      </patternFill>
    </fill>
    <fill>
      <patternFill patternType="solid">
        <f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8F9DB"/>
        <bgColor indexed="64"/>
      </patternFill>
    </fill>
    <fill>
      <patternFill patternType="solid">
        <fgColor rgb="FFF3F2F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42">
    <border>
      <left/>
      <right/>
      <top/>
      <bottom/>
      <diagonal/>
    </border>
    <border>
      <left style="medium">
        <color rgb="FF002060"/>
      </left>
      <right/>
      <top/>
      <bottom/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/>
      <bottom style="thin">
        <color rgb="FFA9A9A9"/>
      </bottom>
      <diagonal/>
    </border>
    <border>
      <left style="thin">
        <color theme="8" tint="0.39994506668294322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 style="medium">
        <color rgb="FF002060"/>
      </left>
      <right style="medium">
        <color rgb="FF002060"/>
      </right>
      <top/>
      <bottom/>
      <diagonal/>
    </border>
    <border>
      <left style="medium">
        <color rgb="FF0070C0"/>
      </left>
      <right/>
      <top style="medium">
        <color rgb="FF0070C0"/>
      </top>
      <bottom/>
      <diagonal/>
    </border>
    <border>
      <left/>
      <right/>
      <top style="medium">
        <color rgb="FF0070C0"/>
      </top>
      <bottom/>
      <diagonal/>
    </border>
    <border>
      <left/>
      <right style="medium">
        <color rgb="FF0070C0"/>
      </right>
      <top style="medium">
        <color rgb="FF0070C0"/>
      </top>
      <bottom/>
      <diagonal/>
    </border>
    <border>
      <left style="medium">
        <color rgb="FF0070C0"/>
      </left>
      <right/>
      <top/>
      <bottom/>
      <diagonal/>
    </border>
    <border>
      <left/>
      <right style="medium">
        <color rgb="FF0070C0"/>
      </right>
      <top/>
      <bottom/>
      <diagonal/>
    </border>
    <border>
      <left style="medium">
        <color rgb="FF0070C0"/>
      </left>
      <right/>
      <top/>
      <bottom style="medium">
        <color rgb="FF0070C0"/>
      </bottom>
      <diagonal/>
    </border>
    <border>
      <left/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thin">
        <color rgb="FFA9A9A9"/>
      </bottom>
      <diagonal/>
    </border>
    <border>
      <left/>
      <right/>
      <top style="thin">
        <color rgb="FFA9A9A9"/>
      </top>
      <bottom/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/>
      <diagonal/>
    </border>
    <border>
      <left style="medium">
        <color rgb="FF0070C0"/>
      </left>
      <right style="medium">
        <color rgb="FF0070C0"/>
      </right>
      <top/>
      <bottom/>
      <diagonal/>
    </border>
    <border>
      <left style="medium">
        <color rgb="FF0070C0"/>
      </left>
      <right style="medium">
        <color rgb="FF0070C0"/>
      </right>
      <top/>
      <bottom style="medium">
        <color rgb="FF0070C0"/>
      </bottom>
      <diagonal/>
    </border>
    <border>
      <left/>
      <right/>
      <top/>
      <bottom style="thin">
        <color indexed="64"/>
      </bottom>
      <diagonal/>
    </border>
    <border>
      <left style="thin">
        <color rgb="FF002060"/>
      </left>
      <right style="thin">
        <color rgb="FF002060"/>
      </right>
      <top/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double">
        <color theme="4"/>
      </top>
      <bottom style="thin">
        <color theme="4"/>
      </bottom>
      <diagonal/>
    </border>
    <border>
      <left/>
      <right style="thin">
        <color theme="4"/>
      </right>
      <top style="double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  <border>
      <left style="thin">
        <color auto="1"/>
      </left>
      <right/>
      <top style="thin">
        <color auto="1"/>
      </top>
      <bottom/>
      <diagonal/>
    </border>
  </borders>
  <cellStyleXfs count="1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0" fillId="0" borderId="0"/>
    <xf numFmtId="0" fontId="1" fillId="5" borderId="41" applyFont="0" applyFill="0" applyBorder="0" applyProtection="0">
      <alignment horizontal="center" vertical="top"/>
    </xf>
  </cellStyleXfs>
  <cellXfs count="414">
    <xf numFmtId="0" fontId="0" fillId="0" borderId="0" xfId="0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/>
    <xf numFmtId="49" fontId="8" fillId="0" borderId="3" xfId="3" applyNumberFormat="1" applyFont="1" applyBorder="1" applyAlignment="1">
      <alignment horizontal="left" vertical="center"/>
    </xf>
    <xf numFmtId="0" fontId="8" fillId="0" borderId="3" xfId="3" applyFont="1" applyBorder="1" applyAlignment="1">
      <alignment horizontal="left" vertical="center"/>
    </xf>
    <xf numFmtId="49" fontId="9" fillId="0" borderId="3" xfId="3" applyNumberFormat="1" applyFont="1" applyBorder="1" applyAlignment="1">
      <alignment horizontal="left" vertical="center"/>
    </xf>
    <xf numFmtId="4" fontId="9" fillId="0" borderId="3" xfId="3" applyNumberFormat="1" applyFont="1" applyBorder="1" applyAlignment="1">
      <alignment horizontal="right" vertical="center"/>
    </xf>
    <xf numFmtId="43" fontId="0" fillId="0" borderId="0" xfId="1" applyFont="1" applyAlignment="1">
      <alignment vertical="center"/>
    </xf>
    <xf numFmtId="4" fontId="7" fillId="0" borderId="3" xfId="0" applyNumberFormat="1" applyFont="1" applyBorder="1" applyAlignment="1">
      <alignment horizontal="right" vertical="center"/>
    </xf>
    <xf numFmtId="43" fontId="8" fillId="0" borderId="3" xfId="1" applyFont="1" applyFill="1" applyBorder="1" applyAlignment="1">
      <alignment horizontal="left" vertical="center"/>
    </xf>
    <xf numFmtId="22" fontId="8" fillId="0" borderId="3" xfId="3" applyNumberFormat="1" applyFont="1" applyBorder="1" applyAlignment="1">
      <alignment horizontal="left" vertical="center"/>
    </xf>
    <xf numFmtId="4" fontId="8" fillId="0" borderId="3" xfId="0" applyNumberFormat="1" applyFont="1" applyBorder="1" applyAlignment="1">
      <alignment horizontal="right" vertical="center"/>
    </xf>
    <xf numFmtId="43" fontId="9" fillId="0" borderId="3" xfId="1" applyFont="1" applyFill="1" applyBorder="1" applyAlignment="1">
      <alignment horizontal="left" vertical="center"/>
    </xf>
    <xf numFmtId="22" fontId="9" fillId="0" borderId="3" xfId="3" applyNumberFormat="1" applyFont="1" applyBorder="1" applyAlignment="1">
      <alignment horizontal="left" vertical="center"/>
    </xf>
    <xf numFmtId="4" fontId="9" fillId="0" borderId="3" xfId="0" applyNumberFormat="1" applyFont="1" applyBorder="1" applyAlignment="1">
      <alignment horizontal="right" vertical="center"/>
    </xf>
    <xf numFmtId="43" fontId="11" fillId="0" borderId="0" xfId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5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0" applyNumberFormat="1"/>
    <xf numFmtId="4" fontId="0" fillId="0" borderId="0" xfId="0" applyNumberFormat="1"/>
    <xf numFmtId="164" fontId="0" fillId="0" borderId="0" xfId="1" applyNumberFormat="1" applyFont="1" applyAlignment="1">
      <alignment vertical="center"/>
    </xf>
    <xf numFmtId="43" fontId="13" fillId="0" borderId="3" xfId="1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vertical="center"/>
    </xf>
    <xf numFmtId="0" fontId="0" fillId="0" borderId="0" xfId="0" applyAlignment="1">
      <alignment horizontal="center"/>
    </xf>
    <xf numFmtId="43" fontId="0" fillId="0" borderId="0" xfId="1" applyFont="1"/>
    <xf numFmtId="0" fontId="0" fillId="0" borderId="11" xfId="0" applyBorder="1"/>
    <xf numFmtId="0" fontId="0" fillId="2" borderId="10" xfId="0" applyFill="1" applyBorder="1"/>
    <xf numFmtId="0" fontId="0" fillId="0" borderId="10" xfId="0" applyBorder="1"/>
    <xf numFmtId="164" fontId="0" fillId="2" borderId="10" xfId="1" applyNumberFormat="1" applyFont="1" applyFill="1" applyBorder="1" applyAlignment="1">
      <alignment vertical="center"/>
    </xf>
    <xf numFmtId="164" fontId="0" fillId="0" borderId="12" xfId="1" applyNumberFormat="1" applyFont="1" applyFill="1" applyBorder="1" applyAlignment="1">
      <alignment vertical="center"/>
    </xf>
    <xf numFmtId="3" fontId="0" fillId="0" borderId="0" xfId="1" applyNumberFormat="1" applyFont="1" applyFill="1" applyBorder="1" applyAlignment="1">
      <alignment horizontal="center" vertical="center"/>
    </xf>
    <xf numFmtId="3" fontId="0" fillId="0" borderId="13" xfId="1" applyNumberFormat="1" applyFont="1" applyFill="1" applyBorder="1" applyAlignment="1">
      <alignment horizontal="center" vertical="center"/>
    </xf>
    <xf numFmtId="0" fontId="4" fillId="4" borderId="0" xfId="0" applyFont="1" applyFill="1"/>
    <xf numFmtId="0" fontId="4" fillId="4" borderId="0" xfId="0" applyFont="1" applyFill="1" applyAlignment="1">
      <alignment horizontal="center"/>
    </xf>
    <xf numFmtId="43" fontId="4" fillId="0" borderId="15" xfId="1" applyFont="1" applyFill="1" applyBorder="1"/>
    <xf numFmtId="43" fontId="4" fillId="4" borderId="0" xfId="1" applyFont="1" applyFill="1" applyBorder="1"/>
    <xf numFmtId="0" fontId="19" fillId="0" borderId="0" xfId="0" applyFont="1"/>
    <xf numFmtId="0" fontId="15" fillId="0" borderId="0" xfId="0" applyFont="1"/>
    <xf numFmtId="0" fontId="20" fillId="0" borderId="0" xfId="14" applyFont="1" applyAlignment="1">
      <alignment horizontal="center" vertical="center"/>
    </xf>
    <xf numFmtId="0" fontId="0" fillId="0" borderId="0" xfId="0" quotePrefix="1"/>
    <xf numFmtId="43" fontId="0" fillId="0" borderId="0" xfId="1" applyFont="1" applyBorder="1"/>
    <xf numFmtId="49" fontId="0" fillId="2" borderId="0" xfId="0" applyNumberFormat="1" applyFill="1"/>
    <xf numFmtId="49" fontId="0" fillId="0" borderId="0" xfId="0" applyNumberFormat="1"/>
    <xf numFmtId="0" fontId="2" fillId="0" borderId="0" xfId="0" applyFont="1"/>
    <xf numFmtId="49" fontId="2" fillId="0" borderId="0" xfId="0" applyNumberFormat="1" applyFont="1"/>
    <xf numFmtId="0" fontId="0" fillId="2" borderId="13" xfId="0" applyFill="1" applyBorder="1" applyAlignment="1">
      <alignment vertical="center"/>
    </xf>
    <xf numFmtId="0" fontId="0" fillId="2" borderId="12" xfId="0" applyFill="1" applyBorder="1"/>
    <xf numFmtId="0" fontId="3" fillId="4" borderId="0" xfId="0" applyFont="1" applyFill="1"/>
    <xf numFmtId="0" fontId="16" fillId="0" borderId="0" xfId="0" applyFont="1"/>
    <xf numFmtId="0" fontId="17" fillId="0" borderId="0" xfId="0" applyFont="1"/>
    <xf numFmtId="3" fontId="24" fillId="0" borderId="0" xfId="1" applyNumberFormat="1" applyFont="1" applyBorder="1" applyAlignment="1">
      <alignment horizontal="center" vertical="center"/>
    </xf>
    <xf numFmtId="9" fontId="24" fillId="0" borderId="11" xfId="2" applyFont="1" applyBorder="1" applyAlignment="1">
      <alignment horizontal="center" vertical="center"/>
    </xf>
    <xf numFmtId="3" fontId="24" fillId="0" borderId="13" xfId="0" applyNumberFormat="1" applyFont="1" applyBorder="1" applyAlignment="1">
      <alignment horizontal="center" vertical="center"/>
    </xf>
    <xf numFmtId="3" fontId="24" fillId="0" borderId="13" xfId="1" applyNumberFormat="1" applyFont="1" applyBorder="1" applyAlignment="1">
      <alignment horizontal="center" vertical="center"/>
    </xf>
    <xf numFmtId="9" fontId="24" fillId="0" borderId="14" xfId="2" applyFont="1" applyBorder="1" applyAlignment="1">
      <alignment horizontal="center" vertical="center"/>
    </xf>
    <xf numFmtId="43" fontId="0" fillId="0" borderId="11" xfId="1" applyFont="1" applyBorder="1"/>
    <xf numFmtId="43" fontId="0" fillId="0" borderId="14" xfId="1" applyFont="1" applyBorder="1"/>
    <xf numFmtId="0" fontId="27" fillId="0" borderId="0" xfId="0" applyFont="1" applyAlignment="1">
      <alignment horizontal="center" vertical="center"/>
    </xf>
    <xf numFmtId="9" fontId="26" fillId="8" borderId="0" xfId="2" applyFont="1" applyFill="1"/>
    <xf numFmtId="0" fontId="28" fillId="3" borderId="7" xfId="0" applyFont="1" applyFill="1" applyBorder="1"/>
    <xf numFmtId="0" fontId="29" fillId="3" borderId="8" xfId="0" applyFont="1" applyFill="1" applyBorder="1"/>
    <xf numFmtId="0" fontId="29" fillId="3" borderId="8" xfId="0" applyFont="1" applyFill="1" applyBorder="1" applyAlignment="1">
      <alignment horizontal="center"/>
    </xf>
    <xf numFmtId="0" fontId="28" fillId="3" borderId="8" xfId="0" applyFont="1" applyFill="1" applyBorder="1"/>
    <xf numFmtId="0" fontId="28" fillId="3" borderId="9" xfId="0" applyFont="1" applyFill="1" applyBorder="1"/>
    <xf numFmtId="0" fontId="28" fillId="3" borderId="10" xfId="0" applyFont="1" applyFill="1" applyBorder="1"/>
    <xf numFmtId="0" fontId="28" fillId="3" borderId="0" xfId="0" applyFont="1" applyFill="1" applyAlignment="1">
      <alignment horizontal="center"/>
    </xf>
    <xf numFmtId="0" fontId="28" fillId="3" borderId="11" xfId="0" applyFont="1" applyFill="1" applyBorder="1" applyAlignment="1">
      <alignment horizontal="center"/>
    </xf>
    <xf numFmtId="0" fontId="28" fillId="3" borderId="0" xfId="0" applyFont="1" applyFill="1"/>
    <xf numFmtId="0" fontId="0" fillId="5" borderId="0" xfId="0" applyFill="1"/>
    <xf numFmtId="0" fontId="0" fillId="5" borderId="0" xfId="0" applyFill="1" applyAlignment="1">
      <alignment horizontal="center"/>
    </xf>
    <xf numFmtId="43" fontId="0" fillId="5" borderId="11" xfId="0" applyNumberFormat="1" applyFill="1" applyBorder="1" applyAlignment="1">
      <alignment horizontal="center"/>
    </xf>
    <xf numFmtId="0" fontId="3" fillId="9" borderId="1" xfId="0" applyFont="1" applyFill="1" applyBorder="1" applyAlignment="1">
      <alignment horizontal="center" vertical="center"/>
    </xf>
    <xf numFmtId="0" fontId="3" fillId="9" borderId="6" xfId="0" applyFont="1" applyFill="1" applyBorder="1" applyAlignment="1">
      <alignment horizontal="center" vertical="center"/>
    </xf>
    <xf numFmtId="0" fontId="30" fillId="0" borderId="0" xfId="0" applyFont="1" applyAlignment="1">
      <alignment vertical="top"/>
    </xf>
    <xf numFmtId="0" fontId="30" fillId="0" borderId="0" xfId="0" applyFont="1" applyAlignment="1">
      <alignment vertical="center"/>
    </xf>
    <xf numFmtId="9" fontId="25" fillId="0" borderId="0" xfId="2" applyFont="1" applyAlignment="1"/>
    <xf numFmtId="3" fontId="26" fillId="0" borderId="0" xfId="1" applyNumberFormat="1" applyFont="1" applyFill="1" applyBorder="1" applyAlignment="1">
      <alignment horizontal="center" vertical="center"/>
    </xf>
    <xf numFmtId="3" fontId="26" fillId="0" borderId="13" xfId="1" applyNumberFormat="1" applyFont="1" applyFill="1" applyBorder="1" applyAlignment="1">
      <alignment horizontal="center" vertical="center"/>
    </xf>
    <xf numFmtId="0" fontId="28" fillId="0" borderId="13" xfId="0" applyFont="1" applyBorder="1" applyAlignment="1">
      <alignment horizontal="center"/>
    </xf>
    <xf numFmtId="0" fontId="32" fillId="4" borderId="18" xfId="0" applyFont="1" applyFill="1" applyBorder="1"/>
    <xf numFmtId="0" fontId="0" fillId="2" borderId="19" xfId="0" applyFill="1" applyBorder="1"/>
    <xf numFmtId="0" fontId="0" fillId="2" borderId="20" xfId="0" applyFill="1" applyBorder="1"/>
    <xf numFmtId="0" fontId="28" fillId="0" borderId="0" xfId="0" applyFont="1" applyAlignment="1">
      <alignment horizontal="center"/>
    </xf>
    <xf numFmtId="43" fontId="0" fillId="0" borderId="10" xfId="1" applyFont="1" applyBorder="1"/>
    <xf numFmtId="43" fontId="4" fillId="0" borderId="10" xfId="1" applyFont="1" applyFill="1" applyBorder="1"/>
    <xf numFmtId="43" fontId="0" fillId="2" borderId="0" xfId="1" applyFont="1" applyFill="1" applyBorder="1"/>
    <xf numFmtId="43" fontId="4" fillId="4" borderId="0" xfId="1" applyFont="1" applyFill="1" applyBorder="1" applyAlignment="1">
      <alignment horizontal="center"/>
    </xf>
    <xf numFmtId="43" fontId="0" fillId="2" borderId="0" xfId="1" applyFont="1" applyFill="1" applyBorder="1" applyAlignment="1">
      <alignment horizontal="center"/>
    </xf>
    <xf numFmtId="43" fontId="0" fillId="0" borderId="0" xfId="1" applyFont="1" applyFill="1" applyBorder="1" applyAlignment="1">
      <alignment horizontal="center"/>
    </xf>
    <xf numFmtId="49" fontId="7" fillId="6" borderId="4" xfId="0" applyNumberFormat="1" applyFont="1" applyFill="1" applyBorder="1" applyAlignment="1">
      <alignment horizontal="center" vertical="center"/>
    </xf>
    <xf numFmtId="49" fontId="7" fillId="6" borderId="4" xfId="0" applyNumberFormat="1" applyFont="1" applyFill="1" applyBorder="1" applyAlignment="1">
      <alignment horizontal="center" vertical="center" wrapText="1"/>
    </xf>
    <xf numFmtId="49" fontId="37" fillId="8" borderId="3" xfId="0" applyNumberFormat="1" applyFont="1" applyFill="1" applyBorder="1" applyAlignment="1">
      <alignment horizontal="center" vertical="center"/>
    </xf>
    <xf numFmtId="49" fontId="37" fillId="10" borderId="3" xfId="0" applyNumberFormat="1" applyFont="1" applyFill="1" applyBorder="1" applyAlignment="1">
      <alignment horizontal="center" vertical="center"/>
    </xf>
    <xf numFmtId="14" fontId="7" fillId="6" borderId="3" xfId="0" applyNumberFormat="1" applyFont="1" applyFill="1" applyBorder="1" applyAlignment="1">
      <alignment horizontal="center" vertical="center"/>
    </xf>
    <xf numFmtId="22" fontId="7" fillId="7" borderId="3" xfId="0" applyNumberFormat="1" applyFont="1" applyFill="1" applyBorder="1" applyAlignment="1">
      <alignment horizontal="left" vertical="center"/>
    </xf>
    <xf numFmtId="49" fontId="7" fillId="7" borderId="3" xfId="0" applyNumberFormat="1" applyFont="1" applyFill="1" applyBorder="1" applyAlignment="1">
      <alignment horizontal="left" vertical="center"/>
    </xf>
    <xf numFmtId="0" fontId="7" fillId="7" borderId="3" xfId="0" applyFont="1" applyFill="1" applyBorder="1" applyAlignment="1">
      <alignment horizontal="left" vertical="center"/>
    </xf>
    <xf numFmtId="4" fontId="7" fillId="7" borderId="3" xfId="0" applyNumberFormat="1" applyFont="1" applyFill="1" applyBorder="1" applyAlignment="1">
      <alignment horizontal="right" vertical="center"/>
    </xf>
    <xf numFmtId="9" fontId="38" fillId="8" borderId="3" xfId="4" applyFont="1" applyFill="1" applyBorder="1" applyAlignment="1">
      <alignment horizontal="right" vertical="center"/>
    </xf>
    <xf numFmtId="9" fontId="38" fillId="10" borderId="3" xfId="4" applyFont="1" applyFill="1" applyBorder="1" applyAlignment="1">
      <alignment horizontal="right" vertical="center"/>
    </xf>
    <xf numFmtId="4" fontId="38" fillId="0" borderId="3" xfId="0" applyNumberFormat="1" applyFont="1" applyBorder="1" applyAlignment="1">
      <alignment horizontal="right" vertical="center"/>
    </xf>
    <xf numFmtId="22" fontId="8" fillId="7" borderId="3" xfId="0" applyNumberFormat="1" applyFont="1" applyFill="1" applyBorder="1" applyAlignment="1">
      <alignment horizontal="left" vertical="center"/>
    </xf>
    <xf numFmtId="49" fontId="8" fillId="7" borderId="3" xfId="0" applyNumberFormat="1" applyFont="1" applyFill="1" applyBorder="1" applyAlignment="1">
      <alignment horizontal="left" vertical="center"/>
    </xf>
    <xf numFmtId="0" fontId="8" fillId="7" borderId="3" xfId="0" applyFont="1" applyFill="1" applyBorder="1" applyAlignment="1">
      <alignment horizontal="left" vertical="center"/>
    </xf>
    <xf numFmtId="4" fontId="8" fillId="7" borderId="3" xfId="0" applyNumberFormat="1" applyFont="1" applyFill="1" applyBorder="1" applyAlignment="1">
      <alignment horizontal="right" vertical="center"/>
    </xf>
    <xf numFmtId="22" fontId="9" fillId="7" borderId="3" xfId="0" applyNumberFormat="1" applyFont="1" applyFill="1" applyBorder="1" applyAlignment="1">
      <alignment horizontal="left" vertical="center"/>
    </xf>
    <xf numFmtId="49" fontId="9" fillId="7" borderId="3" xfId="0" applyNumberFormat="1" applyFont="1" applyFill="1" applyBorder="1" applyAlignment="1">
      <alignment horizontal="left" vertical="center"/>
    </xf>
    <xf numFmtId="4" fontId="9" fillId="7" borderId="3" xfId="0" applyNumberFormat="1" applyFont="1" applyFill="1" applyBorder="1" applyAlignment="1">
      <alignment horizontal="right" vertical="center"/>
    </xf>
    <xf numFmtId="4" fontId="8" fillId="5" borderId="3" xfId="0" applyNumberFormat="1" applyFont="1" applyFill="1" applyBorder="1" applyAlignment="1">
      <alignment horizontal="right" vertical="center"/>
    </xf>
    <xf numFmtId="4" fontId="9" fillId="5" borderId="3" xfId="0" applyNumberFormat="1" applyFont="1" applyFill="1" applyBorder="1" applyAlignment="1">
      <alignment horizontal="right" vertical="center"/>
    </xf>
    <xf numFmtId="4" fontId="7" fillId="5" borderId="3" xfId="0" applyNumberFormat="1" applyFont="1" applyFill="1" applyBorder="1" applyAlignment="1">
      <alignment horizontal="right" vertical="center"/>
    </xf>
    <xf numFmtId="22" fontId="9" fillId="5" borderId="3" xfId="0" applyNumberFormat="1" applyFont="1" applyFill="1" applyBorder="1" applyAlignment="1">
      <alignment horizontal="left" vertical="center"/>
    </xf>
    <xf numFmtId="49" fontId="9" fillId="5" borderId="3" xfId="0" applyNumberFormat="1" applyFont="1" applyFill="1" applyBorder="1" applyAlignment="1">
      <alignment horizontal="left" vertical="center"/>
    </xf>
    <xf numFmtId="22" fontId="8" fillId="5" borderId="3" xfId="0" applyNumberFormat="1" applyFont="1" applyFill="1" applyBorder="1" applyAlignment="1">
      <alignment horizontal="left" vertical="center"/>
    </xf>
    <xf numFmtId="49" fontId="8" fillId="5" borderId="3" xfId="0" applyNumberFormat="1" applyFont="1" applyFill="1" applyBorder="1" applyAlignment="1">
      <alignment horizontal="left" vertical="center"/>
    </xf>
    <xf numFmtId="0" fontId="8" fillId="5" borderId="3" xfId="0" applyFont="1" applyFill="1" applyBorder="1" applyAlignment="1">
      <alignment horizontal="left" vertical="center"/>
    </xf>
    <xf numFmtId="22" fontId="7" fillId="5" borderId="3" xfId="0" applyNumberFormat="1" applyFont="1" applyFill="1" applyBorder="1" applyAlignment="1">
      <alignment horizontal="left" vertical="center"/>
    </xf>
    <xf numFmtId="49" fontId="7" fillId="5" borderId="3" xfId="0" applyNumberFormat="1" applyFont="1" applyFill="1" applyBorder="1" applyAlignment="1">
      <alignment horizontal="left" vertical="center"/>
    </xf>
    <xf numFmtId="0" fontId="7" fillId="5" borderId="3" xfId="0" applyFont="1" applyFill="1" applyBorder="1" applyAlignment="1">
      <alignment horizontal="left" vertical="center"/>
    </xf>
    <xf numFmtId="49" fontId="39" fillId="2" borderId="3" xfId="0" applyNumberFormat="1" applyFont="1" applyFill="1" applyBorder="1" applyAlignment="1">
      <alignment horizontal="left" vertical="center"/>
    </xf>
    <xf numFmtId="49" fontId="39" fillId="2" borderId="3" xfId="0" applyNumberFormat="1" applyFont="1" applyFill="1" applyBorder="1" applyAlignment="1">
      <alignment horizontal="left" vertical="center" wrapText="1"/>
    </xf>
    <xf numFmtId="4" fontId="7" fillId="2" borderId="3" xfId="0" applyNumberFormat="1" applyFont="1" applyFill="1" applyBorder="1" applyAlignment="1">
      <alignment horizontal="right" vertical="center"/>
    </xf>
    <xf numFmtId="4" fontId="39" fillId="2" borderId="3" xfId="0" applyNumberFormat="1" applyFont="1" applyFill="1" applyBorder="1" applyAlignment="1">
      <alignment horizontal="right" vertical="center"/>
    </xf>
    <xf numFmtId="9" fontId="39" fillId="8" borderId="3" xfId="4" applyFont="1" applyFill="1" applyBorder="1" applyAlignment="1">
      <alignment horizontal="right" vertical="center"/>
    </xf>
    <xf numFmtId="9" fontId="37" fillId="10" borderId="3" xfId="4" applyFont="1" applyFill="1" applyBorder="1" applyAlignment="1">
      <alignment horizontal="left" vertical="center"/>
    </xf>
    <xf numFmtId="4" fontId="37" fillId="0" borderId="3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8" fillId="7" borderId="17" xfId="0" applyNumberFormat="1" applyFont="1" applyFill="1" applyBorder="1" applyAlignment="1">
      <alignment horizontal="right" vertical="center"/>
    </xf>
    <xf numFmtId="4" fontId="9" fillId="7" borderId="0" xfId="0" applyNumberFormat="1" applyFont="1" applyFill="1" applyAlignment="1">
      <alignment horizontal="right" vertical="center"/>
    </xf>
    <xf numFmtId="9" fontId="37" fillId="10" borderId="3" xfId="4" applyFont="1" applyFill="1" applyBorder="1" applyAlignment="1">
      <alignment horizontal="right" vertical="center"/>
    </xf>
    <xf numFmtId="4" fontId="8" fillId="7" borderId="0" xfId="0" applyNumberFormat="1" applyFont="1" applyFill="1" applyAlignment="1">
      <alignment horizontal="right" vertical="center"/>
    </xf>
    <xf numFmtId="4" fontId="7" fillId="7" borderId="0" xfId="0" applyNumberFormat="1" applyFont="1" applyFill="1" applyAlignment="1">
      <alignment horizontal="right"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vertical="center" wrapText="1"/>
    </xf>
    <xf numFmtId="0" fontId="35" fillId="0" borderId="0" xfId="0" applyFont="1" applyAlignment="1">
      <alignment horizontal="center" vertical="center" wrapText="1"/>
    </xf>
    <xf numFmtId="0" fontId="34" fillId="0" borderId="16" xfId="0" applyFont="1" applyBorder="1" applyAlignment="1">
      <alignment vertical="center"/>
    </xf>
    <xf numFmtId="0" fontId="34" fillId="0" borderId="16" xfId="0" applyFont="1" applyBorder="1" applyAlignment="1">
      <alignment vertical="center" wrapText="1"/>
    </xf>
    <xf numFmtId="0" fontId="36" fillId="0" borderId="16" xfId="0" applyFont="1" applyBorder="1" applyAlignment="1">
      <alignment horizontal="center" vertical="center" wrapText="1"/>
    </xf>
    <xf numFmtId="0" fontId="30" fillId="0" borderId="16" xfId="0" applyFont="1" applyBorder="1" applyAlignment="1">
      <alignment vertical="top" wrapText="1"/>
    </xf>
    <xf numFmtId="0" fontId="22" fillId="0" borderId="0" xfId="0" applyFont="1"/>
    <xf numFmtId="0" fontId="40" fillId="0" borderId="0" xfId="0" applyFont="1"/>
    <xf numFmtId="0" fontId="41" fillId="0" borderId="0" xfId="15" applyFont="1" applyAlignment="1">
      <alignment horizontal="center"/>
    </xf>
    <xf numFmtId="0" fontId="43" fillId="0" borderId="0" xfId="15" applyFont="1"/>
    <xf numFmtId="0" fontId="44" fillId="0" borderId="0" xfId="15" applyFont="1"/>
    <xf numFmtId="0" fontId="45" fillId="0" borderId="0" xfId="15" applyFont="1"/>
    <xf numFmtId="0" fontId="46" fillId="2" borderId="0" xfId="15" applyFont="1" applyFill="1"/>
    <xf numFmtId="0" fontId="46" fillId="0" borderId="0" xfId="15" applyFont="1"/>
    <xf numFmtId="166" fontId="46" fillId="2" borderId="0" xfId="15" applyNumberFormat="1" applyFont="1" applyFill="1" applyAlignment="1">
      <alignment horizontal="left"/>
    </xf>
    <xf numFmtId="0" fontId="23" fillId="0" borderId="0" xfId="0" applyFont="1"/>
    <xf numFmtId="164" fontId="0" fillId="0" borderId="0" xfId="0" applyNumberFormat="1"/>
    <xf numFmtId="165" fontId="0" fillId="0" borderId="0" xfId="0" applyNumberFormat="1"/>
    <xf numFmtId="16" fontId="0" fillId="0" borderId="0" xfId="0" applyNumberFormat="1"/>
    <xf numFmtId="164" fontId="1" fillId="0" borderId="0" xfId="1" applyNumberFormat="1" applyFont="1"/>
    <xf numFmtId="43" fontId="1" fillId="0" borderId="0" xfId="1" applyFont="1"/>
    <xf numFmtId="165" fontId="1" fillId="0" borderId="0" xfId="1" applyNumberFormat="1" applyFont="1"/>
    <xf numFmtId="0" fontId="11" fillId="0" borderId="22" xfId="0" applyFont="1" applyBorder="1" applyAlignment="1">
      <alignment horizontal="center" vertical="center"/>
    </xf>
    <xf numFmtId="4" fontId="9" fillId="0" borderId="2" xfId="0" applyNumberFormat="1" applyFont="1" applyBorder="1" applyAlignment="1">
      <alignment horizontal="right" vertical="center"/>
    </xf>
    <xf numFmtId="9" fontId="7" fillId="0" borderId="4" xfId="2" applyFont="1" applyFill="1" applyBorder="1" applyAlignment="1">
      <alignment horizontal="right" vertical="center"/>
    </xf>
    <xf numFmtId="0" fontId="26" fillId="11" borderId="0" xfId="0" applyFont="1" applyFill="1" applyAlignment="1">
      <alignment vertical="center"/>
    </xf>
    <xf numFmtId="0" fontId="49" fillId="2" borderId="7" xfId="0" applyFont="1" applyFill="1" applyBorder="1"/>
    <xf numFmtId="0" fontId="28" fillId="3" borderId="8" xfId="0" applyFont="1" applyFill="1" applyBorder="1" applyAlignment="1">
      <alignment horizontal="right"/>
    </xf>
    <xf numFmtId="16" fontId="49" fillId="2" borderId="7" xfId="0" applyNumberFormat="1" applyFont="1" applyFill="1" applyBorder="1"/>
    <xf numFmtId="0" fontId="0" fillId="5" borderId="10" xfId="0" applyFill="1" applyBorder="1" applyAlignment="1">
      <alignment horizontal="left"/>
    </xf>
    <xf numFmtId="164" fontId="0" fillId="5" borderId="0" xfId="1" applyNumberFormat="1" applyFont="1" applyFill="1"/>
    <xf numFmtId="0" fontId="0" fillId="0" borderId="10" xfId="0" applyBorder="1" applyAlignment="1">
      <alignment horizontal="center"/>
    </xf>
    <xf numFmtId="0" fontId="28" fillId="3" borderId="10" xfId="0" applyFont="1" applyFill="1" applyBorder="1" applyAlignment="1">
      <alignment horizontal="center"/>
    </xf>
    <xf numFmtId="3" fontId="26" fillId="0" borderId="10" xfId="1" applyNumberFormat="1" applyFont="1" applyFill="1" applyBorder="1" applyAlignment="1">
      <alignment horizontal="center" vertical="center"/>
    </xf>
    <xf numFmtId="3" fontId="26" fillId="0" borderId="12" xfId="1" applyNumberFormat="1" applyFont="1" applyFill="1" applyBorder="1" applyAlignment="1">
      <alignment horizontal="center" vertical="center"/>
    </xf>
    <xf numFmtId="0" fontId="28" fillId="3" borderId="7" xfId="0" applyFont="1" applyFill="1" applyBorder="1" applyAlignment="1">
      <alignment horizontal="center"/>
    </xf>
    <xf numFmtId="0" fontId="28" fillId="3" borderId="8" xfId="0" applyFont="1" applyFill="1" applyBorder="1" applyAlignment="1">
      <alignment horizontal="center"/>
    </xf>
    <xf numFmtId="0" fontId="28" fillId="3" borderId="9" xfId="0" applyFont="1" applyFill="1" applyBorder="1" applyAlignment="1">
      <alignment horizontal="center"/>
    </xf>
    <xf numFmtId="43" fontId="4" fillId="4" borderId="7" xfId="1" applyFont="1" applyFill="1" applyBorder="1" applyAlignment="1">
      <alignment horizontal="center"/>
    </xf>
    <xf numFmtId="43" fontId="4" fillId="4" borderId="8" xfId="1" applyFont="1" applyFill="1" applyBorder="1"/>
    <xf numFmtId="41" fontId="4" fillId="4" borderId="9" xfId="1" applyNumberFormat="1" applyFont="1" applyFill="1" applyBorder="1"/>
    <xf numFmtId="43" fontId="0" fillId="12" borderId="10" xfId="1" applyFont="1" applyFill="1" applyBorder="1" applyAlignment="1">
      <alignment horizontal="center"/>
    </xf>
    <xf numFmtId="43" fontId="0" fillId="12" borderId="0" xfId="1" applyFont="1" applyFill="1" applyBorder="1"/>
    <xf numFmtId="41" fontId="0" fillId="12" borderId="0" xfId="1" applyNumberFormat="1" applyFont="1" applyFill="1" applyBorder="1"/>
    <xf numFmtId="43" fontId="0" fillId="2" borderId="10" xfId="1" applyFont="1" applyFill="1" applyBorder="1" applyAlignment="1">
      <alignment horizontal="center"/>
    </xf>
    <xf numFmtId="41" fontId="0" fillId="0" borderId="11" xfId="1" applyNumberFormat="1" applyFont="1" applyBorder="1"/>
    <xf numFmtId="43" fontId="4" fillId="4" borderId="10" xfId="1" applyFont="1" applyFill="1" applyBorder="1" applyAlignment="1">
      <alignment horizontal="center"/>
    </xf>
    <xf numFmtId="41" fontId="4" fillId="4" borderId="11" xfId="1" applyNumberFormat="1" applyFont="1" applyFill="1" applyBorder="1"/>
    <xf numFmtId="0" fontId="50" fillId="12" borderId="10" xfId="0" applyFont="1" applyFill="1" applyBorder="1"/>
    <xf numFmtId="0" fontId="50" fillId="2" borderId="10" xfId="0" applyFont="1" applyFill="1" applyBorder="1"/>
    <xf numFmtId="0" fontId="23" fillId="12" borderId="10" xfId="0" applyFont="1" applyFill="1" applyBorder="1"/>
    <xf numFmtId="0" fontId="23" fillId="2" borderId="10" xfId="0" applyFont="1" applyFill="1" applyBorder="1"/>
    <xf numFmtId="0" fontId="4" fillId="4" borderId="10" xfId="0" applyFont="1" applyFill="1" applyBorder="1" applyAlignment="1">
      <alignment horizontal="center"/>
    </xf>
    <xf numFmtId="43" fontId="4" fillId="4" borderId="0" xfId="0" applyNumberFormat="1" applyFont="1" applyFill="1"/>
    <xf numFmtId="0" fontId="0" fillId="12" borderId="10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43" fontId="0" fillId="12" borderId="13" xfId="1" applyFont="1" applyFill="1" applyBorder="1"/>
    <xf numFmtId="41" fontId="0" fillId="12" borderId="13" xfId="1" applyNumberFormat="1" applyFont="1" applyFill="1" applyBorder="1"/>
    <xf numFmtId="0" fontId="0" fillId="2" borderId="12" xfId="0" applyFill="1" applyBorder="1" applyAlignment="1">
      <alignment horizontal="center"/>
    </xf>
    <xf numFmtId="43" fontId="0" fillId="2" borderId="13" xfId="1" applyFont="1" applyFill="1" applyBorder="1"/>
    <xf numFmtId="41" fontId="0" fillId="0" borderId="14" xfId="1" applyNumberFormat="1" applyFont="1" applyBorder="1"/>
    <xf numFmtId="0" fontId="11" fillId="13" borderId="0" xfId="0" applyFont="1" applyFill="1" applyAlignment="1">
      <alignment horizontal="center" vertical="center"/>
    </xf>
    <xf numFmtId="16" fontId="51" fillId="13" borderId="0" xfId="0" applyNumberFormat="1" applyFont="1" applyFill="1" applyAlignment="1">
      <alignment horizontal="center" vertical="center"/>
    </xf>
    <xf numFmtId="4" fontId="7" fillId="0" borderId="4" xfId="0" applyNumberFormat="1" applyFont="1" applyBorder="1" applyAlignment="1">
      <alignment horizontal="right" vertical="center"/>
    </xf>
    <xf numFmtId="4" fontId="9" fillId="0" borderId="2" xfId="0" applyNumberFormat="1" applyFont="1" applyBorder="1" applyAlignment="1">
      <alignment vertical="center"/>
    </xf>
    <xf numFmtId="0" fontId="28" fillId="13" borderId="23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165" fontId="0" fillId="0" borderId="23" xfId="1" applyNumberFormat="1" applyFont="1" applyBorder="1"/>
    <xf numFmtId="9" fontId="26" fillId="8" borderId="24" xfId="2" applyFont="1" applyFill="1" applyBorder="1"/>
    <xf numFmtId="0" fontId="0" fillId="14" borderId="0" xfId="0" applyFill="1"/>
    <xf numFmtId="0" fontId="52" fillId="0" borderId="0" xfId="0" applyFont="1" applyAlignment="1">
      <alignment vertical="top"/>
    </xf>
    <xf numFmtId="167" fontId="0" fillId="0" borderId="23" xfId="1" applyNumberFormat="1" applyFont="1" applyBorder="1"/>
    <xf numFmtId="9" fontId="53" fillId="8" borderId="24" xfId="2" applyFont="1" applyFill="1" applyBorder="1"/>
    <xf numFmtId="0" fontId="2" fillId="14" borderId="0" xfId="0" applyFont="1" applyFill="1"/>
    <xf numFmtId="165" fontId="2" fillId="0" borderId="25" xfId="0" applyNumberFormat="1" applyFont="1" applyBorder="1"/>
    <xf numFmtId="4" fontId="7" fillId="5" borderId="4" xfId="0" applyNumberFormat="1" applyFont="1" applyFill="1" applyBorder="1" applyAlignment="1">
      <alignment horizontal="right" vertical="center"/>
    </xf>
    <xf numFmtId="4" fontId="9" fillId="5" borderId="2" xfId="0" applyNumberFormat="1" applyFont="1" applyFill="1" applyBorder="1" applyAlignment="1">
      <alignment vertical="center"/>
    </xf>
    <xf numFmtId="4" fontId="9" fillId="5" borderId="2" xfId="0" applyNumberFormat="1" applyFont="1" applyFill="1" applyBorder="1" applyAlignment="1">
      <alignment horizontal="right" vertical="center"/>
    </xf>
    <xf numFmtId="3" fontId="7" fillId="12" borderId="4" xfId="0" applyNumberFormat="1" applyFont="1" applyFill="1" applyBorder="1" applyAlignment="1">
      <alignment horizontal="right" vertical="center"/>
    </xf>
    <xf numFmtId="3" fontId="8" fillId="12" borderId="3" xfId="0" applyNumberFormat="1" applyFont="1" applyFill="1" applyBorder="1" applyAlignment="1">
      <alignment horizontal="right" vertical="center"/>
    </xf>
    <xf numFmtId="3" fontId="9" fillId="12" borderId="3" xfId="0" applyNumberFormat="1" applyFont="1" applyFill="1" applyBorder="1" applyAlignment="1">
      <alignment horizontal="right" vertical="center"/>
    </xf>
    <xf numFmtId="3" fontId="7" fillId="12" borderId="3" xfId="0" applyNumberFormat="1" applyFont="1" applyFill="1" applyBorder="1" applyAlignment="1">
      <alignment horizontal="right" vertical="center"/>
    </xf>
    <xf numFmtId="3" fontId="2" fillId="12" borderId="3" xfId="1" applyNumberFormat="1" applyFont="1" applyFill="1" applyBorder="1" applyAlignment="1">
      <alignment vertical="center"/>
    </xf>
    <xf numFmtId="3" fontId="9" fillId="12" borderId="2" xfId="0" applyNumberFormat="1" applyFont="1" applyFill="1" applyBorder="1" applyAlignment="1">
      <alignment horizontal="right" vertical="center"/>
    </xf>
    <xf numFmtId="4" fontId="9" fillId="12" borderId="3" xfId="0" applyNumberFormat="1" applyFont="1" applyFill="1" applyBorder="1" applyAlignment="1">
      <alignment horizontal="right" vertical="center"/>
    </xf>
    <xf numFmtId="3" fontId="9" fillId="12" borderId="2" xfId="0" applyNumberFormat="1" applyFont="1" applyFill="1" applyBorder="1" applyAlignment="1">
      <alignment vertical="center"/>
    </xf>
    <xf numFmtId="9" fontId="26" fillId="8" borderId="26" xfId="2" applyFont="1" applyFill="1" applyBorder="1"/>
    <xf numFmtId="164" fontId="0" fillId="0" borderId="0" xfId="1" applyNumberFormat="1" applyFont="1"/>
    <xf numFmtId="0" fontId="28" fillId="3" borderId="7" xfId="0" applyFont="1" applyFill="1" applyBorder="1" applyAlignment="1">
      <alignment vertical="center"/>
    </xf>
    <xf numFmtId="0" fontId="28" fillId="3" borderId="8" xfId="0" applyFont="1" applyFill="1" applyBorder="1" applyAlignment="1">
      <alignment horizontal="center" vertical="center"/>
    </xf>
    <xf numFmtId="0" fontId="26" fillId="2" borderId="10" xfId="0" applyFont="1" applyFill="1" applyBorder="1" applyAlignment="1">
      <alignment vertical="center"/>
    </xf>
    <xf numFmtId="43" fontId="0" fillId="0" borderId="0" xfId="1" applyFont="1" applyBorder="1" applyAlignment="1">
      <alignment vertical="center"/>
    </xf>
    <xf numFmtId="0" fontId="54" fillId="4" borderId="12" xfId="0" applyFont="1" applyFill="1" applyBorder="1" applyAlignment="1">
      <alignment vertical="center"/>
    </xf>
    <xf numFmtId="43" fontId="55" fillId="4" borderId="13" xfId="1" applyFont="1" applyFill="1" applyBorder="1" applyAlignment="1">
      <alignment vertical="center"/>
    </xf>
    <xf numFmtId="0" fontId="20" fillId="0" borderId="0" xfId="0" applyFont="1" applyAlignment="1">
      <alignment horizontal="center" vertical="center"/>
    </xf>
    <xf numFmtId="0" fontId="28" fillId="3" borderId="7" xfId="0" applyFont="1" applyFill="1" applyBorder="1" applyAlignment="1">
      <alignment horizontal="center" vertical="center"/>
    </xf>
    <xf numFmtId="9" fontId="0" fillId="0" borderId="11" xfId="2" applyFont="1" applyBorder="1"/>
    <xf numFmtId="43" fontId="55" fillId="4" borderId="14" xfId="1" applyFont="1" applyFill="1" applyBorder="1"/>
    <xf numFmtId="0" fontId="56" fillId="13" borderId="23" xfId="0" applyFont="1" applyFill="1" applyBorder="1" applyAlignment="1">
      <alignment horizontal="center" vertical="center"/>
    </xf>
    <xf numFmtId="3" fontId="0" fillId="0" borderId="0" xfId="0" applyNumberFormat="1" applyAlignment="1">
      <alignment horizontal="center"/>
    </xf>
    <xf numFmtId="0" fontId="4" fillId="13" borderId="23" xfId="0" applyFont="1" applyFill="1" applyBorder="1" applyAlignment="1">
      <alignment horizontal="center"/>
    </xf>
    <xf numFmtId="169" fontId="0" fillId="0" borderId="27" xfId="1" applyNumberFormat="1" applyFont="1" applyBorder="1"/>
    <xf numFmtId="0" fontId="4" fillId="13" borderId="27" xfId="0" applyFont="1" applyFill="1" applyBorder="1" applyAlignment="1">
      <alignment horizontal="left"/>
    </xf>
    <xf numFmtId="168" fontId="0" fillId="0" borderId="27" xfId="0" applyNumberFormat="1" applyBorder="1"/>
    <xf numFmtId="9" fontId="0" fillId="0" borderId="27" xfId="0" applyNumberFormat="1" applyBorder="1"/>
    <xf numFmtId="169" fontId="0" fillId="8" borderId="27" xfId="1" applyNumberFormat="1" applyFont="1" applyFill="1" applyBorder="1"/>
    <xf numFmtId="169" fontId="0" fillId="0" borderId="27" xfId="1" applyNumberFormat="1" applyFont="1" applyFill="1" applyBorder="1"/>
    <xf numFmtId="43" fontId="0" fillId="0" borderId="0" xfId="1" applyFont="1" applyFill="1"/>
    <xf numFmtId="43" fontId="0" fillId="0" borderId="23" xfId="1" applyFont="1" applyBorder="1"/>
    <xf numFmtId="43" fontId="0" fillId="0" borderId="23" xfId="1" applyFont="1" applyFill="1" applyBorder="1"/>
    <xf numFmtId="43" fontId="0" fillId="0" borderId="0" xfId="1" applyFont="1" applyFill="1" applyBorder="1"/>
    <xf numFmtId="43" fontId="0" fillId="5" borderId="0" xfId="1" applyFont="1" applyFill="1" applyBorder="1"/>
    <xf numFmtId="0" fontId="2" fillId="5" borderId="0" xfId="0" applyFont="1" applyFill="1"/>
    <xf numFmtId="2" fontId="0" fillId="5" borderId="0" xfId="0" applyNumberFormat="1" applyFill="1"/>
    <xf numFmtId="14" fontId="27" fillId="0" borderId="0" xfId="0" applyNumberFormat="1" applyFont="1" applyAlignment="1">
      <alignment vertical="center"/>
    </xf>
    <xf numFmtId="14" fontId="0" fillId="0" borderId="0" xfId="0" applyNumberFormat="1" applyAlignment="1">
      <alignment vertical="center"/>
    </xf>
    <xf numFmtId="43" fontId="27" fillId="0" borderId="0" xfId="1" applyFont="1" applyAlignment="1">
      <alignment vertical="center"/>
    </xf>
    <xf numFmtId="0" fontId="0" fillId="0" borderId="28" xfId="0" applyBorder="1" applyAlignment="1">
      <alignment vertical="center"/>
    </xf>
    <xf numFmtId="0" fontId="0" fillId="0" borderId="28" xfId="0" applyBorder="1" applyAlignment="1">
      <alignment horizontal="center" vertical="center"/>
    </xf>
    <xf numFmtId="170" fontId="22" fillId="15" borderId="29" xfId="0" applyNumberFormat="1" applyFont="1" applyFill="1" applyBorder="1" applyAlignment="1">
      <alignment horizontal="center" vertical="center"/>
    </xf>
    <xf numFmtId="43" fontId="0" fillId="0" borderId="28" xfId="1" applyFont="1" applyBorder="1" applyAlignment="1">
      <alignment vertical="center"/>
    </xf>
    <xf numFmtId="14" fontId="27" fillId="0" borderId="31" xfId="0" applyNumberFormat="1" applyFont="1" applyBorder="1" applyAlignment="1">
      <alignment vertical="center"/>
    </xf>
    <xf numFmtId="14" fontId="57" fillId="0" borderId="0" xfId="0" applyNumberFormat="1" applyFont="1" applyAlignment="1">
      <alignment vertical="center"/>
    </xf>
    <xf numFmtId="14" fontId="57" fillId="0" borderId="0" xfId="0" applyNumberFormat="1" applyFont="1" applyAlignment="1">
      <alignment horizontal="right" vertical="center"/>
    </xf>
    <xf numFmtId="14" fontId="22" fillId="16" borderId="30" xfId="0" applyNumberFormat="1" applyFont="1" applyFill="1" applyBorder="1" applyAlignment="1">
      <alignment vertical="center"/>
    </xf>
    <xf numFmtId="3" fontId="22" fillId="16" borderId="30" xfId="0" applyNumberFormat="1" applyFont="1" applyFill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0" fontId="12" fillId="0" borderId="28" xfId="0" applyFont="1" applyBorder="1" applyAlignment="1">
      <alignment vertical="center" wrapText="1"/>
    </xf>
    <xf numFmtId="171" fontId="0" fillId="0" borderId="28" xfId="0" applyNumberFormat="1" applyBorder="1" applyAlignment="1">
      <alignment horizontal="center" vertical="center"/>
    </xf>
    <xf numFmtId="0" fontId="0" fillId="16" borderId="28" xfId="0" applyFill="1" applyBorder="1" applyAlignment="1">
      <alignment horizontal="center" vertical="center"/>
    </xf>
    <xf numFmtId="0" fontId="22" fillId="16" borderId="28" xfId="0" applyFont="1" applyFill="1" applyBorder="1" applyAlignment="1">
      <alignment horizontal="center" vertical="center"/>
    </xf>
    <xf numFmtId="0" fontId="25" fillId="0" borderId="28" xfId="0" applyFont="1" applyBorder="1" applyAlignment="1">
      <alignment vertical="center"/>
    </xf>
    <xf numFmtId="43" fontId="0" fillId="0" borderId="27" xfId="0" applyNumberFormat="1" applyBorder="1"/>
    <xf numFmtId="169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64" fontId="0" fillId="2" borderId="0" xfId="1" applyNumberFormat="1" applyFont="1" applyFill="1" applyBorder="1" applyAlignment="1">
      <alignment vertical="center"/>
    </xf>
    <xf numFmtId="164" fontId="0" fillId="0" borderId="13" xfId="1" applyNumberFormat="1" applyFont="1" applyFill="1" applyBorder="1" applyAlignment="1">
      <alignment vertical="center"/>
    </xf>
    <xf numFmtId="164" fontId="3" fillId="4" borderId="0" xfId="0" applyNumberFormat="1" applyFont="1" applyFill="1"/>
    <xf numFmtId="164" fontId="16" fillId="0" borderId="0" xfId="0" applyNumberFormat="1" applyFont="1"/>
    <xf numFmtId="164" fontId="23" fillId="0" borderId="0" xfId="0" applyNumberFormat="1" applyFont="1"/>
    <xf numFmtId="164" fontId="17" fillId="0" borderId="0" xfId="0" applyNumberFormat="1" applyFont="1"/>
    <xf numFmtId="0" fontId="0" fillId="0" borderId="0" xfId="0" pivotButton="1" applyAlignment="1">
      <alignment vertical="center"/>
    </xf>
    <xf numFmtId="0" fontId="0" fillId="0" borderId="0" xfId="0" applyAlignment="1">
      <alignment horizontal="left" vertical="center"/>
    </xf>
    <xf numFmtId="4" fontId="0" fillId="0" borderId="0" xfId="0" applyNumberFormat="1" applyAlignment="1">
      <alignment vertical="center"/>
    </xf>
    <xf numFmtId="0" fontId="59" fillId="0" borderId="0" xfId="0" applyFont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32" fillId="4" borderId="10" xfId="0" applyFont="1" applyFill="1" applyBorder="1" applyAlignment="1">
      <alignment horizontal="center"/>
    </xf>
    <xf numFmtId="0" fontId="32" fillId="4" borderId="8" xfId="0" applyFont="1" applyFill="1" applyBorder="1" applyAlignment="1">
      <alignment horizontal="center"/>
    </xf>
    <xf numFmtId="43" fontId="33" fillId="4" borderId="9" xfId="1" applyFont="1" applyFill="1" applyBorder="1" applyAlignment="1">
      <alignment horizontal="center"/>
    </xf>
    <xf numFmtId="9" fontId="0" fillId="2" borderId="0" xfId="2" applyFont="1" applyFill="1" applyBorder="1"/>
    <xf numFmtId="9" fontId="0" fillId="2" borderId="13" xfId="2" applyFont="1" applyFill="1" applyBorder="1"/>
    <xf numFmtId="43" fontId="61" fillId="0" borderId="4" xfId="1" applyFont="1" applyFill="1" applyBorder="1" applyAlignment="1">
      <alignment horizontal="left" vertical="center"/>
    </xf>
    <xf numFmtId="22" fontId="61" fillId="0" borderId="4" xfId="3" quotePrefix="1" applyNumberFormat="1" applyFont="1" applyBorder="1" applyAlignment="1">
      <alignment horizontal="left" vertical="center"/>
    </xf>
    <xf numFmtId="49" fontId="61" fillId="0" borderId="4" xfId="3" applyNumberFormat="1" applyFont="1" applyBorder="1" applyAlignment="1">
      <alignment horizontal="left" vertical="center"/>
    </xf>
    <xf numFmtId="0" fontId="61" fillId="0" borderId="4" xfId="3" applyFont="1" applyBorder="1" applyAlignment="1">
      <alignment horizontal="left" vertical="center"/>
    </xf>
    <xf numFmtId="4" fontId="61" fillId="0" borderId="4" xfId="3" applyNumberFormat="1" applyFont="1" applyBorder="1" applyAlignment="1">
      <alignment horizontal="right" vertical="center"/>
    </xf>
    <xf numFmtId="0" fontId="1" fillId="0" borderId="5" xfId="0" applyFont="1" applyBorder="1" applyAlignment="1">
      <alignment vertical="center"/>
    </xf>
    <xf numFmtId="9" fontId="61" fillId="0" borderId="4" xfId="2" applyFont="1" applyFill="1" applyBorder="1" applyAlignment="1">
      <alignment horizontal="right" vertical="center"/>
    </xf>
    <xf numFmtId="0" fontId="62" fillId="0" borderId="5" xfId="0" applyFont="1" applyBorder="1" applyAlignment="1">
      <alignment vertical="center"/>
    </xf>
    <xf numFmtId="4" fontId="8" fillId="0" borderId="3" xfId="3" applyNumberFormat="1" applyFont="1" applyBorder="1" applyAlignment="1">
      <alignment horizontal="right" vertical="center"/>
    </xf>
    <xf numFmtId="0" fontId="60" fillId="0" borderId="2" xfId="0" applyFont="1" applyBorder="1" applyAlignment="1">
      <alignment vertical="center"/>
    </xf>
    <xf numFmtId="9" fontId="8" fillId="0" borderId="4" xfId="2" applyFont="1" applyFill="1" applyBorder="1" applyAlignment="1">
      <alignment horizontal="right" vertical="center"/>
    </xf>
    <xf numFmtId="0" fontId="62" fillId="0" borderId="0" xfId="0" applyFont="1" applyAlignment="1">
      <alignment vertical="center"/>
    </xf>
    <xf numFmtId="3" fontId="61" fillId="12" borderId="3" xfId="0" applyNumberFormat="1" applyFont="1" applyFill="1" applyBorder="1" applyAlignment="1">
      <alignment horizontal="right" vertical="center"/>
    </xf>
    <xf numFmtId="4" fontId="61" fillId="5" borderId="3" xfId="0" applyNumberFormat="1" applyFont="1" applyFill="1" applyBorder="1" applyAlignment="1">
      <alignment horizontal="right" vertical="center"/>
    </xf>
    <xf numFmtId="43" fontId="0" fillId="0" borderId="12" xfId="1" applyFont="1" applyFill="1" applyBorder="1" applyAlignment="1">
      <alignment vertical="center"/>
    </xf>
    <xf numFmtId="164" fontId="0" fillId="0" borderId="0" xfId="0" applyNumberFormat="1" applyAlignment="1">
      <alignment vertical="center"/>
    </xf>
    <xf numFmtId="164" fontId="0" fillId="5" borderId="11" xfId="0" applyNumberFormat="1" applyFill="1" applyBorder="1" applyAlignment="1">
      <alignment horizontal="center"/>
    </xf>
    <xf numFmtId="0" fontId="0" fillId="0" borderId="0" xfId="0" quotePrefix="1" applyAlignment="1">
      <alignment vertical="center"/>
    </xf>
    <xf numFmtId="165" fontId="0" fillId="0" borderId="0" xfId="1" applyNumberFormat="1" applyFont="1"/>
    <xf numFmtId="0" fontId="18" fillId="0" borderId="0" xfId="14" applyNumberFormat="1" applyAlignment="1">
      <alignment horizontal="center" vertical="center"/>
    </xf>
    <xf numFmtId="0" fontId="5" fillId="0" borderId="0" xfId="0" quotePrefix="1" applyFont="1"/>
    <xf numFmtId="0" fontId="60" fillId="0" borderId="0" xfId="0" applyFont="1"/>
    <xf numFmtId="0" fontId="0" fillId="18" borderId="0" xfId="0" applyFill="1"/>
    <xf numFmtId="164" fontId="1" fillId="18" borderId="0" xfId="1" applyNumberFormat="1" applyFont="1" applyFill="1"/>
    <xf numFmtId="43" fontId="1" fillId="18" borderId="0" xfId="1" applyFont="1" applyFill="1"/>
    <xf numFmtId="0" fontId="0" fillId="12" borderId="0" xfId="0" applyFill="1"/>
    <xf numFmtId="164" fontId="0" fillId="12" borderId="0" xfId="1" applyNumberFormat="1" applyFont="1" applyFill="1"/>
    <xf numFmtId="43" fontId="0" fillId="12" borderId="0" xfId="1" applyFont="1" applyFill="1"/>
    <xf numFmtId="0" fontId="0" fillId="12" borderId="0" xfId="0" applyFill="1" applyAlignment="1">
      <alignment horizontal="center"/>
    </xf>
    <xf numFmtId="0" fontId="18" fillId="12" borderId="0" xfId="14" applyNumberFormat="1" applyFill="1" applyAlignment="1">
      <alignment horizontal="center" vertical="center"/>
    </xf>
    <xf numFmtId="0" fontId="0" fillId="18" borderId="0" xfId="0" applyFill="1" applyAlignment="1">
      <alignment horizontal="center"/>
    </xf>
    <xf numFmtId="0" fontId="20" fillId="18" borderId="0" xfId="14" applyFont="1" applyFill="1" applyAlignment="1">
      <alignment horizontal="center" vertical="center"/>
    </xf>
    <xf numFmtId="165" fontId="1" fillId="18" borderId="0" xfId="1" applyNumberFormat="1" applyFont="1" applyFill="1"/>
    <xf numFmtId="165" fontId="0" fillId="12" borderId="0" xfId="1" applyNumberFormat="1" applyFont="1" applyFill="1"/>
    <xf numFmtId="0" fontId="0" fillId="8" borderId="0" xfId="0" applyFill="1" applyAlignment="1">
      <alignment horizontal="center"/>
    </xf>
    <xf numFmtId="0" fontId="20" fillId="8" borderId="0" xfId="14" applyFont="1" applyFill="1" applyAlignment="1">
      <alignment horizontal="center" vertical="center"/>
    </xf>
    <xf numFmtId="0" fontId="0" fillId="8" borderId="0" xfId="0" applyFill="1"/>
    <xf numFmtId="164" fontId="1" fillId="8" borderId="0" xfId="1" applyNumberFormat="1" applyFont="1" applyFill="1"/>
    <xf numFmtId="43" fontId="1" fillId="8" borderId="0" xfId="1" applyFont="1" applyFill="1"/>
    <xf numFmtId="165" fontId="1" fillId="8" borderId="0" xfId="1" applyNumberFormat="1" applyFont="1" applyFill="1"/>
    <xf numFmtId="0" fontId="32" fillId="4" borderId="7" xfId="0" applyFont="1" applyFill="1" applyBorder="1"/>
    <xf numFmtId="0" fontId="32" fillId="4" borderId="8" xfId="0" applyFont="1" applyFill="1" applyBorder="1"/>
    <xf numFmtId="0" fontId="32" fillId="4" borderId="9" xfId="0" applyFont="1" applyFill="1" applyBorder="1"/>
    <xf numFmtId="0" fontId="0" fillId="2" borderId="11" xfId="0" applyFill="1" applyBorder="1"/>
    <xf numFmtId="0" fontId="0" fillId="2" borderId="13" xfId="0" applyFill="1" applyBorder="1"/>
    <xf numFmtId="0" fontId="0" fillId="2" borderId="14" xfId="0" applyFill="1" applyBorder="1"/>
    <xf numFmtId="43" fontId="0" fillId="2" borderId="10" xfId="1" applyFont="1" applyFill="1" applyBorder="1" applyAlignment="1">
      <alignment vertical="center"/>
    </xf>
    <xf numFmtId="4" fontId="0" fillId="0" borderId="0" xfId="0" applyNumberFormat="1" applyAlignment="1">
      <alignment horizontal="center"/>
    </xf>
    <xf numFmtId="172" fontId="0" fillId="2" borderId="19" xfId="0" applyNumberFormat="1" applyFill="1" applyBorder="1"/>
    <xf numFmtId="172" fontId="0" fillId="2" borderId="20" xfId="0" applyNumberFormat="1" applyFill="1" applyBorder="1"/>
    <xf numFmtId="4" fontId="0" fillId="2" borderId="19" xfId="0" applyNumberFormat="1" applyFill="1" applyBorder="1"/>
    <xf numFmtId="164" fontId="0" fillId="2" borderId="19" xfId="0" applyNumberFormat="1" applyFill="1" applyBorder="1"/>
    <xf numFmtId="43" fontId="25" fillId="0" borderId="15" xfId="1" applyFont="1" applyFill="1" applyBorder="1"/>
    <xf numFmtId="43" fontId="25" fillId="0" borderId="10" xfId="1" applyFont="1" applyFill="1" applyBorder="1"/>
    <xf numFmtId="173" fontId="0" fillId="2" borderId="19" xfId="1" applyNumberFormat="1" applyFont="1" applyFill="1" applyBorder="1"/>
    <xf numFmtId="173" fontId="0" fillId="2" borderId="19" xfId="0" applyNumberFormat="1" applyFill="1" applyBorder="1"/>
    <xf numFmtId="0" fontId="63" fillId="0" borderId="0" xfId="0" applyFont="1" applyAlignment="1">
      <alignment horizontal="left"/>
    </xf>
    <xf numFmtId="43" fontId="0" fillId="2" borderId="10" xfId="0" applyNumberFormat="1" applyFill="1" applyBorder="1"/>
    <xf numFmtId="22" fontId="65" fillId="7" borderId="3" xfId="0" applyNumberFormat="1" applyFont="1" applyFill="1" applyBorder="1" applyAlignment="1">
      <alignment horizontal="left" vertical="center"/>
    </xf>
    <xf numFmtId="49" fontId="65" fillId="7" borderId="3" xfId="0" applyNumberFormat="1" applyFont="1" applyFill="1" applyBorder="1" applyAlignment="1">
      <alignment horizontal="left" vertical="center"/>
    </xf>
    <xf numFmtId="0" fontId="65" fillId="7" borderId="3" xfId="0" applyFont="1" applyFill="1" applyBorder="1" applyAlignment="1">
      <alignment horizontal="left" vertical="center"/>
    </xf>
    <xf numFmtId="4" fontId="65" fillId="7" borderId="3" xfId="0" applyNumberFormat="1" applyFont="1" applyFill="1" applyBorder="1" applyAlignment="1">
      <alignment horizontal="right" vertical="center"/>
    </xf>
    <xf numFmtId="0" fontId="64" fillId="0" borderId="0" xfId="0" applyFont="1"/>
    <xf numFmtId="0" fontId="66" fillId="0" borderId="0" xfId="0" applyFont="1"/>
    <xf numFmtId="9" fontId="39" fillId="10" borderId="3" xfId="4" applyFont="1" applyFill="1" applyBorder="1" applyAlignment="1">
      <alignment horizontal="right" vertical="center"/>
    </xf>
    <xf numFmtId="4" fontId="39" fillId="0" borderId="3" xfId="0" applyNumberFormat="1" applyFont="1" applyBorder="1" applyAlignment="1">
      <alignment horizontal="right" vertical="center"/>
    </xf>
    <xf numFmtId="4" fontId="67" fillId="7" borderId="3" xfId="0" applyNumberFormat="1" applyFont="1" applyFill="1" applyBorder="1" applyAlignment="1">
      <alignment horizontal="right" vertical="center"/>
    </xf>
    <xf numFmtId="0" fontId="0" fillId="0" borderId="0" xfId="0" applyAlignment="1">
      <alignment horizontal="left" vertical="center" indent="1"/>
    </xf>
    <xf numFmtId="0" fontId="0" fillId="17" borderId="0" xfId="0" applyFill="1" applyAlignment="1">
      <alignment horizontal="left" vertical="center"/>
    </xf>
    <xf numFmtId="43" fontId="0" fillId="17" borderId="0" xfId="1" applyFont="1" applyFill="1" applyBorder="1"/>
    <xf numFmtId="0" fontId="25" fillId="2" borderId="0" xfId="0" applyFont="1" applyFill="1" applyAlignment="1">
      <alignment vertical="center" wrapText="1"/>
    </xf>
    <xf numFmtId="10" fontId="46" fillId="2" borderId="0" xfId="15" applyNumberFormat="1" applyFont="1" applyFill="1" applyAlignment="1">
      <alignment horizontal="left"/>
    </xf>
    <xf numFmtId="9" fontId="0" fillId="2" borderId="13" xfId="0" applyNumberFormat="1" applyFill="1" applyBorder="1" applyAlignment="1">
      <alignment vertical="center" wrapText="1"/>
    </xf>
    <xf numFmtId="0" fontId="27" fillId="0" borderId="0" xfId="0" applyFont="1"/>
    <xf numFmtId="43" fontId="27" fillId="0" borderId="0" xfId="0" applyNumberFormat="1" applyFont="1"/>
    <xf numFmtId="174" fontId="0" fillId="0" borderId="0" xfId="0" applyNumberFormat="1" applyAlignment="1">
      <alignment vertical="center"/>
    </xf>
    <xf numFmtId="9" fontId="68" fillId="8" borderId="0" xfId="0" applyNumberFormat="1" applyFont="1" applyFill="1"/>
    <xf numFmtId="0" fontId="0" fillId="0" borderId="0" xfId="0" applyAlignment="1">
      <alignment horizontal="left" vertical="center" indent="2"/>
    </xf>
    <xf numFmtId="43" fontId="61" fillId="0" borderId="4" xfId="1" applyFont="1" applyBorder="1" applyAlignment="1">
      <alignment horizontal="right" vertical="center"/>
    </xf>
    <xf numFmtId="43" fontId="8" fillId="0" borderId="3" xfId="1" applyFont="1" applyBorder="1" applyAlignment="1">
      <alignment horizontal="right" vertical="center"/>
    </xf>
    <xf numFmtId="43" fontId="9" fillId="0" borderId="3" xfId="1" applyFont="1" applyBorder="1" applyAlignment="1">
      <alignment horizontal="right" vertical="center"/>
    </xf>
    <xf numFmtId="9" fontId="0" fillId="0" borderId="0" xfId="0" applyNumberFormat="1"/>
    <xf numFmtId="174" fontId="0" fillId="0" borderId="0" xfId="1" applyNumberFormat="1" applyFont="1" applyAlignment="1">
      <alignment vertical="center"/>
    </xf>
    <xf numFmtId="175" fontId="0" fillId="0" borderId="0" xfId="1" applyNumberFormat="1" applyFont="1" applyAlignment="1">
      <alignment vertical="center"/>
    </xf>
    <xf numFmtId="0" fontId="27" fillId="14" borderId="0" xfId="0" applyFont="1" applyFill="1" applyAlignment="1">
      <alignment horizontal="center" vertical="center"/>
    </xf>
    <xf numFmtId="169" fontId="0" fillId="17" borderId="27" xfId="1" applyNumberFormat="1" applyFont="1" applyFill="1" applyBorder="1"/>
    <xf numFmtId="43" fontId="0" fillId="17" borderId="0" xfId="1" applyFont="1" applyFill="1"/>
    <xf numFmtId="168" fontId="0" fillId="17" borderId="27" xfId="0" applyNumberFormat="1" applyFill="1" applyBorder="1"/>
    <xf numFmtId="43" fontId="0" fillId="17" borderId="23" xfId="1" applyFont="1" applyFill="1" applyBorder="1"/>
    <xf numFmtId="43" fontId="0" fillId="17" borderId="0" xfId="1" applyFont="1" applyFill="1" applyBorder="1" applyAlignment="1">
      <alignment horizontal="center"/>
    </xf>
    <xf numFmtId="49" fontId="69" fillId="7" borderId="3" xfId="0" applyNumberFormat="1" applyFont="1" applyFill="1" applyBorder="1" applyAlignment="1">
      <alignment horizontal="left" vertical="center" readingOrder="1"/>
    </xf>
    <xf numFmtId="14" fontId="0" fillId="0" borderId="0" xfId="0" applyNumberFormat="1"/>
    <xf numFmtId="43" fontId="38" fillId="0" borderId="3" xfId="1" applyFont="1" applyFill="1" applyBorder="1" applyAlignment="1">
      <alignment horizontal="left" vertical="center"/>
    </xf>
    <xf numFmtId="0" fontId="70" fillId="0" borderId="5" xfId="0" applyFont="1" applyBorder="1" applyAlignment="1">
      <alignment vertical="center"/>
    </xf>
    <xf numFmtId="0" fontId="70" fillId="0" borderId="0" xfId="0" applyFont="1" applyAlignment="1">
      <alignment vertical="center"/>
    </xf>
    <xf numFmtId="22" fontId="38" fillId="0" borderId="3" xfId="3" applyNumberFormat="1" applyFont="1" applyBorder="1" applyAlignment="1">
      <alignment horizontal="left" vertical="center"/>
    </xf>
    <xf numFmtId="49" fontId="38" fillId="0" borderId="3" xfId="3" applyNumberFormat="1" applyFont="1" applyBorder="1" applyAlignment="1">
      <alignment horizontal="left" vertical="center"/>
    </xf>
    <xf numFmtId="0" fontId="38" fillId="0" borderId="3" xfId="3" applyFont="1" applyBorder="1" applyAlignment="1">
      <alignment horizontal="left" vertical="center"/>
    </xf>
    <xf numFmtId="4" fontId="38" fillId="0" borderId="3" xfId="3" applyNumberFormat="1" applyFont="1" applyBorder="1" applyAlignment="1">
      <alignment horizontal="right" vertical="center"/>
    </xf>
    <xf numFmtId="43" fontId="38" fillId="0" borderId="3" xfId="1" applyFont="1" applyBorder="1" applyAlignment="1">
      <alignment horizontal="right" vertical="center"/>
    </xf>
    <xf numFmtId="9" fontId="38" fillId="0" borderId="4" xfId="2" applyFont="1" applyFill="1" applyBorder="1" applyAlignment="1">
      <alignment horizontal="right" vertical="center"/>
    </xf>
    <xf numFmtId="0" fontId="23" fillId="0" borderId="0" xfId="0" applyFont="1" applyAlignment="1">
      <alignment vertical="center"/>
    </xf>
    <xf numFmtId="43" fontId="23" fillId="0" borderId="0" xfId="1" applyFont="1" applyAlignment="1">
      <alignment vertical="center"/>
    </xf>
    <xf numFmtId="3" fontId="38" fillId="12" borderId="3" xfId="0" applyNumberFormat="1" applyFont="1" applyFill="1" applyBorder="1" applyAlignment="1">
      <alignment horizontal="right" vertical="center"/>
    </xf>
    <xf numFmtId="4" fontId="38" fillId="5" borderId="3" xfId="0" applyNumberFormat="1" applyFont="1" applyFill="1" applyBorder="1" applyAlignment="1">
      <alignment horizontal="right" vertical="center"/>
    </xf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21" fillId="0" borderId="0" xfId="14" applyFont="1" applyAlignment="1">
      <alignment horizontal="center"/>
    </xf>
    <xf numFmtId="0" fontId="48" fillId="0" borderId="0" xfId="15" applyFont="1" applyAlignment="1">
      <alignment horizontal="center"/>
    </xf>
    <xf numFmtId="0" fontId="42" fillId="0" borderId="21" xfId="15" applyFont="1" applyBorder="1" applyAlignment="1">
      <alignment horizontal="center"/>
    </xf>
    <xf numFmtId="0" fontId="18" fillId="0" borderId="21" xfId="14" applyBorder="1" applyAlignment="1">
      <alignment horizontal="center"/>
    </xf>
    <xf numFmtId="0" fontId="47" fillId="0" borderId="0" xfId="15" applyFont="1" applyAlignment="1">
      <alignment horizontal="center"/>
    </xf>
    <xf numFmtId="0" fontId="47" fillId="0" borderId="21" xfId="15" applyFont="1" applyBorder="1" applyAlignment="1">
      <alignment horizontal="center"/>
    </xf>
    <xf numFmtId="0" fontId="3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7">
    <cellStyle name="Hiperlink" xfId="14" builtinId="8"/>
    <cellStyle name="Normal" xfId="0" builtinId="0"/>
    <cellStyle name="Normal 2" xfId="6" xr:uid="{00000000-0005-0000-0000-000002000000}"/>
    <cellStyle name="Normal 2 2" xfId="15" xr:uid="{00000000-0005-0000-0000-000003000000}"/>
    <cellStyle name="Normal 2 3" xfId="9" xr:uid="{00000000-0005-0000-0000-000004000000}"/>
    <cellStyle name="Normal 3" xfId="7" xr:uid="{00000000-0005-0000-0000-000005000000}"/>
    <cellStyle name="Normal 4" xfId="8" xr:uid="{00000000-0005-0000-0000-000006000000}"/>
    <cellStyle name="Normal 5" xfId="10" xr:uid="{00000000-0005-0000-0000-000007000000}"/>
    <cellStyle name="Normal 6" xfId="11" xr:uid="{00000000-0005-0000-0000-000008000000}"/>
    <cellStyle name="Normal 7" xfId="12" xr:uid="{00000000-0005-0000-0000-000009000000}"/>
    <cellStyle name="Normal 8" xfId="3" xr:uid="{00000000-0005-0000-0000-00000A000000}"/>
    <cellStyle name="Porcentagem" xfId="2" builtinId="5"/>
    <cellStyle name="Porcentagem 2" xfId="4" xr:uid="{00000000-0005-0000-0000-00000C000000}"/>
    <cellStyle name="TX_CENTRO" xfId="16" xr:uid="{2A4C7B2F-8E6E-4D8C-A072-A96CF98BEC1F}"/>
    <cellStyle name="Vírgula" xfId="1" builtinId="3"/>
    <cellStyle name="Vírgula 2" xfId="5" xr:uid="{00000000-0005-0000-0000-00000E000000}"/>
    <cellStyle name="Vírgula 3" xfId="13" xr:uid="{00000000-0005-0000-0000-00000F000000}"/>
  </cellStyles>
  <dxfs count="1909"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border outline="0">
        <top style="medium">
          <color rgb="FF00206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rgb="FF5B9BD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002060"/>
        </left>
        <right style="medium">
          <color rgb="FF002060"/>
        </right>
        <top/>
        <bottom/>
      </border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left style="medium">
          <color rgb="FF0070C0"/>
        </left>
        <right style="medium">
          <color rgb="FF0070C0"/>
        </right>
        <top style="medium">
          <color rgb="FF0070C0"/>
        </top>
        <bottom style="medium">
          <color rgb="FF0070C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left style="medium">
          <color rgb="FF0070C0"/>
        </left>
        <right style="medium">
          <color rgb="FF0070C0"/>
        </right>
        <top style="medium">
          <color rgb="FF0070C0"/>
        </top>
        <bottom style="medium">
          <color rgb="FF0070C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left style="medium">
          <color rgb="FF0070C0"/>
        </left>
        <right style="medium">
          <color rgb="FF0070C0"/>
        </right>
        <top style="medium">
          <color rgb="FF0070C0"/>
        </top>
        <bottom style="medium">
          <color rgb="FF0070C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left style="medium">
          <color rgb="FF0070C0"/>
        </left>
        <right style="medium">
          <color rgb="FF0070C0"/>
        </right>
        <top style="medium">
          <color rgb="FF0070C0"/>
        </top>
        <bottom style="medium">
          <color rgb="FF0070C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left style="medium">
          <color rgb="FF0070C0"/>
        </left>
        <right style="medium">
          <color rgb="FF0070C0"/>
        </right>
        <top style="medium">
          <color rgb="FF0070C0"/>
        </top>
        <bottom style="medium">
          <color rgb="FF0070C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left style="medium">
          <color rgb="FF0070C0"/>
        </left>
        <right style="medium">
          <color rgb="FF0070C0"/>
        </right>
        <top style="medium">
          <color rgb="FF0070C0"/>
        </top>
        <bottom style="medium">
          <color rgb="FF0070C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left style="medium">
          <color rgb="FF0070C0"/>
        </left>
        <right style="medium">
          <color rgb="FF0070C0"/>
        </right>
        <top style="medium">
          <color rgb="FF0070C0"/>
        </top>
        <bottom style="medium">
          <color rgb="FF0070C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left style="medium">
          <color rgb="FF0070C0"/>
        </left>
        <right style="medium">
          <color rgb="FF0070C0"/>
        </right>
        <top style="medium">
          <color rgb="FF0070C0"/>
        </top>
        <bottom style="medium">
          <color rgb="FF0070C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left style="medium">
          <color rgb="FF0070C0"/>
        </left>
        <right style="medium">
          <color rgb="FF0070C0"/>
        </right>
        <top style="medium">
          <color rgb="FF0070C0"/>
        </top>
        <bottom style="medium">
          <color rgb="FF0070C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left style="medium">
          <color rgb="FF0070C0"/>
        </left>
        <right style="medium">
          <color rgb="FF0070C0"/>
        </right>
        <top style="medium">
          <color rgb="FF0070C0"/>
        </top>
        <bottom style="medium">
          <color rgb="FF0070C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left style="medium">
          <color rgb="FF0070C0"/>
        </left>
        <right style="medium">
          <color rgb="FF0070C0"/>
        </right>
        <top style="medium">
          <color rgb="FF0070C0"/>
        </top>
        <bottom style="medium">
          <color rgb="FF0070C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left style="medium">
          <color rgb="FF0070C0"/>
        </left>
        <right style="medium">
          <color rgb="FF0070C0"/>
        </right>
        <top style="medium">
          <color rgb="FF0070C0"/>
        </top>
        <bottom style="medium">
          <color rgb="FF0070C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left style="medium">
          <color rgb="FF0070C0"/>
        </left>
        <right style="medium">
          <color rgb="FF0070C0"/>
        </right>
        <top style="medium">
          <color rgb="FF0070C0"/>
        </top>
        <bottom style="medium">
          <color rgb="FF0070C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left style="medium">
          <color rgb="FF0070C0"/>
        </left>
        <right style="medium">
          <color rgb="FF0070C0"/>
        </right>
        <top style="medium">
          <color rgb="FF0070C0"/>
        </top>
        <bottom style="medium">
          <color rgb="FF0070C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left style="medium">
          <color rgb="FF0070C0"/>
        </left>
        <right style="medium">
          <color rgb="FF0070C0"/>
        </right>
        <top style="medium">
          <color rgb="FF0070C0"/>
        </top>
        <bottom style="medium">
          <color rgb="FF0070C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left style="medium">
          <color rgb="FF0070C0"/>
        </left>
        <right style="medium">
          <color rgb="FF0070C0"/>
        </right>
        <top style="medium">
          <color rgb="FF0070C0"/>
        </top>
        <bottom style="medium">
          <color rgb="FF0070C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left style="medium">
          <color rgb="FF0070C0"/>
        </left>
        <right style="medium">
          <color rgb="FF0070C0"/>
        </right>
        <top style="medium">
          <color rgb="FF0070C0"/>
        </top>
        <bottom style="medium">
          <color rgb="FF0070C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left style="medium">
          <color rgb="FF0070C0"/>
        </left>
        <right style="medium">
          <color rgb="FF0070C0"/>
        </right>
        <top style="medium">
          <color rgb="FF0070C0"/>
        </top>
        <bottom style="medium">
          <color rgb="FF0070C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left style="medium">
          <color rgb="FF0070C0"/>
        </left>
        <right style="medium">
          <color rgb="FF0070C0"/>
        </right>
        <top style="medium">
          <color rgb="FF0070C0"/>
        </top>
        <bottom style="medium">
          <color rgb="FF0070C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left style="medium">
          <color rgb="FF0070C0"/>
        </left>
        <right style="medium">
          <color rgb="FF0070C0"/>
        </right>
        <top style="medium">
          <color rgb="FF0070C0"/>
        </top>
        <bottom style="medium">
          <color rgb="FF0070C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left style="medium">
          <color rgb="FF0070C0"/>
        </left>
        <right style="medium">
          <color rgb="FF0070C0"/>
        </right>
        <top style="medium">
          <color rgb="FF0070C0"/>
        </top>
        <bottom style="medium">
          <color rgb="FF0070C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left style="medium">
          <color rgb="FF0070C0"/>
        </left>
        <right style="medium">
          <color rgb="FF0070C0"/>
        </right>
        <top style="medium">
          <color rgb="FF0070C0"/>
        </top>
        <bottom style="medium">
          <color rgb="FF0070C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left style="medium">
          <color rgb="FF0070C0"/>
        </left>
        <right style="medium">
          <color rgb="FF0070C0"/>
        </right>
        <top style="medium">
          <color rgb="FF0070C0"/>
        </top>
        <bottom style="medium">
          <color rgb="FF0070C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left style="medium">
          <color rgb="FF0070C0"/>
        </left>
        <right style="medium">
          <color rgb="FF0070C0"/>
        </right>
        <top style="medium">
          <color rgb="FF0070C0"/>
        </top>
        <bottom style="medium">
          <color rgb="FF0070C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left style="medium">
          <color rgb="FF0070C0"/>
        </left>
        <right style="medium">
          <color rgb="FF0070C0"/>
        </right>
        <top style="medium">
          <color rgb="FF0070C0"/>
        </top>
        <bottom style="medium">
          <color rgb="FF0070C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left style="medium">
          <color rgb="FF0070C0"/>
        </left>
        <right style="medium">
          <color rgb="FF0070C0"/>
        </right>
        <top style="medium">
          <color rgb="FF0070C0"/>
        </top>
        <bottom style="medium">
          <color rgb="FF0070C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border diagonalUp="0" diagonalDown="0">
        <left/>
        <right style="medium">
          <color rgb="FF0070C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3" formatCode="_-* #,##0_-;\-* #,##0_-;_-* &quot;-&quot;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left style="medium">
          <color rgb="FF0070C0"/>
        </left>
        <right style="medium">
          <color rgb="FF0070C0"/>
        </right>
        <top style="medium">
          <color rgb="FF0070C0"/>
        </top>
        <bottom style="medium">
          <color rgb="FF0070C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rgb="FF0070C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FF"/>
        <name val="Tahom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FF"/>
        <name val="Tahom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FF"/>
        <name val="Tahom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FF"/>
        <name val="Tahom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FF"/>
        <name val="Tahom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FF"/>
        <name val="Tahom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FF"/>
        <name val="Tahom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FF"/>
        <name val="Tahom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FF"/>
        <name val="Tahom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FF"/>
        <name val="Tahom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FF"/>
        <name val="Tahom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FF"/>
        <name val="Tahoma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FF"/>
        <name val="Tahoma"/>
        <scheme val="none"/>
      </font>
      <numFmt numFmtId="3" formatCode="#,##0"/>
      <fill>
        <patternFill patternType="none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</dxf>
    <dxf>
      <border outline="0">
        <bottom style="thin">
          <color rgb="FFA9A9A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FF"/>
        <name val="Tahoma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scheme val="none"/>
      </font>
      <numFmt numFmtId="21" formatCode="dd/mmm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numFmt numFmtId="13" formatCode="0%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8" tint="0.39994506668294322"/>
        </left>
        <right style="thin">
          <color theme="8" tint="0.39994506668294322"/>
        </right>
        <top style="thin">
          <color theme="8" tint="0.39994506668294322"/>
        </top>
        <bottom style="thin">
          <color theme="8" tint="0.39994506668294322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8" tint="0.39994506668294322"/>
        </left>
        <right style="thin">
          <color theme="8" tint="0.39994506668294322"/>
        </right>
        <top style="thin">
          <color theme="8" tint="0.39994506668294322"/>
        </top>
        <bottom style="thin">
          <color theme="8" tint="0.39994506668294322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8" tint="0.39994506668294322"/>
        </left>
        <right style="thin">
          <color theme="8" tint="0.39994506668294322"/>
        </right>
        <top style="thin">
          <color theme="8" tint="0.39994506668294322"/>
        </top>
        <bottom style="thin">
          <color theme="8" tint="0.39994506668294322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8" tint="0.39994506668294322"/>
        </left>
        <right style="thin">
          <color theme="8" tint="0.39994506668294322"/>
        </right>
        <top style="thin">
          <color theme="8" tint="0.39994506668294322"/>
        </top>
        <bottom style="thin">
          <color theme="8" tint="0.39994506668294322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8" tint="0.39994506668294322"/>
        </left>
        <right style="thin">
          <color theme="8" tint="0.39994506668294322"/>
        </right>
        <top style="thin">
          <color theme="8" tint="0.39994506668294322"/>
        </top>
        <bottom style="thin">
          <color theme="8" tint="0.39994506668294322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8" tint="0.39994506668294322"/>
        </left>
        <right style="thin">
          <color theme="8" tint="0.39994506668294322"/>
        </right>
        <top style="thin">
          <color theme="8" tint="0.39994506668294322"/>
        </top>
        <bottom style="thin">
          <color theme="8" tint="0.39994506668294322"/>
        </bottom>
      </border>
    </dxf>
    <dxf>
      <font>
        <strike val="0"/>
        <outline val="0"/>
        <shadow val="0"/>
        <u val="none"/>
        <vertAlign val="baseline"/>
        <color theme="0" tint="-0.249977111117893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8" tint="0.39994506668294322"/>
        </left>
        <right style="thin">
          <color theme="8" tint="0.39994506668294322"/>
        </right>
        <top style="thin">
          <color theme="8" tint="0.39994506668294322"/>
        </top>
        <bottom style="thin">
          <color theme="8" tint="0.39994506668294322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8" tint="0.39994506668294322"/>
        </left>
        <right style="thin">
          <color theme="8" tint="0.39994506668294322"/>
        </right>
        <top style="thin">
          <color theme="8" tint="0.39994506668294322"/>
        </top>
        <bottom style="thin">
          <color theme="8" tint="0.39994506668294322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8" tint="0.39994506668294322"/>
        </left>
        <right style="thin">
          <color theme="8" tint="0.39994506668294322"/>
        </right>
        <top style="thin">
          <color theme="8" tint="0.39994506668294322"/>
        </top>
        <bottom style="thin">
          <color theme="8" tint="0.39994506668294322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8" tint="0.39994506668294322"/>
        </left>
        <right style="thin">
          <color theme="8" tint="0.39994506668294322"/>
        </right>
        <top style="thin">
          <color theme="8" tint="0.39994506668294322"/>
        </top>
        <bottom style="thin">
          <color theme="8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8" tint="0.39994506668294322"/>
        </left>
        <right style="thin">
          <color theme="8" tint="0.39994506668294322"/>
        </right>
        <top/>
        <bottom style="thin">
          <color theme="8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8" tint="0.39994506668294322"/>
        </left>
        <right style="thin">
          <color theme="8" tint="0.39994506668294322"/>
        </right>
        <top/>
        <bottom style="thin">
          <color theme="8" tint="0.39994506668294322"/>
        </bottom>
        <vertical/>
        <horizontal/>
      </border>
    </dxf>
    <dxf>
      <font>
        <strike val="0"/>
        <outline val="0"/>
        <shadow val="0"/>
        <u val="none"/>
        <vertAlign val="baseline"/>
        <sz val="7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8" tint="0.39994506668294322"/>
        </left>
        <right style="thin">
          <color theme="8" tint="0.39994506668294322"/>
        </right>
        <top style="thin">
          <color theme="8" tint="0.39994506668294322"/>
        </top>
        <bottom style="thin">
          <color theme="8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8" tint="0.39994506668294322"/>
        </left>
        <right style="thin">
          <color theme="8" tint="0.39994506668294322"/>
        </right>
        <top style="thin">
          <color theme="8" tint="0.39994506668294322"/>
        </top>
        <bottom style="thin">
          <color theme="8" tint="0.39994506668294322"/>
        </bottom>
      </border>
    </dxf>
    <dxf>
      <border outline="0">
        <top style="thin">
          <color rgb="FF002060"/>
        </top>
        <bottom style="thin">
          <color theme="8" tint="0.39994506668294322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2060"/>
        </left>
        <right style="thin">
          <color rgb="FF002060"/>
        </right>
        <top/>
        <bottom/>
      </border>
    </dxf>
    <dxf>
      <alignment horizontal="center" vertical="bottom" textRotation="0" wrapText="0" indent="0" justifyLastLine="0" shrinkToFit="0" readingOrder="0"/>
    </dxf>
    <dxf>
      <font>
        <b val="0"/>
      </font>
    </dxf>
    <dxf>
      <alignment horizontal="center" vertical="bottom" textRotation="0" wrapText="0" indent="0" justifyLastLine="0" shrinkToFit="0" readingOrder="0"/>
    </dxf>
    <dxf>
      <font>
        <b val="0"/>
      </font>
    </dxf>
    <dxf>
      <alignment horizontal="center" vertical="bottom" textRotation="0" wrapText="0" indent="0" justifyLastLine="0" shrinkToFit="0" readingOrder="0"/>
    </dxf>
    <dxf>
      <font>
        <b val="0"/>
      </font>
      <numFmt numFmtId="3" formatCode="#,##0"/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</font>
      <numFmt numFmtId="0" formatCode="General"/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</font>
      <numFmt numFmtId="3" formatCode="#,##0"/>
      <alignment horizontal="center" textRotation="0" wrapText="0" indent="0" justifyLastLine="0" shrinkToFit="0" readingOrder="0"/>
    </dxf>
    <dxf>
      <fill>
        <patternFill patternType="solid">
          <fgColor indexed="64"/>
          <bgColor rgb="FF00B0F0"/>
        </patternFill>
      </fill>
    </dxf>
    <dxf>
      <font>
        <b val="0"/>
      </font>
      <fill>
        <patternFill patternType="solid">
          <fgColor indexed="64"/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3" formatCode="0%"/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  <fill>
        <patternFill patternType="solid">
          <fgColor indexed="64"/>
          <bgColor theme="4" tint="0.79998168889431442"/>
        </patternFill>
      </fill>
    </dxf>
    <dxf>
      <numFmt numFmtId="165" formatCode="#,##0_ ;[Red]\-#,##0\ "/>
    </dxf>
    <dxf>
      <font>
        <b val="0"/>
      </font>
      <numFmt numFmtId="165" formatCode="#,##0_ ;[Red]\-#,##0\ "/>
    </dxf>
    <dxf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</dxf>
    <dxf>
      <numFmt numFmtId="164" formatCode="_-* #,##0_-;\-* #,##0_-;_-* &quot;-&quot;??_-;_-@_-"/>
    </dxf>
    <dxf>
      <font>
        <b val="0"/>
      </font>
      <numFmt numFmtId="164" formatCode="_-* #,##0_-;\-* #,##0_-;_-* &quot;-&quot;??_-;_-@_-"/>
    </dxf>
    <dxf>
      <font>
        <b val="0"/>
      </font>
      <numFmt numFmtId="35" formatCode="_-* #,##0.00_-;\-* #,##0.00_-;_-* &quot;-&quot;??_-;_-@_-"/>
    </dxf>
    <dxf>
      <font>
        <b val="0"/>
      </font>
      <numFmt numFmtId="35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</dxf>
    <dxf>
      <font>
        <b val="0"/>
      </font>
      <numFmt numFmtId="0" formatCode="General"/>
    </dxf>
    <dxf>
      <font>
        <b val="0"/>
      </font>
      <numFmt numFmtId="0" formatCode="General"/>
    </dxf>
    <dxf>
      <font>
        <b val="0"/>
      </font>
      <numFmt numFmtId="0" formatCode="General"/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0" tint="-0.34998626667073579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/>
        <vertAlign val="baseline"/>
        <sz val="11"/>
        <color theme="0" tint="-0.34998626667073579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1908"/>
      <tableStyleElement type="headerRow" dxfId="1907"/>
    </tableStyle>
    <tableStyle name="TableStyleQueryPreview" pivot="0" count="3" xr9:uid="{00000000-0011-0000-FFFF-FFFF01000000}">
      <tableStyleElement type="wholeTable" dxfId="1906"/>
      <tableStyleElement type="headerRow" dxfId="1905"/>
      <tableStyleElement type="firstRowStripe" dxfId="1904"/>
    </tableStyle>
    <tableStyle name="TableStyleQueryResult" pivot="0" count="3" xr9:uid="{00000000-0011-0000-FFFF-FFFF02000000}">
      <tableStyleElement type="wholeTable" dxfId="1903"/>
      <tableStyleElement type="headerRow" dxfId="1902"/>
      <tableStyleElement type="firstRowStripe" dxfId="1901"/>
    </tableStyle>
  </tableStyles>
  <colors>
    <mruColors>
      <color rgb="FF339966"/>
      <color rgb="FF5B9BD5"/>
      <color rgb="FFE3E9F5"/>
      <color rgb="FF01D27F"/>
      <color rgb="FF9DFF89"/>
      <color rgb="FFF3F2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pivotCacheDefinition" Target="pivotCache/pivotCacheDefinition4.xml"/><Relationship Id="rId50" Type="http://schemas.openxmlformats.org/officeDocument/2006/relationships/connections" Target="connections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pivotCacheDefinition" Target="pivotCache/pivotCacheDefinition2.xml"/><Relationship Id="rId53" Type="http://schemas.openxmlformats.org/officeDocument/2006/relationships/powerPivotData" Target="model/item.data"/><Relationship Id="rId58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7/relationships/slicerCache" Target="slicerCaches/slicerCache1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3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1.xml"/><Relationship Id="rId52" Type="http://schemas.openxmlformats.org/officeDocument/2006/relationships/sharedStrings" Target="sharedStrings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6C49569A-4215-4298-8ABD-45A70ACBE201}" type="doc">
      <dgm:prSet loTypeId="urn:microsoft.com/office/officeart/2005/8/layout/hierarchy1" loCatId="hierarchy" qsTypeId="urn:microsoft.com/office/officeart/2005/8/quickstyle/simple5" qsCatId="simple" csTypeId="urn:microsoft.com/office/officeart/2005/8/colors/accent1_2" csCatId="accent1" phldr="1"/>
      <dgm:spPr/>
      <dgm:t>
        <a:bodyPr/>
        <a:lstStyle/>
        <a:p>
          <a:endParaRPr lang="pt-BR"/>
        </a:p>
      </dgm:t>
    </dgm:pt>
    <dgm:pt modelId="{73EC1DDE-ABCF-401E-855E-8BEA99F0A674}">
      <dgm:prSet custT="1"/>
      <dgm:spPr/>
      <dgm:t>
        <a:bodyPr/>
        <a:lstStyle/>
        <a:p>
          <a:r>
            <a:rPr lang="pt-BR" sz="1200" b="1"/>
            <a:t>6.462 ROD</a:t>
          </a:r>
        </a:p>
        <a:p>
          <a:r>
            <a:rPr lang="pt-BR" sz="700" b="0"/>
            <a:t>IMPLANTAÇÃO RODOVIÁRIA</a:t>
          </a:r>
        </a:p>
      </dgm:t>
    </dgm:pt>
    <dgm:pt modelId="{D8EAB49C-CA56-4BA1-A471-D4DBFCF3BACB}" type="parTrans" cxnId="{78E1CE2B-089A-4B35-97E3-FFBC9A9BB498}">
      <dgm:prSet/>
      <dgm:spPr/>
      <dgm:t>
        <a:bodyPr/>
        <a:lstStyle/>
        <a:p>
          <a:endParaRPr lang="pt-BR"/>
        </a:p>
      </dgm:t>
    </dgm:pt>
    <dgm:pt modelId="{47A75BF8-82F2-4946-AB45-249017519080}" type="sibTrans" cxnId="{78E1CE2B-089A-4B35-97E3-FFBC9A9BB498}">
      <dgm:prSet/>
      <dgm:spPr/>
      <dgm:t>
        <a:bodyPr/>
        <a:lstStyle/>
        <a:p>
          <a:endParaRPr lang="pt-BR"/>
        </a:p>
      </dgm:t>
    </dgm:pt>
    <dgm:pt modelId="{7DD45CC1-ACC5-4F1A-B8DD-4B2F5ED40635}">
      <dgm:prSet custT="1"/>
      <dgm:spPr/>
      <dgm:t>
        <a:bodyPr/>
        <a:lstStyle/>
        <a:p>
          <a:r>
            <a:rPr lang="pt-BR" sz="1100" b="1"/>
            <a:t>6.462.01 ROD.SIN.01</a:t>
          </a:r>
        </a:p>
        <a:p>
          <a:r>
            <a:rPr lang="pt-BR" sz="700"/>
            <a:t>SINALIZAÇÃO RODOVIARIA</a:t>
          </a:r>
        </a:p>
      </dgm:t>
    </dgm:pt>
    <dgm:pt modelId="{45102038-7E82-4530-A7B7-DF3DADDA8BC6}" type="parTrans" cxnId="{446ABBAB-4A93-4D5D-B4C2-7396427BD3A1}">
      <dgm:prSet/>
      <dgm:spPr/>
      <dgm:t>
        <a:bodyPr/>
        <a:lstStyle/>
        <a:p>
          <a:endParaRPr lang="pt-BR"/>
        </a:p>
      </dgm:t>
    </dgm:pt>
    <dgm:pt modelId="{C8F9DE05-2189-42AC-8033-5B104000B865}" type="sibTrans" cxnId="{446ABBAB-4A93-4D5D-B4C2-7396427BD3A1}">
      <dgm:prSet/>
      <dgm:spPr/>
      <dgm:t>
        <a:bodyPr/>
        <a:lstStyle/>
        <a:p>
          <a:endParaRPr lang="pt-BR"/>
        </a:p>
      </dgm:t>
    </dgm:pt>
    <dgm:pt modelId="{432A240D-18C7-49A2-AE49-A45AF750FE11}">
      <dgm:prSet custT="1"/>
      <dgm:spPr/>
      <dgm:t>
        <a:bodyPr/>
        <a:lstStyle/>
        <a:p>
          <a:r>
            <a:rPr lang="pt-BR" sz="1100" b="1"/>
            <a:t>6.462.01 ROD.OAC.01</a:t>
          </a:r>
        </a:p>
        <a:p>
          <a:r>
            <a:rPr lang="pt-BR" sz="700"/>
            <a:t>OBRA DE ARTE CORRENTE</a:t>
          </a:r>
        </a:p>
      </dgm:t>
    </dgm:pt>
    <dgm:pt modelId="{30E2AD98-B657-4105-9212-34BECD7EC417}" type="parTrans" cxnId="{B444E9B8-6C17-466D-BA73-530AE79211D9}">
      <dgm:prSet/>
      <dgm:spPr/>
      <dgm:t>
        <a:bodyPr/>
        <a:lstStyle/>
        <a:p>
          <a:endParaRPr lang="pt-BR"/>
        </a:p>
      </dgm:t>
    </dgm:pt>
    <dgm:pt modelId="{E052669A-0B2E-4770-9E32-1F8C57CC717A}" type="sibTrans" cxnId="{B444E9B8-6C17-466D-BA73-530AE79211D9}">
      <dgm:prSet/>
      <dgm:spPr/>
      <dgm:t>
        <a:bodyPr/>
        <a:lstStyle/>
        <a:p>
          <a:endParaRPr lang="pt-BR"/>
        </a:p>
      </dgm:t>
    </dgm:pt>
    <dgm:pt modelId="{3252C150-9EBC-4B25-9549-4212F23B076B}">
      <dgm:prSet custT="1"/>
      <dgm:spPr/>
      <dgm:t>
        <a:bodyPr/>
        <a:lstStyle/>
        <a:p>
          <a:r>
            <a:rPr lang="pt-BR" sz="1100" b="1"/>
            <a:t>6.462.01 ROD.CAP.01</a:t>
          </a:r>
        </a:p>
        <a:p>
          <a:r>
            <a:rPr lang="pt-BR" sz="700"/>
            <a:t>CAPA</a:t>
          </a:r>
        </a:p>
      </dgm:t>
    </dgm:pt>
    <dgm:pt modelId="{26E12EC9-24D6-4D25-B00A-1EFD05104A83}" type="parTrans" cxnId="{40296932-40A0-4A04-9ACD-A0B5770C869E}">
      <dgm:prSet/>
      <dgm:spPr/>
      <dgm:t>
        <a:bodyPr/>
        <a:lstStyle/>
        <a:p>
          <a:endParaRPr lang="pt-BR"/>
        </a:p>
      </dgm:t>
    </dgm:pt>
    <dgm:pt modelId="{F0A1035A-3E78-46C3-AF73-AD6E49436C32}" type="sibTrans" cxnId="{40296932-40A0-4A04-9ACD-A0B5770C869E}">
      <dgm:prSet/>
      <dgm:spPr/>
      <dgm:t>
        <a:bodyPr/>
        <a:lstStyle/>
        <a:p>
          <a:endParaRPr lang="pt-BR"/>
        </a:p>
      </dgm:t>
    </dgm:pt>
    <dgm:pt modelId="{63A392D5-0174-471E-9996-89C4B9FF23B6}">
      <dgm:prSet custT="1"/>
      <dgm:spPr/>
      <dgm:t>
        <a:bodyPr/>
        <a:lstStyle/>
        <a:p>
          <a:r>
            <a:rPr lang="pt-BR" sz="1100" b="1"/>
            <a:t>6.462.01 ROD.IND.01</a:t>
          </a:r>
        </a:p>
        <a:p>
          <a:r>
            <a:rPr lang="pt-BR" sz="700"/>
            <a:t>INDIRETO</a:t>
          </a:r>
        </a:p>
      </dgm:t>
    </dgm:pt>
    <dgm:pt modelId="{8A843315-FBD9-4A7B-AA6C-91031B02341E}" type="parTrans" cxnId="{0044F661-9481-458C-9FC7-101E67726887}">
      <dgm:prSet/>
      <dgm:spPr/>
      <dgm:t>
        <a:bodyPr/>
        <a:lstStyle/>
        <a:p>
          <a:endParaRPr lang="pt-BR"/>
        </a:p>
      </dgm:t>
    </dgm:pt>
    <dgm:pt modelId="{E9F96756-52D9-4511-8F34-343B9E6FEF2A}" type="sibTrans" cxnId="{0044F661-9481-458C-9FC7-101E67726887}">
      <dgm:prSet/>
      <dgm:spPr/>
      <dgm:t>
        <a:bodyPr/>
        <a:lstStyle/>
        <a:p>
          <a:endParaRPr lang="pt-BR"/>
        </a:p>
      </dgm:t>
    </dgm:pt>
    <dgm:pt modelId="{6EF40F88-C9AB-407D-974F-9377ABC847A6}">
      <dgm:prSet custT="1"/>
      <dgm:spPr/>
      <dgm:t>
        <a:bodyPr anchor="t"/>
        <a:lstStyle/>
        <a:p>
          <a:pPr algn="l"/>
          <a:r>
            <a:rPr lang="pt-BR" sz="800"/>
            <a:t>Engenheiros</a:t>
          </a:r>
        </a:p>
        <a:p>
          <a:pPr algn="l"/>
          <a:r>
            <a:rPr lang="pt-BR" sz="800"/>
            <a:t>Administração</a:t>
          </a:r>
        </a:p>
        <a:p>
          <a:pPr algn="l"/>
          <a:r>
            <a:rPr lang="pt-BR" sz="800"/>
            <a:t>Encarregados</a:t>
          </a:r>
        </a:p>
        <a:p>
          <a:pPr algn="l"/>
          <a:r>
            <a:rPr lang="pt-BR" sz="800"/>
            <a:t>Apontadores</a:t>
          </a:r>
        </a:p>
        <a:p>
          <a:pPr algn="l"/>
          <a:r>
            <a:rPr lang="pt-BR" sz="800"/>
            <a:t>Auxiliares de controle</a:t>
          </a:r>
        </a:p>
        <a:p>
          <a:pPr algn="l"/>
          <a:r>
            <a:rPr lang="pt-BR" sz="800"/>
            <a:t>Vigias</a:t>
          </a:r>
        </a:p>
        <a:p>
          <a:pPr algn="l"/>
          <a:r>
            <a:rPr lang="pt-BR" sz="800"/>
            <a:t>Veiculos adm.</a:t>
          </a:r>
        </a:p>
        <a:p>
          <a:pPr algn="l"/>
          <a:r>
            <a:rPr lang="pt-BR" sz="800"/>
            <a:t>Onibus e veiculos transportes de funcionários</a:t>
          </a:r>
        </a:p>
        <a:p>
          <a:pPr algn="l"/>
          <a:r>
            <a:rPr lang="pt-BR" sz="800"/>
            <a:t>Caminhão comboio</a:t>
          </a:r>
        </a:p>
        <a:p>
          <a:pPr algn="l"/>
          <a:r>
            <a:rPr lang="pt-BR" sz="800"/>
            <a:t>Veículos encarregados</a:t>
          </a:r>
        </a:p>
        <a:p>
          <a:pPr algn="l"/>
          <a:r>
            <a:rPr lang="pt-BR" sz="800"/>
            <a:t>Alugueis e despesas alojamentos</a:t>
          </a:r>
        </a:p>
        <a:p>
          <a:pPr algn="l"/>
          <a:r>
            <a:rPr lang="pt-BR" sz="800"/>
            <a:t>Laboratorios (todas as despesas)</a:t>
          </a:r>
        </a:p>
        <a:p>
          <a:pPr algn="l"/>
          <a:r>
            <a:rPr lang="pt-BR" sz="800"/>
            <a:t>Topografia (todas as despesas)</a:t>
          </a:r>
        </a:p>
        <a:p>
          <a:pPr algn="l"/>
          <a:r>
            <a:rPr lang="pt-BR" sz="800"/>
            <a:t>Oficina (todas as despesas)</a:t>
          </a:r>
        </a:p>
        <a:p>
          <a:pPr algn="l"/>
          <a:r>
            <a:rPr lang="pt-BR" sz="800"/>
            <a:t>Alimentação dos funcionários das estrututas acima</a:t>
          </a:r>
        </a:p>
        <a:p>
          <a:pPr algn="l"/>
          <a:r>
            <a:rPr lang="pt-BR" sz="800"/>
            <a:t>EPI'S / EPC / PCMAT / PCMSO</a:t>
          </a:r>
        </a:p>
        <a:p>
          <a:pPr algn="l"/>
          <a:r>
            <a:rPr lang="pt-BR" sz="800"/>
            <a:t>Exames médicos</a:t>
          </a:r>
        </a:p>
        <a:p>
          <a:pPr algn="l"/>
          <a:r>
            <a:rPr lang="pt-BR" sz="800"/>
            <a:t>Taxas / Emolumentos</a:t>
          </a:r>
        </a:p>
        <a:p>
          <a:pPr algn="l"/>
          <a:r>
            <a:rPr lang="pt-BR" sz="800"/>
            <a:t>Ferramentas em geral</a:t>
          </a:r>
        </a:p>
        <a:p>
          <a:pPr algn="l"/>
          <a:r>
            <a:rPr lang="pt-BR" sz="800"/>
            <a:t>Transporte de equipamentos e móveis</a:t>
          </a:r>
        </a:p>
        <a:p>
          <a:pPr algn="l"/>
          <a:endParaRPr lang="pt-BR" sz="800"/>
        </a:p>
        <a:p>
          <a:pPr algn="l"/>
          <a:endParaRPr lang="pt-BR" sz="800"/>
        </a:p>
        <a:p>
          <a:pPr algn="ctr"/>
          <a:endParaRPr lang="pt-BR" sz="500"/>
        </a:p>
      </dgm:t>
    </dgm:pt>
    <dgm:pt modelId="{41AC39DC-FCC3-4DE4-AF99-7A8C60D3E589}" type="parTrans" cxnId="{B139B96F-75BD-4372-ADDB-B7CB4D7327FB}">
      <dgm:prSet/>
      <dgm:spPr/>
      <dgm:t>
        <a:bodyPr/>
        <a:lstStyle/>
        <a:p>
          <a:endParaRPr lang="pt-BR"/>
        </a:p>
      </dgm:t>
    </dgm:pt>
    <dgm:pt modelId="{C7EB0735-9971-4137-833A-FC8030637CED}" type="sibTrans" cxnId="{B139B96F-75BD-4372-ADDB-B7CB4D7327FB}">
      <dgm:prSet/>
      <dgm:spPr/>
      <dgm:t>
        <a:bodyPr/>
        <a:lstStyle/>
        <a:p>
          <a:endParaRPr lang="pt-BR"/>
        </a:p>
      </dgm:t>
    </dgm:pt>
    <dgm:pt modelId="{C43C72FB-209A-43E7-8AC2-74FFA0BDC289}">
      <dgm:prSet custT="1"/>
      <dgm:spPr/>
      <dgm:t>
        <a:bodyPr anchor="t"/>
        <a:lstStyle/>
        <a:p>
          <a:pPr algn="l"/>
          <a:r>
            <a:rPr lang="pt-BR" sz="800" b="1"/>
            <a:t>Imprimação</a:t>
          </a:r>
        </a:p>
        <a:p>
          <a:pPr algn="l"/>
          <a:r>
            <a:rPr lang="pt-BR" sz="800" b="1"/>
            <a:t>Pintura de Ligação</a:t>
          </a:r>
        </a:p>
        <a:p>
          <a:pPr algn="l"/>
          <a:r>
            <a:rPr lang="pt-BR" sz="800" b="1"/>
            <a:t>Capa  (TSD E CBUQ)</a:t>
          </a:r>
        </a:p>
        <a:p>
          <a:pPr algn="l"/>
          <a:r>
            <a:rPr lang="pt-BR" sz="800" b="1"/>
            <a:t>Micro revestimento</a:t>
          </a:r>
        </a:p>
        <a:p>
          <a:pPr algn="l"/>
          <a:endParaRPr lang="pt-BR" sz="800" b="1"/>
        </a:p>
        <a:p>
          <a:pPr algn="l"/>
          <a:endParaRPr lang="pt-BR" sz="800" b="1"/>
        </a:p>
        <a:p>
          <a:pPr algn="l"/>
          <a:r>
            <a:rPr lang="pt-BR" sz="800" b="1"/>
            <a:t>Equipamentos utilizados:</a:t>
          </a:r>
        </a:p>
        <a:p>
          <a:pPr algn="l"/>
          <a:r>
            <a:rPr lang="pt-BR" sz="800"/>
            <a:t>Recicladora, fresadora, vibroacabadora, rolo  liso e pneu, transporte agregados e massa, espargidor,usina asfalto, pá carregadeira, gerador e outros.</a:t>
          </a:r>
        </a:p>
        <a:p>
          <a:pPr algn="l"/>
          <a:r>
            <a:rPr lang="pt-BR" sz="800" b="1"/>
            <a:t>Materiais utizados:</a:t>
          </a:r>
        </a:p>
        <a:p>
          <a:pPr algn="l"/>
          <a:r>
            <a:rPr lang="pt-BR" sz="800"/>
            <a:t>Asfaltos, Emulsões, agregados, filler, oleo diesel , cimento e outros.</a:t>
          </a:r>
        </a:p>
        <a:p>
          <a:pPr algn="l"/>
          <a:r>
            <a:rPr lang="pt-BR" sz="800" b="1"/>
            <a:t>Mão de obra :</a:t>
          </a:r>
        </a:p>
        <a:p>
          <a:pPr algn="l"/>
          <a:r>
            <a:rPr lang="pt-BR" sz="800"/>
            <a:t>Exceto encarregados, apontadores e aux. de controle.</a:t>
          </a:r>
        </a:p>
      </dgm:t>
    </dgm:pt>
    <dgm:pt modelId="{D9573F50-A005-4F19-8A4C-50C5F0D5E8FB}" type="parTrans" cxnId="{EE93DBBC-FAE1-4917-A6D8-3F6E18DB562F}">
      <dgm:prSet/>
      <dgm:spPr/>
      <dgm:t>
        <a:bodyPr/>
        <a:lstStyle/>
        <a:p>
          <a:endParaRPr lang="pt-BR"/>
        </a:p>
      </dgm:t>
    </dgm:pt>
    <dgm:pt modelId="{A5B11749-9646-48D4-8FD9-8A51E3D06432}" type="sibTrans" cxnId="{EE93DBBC-FAE1-4917-A6D8-3F6E18DB562F}">
      <dgm:prSet/>
      <dgm:spPr/>
      <dgm:t>
        <a:bodyPr/>
        <a:lstStyle/>
        <a:p>
          <a:endParaRPr lang="pt-BR"/>
        </a:p>
      </dgm:t>
    </dgm:pt>
    <dgm:pt modelId="{3127C645-9689-46E3-88F7-5DC47F534ACC}">
      <dgm:prSet custT="1"/>
      <dgm:spPr/>
      <dgm:t>
        <a:bodyPr anchor="t"/>
        <a:lstStyle/>
        <a:p>
          <a:pPr algn="l"/>
          <a:r>
            <a:rPr lang="pt-BR" sz="800" b="1"/>
            <a:t>Bueiros tubulares e celulares</a:t>
          </a:r>
        </a:p>
        <a:p>
          <a:pPr algn="l"/>
          <a:r>
            <a:rPr lang="pt-BR" sz="800" b="1"/>
            <a:t>Gabião </a:t>
          </a:r>
        </a:p>
        <a:p>
          <a:pPr algn="l"/>
          <a:r>
            <a:rPr lang="pt-BR" sz="800" b="1"/>
            <a:t>Colchão reno</a:t>
          </a:r>
        </a:p>
        <a:p>
          <a:pPr algn="l"/>
          <a:r>
            <a:rPr lang="pt-BR" sz="800" b="1"/>
            <a:t>Manta geotextil</a:t>
          </a:r>
        </a:p>
        <a:p>
          <a:pPr algn="l"/>
          <a:r>
            <a:rPr lang="pt-BR" sz="800" b="1"/>
            <a:t>Enrocamento de pedra</a:t>
          </a:r>
        </a:p>
        <a:p>
          <a:pPr algn="l"/>
          <a:r>
            <a:rPr lang="pt-BR" sz="800" b="1"/>
            <a:t>Sub-empreiteiros</a:t>
          </a:r>
        </a:p>
        <a:p>
          <a:pPr algn="l"/>
          <a:endParaRPr lang="pt-BR" sz="800" b="1"/>
        </a:p>
        <a:p>
          <a:pPr algn="l"/>
          <a:endParaRPr lang="pt-BR" sz="800" b="1"/>
        </a:p>
        <a:p>
          <a:pPr algn="l"/>
          <a:r>
            <a:rPr lang="pt-BR" sz="800" b="1"/>
            <a:t>Equipamentos utilizados</a:t>
          </a:r>
          <a:r>
            <a:rPr lang="pt-BR" sz="800"/>
            <a:t>:</a:t>
          </a:r>
        </a:p>
        <a:p>
          <a:pPr algn="l"/>
          <a:r>
            <a:rPr lang="pt-BR" sz="800"/>
            <a:t>Retroescavadeira, caminhão e outros.</a:t>
          </a:r>
        </a:p>
        <a:p>
          <a:pPr algn="l"/>
          <a:r>
            <a:rPr lang="pt-BR" sz="800" b="1"/>
            <a:t>Materiais utizados</a:t>
          </a:r>
          <a:r>
            <a:rPr lang="pt-BR" sz="800"/>
            <a:t>:</a:t>
          </a:r>
        </a:p>
        <a:p>
          <a:pPr algn="l"/>
          <a:r>
            <a:rPr lang="pt-BR" sz="800"/>
            <a:t>Cimento,  agregados, tubos, pré-moldados, manta e outros.</a:t>
          </a:r>
        </a:p>
        <a:p>
          <a:pPr algn="l"/>
          <a:r>
            <a:rPr lang="pt-BR" sz="800" b="1"/>
            <a:t>Mão de obra:</a:t>
          </a:r>
        </a:p>
        <a:p>
          <a:pPr algn="l"/>
          <a:r>
            <a:rPr lang="pt-BR" sz="800"/>
            <a:t>Exceto encarregados, apontadores e aux. de controle.</a:t>
          </a:r>
          <a:endParaRPr lang="pt-BR" sz="800" b="1"/>
        </a:p>
      </dgm:t>
    </dgm:pt>
    <dgm:pt modelId="{D0937FF7-1303-44F3-A78A-EC286A2D3036}" type="parTrans" cxnId="{49334744-4237-453C-8833-452A1E055581}">
      <dgm:prSet/>
      <dgm:spPr/>
      <dgm:t>
        <a:bodyPr/>
        <a:lstStyle/>
        <a:p>
          <a:endParaRPr lang="pt-BR"/>
        </a:p>
      </dgm:t>
    </dgm:pt>
    <dgm:pt modelId="{ABEB6C37-475B-4E9C-A4CD-64A4CF90406C}" type="sibTrans" cxnId="{49334744-4237-453C-8833-452A1E055581}">
      <dgm:prSet/>
      <dgm:spPr/>
      <dgm:t>
        <a:bodyPr/>
        <a:lstStyle/>
        <a:p>
          <a:endParaRPr lang="pt-BR"/>
        </a:p>
      </dgm:t>
    </dgm:pt>
    <dgm:pt modelId="{A8E3D509-4B69-4B66-9BFF-7A883A70F276}">
      <dgm:prSet custT="1"/>
      <dgm:spPr/>
      <dgm:t>
        <a:bodyPr anchor="t"/>
        <a:lstStyle/>
        <a:p>
          <a:pPr algn="l"/>
          <a:r>
            <a:rPr lang="pt-BR" sz="800" b="1"/>
            <a:t>Sinalização horizontal e vertical</a:t>
          </a:r>
        </a:p>
        <a:p>
          <a:pPr algn="l"/>
          <a:r>
            <a:rPr lang="pt-BR" sz="800" b="1"/>
            <a:t>Defensa metálica</a:t>
          </a:r>
        </a:p>
        <a:p>
          <a:pPr algn="l"/>
          <a:r>
            <a:rPr lang="pt-BR" sz="800" b="1"/>
            <a:t>Barreira de segurança</a:t>
          </a:r>
        </a:p>
        <a:p>
          <a:pPr algn="l"/>
          <a:r>
            <a:rPr lang="pt-BR" sz="800" b="1"/>
            <a:t>Sub-empreiteiros de sinalização</a:t>
          </a:r>
        </a:p>
        <a:p>
          <a:pPr algn="l"/>
          <a:endParaRPr lang="pt-BR" sz="800" b="1"/>
        </a:p>
        <a:p>
          <a:pPr algn="l"/>
          <a:r>
            <a:rPr lang="pt-BR" sz="800" b="1"/>
            <a:t>Equipamentos utilizados</a:t>
          </a:r>
          <a:r>
            <a:rPr lang="pt-BR" sz="800"/>
            <a:t>:</a:t>
          </a:r>
        </a:p>
        <a:p>
          <a:pPr algn="l"/>
          <a:r>
            <a:rPr lang="pt-BR" sz="800"/>
            <a:t>Retroescavadeira, máquina meio-fio.</a:t>
          </a:r>
        </a:p>
        <a:p>
          <a:pPr algn="l"/>
          <a:r>
            <a:rPr lang="pt-BR" sz="800" b="1"/>
            <a:t>Materiais utizados</a:t>
          </a:r>
          <a:r>
            <a:rPr lang="pt-BR" sz="800"/>
            <a:t>:</a:t>
          </a:r>
        </a:p>
        <a:p>
          <a:pPr algn="l"/>
          <a:r>
            <a:rPr lang="pt-BR" sz="800"/>
            <a:t>Cimento, agregados, tubos, pré-moldados e outros.</a:t>
          </a:r>
        </a:p>
        <a:p>
          <a:pPr algn="l"/>
          <a:r>
            <a:rPr lang="pt-BR" sz="800" b="1"/>
            <a:t>Mão de obra:</a:t>
          </a:r>
        </a:p>
        <a:p>
          <a:pPr algn="l"/>
          <a:r>
            <a:rPr lang="pt-BR" sz="800"/>
            <a:t>Exceto encarregados, apontadores e aux. de controle.</a:t>
          </a:r>
          <a:r>
            <a:rPr lang="pt-BR" sz="800" b="1"/>
            <a:t> </a:t>
          </a:r>
        </a:p>
      </dgm:t>
    </dgm:pt>
    <dgm:pt modelId="{B403C204-57EF-4767-84C0-853926538FDA}" type="parTrans" cxnId="{251AAFB8-6625-4C15-AA2A-0561982DACA5}">
      <dgm:prSet/>
      <dgm:spPr/>
      <dgm:t>
        <a:bodyPr/>
        <a:lstStyle/>
        <a:p>
          <a:endParaRPr lang="pt-BR"/>
        </a:p>
      </dgm:t>
    </dgm:pt>
    <dgm:pt modelId="{7DC2DC20-9223-4ABB-A93E-DD7F26221DA8}" type="sibTrans" cxnId="{251AAFB8-6625-4C15-AA2A-0561982DACA5}">
      <dgm:prSet/>
      <dgm:spPr/>
      <dgm:t>
        <a:bodyPr/>
        <a:lstStyle/>
        <a:p>
          <a:endParaRPr lang="pt-BR"/>
        </a:p>
      </dgm:t>
    </dgm:pt>
    <dgm:pt modelId="{7BBD33D3-C58F-480F-BBB9-46C5B7ED9DCA}">
      <dgm:prSet custT="1"/>
      <dgm:spPr/>
      <dgm:t>
        <a:bodyPr/>
        <a:lstStyle/>
        <a:p>
          <a:r>
            <a:rPr lang="pt-BR" sz="1100" b="1"/>
            <a:t>6.462.01 ROD.AMB.01</a:t>
          </a:r>
        </a:p>
        <a:p>
          <a:r>
            <a:rPr lang="pt-BR" sz="700"/>
            <a:t>COMPONENTE AMBIENTAL</a:t>
          </a:r>
        </a:p>
      </dgm:t>
    </dgm:pt>
    <dgm:pt modelId="{96085CFE-4E38-4D8E-8175-308C78988118}" type="parTrans" cxnId="{16CA1599-CAC6-48C3-A9A7-C45F66AFCD30}">
      <dgm:prSet/>
      <dgm:spPr/>
      <dgm:t>
        <a:bodyPr/>
        <a:lstStyle/>
        <a:p>
          <a:endParaRPr lang="pt-BR"/>
        </a:p>
      </dgm:t>
    </dgm:pt>
    <dgm:pt modelId="{B67B2C9B-A5A6-478A-8A34-3A9AD82B4871}" type="sibTrans" cxnId="{16CA1599-CAC6-48C3-A9A7-C45F66AFCD30}">
      <dgm:prSet/>
      <dgm:spPr/>
      <dgm:t>
        <a:bodyPr/>
        <a:lstStyle/>
        <a:p>
          <a:endParaRPr lang="pt-BR"/>
        </a:p>
      </dgm:t>
    </dgm:pt>
    <dgm:pt modelId="{27A7941F-530D-4F39-B5C8-3D9D9F809415}">
      <dgm:prSet custT="1"/>
      <dgm:spPr/>
      <dgm:t>
        <a:bodyPr/>
        <a:lstStyle/>
        <a:p>
          <a:r>
            <a:rPr lang="pt-BR" sz="1100" b="1"/>
            <a:t>6.462.01 ROD.CON.01</a:t>
          </a:r>
        </a:p>
        <a:p>
          <a:r>
            <a:rPr lang="pt-BR" sz="700"/>
            <a:t>CONSERVA</a:t>
          </a:r>
        </a:p>
      </dgm:t>
    </dgm:pt>
    <dgm:pt modelId="{0BD367C8-9610-4A32-A666-2AD2F428AE55}" type="parTrans" cxnId="{9E0AE7E9-2BC5-416E-89E6-ECE860DABCA8}">
      <dgm:prSet/>
      <dgm:spPr/>
      <dgm:t>
        <a:bodyPr/>
        <a:lstStyle/>
        <a:p>
          <a:endParaRPr lang="pt-BR"/>
        </a:p>
      </dgm:t>
    </dgm:pt>
    <dgm:pt modelId="{755FFF95-5462-4020-BE19-70F76447FA5D}" type="sibTrans" cxnId="{9E0AE7E9-2BC5-416E-89E6-ECE860DABCA8}">
      <dgm:prSet/>
      <dgm:spPr/>
      <dgm:t>
        <a:bodyPr/>
        <a:lstStyle/>
        <a:p>
          <a:endParaRPr lang="pt-BR"/>
        </a:p>
      </dgm:t>
    </dgm:pt>
    <dgm:pt modelId="{068B6628-1D67-4B7F-8A54-F43ADFE1F247}">
      <dgm:prSet custT="1"/>
      <dgm:spPr/>
      <dgm:t>
        <a:bodyPr anchor="t"/>
        <a:lstStyle/>
        <a:p>
          <a:pPr algn="l"/>
          <a:r>
            <a:rPr lang="pt-BR" sz="800" b="1"/>
            <a:t>Cercas de arame</a:t>
          </a:r>
        </a:p>
        <a:p>
          <a:pPr algn="l"/>
          <a:r>
            <a:rPr lang="pt-BR" sz="800" b="1"/>
            <a:t>Caiação</a:t>
          </a:r>
        </a:p>
        <a:p>
          <a:pPr algn="l"/>
          <a:r>
            <a:rPr lang="pt-BR" sz="800" b="1"/>
            <a:t>Limpeza</a:t>
          </a:r>
        </a:p>
        <a:p>
          <a:pPr algn="l"/>
          <a:r>
            <a:rPr lang="pt-BR" sz="800" b="1"/>
            <a:t>Reparo localizados</a:t>
          </a:r>
        </a:p>
        <a:p>
          <a:pPr algn="l"/>
          <a:r>
            <a:rPr lang="pt-BR" sz="800" b="1"/>
            <a:t>Sub-empreiteiros</a:t>
          </a:r>
        </a:p>
        <a:p>
          <a:pPr algn="l"/>
          <a:endParaRPr lang="pt-BR" sz="800" b="1"/>
        </a:p>
        <a:p>
          <a:pPr algn="l"/>
          <a:r>
            <a:rPr lang="pt-BR" sz="800" b="1"/>
            <a:t>Equipamentos utilizados:</a:t>
          </a:r>
        </a:p>
        <a:p>
          <a:pPr algn="l"/>
          <a:r>
            <a:rPr lang="pt-BR" sz="800" b="0"/>
            <a:t>Trator, roçadeira, caminhão e outros.</a:t>
          </a:r>
        </a:p>
        <a:p>
          <a:pPr algn="l"/>
          <a:r>
            <a:rPr lang="pt-BR" sz="800" b="1"/>
            <a:t>Materiasis utilizados:</a:t>
          </a:r>
        </a:p>
        <a:p>
          <a:pPr algn="l"/>
          <a:r>
            <a:rPr lang="pt-BR" sz="800" b="0"/>
            <a:t>Cal, cimento, areia, oleo diesel e outros.</a:t>
          </a:r>
        </a:p>
        <a:p>
          <a:pPr algn="l"/>
          <a:r>
            <a:rPr lang="pt-BR" sz="800" b="1"/>
            <a:t>Mão de obra:</a:t>
          </a:r>
        </a:p>
        <a:p>
          <a:pPr algn="l"/>
          <a:r>
            <a:rPr lang="pt-BR" sz="800" b="0"/>
            <a:t>Ajudante, pedreiro, operadores de máquinas e outros exceto encarregados, apontadores e aux. de controle.</a:t>
          </a:r>
        </a:p>
        <a:p>
          <a:pPr algn="l"/>
          <a:endParaRPr lang="pt-BR" sz="800" b="1"/>
        </a:p>
        <a:p>
          <a:pPr algn="l"/>
          <a:endParaRPr lang="pt-BR" sz="800" b="1"/>
        </a:p>
        <a:p>
          <a:pPr algn="l"/>
          <a:endParaRPr lang="pt-BR" sz="600"/>
        </a:p>
      </dgm:t>
    </dgm:pt>
    <dgm:pt modelId="{C13D281C-8500-4BBD-9AB9-1016E3B8DBC6}" type="parTrans" cxnId="{C56AEF62-1BBE-4BD2-AED5-7B0825D6877D}">
      <dgm:prSet/>
      <dgm:spPr/>
      <dgm:t>
        <a:bodyPr/>
        <a:lstStyle/>
        <a:p>
          <a:endParaRPr lang="pt-BR"/>
        </a:p>
      </dgm:t>
    </dgm:pt>
    <dgm:pt modelId="{7C93E992-989D-44F5-A634-691548AD3BF2}" type="sibTrans" cxnId="{C56AEF62-1BBE-4BD2-AED5-7B0825D6877D}">
      <dgm:prSet/>
      <dgm:spPr/>
      <dgm:t>
        <a:bodyPr/>
        <a:lstStyle/>
        <a:p>
          <a:endParaRPr lang="pt-BR"/>
        </a:p>
      </dgm:t>
    </dgm:pt>
    <dgm:pt modelId="{B49F6E3E-2FD6-4DF5-B911-5A7008EF6AEE}">
      <dgm:prSet custT="1"/>
      <dgm:spPr/>
      <dgm:t>
        <a:bodyPr anchor="t"/>
        <a:lstStyle/>
        <a:p>
          <a:pPr algn="l"/>
          <a:r>
            <a:rPr lang="pt-BR" sz="800" b="1"/>
            <a:t>Enleivamento</a:t>
          </a:r>
        </a:p>
        <a:p>
          <a:pPr algn="l"/>
          <a:r>
            <a:rPr lang="pt-BR" sz="800" b="1"/>
            <a:t>Hidrossemeadura</a:t>
          </a:r>
        </a:p>
        <a:p>
          <a:pPr algn="l"/>
          <a:r>
            <a:rPr lang="pt-BR" sz="800" b="1"/>
            <a:t>Plantio de árvores e arbustos</a:t>
          </a:r>
        </a:p>
        <a:p>
          <a:pPr algn="l"/>
          <a:r>
            <a:rPr lang="pt-BR" sz="800" b="1"/>
            <a:t>Sub-empreiteiros de urbanização</a:t>
          </a:r>
        </a:p>
        <a:p>
          <a:pPr algn="l"/>
          <a:endParaRPr lang="pt-BR" sz="800" b="1"/>
        </a:p>
        <a:p>
          <a:pPr algn="l"/>
          <a:r>
            <a:rPr lang="pt-BR" sz="800" b="1"/>
            <a:t>Equipamentos utilizados:</a:t>
          </a:r>
        </a:p>
        <a:p>
          <a:pPr algn="l"/>
          <a:r>
            <a:rPr lang="pt-BR" sz="800" b="0"/>
            <a:t>Trator, roçadeira, caminhão e outros.</a:t>
          </a:r>
        </a:p>
        <a:p>
          <a:pPr algn="l"/>
          <a:r>
            <a:rPr lang="pt-BR" sz="800" b="1"/>
            <a:t>Materiasis utilizados:</a:t>
          </a:r>
        </a:p>
        <a:p>
          <a:pPr algn="l"/>
          <a:r>
            <a:rPr lang="pt-BR" sz="800" b="0"/>
            <a:t>Adubo, cal, agregados, oleo diesel e outros.</a:t>
          </a:r>
        </a:p>
        <a:p>
          <a:pPr algn="l"/>
          <a:r>
            <a:rPr lang="pt-BR" sz="800" b="1"/>
            <a:t>Mão de obra:</a:t>
          </a:r>
        </a:p>
        <a:p>
          <a:pPr algn="l"/>
          <a:r>
            <a:rPr lang="pt-BR" sz="800" b="0"/>
            <a:t>Ajudante, pedreiro, operadores de máquinas e outros exceto encarregados, apontadores e aux. de controle.</a:t>
          </a:r>
          <a:endParaRPr lang="pt-BR" sz="800" b="1"/>
        </a:p>
      </dgm:t>
    </dgm:pt>
    <dgm:pt modelId="{C18A2DF7-747E-4B48-8468-17106084BB05}" type="parTrans" cxnId="{765BBC8E-FB65-4D5C-A410-93A90BF089E8}">
      <dgm:prSet/>
      <dgm:spPr/>
      <dgm:t>
        <a:bodyPr/>
        <a:lstStyle/>
        <a:p>
          <a:endParaRPr lang="pt-BR"/>
        </a:p>
      </dgm:t>
    </dgm:pt>
    <dgm:pt modelId="{26D549DE-405D-479C-AC9B-62E6DBDCBCC0}" type="sibTrans" cxnId="{765BBC8E-FB65-4D5C-A410-93A90BF089E8}">
      <dgm:prSet/>
      <dgm:spPr/>
      <dgm:t>
        <a:bodyPr/>
        <a:lstStyle/>
        <a:p>
          <a:endParaRPr lang="pt-BR"/>
        </a:p>
      </dgm:t>
    </dgm:pt>
    <dgm:pt modelId="{15046C58-B98A-40F0-A960-7C9295BD9520}">
      <dgm:prSet custT="1"/>
      <dgm:spPr/>
      <dgm:t>
        <a:bodyPr/>
        <a:lstStyle/>
        <a:p>
          <a:r>
            <a:rPr lang="pt-BR" sz="1100" b="1"/>
            <a:t>6.462.01 ROD.TER.01</a:t>
          </a:r>
        </a:p>
        <a:p>
          <a:r>
            <a:rPr lang="pt-BR" sz="700"/>
            <a:t>TERRAPLENAGEM</a:t>
          </a:r>
        </a:p>
      </dgm:t>
    </dgm:pt>
    <dgm:pt modelId="{EE9215C1-122F-4119-8E12-F62054553097}" type="parTrans" cxnId="{761E6CC9-71A0-441E-9CD7-B16C75C40051}">
      <dgm:prSet/>
      <dgm:spPr/>
      <dgm:t>
        <a:bodyPr/>
        <a:lstStyle/>
        <a:p>
          <a:endParaRPr lang="pt-BR"/>
        </a:p>
      </dgm:t>
    </dgm:pt>
    <dgm:pt modelId="{4F0D054D-AFBB-4DAF-B06A-506955A6680E}" type="sibTrans" cxnId="{761E6CC9-71A0-441E-9CD7-B16C75C40051}">
      <dgm:prSet/>
      <dgm:spPr/>
      <dgm:t>
        <a:bodyPr/>
        <a:lstStyle/>
        <a:p>
          <a:endParaRPr lang="pt-BR"/>
        </a:p>
      </dgm:t>
    </dgm:pt>
    <dgm:pt modelId="{51F7111A-B67E-4C8D-B1BB-C3EE6906A333}">
      <dgm:prSet custT="1"/>
      <dgm:spPr/>
      <dgm:t>
        <a:bodyPr anchor="t"/>
        <a:lstStyle/>
        <a:p>
          <a:pPr algn="l"/>
          <a:r>
            <a:rPr lang="pt-BR" sz="800" b="1"/>
            <a:t>Escavação</a:t>
          </a:r>
        </a:p>
        <a:p>
          <a:pPr algn="l"/>
          <a:r>
            <a:rPr lang="pt-BR" sz="800" b="1"/>
            <a:t>Transporte solos</a:t>
          </a:r>
        </a:p>
        <a:p>
          <a:pPr algn="l"/>
          <a:r>
            <a:rPr lang="pt-BR" sz="800" b="1"/>
            <a:t>Compactação aterro</a:t>
          </a:r>
        </a:p>
        <a:p>
          <a:pPr algn="l"/>
          <a:r>
            <a:rPr lang="pt-BR" sz="800" b="1"/>
            <a:t>Subleito</a:t>
          </a:r>
        </a:p>
        <a:p>
          <a:pPr algn="l"/>
          <a:r>
            <a:rPr lang="pt-BR" sz="800" b="1"/>
            <a:t>Sub-base</a:t>
          </a:r>
        </a:p>
        <a:p>
          <a:pPr algn="l"/>
          <a:r>
            <a:rPr lang="pt-BR" sz="800" b="1"/>
            <a:t>Base </a:t>
          </a:r>
        </a:p>
        <a:p>
          <a:pPr algn="l"/>
          <a:endParaRPr lang="pt-BR" sz="800" b="1"/>
        </a:p>
        <a:p>
          <a:pPr algn="l"/>
          <a:endParaRPr lang="pt-BR" sz="800" b="1"/>
        </a:p>
        <a:p>
          <a:pPr algn="l"/>
          <a:r>
            <a:rPr lang="pt-BR" sz="800" b="1"/>
            <a:t>Equipamentos utilizados:</a:t>
          </a:r>
        </a:p>
        <a:p>
          <a:pPr algn="l"/>
          <a:r>
            <a:rPr lang="pt-BR" sz="800"/>
            <a:t>Patrol, trator com grade, rolo, pipa, transporte de solos, escadeira, trator de esteira e outros.</a:t>
          </a:r>
        </a:p>
        <a:p>
          <a:pPr algn="l"/>
          <a:r>
            <a:rPr lang="pt-BR" sz="800" b="1"/>
            <a:t>Materiais  utilizados:</a:t>
          </a:r>
        </a:p>
        <a:p>
          <a:pPr algn="l"/>
          <a:r>
            <a:rPr lang="pt-BR" sz="800"/>
            <a:t>Cimento, areia , materiais para colchão drenante, oleo diesel e outros.</a:t>
          </a:r>
        </a:p>
        <a:p>
          <a:pPr algn="l"/>
          <a:r>
            <a:rPr lang="pt-BR" sz="800" b="1"/>
            <a:t>Mão de obra:</a:t>
          </a:r>
        </a:p>
        <a:p>
          <a:pPr algn="l"/>
          <a:r>
            <a:rPr lang="pt-BR" sz="800"/>
            <a:t>Exceto encarregados, apontadores e aux. de controle</a:t>
          </a:r>
          <a:endParaRPr lang="pt-BR" sz="800" b="1"/>
        </a:p>
      </dgm:t>
    </dgm:pt>
    <dgm:pt modelId="{B0FE901E-4DCC-492C-88F1-A56225A269D4}" type="parTrans" cxnId="{CAA53FAA-6BA5-4FCA-A03C-D49F62A2F60A}">
      <dgm:prSet/>
      <dgm:spPr/>
      <dgm:t>
        <a:bodyPr/>
        <a:lstStyle/>
        <a:p>
          <a:endParaRPr lang="pt-BR"/>
        </a:p>
      </dgm:t>
    </dgm:pt>
    <dgm:pt modelId="{D2468EAC-C438-464B-B916-020DE49BD842}" type="sibTrans" cxnId="{CAA53FAA-6BA5-4FCA-A03C-D49F62A2F60A}">
      <dgm:prSet/>
      <dgm:spPr/>
      <dgm:t>
        <a:bodyPr/>
        <a:lstStyle/>
        <a:p>
          <a:endParaRPr lang="pt-BR"/>
        </a:p>
      </dgm:t>
    </dgm:pt>
    <dgm:pt modelId="{595FA39B-666E-488C-B3B1-E4AD38573883}">
      <dgm:prSet custT="1"/>
      <dgm:spPr/>
      <dgm:t>
        <a:bodyPr/>
        <a:lstStyle/>
        <a:p>
          <a:r>
            <a:rPr lang="pt-BR" sz="1100" b="1"/>
            <a:t>6.462.01 ROD.DRE.01</a:t>
          </a:r>
          <a:endParaRPr lang="pt-BR" sz="700" b="1"/>
        </a:p>
        <a:p>
          <a:r>
            <a:rPr lang="pt-BR" sz="700" b="0"/>
            <a:t>DRENAGEM</a:t>
          </a:r>
        </a:p>
      </dgm:t>
    </dgm:pt>
    <dgm:pt modelId="{E85AF5A9-8001-433C-892C-6338720A805D}" type="parTrans" cxnId="{5CA90C3F-7114-41CE-8E19-210D2C013DF8}">
      <dgm:prSet/>
      <dgm:spPr/>
      <dgm:t>
        <a:bodyPr/>
        <a:lstStyle/>
        <a:p>
          <a:endParaRPr lang="pt-BR"/>
        </a:p>
      </dgm:t>
    </dgm:pt>
    <dgm:pt modelId="{EC6917F1-E757-496C-9492-EBD916A6EE5A}" type="sibTrans" cxnId="{5CA90C3F-7114-41CE-8E19-210D2C013DF8}">
      <dgm:prSet/>
      <dgm:spPr/>
      <dgm:t>
        <a:bodyPr/>
        <a:lstStyle/>
        <a:p>
          <a:endParaRPr lang="pt-BR"/>
        </a:p>
      </dgm:t>
    </dgm:pt>
    <dgm:pt modelId="{62DD6A97-2B1C-4006-92E7-37951B7E1E15}">
      <dgm:prSet custT="1"/>
      <dgm:spPr/>
      <dgm:t>
        <a:bodyPr/>
        <a:lstStyle/>
        <a:p>
          <a:r>
            <a:rPr lang="pt-BR" sz="1100" b="1"/>
            <a:t>6.462.01 ROD.BRI.01</a:t>
          </a:r>
          <a:endParaRPr lang="pt-BR" sz="700" b="0"/>
        </a:p>
        <a:p>
          <a:r>
            <a:rPr lang="pt-BR" sz="700" b="0"/>
            <a:t>BRITADOR</a:t>
          </a:r>
        </a:p>
      </dgm:t>
    </dgm:pt>
    <dgm:pt modelId="{85C612D3-98AE-4729-9426-6302BBA6A51B}" type="parTrans" cxnId="{E4092F88-7EAA-4955-9F63-5E848B28FBAE}">
      <dgm:prSet/>
      <dgm:spPr/>
      <dgm:t>
        <a:bodyPr/>
        <a:lstStyle/>
        <a:p>
          <a:endParaRPr lang="pt-BR"/>
        </a:p>
      </dgm:t>
    </dgm:pt>
    <dgm:pt modelId="{F4A6A942-B709-4F8F-94B3-5FB37AC3C977}" type="sibTrans" cxnId="{E4092F88-7EAA-4955-9F63-5E848B28FBAE}">
      <dgm:prSet/>
      <dgm:spPr/>
      <dgm:t>
        <a:bodyPr/>
        <a:lstStyle/>
        <a:p>
          <a:endParaRPr lang="pt-BR"/>
        </a:p>
      </dgm:t>
    </dgm:pt>
    <dgm:pt modelId="{1E9EA1A7-8E67-4250-BF54-F1D9AFB08DB8}">
      <dgm:prSet custT="1"/>
      <dgm:spPr/>
      <dgm:t>
        <a:bodyPr/>
        <a:lstStyle/>
        <a:p>
          <a:r>
            <a:rPr lang="pt-BR" sz="1100" b="1"/>
            <a:t>6.462.01 ROD.USI.01</a:t>
          </a:r>
        </a:p>
        <a:p>
          <a:r>
            <a:rPr lang="pt-BR" sz="700" b="0"/>
            <a:t>USINA</a:t>
          </a:r>
        </a:p>
      </dgm:t>
    </dgm:pt>
    <dgm:pt modelId="{626B5D73-2161-4F92-8993-2AE1782193EC}" type="parTrans" cxnId="{0796110D-8BE4-4791-A1FD-37C1BBD4B36F}">
      <dgm:prSet/>
      <dgm:spPr/>
      <dgm:t>
        <a:bodyPr/>
        <a:lstStyle/>
        <a:p>
          <a:endParaRPr lang="pt-BR"/>
        </a:p>
      </dgm:t>
    </dgm:pt>
    <dgm:pt modelId="{0AD46B88-70F5-422E-8C38-AA534C8943D3}" type="sibTrans" cxnId="{0796110D-8BE4-4791-A1FD-37C1BBD4B36F}">
      <dgm:prSet/>
      <dgm:spPr/>
      <dgm:t>
        <a:bodyPr/>
        <a:lstStyle/>
        <a:p>
          <a:endParaRPr lang="pt-BR"/>
        </a:p>
      </dgm:t>
    </dgm:pt>
    <dgm:pt modelId="{B09678B3-5A26-44F1-8153-404AAF47CE5B}">
      <dgm:prSet custT="1"/>
      <dgm:spPr/>
      <dgm:t>
        <a:bodyPr/>
        <a:lstStyle/>
        <a:p>
          <a:pPr algn="l"/>
          <a:r>
            <a:rPr lang="pt-BR" sz="800" b="1"/>
            <a:t>Descida d'água</a:t>
          </a:r>
        </a:p>
        <a:p>
          <a:pPr algn="l"/>
          <a:r>
            <a:rPr lang="pt-BR" sz="800" b="1"/>
            <a:t>Dissipador de energia</a:t>
          </a:r>
        </a:p>
        <a:p>
          <a:pPr algn="l"/>
          <a:r>
            <a:rPr lang="pt-BR" sz="800" b="1"/>
            <a:t>Entrada d'água</a:t>
          </a:r>
        </a:p>
        <a:p>
          <a:pPr algn="l"/>
          <a:r>
            <a:rPr lang="pt-BR" sz="800" b="1"/>
            <a:t>Meio-fio</a:t>
          </a:r>
        </a:p>
        <a:p>
          <a:pPr algn="l"/>
          <a:r>
            <a:rPr lang="pt-BR" sz="800" b="1"/>
            <a:t>Sarjetas</a:t>
          </a:r>
        </a:p>
        <a:p>
          <a:pPr algn="l"/>
          <a:r>
            <a:rPr lang="pt-BR" sz="800" b="1"/>
            <a:t>Valetas</a:t>
          </a:r>
        </a:p>
        <a:p>
          <a:pPr algn="l"/>
          <a:r>
            <a:rPr lang="pt-BR" sz="800" b="1"/>
            <a:t>Caixas coletoras</a:t>
          </a:r>
        </a:p>
        <a:p>
          <a:pPr algn="l"/>
          <a:r>
            <a:rPr lang="pt-BR" sz="800" b="1"/>
            <a:t>Sub-empreiteiros drenagem</a:t>
          </a:r>
        </a:p>
        <a:p>
          <a:pPr algn="l"/>
          <a:endParaRPr lang="pt-BR" sz="800" b="1"/>
        </a:p>
        <a:p>
          <a:pPr algn="l"/>
          <a:r>
            <a:rPr lang="pt-BR" sz="800" b="1"/>
            <a:t>Equipamentos utilizados</a:t>
          </a:r>
          <a:r>
            <a:rPr lang="pt-BR" sz="800"/>
            <a:t>:</a:t>
          </a:r>
        </a:p>
        <a:p>
          <a:pPr algn="l"/>
          <a:r>
            <a:rPr lang="pt-BR" sz="800"/>
            <a:t>Retroescavadeira, máquina meio-fio.</a:t>
          </a:r>
        </a:p>
        <a:p>
          <a:pPr algn="l"/>
          <a:r>
            <a:rPr lang="pt-BR" sz="800" b="1"/>
            <a:t>Materiais utizados</a:t>
          </a:r>
          <a:r>
            <a:rPr lang="pt-BR" sz="800"/>
            <a:t>:</a:t>
          </a:r>
        </a:p>
        <a:p>
          <a:pPr algn="l"/>
          <a:r>
            <a:rPr lang="pt-BR" sz="800"/>
            <a:t>Cimento, agregados, tubos, pré-moldados e outros.</a:t>
          </a:r>
        </a:p>
        <a:p>
          <a:pPr algn="l"/>
          <a:r>
            <a:rPr lang="pt-BR" sz="800" b="1"/>
            <a:t>Mão de obra:</a:t>
          </a:r>
        </a:p>
        <a:p>
          <a:pPr algn="l"/>
          <a:r>
            <a:rPr lang="pt-BR" sz="800"/>
            <a:t>Exceto encarregados, apontadores e aux. de controle.</a:t>
          </a:r>
          <a:endParaRPr lang="pt-BR" sz="800" b="1"/>
        </a:p>
        <a:p>
          <a:pPr algn="l"/>
          <a:endParaRPr lang="pt-BR" sz="800" b="1"/>
        </a:p>
        <a:p>
          <a:pPr algn="ctr"/>
          <a:endParaRPr lang="pt-BR" sz="1000"/>
        </a:p>
      </dgm:t>
    </dgm:pt>
    <dgm:pt modelId="{2544B2B0-E480-4460-A53F-24CC61CC2AAD}" type="parTrans" cxnId="{2A01FC2A-C898-4B60-9F24-3FC1035E01C1}">
      <dgm:prSet/>
      <dgm:spPr/>
      <dgm:t>
        <a:bodyPr/>
        <a:lstStyle/>
        <a:p>
          <a:endParaRPr lang="pt-BR"/>
        </a:p>
      </dgm:t>
    </dgm:pt>
    <dgm:pt modelId="{AF9EF37F-5BB1-4929-8B0D-878F1E026ECA}" type="sibTrans" cxnId="{2A01FC2A-C898-4B60-9F24-3FC1035E01C1}">
      <dgm:prSet/>
      <dgm:spPr/>
      <dgm:t>
        <a:bodyPr/>
        <a:lstStyle/>
        <a:p>
          <a:endParaRPr lang="pt-BR"/>
        </a:p>
      </dgm:t>
    </dgm:pt>
    <dgm:pt modelId="{9E78129A-8AB1-46D7-9ABB-1A1EB7B03BAB}">
      <dgm:prSet custT="1"/>
      <dgm:spPr/>
      <dgm:t>
        <a:bodyPr anchor="t"/>
        <a:lstStyle/>
        <a:p>
          <a:pPr algn="l"/>
          <a:r>
            <a:rPr lang="pt-BR" sz="800" b="1"/>
            <a:t>Britador</a:t>
          </a:r>
        </a:p>
        <a:p>
          <a:pPr algn="l"/>
          <a:endParaRPr lang="pt-BR" sz="800" b="1"/>
        </a:p>
        <a:p>
          <a:pPr algn="l"/>
          <a:r>
            <a:rPr lang="pt-BR" sz="800" b="1"/>
            <a:t>Equipamentos utilizados</a:t>
          </a:r>
          <a:r>
            <a:rPr lang="pt-BR" sz="800"/>
            <a:t>:</a:t>
          </a:r>
        </a:p>
        <a:p>
          <a:pPr algn="l"/>
          <a:r>
            <a:rPr lang="pt-BR" sz="800"/>
            <a:t>Caminhão, pá carregadeira, britador e outros.</a:t>
          </a:r>
        </a:p>
        <a:p>
          <a:pPr algn="l"/>
          <a:r>
            <a:rPr lang="pt-BR" sz="800" b="1"/>
            <a:t>Materiais utizados</a:t>
          </a:r>
          <a:r>
            <a:rPr lang="pt-BR" sz="800"/>
            <a:t>:</a:t>
          </a:r>
        </a:p>
        <a:p>
          <a:pPr algn="l"/>
          <a:r>
            <a:rPr lang="pt-BR" sz="800"/>
            <a:t>Agregados. óleo diesel e outros.</a:t>
          </a:r>
        </a:p>
        <a:p>
          <a:pPr algn="l"/>
          <a:r>
            <a:rPr lang="pt-BR" sz="800" b="1"/>
            <a:t>Mão de obra:</a:t>
          </a:r>
        </a:p>
        <a:p>
          <a:pPr algn="l"/>
          <a:r>
            <a:rPr lang="pt-BR" sz="800"/>
            <a:t>Operadores do britador, exceto encarregados, apontadores e aux. de controle.</a:t>
          </a:r>
          <a:endParaRPr lang="pt-BR" sz="800" b="1"/>
        </a:p>
      </dgm:t>
    </dgm:pt>
    <dgm:pt modelId="{630B652A-28A9-4CF4-BE90-7716B8B047CD}" type="parTrans" cxnId="{BF1F428F-DD00-4ED0-9081-2F8BC155CEF4}">
      <dgm:prSet/>
      <dgm:spPr/>
      <dgm:t>
        <a:bodyPr/>
        <a:lstStyle/>
        <a:p>
          <a:endParaRPr lang="pt-BR"/>
        </a:p>
      </dgm:t>
    </dgm:pt>
    <dgm:pt modelId="{A58458FE-ABE8-4B4B-9661-944435074650}" type="sibTrans" cxnId="{BF1F428F-DD00-4ED0-9081-2F8BC155CEF4}">
      <dgm:prSet/>
      <dgm:spPr/>
      <dgm:t>
        <a:bodyPr/>
        <a:lstStyle/>
        <a:p>
          <a:endParaRPr lang="pt-BR"/>
        </a:p>
      </dgm:t>
    </dgm:pt>
    <dgm:pt modelId="{4ADEA3A6-D9FE-483B-B0E1-31ACFE15BB33}">
      <dgm:prSet custT="1"/>
      <dgm:spPr/>
      <dgm:t>
        <a:bodyPr anchor="t"/>
        <a:lstStyle/>
        <a:p>
          <a:pPr algn="l"/>
          <a:r>
            <a:rPr lang="pt-BR" sz="800" b="1"/>
            <a:t>Usina</a:t>
          </a:r>
        </a:p>
        <a:p>
          <a:pPr algn="l"/>
          <a:endParaRPr lang="pt-BR" sz="800" b="1"/>
        </a:p>
        <a:p>
          <a:pPr algn="l"/>
          <a:r>
            <a:rPr lang="pt-BR" sz="800" b="1"/>
            <a:t>Equipamentos utilizados</a:t>
          </a:r>
          <a:r>
            <a:rPr lang="pt-BR" sz="800"/>
            <a:t>:</a:t>
          </a:r>
        </a:p>
        <a:p>
          <a:pPr algn="l"/>
          <a:r>
            <a:rPr lang="pt-BR" sz="800"/>
            <a:t>Caminhão, pá carregadeira, usina e outros.</a:t>
          </a:r>
        </a:p>
        <a:p>
          <a:pPr algn="l"/>
          <a:r>
            <a:rPr lang="pt-BR" sz="800" b="1"/>
            <a:t>Materiais utizados</a:t>
          </a:r>
          <a:r>
            <a:rPr lang="pt-BR" sz="800"/>
            <a:t>:</a:t>
          </a:r>
        </a:p>
        <a:p>
          <a:pPr algn="l"/>
          <a:r>
            <a:rPr lang="pt-BR" sz="800"/>
            <a:t>Agregados, emulsão, óleo diesel e outros.</a:t>
          </a:r>
        </a:p>
        <a:p>
          <a:pPr algn="l"/>
          <a:r>
            <a:rPr lang="pt-BR" sz="800" b="1"/>
            <a:t>Mão de obra:</a:t>
          </a:r>
        </a:p>
        <a:p>
          <a:pPr algn="l"/>
          <a:r>
            <a:rPr lang="pt-BR" sz="800"/>
            <a:t>Operadores da usina, exceto encarregados, apontadores e aux. de controle.</a:t>
          </a:r>
          <a:endParaRPr lang="pt-BR" sz="800" b="1"/>
        </a:p>
      </dgm:t>
    </dgm:pt>
    <dgm:pt modelId="{DC1067AA-795D-442A-AB9A-7E759206EAF5}" type="parTrans" cxnId="{CBDA9EB0-0DED-40D4-AE95-911EEBF81EA5}">
      <dgm:prSet/>
      <dgm:spPr/>
      <dgm:t>
        <a:bodyPr/>
        <a:lstStyle/>
        <a:p>
          <a:endParaRPr lang="pt-BR"/>
        </a:p>
      </dgm:t>
    </dgm:pt>
    <dgm:pt modelId="{31150853-4E54-4E17-A080-5C3CFA3A64A7}" type="sibTrans" cxnId="{CBDA9EB0-0DED-40D4-AE95-911EEBF81EA5}">
      <dgm:prSet/>
      <dgm:spPr/>
      <dgm:t>
        <a:bodyPr/>
        <a:lstStyle/>
        <a:p>
          <a:endParaRPr lang="pt-BR"/>
        </a:p>
      </dgm:t>
    </dgm:pt>
    <dgm:pt modelId="{F47A77B9-7996-4AC8-A735-B54537FB3F39}" type="pres">
      <dgm:prSet presAssocID="{6C49569A-4215-4298-8ABD-45A70ACBE201}" presName="hierChild1" presStyleCnt="0">
        <dgm:presLayoutVars>
          <dgm:chPref val="1"/>
          <dgm:dir val="rev"/>
          <dgm:animOne val="branch"/>
          <dgm:animLvl val="lvl"/>
          <dgm:resizeHandles/>
        </dgm:presLayoutVars>
      </dgm:prSet>
      <dgm:spPr/>
    </dgm:pt>
    <dgm:pt modelId="{527601EA-C6D3-4DBC-B0C5-7AEA6D9C0A37}" type="pres">
      <dgm:prSet presAssocID="{73EC1DDE-ABCF-401E-855E-8BEA99F0A674}" presName="hierRoot1" presStyleCnt="0"/>
      <dgm:spPr/>
    </dgm:pt>
    <dgm:pt modelId="{01519C58-21C9-4FFC-8504-5B718C02ADDA}" type="pres">
      <dgm:prSet presAssocID="{73EC1DDE-ABCF-401E-855E-8BEA99F0A674}" presName="composite" presStyleCnt="0"/>
      <dgm:spPr/>
    </dgm:pt>
    <dgm:pt modelId="{011B1E87-B132-42AF-8E14-EAA993F00D6E}" type="pres">
      <dgm:prSet presAssocID="{73EC1DDE-ABCF-401E-855E-8BEA99F0A674}" presName="background" presStyleLbl="node0" presStyleIdx="0" presStyleCnt="1"/>
      <dgm:spPr/>
    </dgm:pt>
    <dgm:pt modelId="{AC7221A0-405D-4602-A765-2333A18C5BEF}" type="pres">
      <dgm:prSet presAssocID="{73EC1DDE-ABCF-401E-855E-8BEA99F0A674}" presName="text" presStyleLbl="fgAcc0" presStyleIdx="0" presStyleCnt="1">
        <dgm:presLayoutVars>
          <dgm:chPref val="3"/>
        </dgm:presLayoutVars>
      </dgm:prSet>
      <dgm:spPr/>
    </dgm:pt>
    <dgm:pt modelId="{3EFDE09F-4DEB-4A52-BF23-EF28D8E8F83F}" type="pres">
      <dgm:prSet presAssocID="{73EC1DDE-ABCF-401E-855E-8BEA99F0A674}" presName="hierChild2" presStyleCnt="0"/>
      <dgm:spPr/>
    </dgm:pt>
    <dgm:pt modelId="{F97236DC-069C-4EAF-831C-7742B0C98D3A}" type="pres">
      <dgm:prSet presAssocID="{626B5D73-2161-4F92-8993-2AE1782193EC}" presName="Name10" presStyleLbl="parChTrans1D2" presStyleIdx="0" presStyleCnt="10"/>
      <dgm:spPr/>
    </dgm:pt>
    <dgm:pt modelId="{9BDEDCF0-F281-4FEF-AC56-143B215FDA04}" type="pres">
      <dgm:prSet presAssocID="{1E9EA1A7-8E67-4250-BF54-F1D9AFB08DB8}" presName="hierRoot2" presStyleCnt="0"/>
      <dgm:spPr/>
    </dgm:pt>
    <dgm:pt modelId="{FB9BFE8F-8EE8-48D9-A549-2EDE4E1DB7B5}" type="pres">
      <dgm:prSet presAssocID="{1E9EA1A7-8E67-4250-BF54-F1D9AFB08DB8}" presName="composite2" presStyleCnt="0"/>
      <dgm:spPr/>
    </dgm:pt>
    <dgm:pt modelId="{278DE389-BF31-4EA1-85B1-5732330C1BFB}" type="pres">
      <dgm:prSet presAssocID="{1E9EA1A7-8E67-4250-BF54-F1D9AFB08DB8}" presName="background2" presStyleLbl="node2" presStyleIdx="0" presStyleCnt="10"/>
      <dgm:spPr/>
    </dgm:pt>
    <dgm:pt modelId="{17CAE29B-F8AA-428E-AE7F-A8FCD5B478B3}" type="pres">
      <dgm:prSet presAssocID="{1E9EA1A7-8E67-4250-BF54-F1D9AFB08DB8}" presName="text2" presStyleLbl="fgAcc2" presStyleIdx="0" presStyleCnt="10">
        <dgm:presLayoutVars>
          <dgm:chPref val="3"/>
        </dgm:presLayoutVars>
      </dgm:prSet>
      <dgm:spPr/>
    </dgm:pt>
    <dgm:pt modelId="{ECA2E0D8-B7F0-4D4F-974E-D9E65C17698A}" type="pres">
      <dgm:prSet presAssocID="{1E9EA1A7-8E67-4250-BF54-F1D9AFB08DB8}" presName="hierChild3" presStyleCnt="0"/>
      <dgm:spPr/>
    </dgm:pt>
    <dgm:pt modelId="{CFDC4D94-6427-439D-8497-C1FF0F4F0B8A}" type="pres">
      <dgm:prSet presAssocID="{DC1067AA-795D-442A-AB9A-7E759206EAF5}" presName="Name17" presStyleLbl="parChTrans1D3" presStyleIdx="0" presStyleCnt="10"/>
      <dgm:spPr/>
    </dgm:pt>
    <dgm:pt modelId="{66E97CB1-216E-4B45-A57E-234C707643AF}" type="pres">
      <dgm:prSet presAssocID="{4ADEA3A6-D9FE-483B-B0E1-31ACFE15BB33}" presName="hierRoot3" presStyleCnt="0"/>
      <dgm:spPr/>
    </dgm:pt>
    <dgm:pt modelId="{3E8B0A92-CD4B-4230-938A-C167E32ABB8A}" type="pres">
      <dgm:prSet presAssocID="{4ADEA3A6-D9FE-483B-B0E1-31ACFE15BB33}" presName="composite3" presStyleCnt="0"/>
      <dgm:spPr/>
    </dgm:pt>
    <dgm:pt modelId="{2210143B-605E-4917-B114-48CA951CECD5}" type="pres">
      <dgm:prSet presAssocID="{4ADEA3A6-D9FE-483B-B0E1-31ACFE15BB33}" presName="background3" presStyleLbl="node3" presStyleIdx="0" presStyleCnt="10"/>
      <dgm:spPr/>
    </dgm:pt>
    <dgm:pt modelId="{C2C9300C-1C0F-49BC-BB65-A8C1F9611284}" type="pres">
      <dgm:prSet presAssocID="{4ADEA3A6-D9FE-483B-B0E1-31ACFE15BB33}" presName="text3" presStyleLbl="fgAcc3" presStyleIdx="0" presStyleCnt="10" custScaleY="360835">
        <dgm:presLayoutVars>
          <dgm:chPref val="3"/>
        </dgm:presLayoutVars>
      </dgm:prSet>
      <dgm:spPr/>
    </dgm:pt>
    <dgm:pt modelId="{79534E9A-0228-4D23-9EC5-9A327562102F}" type="pres">
      <dgm:prSet presAssocID="{4ADEA3A6-D9FE-483B-B0E1-31ACFE15BB33}" presName="hierChild4" presStyleCnt="0"/>
      <dgm:spPr/>
    </dgm:pt>
    <dgm:pt modelId="{A5D50A94-9261-4F95-9885-F36130E6B88E}" type="pres">
      <dgm:prSet presAssocID="{85C612D3-98AE-4729-9426-6302BBA6A51B}" presName="Name10" presStyleLbl="parChTrans1D2" presStyleIdx="1" presStyleCnt="10"/>
      <dgm:spPr/>
    </dgm:pt>
    <dgm:pt modelId="{0F578D4D-5AC9-4D5E-8390-BBC491E16453}" type="pres">
      <dgm:prSet presAssocID="{62DD6A97-2B1C-4006-92E7-37951B7E1E15}" presName="hierRoot2" presStyleCnt="0"/>
      <dgm:spPr/>
    </dgm:pt>
    <dgm:pt modelId="{3F7D4D31-F711-4C1C-83D3-4741A04EED06}" type="pres">
      <dgm:prSet presAssocID="{62DD6A97-2B1C-4006-92E7-37951B7E1E15}" presName="composite2" presStyleCnt="0"/>
      <dgm:spPr/>
    </dgm:pt>
    <dgm:pt modelId="{51443711-2FD7-4B1B-AE86-45727F7B051B}" type="pres">
      <dgm:prSet presAssocID="{62DD6A97-2B1C-4006-92E7-37951B7E1E15}" presName="background2" presStyleLbl="node2" presStyleIdx="1" presStyleCnt="10"/>
      <dgm:spPr/>
    </dgm:pt>
    <dgm:pt modelId="{37FC4E71-E0EC-428D-AFBF-FEE0BE42C69F}" type="pres">
      <dgm:prSet presAssocID="{62DD6A97-2B1C-4006-92E7-37951B7E1E15}" presName="text2" presStyleLbl="fgAcc2" presStyleIdx="1" presStyleCnt="10">
        <dgm:presLayoutVars>
          <dgm:chPref val="3"/>
        </dgm:presLayoutVars>
      </dgm:prSet>
      <dgm:spPr/>
    </dgm:pt>
    <dgm:pt modelId="{BD525A30-3F2A-4EC1-848E-780BBE2A84AF}" type="pres">
      <dgm:prSet presAssocID="{62DD6A97-2B1C-4006-92E7-37951B7E1E15}" presName="hierChild3" presStyleCnt="0"/>
      <dgm:spPr/>
    </dgm:pt>
    <dgm:pt modelId="{954D1AE8-59F6-438F-BDE0-17F4EFB586DF}" type="pres">
      <dgm:prSet presAssocID="{630B652A-28A9-4CF4-BE90-7716B8B047CD}" presName="Name17" presStyleLbl="parChTrans1D3" presStyleIdx="1" presStyleCnt="10"/>
      <dgm:spPr/>
    </dgm:pt>
    <dgm:pt modelId="{65672F92-1524-413E-A90F-0034FCD65753}" type="pres">
      <dgm:prSet presAssocID="{9E78129A-8AB1-46D7-9ABB-1A1EB7B03BAB}" presName="hierRoot3" presStyleCnt="0"/>
      <dgm:spPr/>
    </dgm:pt>
    <dgm:pt modelId="{8CD01565-233A-4C95-9616-72CC78744F83}" type="pres">
      <dgm:prSet presAssocID="{9E78129A-8AB1-46D7-9ABB-1A1EB7B03BAB}" presName="composite3" presStyleCnt="0"/>
      <dgm:spPr/>
    </dgm:pt>
    <dgm:pt modelId="{7019FEC4-944E-43F3-836F-DBAFEFA8295C}" type="pres">
      <dgm:prSet presAssocID="{9E78129A-8AB1-46D7-9ABB-1A1EB7B03BAB}" presName="background3" presStyleLbl="node3" presStyleIdx="1" presStyleCnt="10"/>
      <dgm:spPr/>
    </dgm:pt>
    <dgm:pt modelId="{0F5B380E-6530-4F6A-A7B8-4C092DB53835}" type="pres">
      <dgm:prSet presAssocID="{9E78129A-8AB1-46D7-9ABB-1A1EB7B03BAB}" presName="text3" presStyleLbl="fgAcc3" presStyleIdx="1" presStyleCnt="10" custScaleY="360835">
        <dgm:presLayoutVars>
          <dgm:chPref val="3"/>
        </dgm:presLayoutVars>
      </dgm:prSet>
      <dgm:spPr/>
    </dgm:pt>
    <dgm:pt modelId="{128C665A-01F0-4203-B26D-7D0679D3B777}" type="pres">
      <dgm:prSet presAssocID="{9E78129A-8AB1-46D7-9ABB-1A1EB7B03BAB}" presName="hierChild4" presStyleCnt="0"/>
      <dgm:spPr/>
    </dgm:pt>
    <dgm:pt modelId="{2A630D87-D730-4798-9723-72FCBCBD54F4}" type="pres">
      <dgm:prSet presAssocID="{E85AF5A9-8001-433C-892C-6338720A805D}" presName="Name10" presStyleLbl="parChTrans1D2" presStyleIdx="2" presStyleCnt="10"/>
      <dgm:spPr/>
    </dgm:pt>
    <dgm:pt modelId="{606B1BB9-6032-40E8-B317-41584258A232}" type="pres">
      <dgm:prSet presAssocID="{595FA39B-666E-488C-B3B1-E4AD38573883}" presName="hierRoot2" presStyleCnt="0"/>
      <dgm:spPr/>
    </dgm:pt>
    <dgm:pt modelId="{6E884288-DEF8-412C-B03B-308D9D715B33}" type="pres">
      <dgm:prSet presAssocID="{595FA39B-666E-488C-B3B1-E4AD38573883}" presName="composite2" presStyleCnt="0"/>
      <dgm:spPr/>
    </dgm:pt>
    <dgm:pt modelId="{3EDEE970-A72A-46BE-B038-1A4A78D95C3A}" type="pres">
      <dgm:prSet presAssocID="{595FA39B-666E-488C-B3B1-E4AD38573883}" presName="background2" presStyleLbl="node2" presStyleIdx="2" presStyleCnt="10"/>
      <dgm:spPr/>
    </dgm:pt>
    <dgm:pt modelId="{E274C6B5-4514-46CB-B114-229305441D98}" type="pres">
      <dgm:prSet presAssocID="{595FA39B-666E-488C-B3B1-E4AD38573883}" presName="text2" presStyleLbl="fgAcc2" presStyleIdx="2" presStyleCnt="10">
        <dgm:presLayoutVars>
          <dgm:chPref val="3"/>
        </dgm:presLayoutVars>
      </dgm:prSet>
      <dgm:spPr/>
    </dgm:pt>
    <dgm:pt modelId="{CA43A6A3-14F1-4433-BD4B-9AC51A5A1806}" type="pres">
      <dgm:prSet presAssocID="{595FA39B-666E-488C-B3B1-E4AD38573883}" presName="hierChild3" presStyleCnt="0"/>
      <dgm:spPr/>
    </dgm:pt>
    <dgm:pt modelId="{EFDACDA4-DB08-42CD-85D9-BE15231CAB9B}" type="pres">
      <dgm:prSet presAssocID="{2544B2B0-E480-4460-A53F-24CC61CC2AAD}" presName="Name17" presStyleLbl="parChTrans1D3" presStyleIdx="2" presStyleCnt="10"/>
      <dgm:spPr/>
    </dgm:pt>
    <dgm:pt modelId="{8D79B018-8AE0-433B-8EB6-2C75513B4CE9}" type="pres">
      <dgm:prSet presAssocID="{B09678B3-5A26-44F1-8153-404AAF47CE5B}" presName="hierRoot3" presStyleCnt="0"/>
      <dgm:spPr/>
    </dgm:pt>
    <dgm:pt modelId="{743C0F43-3F93-4CDF-82C0-9918D98DD648}" type="pres">
      <dgm:prSet presAssocID="{B09678B3-5A26-44F1-8153-404AAF47CE5B}" presName="composite3" presStyleCnt="0"/>
      <dgm:spPr/>
    </dgm:pt>
    <dgm:pt modelId="{D59F6C1C-903C-4BA2-9F1D-0679235E95AE}" type="pres">
      <dgm:prSet presAssocID="{B09678B3-5A26-44F1-8153-404AAF47CE5B}" presName="background3" presStyleLbl="node3" presStyleIdx="2" presStyleCnt="10"/>
      <dgm:spPr/>
    </dgm:pt>
    <dgm:pt modelId="{5CC68FA7-9352-4DEF-AD91-BFD8D05A8354}" type="pres">
      <dgm:prSet presAssocID="{B09678B3-5A26-44F1-8153-404AAF47CE5B}" presName="text3" presStyleLbl="fgAcc3" presStyleIdx="2" presStyleCnt="10" custScaleY="513838">
        <dgm:presLayoutVars>
          <dgm:chPref val="3"/>
        </dgm:presLayoutVars>
      </dgm:prSet>
      <dgm:spPr/>
    </dgm:pt>
    <dgm:pt modelId="{BF13632B-12A6-4F36-9FC2-468AE48F24C7}" type="pres">
      <dgm:prSet presAssocID="{B09678B3-5A26-44F1-8153-404AAF47CE5B}" presName="hierChild4" presStyleCnt="0"/>
      <dgm:spPr/>
    </dgm:pt>
    <dgm:pt modelId="{3B2C94F7-2C6B-4153-901E-BDF095F5C7D0}" type="pres">
      <dgm:prSet presAssocID="{45102038-7E82-4530-A7B7-DF3DADDA8BC6}" presName="Name10" presStyleLbl="parChTrans1D2" presStyleIdx="3" presStyleCnt="10"/>
      <dgm:spPr/>
    </dgm:pt>
    <dgm:pt modelId="{7326B5E1-3B2B-4D84-B603-DFD6136D0DE6}" type="pres">
      <dgm:prSet presAssocID="{7DD45CC1-ACC5-4F1A-B8DD-4B2F5ED40635}" presName="hierRoot2" presStyleCnt="0"/>
      <dgm:spPr/>
    </dgm:pt>
    <dgm:pt modelId="{55CF4C14-C225-4052-8597-69EF62F1B7C2}" type="pres">
      <dgm:prSet presAssocID="{7DD45CC1-ACC5-4F1A-B8DD-4B2F5ED40635}" presName="composite2" presStyleCnt="0"/>
      <dgm:spPr/>
    </dgm:pt>
    <dgm:pt modelId="{FBDDCF4E-653D-4F8F-BB5C-8F900B03A3A7}" type="pres">
      <dgm:prSet presAssocID="{7DD45CC1-ACC5-4F1A-B8DD-4B2F5ED40635}" presName="background2" presStyleLbl="node2" presStyleIdx="3" presStyleCnt="10"/>
      <dgm:spPr/>
    </dgm:pt>
    <dgm:pt modelId="{9D6FD523-D893-43CA-9C39-DA5AD4393EE2}" type="pres">
      <dgm:prSet presAssocID="{7DD45CC1-ACC5-4F1A-B8DD-4B2F5ED40635}" presName="text2" presStyleLbl="fgAcc2" presStyleIdx="3" presStyleCnt="10">
        <dgm:presLayoutVars>
          <dgm:chPref val="3"/>
        </dgm:presLayoutVars>
      </dgm:prSet>
      <dgm:spPr/>
    </dgm:pt>
    <dgm:pt modelId="{3C2D7665-87A3-40C2-B0A7-56A16EF8A432}" type="pres">
      <dgm:prSet presAssocID="{7DD45CC1-ACC5-4F1A-B8DD-4B2F5ED40635}" presName="hierChild3" presStyleCnt="0"/>
      <dgm:spPr/>
    </dgm:pt>
    <dgm:pt modelId="{5322EB7A-815B-4B64-AEDF-30BDA942B6EB}" type="pres">
      <dgm:prSet presAssocID="{B403C204-57EF-4767-84C0-853926538FDA}" presName="Name17" presStyleLbl="parChTrans1D3" presStyleIdx="3" presStyleCnt="10"/>
      <dgm:spPr/>
    </dgm:pt>
    <dgm:pt modelId="{040B3DCD-4B65-4E33-A60F-6DE5CDAB545A}" type="pres">
      <dgm:prSet presAssocID="{A8E3D509-4B69-4B66-9BFF-7A883A70F276}" presName="hierRoot3" presStyleCnt="0"/>
      <dgm:spPr/>
    </dgm:pt>
    <dgm:pt modelId="{D3A242A7-B46B-44F1-B721-73EBC5C74599}" type="pres">
      <dgm:prSet presAssocID="{A8E3D509-4B69-4B66-9BFF-7A883A70F276}" presName="composite3" presStyleCnt="0"/>
      <dgm:spPr/>
    </dgm:pt>
    <dgm:pt modelId="{A97B8BB0-FE38-49CB-BE8C-111EFC9D71D8}" type="pres">
      <dgm:prSet presAssocID="{A8E3D509-4B69-4B66-9BFF-7A883A70F276}" presName="background3" presStyleLbl="node3" presStyleIdx="3" presStyleCnt="10"/>
      <dgm:spPr/>
    </dgm:pt>
    <dgm:pt modelId="{F68E4E7E-4C30-4175-B1FD-9A99F260E12E}" type="pres">
      <dgm:prSet presAssocID="{A8E3D509-4B69-4B66-9BFF-7A883A70F276}" presName="text3" presStyleLbl="fgAcc3" presStyleIdx="3" presStyleCnt="10" custScaleY="427314" custLinFactNeighborX="-5823">
        <dgm:presLayoutVars>
          <dgm:chPref val="3"/>
        </dgm:presLayoutVars>
      </dgm:prSet>
      <dgm:spPr/>
    </dgm:pt>
    <dgm:pt modelId="{9EA4E8F7-8C3F-4E01-9F80-44D9F3F2622C}" type="pres">
      <dgm:prSet presAssocID="{A8E3D509-4B69-4B66-9BFF-7A883A70F276}" presName="hierChild4" presStyleCnt="0"/>
      <dgm:spPr/>
    </dgm:pt>
    <dgm:pt modelId="{5D845186-56A2-4414-9AC6-8096547BA8B8}" type="pres">
      <dgm:prSet presAssocID="{96085CFE-4E38-4D8E-8175-308C78988118}" presName="Name10" presStyleLbl="parChTrans1D2" presStyleIdx="4" presStyleCnt="10"/>
      <dgm:spPr/>
    </dgm:pt>
    <dgm:pt modelId="{0787C0B8-A067-4350-91A6-F8C5D5C11290}" type="pres">
      <dgm:prSet presAssocID="{7BBD33D3-C58F-480F-BBB9-46C5B7ED9DCA}" presName="hierRoot2" presStyleCnt="0"/>
      <dgm:spPr/>
    </dgm:pt>
    <dgm:pt modelId="{49B48BA5-C243-4B70-9113-D66D12D09ADE}" type="pres">
      <dgm:prSet presAssocID="{7BBD33D3-C58F-480F-BBB9-46C5B7ED9DCA}" presName="composite2" presStyleCnt="0"/>
      <dgm:spPr/>
    </dgm:pt>
    <dgm:pt modelId="{F398237E-E4BD-4637-9727-8401510DC24B}" type="pres">
      <dgm:prSet presAssocID="{7BBD33D3-C58F-480F-BBB9-46C5B7ED9DCA}" presName="background2" presStyleLbl="node2" presStyleIdx="4" presStyleCnt="10"/>
      <dgm:spPr/>
    </dgm:pt>
    <dgm:pt modelId="{BA5CF142-9B9C-4E02-88EC-6C0257B72944}" type="pres">
      <dgm:prSet presAssocID="{7BBD33D3-C58F-480F-BBB9-46C5B7ED9DCA}" presName="text2" presStyleLbl="fgAcc2" presStyleIdx="4" presStyleCnt="10">
        <dgm:presLayoutVars>
          <dgm:chPref val="3"/>
        </dgm:presLayoutVars>
      </dgm:prSet>
      <dgm:spPr/>
    </dgm:pt>
    <dgm:pt modelId="{A0BE1D44-93D6-4FCC-8496-9A2255161EE8}" type="pres">
      <dgm:prSet presAssocID="{7BBD33D3-C58F-480F-BBB9-46C5B7ED9DCA}" presName="hierChild3" presStyleCnt="0"/>
      <dgm:spPr/>
    </dgm:pt>
    <dgm:pt modelId="{BE835536-31FB-4F12-AA81-A955F5E043D2}" type="pres">
      <dgm:prSet presAssocID="{C18A2DF7-747E-4B48-8468-17106084BB05}" presName="Name17" presStyleLbl="parChTrans1D3" presStyleIdx="4" presStyleCnt="10"/>
      <dgm:spPr/>
    </dgm:pt>
    <dgm:pt modelId="{6B403A87-934F-4E57-BFCB-1A1E4699B1DB}" type="pres">
      <dgm:prSet presAssocID="{B49F6E3E-2FD6-4DF5-B911-5A7008EF6AEE}" presName="hierRoot3" presStyleCnt="0"/>
      <dgm:spPr/>
    </dgm:pt>
    <dgm:pt modelId="{718D0FCB-BE83-4735-9ED8-41129AA9FA70}" type="pres">
      <dgm:prSet presAssocID="{B49F6E3E-2FD6-4DF5-B911-5A7008EF6AEE}" presName="composite3" presStyleCnt="0"/>
      <dgm:spPr/>
    </dgm:pt>
    <dgm:pt modelId="{5CACB837-A144-4D4A-ACF6-4F9975759DE8}" type="pres">
      <dgm:prSet presAssocID="{B49F6E3E-2FD6-4DF5-B911-5A7008EF6AEE}" presName="background3" presStyleLbl="node3" presStyleIdx="4" presStyleCnt="10"/>
      <dgm:spPr/>
    </dgm:pt>
    <dgm:pt modelId="{0B8B4DC1-C9BE-4C9A-A57D-4394CD4A9DF1}" type="pres">
      <dgm:prSet presAssocID="{B49F6E3E-2FD6-4DF5-B911-5A7008EF6AEE}" presName="text3" presStyleLbl="fgAcc3" presStyleIdx="4" presStyleCnt="10" custScaleY="447946">
        <dgm:presLayoutVars>
          <dgm:chPref val="3"/>
        </dgm:presLayoutVars>
      </dgm:prSet>
      <dgm:spPr/>
    </dgm:pt>
    <dgm:pt modelId="{EF7D551B-000E-49B4-AE09-65D87178A76E}" type="pres">
      <dgm:prSet presAssocID="{B49F6E3E-2FD6-4DF5-B911-5A7008EF6AEE}" presName="hierChild4" presStyleCnt="0"/>
      <dgm:spPr/>
    </dgm:pt>
    <dgm:pt modelId="{D949A733-D908-4345-9841-0D50D038DF0D}" type="pres">
      <dgm:prSet presAssocID="{0BD367C8-9610-4A32-A666-2AD2F428AE55}" presName="Name10" presStyleLbl="parChTrans1D2" presStyleIdx="5" presStyleCnt="10"/>
      <dgm:spPr/>
    </dgm:pt>
    <dgm:pt modelId="{E478BAD6-7BA7-4121-8CE9-2EA2BE2AFFE8}" type="pres">
      <dgm:prSet presAssocID="{27A7941F-530D-4F39-B5C8-3D9D9F809415}" presName="hierRoot2" presStyleCnt="0"/>
      <dgm:spPr/>
    </dgm:pt>
    <dgm:pt modelId="{8B8D69D0-93F0-47CB-97D3-E6B3322AE703}" type="pres">
      <dgm:prSet presAssocID="{27A7941F-530D-4F39-B5C8-3D9D9F809415}" presName="composite2" presStyleCnt="0"/>
      <dgm:spPr/>
    </dgm:pt>
    <dgm:pt modelId="{232AF78F-B097-4B54-AE1F-EAD3D35577AE}" type="pres">
      <dgm:prSet presAssocID="{27A7941F-530D-4F39-B5C8-3D9D9F809415}" presName="background2" presStyleLbl="node2" presStyleIdx="5" presStyleCnt="10"/>
      <dgm:spPr/>
    </dgm:pt>
    <dgm:pt modelId="{C287BFE8-5D79-42B3-BF1C-6B082A6ADFD1}" type="pres">
      <dgm:prSet presAssocID="{27A7941F-530D-4F39-B5C8-3D9D9F809415}" presName="text2" presStyleLbl="fgAcc2" presStyleIdx="5" presStyleCnt="10">
        <dgm:presLayoutVars>
          <dgm:chPref val="3"/>
        </dgm:presLayoutVars>
      </dgm:prSet>
      <dgm:spPr/>
    </dgm:pt>
    <dgm:pt modelId="{952F1791-DA94-4055-ACB8-2DB6FF47D94E}" type="pres">
      <dgm:prSet presAssocID="{27A7941F-530D-4F39-B5C8-3D9D9F809415}" presName="hierChild3" presStyleCnt="0"/>
      <dgm:spPr/>
    </dgm:pt>
    <dgm:pt modelId="{CDB02BC6-29E0-4E36-9E17-BA79DCDEDD2B}" type="pres">
      <dgm:prSet presAssocID="{C13D281C-8500-4BBD-9AB9-1016E3B8DBC6}" presName="Name17" presStyleLbl="parChTrans1D3" presStyleIdx="5" presStyleCnt="10"/>
      <dgm:spPr/>
    </dgm:pt>
    <dgm:pt modelId="{C5DBC889-A39C-4363-BE74-992844ADD2B3}" type="pres">
      <dgm:prSet presAssocID="{068B6628-1D67-4B7F-8A54-F43ADFE1F247}" presName="hierRoot3" presStyleCnt="0"/>
      <dgm:spPr/>
    </dgm:pt>
    <dgm:pt modelId="{1DB97936-ECCF-4CEC-B745-CBA59BA800AB}" type="pres">
      <dgm:prSet presAssocID="{068B6628-1D67-4B7F-8A54-F43ADFE1F247}" presName="composite3" presStyleCnt="0"/>
      <dgm:spPr/>
    </dgm:pt>
    <dgm:pt modelId="{14BCE619-1A55-416C-AF88-E0EE760F1E42}" type="pres">
      <dgm:prSet presAssocID="{068B6628-1D67-4B7F-8A54-F43ADFE1F247}" presName="background3" presStyleLbl="node3" presStyleIdx="5" presStyleCnt="10"/>
      <dgm:spPr/>
    </dgm:pt>
    <dgm:pt modelId="{1BEA8B10-6709-49E7-A81C-F13E6ADE4E56}" type="pres">
      <dgm:prSet presAssocID="{068B6628-1D67-4B7F-8A54-F43ADFE1F247}" presName="text3" presStyleLbl="fgAcc3" presStyleIdx="5" presStyleCnt="10" custScaleY="450239">
        <dgm:presLayoutVars>
          <dgm:chPref val="3"/>
        </dgm:presLayoutVars>
      </dgm:prSet>
      <dgm:spPr/>
    </dgm:pt>
    <dgm:pt modelId="{ADBC1DAB-A780-485A-B199-B5F43B13844E}" type="pres">
      <dgm:prSet presAssocID="{068B6628-1D67-4B7F-8A54-F43ADFE1F247}" presName="hierChild4" presStyleCnt="0"/>
      <dgm:spPr/>
    </dgm:pt>
    <dgm:pt modelId="{2BE1EF85-2165-4F2C-B569-94F3C76B7E6D}" type="pres">
      <dgm:prSet presAssocID="{30E2AD98-B657-4105-9212-34BECD7EC417}" presName="Name10" presStyleLbl="parChTrans1D2" presStyleIdx="6" presStyleCnt="10"/>
      <dgm:spPr/>
    </dgm:pt>
    <dgm:pt modelId="{215DD339-EAB2-40C9-B29D-269D92159500}" type="pres">
      <dgm:prSet presAssocID="{432A240D-18C7-49A2-AE49-A45AF750FE11}" presName="hierRoot2" presStyleCnt="0"/>
      <dgm:spPr/>
    </dgm:pt>
    <dgm:pt modelId="{891885D9-C8D5-4D76-95E6-6173CD580960}" type="pres">
      <dgm:prSet presAssocID="{432A240D-18C7-49A2-AE49-A45AF750FE11}" presName="composite2" presStyleCnt="0"/>
      <dgm:spPr/>
    </dgm:pt>
    <dgm:pt modelId="{182DFEEB-D54C-489D-BC8C-66FA18438E75}" type="pres">
      <dgm:prSet presAssocID="{432A240D-18C7-49A2-AE49-A45AF750FE11}" presName="background2" presStyleLbl="node2" presStyleIdx="6" presStyleCnt="10"/>
      <dgm:spPr/>
    </dgm:pt>
    <dgm:pt modelId="{ACBC656F-3BEB-43AE-866E-C4EF81FA4351}" type="pres">
      <dgm:prSet presAssocID="{432A240D-18C7-49A2-AE49-A45AF750FE11}" presName="text2" presStyleLbl="fgAcc2" presStyleIdx="6" presStyleCnt="10">
        <dgm:presLayoutVars>
          <dgm:chPref val="3"/>
        </dgm:presLayoutVars>
      </dgm:prSet>
      <dgm:spPr/>
    </dgm:pt>
    <dgm:pt modelId="{D24DE003-6577-4CDB-AFAF-841FCD15675E}" type="pres">
      <dgm:prSet presAssocID="{432A240D-18C7-49A2-AE49-A45AF750FE11}" presName="hierChild3" presStyleCnt="0"/>
      <dgm:spPr/>
    </dgm:pt>
    <dgm:pt modelId="{BE47B3F9-AB54-47D8-87A0-33704A08B6F5}" type="pres">
      <dgm:prSet presAssocID="{D0937FF7-1303-44F3-A78A-EC286A2D3036}" presName="Name17" presStyleLbl="parChTrans1D3" presStyleIdx="6" presStyleCnt="10"/>
      <dgm:spPr/>
    </dgm:pt>
    <dgm:pt modelId="{967ECA3E-FCC4-404C-8AEC-3ACA0B1EA730}" type="pres">
      <dgm:prSet presAssocID="{3127C645-9689-46E3-88F7-5DC47F534ACC}" presName="hierRoot3" presStyleCnt="0"/>
      <dgm:spPr/>
    </dgm:pt>
    <dgm:pt modelId="{79C2E11E-4A93-4DF0-9991-4B4A49B184F9}" type="pres">
      <dgm:prSet presAssocID="{3127C645-9689-46E3-88F7-5DC47F534ACC}" presName="composite3" presStyleCnt="0"/>
      <dgm:spPr/>
    </dgm:pt>
    <dgm:pt modelId="{F4AF1E70-A04F-4711-ABD9-760B1233774E}" type="pres">
      <dgm:prSet presAssocID="{3127C645-9689-46E3-88F7-5DC47F534ACC}" presName="background3" presStyleLbl="node3" presStyleIdx="6" presStyleCnt="10"/>
      <dgm:spPr/>
    </dgm:pt>
    <dgm:pt modelId="{DE6BC7C0-1899-4891-8186-B782CE631185}" type="pres">
      <dgm:prSet presAssocID="{3127C645-9689-46E3-88F7-5DC47F534ACC}" presName="text3" presStyleLbl="fgAcc3" presStyleIdx="6" presStyleCnt="10" custScaleY="473164">
        <dgm:presLayoutVars>
          <dgm:chPref val="3"/>
        </dgm:presLayoutVars>
      </dgm:prSet>
      <dgm:spPr/>
    </dgm:pt>
    <dgm:pt modelId="{EEFF299A-BEBE-4DB5-9DB3-715183E1598E}" type="pres">
      <dgm:prSet presAssocID="{3127C645-9689-46E3-88F7-5DC47F534ACC}" presName="hierChild4" presStyleCnt="0"/>
      <dgm:spPr/>
    </dgm:pt>
    <dgm:pt modelId="{ACFF1CB6-125A-407F-8C41-2A8FEFE238BB}" type="pres">
      <dgm:prSet presAssocID="{26E12EC9-24D6-4D25-B00A-1EFD05104A83}" presName="Name10" presStyleLbl="parChTrans1D2" presStyleIdx="7" presStyleCnt="10"/>
      <dgm:spPr/>
    </dgm:pt>
    <dgm:pt modelId="{AFD51C9F-E3C3-494C-8829-89EBF04B3F19}" type="pres">
      <dgm:prSet presAssocID="{3252C150-9EBC-4B25-9549-4212F23B076B}" presName="hierRoot2" presStyleCnt="0"/>
      <dgm:spPr/>
    </dgm:pt>
    <dgm:pt modelId="{3D0989E5-1A7E-4EC3-8620-D209BE98B04B}" type="pres">
      <dgm:prSet presAssocID="{3252C150-9EBC-4B25-9549-4212F23B076B}" presName="composite2" presStyleCnt="0"/>
      <dgm:spPr/>
    </dgm:pt>
    <dgm:pt modelId="{2AFE64B0-2C1A-487A-8FC0-1AD143E68213}" type="pres">
      <dgm:prSet presAssocID="{3252C150-9EBC-4B25-9549-4212F23B076B}" presName="background2" presStyleLbl="node2" presStyleIdx="7" presStyleCnt="10"/>
      <dgm:spPr/>
    </dgm:pt>
    <dgm:pt modelId="{E993334D-E792-4FC8-AD9A-D8127FB62375}" type="pres">
      <dgm:prSet presAssocID="{3252C150-9EBC-4B25-9549-4212F23B076B}" presName="text2" presStyleLbl="fgAcc2" presStyleIdx="7" presStyleCnt="10">
        <dgm:presLayoutVars>
          <dgm:chPref val="3"/>
        </dgm:presLayoutVars>
      </dgm:prSet>
      <dgm:spPr/>
    </dgm:pt>
    <dgm:pt modelId="{06066C25-B369-46CA-AAFB-E48E8CBC7919}" type="pres">
      <dgm:prSet presAssocID="{3252C150-9EBC-4B25-9549-4212F23B076B}" presName="hierChild3" presStyleCnt="0"/>
      <dgm:spPr/>
    </dgm:pt>
    <dgm:pt modelId="{68BA01EC-43C0-40ED-B5C0-5B179CE1E1E7}" type="pres">
      <dgm:prSet presAssocID="{D9573F50-A005-4F19-8A4C-50C5F0D5E8FB}" presName="Name17" presStyleLbl="parChTrans1D3" presStyleIdx="7" presStyleCnt="10"/>
      <dgm:spPr/>
    </dgm:pt>
    <dgm:pt modelId="{4AAF54EA-C2CA-4184-B8E2-E61705F3744B}" type="pres">
      <dgm:prSet presAssocID="{C43C72FB-209A-43E7-8AC2-74FFA0BDC289}" presName="hierRoot3" presStyleCnt="0"/>
      <dgm:spPr/>
    </dgm:pt>
    <dgm:pt modelId="{B7DB50AD-DDE1-40A6-B9CA-077445EA84FA}" type="pres">
      <dgm:prSet presAssocID="{C43C72FB-209A-43E7-8AC2-74FFA0BDC289}" presName="composite3" presStyleCnt="0"/>
      <dgm:spPr/>
    </dgm:pt>
    <dgm:pt modelId="{D98115BB-A095-4C38-99C7-3CBAB572E36D}" type="pres">
      <dgm:prSet presAssocID="{C43C72FB-209A-43E7-8AC2-74FFA0BDC289}" presName="background3" presStyleLbl="node3" presStyleIdx="7" presStyleCnt="10"/>
      <dgm:spPr/>
    </dgm:pt>
    <dgm:pt modelId="{EBC15EA4-A83F-4ECD-8F8C-00C91A9AF848}" type="pres">
      <dgm:prSet presAssocID="{C43C72FB-209A-43E7-8AC2-74FFA0BDC289}" presName="text3" presStyleLbl="fgAcc3" presStyleIdx="7" presStyleCnt="10" custScaleY="551105">
        <dgm:presLayoutVars>
          <dgm:chPref val="3"/>
        </dgm:presLayoutVars>
      </dgm:prSet>
      <dgm:spPr/>
    </dgm:pt>
    <dgm:pt modelId="{BC6F1AE8-7E89-4183-A29E-8E8970C1738D}" type="pres">
      <dgm:prSet presAssocID="{C43C72FB-209A-43E7-8AC2-74FFA0BDC289}" presName="hierChild4" presStyleCnt="0"/>
      <dgm:spPr/>
    </dgm:pt>
    <dgm:pt modelId="{2FE4D69C-020B-41C0-BE08-4A0E1B42FBAF}" type="pres">
      <dgm:prSet presAssocID="{EE9215C1-122F-4119-8E12-F62054553097}" presName="Name10" presStyleLbl="parChTrans1D2" presStyleIdx="8" presStyleCnt="10"/>
      <dgm:spPr/>
    </dgm:pt>
    <dgm:pt modelId="{D960D207-1622-4363-B53F-80F5CB8CA6ED}" type="pres">
      <dgm:prSet presAssocID="{15046C58-B98A-40F0-A960-7C9295BD9520}" presName="hierRoot2" presStyleCnt="0"/>
      <dgm:spPr/>
    </dgm:pt>
    <dgm:pt modelId="{CFDC677E-9D80-4270-A110-AF0133E04104}" type="pres">
      <dgm:prSet presAssocID="{15046C58-B98A-40F0-A960-7C9295BD9520}" presName="composite2" presStyleCnt="0"/>
      <dgm:spPr/>
    </dgm:pt>
    <dgm:pt modelId="{ED787FB0-07BF-42B4-A076-F4FF255EFBBB}" type="pres">
      <dgm:prSet presAssocID="{15046C58-B98A-40F0-A960-7C9295BD9520}" presName="background2" presStyleLbl="node2" presStyleIdx="8" presStyleCnt="10"/>
      <dgm:spPr/>
    </dgm:pt>
    <dgm:pt modelId="{AED27111-80CE-4C02-80CC-B50221F3FEDC}" type="pres">
      <dgm:prSet presAssocID="{15046C58-B98A-40F0-A960-7C9295BD9520}" presName="text2" presStyleLbl="fgAcc2" presStyleIdx="8" presStyleCnt="10">
        <dgm:presLayoutVars>
          <dgm:chPref val="3"/>
        </dgm:presLayoutVars>
      </dgm:prSet>
      <dgm:spPr/>
    </dgm:pt>
    <dgm:pt modelId="{0D9CA5B1-5C8B-4CB1-95C8-5233B9F99505}" type="pres">
      <dgm:prSet presAssocID="{15046C58-B98A-40F0-A960-7C9295BD9520}" presName="hierChild3" presStyleCnt="0"/>
      <dgm:spPr/>
    </dgm:pt>
    <dgm:pt modelId="{FBBB8E9E-EEA5-4F18-AFFE-0EDEFF9F2F5D}" type="pres">
      <dgm:prSet presAssocID="{B0FE901E-4DCC-492C-88F1-A56225A269D4}" presName="Name17" presStyleLbl="parChTrans1D3" presStyleIdx="8" presStyleCnt="10"/>
      <dgm:spPr/>
    </dgm:pt>
    <dgm:pt modelId="{65C25CBB-3C24-4FCA-9A50-946C0BF15DA9}" type="pres">
      <dgm:prSet presAssocID="{51F7111A-B67E-4C8D-B1BB-C3EE6906A333}" presName="hierRoot3" presStyleCnt="0"/>
      <dgm:spPr/>
    </dgm:pt>
    <dgm:pt modelId="{7878C8AE-3260-4F7C-B6B5-B8ABCDBB4BF8}" type="pres">
      <dgm:prSet presAssocID="{51F7111A-B67E-4C8D-B1BB-C3EE6906A333}" presName="composite3" presStyleCnt="0"/>
      <dgm:spPr/>
    </dgm:pt>
    <dgm:pt modelId="{31C7497D-C07C-4C0D-AE1E-CFC2833940B6}" type="pres">
      <dgm:prSet presAssocID="{51F7111A-B67E-4C8D-B1BB-C3EE6906A333}" presName="background3" presStyleLbl="node3" presStyleIdx="8" presStyleCnt="10"/>
      <dgm:spPr/>
    </dgm:pt>
    <dgm:pt modelId="{881C5508-A9A6-4070-BE60-4790EBB1DA49}" type="pres">
      <dgm:prSet presAssocID="{51F7111A-B67E-4C8D-B1BB-C3EE6906A333}" presName="text3" presStyleLbl="fgAcc3" presStyleIdx="8" presStyleCnt="10" custScaleY="530474">
        <dgm:presLayoutVars>
          <dgm:chPref val="3"/>
        </dgm:presLayoutVars>
      </dgm:prSet>
      <dgm:spPr/>
    </dgm:pt>
    <dgm:pt modelId="{B5382B4A-9AF2-4440-8C67-B663E9B62BE2}" type="pres">
      <dgm:prSet presAssocID="{51F7111A-B67E-4C8D-B1BB-C3EE6906A333}" presName="hierChild4" presStyleCnt="0"/>
      <dgm:spPr/>
    </dgm:pt>
    <dgm:pt modelId="{07EFF708-23AC-4C6C-949C-293139313AB7}" type="pres">
      <dgm:prSet presAssocID="{8A843315-FBD9-4A7B-AA6C-91031B02341E}" presName="Name10" presStyleLbl="parChTrans1D2" presStyleIdx="9" presStyleCnt="10"/>
      <dgm:spPr/>
    </dgm:pt>
    <dgm:pt modelId="{6138FE30-3D56-4AD8-972C-8F687619D59D}" type="pres">
      <dgm:prSet presAssocID="{63A392D5-0174-471E-9996-89C4B9FF23B6}" presName="hierRoot2" presStyleCnt="0"/>
      <dgm:spPr/>
    </dgm:pt>
    <dgm:pt modelId="{C1DF39A0-114D-48CA-972C-2E215DC0D9E0}" type="pres">
      <dgm:prSet presAssocID="{63A392D5-0174-471E-9996-89C4B9FF23B6}" presName="composite2" presStyleCnt="0"/>
      <dgm:spPr/>
    </dgm:pt>
    <dgm:pt modelId="{06D5D967-EAB4-4591-AF81-1433C00921BF}" type="pres">
      <dgm:prSet presAssocID="{63A392D5-0174-471E-9996-89C4B9FF23B6}" presName="background2" presStyleLbl="node2" presStyleIdx="9" presStyleCnt="10"/>
      <dgm:spPr/>
    </dgm:pt>
    <dgm:pt modelId="{106833A4-C4DA-4474-9D54-7F7AED1ED18D}" type="pres">
      <dgm:prSet presAssocID="{63A392D5-0174-471E-9996-89C4B9FF23B6}" presName="text2" presStyleLbl="fgAcc2" presStyleIdx="9" presStyleCnt="10">
        <dgm:presLayoutVars>
          <dgm:chPref val="3"/>
        </dgm:presLayoutVars>
      </dgm:prSet>
      <dgm:spPr/>
    </dgm:pt>
    <dgm:pt modelId="{C48CF77B-3B4F-4109-ADD3-7B147F78D8C3}" type="pres">
      <dgm:prSet presAssocID="{63A392D5-0174-471E-9996-89C4B9FF23B6}" presName="hierChild3" presStyleCnt="0"/>
      <dgm:spPr/>
    </dgm:pt>
    <dgm:pt modelId="{2779B808-C6BA-4D18-B7D2-6A7C0B453769}" type="pres">
      <dgm:prSet presAssocID="{41AC39DC-FCC3-4DE4-AF99-7A8C60D3E589}" presName="Name17" presStyleLbl="parChTrans1D3" presStyleIdx="9" presStyleCnt="10"/>
      <dgm:spPr/>
    </dgm:pt>
    <dgm:pt modelId="{C7CC09B8-DF3E-45E7-B938-FC3F04F6B4FB}" type="pres">
      <dgm:prSet presAssocID="{6EF40F88-C9AB-407D-974F-9377ABC847A6}" presName="hierRoot3" presStyleCnt="0"/>
      <dgm:spPr/>
    </dgm:pt>
    <dgm:pt modelId="{11A10E2C-94B5-4B7E-8B2F-4512D0C53BC5}" type="pres">
      <dgm:prSet presAssocID="{6EF40F88-C9AB-407D-974F-9377ABC847A6}" presName="composite3" presStyleCnt="0"/>
      <dgm:spPr/>
    </dgm:pt>
    <dgm:pt modelId="{59B1D9EE-5985-4EC7-9F96-803C2C53E8AB}" type="pres">
      <dgm:prSet presAssocID="{6EF40F88-C9AB-407D-974F-9377ABC847A6}" presName="background3" presStyleLbl="node3" presStyleIdx="9" presStyleCnt="10"/>
      <dgm:spPr/>
    </dgm:pt>
    <dgm:pt modelId="{1C574F5E-2F4B-44D4-B538-253997744CD7}" type="pres">
      <dgm:prSet presAssocID="{6EF40F88-C9AB-407D-974F-9377ABC847A6}" presName="text3" presStyleLbl="fgAcc3" presStyleIdx="9" presStyleCnt="10" custScaleY="718452">
        <dgm:presLayoutVars>
          <dgm:chPref val="3"/>
        </dgm:presLayoutVars>
      </dgm:prSet>
      <dgm:spPr/>
    </dgm:pt>
    <dgm:pt modelId="{3B90D3AD-9FE6-4F60-ACB8-31E45F99E935}" type="pres">
      <dgm:prSet presAssocID="{6EF40F88-C9AB-407D-974F-9377ABC847A6}" presName="hierChild4" presStyleCnt="0"/>
      <dgm:spPr/>
    </dgm:pt>
  </dgm:ptLst>
  <dgm:cxnLst>
    <dgm:cxn modelId="{EF3E140A-874A-4366-8B28-A44F95B34270}" type="presOf" srcId="{595FA39B-666E-488C-B3B1-E4AD38573883}" destId="{E274C6B5-4514-46CB-B114-229305441D98}" srcOrd="0" destOrd="0" presId="urn:microsoft.com/office/officeart/2005/8/layout/hierarchy1"/>
    <dgm:cxn modelId="{C994990A-1520-4FCB-B9B6-3D84CBCF541F}" type="presOf" srcId="{4ADEA3A6-D9FE-483B-B0E1-31ACFE15BB33}" destId="{C2C9300C-1C0F-49BC-BB65-A8C1F9611284}" srcOrd="0" destOrd="0" presId="urn:microsoft.com/office/officeart/2005/8/layout/hierarchy1"/>
    <dgm:cxn modelId="{0796110D-8BE4-4791-A1FD-37C1BBD4B36F}" srcId="{73EC1DDE-ABCF-401E-855E-8BEA99F0A674}" destId="{1E9EA1A7-8E67-4250-BF54-F1D9AFB08DB8}" srcOrd="0" destOrd="0" parTransId="{626B5D73-2161-4F92-8993-2AE1782193EC}" sibTransId="{0AD46B88-70F5-422E-8C38-AA534C8943D3}"/>
    <dgm:cxn modelId="{5DF43E10-E399-4704-B6AE-2A6D898F2C5C}" type="presOf" srcId="{45102038-7E82-4530-A7B7-DF3DADDA8BC6}" destId="{3B2C94F7-2C6B-4153-901E-BDF095F5C7D0}" srcOrd="0" destOrd="0" presId="urn:microsoft.com/office/officeart/2005/8/layout/hierarchy1"/>
    <dgm:cxn modelId="{64F6B410-B48F-4138-B23E-E3355D2F5403}" type="presOf" srcId="{26E12EC9-24D6-4D25-B00A-1EFD05104A83}" destId="{ACFF1CB6-125A-407F-8C41-2A8FEFE238BB}" srcOrd="0" destOrd="0" presId="urn:microsoft.com/office/officeart/2005/8/layout/hierarchy1"/>
    <dgm:cxn modelId="{E893F514-81F5-4BC9-A66A-5E649620AEF6}" type="presOf" srcId="{A8E3D509-4B69-4B66-9BFF-7A883A70F276}" destId="{F68E4E7E-4C30-4175-B1FD-9A99F260E12E}" srcOrd="0" destOrd="0" presId="urn:microsoft.com/office/officeart/2005/8/layout/hierarchy1"/>
    <dgm:cxn modelId="{D7776317-67B9-4D53-B7A0-807B59E990F3}" type="presOf" srcId="{626B5D73-2161-4F92-8993-2AE1782193EC}" destId="{F97236DC-069C-4EAF-831C-7742B0C98D3A}" srcOrd="0" destOrd="0" presId="urn:microsoft.com/office/officeart/2005/8/layout/hierarchy1"/>
    <dgm:cxn modelId="{84FC311F-3608-43CE-BA8C-683D709B4C51}" type="presOf" srcId="{D9573F50-A005-4F19-8A4C-50C5F0D5E8FB}" destId="{68BA01EC-43C0-40ED-B5C0-5B179CE1E1E7}" srcOrd="0" destOrd="0" presId="urn:microsoft.com/office/officeart/2005/8/layout/hierarchy1"/>
    <dgm:cxn modelId="{4ECFF123-FED0-4991-9F2C-1E90046FA1E6}" type="presOf" srcId="{3252C150-9EBC-4B25-9549-4212F23B076B}" destId="{E993334D-E792-4FC8-AD9A-D8127FB62375}" srcOrd="0" destOrd="0" presId="urn:microsoft.com/office/officeart/2005/8/layout/hierarchy1"/>
    <dgm:cxn modelId="{2A01FC2A-C898-4B60-9F24-3FC1035E01C1}" srcId="{595FA39B-666E-488C-B3B1-E4AD38573883}" destId="{B09678B3-5A26-44F1-8153-404AAF47CE5B}" srcOrd="0" destOrd="0" parTransId="{2544B2B0-E480-4460-A53F-24CC61CC2AAD}" sibTransId="{AF9EF37F-5BB1-4929-8B0D-878F1E026ECA}"/>
    <dgm:cxn modelId="{78E1CE2B-089A-4B35-97E3-FFBC9A9BB498}" srcId="{6C49569A-4215-4298-8ABD-45A70ACBE201}" destId="{73EC1DDE-ABCF-401E-855E-8BEA99F0A674}" srcOrd="0" destOrd="0" parTransId="{D8EAB49C-CA56-4BA1-A471-D4DBFCF3BACB}" sibTransId="{47A75BF8-82F2-4946-AB45-249017519080}"/>
    <dgm:cxn modelId="{B67A7231-BA17-4B2D-8AD5-C33CD543889B}" type="presOf" srcId="{62DD6A97-2B1C-4006-92E7-37951B7E1E15}" destId="{37FC4E71-E0EC-428D-AFBF-FEE0BE42C69F}" srcOrd="0" destOrd="0" presId="urn:microsoft.com/office/officeart/2005/8/layout/hierarchy1"/>
    <dgm:cxn modelId="{CC948B31-B815-4E33-AA2E-4EFF1D36FE21}" type="presOf" srcId="{0BD367C8-9610-4A32-A666-2AD2F428AE55}" destId="{D949A733-D908-4345-9841-0D50D038DF0D}" srcOrd="0" destOrd="0" presId="urn:microsoft.com/office/officeart/2005/8/layout/hierarchy1"/>
    <dgm:cxn modelId="{06B42532-06E7-4561-BCF1-60E71C7912FF}" type="presOf" srcId="{63A392D5-0174-471E-9996-89C4B9FF23B6}" destId="{106833A4-C4DA-4474-9D54-7F7AED1ED18D}" srcOrd="0" destOrd="0" presId="urn:microsoft.com/office/officeart/2005/8/layout/hierarchy1"/>
    <dgm:cxn modelId="{40296932-40A0-4A04-9ACD-A0B5770C869E}" srcId="{73EC1DDE-ABCF-401E-855E-8BEA99F0A674}" destId="{3252C150-9EBC-4B25-9549-4212F23B076B}" srcOrd="7" destOrd="0" parTransId="{26E12EC9-24D6-4D25-B00A-1EFD05104A83}" sibTransId="{F0A1035A-3E78-46C3-AF73-AD6E49436C32}"/>
    <dgm:cxn modelId="{1B87E83A-AEE9-4371-B6D1-5103634DC8C6}" type="presOf" srcId="{432A240D-18C7-49A2-AE49-A45AF750FE11}" destId="{ACBC656F-3BEB-43AE-866E-C4EF81FA4351}" srcOrd="0" destOrd="0" presId="urn:microsoft.com/office/officeart/2005/8/layout/hierarchy1"/>
    <dgm:cxn modelId="{5CA90C3F-7114-41CE-8E19-210D2C013DF8}" srcId="{73EC1DDE-ABCF-401E-855E-8BEA99F0A674}" destId="{595FA39B-666E-488C-B3B1-E4AD38573883}" srcOrd="2" destOrd="0" parTransId="{E85AF5A9-8001-433C-892C-6338720A805D}" sibTransId="{EC6917F1-E757-496C-9492-EBD916A6EE5A}"/>
    <dgm:cxn modelId="{7BF7D43F-FA04-4EF5-9299-DF89B8878236}" type="presOf" srcId="{B403C204-57EF-4767-84C0-853926538FDA}" destId="{5322EB7A-815B-4B64-AEDF-30BDA942B6EB}" srcOrd="0" destOrd="0" presId="urn:microsoft.com/office/officeart/2005/8/layout/hierarchy1"/>
    <dgm:cxn modelId="{1F55425E-9023-4BE1-AD4D-DED6843FECC3}" type="presOf" srcId="{7BBD33D3-C58F-480F-BBB9-46C5B7ED9DCA}" destId="{BA5CF142-9B9C-4E02-88EC-6C0257B72944}" srcOrd="0" destOrd="0" presId="urn:microsoft.com/office/officeart/2005/8/layout/hierarchy1"/>
    <dgm:cxn modelId="{4577795E-B25B-447F-958A-44C64B8B0180}" type="presOf" srcId="{068B6628-1D67-4B7F-8A54-F43ADFE1F247}" destId="{1BEA8B10-6709-49E7-A81C-F13E6ADE4E56}" srcOrd="0" destOrd="0" presId="urn:microsoft.com/office/officeart/2005/8/layout/hierarchy1"/>
    <dgm:cxn modelId="{35BC825F-04EE-4F5E-809D-642B40724CD8}" type="presOf" srcId="{41AC39DC-FCC3-4DE4-AF99-7A8C60D3E589}" destId="{2779B808-C6BA-4D18-B7D2-6A7C0B453769}" srcOrd="0" destOrd="0" presId="urn:microsoft.com/office/officeart/2005/8/layout/hierarchy1"/>
    <dgm:cxn modelId="{0044F661-9481-458C-9FC7-101E67726887}" srcId="{73EC1DDE-ABCF-401E-855E-8BEA99F0A674}" destId="{63A392D5-0174-471E-9996-89C4B9FF23B6}" srcOrd="9" destOrd="0" parTransId="{8A843315-FBD9-4A7B-AA6C-91031B02341E}" sibTransId="{E9F96756-52D9-4511-8F34-343B9E6FEF2A}"/>
    <dgm:cxn modelId="{C56AEF62-1BBE-4BD2-AED5-7B0825D6877D}" srcId="{27A7941F-530D-4F39-B5C8-3D9D9F809415}" destId="{068B6628-1D67-4B7F-8A54-F43ADFE1F247}" srcOrd="0" destOrd="0" parTransId="{C13D281C-8500-4BBD-9AB9-1016E3B8DBC6}" sibTransId="{7C93E992-989D-44F5-A634-691548AD3BF2}"/>
    <dgm:cxn modelId="{E2381143-ADFF-4972-AFAB-DA3659DD6C18}" type="presOf" srcId="{B0FE901E-4DCC-492C-88F1-A56225A269D4}" destId="{FBBB8E9E-EEA5-4F18-AFFE-0EDEFF9F2F5D}" srcOrd="0" destOrd="0" presId="urn:microsoft.com/office/officeart/2005/8/layout/hierarchy1"/>
    <dgm:cxn modelId="{49334744-4237-453C-8833-452A1E055581}" srcId="{432A240D-18C7-49A2-AE49-A45AF750FE11}" destId="{3127C645-9689-46E3-88F7-5DC47F534ACC}" srcOrd="0" destOrd="0" parTransId="{D0937FF7-1303-44F3-A78A-EC286A2D3036}" sibTransId="{ABEB6C37-475B-4E9C-A4CD-64A4CF90406C}"/>
    <dgm:cxn modelId="{D297E648-843D-4974-A9A8-C8DF5D09110B}" type="presOf" srcId="{96085CFE-4E38-4D8E-8175-308C78988118}" destId="{5D845186-56A2-4414-9AC6-8096547BA8B8}" srcOrd="0" destOrd="0" presId="urn:microsoft.com/office/officeart/2005/8/layout/hierarchy1"/>
    <dgm:cxn modelId="{31A6F96A-2171-4ADA-93EF-BA67A07330CC}" type="presOf" srcId="{C13D281C-8500-4BBD-9AB9-1016E3B8DBC6}" destId="{CDB02BC6-29E0-4E36-9E17-BA79DCDEDD2B}" srcOrd="0" destOrd="0" presId="urn:microsoft.com/office/officeart/2005/8/layout/hierarchy1"/>
    <dgm:cxn modelId="{E2F8024E-8422-4D0C-BB2E-C04AB8229BF3}" type="presOf" srcId="{9E78129A-8AB1-46D7-9ABB-1A1EB7B03BAB}" destId="{0F5B380E-6530-4F6A-A7B8-4C092DB53835}" srcOrd="0" destOrd="0" presId="urn:microsoft.com/office/officeart/2005/8/layout/hierarchy1"/>
    <dgm:cxn modelId="{1EAA986F-7851-4B0F-B254-0221305653EB}" type="presOf" srcId="{15046C58-B98A-40F0-A960-7C9295BD9520}" destId="{AED27111-80CE-4C02-80CC-B50221F3FEDC}" srcOrd="0" destOrd="0" presId="urn:microsoft.com/office/officeart/2005/8/layout/hierarchy1"/>
    <dgm:cxn modelId="{B139B96F-75BD-4372-ADDB-B7CB4D7327FB}" srcId="{63A392D5-0174-471E-9996-89C4B9FF23B6}" destId="{6EF40F88-C9AB-407D-974F-9377ABC847A6}" srcOrd="0" destOrd="0" parTransId="{41AC39DC-FCC3-4DE4-AF99-7A8C60D3E589}" sibTransId="{C7EB0735-9971-4137-833A-FC8030637CED}"/>
    <dgm:cxn modelId="{D36FCA6F-769C-4843-A9E4-78F10A839F31}" type="presOf" srcId="{EE9215C1-122F-4119-8E12-F62054553097}" destId="{2FE4D69C-020B-41C0-BE08-4A0E1B42FBAF}" srcOrd="0" destOrd="0" presId="urn:microsoft.com/office/officeart/2005/8/layout/hierarchy1"/>
    <dgm:cxn modelId="{3F45E371-3154-4F47-9722-7DBC6230119C}" type="presOf" srcId="{8A843315-FBD9-4A7B-AA6C-91031B02341E}" destId="{07EFF708-23AC-4C6C-949C-293139313AB7}" srcOrd="0" destOrd="0" presId="urn:microsoft.com/office/officeart/2005/8/layout/hierarchy1"/>
    <dgm:cxn modelId="{D1882254-025F-4FAB-8669-A7EA92B7DAB0}" type="presOf" srcId="{C43C72FB-209A-43E7-8AC2-74FFA0BDC289}" destId="{EBC15EA4-A83F-4ECD-8F8C-00C91A9AF848}" srcOrd="0" destOrd="0" presId="urn:microsoft.com/office/officeart/2005/8/layout/hierarchy1"/>
    <dgm:cxn modelId="{E4092F88-7EAA-4955-9F63-5E848B28FBAE}" srcId="{73EC1DDE-ABCF-401E-855E-8BEA99F0A674}" destId="{62DD6A97-2B1C-4006-92E7-37951B7E1E15}" srcOrd="1" destOrd="0" parTransId="{85C612D3-98AE-4729-9426-6302BBA6A51B}" sibTransId="{F4A6A942-B709-4F8F-94B3-5FB37AC3C977}"/>
    <dgm:cxn modelId="{765BBC8E-FB65-4D5C-A410-93A90BF089E8}" srcId="{7BBD33D3-C58F-480F-BBB9-46C5B7ED9DCA}" destId="{B49F6E3E-2FD6-4DF5-B911-5A7008EF6AEE}" srcOrd="0" destOrd="0" parTransId="{C18A2DF7-747E-4B48-8468-17106084BB05}" sibTransId="{26D549DE-405D-479C-AC9B-62E6DBDCBCC0}"/>
    <dgm:cxn modelId="{BF1F428F-DD00-4ED0-9081-2F8BC155CEF4}" srcId="{62DD6A97-2B1C-4006-92E7-37951B7E1E15}" destId="{9E78129A-8AB1-46D7-9ABB-1A1EB7B03BAB}" srcOrd="0" destOrd="0" parTransId="{630B652A-28A9-4CF4-BE90-7716B8B047CD}" sibTransId="{A58458FE-ABE8-4B4B-9661-944435074650}"/>
    <dgm:cxn modelId="{F99F0196-EDC5-4F19-97BA-D4A4AE34DF56}" type="presOf" srcId="{27A7941F-530D-4F39-B5C8-3D9D9F809415}" destId="{C287BFE8-5D79-42B3-BF1C-6B082A6ADFD1}" srcOrd="0" destOrd="0" presId="urn:microsoft.com/office/officeart/2005/8/layout/hierarchy1"/>
    <dgm:cxn modelId="{B5A4C696-CE96-47EB-A706-7B88FD5DF1B2}" type="presOf" srcId="{B09678B3-5A26-44F1-8153-404AAF47CE5B}" destId="{5CC68FA7-9352-4DEF-AD91-BFD8D05A8354}" srcOrd="0" destOrd="0" presId="urn:microsoft.com/office/officeart/2005/8/layout/hierarchy1"/>
    <dgm:cxn modelId="{16CA1599-CAC6-48C3-A9A7-C45F66AFCD30}" srcId="{73EC1DDE-ABCF-401E-855E-8BEA99F0A674}" destId="{7BBD33D3-C58F-480F-BBB9-46C5B7ED9DCA}" srcOrd="4" destOrd="0" parTransId="{96085CFE-4E38-4D8E-8175-308C78988118}" sibTransId="{B67B2C9B-A5A6-478A-8A34-3A9AD82B4871}"/>
    <dgm:cxn modelId="{FEB80B9E-BC0A-40C6-BCD7-F051D4D46561}" type="presOf" srcId="{2544B2B0-E480-4460-A53F-24CC61CC2AAD}" destId="{EFDACDA4-DB08-42CD-85D9-BE15231CAB9B}" srcOrd="0" destOrd="0" presId="urn:microsoft.com/office/officeart/2005/8/layout/hierarchy1"/>
    <dgm:cxn modelId="{011B1AA4-3B09-47E2-8950-B29C5FC939E0}" type="presOf" srcId="{6EF40F88-C9AB-407D-974F-9377ABC847A6}" destId="{1C574F5E-2F4B-44D4-B538-253997744CD7}" srcOrd="0" destOrd="0" presId="urn:microsoft.com/office/officeart/2005/8/layout/hierarchy1"/>
    <dgm:cxn modelId="{D5CC4DA4-7494-4D7D-A199-35C1E852984A}" type="presOf" srcId="{51F7111A-B67E-4C8D-B1BB-C3EE6906A333}" destId="{881C5508-A9A6-4070-BE60-4790EBB1DA49}" srcOrd="0" destOrd="0" presId="urn:microsoft.com/office/officeart/2005/8/layout/hierarchy1"/>
    <dgm:cxn modelId="{8BA2C7A7-BB1B-408A-B7C6-3E381C9C03E4}" type="presOf" srcId="{73EC1DDE-ABCF-401E-855E-8BEA99F0A674}" destId="{AC7221A0-405D-4602-A765-2333A18C5BEF}" srcOrd="0" destOrd="0" presId="urn:microsoft.com/office/officeart/2005/8/layout/hierarchy1"/>
    <dgm:cxn modelId="{CAA53FAA-6BA5-4FCA-A03C-D49F62A2F60A}" srcId="{15046C58-B98A-40F0-A960-7C9295BD9520}" destId="{51F7111A-B67E-4C8D-B1BB-C3EE6906A333}" srcOrd="0" destOrd="0" parTransId="{B0FE901E-4DCC-492C-88F1-A56225A269D4}" sibTransId="{D2468EAC-C438-464B-B916-020DE49BD842}"/>
    <dgm:cxn modelId="{446ABBAB-4A93-4D5D-B4C2-7396427BD3A1}" srcId="{73EC1DDE-ABCF-401E-855E-8BEA99F0A674}" destId="{7DD45CC1-ACC5-4F1A-B8DD-4B2F5ED40635}" srcOrd="3" destOrd="0" parTransId="{45102038-7E82-4530-A7B7-DF3DADDA8BC6}" sibTransId="{C8F9DE05-2189-42AC-8033-5B104000B865}"/>
    <dgm:cxn modelId="{CBDA9EB0-0DED-40D4-AE95-911EEBF81EA5}" srcId="{1E9EA1A7-8E67-4250-BF54-F1D9AFB08DB8}" destId="{4ADEA3A6-D9FE-483B-B0E1-31ACFE15BB33}" srcOrd="0" destOrd="0" parTransId="{DC1067AA-795D-442A-AB9A-7E759206EAF5}" sibTransId="{31150853-4E54-4E17-A080-5C3CFA3A64A7}"/>
    <dgm:cxn modelId="{DA65E3B0-9A27-4610-8A1B-421579AC2359}" type="presOf" srcId="{30E2AD98-B657-4105-9212-34BECD7EC417}" destId="{2BE1EF85-2165-4F2C-B569-94F3C76B7E6D}" srcOrd="0" destOrd="0" presId="urn:microsoft.com/office/officeart/2005/8/layout/hierarchy1"/>
    <dgm:cxn modelId="{88C08BB4-90CE-424A-8DA2-AE1A7099AF4F}" type="presOf" srcId="{B49F6E3E-2FD6-4DF5-B911-5A7008EF6AEE}" destId="{0B8B4DC1-C9BE-4C9A-A57D-4394CD4A9DF1}" srcOrd="0" destOrd="0" presId="urn:microsoft.com/office/officeart/2005/8/layout/hierarchy1"/>
    <dgm:cxn modelId="{251AAFB8-6625-4C15-AA2A-0561982DACA5}" srcId="{7DD45CC1-ACC5-4F1A-B8DD-4B2F5ED40635}" destId="{A8E3D509-4B69-4B66-9BFF-7A883A70F276}" srcOrd="0" destOrd="0" parTransId="{B403C204-57EF-4767-84C0-853926538FDA}" sibTransId="{7DC2DC20-9223-4ABB-A93E-DD7F26221DA8}"/>
    <dgm:cxn modelId="{B444E9B8-6C17-466D-BA73-530AE79211D9}" srcId="{73EC1DDE-ABCF-401E-855E-8BEA99F0A674}" destId="{432A240D-18C7-49A2-AE49-A45AF750FE11}" srcOrd="6" destOrd="0" parTransId="{30E2AD98-B657-4105-9212-34BECD7EC417}" sibTransId="{E052669A-0B2E-4770-9E32-1F8C57CC717A}"/>
    <dgm:cxn modelId="{EE93DBBC-FAE1-4917-A6D8-3F6E18DB562F}" srcId="{3252C150-9EBC-4B25-9549-4212F23B076B}" destId="{C43C72FB-209A-43E7-8AC2-74FFA0BDC289}" srcOrd="0" destOrd="0" parTransId="{D9573F50-A005-4F19-8A4C-50C5F0D5E8FB}" sibTransId="{A5B11749-9646-48D4-8FD9-8A51E3D06432}"/>
    <dgm:cxn modelId="{6F70FEBC-737E-4B67-BD51-308C016AA743}" type="presOf" srcId="{3127C645-9689-46E3-88F7-5DC47F534ACC}" destId="{DE6BC7C0-1899-4891-8186-B782CE631185}" srcOrd="0" destOrd="0" presId="urn:microsoft.com/office/officeart/2005/8/layout/hierarchy1"/>
    <dgm:cxn modelId="{2727BBC6-328F-4E6B-A1CC-9C30801228D4}" type="presOf" srcId="{E85AF5A9-8001-433C-892C-6338720A805D}" destId="{2A630D87-D730-4798-9723-72FCBCBD54F4}" srcOrd="0" destOrd="0" presId="urn:microsoft.com/office/officeart/2005/8/layout/hierarchy1"/>
    <dgm:cxn modelId="{4B10E3C6-A37F-4503-8859-49C0279618DB}" type="presOf" srcId="{630B652A-28A9-4CF4-BE90-7716B8B047CD}" destId="{954D1AE8-59F6-438F-BDE0-17F4EFB586DF}" srcOrd="0" destOrd="0" presId="urn:microsoft.com/office/officeart/2005/8/layout/hierarchy1"/>
    <dgm:cxn modelId="{E9753CC9-E7A4-459F-9D22-7349A95B7FF5}" type="presOf" srcId="{7DD45CC1-ACC5-4F1A-B8DD-4B2F5ED40635}" destId="{9D6FD523-D893-43CA-9C39-DA5AD4393EE2}" srcOrd="0" destOrd="0" presId="urn:microsoft.com/office/officeart/2005/8/layout/hierarchy1"/>
    <dgm:cxn modelId="{761E6CC9-71A0-441E-9CD7-B16C75C40051}" srcId="{73EC1DDE-ABCF-401E-855E-8BEA99F0A674}" destId="{15046C58-B98A-40F0-A960-7C9295BD9520}" srcOrd="8" destOrd="0" parTransId="{EE9215C1-122F-4119-8E12-F62054553097}" sibTransId="{4F0D054D-AFBB-4DAF-B06A-506955A6680E}"/>
    <dgm:cxn modelId="{13BA1FCE-BAE7-458F-91FC-13022B7F11C7}" type="presOf" srcId="{DC1067AA-795D-442A-AB9A-7E759206EAF5}" destId="{CFDC4D94-6427-439D-8497-C1FF0F4F0B8A}" srcOrd="0" destOrd="0" presId="urn:microsoft.com/office/officeart/2005/8/layout/hierarchy1"/>
    <dgm:cxn modelId="{D2DE85D5-2C6E-4155-B1C2-F7C3F5EACB72}" type="presOf" srcId="{85C612D3-98AE-4729-9426-6302BBA6A51B}" destId="{A5D50A94-9261-4F95-9885-F36130E6B88E}" srcOrd="0" destOrd="0" presId="urn:microsoft.com/office/officeart/2005/8/layout/hierarchy1"/>
    <dgm:cxn modelId="{8DA9DCDA-1FDA-488C-A858-2EC1AF70A511}" type="presOf" srcId="{D0937FF7-1303-44F3-A78A-EC286A2D3036}" destId="{BE47B3F9-AB54-47D8-87A0-33704A08B6F5}" srcOrd="0" destOrd="0" presId="urn:microsoft.com/office/officeart/2005/8/layout/hierarchy1"/>
    <dgm:cxn modelId="{EEA778DD-3FEE-4115-BA26-6882954FEF22}" type="presOf" srcId="{1E9EA1A7-8E67-4250-BF54-F1D9AFB08DB8}" destId="{17CAE29B-F8AA-428E-AE7F-A8FCD5B478B3}" srcOrd="0" destOrd="0" presId="urn:microsoft.com/office/officeart/2005/8/layout/hierarchy1"/>
    <dgm:cxn modelId="{3C7228DF-FB79-4EF0-B30D-D983630AC3F9}" type="presOf" srcId="{C18A2DF7-747E-4B48-8468-17106084BB05}" destId="{BE835536-31FB-4F12-AA81-A955F5E043D2}" srcOrd="0" destOrd="0" presId="urn:microsoft.com/office/officeart/2005/8/layout/hierarchy1"/>
    <dgm:cxn modelId="{9E0AE7E9-2BC5-416E-89E6-ECE860DABCA8}" srcId="{73EC1DDE-ABCF-401E-855E-8BEA99F0A674}" destId="{27A7941F-530D-4F39-B5C8-3D9D9F809415}" srcOrd="5" destOrd="0" parTransId="{0BD367C8-9610-4A32-A666-2AD2F428AE55}" sibTransId="{755FFF95-5462-4020-BE19-70F76447FA5D}"/>
    <dgm:cxn modelId="{A17905F4-AE78-48FB-A6FB-28537CCD09F4}" type="presOf" srcId="{6C49569A-4215-4298-8ABD-45A70ACBE201}" destId="{F47A77B9-7996-4AC8-A735-B54537FB3F39}" srcOrd="0" destOrd="0" presId="urn:microsoft.com/office/officeart/2005/8/layout/hierarchy1"/>
    <dgm:cxn modelId="{D6AB5FF1-AF4B-43B2-AEE6-02451B12B5F9}" type="presParOf" srcId="{F47A77B9-7996-4AC8-A735-B54537FB3F39}" destId="{527601EA-C6D3-4DBC-B0C5-7AEA6D9C0A37}" srcOrd="0" destOrd="0" presId="urn:microsoft.com/office/officeart/2005/8/layout/hierarchy1"/>
    <dgm:cxn modelId="{FB08E90E-66B8-4A63-8702-605BB5F9EA0A}" type="presParOf" srcId="{527601EA-C6D3-4DBC-B0C5-7AEA6D9C0A37}" destId="{01519C58-21C9-4FFC-8504-5B718C02ADDA}" srcOrd="0" destOrd="0" presId="urn:microsoft.com/office/officeart/2005/8/layout/hierarchy1"/>
    <dgm:cxn modelId="{57642B3E-B17D-49C0-BEF9-F63C8A0463C9}" type="presParOf" srcId="{01519C58-21C9-4FFC-8504-5B718C02ADDA}" destId="{011B1E87-B132-42AF-8E14-EAA993F00D6E}" srcOrd="0" destOrd="0" presId="urn:microsoft.com/office/officeart/2005/8/layout/hierarchy1"/>
    <dgm:cxn modelId="{430034DF-C77A-4F1E-B85D-EC30E5736323}" type="presParOf" srcId="{01519C58-21C9-4FFC-8504-5B718C02ADDA}" destId="{AC7221A0-405D-4602-A765-2333A18C5BEF}" srcOrd="1" destOrd="0" presId="urn:microsoft.com/office/officeart/2005/8/layout/hierarchy1"/>
    <dgm:cxn modelId="{774E0ED3-38D7-4F09-893D-7E45E13C0819}" type="presParOf" srcId="{527601EA-C6D3-4DBC-B0C5-7AEA6D9C0A37}" destId="{3EFDE09F-4DEB-4A52-BF23-EF28D8E8F83F}" srcOrd="1" destOrd="0" presId="urn:microsoft.com/office/officeart/2005/8/layout/hierarchy1"/>
    <dgm:cxn modelId="{FD11FAA0-7428-4314-A50F-DE2AD369A150}" type="presParOf" srcId="{3EFDE09F-4DEB-4A52-BF23-EF28D8E8F83F}" destId="{F97236DC-069C-4EAF-831C-7742B0C98D3A}" srcOrd="0" destOrd="0" presId="urn:microsoft.com/office/officeart/2005/8/layout/hierarchy1"/>
    <dgm:cxn modelId="{2756658E-53B9-4C55-93B7-554F10E098DE}" type="presParOf" srcId="{3EFDE09F-4DEB-4A52-BF23-EF28D8E8F83F}" destId="{9BDEDCF0-F281-4FEF-AC56-143B215FDA04}" srcOrd="1" destOrd="0" presId="urn:microsoft.com/office/officeart/2005/8/layout/hierarchy1"/>
    <dgm:cxn modelId="{7DBAC8B5-0CAB-4C10-9B0F-F24CD48D36E8}" type="presParOf" srcId="{9BDEDCF0-F281-4FEF-AC56-143B215FDA04}" destId="{FB9BFE8F-8EE8-48D9-A549-2EDE4E1DB7B5}" srcOrd="0" destOrd="0" presId="urn:microsoft.com/office/officeart/2005/8/layout/hierarchy1"/>
    <dgm:cxn modelId="{3DF1FD9C-4E62-42E1-A15B-E47479F12FD4}" type="presParOf" srcId="{FB9BFE8F-8EE8-48D9-A549-2EDE4E1DB7B5}" destId="{278DE389-BF31-4EA1-85B1-5732330C1BFB}" srcOrd="0" destOrd="0" presId="urn:microsoft.com/office/officeart/2005/8/layout/hierarchy1"/>
    <dgm:cxn modelId="{604ACFC9-42AA-4C44-8CF6-735A3A9CD7C5}" type="presParOf" srcId="{FB9BFE8F-8EE8-48D9-A549-2EDE4E1DB7B5}" destId="{17CAE29B-F8AA-428E-AE7F-A8FCD5B478B3}" srcOrd="1" destOrd="0" presId="urn:microsoft.com/office/officeart/2005/8/layout/hierarchy1"/>
    <dgm:cxn modelId="{6840CCD4-F157-463F-9B56-8B3C565D0397}" type="presParOf" srcId="{9BDEDCF0-F281-4FEF-AC56-143B215FDA04}" destId="{ECA2E0D8-B7F0-4D4F-974E-D9E65C17698A}" srcOrd="1" destOrd="0" presId="urn:microsoft.com/office/officeart/2005/8/layout/hierarchy1"/>
    <dgm:cxn modelId="{8D1935F5-7B22-4C09-8949-0F6AE26A6300}" type="presParOf" srcId="{ECA2E0D8-B7F0-4D4F-974E-D9E65C17698A}" destId="{CFDC4D94-6427-439D-8497-C1FF0F4F0B8A}" srcOrd="0" destOrd="0" presId="urn:microsoft.com/office/officeart/2005/8/layout/hierarchy1"/>
    <dgm:cxn modelId="{C229DE7C-86C4-44C2-8E14-8DF3AC73724B}" type="presParOf" srcId="{ECA2E0D8-B7F0-4D4F-974E-D9E65C17698A}" destId="{66E97CB1-216E-4B45-A57E-234C707643AF}" srcOrd="1" destOrd="0" presId="urn:microsoft.com/office/officeart/2005/8/layout/hierarchy1"/>
    <dgm:cxn modelId="{F88F2A1A-EB55-4F94-B289-0D7527A0FD5E}" type="presParOf" srcId="{66E97CB1-216E-4B45-A57E-234C707643AF}" destId="{3E8B0A92-CD4B-4230-938A-C167E32ABB8A}" srcOrd="0" destOrd="0" presId="urn:microsoft.com/office/officeart/2005/8/layout/hierarchy1"/>
    <dgm:cxn modelId="{6A158F73-2FEA-4F72-9858-CBADF749FEB9}" type="presParOf" srcId="{3E8B0A92-CD4B-4230-938A-C167E32ABB8A}" destId="{2210143B-605E-4917-B114-48CA951CECD5}" srcOrd="0" destOrd="0" presId="urn:microsoft.com/office/officeart/2005/8/layout/hierarchy1"/>
    <dgm:cxn modelId="{8659DE83-724E-42DE-ACC9-397637B9AF43}" type="presParOf" srcId="{3E8B0A92-CD4B-4230-938A-C167E32ABB8A}" destId="{C2C9300C-1C0F-49BC-BB65-A8C1F9611284}" srcOrd="1" destOrd="0" presId="urn:microsoft.com/office/officeart/2005/8/layout/hierarchy1"/>
    <dgm:cxn modelId="{8BB408E8-51F8-43F6-8CBD-FA195E64E593}" type="presParOf" srcId="{66E97CB1-216E-4B45-A57E-234C707643AF}" destId="{79534E9A-0228-4D23-9EC5-9A327562102F}" srcOrd="1" destOrd="0" presId="urn:microsoft.com/office/officeart/2005/8/layout/hierarchy1"/>
    <dgm:cxn modelId="{37D889AE-C70C-49B4-8543-B34D12ED72E9}" type="presParOf" srcId="{3EFDE09F-4DEB-4A52-BF23-EF28D8E8F83F}" destId="{A5D50A94-9261-4F95-9885-F36130E6B88E}" srcOrd="2" destOrd="0" presId="urn:microsoft.com/office/officeart/2005/8/layout/hierarchy1"/>
    <dgm:cxn modelId="{6A39F2C2-B484-4713-BB0A-49B0FE8279BA}" type="presParOf" srcId="{3EFDE09F-4DEB-4A52-BF23-EF28D8E8F83F}" destId="{0F578D4D-5AC9-4D5E-8390-BBC491E16453}" srcOrd="3" destOrd="0" presId="urn:microsoft.com/office/officeart/2005/8/layout/hierarchy1"/>
    <dgm:cxn modelId="{EB6E7D95-D6A4-4728-8D95-277B9ABAC807}" type="presParOf" srcId="{0F578D4D-5AC9-4D5E-8390-BBC491E16453}" destId="{3F7D4D31-F711-4C1C-83D3-4741A04EED06}" srcOrd="0" destOrd="0" presId="urn:microsoft.com/office/officeart/2005/8/layout/hierarchy1"/>
    <dgm:cxn modelId="{3AE8B242-228F-4F52-B43D-BEEC58B7C42B}" type="presParOf" srcId="{3F7D4D31-F711-4C1C-83D3-4741A04EED06}" destId="{51443711-2FD7-4B1B-AE86-45727F7B051B}" srcOrd="0" destOrd="0" presId="urn:microsoft.com/office/officeart/2005/8/layout/hierarchy1"/>
    <dgm:cxn modelId="{B1C279B4-842F-4233-9D8C-B27099C5A9F6}" type="presParOf" srcId="{3F7D4D31-F711-4C1C-83D3-4741A04EED06}" destId="{37FC4E71-E0EC-428D-AFBF-FEE0BE42C69F}" srcOrd="1" destOrd="0" presId="urn:microsoft.com/office/officeart/2005/8/layout/hierarchy1"/>
    <dgm:cxn modelId="{390A2D3B-5013-416C-93A4-AB62B330E123}" type="presParOf" srcId="{0F578D4D-5AC9-4D5E-8390-BBC491E16453}" destId="{BD525A30-3F2A-4EC1-848E-780BBE2A84AF}" srcOrd="1" destOrd="0" presId="urn:microsoft.com/office/officeart/2005/8/layout/hierarchy1"/>
    <dgm:cxn modelId="{A96EAF34-DA9D-41C7-8D9C-844C23AB5A85}" type="presParOf" srcId="{BD525A30-3F2A-4EC1-848E-780BBE2A84AF}" destId="{954D1AE8-59F6-438F-BDE0-17F4EFB586DF}" srcOrd="0" destOrd="0" presId="urn:microsoft.com/office/officeart/2005/8/layout/hierarchy1"/>
    <dgm:cxn modelId="{8C23217A-7E8A-417A-B955-61DA7CB5ED4F}" type="presParOf" srcId="{BD525A30-3F2A-4EC1-848E-780BBE2A84AF}" destId="{65672F92-1524-413E-A90F-0034FCD65753}" srcOrd="1" destOrd="0" presId="urn:microsoft.com/office/officeart/2005/8/layout/hierarchy1"/>
    <dgm:cxn modelId="{4D7D24D4-44C2-443A-8CF2-D33B6727F770}" type="presParOf" srcId="{65672F92-1524-413E-A90F-0034FCD65753}" destId="{8CD01565-233A-4C95-9616-72CC78744F83}" srcOrd="0" destOrd="0" presId="urn:microsoft.com/office/officeart/2005/8/layout/hierarchy1"/>
    <dgm:cxn modelId="{798C130D-0927-4FF6-9884-7F0144B2C3A9}" type="presParOf" srcId="{8CD01565-233A-4C95-9616-72CC78744F83}" destId="{7019FEC4-944E-43F3-836F-DBAFEFA8295C}" srcOrd="0" destOrd="0" presId="urn:microsoft.com/office/officeart/2005/8/layout/hierarchy1"/>
    <dgm:cxn modelId="{F672DCB0-49C0-4375-B4A6-7BA46609A5CF}" type="presParOf" srcId="{8CD01565-233A-4C95-9616-72CC78744F83}" destId="{0F5B380E-6530-4F6A-A7B8-4C092DB53835}" srcOrd="1" destOrd="0" presId="urn:microsoft.com/office/officeart/2005/8/layout/hierarchy1"/>
    <dgm:cxn modelId="{3B262D1F-A13D-4F8A-A710-4A47ECC3C337}" type="presParOf" srcId="{65672F92-1524-413E-A90F-0034FCD65753}" destId="{128C665A-01F0-4203-B26D-7D0679D3B777}" srcOrd="1" destOrd="0" presId="urn:microsoft.com/office/officeart/2005/8/layout/hierarchy1"/>
    <dgm:cxn modelId="{C877FD8B-B769-4183-8381-91A321A6463B}" type="presParOf" srcId="{3EFDE09F-4DEB-4A52-BF23-EF28D8E8F83F}" destId="{2A630D87-D730-4798-9723-72FCBCBD54F4}" srcOrd="4" destOrd="0" presId="urn:microsoft.com/office/officeart/2005/8/layout/hierarchy1"/>
    <dgm:cxn modelId="{D2F9F4FD-9C2D-4673-A9B0-E57FC74D9F66}" type="presParOf" srcId="{3EFDE09F-4DEB-4A52-BF23-EF28D8E8F83F}" destId="{606B1BB9-6032-40E8-B317-41584258A232}" srcOrd="5" destOrd="0" presId="urn:microsoft.com/office/officeart/2005/8/layout/hierarchy1"/>
    <dgm:cxn modelId="{C5E6F4BA-D09A-4D39-8D01-FB3845241CC5}" type="presParOf" srcId="{606B1BB9-6032-40E8-B317-41584258A232}" destId="{6E884288-DEF8-412C-B03B-308D9D715B33}" srcOrd="0" destOrd="0" presId="urn:microsoft.com/office/officeart/2005/8/layout/hierarchy1"/>
    <dgm:cxn modelId="{7665DB16-D79B-46C4-AD8F-AD3DE79FF8BE}" type="presParOf" srcId="{6E884288-DEF8-412C-B03B-308D9D715B33}" destId="{3EDEE970-A72A-46BE-B038-1A4A78D95C3A}" srcOrd="0" destOrd="0" presId="urn:microsoft.com/office/officeart/2005/8/layout/hierarchy1"/>
    <dgm:cxn modelId="{BFBF6DAE-8FBF-48D7-98BC-69AE8D001A3F}" type="presParOf" srcId="{6E884288-DEF8-412C-B03B-308D9D715B33}" destId="{E274C6B5-4514-46CB-B114-229305441D98}" srcOrd="1" destOrd="0" presId="urn:microsoft.com/office/officeart/2005/8/layout/hierarchy1"/>
    <dgm:cxn modelId="{AFD65D67-9513-436C-99B2-DA591C79C394}" type="presParOf" srcId="{606B1BB9-6032-40E8-B317-41584258A232}" destId="{CA43A6A3-14F1-4433-BD4B-9AC51A5A1806}" srcOrd="1" destOrd="0" presId="urn:microsoft.com/office/officeart/2005/8/layout/hierarchy1"/>
    <dgm:cxn modelId="{3FA473F9-0BD4-4A15-B47F-8DCCC803EC0C}" type="presParOf" srcId="{CA43A6A3-14F1-4433-BD4B-9AC51A5A1806}" destId="{EFDACDA4-DB08-42CD-85D9-BE15231CAB9B}" srcOrd="0" destOrd="0" presId="urn:microsoft.com/office/officeart/2005/8/layout/hierarchy1"/>
    <dgm:cxn modelId="{A29E2A0D-AD6E-4DCC-980D-B3E4EFED1CEF}" type="presParOf" srcId="{CA43A6A3-14F1-4433-BD4B-9AC51A5A1806}" destId="{8D79B018-8AE0-433B-8EB6-2C75513B4CE9}" srcOrd="1" destOrd="0" presId="urn:microsoft.com/office/officeart/2005/8/layout/hierarchy1"/>
    <dgm:cxn modelId="{D15E2856-98F8-4CFA-80D9-F2AEE9B4E7AD}" type="presParOf" srcId="{8D79B018-8AE0-433B-8EB6-2C75513B4CE9}" destId="{743C0F43-3F93-4CDF-82C0-9918D98DD648}" srcOrd="0" destOrd="0" presId="urn:microsoft.com/office/officeart/2005/8/layout/hierarchy1"/>
    <dgm:cxn modelId="{B7D5F7E2-FABF-4EA6-B0E0-BB5F48C64A44}" type="presParOf" srcId="{743C0F43-3F93-4CDF-82C0-9918D98DD648}" destId="{D59F6C1C-903C-4BA2-9F1D-0679235E95AE}" srcOrd="0" destOrd="0" presId="urn:microsoft.com/office/officeart/2005/8/layout/hierarchy1"/>
    <dgm:cxn modelId="{041AFAB6-AEDD-45D1-8AE9-F78C7A5D1084}" type="presParOf" srcId="{743C0F43-3F93-4CDF-82C0-9918D98DD648}" destId="{5CC68FA7-9352-4DEF-AD91-BFD8D05A8354}" srcOrd="1" destOrd="0" presId="urn:microsoft.com/office/officeart/2005/8/layout/hierarchy1"/>
    <dgm:cxn modelId="{55D7E07C-5583-40AE-8485-5CDFF101FA7D}" type="presParOf" srcId="{8D79B018-8AE0-433B-8EB6-2C75513B4CE9}" destId="{BF13632B-12A6-4F36-9FC2-468AE48F24C7}" srcOrd="1" destOrd="0" presId="urn:microsoft.com/office/officeart/2005/8/layout/hierarchy1"/>
    <dgm:cxn modelId="{B7EA5B77-7B14-4F35-8DF5-734118642398}" type="presParOf" srcId="{3EFDE09F-4DEB-4A52-BF23-EF28D8E8F83F}" destId="{3B2C94F7-2C6B-4153-901E-BDF095F5C7D0}" srcOrd="6" destOrd="0" presId="urn:microsoft.com/office/officeart/2005/8/layout/hierarchy1"/>
    <dgm:cxn modelId="{BAF571D2-51D6-4036-A116-A88710B390B4}" type="presParOf" srcId="{3EFDE09F-4DEB-4A52-BF23-EF28D8E8F83F}" destId="{7326B5E1-3B2B-4D84-B603-DFD6136D0DE6}" srcOrd="7" destOrd="0" presId="urn:microsoft.com/office/officeart/2005/8/layout/hierarchy1"/>
    <dgm:cxn modelId="{5B389D2E-07E9-499D-9D11-ADADCC30E512}" type="presParOf" srcId="{7326B5E1-3B2B-4D84-B603-DFD6136D0DE6}" destId="{55CF4C14-C225-4052-8597-69EF62F1B7C2}" srcOrd="0" destOrd="0" presId="urn:microsoft.com/office/officeart/2005/8/layout/hierarchy1"/>
    <dgm:cxn modelId="{490A54CB-6C75-4B4C-A015-564828070492}" type="presParOf" srcId="{55CF4C14-C225-4052-8597-69EF62F1B7C2}" destId="{FBDDCF4E-653D-4F8F-BB5C-8F900B03A3A7}" srcOrd="0" destOrd="0" presId="urn:microsoft.com/office/officeart/2005/8/layout/hierarchy1"/>
    <dgm:cxn modelId="{5A264B14-4A33-4FEB-AB76-38DA3711729C}" type="presParOf" srcId="{55CF4C14-C225-4052-8597-69EF62F1B7C2}" destId="{9D6FD523-D893-43CA-9C39-DA5AD4393EE2}" srcOrd="1" destOrd="0" presId="urn:microsoft.com/office/officeart/2005/8/layout/hierarchy1"/>
    <dgm:cxn modelId="{5376BD76-233D-4459-91BB-55CE0A730D8F}" type="presParOf" srcId="{7326B5E1-3B2B-4D84-B603-DFD6136D0DE6}" destId="{3C2D7665-87A3-40C2-B0A7-56A16EF8A432}" srcOrd="1" destOrd="0" presId="urn:microsoft.com/office/officeart/2005/8/layout/hierarchy1"/>
    <dgm:cxn modelId="{106825A2-8EE1-4DDC-8F0D-DFBF67EC9802}" type="presParOf" srcId="{3C2D7665-87A3-40C2-B0A7-56A16EF8A432}" destId="{5322EB7A-815B-4B64-AEDF-30BDA942B6EB}" srcOrd="0" destOrd="0" presId="urn:microsoft.com/office/officeart/2005/8/layout/hierarchy1"/>
    <dgm:cxn modelId="{DF079991-D99E-4CB0-963F-70A8C17B5156}" type="presParOf" srcId="{3C2D7665-87A3-40C2-B0A7-56A16EF8A432}" destId="{040B3DCD-4B65-4E33-A60F-6DE5CDAB545A}" srcOrd="1" destOrd="0" presId="urn:microsoft.com/office/officeart/2005/8/layout/hierarchy1"/>
    <dgm:cxn modelId="{1EF4A590-8B8A-49E1-8EE4-987D477381FE}" type="presParOf" srcId="{040B3DCD-4B65-4E33-A60F-6DE5CDAB545A}" destId="{D3A242A7-B46B-44F1-B721-73EBC5C74599}" srcOrd="0" destOrd="0" presId="urn:microsoft.com/office/officeart/2005/8/layout/hierarchy1"/>
    <dgm:cxn modelId="{AF4901B7-1141-486C-8F62-B5335A185915}" type="presParOf" srcId="{D3A242A7-B46B-44F1-B721-73EBC5C74599}" destId="{A97B8BB0-FE38-49CB-BE8C-111EFC9D71D8}" srcOrd="0" destOrd="0" presId="urn:microsoft.com/office/officeart/2005/8/layout/hierarchy1"/>
    <dgm:cxn modelId="{0219F256-8E2F-4CD9-8545-E5C0AA38480C}" type="presParOf" srcId="{D3A242A7-B46B-44F1-B721-73EBC5C74599}" destId="{F68E4E7E-4C30-4175-B1FD-9A99F260E12E}" srcOrd="1" destOrd="0" presId="urn:microsoft.com/office/officeart/2005/8/layout/hierarchy1"/>
    <dgm:cxn modelId="{4435D576-7E3B-405F-8EE9-5A6879F0EF4C}" type="presParOf" srcId="{040B3DCD-4B65-4E33-A60F-6DE5CDAB545A}" destId="{9EA4E8F7-8C3F-4E01-9F80-44D9F3F2622C}" srcOrd="1" destOrd="0" presId="urn:microsoft.com/office/officeart/2005/8/layout/hierarchy1"/>
    <dgm:cxn modelId="{83C16668-BA80-4BA0-84DD-E4FD389E8233}" type="presParOf" srcId="{3EFDE09F-4DEB-4A52-BF23-EF28D8E8F83F}" destId="{5D845186-56A2-4414-9AC6-8096547BA8B8}" srcOrd="8" destOrd="0" presId="urn:microsoft.com/office/officeart/2005/8/layout/hierarchy1"/>
    <dgm:cxn modelId="{CA5F84CF-AB40-4342-9F36-4A46ECFF0E77}" type="presParOf" srcId="{3EFDE09F-4DEB-4A52-BF23-EF28D8E8F83F}" destId="{0787C0B8-A067-4350-91A6-F8C5D5C11290}" srcOrd="9" destOrd="0" presId="urn:microsoft.com/office/officeart/2005/8/layout/hierarchy1"/>
    <dgm:cxn modelId="{CBD3DE60-FCB8-4B34-BFF0-0CC88572372B}" type="presParOf" srcId="{0787C0B8-A067-4350-91A6-F8C5D5C11290}" destId="{49B48BA5-C243-4B70-9113-D66D12D09ADE}" srcOrd="0" destOrd="0" presId="urn:microsoft.com/office/officeart/2005/8/layout/hierarchy1"/>
    <dgm:cxn modelId="{F6AF0AC7-D1E9-4A6F-B60F-DDC2DD091681}" type="presParOf" srcId="{49B48BA5-C243-4B70-9113-D66D12D09ADE}" destId="{F398237E-E4BD-4637-9727-8401510DC24B}" srcOrd="0" destOrd="0" presId="urn:microsoft.com/office/officeart/2005/8/layout/hierarchy1"/>
    <dgm:cxn modelId="{124E3B31-79E2-47F5-9303-69E0BA8DB1D3}" type="presParOf" srcId="{49B48BA5-C243-4B70-9113-D66D12D09ADE}" destId="{BA5CF142-9B9C-4E02-88EC-6C0257B72944}" srcOrd="1" destOrd="0" presId="urn:microsoft.com/office/officeart/2005/8/layout/hierarchy1"/>
    <dgm:cxn modelId="{F1C0CEA4-EAE4-43FF-A652-A9F2A0785FEA}" type="presParOf" srcId="{0787C0B8-A067-4350-91A6-F8C5D5C11290}" destId="{A0BE1D44-93D6-4FCC-8496-9A2255161EE8}" srcOrd="1" destOrd="0" presId="urn:microsoft.com/office/officeart/2005/8/layout/hierarchy1"/>
    <dgm:cxn modelId="{8A22CF2E-1192-4DCA-9E16-7296422FCFCD}" type="presParOf" srcId="{A0BE1D44-93D6-4FCC-8496-9A2255161EE8}" destId="{BE835536-31FB-4F12-AA81-A955F5E043D2}" srcOrd="0" destOrd="0" presId="urn:microsoft.com/office/officeart/2005/8/layout/hierarchy1"/>
    <dgm:cxn modelId="{442C6D42-F913-4F92-83A2-890A23068A76}" type="presParOf" srcId="{A0BE1D44-93D6-4FCC-8496-9A2255161EE8}" destId="{6B403A87-934F-4E57-BFCB-1A1E4699B1DB}" srcOrd="1" destOrd="0" presId="urn:microsoft.com/office/officeart/2005/8/layout/hierarchy1"/>
    <dgm:cxn modelId="{1C27631F-4D15-40BA-B13E-FA9BA9F357D9}" type="presParOf" srcId="{6B403A87-934F-4E57-BFCB-1A1E4699B1DB}" destId="{718D0FCB-BE83-4735-9ED8-41129AA9FA70}" srcOrd="0" destOrd="0" presId="urn:microsoft.com/office/officeart/2005/8/layout/hierarchy1"/>
    <dgm:cxn modelId="{8931A052-F861-40F8-8C7E-58385BF3C316}" type="presParOf" srcId="{718D0FCB-BE83-4735-9ED8-41129AA9FA70}" destId="{5CACB837-A144-4D4A-ACF6-4F9975759DE8}" srcOrd="0" destOrd="0" presId="urn:microsoft.com/office/officeart/2005/8/layout/hierarchy1"/>
    <dgm:cxn modelId="{84C91AD2-0D9F-41A4-A163-7F7F7B923817}" type="presParOf" srcId="{718D0FCB-BE83-4735-9ED8-41129AA9FA70}" destId="{0B8B4DC1-C9BE-4C9A-A57D-4394CD4A9DF1}" srcOrd="1" destOrd="0" presId="urn:microsoft.com/office/officeart/2005/8/layout/hierarchy1"/>
    <dgm:cxn modelId="{70F7FD7E-2B46-4DFE-AF61-DBDDA551A73E}" type="presParOf" srcId="{6B403A87-934F-4E57-BFCB-1A1E4699B1DB}" destId="{EF7D551B-000E-49B4-AE09-65D87178A76E}" srcOrd="1" destOrd="0" presId="urn:microsoft.com/office/officeart/2005/8/layout/hierarchy1"/>
    <dgm:cxn modelId="{2BA465B6-A247-44B3-AAE0-3A93B34177EF}" type="presParOf" srcId="{3EFDE09F-4DEB-4A52-BF23-EF28D8E8F83F}" destId="{D949A733-D908-4345-9841-0D50D038DF0D}" srcOrd="10" destOrd="0" presId="urn:microsoft.com/office/officeart/2005/8/layout/hierarchy1"/>
    <dgm:cxn modelId="{1B46BDD3-95DD-4013-9EE7-031DA0D9B8A3}" type="presParOf" srcId="{3EFDE09F-4DEB-4A52-BF23-EF28D8E8F83F}" destId="{E478BAD6-7BA7-4121-8CE9-2EA2BE2AFFE8}" srcOrd="11" destOrd="0" presId="urn:microsoft.com/office/officeart/2005/8/layout/hierarchy1"/>
    <dgm:cxn modelId="{DDD153D9-9D63-47AB-85AB-C0F0104DCE3F}" type="presParOf" srcId="{E478BAD6-7BA7-4121-8CE9-2EA2BE2AFFE8}" destId="{8B8D69D0-93F0-47CB-97D3-E6B3322AE703}" srcOrd="0" destOrd="0" presId="urn:microsoft.com/office/officeart/2005/8/layout/hierarchy1"/>
    <dgm:cxn modelId="{6DE0F63D-6028-4C57-873A-7C2AE0E01907}" type="presParOf" srcId="{8B8D69D0-93F0-47CB-97D3-E6B3322AE703}" destId="{232AF78F-B097-4B54-AE1F-EAD3D35577AE}" srcOrd="0" destOrd="0" presId="urn:microsoft.com/office/officeart/2005/8/layout/hierarchy1"/>
    <dgm:cxn modelId="{97C61AF0-06FA-4BFD-90D4-CB6A875ECA00}" type="presParOf" srcId="{8B8D69D0-93F0-47CB-97D3-E6B3322AE703}" destId="{C287BFE8-5D79-42B3-BF1C-6B082A6ADFD1}" srcOrd="1" destOrd="0" presId="urn:microsoft.com/office/officeart/2005/8/layout/hierarchy1"/>
    <dgm:cxn modelId="{1DCA38FC-FDEA-48DA-A2C9-B6E175F676A8}" type="presParOf" srcId="{E478BAD6-7BA7-4121-8CE9-2EA2BE2AFFE8}" destId="{952F1791-DA94-4055-ACB8-2DB6FF47D94E}" srcOrd="1" destOrd="0" presId="urn:microsoft.com/office/officeart/2005/8/layout/hierarchy1"/>
    <dgm:cxn modelId="{96C4F2DD-DE14-4776-B2E3-C440930A2D77}" type="presParOf" srcId="{952F1791-DA94-4055-ACB8-2DB6FF47D94E}" destId="{CDB02BC6-29E0-4E36-9E17-BA79DCDEDD2B}" srcOrd="0" destOrd="0" presId="urn:microsoft.com/office/officeart/2005/8/layout/hierarchy1"/>
    <dgm:cxn modelId="{FE81C223-678E-4C10-B8C9-9EB95F801B0E}" type="presParOf" srcId="{952F1791-DA94-4055-ACB8-2DB6FF47D94E}" destId="{C5DBC889-A39C-4363-BE74-992844ADD2B3}" srcOrd="1" destOrd="0" presId="urn:microsoft.com/office/officeart/2005/8/layout/hierarchy1"/>
    <dgm:cxn modelId="{5BF13D6C-7B20-4F47-BA61-FBAE8D39C66B}" type="presParOf" srcId="{C5DBC889-A39C-4363-BE74-992844ADD2B3}" destId="{1DB97936-ECCF-4CEC-B745-CBA59BA800AB}" srcOrd="0" destOrd="0" presId="urn:microsoft.com/office/officeart/2005/8/layout/hierarchy1"/>
    <dgm:cxn modelId="{EB571B80-2DA3-4142-9AA1-C1733058B649}" type="presParOf" srcId="{1DB97936-ECCF-4CEC-B745-CBA59BA800AB}" destId="{14BCE619-1A55-416C-AF88-E0EE760F1E42}" srcOrd="0" destOrd="0" presId="urn:microsoft.com/office/officeart/2005/8/layout/hierarchy1"/>
    <dgm:cxn modelId="{32F9C5E1-8B9F-4850-97E9-718441F418F4}" type="presParOf" srcId="{1DB97936-ECCF-4CEC-B745-CBA59BA800AB}" destId="{1BEA8B10-6709-49E7-A81C-F13E6ADE4E56}" srcOrd="1" destOrd="0" presId="urn:microsoft.com/office/officeart/2005/8/layout/hierarchy1"/>
    <dgm:cxn modelId="{8F874F50-78A4-4CEB-9828-2B52DA155CE4}" type="presParOf" srcId="{C5DBC889-A39C-4363-BE74-992844ADD2B3}" destId="{ADBC1DAB-A780-485A-B199-B5F43B13844E}" srcOrd="1" destOrd="0" presId="urn:microsoft.com/office/officeart/2005/8/layout/hierarchy1"/>
    <dgm:cxn modelId="{BE0CFF19-B5F0-49CA-9079-F4FE9E23CF25}" type="presParOf" srcId="{3EFDE09F-4DEB-4A52-BF23-EF28D8E8F83F}" destId="{2BE1EF85-2165-4F2C-B569-94F3C76B7E6D}" srcOrd="12" destOrd="0" presId="urn:microsoft.com/office/officeart/2005/8/layout/hierarchy1"/>
    <dgm:cxn modelId="{F60F2383-0A12-4345-AB73-28C03986994A}" type="presParOf" srcId="{3EFDE09F-4DEB-4A52-BF23-EF28D8E8F83F}" destId="{215DD339-EAB2-40C9-B29D-269D92159500}" srcOrd="13" destOrd="0" presId="urn:microsoft.com/office/officeart/2005/8/layout/hierarchy1"/>
    <dgm:cxn modelId="{A7A5DF19-5A9C-40B2-A324-77A7CB02FE48}" type="presParOf" srcId="{215DD339-EAB2-40C9-B29D-269D92159500}" destId="{891885D9-C8D5-4D76-95E6-6173CD580960}" srcOrd="0" destOrd="0" presId="urn:microsoft.com/office/officeart/2005/8/layout/hierarchy1"/>
    <dgm:cxn modelId="{7B445F7E-E32C-4346-9DEA-CB9BBDA2C477}" type="presParOf" srcId="{891885D9-C8D5-4D76-95E6-6173CD580960}" destId="{182DFEEB-D54C-489D-BC8C-66FA18438E75}" srcOrd="0" destOrd="0" presId="urn:microsoft.com/office/officeart/2005/8/layout/hierarchy1"/>
    <dgm:cxn modelId="{4F70DA8A-5E30-43BC-9E65-A57BEA391C0F}" type="presParOf" srcId="{891885D9-C8D5-4D76-95E6-6173CD580960}" destId="{ACBC656F-3BEB-43AE-866E-C4EF81FA4351}" srcOrd="1" destOrd="0" presId="urn:microsoft.com/office/officeart/2005/8/layout/hierarchy1"/>
    <dgm:cxn modelId="{54F83CDE-44A7-464F-8079-4C3EE4F94267}" type="presParOf" srcId="{215DD339-EAB2-40C9-B29D-269D92159500}" destId="{D24DE003-6577-4CDB-AFAF-841FCD15675E}" srcOrd="1" destOrd="0" presId="urn:microsoft.com/office/officeart/2005/8/layout/hierarchy1"/>
    <dgm:cxn modelId="{C6AEBAC6-3B2C-4244-BB7D-3AF02BEDA4BB}" type="presParOf" srcId="{D24DE003-6577-4CDB-AFAF-841FCD15675E}" destId="{BE47B3F9-AB54-47D8-87A0-33704A08B6F5}" srcOrd="0" destOrd="0" presId="urn:microsoft.com/office/officeart/2005/8/layout/hierarchy1"/>
    <dgm:cxn modelId="{049CCAF5-9DBC-4F51-A317-AB779623C9F3}" type="presParOf" srcId="{D24DE003-6577-4CDB-AFAF-841FCD15675E}" destId="{967ECA3E-FCC4-404C-8AEC-3ACA0B1EA730}" srcOrd="1" destOrd="0" presId="urn:microsoft.com/office/officeart/2005/8/layout/hierarchy1"/>
    <dgm:cxn modelId="{1E540B1B-2240-4B62-B46E-A35B46C7BFB3}" type="presParOf" srcId="{967ECA3E-FCC4-404C-8AEC-3ACA0B1EA730}" destId="{79C2E11E-4A93-4DF0-9991-4B4A49B184F9}" srcOrd="0" destOrd="0" presId="urn:microsoft.com/office/officeart/2005/8/layout/hierarchy1"/>
    <dgm:cxn modelId="{861D34B3-108B-4BE1-BFFE-C0728FB3BA2B}" type="presParOf" srcId="{79C2E11E-4A93-4DF0-9991-4B4A49B184F9}" destId="{F4AF1E70-A04F-4711-ABD9-760B1233774E}" srcOrd="0" destOrd="0" presId="urn:microsoft.com/office/officeart/2005/8/layout/hierarchy1"/>
    <dgm:cxn modelId="{28080961-C652-409B-B3B5-B5C1392B7927}" type="presParOf" srcId="{79C2E11E-4A93-4DF0-9991-4B4A49B184F9}" destId="{DE6BC7C0-1899-4891-8186-B782CE631185}" srcOrd="1" destOrd="0" presId="urn:microsoft.com/office/officeart/2005/8/layout/hierarchy1"/>
    <dgm:cxn modelId="{C2E3D682-6489-4639-9EAE-D5DB66343AAE}" type="presParOf" srcId="{967ECA3E-FCC4-404C-8AEC-3ACA0B1EA730}" destId="{EEFF299A-BEBE-4DB5-9DB3-715183E1598E}" srcOrd="1" destOrd="0" presId="urn:microsoft.com/office/officeart/2005/8/layout/hierarchy1"/>
    <dgm:cxn modelId="{08BF2D62-DF26-4D29-8162-5606AEAFECDD}" type="presParOf" srcId="{3EFDE09F-4DEB-4A52-BF23-EF28D8E8F83F}" destId="{ACFF1CB6-125A-407F-8C41-2A8FEFE238BB}" srcOrd="14" destOrd="0" presId="urn:microsoft.com/office/officeart/2005/8/layout/hierarchy1"/>
    <dgm:cxn modelId="{245B3887-DC78-4B96-834E-1E0BA8503EDD}" type="presParOf" srcId="{3EFDE09F-4DEB-4A52-BF23-EF28D8E8F83F}" destId="{AFD51C9F-E3C3-494C-8829-89EBF04B3F19}" srcOrd="15" destOrd="0" presId="urn:microsoft.com/office/officeart/2005/8/layout/hierarchy1"/>
    <dgm:cxn modelId="{65FC7601-1435-4FBE-8524-9B34CE392144}" type="presParOf" srcId="{AFD51C9F-E3C3-494C-8829-89EBF04B3F19}" destId="{3D0989E5-1A7E-4EC3-8620-D209BE98B04B}" srcOrd="0" destOrd="0" presId="urn:microsoft.com/office/officeart/2005/8/layout/hierarchy1"/>
    <dgm:cxn modelId="{52CB83EE-FBF7-44F7-8E6C-7605223A0F95}" type="presParOf" srcId="{3D0989E5-1A7E-4EC3-8620-D209BE98B04B}" destId="{2AFE64B0-2C1A-487A-8FC0-1AD143E68213}" srcOrd="0" destOrd="0" presId="urn:microsoft.com/office/officeart/2005/8/layout/hierarchy1"/>
    <dgm:cxn modelId="{414D5ACD-D995-4B49-B052-86091C9CF530}" type="presParOf" srcId="{3D0989E5-1A7E-4EC3-8620-D209BE98B04B}" destId="{E993334D-E792-4FC8-AD9A-D8127FB62375}" srcOrd="1" destOrd="0" presId="urn:microsoft.com/office/officeart/2005/8/layout/hierarchy1"/>
    <dgm:cxn modelId="{7A4DBFCB-518B-40BB-A7E4-4E1A488F57BE}" type="presParOf" srcId="{AFD51C9F-E3C3-494C-8829-89EBF04B3F19}" destId="{06066C25-B369-46CA-AAFB-E48E8CBC7919}" srcOrd="1" destOrd="0" presId="urn:microsoft.com/office/officeart/2005/8/layout/hierarchy1"/>
    <dgm:cxn modelId="{589DAA26-8CC6-480E-A047-CDD42C3BF1B4}" type="presParOf" srcId="{06066C25-B369-46CA-AAFB-E48E8CBC7919}" destId="{68BA01EC-43C0-40ED-B5C0-5B179CE1E1E7}" srcOrd="0" destOrd="0" presId="urn:microsoft.com/office/officeart/2005/8/layout/hierarchy1"/>
    <dgm:cxn modelId="{77BD7438-1CFC-41C5-B63A-057425D466E5}" type="presParOf" srcId="{06066C25-B369-46CA-AAFB-E48E8CBC7919}" destId="{4AAF54EA-C2CA-4184-B8E2-E61705F3744B}" srcOrd="1" destOrd="0" presId="urn:microsoft.com/office/officeart/2005/8/layout/hierarchy1"/>
    <dgm:cxn modelId="{8201E9BB-E4C4-4490-9AB8-AE82DFC5653D}" type="presParOf" srcId="{4AAF54EA-C2CA-4184-B8E2-E61705F3744B}" destId="{B7DB50AD-DDE1-40A6-B9CA-077445EA84FA}" srcOrd="0" destOrd="0" presId="urn:microsoft.com/office/officeart/2005/8/layout/hierarchy1"/>
    <dgm:cxn modelId="{C357032E-20D5-4308-9B91-7E13A77B0FAB}" type="presParOf" srcId="{B7DB50AD-DDE1-40A6-B9CA-077445EA84FA}" destId="{D98115BB-A095-4C38-99C7-3CBAB572E36D}" srcOrd="0" destOrd="0" presId="urn:microsoft.com/office/officeart/2005/8/layout/hierarchy1"/>
    <dgm:cxn modelId="{FBA14A3E-B783-49C2-B729-4D5A4EF64BF0}" type="presParOf" srcId="{B7DB50AD-DDE1-40A6-B9CA-077445EA84FA}" destId="{EBC15EA4-A83F-4ECD-8F8C-00C91A9AF848}" srcOrd="1" destOrd="0" presId="urn:microsoft.com/office/officeart/2005/8/layout/hierarchy1"/>
    <dgm:cxn modelId="{0165761D-AD01-4BB2-A400-F9BE74FD07D0}" type="presParOf" srcId="{4AAF54EA-C2CA-4184-B8E2-E61705F3744B}" destId="{BC6F1AE8-7E89-4183-A29E-8E8970C1738D}" srcOrd="1" destOrd="0" presId="urn:microsoft.com/office/officeart/2005/8/layout/hierarchy1"/>
    <dgm:cxn modelId="{688DE59D-B84C-4737-B98A-9E2BD6E4EB13}" type="presParOf" srcId="{3EFDE09F-4DEB-4A52-BF23-EF28D8E8F83F}" destId="{2FE4D69C-020B-41C0-BE08-4A0E1B42FBAF}" srcOrd="16" destOrd="0" presId="urn:microsoft.com/office/officeart/2005/8/layout/hierarchy1"/>
    <dgm:cxn modelId="{AB98E000-C6D0-4F63-B53B-20F5CD82FCDE}" type="presParOf" srcId="{3EFDE09F-4DEB-4A52-BF23-EF28D8E8F83F}" destId="{D960D207-1622-4363-B53F-80F5CB8CA6ED}" srcOrd="17" destOrd="0" presId="urn:microsoft.com/office/officeart/2005/8/layout/hierarchy1"/>
    <dgm:cxn modelId="{8218307B-1CE8-427A-A3E1-40D98FE1223E}" type="presParOf" srcId="{D960D207-1622-4363-B53F-80F5CB8CA6ED}" destId="{CFDC677E-9D80-4270-A110-AF0133E04104}" srcOrd="0" destOrd="0" presId="urn:microsoft.com/office/officeart/2005/8/layout/hierarchy1"/>
    <dgm:cxn modelId="{BD8C2D6B-A1CA-4E17-889C-A6AA2BFD31D6}" type="presParOf" srcId="{CFDC677E-9D80-4270-A110-AF0133E04104}" destId="{ED787FB0-07BF-42B4-A076-F4FF255EFBBB}" srcOrd="0" destOrd="0" presId="urn:microsoft.com/office/officeart/2005/8/layout/hierarchy1"/>
    <dgm:cxn modelId="{75731305-1CAB-4CC0-A05A-27D1436370B5}" type="presParOf" srcId="{CFDC677E-9D80-4270-A110-AF0133E04104}" destId="{AED27111-80CE-4C02-80CC-B50221F3FEDC}" srcOrd="1" destOrd="0" presId="urn:microsoft.com/office/officeart/2005/8/layout/hierarchy1"/>
    <dgm:cxn modelId="{51433553-245E-41B2-B47D-80A9F86664B9}" type="presParOf" srcId="{D960D207-1622-4363-B53F-80F5CB8CA6ED}" destId="{0D9CA5B1-5C8B-4CB1-95C8-5233B9F99505}" srcOrd="1" destOrd="0" presId="urn:microsoft.com/office/officeart/2005/8/layout/hierarchy1"/>
    <dgm:cxn modelId="{39887A3E-23EE-4D31-9E96-63DCC17F201F}" type="presParOf" srcId="{0D9CA5B1-5C8B-4CB1-95C8-5233B9F99505}" destId="{FBBB8E9E-EEA5-4F18-AFFE-0EDEFF9F2F5D}" srcOrd="0" destOrd="0" presId="urn:microsoft.com/office/officeart/2005/8/layout/hierarchy1"/>
    <dgm:cxn modelId="{F3194A0F-DEC4-44FA-9895-D3B6C6EDC24B}" type="presParOf" srcId="{0D9CA5B1-5C8B-4CB1-95C8-5233B9F99505}" destId="{65C25CBB-3C24-4FCA-9A50-946C0BF15DA9}" srcOrd="1" destOrd="0" presId="urn:microsoft.com/office/officeart/2005/8/layout/hierarchy1"/>
    <dgm:cxn modelId="{87722DB1-EB15-4BE1-A9A9-90CA979CAF9B}" type="presParOf" srcId="{65C25CBB-3C24-4FCA-9A50-946C0BF15DA9}" destId="{7878C8AE-3260-4F7C-B6B5-B8ABCDBB4BF8}" srcOrd="0" destOrd="0" presId="urn:microsoft.com/office/officeart/2005/8/layout/hierarchy1"/>
    <dgm:cxn modelId="{BF53F596-FF7C-4CD7-B345-B8B2AEC35C42}" type="presParOf" srcId="{7878C8AE-3260-4F7C-B6B5-B8ABCDBB4BF8}" destId="{31C7497D-C07C-4C0D-AE1E-CFC2833940B6}" srcOrd="0" destOrd="0" presId="urn:microsoft.com/office/officeart/2005/8/layout/hierarchy1"/>
    <dgm:cxn modelId="{3AB373BA-3D6E-4C1A-BD2D-D8C4BEBBC0D4}" type="presParOf" srcId="{7878C8AE-3260-4F7C-B6B5-B8ABCDBB4BF8}" destId="{881C5508-A9A6-4070-BE60-4790EBB1DA49}" srcOrd="1" destOrd="0" presId="urn:microsoft.com/office/officeart/2005/8/layout/hierarchy1"/>
    <dgm:cxn modelId="{104456FA-059A-4020-85C1-ED8CA25DE1E7}" type="presParOf" srcId="{65C25CBB-3C24-4FCA-9A50-946C0BF15DA9}" destId="{B5382B4A-9AF2-4440-8C67-B663E9B62BE2}" srcOrd="1" destOrd="0" presId="urn:microsoft.com/office/officeart/2005/8/layout/hierarchy1"/>
    <dgm:cxn modelId="{4B2254A3-CEB8-4825-B4D6-CD30BD965EBC}" type="presParOf" srcId="{3EFDE09F-4DEB-4A52-BF23-EF28D8E8F83F}" destId="{07EFF708-23AC-4C6C-949C-293139313AB7}" srcOrd="18" destOrd="0" presId="urn:microsoft.com/office/officeart/2005/8/layout/hierarchy1"/>
    <dgm:cxn modelId="{BD1560C8-9EE8-47A9-BE2F-BE8D6EFC5622}" type="presParOf" srcId="{3EFDE09F-4DEB-4A52-BF23-EF28D8E8F83F}" destId="{6138FE30-3D56-4AD8-972C-8F687619D59D}" srcOrd="19" destOrd="0" presId="urn:microsoft.com/office/officeart/2005/8/layout/hierarchy1"/>
    <dgm:cxn modelId="{CC3F6803-56A0-49D8-9A26-FC8F12EF0C18}" type="presParOf" srcId="{6138FE30-3D56-4AD8-972C-8F687619D59D}" destId="{C1DF39A0-114D-48CA-972C-2E215DC0D9E0}" srcOrd="0" destOrd="0" presId="urn:microsoft.com/office/officeart/2005/8/layout/hierarchy1"/>
    <dgm:cxn modelId="{AC708306-17AC-49F1-B888-7DBC656181A1}" type="presParOf" srcId="{C1DF39A0-114D-48CA-972C-2E215DC0D9E0}" destId="{06D5D967-EAB4-4591-AF81-1433C00921BF}" srcOrd="0" destOrd="0" presId="urn:microsoft.com/office/officeart/2005/8/layout/hierarchy1"/>
    <dgm:cxn modelId="{7D673333-A20E-4E0D-90A1-4EEC2D1D64D7}" type="presParOf" srcId="{C1DF39A0-114D-48CA-972C-2E215DC0D9E0}" destId="{106833A4-C4DA-4474-9D54-7F7AED1ED18D}" srcOrd="1" destOrd="0" presId="urn:microsoft.com/office/officeart/2005/8/layout/hierarchy1"/>
    <dgm:cxn modelId="{605C3206-801D-4F73-B412-6F337E55F803}" type="presParOf" srcId="{6138FE30-3D56-4AD8-972C-8F687619D59D}" destId="{C48CF77B-3B4F-4109-ADD3-7B147F78D8C3}" srcOrd="1" destOrd="0" presId="urn:microsoft.com/office/officeart/2005/8/layout/hierarchy1"/>
    <dgm:cxn modelId="{F52808CE-6EC1-4386-A6D0-34812E657164}" type="presParOf" srcId="{C48CF77B-3B4F-4109-ADD3-7B147F78D8C3}" destId="{2779B808-C6BA-4D18-B7D2-6A7C0B453769}" srcOrd="0" destOrd="0" presId="urn:microsoft.com/office/officeart/2005/8/layout/hierarchy1"/>
    <dgm:cxn modelId="{5774554D-BEC8-4060-8A6F-DD5B15C9C68E}" type="presParOf" srcId="{C48CF77B-3B4F-4109-ADD3-7B147F78D8C3}" destId="{C7CC09B8-DF3E-45E7-B938-FC3F04F6B4FB}" srcOrd="1" destOrd="0" presId="urn:microsoft.com/office/officeart/2005/8/layout/hierarchy1"/>
    <dgm:cxn modelId="{708560CB-0E42-4D89-9E7F-14C066C2846A}" type="presParOf" srcId="{C7CC09B8-DF3E-45E7-B938-FC3F04F6B4FB}" destId="{11A10E2C-94B5-4B7E-8B2F-4512D0C53BC5}" srcOrd="0" destOrd="0" presId="urn:microsoft.com/office/officeart/2005/8/layout/hierarchy1"/>
    <dgm:cxn modelId="{586821BC-C3F1-48E5-BCC3-D54634E852A3}" type="presParOf" srcId="{11A10E2C-94B5-4B7E-8B2F-4512D0C53BC5}" destId="{59B1D9EE-5985-4EC7-9F96-803C2C53E8AB}" srcOrd="0" destOrd="0" presId="urn:microsoft.com/office/officeart/2005/8/layout/hierarchy1"/>
    <dgm:cxn modelId="{909E41C0-DCC2-4AB4-9E13-E229FE4E7D05}" type="presParOf" srcId="{11A10E2C-94B5-4B7E-8B2F-4512D0C53BC5}" destId="{1C574F5E-2F4B-44D4-B538-253997744CD7}" srcOrd="1" destOrd="0" presId="urn:microsoft.com/office/officeart/2005/8/layout/hierarchy1"/>
    <dgm:cxn modelId="{BEB3FDBF-B870-45BF-83B0-64ADC05DB892}" type="presParOf" srcId="{C7CC09B8-DF3E-45E7-B938-FC3F04F6B4FB}" destId="{3B90D3AD-9FE6-4F60-ACB8-31E45F99E935}" srcOrd="1" destOrd="0" presId="urn:microsoft.com/office/officeart/2005/8/layout/hierarchy1"/>
  </dgm:cxnLst>
  <dgm:bg>
    <a:noFill/>
  </dgm:bg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2779B808-C6BA-4D18-B7D2-6A7C0B453769}">
      <dsp:nvSpPr>
        <dsp:cNvPr id="0" name=""/>
        <dsp:cNvSpPr/>
      </dsp:nvSpPr>
      <dsp:spPr>
        <a:xfrm>
          <a:off x="500137" y="1689657"/>
          <a:ext cx="91440" cy="314667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314667"/>
              </a:lnTo>
            </a:path>
          </a:pathLst>
        </a:custGeom>
        <a:noFill/>
        <a:ln w="127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7EFF708-23AC-4C6C-949C-293139313AB7}">
      <dsp:nvSpPr>
        <dsp:cNvPr id="0" name=""/>
        <dsp:cNvSpPr/>
      </dsp:nvSpPr>
      <dsp:spPr>
        <a:xfrm>
          <a:off x="545857" y="687951"/>
          <a:ext cx="5950726" cy="314667"/>
        </a:xfrm>
        <a:custGeom>
          <a:avLst/>
          <a:gdLst/>
          <a:ahLst/>
          <a:cxnLst/>
          <a:rect l="0" t="0" r="0" b="0"/>
          <a:pathLst>
            <a:path>
              <a:moveTo>
                <a:pt x="5950726" y="0"/>
              </a:moveTo>
              <a:lnTo>
                <a:pt x="5950726" y="214436"/>
              </a:lnTo>
              <a:lnTo>
                <a:pt x="0" y="214436"/>
              </a:lnTo>
              <a:lnTo>
                <a:pt x="0" y="314667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FBBB8E9E-EEA5-4F18-AFFE-0EDEFF9F2F5D}">
      <dsp:nvSpPr>
        <dsp:cNvPr id="0" name=""/>
        <dsp:cNvSpPr/>
      </dsp:nvSpPr>
      <dsp:spPr>
        <a:xfrm>
          <a:off x="1822521" y="1689657"/>
          <a:ext cx="91440" cy="314667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314667"/>
              </a:lnTo>
            </a:path>
          </a:pathLst>
        </a:custGeom>
        <a:noFill/>
        <a:ln w="127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2FE4D69C-020B-41C0-BE08-4A0E1B42FBAF}">
      <dsp:nvSpPr>
        <dsp:cNvPr id="0" name=""/>
        <dsp:cNvSpPr/>
      </dsp:nvSpPr>
      <dsp:spPr>
        <a:xfrm>
          <a:off x="1868241" y="687951"/>
          <a:ext cx="4628342" cy="314667"/>
        </a:xfrm>
        <a:custGeom>
          <a:avLst/>
          <a:gdLst/>
          <a:ahLst/>
          <a:cxnLst/>
          <a:rect l="0" t="0" r="0" b="0"/>
          <a:pathLst>
            <a:path>
              <a:moveTo>
                <a:pt x="4628342" y="0"/>
              </a:moveTo>
              <a:lnTo>
                <a:pt x="4628342" y="214436"/>
              </a:lnTo>
              <a:lnTo>
                <a:pt x="0" y="214436"/>
              </a:lnTo>
              <a:lnTo>
                <a:pt x="0" y="314667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68BA01EC-43C0-40ED-B5C0-5B179CE1E1E7}">
      <dsp:nvSpPr>
        <dsp:cNvPr id="0" name=""/>
        <dsp:cNvSpPr/>
      </dsp:nvSpPr>
      <dsp:spPr>
        <a:xfrm>
          <a:off x="3144904" y="1689657"/>
          <a:ext cx="91440" cy="314667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314667"/>
              </a:lnTo>
            </a:path>
          </a:pathLst>
        </a:custGeom>
        <a:noFill/>
        <a:ln w="127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ACFF1CB6-125A-407F-8C41-2A8FEFE238BB}">
      <dsp:nvSpPr>
        <dsp:cNvPr id="0" name=""/>
        <dsp:cNvSpPr/>
      </dsp:nvSpPr>
      <dsp:spPr>
        <a:xfrm>
          <a:off x="3190624" y="687951"/>
          <a:ext cx="3305959" cy="314667"/>
        </a:xfrm>
        <a:custGeom>
          <a:avLst/>
          <a:gdLst/>
          <a:ahLst/>
          <a:cxnLst/>
          <a:rect l="0" t="0" r="0" b="0"/>
          <a:pathLst>
            <a:path>
              <a:moveTo>
                <a:pt x="3305959" y="0"/>
              </a:moveTo>
              <a:lnTo>
                <a:pt x="3305959" y="214436"/>
              </a:lnTo>
              <a:lnTo>
                <a:pt x="0" y="214436"/>
              </a:lnTo>
              <a:lnTo>
                <a:pt x="0" y="314667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BE47B3F9-AB54-47D8-87A0-33704A08B6F5}">
      <dsp:nvSpPr>
        <dsp:cNvPr id="0" name=""/>
        <dsp:cNvSpPr/>
      </dsp:nvSpPr>
      <dsp:spPr>
        <a:xfrm>
          <a:off x="4467288" y="1689657"/>
          <a:ext cx="91440" cy="314667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314667"/>
              </a:lnTo>
            </a:path>
          </a:pathLst>
        </a:custGeom>
        <a:noFill/>
        <a:ln w="127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2BE1EF85-2165-4F2C-B569-94F3C76B7E6D}">
      <dsp:nvSpPr>
        <dsp:cNvPr id="0" name=""/>
        <dsp:cNvSpPr/>
      </dsp:nvSpPr>
      <dsp:spPr>
        <a:xfrm>
          <a:off x="4513008" y="687951"/>
          <a:ext cx="1983575" cy="314667"/>
        </a:xfrm>
        <a:custGeom>
          <a:avLst/>
          <a:gdLst/>
          <a:ahLst/>
          <a:cxnLst/>
          <a:rect l="0" t="0" r="0" b="0"/>
          <a:pathLst>
            <a:path>
              <a:moveTo>
                <a:pt x="1983575" y="0"/>
              </a:moveTo>
              <a:lnTo>
                <a:pt x="1983575" y="214436"/>
              </a:lnTo>
              <a:lnTo>
                <a:pt x="0" y="214436"/>
              </a:lnTo>
              <a:lnTo>
                <a:pt x="0" y="314667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CDB02BC6-29E0-4E36-9E17-BA79DCDEDD2B}">
      <dsp:nvSpPr>
        <dsp:cNvPr id="0" name=""/>
        <dsp:cNvSpPr/>
      </dsp:nvSpPr>
      <dsp:spPr>
        <a:xfrm>
          <a:off x="5789672" y="1689657"/>
          <a:ext cx="91440" cy="314667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314667"/>
              </a:lnTo>
            </a:path>
          </a:pathLst>
        </a:custGeom>
        <a:noFill/>
        <a:ln w="127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D949A733-D908-4345-9841-0D50D038DF0D}">
      <dsp:nvSpPr>
        <dsp:cNvPr id="0" name=""/>
        <dsp:cNvSpPr/>
      </dsp:nvSpPr>
      <dsp:spPr>
        <a:xfrm>
          <a:off x="5835392" y="687951"/>
          <a:ext cx="661191" cy="314667"/>
        </a:xfrm>
        <a:custGeom>
          <a:avLst/>
          <a:gdLst/>
          <a:ahLst/>
          <a:cxnLst/>
          <a:rect l="0" t="0" r="0" b="0"/>
          <a:pathLst>
            <a:path>
              <a:moveTo>
                <a:pt x="661191" y="0"/>
              </a:moveTo>
              <a:lnTo>
                <a:pt x="661191" y="214436"/>
              </a:lnTo>
              <a:lnTo>
                <a:pt x="0" y="214436"/>
              </a:lnTo>
              <a:lnTo>
                <a:pt x="0" y="314667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BE835536-31FB-4F12-AA81-A955F5E043D2}">
      <dsp:nvSpPr>
        <dsp:cNvPr id="0" name=""/>
        <dsp:cNvSpPr/>
      </dsp:nvSpPr>
      <dsp:spPr>
        <a:xfrm>
          <a:off x="7112056" y="1689657"/>
          <a:ext cx="91440" cy="314667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314667"/>
              </a:lnTo>
            </a:path>
          </a:pathLst>
        </a:custGeom>
        <a:noFill/>
        <a:ln w="127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5D845186-56A2-4414-9AC6-8096547BA8B8}">
      <dsp:nvSpPr>
        <dsp:cNvPr id="0" name=""/>
        <dsp:cNvSpPr/>
      </dsp:nvSpPr>
      <dsp:spPr>
        <a:xfrm>
          <a:off x="6496584" y="687951"/>
          <a:ext cx="661191" cy="314667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214436"/>
              </a:lnTo>
              <a:lnTo>
                <a:pt x="661191" y="214436"/>
              </a:lnTo>
              <a:lnTo>
                <a:pt x="661191" y="314667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5322EB7A-815B-4B64-AEDF-30BDA942B6EB}">
      <dsp:nvSpPr>
        <dsp:cNvPr id="0" name=""/>
        <dsp:cNvSpPr/>
      </dsp:nvSpPr>
      <dsp:spPr>
        <a:xfrm>
          <a:off x="8371437" y="1689657"/>
          <a:ext cx="91440" cy="314667"/>
        </a:xfrm>
        <a:custGeom>
          <a:avLst/>
          <a:gdLst/>
          <a:ahLst/>
          <a:cxnLst/>
          <a:rect l="0" t="0" r="0" b="0"/>
          <a:pathLst>
            <a:path>
              <a:moveTo>
                <a:pt x="108721" y="0"/>
              </a:moveTo>
              <a:lnTo>
                <a:pt x="108721" y="214436"/>
              </a:lnTo>
              <a:lnTo>
                <a:pt x="45720" y="214436"/>
              </a:lnTo>
              <a:lnTo>
                <a:pt x="45720" y="314667"/>
              </a:lnTo>
            </a:path>
          </a:pathLst>
        </a:custGeom>
        <a:noFill/>
        <a:ln w="127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3B2C94F7-2C6B-4153-901E-BDF095F5C7D0}">
      <dsp:nvSpPr>
        <dsp:cNvPr id="0" name=""/>
        <dsp:cNvSpPr/>
      </dsp:nvSpPr>
      <dsp:spPr>
        <a:xfrm>
          <a:off x="6496584" y="687951"/>
          <a:ext cx="1983575" cy="314667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214436"/>
              </a:lnTo>
              <a:lnTo>
                <a:pt x="1983575" y="214436"/>
              </a:lnTo>
              <a:lnTo>
                <a:pt x="1983575" y="314667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EFDACDA4-DB08-42CD-85D9-BE15231CAB9B}">
      <dsp:nvSpPr>
        <dsp:cNvPr id="0" name=""/>
        <dsp:cNvSpPr/>
      </dsp:nvSpPr>
      <dsp:spPr>
        <a:xfrm>
          <a:off x="9756823" y="1689657"/>
          <a:ext cx="91440" cy="314667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314667"/>
              </a:lnTo>
            </a:path>
          </a:pathLst>
        </a:custGeom>
        <a:noFill/>
        <a:ln w="127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2A630D87-D730-4798-9723-72FCBCBD54F4}">
      <dsp:nvSpPr>
        <dsp:cNvPr id="0" name=""/>
        <dsp:cNvSpPr/>
      </dsp:nvSpPr>
      <dsp:spPr>
        <a:xfrm>
          <a:off x="6496584" y="687951"/>
          <a:ext cx="3305959" cy="314667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214436"/>
              </a:lnTo>
              <a:lnTo>
                <a:pt x="3305959" y="214436"/>
              </a:lnTo>
              <a:lnTo>
                <a:pt x="3305959" y="314667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954D1AE8-59F6-438F-BDE0-17F4EFB586DF}">
      <dsp:nvSpPr>
        <dsp:cNvPr id="0" name=""/>
        <dsp:cNvSpPr/>
      </dsp:nvSpPr>
      <dsp:spPr>
        <a:xfrm>
          <a:off x="11079207" y="1689657"/>
          <a:ext cx="91440" cy="314667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314667"/>
              </a:lnTo>
            </a:path>
          </a:pathLst>
        </a:custGeom>
        <a:noFill/>
        <a:ln w="127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A5D50A94-9261-4F95-9885-F36130E6B88E}">
      <dsp:nvSpPr>
        <dsp:cNvPr id="0" name=""/>
        <dsp:cNvSpPr/>
      </dsp:nvSpPr>
      <dsp:spPr>
        <a:xfrm>
          <a:off x="6496584" y="687951"/>
          <a:ext cx="4628342" cy="314667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214436"/>
              </a:lnTo>
              <a:lnTo>
                <a:pt x="4628342" y="214436"/>
              </a:lnTo>
              <a:lnTo>
                <a:pt x="4628342" y="314667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CFDC4D94-6427-439D-8497-C1FF0F4F0B8A}">
      <dsp:nvSpPr>
        <dsp:cNvPr id="0" name=""/>
        <dsp:cNvSpPr/>
      </dsp:nvSpPr>
      <dsp:spPr>
        <a:xfrm>
          <a:off x="12401590" y="1689657"/>
          <a:ext cx="91440" cy="314667"/>
        </a:xfrm>
        <a:custGeom>
          <a:avLst/>
          <a:gdLst/>
          <a:ahLst/>
          <a:cxnLst/>
          <a:rect l="0" t="0" r="0" b="0"/>
          <a:pathLst>
            <a:path>
              <a:moveTo>
                <a:pt x="45720" y="0"/>
              </a:moveTo>
              <a:lnTo>
                <a:pt x="45720" y="314667"/>
              </a:lnTo>
            </a:path>
          </a:pathLst>
        </a:custGeom>
        <a:noFill/>
        <a:ln w="12700" cap="flat" cmpd="sng" algn="ctr">
          <a:solidFill>
            <a:schemeClr val="accent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F97236DC-069C-4EAF-831C-7742B0C98D3A}">
      <dsp:nvSpPr>
        <dsp:cNvPr id="0" name=""/>
        <dsp:cNvSpPr/>
      </dsp:nvSpPr>
      <dsp:spPr>
        <a:xfrm>
          <a:off x="6496584" y="687951"/>
          <a:ext cx="5950726" cy="314667"/>
        </a:xfrm>
        <a:custGeom>
          <a:avLst/>
          <a:gdLst/>
          <a:ahLst/>
          <a:cxnLst/>
          <a:rect l="0" t="0" r="0" b="0"/>
          <a:pathLst>
            <a:path>
              <a:moveTo>
                <a:pt x="0" y="0"/>
              </a:moveTo>
              <a:lnTo>
                <a:pt x="0" y="214436"/>
              </a:lnTo>
              <a:lnTo>
                <a:pt x="5950726" y="214436"/>
              </a:lnTo>
              <a:lnTo>
                <a:pt x="5950726" y="314667"/>
              </a:lnTo>
            </a:path>
          </a:pathLst>
        </a:custGeom>
        <a:noFill/>
        <a:ln w="12700" cap="flat" cmpd="sng" algn="ctr">
          <a:solidFill>
            <a:schemeClr val="accent1">
              <a:shade val="6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</dsp:sp>
    <dsp:sp modelId="{011B1E87-B132-42AF-8E14-EAA993F00D6E}">
      <dsp:nvSpPr>
        <dsp:cNvPr id="0" name=""/>
        <dsp:cNvSpPr/>
      </dsp:nvSpPr>
      <dsp:spPr>
        <a:xfrm>
          <a:off x="5955608" y="913"/>
          <a:ext cx="1081950" cy="687038"/>
        </a:xfrm>
        <a:prstGeom prst="roundRect">
          <a:avLst>
            <a:gd name="adj" fmla="val 1000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lt1"/>
        </a:fontRef>
      </dsp:style>
    </dsp:sp>
    <dsp:sp modelId="{AC7221A0-405D-4602-A765-2333A18C5BEF}">
      <dsp:nvSpPr>
        <dsp:cNvPr id="0" name=""/>
        <dsp:cNvSpPr/>
      </dsp:nvSpPr>
      <dsp:spPr>
        <a:xfrm>
          <a:off x="6075825" y="115119"/>
          <a:ext cx="1081950" cy="687038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45720" tIns="45720" rIns="45720" bIns="45720" numCol="1" spcCol="1270" anchor="ctr" anchorCtr="0">
          <a:noAutofit/>
        </a:bodyPr>
        <a:lstStyle/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200" b="1" kern="1200"/>
            <a:t>6.462 ROD</a:t>
          </a:r>
        </a:p>
        <a:p>
          <a:pPr marL="0" lvl="0" indent="0" algn="ctr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700" b="0" kern="1200"/>
            <a:t>IMPLANTAÇÃO RODOVIÁRIA</a:t>
          </a:r>
        </a:p>
      </dsp:txBody>
      <dsp:txXfrm>
        <a:off x="6095948" y="135242"/>
        <a:ext cx="1041704" cy="646792"/>
      </dsp:txXfrm>
    </dsp:sp>
    <dsp:sp modelId="{278DE389-BF31-4EA1-85B1-5732330C1BFB}">
      <dsp:nvSpPr>
        <dsp:cNvPr id="0" name=""/>
        <dsp:cNvSpPr/>
      </dsp:nvSpPr>
      <dsp:spPr>
        <a:xfrm>
          <a:off x="11906335" y="1002618"/>
          <a:ext cx="1081950" cy="687038"/>
        </a:xfrm>
        <a:prstGeom prst="roundRect">
          <a:avLst>
            <a:gd name="adj" fmla="val 1000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lt1"/>
        </a:fontRef>
      </dsp:style>
    </dsp:sp>
    <dsp:sp modelId="{17CAE29B-F8AA-428E-AE7F-A8FCD5B478B3}">
      <dsp:nvSpPr>
        <dsp:cNvPr id="0" name=""/>
        <dsp:cNvSpPr/>
      </dsp:nvSpPr>
      <dsp:spPr>
        <a:xfrm>
          <a:off x="12026552" y="1116824"/>
          <a:ext cx="1081950" cy="687038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100" b="1" kern="1200"/>
            <a:t>6.462.01 ROD.USI.01</a:t>
          </a:r>
        </a:p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700" b="0" kern="1200"/>
            <a:t>USINA</a:t>
          </a:r>
        </a:p>
      </dsp:txBody>
      <dsp:txXfrm>
        <a:off x="12046675" y="1136947"/>
        <a:ext cx="1041704" cy="646792"/>
      </dsp:txXfrm>
    </dsp:sp>
    <dsp:sp modelId="{2210143B-605E-4917-B114-48CA951CECD5}">
      <dsp:nvSpPr>
        <dsp:cNvPr id="0" name=""/>
        <dsp:cNvSpPr/>
      </dsp:nvSpPr>
      <dsp:spPr>
        <a:xfrm>
          <a:off x="11906335" y="2004324"/>
          <a:ext cx="1081950" cy="2479075"/>
        </a:xfrm>
        <a:prstGeom prst="roundRect">
          <a:avLst>
            <a:gd name="adj" fmla="val 1000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lt1"/>
        </a:fontRef>
      </dsp:style>
    </dsp:sp>
    <dsp:sp modelId="{C2C9300C-1C0F-49BC-BB65-A8C1F9611284}">
      <dsp:nvSpPr>
        <dsp:cNvPr id="0" name=""/>
        <dsp:cNvSpPr/>
      </dsp:nvSpPr>
      <dsp:spPr>
        <a:xfrm>
          <a:off x="12026552" y="2118530"/>
          <a:ext cx="1081950" cy="2479075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30480" tIns="30480" rIns="30480" bIns="30480" numCol="1" spcCol="1270" anchor="t" anchorCtr="0">
          <a:noAutofit/>
        </a:bodyPr>
        <a:lstStyle/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Usina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800" b="1" kern="1200"/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Equipamentos utilizados</a:t>
          </a:r>
          <a:r>
            <a:rPr lang="pt-BR" sz="800" kern="1200"/>
            <a:t>: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Caminhão, pá carregadeira, usina e outros.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Materiais utizados</a:t>
          </a:r>
          <a:r>
            <a:rPr lang="pt-BR" sz="800" kern="1200"/>
            <a:t>: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Agregados, emulsão, óleo diesel e outros.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Mão de obra: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Operadores da usina, exceto encarregados, apontadores e aux. de controle.</a:t>
          </a:r>
          <a:endParaRPr lang="pt-BR" sz="800" b="1" kern="1200"/>
        </a:p>
      </dsp:txBody>
      <dsp:txXfrm>
        <a:off x="12058241" y="2150219"/>
        <a:ext cx="1018572" cy="2415697"/>
      </dsp:txXfrm>
    </dsp:sp>
    <dsp:sp modelId="{51443711-2FD7-4B1B-AE86-45727F7B051B}">
      <dsp:nvSpPr>
        <dsp:cNvPr id="0" name=""/>
        <dsp:cNvSpPr/>
      </dsp:nvSpPr>
      <dsp:spPr>
        <a:xfrm>
          <a:off x="10583951" y="1002618"/>
          <a:ext cx="1081950" cy="687038"/>
        </a:xfrm>
        <a:prstGeom prst="roundRect">
          <a:avLst>
            <a:gd name="adj" fmla="val 1000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lt1"/>
        </a:fontRef>
      </dsp:style>
    </dsp:sp>
    <dsp:sp modelId="{37FC4E71-E0EC-428D-AFBF-FEE0BE42C69F}">
      <dsp:nvSpPr>
        <dsp:cNvPr id="0" name=""/>
        <dsp:cNvSpPr/>
      </dsp:nvSpPr>
      <dsp:spPr>
        <a:xfrm>
          <a:off x="10704168" y="1116824"/>
          <a:ext cx="1081950" cy="687038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100" b="1" kern="1200"/>
            <a:t>6.462.01 ROD.BRI.01</a:t>
          </a:r>
          <a:endParaRPr lang="pt-BR" sz="700" b="0" kern="1200"/>
        </a:p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700" b="0" kern="1200"/>
            <a:t>BRITADOR</a:t>
          </a:r>
        </a:p>
      </dsp:txBody>
      <dsp:txXfrm>
        <a:off x="10724291" y="1136947"/>
        <a:ext cx="1041704" cy="646792"/>
      </dsp:txXfrm>
    </dsp:sp>
    <dsp:sp modelId="{7019FEC4-944E-43F3-836F-DBAFEFA8295C}">
      <dsp:nvSpPr>
        <dsp:cNvPr id="0" name=""/>
        <dsp:cNvSpPr/>
      </dsp:nvSpPr>
      <dsp:spPr>
        <a:xfrm>
          <a:off x="10583951" y="2004324"/>
          <a:ext cx="1081950" cy="2479075"/>
        </a:xfrm>
        <a:prstGeom prst="roundRect">
          <a:avLst>
            <a:gd name="adj" fmla="val 1000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lt1"/>
        </a:fontRef>
      </dsp:style>
    </dsp:sp>
    <dsp:sp modelId="{0F5B380E-6530-4F6A-A7B8-4C092DB53835}">
      <dsp:nvSpPr>
        <dsp:cNvPr id="0" name=""/>
        <dsp:cNvSpPr/>
      </dsp:nvSpPr>
      <dsp:spPr>
        <a:xfrm>
          <a:off x="10704168" y="2118530"/>
          <a:ext cx="1081950" cy="2479075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30480" tIns="30480" rIns="30480" bIns="30480" numCol="1" spcCol="1270" anchor="t" anchorCtr="0">
          <a:noAutofit/>
        </a:bodyPr>
        <a:lstStyle/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Britador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800" b="1" kern="1200"/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Equipamentos utilizados</a:t>
          </a:r>
          <a:r>
            <a:rPr lang="pt-BR" sz="800" kern="1200"/>
            <a:t>: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Caminhão, pá carregadeira, britador e outros.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Materiais utizados</a:t>
          </a:r>
          <a:r>
            <a:rPr lang="pt-BR" sz="800" kern="1200"/>
            <a:t>: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Agregados. óleo diesel e outros.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Mão de obra: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Operadores do britador, exceto encarregados, apontadores e aux. de controle.</a:t>
          </a:r>
          <a:endParaRPr lang="pt-BR" sz="800" b="1" kern="1200"/>
        </a:p>
      </dsp:txBody>
      <dsp:txXfrm>
        <a:off x="10735857" y="2150219"/>
        <a:ext cx="1018572" cy="2415697"/>
      </dsp:txXfrm>
    </dsp:sp>
    <dsp:sp modelId="{3EDEE970-A72A-46BE-B038-1A4A78D95C3A}">
      <dsp:nvSpPr>
        <dsp:cNvPr id="0" name=""/>
        <dsp:cNvSpPr/>
      </dsp:nvSpPr>
      <dsp:spPr>
        <a:xfrm>
          <a:off x="9261568" y="1002618"/>
          <a:ext cx="1081950" cy="687038"/>
        </a:xfrm>
        <a:prstGeom prst="roundRect">
          <a:avLst>
            <a:gd name="adj" fmla="val 1000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lt1"/>
        </a:fontRef>
      </dsp:style>
    </dsp:sp>
    <dsp:sp modelId="{E274C6B5-4514-46CB-B114-229305441D98}">
      <dsp:nvSpPr>
        <dsp:cNvPr id="0" name=""/>
        <dsp:cNvSpPr/>
      </dsp:nvSpPr>
      <dsp:spPr>
        <a:xfrm>
          <a:off x="9381784" y="1116824"/>
          <a:ext cx="1081950" cy="687038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100" b="1" kern="1200"/>
            <a:t>6.462.01 ROD.DRE.01</a:t>
          </a:r>
          <a:endParaRPr lang="pt-BR" sz="700" b="1" kern="1200"/>
        </a:p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700" b="0" kern="1200"/>
            <a:t>DRENAGEM</a:t>
          </a:r>
        </a:p>
      </dsp:txBody>
      <dsp:txXfrm>
        <a:off x="9401907" y="1136947"/>
        <a:ext cx="1041704" cy="646792"/>
      </dsp:txXfrm>
    </dsp:sp>
    <dsp:sp modelId="{D59F6C1C-903C-4BA2-9F1D-0679235E95AE}">
      <dsp:nvSpPr>
        <dsp:cNvPr id="0" name=""/>
        <dsp:cNvSpPr/>
      </dsp:nvSpPr>
      <dsp:spPr>
        <a:xfrm>
          <a:off x="9261568" y="2004324"/>
          <a:ext cx="1081950" cy="3530264"/>
        </a:xfrm>
        <a:prstGeom prst="roundRect">
          <a:avLst>
            <a:gd name="adj" fmla="val 1000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lt1"/>
        </a:fontRef>
      </dsp:style>
    </dsp:sp>
    <dsp:sp modelId="{5CC68FA7-9352-4DEF-AD91-BFD8D05A8354}">
      <dsp:nvSpPr>
        <dsp:cNvPr id="0" name=""/>
        <dsp:cNvSpPr/>
      </dsp:nvSpPr>
      <dsp:spPr>
        <a:xfrm>
          <a:off x="9381784" y="2118530"/>
          <a:ext cx="1081950" cy="3530264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30480" tIns="30480" rIns="30480" bIns="30480" numCol="1" spcCol="1270" anchor="ctr" anchorCtr="0">
          <a:noAutofit/>
        </a:bodyPr>
        <a:lstStyle/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Descida d'água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Dissipador de energia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Entrada d'água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Meio-fio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Sarjetas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Valetas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Caixas coletoras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Sub-empreiteiros drenagem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800" b="1" kern="1200"/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Equipamentos utilizados</a:t>
          </a:r>
          <a:r>
            <a:rPr lang="pt-BR" sz="800" kern="1200"/>
            <a:t>: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Retroescavadeira, máquina meio-fio.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Materiais utizados</a:t>
          </a:r>
          <a:r>
            <a:rPr lang="pt-BR" sz="800" kern="1200"/>
            <a:t>: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Cimento, agregados, tubos, pré-moldados e outros.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Mão de obra: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Exceto encarregados, apontadores e aux. de controle.</a:t>
          </a:r>
          <a:endParaRPr lang="pt-BR" sz="800" b="1" kern="1200"/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800" b="1" kern="1200"/>
        </a:p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1000" kern="1200"/>
        </a:p>
      </dsp:txBody>
      <dsp:txXfrm>
        <a:off x="9413473" y="2150219"/>
        <a:ext cx="1018572" cy="3466886"/>
      </dsp:txXfrm>
    </dsp:sp>
    <dsp:sp modelId="{FBDDCF4E-653D-4F8F-BB5C-8F900B03A3A7}">
      <dsp:nvSpPr>
        <dsp:cNvPr id="0" name=""/>
        <dsp:cNvSpPr/>
      </dsp:nvSpPr>
      <dsp:spPr>
        <a:xfrm>
          <a:off x="7939184" y="1002618"/>
          <a:ext cx="1081950" cy="687038"/>
        </a:xfrm>
        <a:prstGeom prst="roundRect">
          <a:avLst>
            <a:gd name="adj" fmla="val 1000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lt1"/>
        </a:fontRef>
      </dsp:style>
    </dsp:sp>
    <dsp:sp modelId="{9D6FD523-D893-43CA-9C39-DA5AD4393EE2}">
      <dsp:nvSpPr>
        <dsp:cNvPr id="0" name=""/>
        <dsp:cNvSpPr/>
      </dsp:nvSpPr>
      <dsp:spPr>
        <a:xfrm>
          <a:off x="8059401" y="1116824"/>
          <a:ext cx="1081950" cy="687038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100" b="1" kern="1200"/>
            <a:t>6.462.01 ROD.SIN.01</a:t>
          </a:r>
        </a:p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700" kern="1200"/>
            <a:t>SINALIZAÇÃO RODOVIARIA</a:t>
          </a:r>
        </a:p>
      </dsp:txBody>
      <dsp:txXfrm>
        <a:off x="8079524" y="1136947"/>
        <a:ext cx="1041704" cy="646792"/>
      </dsp:txXfrm>
    </dsp:sp>
    <dsp:sp modelId="{A97B8BB0-FE38-49CB-BE8C-111EFC9D71D8}">
      <dsp:nvSpPr>
        <dsp:cNvPr id="0" name=""/>
        <dsp:cNvSpPr/>
      </dsp:nvSpPr>
      <dsp:spPr>
        <a:xfrm>
          <a:off x="7876182" y="2004324"/>
          <a:ext cx="1081950" cy="2935811"/>
        </a:xfrm>
        <a:prstGeom prst="roundRect">
          <a:avLst>
            <a:gd name="adj" fmla="val 1000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lt1"/>
        </a:fontRef>
      </dsp:style>
    </dsp:sp>
    <dsp:sp modelId="{F68E4E7E-4C30-4175-B1FD-9A99F260E12E}">
      <dsp:nvSpPr>
        <dsp:cNvPr id="0" name=""/>
        <dsp:cNvSpPr/>
      </dsp:nvSpPr>
      <dsp:spPr>
        <a:xfrm>
          <a:off x="7996399" y="2118530"/>
          <a:ext cx="1081950" cy="2935811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30480" tIns="30480" rIns="30480" bIns="30480" numCol="1" spcCol="1270" anchor="t" anchorCtr="0">
          <a:noAutofit/>
        </a:bodyPr>
        <a:lstStyle/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Sinalização horizontal e vertical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Defensa metálica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Barreira de segurança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Sub-empreiteiros de sinalização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800" b="1" kern="1200"/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Equipamentos utilizados</a:t>
          </a:r>
          <a:r>
            <a:rPr lang="pt-BR" sz="800" kern="1200"/>
            <a:t>: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Retroescavadeira, máquina meio-fio.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Materiais utizados</a:t>
          </a:r>
          <a:r>
            <a:rPr lang="pt-BR" sz="800" kern="1200"/>
            <a:t>: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Cimento, agregados, tubos, pré-moldados e outros.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Mão de obra: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Exceto encarregados, apontadores e aux. de controle.</a:t>
          </a:r>
          <a:r>
            <a:rPr lang="pt-BR" sz="800" b="1" kern="1200"/>
            <a:t> </a:t>
          </a:r>
        </a:p>
      </dsp:txBody>
      <dsp:txXfrm>
        <a:off x="8028088" y="2150219"/>
        <a:ext cx="1018572" cy="2872433"/>
      </dsp:txXfrm>
    </dsp:sp>
    <dsp:sp modelId="{F398237E-E4BD-4637-9727-8401510DC24B}">
      <dsp:nvSpPr>
        <dsp:cNvPr id="0" name=""/>
        <dsp:cNvSpPr/>
      </dsp:nvSpPr>
      <dsp:spPr>
        <a:xfrm>
          <a:off x="6616800" y="1002618"/>
          <a:ext cx="1081950" cy="687038"/>
        </a:xfrm>
        <a:prstGeom prst="roundRect">
          <a:avLst>
            <a:gd name="adj" fmla="val 1000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lt1"/>
        </a:fontRef>
      </dsp:style>
    </dsp:sp>
    <dsp:sp modelId="{BA5CF142-9B9C-4E02-88EC-6C0257B72944}">
      <dsp:nvSpPr>
        <dsp:cNvPr id="0" name=""/>
        <dsp:cNvSpPr/>
      </dsp:nvSpPr>
      <dsp:spPr>
        <a:xfrm>
          <a:off x="6737017" y="1116824"/>
          <a:ext cx="1081950" cy="687038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100" b="1" kern="1200"/>
            <a:t>6.462.01 ROD.AMB.01</a:t>
          </a:r>
        </a:p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700" kern="1200"/>
            <a:t>COMPONENTE AMBIENTAL</a:t>
          </a:r>
        </a:p>
      </dsp:txBody>
      <dsp:txXfrm>
        <a:off x="6757140" y="1136947"/>
        <a:ext cx="1041704" cy="646792"/>
      </dsp:txXfrm>
    </dsp:sp>
    <dsp:sp modelId="{5CACB837-A144-4D4A-ACF6-4F9975759DE8}">
      <dsp:nvSpPr>
        <dsp:cNvPr id="0" name=""/>
        <dsp:cNvSpPr/>
      </dsp:nvSpPr>
      <dsp:spPr>
        <a:xfrm>
          <a:off x="6616800" y="2004324"/>
          <a:ext cx="1081950" cy="3077561"/>
        </a:xfrm>
        <a:prstGeom prst="roundRect">
          <a:avLst>
            <a:gd name="adj" fmla="val 1000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lt1"/>
        </a:fontRef>
      </dsp:style>
    </dsp:sp>
    <dsp:sp modelId="{0B8B4DC1-C9BE-4C9A-A57D-4394CD4A9DF1}">
      <dsp:nvSpPr>
        <dsp:cNvPr id="0" name=""/>
        <dsp:cNvSpPr/>
      </dsp:nvSpPr>
      <dsp:spPr>
        <a:xfrm>
          <a:off x="6737017" y="2118530"/>
          <a:ext cx="1081950" cy="3077561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30480" tIns="30480" rIns="30480" bIns="30480" numCol="1" spcCol="1270" anchor="t" anchorCtr="0">
          <a:noAutofit/>
        </a:bodyPr>
        <a:lstStyle/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Enleivamento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Hidrossemeadura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Plantio de árvores e arbustos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Sub-empreiteiros de urbanização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800" b="1" kern="1200"/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Equipamentos utilizados: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0" kern="1200"/>
            <a:t>Trator, roçadeira, caminhão e outros.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Materiasis utilizados: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0" kern="1200"/>
            <a:t>Adubo, cal, agregados, oleo diesel e outros.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Mão de obra: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0" kern="1200"/>
            <a:t>Ajudante, pedreiro, operadores de máquinas e outros exceto encarregados, apontadores e aux. de controle.</a:t>
          </a:r>
          <a:endParaRPr lang="pt-BR" sz="800" b="1" kern="1200"/>
        </a:p>
      </dsp:txBody>
      <dsp:txXfrm>
        <a:off x="6768706" y="2150219"/>
        <a:ext cx="1018572" cy="3014183"/>
      </dsp:txXfrm>
    </dsp:sp>
    <dsp:sp modelId="{232AF78F-B097-4B54-AE1F-EAD3D35577AE}">
      <dsp:nvSpPr>
        <dsp:cNvPr id="0" name=""/>
        <dsp:cNvSpPr/>
      </dsp:nvSpPr>
      <dsp:spPr>
        <a:xfrm>
          <a:off x="5294417" y="1002618"/>
          <a:ext cx="1081950" cy="687038"/>
        </a:xfrm>
        <a:prstGeom prst="roundRect">
          <a:avLst>
            <a:gd name="adj" fmla="val 1000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lt1"/>
        </a:fontRef>
      </dsp:style>
    </dsp:sp>
    <dsp:sp modelId="{C287BFE8-5D79-42B3-BF1C-6B082A6ADFD1}">
      <dsp:nvSpPr>
        <dsp:cNvPr id="0" name=""/>
        <dsp:cNvSpPr/>
      </dsp:nvSpPr>
      <dsp:spPr>
        <a:xfrm>
          <a:off x="5414633" y="1116824"/>
          <a:ext cx="1081950" cy="687038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100" b="1" kern="1200"/>
            <a:t>6.462.01 ROD.CON.01</a:t>
          </a:r>
        </a:p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700" kern="1200"/>
            <a:t>CONSERVA</a:t>
          </a:r>
        </a:p>
      </dsp:txBody>
      <dsp:txXfrm>
        <a:off x="5434756" y="1136947"/>
        <a:ext cx="1041704" cy="646792"/>
      </dsp:txXfrm>
    </dsp:sp>
    <dsp:sp modelId="{14BCE619-1A55-416C-AF88-E0EE760F1E42}">
      <dsp:nvSpPr>
        <dsp:cNvPr id="0" name=""/>
        <dsp:cNvSpPr/>
      </dsp:nvSpPr>
      <dsp:spPr>
        <a:xfrm>
          <a:off x="5294417" y="2004324"/>
          <a:ext cx="1081950" cy="3093315"/>
        </a:xfrm>
        <a:prstGeom prst="roundRect">
          <a:avLst>
            <a:gd name="adj" fmla="val 1000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lt1"/>
        </a:fontRef>
      </dsp:style>
    </dsp:sp>
    <dsp:sp modelId="{1BEA8B10-6709-49E7-A81C-F13E6ADE4E56}">
      <dsp:nvSpPr>
        <dsp:cNvPr id="0" name=""/>
        <dsp:cNvSpPr/>
      </dsp:nvSpPr>
      <dsp:spPr>
        <a:xfrm>
          <a:off x="5414633" y="2118530"/>
          <a:ext cx="1081950" cy="3093315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30480" tIns="30480" rIns="30480" bIns="30480" numCol="1" spcCol="1270" anchor="t" anchorCtr="0">
          <a:noAutofit/>
        </a:bodyPr>
        <a:lstStyle/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Cercas de arame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Caiação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Limpeza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Reparo localizados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Sub-empreiteiros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800" b="1" kern="1200"/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Equipamentos utilizados: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0" kern="1200"/>
            <a:t>Trator, roçadeira, caminhão e outros.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Materiasis utilizados: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0" kern="1200"/>
            <a:t>Cal, cimento, areia, oleo diesel e outros.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Mão de obra: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0" kern="1200"/>
            <a:t>Ajudante, pedreiro, operadores de máquinas e outros exceto encarregados, apontadores e aux. de controle.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800" b="1" kern="1200"/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800" b="1" kern="1200"/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600" kern="1200"/>
        </a:p>
      </dsp:txBody>
      <dsp:txXfrm>
        <a:off x="5446322" y="2150219"/>
        <a:ext cx="1018572" cy="3029937"/>
      </dsp:txXfrm>
    </dsp:sp>
    <dsp:sp modelId="{182DFEEB-D54C-489D-BC8C-66FA18438E75}">
      <dsp:nvSpPr>
        <dsp:cNvPr id="0" name=""/>
        <dsp:cNvSpPr/>
      </dsp:nvSpPr>
      <dsp:spPr>
        <a:xfrm>
          <a:off x="3972033" y="1002618"/>
          <a:ext cx="1081950" cy="687038"/>
        </a:xfrm>
        <a:prstGeom prst="roundRect">
          <a:avLst>
            <a:gd name="adj" fmla="val 1000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lt1"/>
        </a:fontRef>
      </dsp:style>
    </dsp:sp>
    <dsp:sp modelId="{ACBC656F-3BEB-43AE-866E-C4EF81FA4351}">
      <dsp:nvSpPr>
        <dsp:cNvPr id="0" name=""/>
        <dsp:cNvSpPr/>
      </dsp:nvSpPr>
      <dsp:spPr>
        <a:xfrm>
          <a:off x="4092250" y="1116824"/>
          <a:ext cx="1081950" cy="687038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100" b="1" kern="1200"/>
            <a:t>6.462.01 ROD.OAC.01</a:t>
          </a:r>
        </a:p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700" kern="1200"/>
            <a:t>OBRA DE ARTE CORRENTE</a:t>
          </a:r>
        </a:p>
      </dsp:txBody>
      <dsp:txXfrm>
        <a:off x="4112373" y="1136947"/>
        <a:ext cx="1041704" cy="646792"/>
      </dsp:txXfrm>
    </dsp:sp>
    <dsp:sp modelId="{F4AF1E70-A04F-4711-ABD9-760B1233774E}">
      <dsp:nvSpPr>
        <dsp:cNvPr id="0" name=""/>
        <dsp:cNvSpPr/>
      </dsp:nvSpPr>
      <dsp:spPr>
        <a:xfrm>
          <a:off x="3972033" y="2004324"/>
          <a:ext cx="1081950" cy="3250818"/>
        </a:xfrm>
        <a:prstGeom prst="roundRect">
          <a:avLst>
            <a:gd name="adj" fmla="val 1000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lt1"/>
        </a:fontRef>
      </dsp:style>
    </dsp:sp>
    <dsp:sp modelId="{DE6BC7C0-1899-4891-8186-B782CE631185}">
      <dsp:nvSpPr>
        <dsp:cNvPr id="0" name=""/>
        <dsp:cNvSpPr/>
      </dsp:nvSpPr>
      <dsp:spPr>
        <a:xfrm>
          <a:off x="4092250" y="2118530"/>
          <a:ext cx="1081950" cy="3250818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30480" tIns="30480" rIns="30480" bIns="30480" numCol="1" spcCol="1270" anchor="t" anchorCtr="0">
          <a:noAutofit/>
        </a:bodyPr>
        <a:lstStyle/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Bueiros tubulares e celulares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Gabião 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Colchão reno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Manta geotextil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Enrocamento de pedra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Sub-empreiteiros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800" b="1" kern="1200"/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800" b="1" kern="1200"/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Equipamentos utilizados</a:t>
          </a:r>
          <a:r>
            <a:rPr lang="pt-BR" sz="800" kern="1200"/>
            <a:t>: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Retroescavadeira, caminhão e outros.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Materiais utizados</a:t>
          </a:r>
          <a:r>
            <a:rPr lang="pt-BR" sz="800" kern="1200"/>
            <a:t>: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Cimento,  agregados, tubos, pré-moldados, manta e outros.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Mão de obra: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Exceto encarregados, apontadores e aux. de controle.</a:t>
          </a:r>
          <a:endParaRPr lang="pt-BR" sz="800" b="1" kern="1200"/>
        </a:p>
      </dsp:txBody>
      <dsp:txXfrm>
        <a:off x="4123939" y="2150219"/>
        <a:ext cx="1018572" cy="3187440"/>
      </dsp:txXfrm>
    </dsp:sp>
    <dsp:sp modelId="{2AFE64B0-2C1A-487A-8FC0-1AD143E68213}">
      <dsp:nvSpPr>
        <dsp:cNvPr id="0" name=""/>
        <dsp:cNvSpPr/>
      </dsp:nvSpPr>
      <dsp:spPr>
        <a:xfrm>
          <a:off x="2649649" y="1002618"/>
          <a:ext cx="1081950" cy="687038"/>
        </a:xfrm>
        <a:prstGeom prst="roundRect">
          <a:avLst>
            <a:gd name="adj" fmla="val 1000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lt1"/>
        </a:fontRef>
      </dsp:style>
    </dsp:sp>
    <dsp:sp modelId="{E993334D-E792-4FC8-AD9A-D8127FB62375}">
      <dsp:nvSpPr>
        <dsp:cNvPr id="0" name=""/>
        <dsp:cNvSpPr/>
      </dsp:nvSpPr>
      <dsp:spPr>
        <a:xfrm>
          <a:off x="2769866" y="1116824"/>
          <a:ext cx="1081950" cy="687038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100" b="1" kern="1200"/>
            <a:t>6.462.01 ROD.CAP.01</a:t>
          </a:r>
        </a:p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700" kern="1200"/>
            <a:t>CAPA</a:t>
          </a:r>
        </a:p>
      </dsp:txBody>
      <dsp:txXfrm>
        <a:off x="2789989" y="1136947"/>
        <a:ext cx="1041704" cy="646792"/>
      </dsp:txXfrm>
    </dsp:sp>
    <dsp:sp modelId="{D98115BB-A095-4C38-99C7-3CBAB572E36D}">
      <dsp:nvSpPr>
        <dsp:cNvPr id="0" name=""/>
        <dsp:cNvSpPr/>
      </dsp:nvSpPr>
      <dsp:spPr>
        <a:xfrm>
          <a:off x="2649649" y="2004324"/>
          <a:ext cx="1081950" cy="3786303"/>
        </a:xfrm>
        <a:prstGeom prst="roundRect">
          <a:avLst>
            <a:gd name="adj" fmla="val 1000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lt1"/>
        </a:fontRef>
      </dsp:style>
    </dsp:sp>
    <dsp:sp modelId="{EBC15EA4-A83F-4ECD-8F8C-00C91A9AF848}">
      <dsp:nvSpPr>
        <dsp:cNvPr id="0" name=""/>
        <dsp:cNvSpPr/>
      </dsp:nvSpPr>
      <dsp:spPr>
        <a:xfrm>
          <a:off x="2769866" y="2118530"/>
          <a:ext cx="1081950" cy="3786303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30480" tIns="30480" rIns="30480" bIns="30480" numCol="1" spcCol="1270" anchor="t" anchorCtr="0">
          <a:noAutofit/>
        </a:bodyPr>
        <a:lstStyle/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Imprimação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Pintura de Ligação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Capa  (TSD E CBUQ)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Micro revestimento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800" b="1" kern="1200"/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800" b="1" kern="1200"/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Equipamentos utilizados: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Recicladora, fresadora, vibroacabadora, rolo  liso e pneu, transporte agregados e massa, espargidor,usina asfalto, pá carregadeira, gerador e outros.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Materiais utizados: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Asfaltos, Emulsões, agregados, filler, oleo diesel , cimento e outros.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Mão de obra :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Exceto encarregados, apontadores e aux. de controle.</a:t>
          </a:r>
        </a:p>
      </dsp:txBody>
      <dsp:txXfrm>
        <a:off x="2801555" y="2150219"/>
        <a:ext cx="1018572" cy="3722925"/>
      </dsp:txXfrm>
    </dsp:sp>
    <dsp:sp modelId="{ED787FB0-07BF-42B4-A076-F4FF255EFBBB}">
      <dsp:nvSpPr>
        <dsp:cNvPr id="0" name=""/>
        <dsp:cNvSpPr/>
      </dsp:nvSpPr>
      <dsp:spPr>
        <a:xfrm>
          <a:off x="1327266" y="1002618"/>
          <a:ext cx="1081950" cy="687038"/>
        </a:xfrm>
        <a:prstGeom prst="roundRect">
          <a:avLst>
            <a:gd name="adj" fmla="val 1000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lt1"/>
        </a:fontRef>
      </dsp:style>
    </dsp:sp>
    <dsp:sp modelId="{AED27111-80CE-4C02-80CC-B50221F3FEDC}">
      <dsp:nvSpPr>
        <dsp:cNvPr id="0" name=""/>
        <dsp:cNvSpPr/>
      </dsp:nvSpPr>
      <dsp:spPr>
        <a:xfrm>
          <a:off x="1447482" y="1116824"/>
          <a:ext cx="1081950" cy="687038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100" b="1" kern="1200"/>
            <a:t>6.462.01 ROD.TER.01</a:t>
          </a:r>
        </a:p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700" kern="1200"/>
            <a:t>TERRAPLENAGEM</a:t>
          </a:r>
        </a:p>
      </dsp:txBody>
      <dsp:txXfrm>
        <a:off x="1467605" y="1136947"/>
        <a:ext cx="1041704" cy="646792"/>
      </dsp:txXfrm>
    </dsp:sp>
    <dsp:sp modelId="{31C7497D-C07C-4C0D-AE1E-CFC2833940B6}">
      <dsp:nvSpPr>
        <dsp:cNvPr id="0" name=""/>
        <dsp:cNvSpPr/>
      </dsp:nvSpPr>
      <dsp:spPr>
        <a:xfrm>
          <a:off x="1327266" y="2004324"/>
          <a:ext cx="1081950" cy="3644560"/>
        </a:xfrm>
        <a:prstGeom prst="roundRect">
          <a:avLst>
            <a:gd name="adj" fmla="val 1000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lt1"/>
        </a:fontRef>
      </dsp:style>
    </dsp:sp>
    <dsp:sp modelId="{881C5508-A9A6-4070-BE60-4790EBB1DA49}">
      <dsp:nvSpPr>
        <dsp:cNvPr id="0" name=""/>
        <dsp:cNvSpPr/>
      </dsp:nvSpPr>
      <dsp:spPr>
        <a:xfrm>
          <a:off x="1447482" y="2118530"/>
          <a:ext cx="1081950" cy="3644560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30480" tIns="30480" rIns="30480" bIns="30480" numCol="1" spcCol="1270" anchor="t" anchorCtr="0">
          <a:noAutofit/>
        </a:bodyPr>
        <a:lstStyle/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Escavação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Transporte solos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Compactação aterro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Subleito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Sub-base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Base 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800" b="1" kern="1200"/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800" b="1" kern="1200"/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Equipamentos utilizados: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Patrol, trator com grade, rolo, pipa, transporte de solos, escadeira, trator de esteira e outros.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Materiais  utilizados: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Cimento, areia , materiais para colchão drenante, oleo diesel e outros.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b="1" kern="1200"/>
            <a:t>Mão de obra: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Exceto encarregados, apontadores e aux. de controle</a:t>
          </a:r>
          <a:endParaRPr lang="pt-BR" sz="800" b="1" kern="1200"/>
        </a:p>
      </dsp:txBody>
      <dsp:txXfrm>
        <a:off x="1479171" y="2150219"/>
        <a:ext cx="1018572" cy="3581182"/>
      </dsp:txXfrm>
    </dsp:sp>
    <dsp:sp modelId="{06D5D967-EAB4-4591-AF81-1433C00921BF}">
      <dsp:nvSpPr>
        <dsp:cNvPr id="0" name=""/>
        <dsp:cNvSpPr/>
      </dsp:nvSpPr>
      <dsp:spPr>
        <a:xfrm>
          <a:off x="4882" y="1002618"/>
          <a:ext cx="1081950" cy="687038"/>
        </a:xfrm>
        <a:prstGeom prst="roundRect">
          <a:avLst>
            <a:gd name="adj" fmla="val 1000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lt1"/>
        </a:fontRef>
      </dsp:style>
    </dsp:sp>
    <dsp:sp modelId="{106833A4-C4DA-4474-9D54-7F7AED1ED18D}">
      <dsp:nvSpPr>
        <dsp:cNvPr id="0" name=""/>
        <dsp:cNvSpPr/>
      </dsp:nvSpPr>
      <dsp:spPr>
        <a:xfrm>
          <a:off x="125099" y="1116824"/>
          <a:ext cx="1081950" cy="687038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1100" b="1" kern="1200"/>
            <a:t>6.462.01 ROD.IND.01</a:t>
          </a:r>
        </a:p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700" kern="1200"/>
            <a:t>INDIRETO</a:t>
          </a:r>
        </a:p>
      </dsp:txBody>
      <dsp:txXfrm>
        <a:off x="145222" y="1136947"/>
        <a:ext cx="1041704" cy="646792"/>
      </dsp:txXfrm>
    </dsp:sp>
    <dsp:sp modelId="{59B1D9EE-5985-4EC7-9F96-803C2C53E8AB}">
      <dsp:nvSpPr>
        <dsp:cNvPr id="0" name=""/>
        <dsp:cNvSpPr/>
      </dsp:nvSpPr>
      <dsp:spPr>
        <a:xfrm>
          <a:off x="4882" y="2004324"/>
          <a:ext cx="1081950" cy="4936041"/>
        </a:xfrm>
        <a:prstGeom prst="roundRect">
          <a:avLst>
            <a:gd name="adj" fmla="val 1000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dsp:spPr>
      <dsp:style>
        <a:lnRef idx="0">
          <a:scrgbClr r="0" g="0" b="0"/>
        </a:lnRef>
        <a:fillRef idx="3">
          <a:scrgbClr r="0" g="0" b="0"/>
        </a:fillRef>
        <a:effectRef idx="3">
          <a:scrgbClr r="0" g="0" b="0"/>
        </a:effectRef>
        <a:fontRef idx="minor">
          <a:schemeClr val="lt1"/>
        </a:fontRef>
      </dsp:style>
    </dsp:sp>
    <dsp:sp modelId="{1C574F5E-2F4B-44D4-B538-253997744CD7}">
      <dsp:nvSpPr>
        <dsp:cNvPr id="0" name=""/>
        <dsp:cNvSpPr/>
      </dsp:nvSpPr>
      <dsp:spPr>
        <a:xfrm>
          <a:off x="125099" y="2118530"/>
          <a:ext cx="1081950" cy="4936041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1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30480" tIns="30480" rIns="30480" bIns="30480" numCol="1" spcCol="1270" anchor="t" anchorCtr="0">
          <a:noAutofit/>
        </a:bodyPr>
        <a:lstStyle/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Engenheiros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Administração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Encarregados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Apontadores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Auxiliares de controle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Vigias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Veiculos adm.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Onibus e veiculos transportes de funcionários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Caminhão comboio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Veículos encarregados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Alugueis e despesas alojamentos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Laboratorios (todas as despesas)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Topografia (todas as despesas)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Oficina (todas as despesas)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Alimentação dos funcionários das estrututas acima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EPI'S / EPC / PCMAT / PCMSO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Exames médicos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Taxas / Emolumentos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Ferramentas em geral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pt-BR" sz="800" kern="1200"/>
            <a:t>Transporte de equipamentos e móveis</a:t>
          </a:r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800" kern="1200"/>
        </a:p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800" kern="1200"/>
        </a:p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pt-BR" sz="500" kern="1200"/>
        </a:p>
      </dsp:txBody>
      <dsp:txXfrm>
        <a:off x="156788" y="2150219"/>
        <a:ext cx="1018572" cy="4872663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ierarchy1">
  <dgm:title val=""/>
  <dgm:desc val=""/>
  <dgm:catLst>
    <dgm:cat type="hierarchy" pri="2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</dgm:ptLst>
      <dgm:cxnLst>
        <dgm:cxn modelId="4" srcId="0" destId="1" srcOrd="0" destOrd="0"/>
        <dgm:cxn modelId="5" srcId="1" destId="2" srcOrd="0" destOrd="0"/>
        <dgm:cxn modelId="6" srcId="1" destId="3" srcOrd="1" destOrd="0"/>
        <dgm:cxn modelId="23" srcId="2" destId="21" srcOrd="0" destOrd="0"/>
        <dgm:cxn modelId="24" srcId="2" destId="22" srcOrd="1" destOrd="0"/>
        <dgm:cxn modelId="33" srcId="3" destId="31" srcOrd="0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12"/>
      </dgm:ptLst>
      <dgm:cxnLst>
        <dgm:cxn modelId="2" srcId="0" destId="1" srcOrd="0" destOrd="0"/>
        <dgm:cxn modelId="13" srcId="1" destId="11" srcOrd="0" destOrd="0"/>
        <dgm:cxn modelId="14" srcId="1" destId="1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21"/>
        <dgm:pt modelId="211"/>
        <dgm:pt modelId="3"/>
        <dgm:pt modelId="31"/>
        <dgm:pt modelId="311"/>
      </dgm:ptLst>
      <dgm:cxnLst>
        <dgm:cxn modelId="4" srcId="0" destId="1" srcOrd="0" destOrd="0"/>
        <dgm:cxn modelId="5" srcId="1" destId="2" srcOrd="0" destOrd="0"/>
        <dgm:cxn modelId="6" srcId="1" destId="3" srcOrd="1" destOrd="0"/>
        <dgm:cxn modelId="23" srcId="2" destId="21" srcOrd="0" destOrd="0"/>
        <dgm:cxn modelId="24" srcId="21" destId="211" srcOrd="0" destOrd="0"/>
        <dgm:cxn modelId="33" srcId="3" destId="31" srcOrd="0" destOrd="0"/>
        <dgm:cxn modelId="34" srcId="31" destId="311" srcOrd="0" destOrd="0"/>
      </dgm:cxnLst>
      <dgm:bg/>
      <dgm:whole/>
    </dgm:dataModel>
  </dgm:clrData>
  <dgm:layoutNode name="hierChild1">
    <dgm:varLst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primFontSz" for="des" ptType="node" op="equ" val="65"/>
      <dgm:constr type="w" for="des" forName="composite" refType="w"/>
      <dgm:constr type="h" for="des" forName="composite" refType="w" refFor="des" refForName="composite" fact="0.667"/>
      <dgm:constr type="w" for="des" forName="composite2" refType="w" refFor="des" refForName="composite"/>
      <dgm:constr type="h" for="des" forName="composite2" refType="h" refFor="des" refForName="composite"/>
      <dgm:constr type="w" for="des" forName="composite3" refType="w" refFor="des" refForName="composite"/>
      <dgm:constr type="h" for="des" forName="composite3" refType="h" refFor="des" refForName="composite"/>
      <dgm:constr type="w" for="des" forName="composite4" refType="w" refFor="des" refForName="composite"/>
      <dgm:constr type="h" for="des" forName="composite4" refType="h" refFor="des" refForName="composite"/>
      <dgm:constr type="w" for="des" forName="composite5" refType="w" refFor="des" refForName="composite"/>
      <dgm:constr type="h" for="des" forName="composite5" refType="h" refFor="des" refForName="composite"/>
      <dgm:constr type="sibSp" refType="w" refFor="des" refForName="composite" fact="0.1"/>
      <dgm:constr type="sibSp" for="des" forName="hierChild2" refType="sibSp"/>
      <dgm:constr type="sibSp" for="des" forName="hierChild3" refType="sibSp"/>
      <dgm:constr type="sibSp" for="des" forName="hierChild4" refType="sibSp"/>
      <dgm:constr type="sibSp" for="des" forName="hierChild5" refType="sibSp"/>
      <dgm:constr type="sibSp" for="des" forName="hierChild6" refType="sibSp"/>
      <dgm:constr type="sp" for="des" forName="hierRoot1" refType="h" refFor="des" refForName="composite" fact="0.25"/>
      <dgm:constr type="sp" for="des" forName="hierRoot2" refType="sp" refFor="des" refForName="hierRoot1"/>
      <dgm:constr type="sp" for="des" forName="hierRoot3" refType="sp" refFor="des" refForName="hierRoot1"/>
      <dgm:constr type="sp" for="des" forName="hierRoot4" refType="sp" refFor="des" refForName="hierRoot1"/>
      <dgm:constr type="sp" for="des" forName="hierRoot5" refType="sp" refFor="des" refForName="hierRoot1"/>
    </dgm:constrLst>
    <dgm:ruleLst/>
    <dgm:forEach name="Name3" axis="ch">
      <dgm:forEach name="Name4" axis="self" ptType="node">
        <dgm:layoutNode name="hierRoot1">
          <dgm:alg type="hierRoot"/>
          <dgm:shape xmlns:r="http://schemas.openxmlformats.org/officeDocument/2006/relationships" r:blip="">
            <dgm:adjLst/>
          </dgm:shape>
          <dgm:presOf/>
          <dgm:constrLst>
            <dgm:constr type="bendDist" for="des" ptType="parTrans" refType="sp" fact="0.5"/>
          </dgm:constrLst>
          <dgm:ruleLst/>
          <dgm:layoutNode name="composite">
            <dgm:alg type="composite"/>
            <dgm:shape xmlns:r="http://schemas.openxmlformats.org/officeDocument/2006/relationships" r:blip="">
              <dgm:adjLst/>
            </dgm:shape>
            <dgm:presOf/>
            <dgm:constrLst>
              <dgm:constr type="w" for="ch" forName="background" refType="w" fact="0.9"/>
              <dgm:constr type="h" for="ch" forName="background" refType="w" refFor="ch" refForName="background" fact="0.635"/>
              <dgm:constr type="t" for="ch" forName="background"/>
              <dgm:constr type="l" for="ch" forName="background"/>
              <dgm:constr type="w" for="ch" forName="text" refType="w" fact="0.9"/>
              <dgm:constr type="h" for="ch" forName="text" refType="w" refFor="ch" refForName="text" fact="0.635"/>
              <dgm:constr type="t" for="ch" forName="text" refType="w" fact="0.095"/>
              <dgm:constr type="l" for="ch" forName="text" refType="w" fact="0.1"/>
            </dgm:constrLst>
            <dgm:ruleLst/>
            <dgm:layoutNode name="background" styleLbl="node0" moveWith="text">
              <dgm:alg type="sp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/>
              <dgm:constrLst/>
              <dgm:ruleLst/>
            </dgm:layoutNode>
            <dgm:layoutNode name="text" styleLbl="fgAcc0">
              <dgm:varLst>
                <dgm:chPref val="3"/>
              </dgm:varLst>
              <dgm:alg type="tx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self"/>
              <dgm:constrLst>
                <dgm:constr type="tMarg" refType="primFontSz" fact="0.3"/>
                <dgm:constr type="bMarg" refType="primFontSz" fact="0.3"/>
                <dgm:constr type="lMarg" refType="primFontSz" fact="0.3"/>
                <dgm:constr type="rMarg" refType="primFontSz" fact="0.3"/>
              </dgm:constrLst>
              <dgm:ruleLst>
                <dgm:rule type="primFontSz" val="5" fact="NaN" max="NaN"/>
              </dgm:ruleLst>
            </dgm:layoutNode>
          </dgm:layoutNode>
          <dgm:layoutNode name="hierChild2">
            <dgm:choose name="Name5">
              <dgm:if name="Name6" func="var" arg="dir" op="equ" val="norm">
                <dgm:alg type="hierChild">
                  <dgm:param type="linDir" val="fromL"/>
                </dgm:alg>
              </dgm:if>
              <dgm:else name="Name7">
                <dgm:alg type="hierChild">
                  <dgm:param type="linDir" val="fromR"/>
                </dgm:alg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Name8" axis="ch">
              <dgm:forEach name="Name9" axis="self" ptType="parTrans" cnt="1">
                <dgm:layoutNode name="Name10">
                  <dgm:alg type="conn">
                    <dgm:param type="dim" val="1D"/>
                    <dgm:param type="endSty" val="noArr"/>
                    <dgm:param type="connRout" val="bend"/>
                    <dgm:param type="bendPt" val="end"/>
                    <dgm:param type="begPts" val="bCtr"/>
                    <dgm:param type="endPts" val="tCtr"/>
                    <dgm:param type="srcNode" val="background"/>
                    <dgm:param type="dstNode" val="background2"/>
                  </dgm:alg>
                  <dgm:shape xmlns:r="http://schemas.openxmlformats.org/officeDocument/2006/relationships" type="conn" r:blip="" zOrderOff="-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forEach name="Name11" axis="self" ptType="node">
                <dgm:layoutNode name="hierRoot2">
                  <dgm:alg type="hierRoot"/>
                  <dgm:shape xmlns:r="http://schemas.openxmlformats.org/officeDocument/2006/relationships" r:blip="">
                    <dgm:adjLst/>
                  </dgm:shape>
                  <dgm:presOf/>
                  <dgm:constrLst>
                    <dgm:constr type="bendDist" for="des" ptType="parTrans" refType="sp" fact="0.5"/>
                  </dgm:constrLst>
                  <dgm:ruleLst/>
                  <dgm:layoutNode name="composite2">
                    <dgm:alg type="composite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w" for="ch" forName="background2" refType="w" fact="0.9"/>
                      <dgm:constr type="h" for="ch" forName="background2" refType="w" refFor="ch" refForName="background2" fact="0.635"/>
                      <dgm:constr type="t" for="ch" forName="background2"/>
                      <dgm:constr type="l" for="ch" forName="background2"/>
                      <dgm:constr type="w" for="ch" forName="text2" refType="w" fact="0.9"/>
                      <dgm:constr type="h" for="ch" forName="text2" refType="w" refFor="ch" refForName="text2" fact="0.635"/>
                      <dgm:constr type="t" for="ch" forName="text2" refType="w" fact="0.095"/>
                      <dgm:constr type="l" for="ch" forName="text2" refType="w" fact="0.1"/>
                    </dgm:constrLst>
                    <dgm:ruleLst/>
                    <dgm:layoutNode name="background2" moveWith="text2"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/>
                      <dgm:constrLst/>
                      <dgm:ruleLst/>
                    </dgm:layoutNode>
                    <dgm:layoutNode name="text2" styleLbl="fgAcc2">
                      <dgm:varLst>
                        <dgm:chPref val="3"/>
                      </dgm:varLst>
                      <dgm:alg type="tx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</dgm:layoutNode>
                  <dgm:layoutNode name="hierChild3">
                    <dgm:choose name="Name12">
                      <dgm:if name="Name13" func="var" arg="dir" op="equ" val="norm">
                        <dgm:alg type="hierChild">
                          <dgm:param type="linDir" val="fromL"/>
                        </dgm:alg>
                      </dgm:if>
                      <dgm:else name="Name14">
                        <dgm:alg type="hierChild">
                          <dgm:param type="linDir" val="fromR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constrLst/>
                    <dgm:ruleLst/>
                    <dgm:forEach name="Name15" axis="ch">
                      <dgm:forEach name="Name16" axis="self" ptType="parTrans" cnt="1">
                        <dgm:layoutNode name="Name17">
                          <dgm:alg type="conn">
                            <dgm:param type="dim" val="1D"/>
                            <dgm:param type="endSty" val="noArr"/>
                            <dgm:param type="connRout" val="bend"/>
                            <dgm:param type="bendPt" val="end"/>
                            <dgm:param type="begPts" val="bCtr"/>
                            <dgm:param type="endPts" val="tCtr"/>
                            <dgm:param type="srcNode" val="background2"/>
                            <dgm:param type="dstNode" val="background3"/>
                          </dgm:alg>
                          <dgm:shape xmlns:r="http://schemas.openxmlformats.org/officeDocument/2006/relationships" type="conn" r:blip="" zOrderOff="-999">
                            <dgm:adjLst/>
                          </dgm:shape>
                          <dgm:presOf axis="self"/>
                          <dgm:constrLst>
                            <dgm:constr type="begPad"/>
                            <dgm:constr type="endPad"/>
                          </dgm:constrLst>
                          <dgm:ruleLst/>
                        </dgm:layoutNode>
                      </dgm:forEach>
                      <dgm:forEach name="Name18" axis="self" ptType="node">
                        <dgm:layoutNode name="hierRoot3">
                          <dgm:alg type="hierRoot"/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constrLst>
                            <dgm:constr type="bendDist" for="des" ptType="parTrans" refType="sp" fact="0.5"/>
                          </dgm:constrLst>
                          <dgm:ruleLst/>
                          <dgm:layoutNode name="composite3">
                            <dgm:alg type="composite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  <dgm:constrLst>
                              <dgm:constr type="w" for="ch" forName="background3" refType="w" fact="0.9"/>
                              <dgm:constr type="h" for="ch" forName="background3" refType="w" refFor="ch" refForName="background3" fact="0.635"/>
                              <dgm:constr type="t" for="ch" forName="background3"/>
                              <dgm:constr type="l" for="ch" forName="background3"/>
                              <dgm:constr type="w" for="ch" forName="text3" refType="w" fact="0.9"/>
                              <dgm:constr type="h" for="ch" forName="text3" refType="w" refFor="ch" refForName="text3" fact="0.635"/>
                              <dgm:constr type="t" for="ch" forName="text3" refType="w" fact="0.095"/>
                              <dgm:constr type="l" for="ch" forName="text3" refType="w" fact="0.1"/>
                            </dgm:constrLst>
                            <dgm:ruleLst/>
                            <dgm:layoutNode name="background3" moveWith="text3">
                              <dgm:alg type="sp"/>
                              <dgm:shape xmlns:r="http://schemas.openxmlformats.org/officeDocument/2006/relationships" type="roundRect" r:blip="">
                                <dgm:adjLst>
                                  <dgm:adj idx="1" val="0.1"/>
                                </dgm:adjLst>
                              </dgm:shape>
                              <dgm:presOf/>
                              <dgm:constrLst/>
                              <dgm:ruleLst/>
                            </dgm:layoutNode>
                            <dgm:layoutNode name="text3" styleLbl="fgAcc3">
                              <dgm:varLst>
                                <dgm:chPref val="3"/>
                              </dgm:varLst>
                              <dgm:alg type="tx"/>
                              <dgm:shape xmlns:r="http://schemas.openxmlformats.org/officeDocument/2006/relationships" type="roundRect" r:blip="">
                                <dgm:adjLst>
                                  <dgm:adj idx="1" val="0.1"/>
                                </dgm:adjLst>
                              </dgm:shape>
                              <dgm:presOf axis="self"/>
                              <dgm:constrLst>
                                <dgm:constr type="tMarg" refType="primFontSz" fact="0.3"/>
                                <dgm:constr type="bMarg" refType="primFontSz" fact="0.3"/>
                                <dgm:constr type="lMarg" refType="primFontSz" fact="0.3"/>
                                <dgm:constr type="rMarg" refType="primFontSz" fact="0.3"/>
                              </dgm:constrLst>
                              <dgm:ruleLst>
                                <dgm:rule type="primFontSz" val="5" fact="NaN" max="NaN"/>
                              </dgm:ruleLst>
                            </dgm:layoutNode>
                          </dgm:layoutNode>
                          <dgm:layoutNode name="hierChild4">
                            <dgm:choose name="Name19">
                              <dgm:if name="Name20" func="var" arg="dir" op="equ" val="norm">
                                <dgm:alg type="hierChild">
                                  <dgm:param type="linDir" val="fromL"/>
                                </dgm:alg>
                              </dgm:if>
                              <dgm:else name="Name21">
                                <dgm:alg type="hierChild">
                                  <dgm:param type="linDir" val="fromR"/>
                                </dgm:alg>
                              </dgm:else>
                            </dgm:choose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  <dgm:constrLst/>
                            <dgm:ruleLst/>
                            <dgm:forEach name="repeat" axis="ch">
                              <dgm:forEach name="Name22" axis="self" ptType="parTrans" cnt="1">
                                <dgm:layoutNode name="Name23">
                                  <dgm:choose name="Name24">
                                    <dgm:if name="Name25" axis="self" func="depth" op="lte" val="4">
                                      <dgm:alg type="conn">
                                        <dgm:param type="dim" val="1D"/>
                                        <dgm:param type="endSty" val="noArr"/>
                                        <dgm:param type="connRout" val="bend"/>
                                        <dgm:param type="bendPt" val="end"/>
                                        <dgm:param type="begPts" val="bCtr"/>
                                        <dgm:param type="endPts" val="tCtr"/>
                                        <dgm:param type="srcNode" val="background3"/>
                                        <dgm:param type="dstNode" val="background4"/>
                                      </dgm:alg>
                                    </dgm:if>
                                    <dgm:else name="Name26">
                                      <dgm:alg type="conn">
                                        <dgm:param type="dim" val="1D"/>
                                        <dgm:param type="endSty" val="noArr"/>
                                        <dgm:param type="connRout" val="bend"/>
                                        <dgm:param type="bendPt" val="end"/>
                                        <dgm:param type="begPts" val="bCtr"/>
                                        <dgm:param type="endPts" val="tCtr"/>
                                        <dgm:param type="srcNode" val="background4"/>
                                        <dgm:param type="dstNode" val="background4"/>
                                      </dgm:alg>
                                    </dgm:else>
                                  </dgm:choose>
                                  <dgm:shape xmlns:r="http://schemas.openxmlformats.org/officeDocument/2006/relationships" type="conn" r:blip="" zOrderOff="-999">
                                    <dgm:adjLst/>
                                  </dgm:shape>
                                  <dgm:presOf axis="self"/>
                                  <dgm:constrLst>
                                    <dgm:constr type="begPad"/>
                                    <dgm:constr type="endPad"/>
                                  </dgm:constrLst>
                                  <dgm:ruleLst/>
                                </dgm:layoutNode>
                              </dgm:forEach>
                              <dgm:forEach name="Name27" axis="self" ptType="node">
                                <dgm:layoutNode name="hierRoot4">
                                  <dgm:alg type="hierRoot"/>
                                  <dgm:shape xmlns:r="http://schemas.openxmlformats.org/officeDocument/2006/relationships" r:blip="">
                                    <dgm:adjLst/>
                                  </dgm:shape>
                                  <dgm:presOf/>
                                  <dgm:constrLst>
                                    <dgm:constr type="bendDist" for="des" ptType="parTrans" refType="sp" fact="0.5"/>
                                  </dgm:constrLst>
                                  <dgm:ruleLst/>
                                  <dgm:layoutNode name="composite4">
                                    <dgm:alg type="composite"/>
                                    <dgm:shape xmlns:r="http://schemas.openxmlformats.org/officeDocument/2006/relationships" r:blip="">
                                      <dgm:adjLst/>
                                    </dgm:shape>
                                    <dgm:presOf/>
                                    <dgm:constrLst>
                                      <dgm:constr type="w" for="ch" forName="background4" refType="w" fact="0.9"/>
                                      <dgm:constr type="h" for="ch" forName="background4" refType="w" refFor="ch" refForName="background4" fact="0.635"/>
                                      <dgm:constr type="t" for="ch" forName="background4"/>
                                      <dgm:constr type="l" for="ch" forName="background4"/>
                                      <dgm:constr type="w" for="ch" forName="text4" refType="w" fact="0.9"/>
                                      <dgm:constr type="h" for="ch" forName="text4" refType="w" refFor="ch" refForName="text4" fact="0.635"/>
                                      <dgm:constr type="t" for="ch" forName="text4" refType="w" fact="0.095"/>
                                      <dgm:constr type="l" for="ch" forName="text4" refType="w" fact="0.1"/>
                                    </dgm:constrLst>
                                    <dgm:ruleLst/>
                                    <dgm:layoutNode name="background4" moveWith="text4">
                                      <dgm:alg type="sp"/>
                                      <dgm:shape xmlns:r="http://schemas.openxmlformats.org/officeDocument/2006/relationships" type="roundRect" r:blip="">
                                        <dgm:adjLst>
                                          <dgm:adj idx="1" val="0.1"/>
                                        </dgm:adjLst>
                                      </dgm:shape>
                                      <dgm:presOf/>
                                      <dgm:constrLst/>
                                      <dgm:ruleLst/>
                                    </dgm:layoutNode>
                                    <dgm:layoutNode name="text4" styleLbl="fgAcc4">
                                      <dgm:varLst>
                                        <dgm:chPref val="3"/>
                                      </dgm:varLst>
                                      <dgm:alg type="tx"/>
                                      <dgm:shape xmlns:r="http://schemas.openxmlformats.org/officeDocument/2006/relationships" type="roundRect" r:blip="">
                                        <dgm:adjLst>
                                          <dgm:adj idx="1" val="0.1"/>
                                        </dgm:adjLst>
                                      </dgm:shape>
                                      <dgm:presOf axis="self"/>
                                      <dgm:constrLst>
                                        <dgm:constr type="tMarg" refType="primFontSz" fact="0.3"/>
                                        <dgm:constr type="bMarg" refType="primFontSz" fact="0.3"/>
                                        <dgm:constr type="lMarg" refType="primFontSz" fact="0.3"/>
                                        <dgm:constr type="rMarg" refType="primFontSz" fact="0.3"/>
                                      </dgm:constrLst>
                                      <dgm:ruleLst>
                                        <dgm:rule type="primFontSz" val="5" fact="NaN" max="NaN"/>
                                      </dgm:ruleLst>
                                    </dgm:layoutNode>
                                  </dgm:layoutNode>
                                  <dgm:layoutNode name="hierChild5">
                                    <dgm:choose name="Name28">
                                      <dgm:if name="Name29" func="var" arg="dir" op="equ" val="norm">
                                        <dgm:alg type="hierChild">
                                          <dgm:param type="linDir" val="fromL"/>
                                        </dgm:alg>
                                      </dgm:if>
                                      <dgm:else name="Name30">
                                        <dgm:alg type="hierChild">
                                          <dgm:param type="linDir" val="fromR"/>
                                        </dgm:alg>
                                      </dgm:else>
                                    </dgm:choose>
                                    <dgm:shape xmlns:r="http://schemas.openxmlformats.org/officeDocument/2006/relationships" r:blip="">
                                      <dgm:adjLst/>
                                    </dgm:shape>
                                    <dgm:presOf/>
                                    <dgm:constrLst/>
                                    <dgm:ruleLst/>
                                    <dgm:forEach name="Name31" ref="repeat"/>
                                  </dgm:layoutNode>
                                </dgm:layoutNode>
                              </dgm:forEach>
                            </dgm:forEach>
                          </dgm:layoutNode>
                        </dgm:layoutNode>
                      </dgm:forEach>
                    </dgm:forEach>
                  </dgm:layoutNode>
                </dgm:layoutNode>
              </dgm:forEach>
            </dgm:forEach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5">
  <dgm:title val=""/>
  <dgm:desc val=""/>
  <dgm:catLst>
    <dgm:cat type="simple" pri="105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Resumo_Agrupamento!A1"/><Relationship Id="rId7" Type="http://schemas.openxmlformats.org/officeDocument/2006/relationships/image" Target="../media/image4.jpeg"/><Relationship Id="rId12" Type="http://schemas.openxmlformats.org/officeDocument/2006/relationships/image" Target="../media/image7.png"/><Relationship Id="rId2" Type="http://schemas.openxmlformats.org/officeDocument/2006/relationships/image" Target="../media/image1.png"/><Relationship Id="rId1" Type="http://schemas.openxmlformats.org/officeDocument/2006/relationships/hyperlink" Target="#Plan_Orc!A1"/><Relationship Id="rId6" Type="http://schemas.openxmlformats.org/officeDocument/2006/relationships/image" Target="../media/image3.png"/><Relationship Id="rId11" Type="http://schemas.openxmlformats.org/officeDocument/2006/relationships/hyperlink" Target="#PARAMETROS!A1"/><Relationship Id="rId5" Type="http://schemas.openxmlformats.org/officeDocument/2006/relationships/hyperlink" Target="#Lucratividade!A1"/><Relationship Id="rId10" Type="http://schemas.openxmlformats.org/officeDocument/2006/relationships/image" Target="../media/image6.png"/><Relationship Id="rId4" Type="http://schemas.openxmlformats.org/officeDocument/2006/relationships/image" Target="../media/image2.png"/><Relationship Id="rId9" Type="http://schemas.openxmlformats.org/officeDocument/2006/relationships/hyperlink" Target="#INDIRETO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gina_Inicial!A1"/><Relationship Id="rId2" Type="http://schemas.openxmlformats.org/officeDocument/2006/relationships/image" Target="../media/image8.jpeg"/><Relationship Id="rId1" Type="http://schemas.openxmlformats.org/officeDocument/2006/relationships/hyperlink" Target="#Lucratividade!A1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Pagina_Inicial!A1"/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#Pagina_Inicial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7" Type="http://schemas.openxmlformats.org/officeDocument/2006/relationships/image" Target="../media/image9.png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hyperlink" Target="#Pagina_Inicial!A1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#Pagina_Inicial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lan_Orc!A1"/><Relationship Id="rId2" Type="http://schemas.openxmlformats.org/officeDocument/2006/relationships/image" Target="../media/image10.png"/><Relationship Id="rId1" Type="http://schemas.openxmlformats.org/officeDocument/2006/relationships/image" Target="../media/image11.png"/><Relationship Id="rId6" Type="http://schemas.openxmlformats.org/officeDocument/2006/relationships/image" Target="../media/image9.png"/><Relationship Id="rId5" Type="http://schemas.openxmlformats.org/officeDocument/2006/relationships/hyperlink" Target="#Pagina_Inicial!A1"/><Relationship Id="rId4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hyperlink" Target="#Lucratividade!A1"/><Relationship Id="rId1" Type="http://schemas.openxmlformats.org/officeDocument/2006/relationships/image" Target="../media/image13.png"/><Relationship Id="rId5" Type="http://schemas.openxmlformats.org/officeDocument/2006/relationships/image" Target="../media/image9.png"/><Relationship Id="rId4" Type="http://schemas.openxmlformats.org/officeDocument/2006/relationships/hyperlink" Target="#Pagina_Inicial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hyperlink" Target="#Lucratividade!A1"/><Relationship Id="rId1" Type="http://schemas.openxmlformats.org/officeDocument/2006/relationships/image" Target="../media/image13.png"/><Relationship Id="rId5" Type="http://schemas.openxmlformats.org/officeDocument/2006/relationships/image" Target="../media/image9.png"/><Relationship Id="rId4" Type="http://schemas.openxmlformats.org/officeDocument/2006/relationships/hyperlink" Target="#Pagina_Inicial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hyperlink" Target="#Lucratividade!A1"/><Relationship Id="rId1" Type="http://schemas.openxmlformats.org/officeDocument/2006/relationships/image" Target="../media/image13.png"/><Relationship Id="rId5" Type="http://schemas.openxmlformats.org/officeDocument/2006/relationships/image" Target="../media/image9.png"/><Relationship Id="rId4" Type="http://schemas.openxmlformats.org/officeDocument/2006/relationships/hyperlink" Target="#Pagina_Inicial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hyperlink" Target="#Lucratividade!A1"/><Relationship Id="rId1" Type="http://schemas.openxmlformats.org/officeDocument/2006/relationships/image" Target="../media/image13.png"/><Relationship Id="rId5" Type="http://schemas.openxmlformats.org/officeDocument/2006/relationships/image" Target="../media/image9.png"/><Relationship Id="rId4" Type="http://schemas.openxmlformats.org/officeDocument/2006/relationships/hyperlink" Target="#Pagina_Inicial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hyperlink" Target="#Lucratividade!A1"/><Relationship Id="rId1" Type="http://schemas.openxmlformats.org/officeDocument/2006/relationships/image" Target="../media/image13.png"/><Relationship Id="rId5" Type="http://schemas.openxmlformats.org/officeDocument/2006/relationships/image" Target="../media/image9.png"/><Relationship Id="rId4" Type="http://schemas.openxmlformats.org/officeDocument/2006/relationships/hyperlink" Target="#Pagina_Inicial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hyperlink" Target="#Lucratividade!A1"/><Relationship Id="rId1" Type="http://schemas.openxmlformats.org/officeDocument/2006/relationships/image" Target="../media/image13.png"/><Relationship Id="rId5" Type="http://schemas.openxmlformats.org/officeDocument/2006/relationships/image" Target="../media/image9.png"/><Relationship Id="rId4" Type="http://schemas.openxmlformats.org/officeDocument/2006/relationships/hyperlink" Target="#Pagina_Inicial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hyperlink" Target="#Lucratividade!A1"/><Relationship Id="rId1" Type="http://schemas.openxmlformats.org/officeDocument/2006/relationships/image" Target="../media/image13.png"/><Relationship Id="rId5" Type="http://schemas.openxmlformats.org/officeDocument/2006/relationships/image" Target="../media/image9.png"/><Relationship Id="rId4" Type="http://schemas.openxmlformats.org/officeDocument/2006/relationships/hyperlink" Target="#Pagina_Inicial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hyperlink" Target="#Lucratividade!A1"/><Relationship Id="rId1" Type="http://schemas.openxmlformats.org/officeDocument/2006/relationships/image" Target="../media/image13.png"/><Relationship Id="rId5" Type="http://schemas.openxmlformats.org/officeDocument/2006/relationships/image" Target="../media/image9.png"/><Relationship Id="rId4" Type="http://schemas.openxmlformats.org/officeDocument/2006/relationships/hyperlink" Target="#Pagina_Inicial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hyperlink" Target="#Lucratividade!A1"/><Relationship Id="rId1" Type="http://schemas.openxmlformats.org/officeDocument/2006/relationships/image" Target="../media/image13.png"/><Relationship Id="rId5" Type="http://schemas.openxmlformats.org/officeDocument/2006/relationships/image" Target="../media/image9.png"/><Relationship Id="rId4" Type="http://schemas.openxmlformats.org/officeDocument/2006/relationships/hyperlink" Target="#Pagina_Inicial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hyperlink" Target="#Lucratividade!A1"/><Relationship Id="rId1" Type="http://schemas.openxmlformats.org/officeDocument/2006/relationships/image" Target="../media/image13.png"/><Relationship Id="rId5" Type="http://schemas.openxmlformats.org/officeDocument/2006/relationships/image" Target="../media/image9.png"/><Relationship Id="rId4" Type="http://schemas.openxmlformats.org/officeDocument/2006/relationships/hyperlink" Target="#Pagina_Inicial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hyperlink" Target="#Lucratividade!A1"/><Relationship Id="rId1" Type="http://schemas.openxmlformats.org/officeDocument/2006/relationships/image" Target="../media/image13.png"/><Relationship Id="rId5" Type="http://schemas.openxmlformats.org/officeDocument/2006/relationships/image" Target="../media/image9.png"/><Relationship Id="rId4" Type="http://schemas.openxmlformats.org/officeDocument/2006/relationships/hyperlink" Target="#Pagina_Inicial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hyperlink" Target="#Lucratividade!A1"/><Relationship Id="rId1" Type="http://schemas.openxmlformats.org/officeDocument/2006/relationships/image" Target="../media/image13.png"/><Relationship Id="rId5" Type="http://schemas.openxmlformats.org/officeDocument/2006/relationships/image" Target="../media/image9.png"/><Relationship Id="rId4" Type="http://schemas.openxmlformats.org/officeDocument/2006/relationships/hyperlink" Target="#Pagina_Inicial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14.png"/><Relationship Id="rId7" Type="http://schemas.openxmlformats.org/officeDocument/2006/relationships/image" Target="../media/image16.png"/><Relationship Id="rId2" Type="http://schemas.openxmlformats.org/officeDocument/2006/relationships/hyperlink" Target="#Lucratividade!A1"/><Relationship Id="rId1" Type="http://schemas.openxmlformats.org/officeDocument/2006/relationships/image" Target="../media/image13.png"/><Relationship Id="rId6" Type="http://schemas.openxmlformats.org/officeDocument/2006/relationships/image" Target="../media/image15.png"/><Relationship Id="rId5" Type="http://schemas.openxmlformats.org/officeDocument/2006/relationships/image" Target="../media/image9.png"/><Relationship Id="rId4" Type="http://schemas.openxmlformats.org/officeDocument/2006/relationships/hyperlink" Target="#Pagina_Inicial!A1"/><Relationship Id="rId9" Type="http://schemas.openxmlformats.org/officeDocument/2006/relationships/image" Target="../media/image18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hyperlink" Target="#Lucratividade!A1"/><Relationship Id="rId1" Type="http://schemas.openxmlformats.org/officeDocument/2006/relationships/image" Target="../media/image13.png"/><Relationship Id="rId5" Type="http://schemas.openxmlformats.org/officeDocument/2006/relationships/image" Target="../media/image9.png"/><Relationship Id="rId4" Type="http://schemas.openxmlformats.org/officeDocument/2006/relationships/hyperlink" Target="#Pagina_Inicial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hyperlink" Target="#Lucratividade!A1"/><Relationship Id="rId1" Type="http://schemas.openxmlformats.org/officeDocument/2006/relationships/image" Target="../media/image13.png"/><Relationship Id="rId5" Type="http://schemas.openxmlformats.org/officeDocument/2006/relationships/image" Target="../media/image9.png"/><Relationship Id="rId4" Type="http://schemas.openxmlformats.org/officeDocument/2006/relationships/hyperlink" Target="#Pagina_Inicial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hyperlink" Target="#Lucratividade!A1"/><Relationship Id="rId1" Type="http://schemas.openxmlformats.org/officeDocument/2006/relationships/image" Target="../media/image13.png"/><Relationship Id="rId5" Type="http://schemas.openxmlformats.org/officeDocument/2006/relationships/image" Target="../media/image9.png"/><Relationship Id="rId4" Type="http://schemas.openxmlformats.org/officeDocument/2006/relationships/hyperlink" Target="#Pagina_Inicial!A1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hyperlink" Target="#Lucratividade!A1"/><Relationship Id="rId1" Type="http://schemas.openxmlformats.org/officeDocument/2006/relationships/image" Target="../media/image13.png"/><Relationship Id="rId5" Type="http://schemas.openxmlformats.org/officeDocument/2006/relationships/image" Target="../media/image9.png"/><Relationship Id="rId4" Type="http://schemas.openxmlformats.org/officeDocument/2006/relationships/hyperlink" Target="#Pagina_Inicial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hyperlink" Target="#Lucratividade!A1"/><Relationship Id="rId1" Type="http://schemas.openxmlformats.org/officeDocument/2006/relationships/image" Target="../media/image13.png"/><Relationship Id="rId5" Type="http://schemas.openxmlformats.org/officeDocument/2006/relationships/image" Target="../media/image9.png"/><Relationship Id="rId4" Type="http://schemas.openxmlformats.org/officeDocument/2006/relationships/hyperlink" Target="#Pagina_Inicial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hyperlink" Target="#Lucratividade!A1"/><Relationship Id="rId1" Type="http://schemas.openxmlformats.org/officeDocument/2006/relationships/image" Target="../media/image13.png"/><Relationship Id="rId5" Type="http://schemas.openxmlformats.org/officeDocument/2006/relationships/image" Target="../media/image9.png"/><Relationship Id="rId4" Type="http://schemas.openxmlformats.org/officeDocument/2006/relationships/hyperlink" Target="#Pagina_Inicial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hyperlink" Target="#Lucratividade!A1"/><Relationship Id="rId1" Type="http://schemas.openxmlformats.org/officeDocument/2006/relationships/image" Target="../media/image13.png"/><Relationship Id="rId6" Type="http://schemas.openxmlformats.org/officeDocument/2006/relationships/image" Target="../media/image19.png"/><Relationship Id="rId5" Type="http://schemas.openxmlformats.org/officeDocument/2006/relationships/image" Target="../media/image9.png"/><Relationship Id="rId4" Type="http://schemas.openxmlformats.org/officeDocument/2006/relationships/hyperlink" Target="#Pagina_Inicial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hyperlink" Target="#Lucratividade!A1"/><Relationship Id="rId1" Type="http://schemas.openxmlformats.org/officeDocument/2006/relationships/image" Target="../media/image13.png"/><Relationship Id="rId5" Type="http://schemas.openxmlformats.org/officeDocument/2006/relationships/image" Target="../media/image9.png"/><Relationship Id="rId4" Type="http://schemas.openxmlformats.org/officeDocument/2006/relationships/hyperlink" Target="#Pagina_Inicial!A1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21.png"/><Relationship Id="rId2" Type="http://schemas.openxmlformats.org/officeDocument/2006/relationships/hyperlink" Target="#Lucratividade!A1"/><Relationship Id="rId1" Type="http://schemas.openxmlformats.org/officeDocument/2006/relationships/image" Target="../media/image13.png"/><Relationship Id="rId6" Type="http://schemas.openxmlformats.org/officeDocument/2006/relationships/image" Target="../media/image20.png"/><Relationship Id="rId5" Type="http://schemas.openxmlformats.org/officeDocument/2006/relationships/image" Target="../media/image9.png"/><Relationship Id="rId4" Type="http://schemas.openxmlformats.org/officeDocument/2006/relationships/hyperlink" Target="#Pagina_Inicial!A1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21.png"/><Relationship Id="rId2" Type="http://schemas.openxmlformats.org/officeDocument/2006/relationships/hyperlink" Target="#Lucratividade!A1"/><Relationship Id="rId1" Type="http://schemas.openxmlformats.org/officeDocument/2006/relationships/image" Target="../media/image13.png"/><Relationship Id="rId6" Type="http://schemas.openxmlformats.org/officeDocument/2006/relationships/image" Target="../media/image20.png"/><Relationship Id="rId5" Type="http://schemas.openxmlformats.org/officeDocument/2006/relationships/image" Target="../media/image9.png"/><Relationship Id="rId4" Type="http://schemas.openxmlformats.org/officeDocument/2006/relationships/hyperlink" Target="#Pagina_Inicial!A1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21.png"/><Relationship Id="rId2" Type="http://schemas.openxmlformats.org/officeDocument/2006/relationships/hyperlink" Target="#Lucratividade!A1"/><Relationship Id="rId1" Type="http://schemas.openxmlformats.org/officeDocument/2006/relationships/image" Target="../media/image13.png"/><Relationship Id="rId6" Type="http://schemas.openxmlformats.org/officeDocument/2006/relationships/image" Target="../media/image20.png"/><Relationship Id="rId5" Type="http://schemas.openxmlformats.org/officeDocument/2006/relationships/image" Target="../media/image9.png"/><Relationship Id="rId4" Type="http://schemas.openxmlformats.org/officeDocument/2006/relationships/hyperlink" Target="#Pagina_Inicial!A1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hyperlink" Target="#Lucratividade!A1"/><Relationship Id="rId1" Type="http://schemas.openxmlformats.org/officeDocument/2006/relationships/image" Target="../media/image13.png"/><Relationship Id="rId5" Type="http://schemas.openxmlformats.org/officeDocument/2006/relationships/image" Target="../media/image9.png"/><Relationship Id="rId4" Type="http://schemas.openxmlformats.org/officeDocument/2006/relationships/hyperlink" Target="#Pagina_Inicial!A1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hyperlink" Target="#Lucratividade!A1"/><Relationship Id="rId1" Type="http://schemas.openxmlformats.org/officeDocument/2006/relationships/image" Target="../media/image13.png"/><Relationship Id="rId6" Type="http://schemas.openxmlformats.org/officeDocument/2006/relationships/image" Target="../media/image22.png"/><Relationship Id="rId5" Type="http://schemas.openxmlformats.org/officeDocument/2006/relationships/image" Target="../media/image9.png"/><Relationship Id="rId4" Type="http://schemas.openxmlformats.org/officeDocument/2006/relationships/hyperlink" Target="#Pagina_Inicial!A1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hyperlink" Target="#Lucratividade!A1"/><Relationship Id="rId1" Type="http://schemas.openxmlformats.org/officeDocument/2006/relationships/image" Target="../media/image13.png"/><Relationship Id="rId5" Type="http://schemas.openxmlformats.org/officeDocument/2006/relationships/image" Target="../media/image9.png"/><Relationship Id="rId4" Type="http://schemas.openxmlformats.org/officeDocument/2006/relationships/hyperlink" Target="#Pagina_Inicial!A1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#Pagina_Inicial!A1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#Pagina_Inicial!A1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Pagina_Inicial!A1"/><Relationship Id="rId1" Type="http://schemas.openxmlformats.org/officeDocument/2006/relationships/image" Target="../media/image13.png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#Pagina_Inicial!A1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hyperlink" Target="#Pagina_Inici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228600</xdr:colOff>
      <xdr:row>4</xdr:row>
      <xdr:rowOff>107130</xdr:rowOff>
    </xdr:from>
    <xdr:to>
      <xdr:col>7</xdr:col>
      <xdr:colOff>266820</xdr:colOff>
      <xdr:row>12</xdr:row>
      <xdr:rowOff>133800</xdr:rowOff>
    </xdr:to>
    <xdr:pic>
      <xdr:nvPicPr>
        <xdr:cNvPr id="2" name="Imagem 1">
          <a:hlinkClick xmlns:r="http://schemas.openxmlformats.org/officeDocument/2006/relationships" r:id="rId1" tooltip="Planilha Orçamentária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7800" y="655770"/>
          <a:ext cx="1379340" cy="1485900"/>
        </a:xfrm>
        <a:prstGeom prst="rect">
          <a:avLst/>
        </a:prstGeom>
      </xdr:spPr>
    </xdr:pic>
    <xdr:clientData/>
  </xdr:twoCellAnchor>
  <xdr:twoCellAnchor editAs="oneCell">
    <xdr:from>
      <xdr:col>9</xdr:col>
      <xdr:colOff>243840</xdr:colOff>
      <xdr:row>4</xdr:row>
      <xdr:rowOff>106680</xdr:rowOff>
    </xdr:from>
    <xdr:to>
      <xdr:col>11</xdr:col>
      <xdr:colOff>439314</xdr:colOff>
      <xdr:row>12</xdr:row>
      <xdr:rowOff>134250</xdr:rowOff>
    </xdr:to>
    <xdr:pic>
      <xdr:nvPicPr>
        <xdr:cNvPr id="5" name="Imagem 4">
          <a:hlinkClick xmlns:r="http://schemas.openxmlformats.org/officeDocument/2006/relationships" r:id="rId3" tooltip="Planilha Agrupada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040" y="1158240"/>
          <a:ext cx="1532784" cy="1486800"/>
        </a:xfrm>
        <a:prstGeom prst="rect">
          <a:avLst/>
        </a:prstGeom>
      </xdr:spPr>
    </xdr:pic>
    <xdr:clientData/>
  </xdr:twoCellAnchor>
  <xdr:twoCellAnchor editAs="oneCell">
    <xdr:from>
      <xdr:col>13</xdr:col>
      <xdr:colOff>264584</xdr:colOff>
      <xdr:row>4</xdr:row>
      <xdr:rowOff>91440</xdr:rowOff>
    </xdr:from>
    <xdr:to>
      <xdr:col>16</xdr:col>
      <xdr:colOff>152400</xdr:colOff>
      <xdr:row>13</xdr:row>
      <xdr:rowOff>132927</xdr:rowOff>
    </xdr:to>
    <xdr:pic>
      <xdr:nvPicPr>
        <xdr:cNvPr id="6" name="Imagem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b="6114"/>
        <a:stretch/>
      </xdr:blipFill>
      <xdr:spPr>
        <a:xfrm>
          <a:off x="8720667" y="1139190"/>
          <a:ext cx="1888066" cy="1675977"/>
        </a:xfrm>
        <a:prstGeom prst="rect">
          <a:avLst/>
        </a:prstGeom>
      </xdr:spPr>
    </xdr:pic>
    <xdr:clientData/>
  </xdr:twoCellAnchor>
  <xdr:twoCellAnchor editAs="oneCell">
    <xdr:from>
      <xdr:col>13</xdr:col>
      <xdr:colOff>182880</xdr:colOff>
      <xdr:row>4</xdr:row>
      <xdr:rowOff>106680</xdr:rowOff>
    </xdr:from>
    <xdr:to>
      <xdr:col>15</xdr:col>
      <xdr:colOff>324750</xdr:colOff>
      <xdr:row>12</xdr:row>
      <xdr:rowOff>134250</xdr:rowOff>
    </xdr:to>
    <xdr:pic>
      <xdr:nvPicPr>
        <xdr:cNvPr id="7" name="Imagem 6">
          <a:hlinkClick xmlns:r="http://schemas.openxmlformats.org/officeDocument/2006/relationships" r:id="rId5" tooltip="Quadro Resumo Lucratividade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56320" y="1158240"/>
          <a:ext cx="1486800" cy="1486800"/>
        </a:xfrm>
        <a:prstGeom prst="rect">
          <a:avLst/>
        </a:prstGeom>
      </xdr:spPr>
    </xdr:pic>
    <xdr:clientData/>
  </xdr:twoCellAnchor>
  <xdr:twoCellAnchor>
    <xdr:from>
      <xdr:col>3</xdr:col>
      <xdr:colOff>177800</xdr:colOff>
      <xdr:row>1</xdr:row>
      <xdr:rowOff>161290</xdr:rowOff>
    </xdr:from>
    <xdr:to>
      <xdr:col>17</xdr:col>
      <xdr:colOff>650240</xdr:colOff>
      <xdr:row>33</xdr:row>
      <xdr:rowOff>161290</xdr:rowOff>
    </xdr:to>
    <xdr:sp macro="" textlink="">
      <xdr:nvSpPr>
        <xdr:cNvPr id="8" name="Retângulo de cantos arredondado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019300" y="669290"/>
          <a:ext cx="9754023" cy="5894917"/>
        </a:xfrm>
        <a:prstGeom prst="roundRect">
          <a:avLst>
            <a:gd name="adj" fmla="val 2993"/>
          </a:avLst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13</xdr:col>
      <xdr:colOff>411480</xdr:colOff>
      <xdr:row>18</xdr:row>
      <xdr:rowOff>66675</xdr:rowOff>
    </xdr:from>
    <xdr:to>
      <xdr:col>15</xdr:col>
      <xdr:colOff>285726</xdr:colOff>
      <xdr:row>26</xdr:row>
      <xdr:rowOff>94245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4920" y="3724275"/>
          <a:ext cx="1219176" cy="1486800"/>
        </a:xfrm>
        <a:prstGeom prst="rect">
          <a:avLst/>
        </a:prstGeom>
      </xdr:spPr>
    </xdr:pic>
    <xdr:clientData/>
  </xdr:twoCellAnchor>
  <xdr:twoCellAnchor editAs="oneCell">
    <xdr:from>
      <xdr:col>5</xdr:col>
      <xdr:colOff>259080</xdr:colOff>
      <xdr:row>18</xdr:row>
      <xdr:rowOff>66675</xdr:rowOff>
    </xdr:from>
    <xdr:to>
      <xdr:col>7</xdr:col>
      <xdr:colOff>400950</xdr:colOff>
      <xdr:row>26</xdr:row>
      <xdr:rowOff>94245</xdr:rowOff>
    </xdr:to>
    <xdr:pic>
      <xdr:nvPicPr>
        <xdr:cNvPr id="4" name="Imagem 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8040" y="3724275"/>
          <a:ext cx="1486800" cy="1486800"/>
        </a:xfrm>
        <a:prstGeom prst="rect">
          <a:avLst/>
        </a:prstGeom>
      </xdr:spPr>
    </xdr:pic>
    <xdr:clientData/>
  </xdr:twoCellAnchor>
  <xdr:twoCellAnchor editAs="oneCell">
    <xdr:from>
      <xdr:col>9</xdr:col>
      <xdr:colOff>259930</xdr:colOff>
      <xdr:row>18</xdr:row>
      <xdr:rowOff>66675</xdr:rowOff>
    </xdr:from>
    <xdr:to>
      <xdr:col>11</xdr:col>
      <xdr:colOff>401986</xdr:colOff>
      <xdr:row>26</xdr:row>
      <xdr:rowOff>94245</xdr:rowOff>
    </xdr:to>
    <xdr:pic>
      <xdr:nvPicPr>
        <xdr:cNvPr id="9" name="Imagem 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2663" y="3775075"/>
          <a:ext cx="1475980" cy="15138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12</xdr:col>
      <xdr:colOff>5256</xdr:colOff>
      <xdr:row>1</xdr:row>
      <xdr:rowOff>162909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9406759" y="0"/>
          <a:ext cx="1003738" cy="162909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700" b="1">
              <a:solidFill>
                <a:schemeClr val="bg1"/>
              </a:solidFill>
            </a:rPr>
            <a:t>% Análise</a:t>
          </a:r>
          <a:r>
            <a:rPr lang="pt-BR" sz="700" b="1" baseline="0">
              <a:solidFill>
                <a:schemeClr val="bg1"/>
              </a:solidFill>
            </a:rPr>
            <a:t> Venda</a:t>
          </a:r>
          <a:endParaRPr lang="pt-BR" sz="7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10</xdr:col>
      <xdr:colOff>133350</xdr:colOff>
      <xdr:row>0</xdr:row>
      <xdr:rowOff>146050</xdr:rowOff>
    </xdr:from>
    <xdr:to>
      <xdr:col>10</xdr:col>
      <xdr:colOff>377458</xdr:colOff>
      <xdr:row>1</xdr:row>
      <xdr:rowOff>209581</xdr:rowOff>
    </xdr:to>
    <xdr:pic>
      <xdr:nvPicPr>
        <xdr:cNvPr id="5" name="Imagem 4">
          <a:hlinkClick xmlns:r="http://schemas.openxmlformats.org/officeDocument/2006/relationships" r:id="rId1" tooltip="Quadro Resumo Lucratividade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7900" y="146050"/>
          <a:ext cx="244108" cy="249586"/>
        </a:xfrm>
        <a:prstGeom prst="rect">
          <a:avLst/>
        </a:prstGeom>
      </xdr:spPr>
    </xdr:pic>
    <xdr:clientData/>
  </xdr:twoCellAnchor>
  <xdr:twoCellAnchor>
    <xdr:from>
      <xdr:col>9</xdr:col>
      <xdr:colOff>914400</xdr:colOff>
      <xdr:row>1</xdr:row>
      <xdr:rowOff>191327</xdr:rowOff>
    </xdr:from>
    <xdr:to>
      <xdr:col>10</xdr:col>
      <xdr:colOff>522682</xdr:colOff>
      <xdr:row>1</xdr:row>
      <xdr:rowOff>299765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8432800" y="375477"/>
          <a:ext cx="554432" cy="1084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500" b="1" baseline="0">
              <a:solidFill>
                <a:srgbClr val="002060"/>
              </a:solidFill>
            </a:rPr>
            <a:t> Lucratividae</a:t>
          </a:r>
          <a:endParaRPr lang="pt-BR" sz="500" b="1">
            <a:solidFill>
              <a:srgbClr val="002060"/>
            </a:solidFill>
          </a:endParaRPr>
        </a:p>
      </xdr:txBody>
    </xdr:sp>
    <xdr:clientData/>
  </xdr:twoCellAnchor>
  <xdr:twoCellAnchor>
    <xdr:from>
      <xdr:col>10</xdr:col>
      <xdr:colOff>508000</xdr:colOff>
      <xdr:row>1</xdr:row>
      <xdr:rowOff>190500</xdr:rowOff>
    </xdr:from>
    <xdr:to>
      <xdr:col>10</xdr:col>
      <xdr:colOff>865809</xdr:colOff>
      <xdr:row>1</xdr:row>
      <xdr:rowOff>312465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972550" y="374650"/>
          <a:ext cx="357809" cy="1219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500" b="1">
              <a:solidFill>
                <a:srgbClr val="002060"/>
              </a:solidFill>
            </a:rPr>
            <a:t>Home</a:t>
          </a:r>
        </a:p>
      </xdr:txBody>
    </xdr:sp>
    <xdr:clientData/>
  </xdr:twoCellAnchor>
  <xdr:twoCellAnchor editAs="oneCell">
    <xdr:from>
      <xdr:col>10</xdr:col>
      <xdr:colOff>565150</xdr:colOff>
      <xdr:row>0</xdr:row>
      <xdr:rowOff>150193</xdr:rowOff>
    </xdr:from>
    <xdr:to>
      <xdr:col>10</xdr:col>
      <xdr:colOff>819150</xdr:colOff>
      <xdr:row>1</xdr:row>
      <xdr:rowOff>209248</xdr:rowOff>
    </xdr:to>
    <xdr:pic>
      <xdr:nvPicPr>
        <xdr:cNvPr id="10" name="Imagem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29700" y="150193"/>
          <a:ext cx="241300" cy="241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702164</xdr:colOff>
      <xdr:row>0</xdr:row>
      <xdr:rowOff>131719</xdr:rowOff>
    </xdr:from>
    <xdr:to>
      <xdr:col>4</xdr:col>
      <xdr:colOff>926381</xdr:colOff>
      <xdr:row>1</xdr:row>
      <xdr:rowOff>151622</xdr:rowOff>
    </xdr:to>
    <xdr:pic macro="[0]!Agrupamento"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6536" y="131719"/>
          <a:ext cx="218502" cy="219600"/>
        </a:xfrm>
        <a:prstGeom prst="rect">
          <a:avLst/>
        </a:prstGeom>
      </xdr:spPr>
    </xdr:pic>
    <xdr:clientData/>
  </xdr:twoCellAnchor>
  <xdr:twoCellAnchor>
    <xdr:from>
      <xdr:col>4</xdr:col>
      <xdr:colOff>578069</xdr:colOff>
      <xdr:row>1</xdr:row>
      <xdr:rowOff>161252</xdr:rowOff>
    </xdr:from>
    <xdr:to>
      <xdr:col>4</xdr:col>
      <xdr:colOff>1017124</xdr:colOff>
      <xdr:row>1</xdr:row>
      <xdr:rowOff>276482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7052441" y="360949"/>
          <a:ext cx="439055" cy="1152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500" b="1" baseline="0">
              <a:solidFill>
                <a:srgbClr val="002060"/>
              </a:solidFill>
            </a:rPr>
            <a:t> Atualizar</a:t>
          </a:r>
          <a:endParaRPr lang="pt-BR" sz="50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4</xdr:col>
      <xdr:colOff>1135117</xdr:colOff>
      <xdr:row>0</xdr:row>
      <xdr:rowOff>120869</xdr:rowOff>
    </xdr:from>
    <xdr:to>
      <xdr:col>4</xdr:col>
      <xdr:colOff>1382132</xdr:colOff>
      <xdr:row>1</xdr:row>
      <xdr:rowOff>171997</xdr:rowOff>
    </xdr:to>
    <xdr:pic>
      <xdr:nvPicPr>
        <xdr:cNvPr id="7" name="Imagem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09489" y="120869"/>
          <a:ext cx="241300" cy="2413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2931160</xdr:colOff>
      <xdr:row>0</xdr:row>
      <xdr:rowOff>30480</xdr:rowOff>
    </xdr:from>
    <xdr:to>
      <xdr:col>3</xdr:col>
      <xdr:colOff>635</xdr:colOff>
      <xdr:row>1</xdr:row>
      <xdr:rowOff>73660</xdr:rowOff>
    </xdr:to>
    <xdr:pic>
      <xdr:nvPicPr>
        <xdr:cNvPr id="4" name="Imagem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7440" y="30480"/>
          <a:ext cx="241300" cy="2413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129540</xdr:rowOff>
    </xdr:from>
    <xdr:to>
      <xdr:col>16</xdr:col>
      <xdr:colOff>431800</xdr:colOff>
      <xdr:row>41</xdr:row>
      <xdr:rowOff>127000</xdr:rowOff>
    </xdr:to>
    <xdr:graphicFrame macro="">
      <xdr:nvGraphicFramePr>
        <xdr:cNvPr id="3" name="Diagrama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 editAs="oneCell">
    <xdr:from>
      <xdr:col>15</xdr:col>
      <xdr:colOff>358140</xdr:colOff>
      <xdr:row>2</xdr:row>
      <xdr:rowOff>0</xdr:rowOff>
    </xdr:from>
    <xdr:to>
      <xdr:col>16</xdr:col>
      <xdr:colOff>350372</xdr:colOff>
      <xdr:row>5</xdr:row>
      <xdr:rowOff>38100</xdr:rowOff>
    </xdr:to>
    <xdr:pic>
      <xdr:nvPicPr>
        <xdr:cNvPr id="2" name="Imagem 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51FFAF6-1902-4632-9133-3AEF43D447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3015" y="361950"/>
          <a:ext cx="601832" cy="5810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198120</xdr:colOff>
      <xdr:row>0</xdr:row>
      <xdr:rowOff>106680</xdr:rowOff>
    </xdr:from>
    <xdr:to>
      <xdr:col>10</xdr:col>
      <xdr:colOff>438150</xdr:colOff>
      <xdr:row>1</xdr:row>
      <xdr:rowOff>171450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1920" y="106680"/>
          <a:ext cx="241300" cy="2413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624896</xdr:colOff>
      <xdr:row>0</xdr:row>
      <xdr:rowOff>156844</xdr:rowOff>
    </xdr:from>
    <xdr:to>
      <xdr:col>12</xdr:col>
      <xdr:colOff>857196</xdr:colOff>
      <xdr:row>1</xdr:row>
      <xdr:rowOff>194307</xdr:rowOff>
    </xdr:to>
    <xdr:pic macro="[0]!Criar_CPU"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33800" y="156844"/>
          <a:ext cx="219600" cy="222993"/>
        </a:xfrm>
        <a:prstGeom prst="rect">
          <a:avLst/>
        </a:prstGeom>
      </xdr:spPr>
    </xdr:pic>
    <xdr:clientData/>
  </xdr:twoCellAnchor>
  <xdr:twoCellAnchor>
    <xdr:from>
      <xdr:col>12</xdr:col>
      <xdr:colOff>523239</xdr:colOff>
      <xdr:row>1</xdr:row>
      <xdr:rowOff>198668</xdr:rowOff>
    </xdr:from>
    <xdr:to>
      <xdr:col>13</xdr:col>
      <xdr:colOff>3612</xdr:colOff>
      <xdr:row>1</xdr:row>
      <xdr:rowOff>324058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12132143" y="384198"/>
          <a:ext cx="441156" cy="1253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500" b="1">
              <a:solidFill>
                <a:srgbClr val="002060"/>
              </a:solidFill>
            </a:rPr>
            <a:t>Criar</a:t>
          </a:r>
          <a:r>
            <a:rPr lang="pt-BR" sz="500" b="1" baseline="0">
              <a:solidFill>
                <a:srgbClr val="002060"/>
              </a:solidFill>
            </a:rPr>
            <a:t> CPU</a:t>
          </a:r>
          <a:endParaRPr lang="pt-BR" sz="50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12</xdr:col>
      <xdr:colOff>162560</xdr:colOff>
      <xdr:row>0</xdr:row>
      <xdr:rowOff>157215</xdr:rowOff>
    </xdr:from>
    <xdr:to>
      <xdr:col>12</xdr:col>
      <xdr:colOff>381062</xdr:colOff>
      <xdr:row>1</xdr:row>
      <xdr:rowOff>193935</xdr:rowOff>
    </xdr:to>
    <xdr:pic macro="[0]!Atualizar">
      <xdr:nvPicPr>
        <xdr:cNvPr id="8" name="Imagem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71464" y="157215"/>
          <a:ext cx="218502" cy="222250"/>
        </a:xfrm>
        <a:prstGeom prst="rect">
          <a:avLst/>
        </a:prstGeom>
      </xdr:spPr>
    </xdr:pic>
    <xdr:clientData/>
  </xdr:twoCellAnchor>
  <xdr:twoCellAnchor>
    <xdr:from>
      <xdr:col>12</xdr:col>
      <xdr:colOff>38465</xdr:colOff>
      <xdr:row>1</xdr:row>
      <xdr:rowOff>198668</xdr:rowOff>
    </xdr:from>
    <xdr:to>
      <xdr:col>12</xdr:col>
      <xdr:colOff>477520</xdr:colOff>
      <xdr:row>1</xdr:row>
      <xdr:rowOff>313898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11647369" y="384198"/>
          <a:ext cx="439055" cy="1152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500" b="1" baseline="0">
              <a:solidFill>
                <a:srgbClr val="002060"/>
              </a:solidFill>
            </a:rPr>
            <a:t> Atualizar</a:t>
          </a:r>
          <a:endParaRPr lang="pt-BR" sz="50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11</xdr:col>
      <xdr:colOff>579120</xdr:colOff>
      <xdr:row>0</xdr:row>
      <xdr:rowOff>142771</xdr:rowOff>
    </xdr:from>
    <xdr:to>
      <xdr:col>11</xdr:col>
      <xdr:colOff>802320</xdr:colOff>
      <xdr:row>1</xdr:row>
      <xdr:rowOff>209015</xdr:rowOff>
    </xdr:to>
    <xdr:pic>
      <xdr:nvPicPr>
        <xdr:cNvPr id="7" name="Imagem 6">
          <a:hlinkClick xmlns:r="http://schemas.openxmlformats.org/officeDocument/2006/relationships" r:id="rId3" tooltip="Planilha Orçamentária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3381" y="142771"/>
          <a:ext cx="223200" cy="251139"/>
        </a:xfrm>
        <a:prstGeom prst="rect">
          <a:avLst/>
        </a:prstGeom>
      </xdr:spPr>
    </xdr:pic>
    <xdr:clientData/>
  </xdr:twoCellAnchor>
  <xdr:twoCellAnchor>
    <xdr:from>
      <xdr:col>11</xdr:col>
      <xdr:colOff>481054</xdr:colOff>
      <xdr:row>1</xdr:row>
      <xdr:rowOff>198668</xdr:rowOff>
    </xdr:from>
    <xdr:to>
      <xdr:col>12</xdr:col>
      <xdr:colOff>43809</xdr:colOff>
      <xdr:row>1</xdr:row>
      <xdr:rowOff>313898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11215315" y="384198"/>
          <a:ext cx="437398" cy="1152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500" b="1" baseline="0">
              <a:solidFill>
                <a:srgbClr val="002060"/>
              </a:solidFill>
            </a:rPr>
            <a:t> Plan Orc</a:t>
          </a:r>
          <a:endParaRPr lang="pt-BR" sz="500" b="1">
            <a:solidFill>
              <a:srgbClr val="002060"/>
            </a:solidFill>
          </a:endParaRPr>
        </a:p>
      </xdr:txBody>
    </xdr:sp>
    <xdr:clientData/>
  </xdr:twoCellAnchor>
  <xdr:twoCellAnchor>
    <xdr:from>
      <xdr:col>13</xdr:col>
      <xdr:colOff>0</xdr:colOff>
      <xdr:row>1</xdr:row>
      <xdr:rowOff>198668</xdr:rowOff>
    </xdr:from>
    <xdr:to>
      <xdr:col>13</xdr:col>
      <xdr:colOff>357809</xdr:colOff>
      <xdr:row>1</xdr:row>
      <xdr:rowOff>320633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/>
      </xdr:nvSpPr>
      <xdr:spPr>
        <a:xfrm>
          <a:off x="12569687" y="384198"/>
          <a:ext cx="357809" cy="1219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500" b="1">
              <a:solidFill>
                <a:srgbClr val="002060"/>
              </a:solidFill>
            </a:rPr>
            <a:t>Home</a:t>
          </a:r>
        </a:p>
      </xdr:txBody>
    </xdr:sp>
    <xdr:clientData/>
  </xdr:twoCellAnchor>
  <xdr:twoCellAnchor editAs="oneCell">
    <xdr:from>
      <xdr:col>13</xdr:col>
      <xdr:colOff>66261</xdr:colOff>
      <xdr:row>0</xdr:row>
      <xdr:rowOff>147690</xdr:rowOff>
    </xdr:from>
    <xdr:to>
      <xdr:col>13</xdr:col>
      <xdr:colOff>307561</xdr:colOff>
      <xdr:row>1</xdr:row>
      <xdr:rowOff>209175</xdr:rowOff>
    </xdr:to>
    <xdr:pic>
      <xdr:nvPicPr>
        <xdr:cNvPr id="13" name="Imagem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35948" y="147690"/>
          <a:ext cx="241300" cy="2413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</xdr:colOff>
      <xdr:row>1</xdr:row>
      <xdr:rowOff>7620</xdr:rowOff>
    </xdr:from>
    <xdr:to>
      <xdr:col>1</xdr:col>
      <xdr:colOff>361950</xdr:colOff>
      <xdr:row>24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Codigo">
              <a:extLst>
                <a:ext uri="{FF2B5EF4-FFF2-40B4-BE49-F238E27FC236}">
                  <a16:creationId xmlns:a16="http://schemas.microsoft.com/office/drawing/2014/main" id="{A889099E-2C4D-5806-E006-94B35BB6350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dig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860" y="731520"/>
              <a:ext cx="1828800" cy="42748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579118</xdr:colOff>
      <xdr:row>0</xdr:row>
      <xdr:rowOff>42829</xdr:rowOff>
    </xdr:from>
    <xdr:to>
      <xdr:col>10</xdr:col>
      <xdr:colOff>59578</xdr:colOff>
      <xdr:row>0</xdr:row>
      <xdr:rowOff>247189</xdr:rowOff>
    </xdr:to>
    <xdr:pic macro="[0]!Salvar_CPU">
      <xdr:nvPicPr>
        <xdr:cNvPr id="5" name="Imagem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6558" y="42829"/>
          <a:ext cx="219600" cy="219600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0</xdr:row>
      <xdr:rowOff>42829</xdr:rowOff>
    </xdr:from>
    <xdr:to>
      <xdr:col>10</xdr:col>
      <xdr:colOff>703470</xdr:colOff>
      <xdr:row>0</xdr:row>
      <xdr:rowOff>247189</xdr:rowOff>
    </xdr:to>
    <xdr:pic>
      <xdr:nvPicPr>
        <xdr:cNvPr id="4" name="Imagem 3">
          <a:hlinkClick xmlns:r="http://schemas.openxmlformats.org/officeDocument/2006/relationships" r:id="rId2" tooltip="Voltar"/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1880" y="42829"/>
          <a:ext cx="219600" cy="219600"/>
        </a:xfrm>
        <a:prstGeom prst="rect">
          <a:avLst/>
        </a:prstGeom>
      </xdr:spPr>
    </xdr:pic>
    <xdr:clientData/>
  </xdr:twoCellAnchor>
  <xdr:twoCellAnchor editAs="oneCell">
    <xdr:from>
      <xdr:col>10</xdr:col>
      <xdr:colOff>175260</xdr:colOff>
      <xdr:row>0</xdr:row>
      <xdr:rowOff>31979</xdr:rowOff>
    </xdr:from>
    <xdr:to>
      <xdr:col>10</xdr:col>
      <xdr:colOff>416560</xdr:colOff>
      <xdr:row>0</xdr:row>
      <xdr:rowOff>282804</xdr:rowOff>
    </xdr:to>
    <xdr:pic>
      <xdr:nvPicPr>
        <xdr:cNvPr id="8" name="Imagem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1840" y="31979"/>
          <a:ext cx="241300" cy="2413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579118</xdr:colOff>
      <xdr:row>0</xdr:row>
      <xdr:rowOff>42829</xdr:rowOff>
    </xdr:from>
    <xdr:to>
      <xdr:col>10</xdr:col>
      <xdr:colOff>59578</xdr:colOff>
      <xdr:row>0</xdr:row>
      <xdr:rowOff>247189</xdr:rowOff>
    </xdr:to>
    <xdr:pic macro="[0]!Salvar_CPU">
      <xdr:nvPicPr>
        <xdr:cNvPr id="2" name="Imagem 1">
          <a:extLst>
            <a:ext uri="{FF2B5EF4-FFF2-40B4-BE49-F238E27FC236}">
              <a16:creationId xmlns:a16="http://schemas.microsoft.com/office/drawing/2014/main" id="{18D8C207-F716-4807-AB2A-2144EBD9FD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3" y="44734"/>
          <a:ext cx="20817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0</xdr:row>
      <xdr:rowOff>42829</xdr:rowOff>
    </xdr:from>
    <xdr:to>
      <xdr:col>10</xdr:col>
      <xdr:colOff>703470</xdr:colOff>
      <xdr:row>0</xdr:row>
      <xdr:rowOff>247189</xdr:rowOff>
    </xdr:to>
    <xdr:pic>
      <xdr:nvPicPr>
        <xdr:cNvPr id="3" name="Imagem 2">
          <a:hlinkClick xmlns:r="http://schemas.openxmlformats.org/officeDocument/2006/relationships" r:id="rId2" tooltip="Voltar"/>
          <a:extLst>
            <a:ext uri="{FF2B5EF4-FFF2-40B4-BE49-F238E27FC236}">
              <a16:creationId xmlns:a16="http://schemas.microsoft.com/office/drawing/2014/main" id="{C68A18DC-FB0B-4DF2-8AF3-EA9B4F8813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925" y="44734"/>
          <a:ext cx="21198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175260</xdr:colOff>
      <xdr:row>0</xdr:row>
      <xdr:rowOff>31979</xdr:rowOff>
    </xdr:from>
    <xdr:to>
      <xdr:col>10</xdr:col>
      <xdr:colOff>416560</xdr:colOff>
      <xdr:row>0</xdr:row>
      <xdr:rowOff>282804</xdr:rowOff>
    </xdr:to>
    <xdr:pic>
      <xdr:nvPicPr>
        <xdr:cNvPr id="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BE6A3E8-DF06-4C74-92DD-CDE737F0F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30074"/>
          <a:ext cx="245110" cy="25654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579118</xdr:colOff>
      <xdr:row>0</xdr:row>
      <xdr:rowOff>42829</xdr:rowOff>
    </xdr:from>
    <xdr:to>
      <xdr:col>10</xdr:col>
      <xdr:colOff>55768</xdr:colOff>
      <xdr:row>0</xdr:row>
      <xdr:rowOff>250999</xdr:rowOff>
    </xdr:to>
    <xdr:pic macro="[0]!Salvar_CPU">
      <xdr:nvPicPr>
        <xdr:cNvPr id="2" name="Imagem 1">
          <a:extLst>
            <a:ext uri="{FF2B5EF4-FFF2-40B4-BE49-F238E27FC236}">
              <a16:creationId xmlns:a16="http://schemas.microsoft.com/office/drawing/2014/main" id="{B61D0D1C-F25D-40D7-9D24-9400A0116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3" y="44734"/>
          <a:ext cx="20817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0</xdr:row>
      <xdr:rowOff>42829</xdr:rowOff>
    </xdr:from>
    <xdr:to>
      <xdr:col>10</xdr:col>
      <xdr:colOff>707280</xdr:colOff>
      <xdr:row>0</xdr:row>
      <xdr:rowOff>250999</xdr:rowOff>
    </xdr:to>
    <xdr:pic>
      <xdr:nvPicPr>
        <xdr:cNvPr id="3" name="Imagem 2">
          <a:hlinkClick xmlns:r="http://schemas.openxmlformats.org/officeDocument/2006/relationships" r:id="rId2" tooltip="Voltar"/>
          <a:extLst>
            <a:ext uri="{FF2B5EF4-FFF2-40B4-BE49-F238E27FC236}">
              <a16:creationId xmlns:a16="http://schemas.microsoft.com/office/drawing/2014/main" id="{90D45990-478E-4038-92AC-283377C89A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925" y="44734"/>
          <a:ext cx="21198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175260</xdr:colOff>
      <xdr:row>0</xdr:row>
      <xdr:rowOff>31979</xdr:rowOff>
    </xdr:from>
    <xdr:to>
      <xdr:col>10</xdr:col>
      <xdr:colOff>416560</xdr:colOff>
      <xdr:row>0</xdr:row>
      <xdr:rowOff>286614</xdr:rowOff>
    </xdr:to>
    <xdr:pic>
      <xdr:nvPicPr>
        <xdr:cNvPr id="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9D20B9E-3ADE-482A-976F-B37BBCA738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30074"/>
          <a:ext cx="245110" cy="2565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579118</xdr:colOff>
      <xdr:row>0</xdr:row>
      <xdr:rowOff>42829</xdr:rowOff>
    </xdr:from>
    <xdr:to>
      <xdr:col>10</xdr:col>
      <xdr:colOff>59578</xdr:colOff>
      <xdr:row>0</xdr:row>
      <xdr:rowOff>247189</xdr:rowOff>
    </xdr:to>
    <xdr:pic macro="[0]!Salvar_CPU">
      <xdr:nvPicPr>
        <xdr:cNvPr id="2" name="Imagem 1">
          <a:extLst>
            <a:ext uri="{FF2B5EF4-FFF2-40B4-BE49-F238E27FC236}">
              <a16:creationId xmlns:a16="http://schemas.microsoft.com/office/drawing/2014/main" id="{A713583F-6205-4B74-9EAB-E20C33D4B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3" y="44734"/>
          <a:ext cx="20817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0</xdr:row>
      <xdr:rowOff>42829</xdr:rowOff>
    </xdr:from>
    <xdr:to>
      <xdr:col>10</xdr:col>
      <xdr:colOff>703470</xdr:colOff>
      <xdr:row>0</xdr:row>
      <xdr:rowOff>247189</xdr:rowOff>
    </xdr:to>
    <xdr:pic>
      <xdr:nvPicPr>
        <xdr:cNvPr id="3" name="Imagem 2">
          <a:hlinkClick xmlns:r="http://schemas.openxmlformats.org/officeDocument/2006/relationships" r:id="rId2" tooltip="Voltar"/>
          <a:extLst>
            <a:ext uri="{FF2B5EF4-FFF2-40B4-BE49-F238E27FC236}">
              <a16:creationId xmlns:a16="http://schemas.microsoft.com/office/drawing/2014/main" id="{0614AF61-9B91-4965-8DD0-5AFAF465E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925" y="44734"/>
          <a:ext cx="21198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175260</xdr:colOff>
      <xdr:row>0</xdr:row>
      <xdr:rowOff>31979</xdr:rowOff>
    </xdr:from>
    <xdr:to>
      <xdr:col>10</xdr:col>
      <xdr:colOff>416560</xdr:colOff>
      <xdr:row>0</xdr:row>
      <xdr:rowOff>282804</xdr:rowOff>
    </xdr:to>
    <xdr:pic>
      <xdr:nvPicPr>
        <xdr:cNvPr id="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8D88A22-3EDC-4097-AC2D-DB8BF51C9A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30074"/>
          <a:ext cx="245110" cy="2565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579118</xdr:colOff>
      <xdr:row>0</xdr:row>
      <xdr:rowOff>42829</xdr:rowOff>
    </xdr:from>
    <xdr:to>
      <xdr:col>10</xdr:col>
      <xdr:colOff>59578</xdr:colOff>
      <xdr:row>0</xdr:row>
      <xdr:rowOff>247189</xdr:rowOff>
    </xdr:to>
    <xdr:pic macro="[0]!Salvar_CPU">
      <xdr:nvPicPr>
        <xdr:cNvPr id="2" name="Imagem 1">
          <a:extLst>
            <a:ext uri="{FF2B5EF4-FFF2-40B4-BE49-F238E27FC236}">
              <a16:creationId xmlns:a16="http://schemas.microsoft.com/office/drawing/2014/main" id="{2EECE0FB-6147-4A0D-B5DD-078D23819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3" y="44734"/>
          <a:ext cx="20817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0</xdr:row>
      <xdr:rowOff>42829</xdr:rowOff>
    </xdr:from>
    <xdr:to>
      <xdr:col>10</xdr:col>
      <xdr:colOff>703470</xdr:colOff>
      <xdr:row>0</xdr:row>
      <xdr:rowOff>247189</xdr:rowOff>
    </xdr:to>
    <xdr:pic>
      <xdr:nvPicPr>
        <xdr:cNvPr id="3" name="Imagem 2">
          <a:hlinkClick xmlns:r="http://schemas.openxmlformats.org/officeDocument/2006/relationships" r:id="rId2" tooltip="Voltar"/>
          <a:extLst>
            <a:ext uri="{FF2B5EF4-FFF2-40B4-BE49-F238E27FC236}">
              <a16:creationId xmlns:a16="http://schemas.microsoft.com/office/drawing/2014/main" id="{647A66A2-181E-461A-B00C-7FF3F7600F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925" y="44734"/>
          <a:ext cx="21198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175260</xdr:colOff>
      <xdr:row>0</xdr:row>
      <xdr:rowOff>31979</xdr:rowOff>
    </xdr:from>
    <xdr:to>
      <xdr:col>10</xdr:col>
      <xdr:colOff>416560</xdr:colOff>
      <xdr:row>0</xdr:row>
      <xdr:rowOff>282804</xdr:rowOff>
    </xdr:to>
    <xdr:pic>
      <xdr:nvPicPr>
        <xdr:cNvPr id="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7E3AD8C-A2F9-41E4-BCBB-911F2446C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30074"/>
          <a:ext cx="245110" cy="25654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579118</xdr:colOff>
      <xdr:row>0</xdr:row>
      <xdr:rowOff>42829</xdr:rowOff>
    </xdr:from>
    <xdr:to>
      <xdr:col>10</xdr:col>
      <xdr:colOff>59578</xdr:colOff>
      <xdr:row>0</xdr:row>
      <xdr:rowOff>247189</xdr:rowOff>
    </xdr:to>
    <xdr:pic macro="[0]!Salvar_CPU">
      <xdr:nvPicPr>
        <xdr:cNvPr id="2" name="Imagem 1">
          <a:extLst>
            <a:ext uri="{FF2B5EF4-FFF2-40B4-BE49-F238E27FC236}">
              <a16:creationId xmlns:a16="http://schemas.microsoft.com/office/drawing/2014/main" id="{8481CD30-F8DC-4A3E-8360-C2D67ED61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3" y="44734"/>
          <a:ext cx="20817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0</xdr:row>
      <xdr:rowOff>42829</xdr:rowOff>
    </xdr:from>
    <xdr:to>
      <xdr:col>10</xdr:col>
      <xdr:colOff>703470</xdr:colOff>
      <xdr:row>0</xdr:row>
      <xdr:rowOff>247189</xdr:rowOff>
    </xdr:to>
    <xdr:pic>
      <xdr:nvPicPr>
        <xdr:cNvPr id="3" name="Imagem 2">
          <a:hlinkClick xmlns:r="http://schemas.openxmlformats.org/officeDocument/2006/relationships" r:id="rId2" tooltip="Voltar"/>
          <a:extLst>
            <a:ext uri="{FF2B5EF4-FFF2-40B4-BE49-F238E27FC236}">
              <a16:creationId xmlns:a16="http://schemas.microsoft.com/office/drawing/2014/main" id="{5B714C09-8B6D-42D3-A175-32141B3B8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925" y="44734"/>
          <a:ext cx="21198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175260</xdr:colOff>
      <xdr:row>0</xdr:row>
      <xdr:rowOff>31979</xdr:rowOff>
    </xdr:from>
    <xdr:to>
      <xdr:col>10</xdr:col>
      <xdr:colOff>416560</xdr:colOff>
      <xdr:row>0</xdr:row>
      <xdr:rowOff>282804</xdr:rowOff>
    </xdr:to>
    <xdr:pic>
      <xdr:nvPicPr>
        <xdr:cNvPr id="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C8C4A9-A2ED-4BDF-8A79-3E89CB32D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30074"/>
          <a:ext cx="245110" cy="25654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579118</xdr:colOff>
      <xdr:row>0</xdr:row>
      <xdr:rowOff>42829</xdr:rowOff>
    </xdr:from>
    <xdr:to>
      <xdr:col>10</xdr:col>
      <xdr:colOff>55768</xdr:colOff>
      <xdr:row>0</xdr:row>
      <xdr:rowOff>250999</xdr:rowOff>
    </xdr:to>
    <xdr:pic macro="[0]!Salvar_CPU">
      <xdr:nvPicPr>
        <xdr:cNvPr id="2" name="Imagem 1">
          <a:extLst>
            <a:ext uri="{FF2B5EF4-FFF2-40B4-BE49-F238E27FC236}">
              <a16:creationId xmlns:a16="http://schemas.microsoft.com/office/drawing/2014/main" id="{242DF33F-5CF7-4DF3-8359-ACAABE5FE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3" y="44734"/>
          <a:ext cx="20817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0</xdr:row>
      <xdr:rowOff>42829</xdr:rowOff>
    </xdr:from>
    <xdr:to>
      <xdr:col>10</xdr:col>
      <xdr:colOff>707280</xdr:colOff>
      <xdr:row>0</xdr:row>
      <xdr:rowOff>250999</xdr:rowOff>
    </xdr:to>
    <xdr:pic>
      <xdr:nvPicPr>
        <xdr:cNvPr id="3" name="Imagem 2">
          <a:hlinkClick xmlns:r="http://schemas.openxmlformats.org/officeDocument/2006/relationships" r:id="rId2" tooltip="Voltar"/>
          <a:extLst>
            <a:ext uri="{FF2B5EF4-FFF2-40B4-BE49-F238E27FC236}">
              <a16:creationId xmlns:a16="http://schemas.microsoft.com/office/drawing/2014/main" id="{C9F0DEE7-7C95-4223-BDA0-B8BCBE2B2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925" y="44734"/>
          <a:ext cx="21198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175260</xdr:colOff>
      <xdr:row>0</xdr:row>
      <xdr:rowOff>31979</xdr:rowOff>
    </xdr:from>
    <xdr:to>
      <xdr:col>10</xdr:col>
      <xdr:colOff>416560</xdr:colOff>
      <xdr:row>0</xdr:row>
      <xdr:rowOff>286614</xdr:rowOff>
    </xdr:to>
    <xdr:pic>
      <xdr:nvPicPr>
        <xdr:cNvPr id="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7891B77-0295-41FC-940C-0301FD0A22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30074"/>
          <a:ext cx="245110" cy="25654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579118</xdr:colOff>
      <xdr:row>0</xdr:row>
      <xdr:rowOff>42829</xdr:rowOff>
    </xdr:from>
    <xdr:to>
      <xdr:col>10</xdr:col>
      <xdr:colOff>55768</xdr:colOff>
      <xdr:row>0</xdr:row>
      <xdr:rowOff>250999</xdr:rowOff>
    </xdr:to>
    <xdr:pic macro="[0]!Salvar_CPU">
      <xdr:nvPicPr>
        <xdr:cNvPr id="2" name="Imagem 1">
          <a:extLst>
            <a:ext uri="{FF2B5EF4-FFF2-40B4-BE49-F238E27FC236}">
              <a16:creationId xmlns:a16="http://schemas.microsoft.com/office/drawing/2014/main" id="{D327D0A7-AAF6-45C5-B019-2D73AFE479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3" y="44734"/>
          <a:ext cx="20817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0</xdr:row>
      <xdr:rowOff>42829</xdr:rowOff>
    </xdr:from>
    <xdr:to>
      <xdr:col>10</xdr:col>
      <xdr:colOff>707280</xdr:colOff>
      <xdr:row>0</xdr:row>
      <xdr:rowOff>250999</xdr:rowOff>
    </xdr:to>
    <xdr:pic>
      <xdr:nvPicPr>
        <xdr:cNvPr id="3" name="Imagem 2">
          <a:hlinkClick xmlns:r="http://schemas.openxmlformats.org/officeDocument/2006/relationships" r:id="rId2" tooltip="Voltar"/>
          <a:extLst>
            <a:ext uri="{FF2B5EF4-FFF2-40B4-BE49-F238E27FC236}">
              <a16:creationId xmlns:a16="http://schemas.microsoft.com/office/drawing/2014/main" id="{C03239E0-C8EF-4672-ABC0-1F4E3D2BBC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925" y="44734"/>
          <a:ext cx="21198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175260</xdr:colOff>
      <xdr:row>0</xdr:row>
      <xdr:rowOff>31979</xdr:rowOff>
    </xdr:from>
    <xdr:to>
      <xdr:col>10</xdr:col>
      <xdr:colOff>416560</xdr:colOff>
      <xdr:row>0</xdr:row>
      <xdr:rowOff>286614</xdr:rowOff>
    </xdr:to>
    <xdr:pic>
      <xdr:nvPicPr>
        <xdr:cNvPr id="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4D841EF-5CCE-45C0-8D97-B92C7C26F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30074"/>
          <a:ext cx="245110" cy="25654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579118</xdr:colOff>
      <xdr:row>0</xdr:row>
      <xdr:rowOff>42829</xdr:rowOff>
    </xdr:from>
    <xdr:to>
      <xdr:col>10</xdr:col>
      <xdr:colOff>59578</xdr:colOff>
      <xdr:row>0</xdr:row>
      <xdr:rowOff>247189</xdr:rowOff>
    </xdr:to>
    <xdr:pic macro="[0]!Salvar_CPU">
      <xdr:nvPicPr>
        <xdr:cNvPr id="2" name="Imagem 1">
          <a:extLst>
            <a:ext uri="{FF2B5EF4-FFF2-40B4-BE49-F238E27FC236}">
              <a16:creationId xmlns:a16="http://schemas.microsoft.com/office/drawing/2014/main" id="{B66D59DD-DEF3-4366-8929-FCAD32F58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3" y="44734"/>
          <a:ext cx="20817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0</xdr:row>
      <xdr:rowOff>42829</xdr:rowOff>
    </xdr:from>
    <xdr:to>
      <xdr:col>10</xdr:col>
      <xdr:colOff>703470</xdr:colOff>
      <xdr:row>0</xdr:row>
      <xdr:rowOff>247189</xdr:rowOff>
    </xdr:to>
    <xdr:pic>
      <xdr:nvPicPr>
        <xdr:cNvPr id="3" name="Imagem 2">
          <a:hlinkClick xmlns:r="http://schemas.openxmlformats.org/officeDocument/2006/relationships" r:id="rId2" tooltip="Voltar"/>
          <a:extLst>
            <a:ext uri="{FF2B5EF4-FFF2-40B4-BE49-F238E27FC236}">
              <a16:creationId xmlns:a16="http://schemas.microsoft.com/office/drawing/2014/main" id="{8B43E3C4-C16D-4B8F-BC9D-44A95B248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925" y="44734"/>
          <a:ext cx="21198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175260</xdr:colOff>
      <xdr:row>0</xdr:row>
      <xdr:rowOff>31979</xdr:rowOff>
    </xdr:from>
    <xdr:to>
      <xdr:col>10</xdr:col>
      <xdr:colOff>416560</xdr:colOff>
      <xdr:row>0</xdr:row>
      <xdr:rowOff>282804</xdr:rowOff>
    </xdr:to>
    <xdr:pic>
      <xdr:nvPicPr>
        <xdr:cNvPr id="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DABBA68-87A2-4BD6-86C2-1ED1E0E112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30074"/>
          <a:ext cx="245110" cy="25654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579118</xdr:colOff>
      <xdr:row>0</xdr:row>
      <xdr:rowOff>42829</xdr:rowOff>
    </xdr:from>
    <xdr:to>
      <xdr:col>10</xdr:col>
      <xdr:colOff>55768</xdr:colOff>
      <xdr:row>0</xdr:row>
      <xdr:rowOff>250999</xdr:rowOff>
    </xdr:to>
    <xdr:pic macro="[0]!Salvar_CPU">
      <xdr:nvPicPr>
        <xdr:cNvPr id="2" name="Imagem 1">
          <a:extLst>
            <a:ext uri="{FF2B5EF4-FFF2-40B4-BE49-F238E27FC236}">
              <a16:creationId xmlns:a16="http://schemas.microsoft.com/office/drawing/2014/main" id="{C0FCA33C-FFA3-449D-8273-AA3F54679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3" y="44734"/>
          <a:ext cx="20817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0</xdr:row>
      <xdr:rowOff>42829</xdr:rowOff>
    </xdr:from>
    <xdr:to>
      <xdr:col>10</xdr:col>
      <xdr:colOff>707280</xdr:colOff>
      <xdr:row>0</xdr:row>
      <xdr:rowOff>250999</xdr:rowOff>
    </xdr:to>
    <xdr:pic>
      <xdr:nvPicPr>
        <xdr:cNvPr id="3" name="Imagem 2">
          <a:hlinkClick xmlns:r="http://schemas.openxmlformats.org/officeDocument/2006/relationships" r:id="rId2" tooltip="Voltar"/>
          <a:extLst>
            <a:ext uri="{FF2B5EF4-FFF2-40B4-BE49-F238E27FC236}">
              <a16:creationId xmlns:a16="http://schemas.microsoft.com/office/drawing/2014/main" id="{6E5AFB08-D6E8-4EFB-83B6-DAFDE72E83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925" y="44734"/>
          <a:ext cx="21198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175260</xdr:colOff>
      <xdr:row>0</xdr:row>
      <xdr:rowOff>31979</xdr:rowOff>
    </xdr:from>
    <xdr:to>
      <xdr:col>10</xdr:col>
      <xdr:colOff>416560</xdr:colOff>
      <xdr:row>0</xdr:row>
      <xdr:rowOff>286614</xdr:rowOff>
    </xdr:to>
    <xdr:pic>
      <xdr:nvPicPr>
        <xdr:cNvPr id="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E7CBFF5-7139-42C1-8723-56423B8D9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30074"/>
          <a:ext cx="245110" cy="25654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579118</xdr:colOff>
      <xdr:row>0</xdr:row>
      <xdr:rowOff>42829</xdr:rowOff>
    </xdr:from>
    <xdr:to>
      <xdr:col>10</xdr:col>
      <xdr:colOff>59578</xdr:colOff>
      <xdr:row>0</xdr:row>
      <xdr:rowOff>247189</xdr:rowOff>
    </xdr:to>
    <xdr:pic macro="[0]!Salvar_CPU">
      <xdr:nvPicPr>
        <xdr:cNvPr id="2" name="Imagem 1">
          <a:extLst>
            <a:ext uri="{FF2B5EF4-FFF2-40B4-BE49-F238E27FC236}">
              <a16:creationId xmlns:a16="http://schemas.microsoft.com/office/drawing/2014/main" id="{0E578160-0914-450E-8C27-0A3D144D84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3" y="44734"/>
          <a:ext cx="20817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0</xdr:row>
      <xdr:rowOff>42829</xdr:rowOff>
    </xdr:from>
    <xdr:to>
      <xdr:col>10</xdr:col>
      <xdr:colOff>703470</xdr:colOff>
      <xdr:row>0</xdr:row>
      <xdr:rowOff>247189</xdr:rowOff>
    </xdr:to>
    <xdr:pic>
      <xdr:nvPicPr>
        <xdr:cNvPr id="3" name="Imagem 2">
          <a:hlinkClick xmlns:r="http://schemas.openxmlformats.org/officeDocument/2006/relationships" r:id="rId2" tooltip="Voltar"/>
          <a:extLst>
            <a:ext uri="{FF2B5EF4-FFF2-40B4-BE49-F238E27FC236}">
              <a16:creationId xmlns:a16="http://schemas.microsoft.com/office/drawing/2014/main" id="{31348271-6137-433C-9367-7FB3DDE3FB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925" y="44734"/>
          <a:ext cx="21198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175260</xdr:colOff>
      <xdr:row>0</xdr:row>
      <xdr:rowOff>31979</xdr:rowOff>
    </xdr:from>
    <xdr:to>
      <xdr:col>10</xdr:col>
      <xdr:colOff>416560</xdr:colOff>
      <xdr:row>0</xdr:row>
      <xdr:rowOff>282804</xdr:rowOff>
    </xdr:to>
    <xdr:pic>
      <xdr:nvPicPr>
        <xdr:cNvPr id="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2F942A1-D49A-42D6-901F-3662EE34C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30074"/>
          <a:ext cx="245110" cy="25654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579118</xdr:colOff>
      <xdr:row>0</xdr:row>
      <xdr:rowOff>42829</xdr:rowOff>
    </xdr:from>
    <xdr:to>
      <xdr:col>10</xdr:col>
      <xdr:colOff>59578</xdr:colOff>
      <xdr:row>0</xdr:row>
      <xdr:rowOff>247189</xdr:rowOff>
    </xdr:to>
    <xdr:pic macro="[0]!Salvar_CPU">
      <xdr:nvPicPr>
        <xdr:cNvPr id="2" name="Imagem 1">
          <a:extLst>
            <a:ext uri="{FF2B5EF4-FFF2-40B4-BE49-F238E27FC236}">
              <a16:creationId xmlns:a16="http://schemas.microsoft.com/office/drawing/2014/main" id="{C57AC58A-531F-4ADA-9FB5-6D436632F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3" y="44734"/>
          <a:ext cx="20817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0</xdr:row>
      <xdr:rowOff>42829</xdr:rowOff>
    </xdr:from>
    <xdr:to>
      <xdr:col>10</xdr:col>
      <xdr:colOff>703470</xdr:colOff>
      <xdr:row>0</xdr:row>
      <xdr:rowOff>247189</xdr:rowOff>
    </xdr:to>
    <xdr:pic>
      <xdr:nvPicPr>
        <xdr:cNvPr id="3" name="Imagem 2">
          <a:hlinkClick xmlns:r="http://schemas.openxmlformats.org/officeDocument/2006/relationships" r:id="rId2" tooltip="Voltar"/>
          <a:extLst>
            <a:ext uri="{FF2B5EF4-FFF2-40B4-BE49-F238E27FC236}">
              <a16:creationId xmlns:a16="http://schemas.microsoft.com/office/drawing/2014/main" id="{DE87EE10-982F-4691-B7B9-EB3338502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925" y="44734"/>
          <a:ext cx="21198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175260</xdr:colOff>
      <xdr:row>0</xdr:row>
      <xdr:rowOff>31979</xdr:rowOff>
    </xdr:from>
    <xdr:to>
      <xdr:col>10</xdr:col>
      <xdr:colOff>416560</xdr:colOff>
      <xdr:row>0</xdr:row>
      <xdr:rowOff>282804</xdr:rowOff>
    </xdr:to>
    <xdr:pic>
      <xdr:nvPicPr>
        <xdr:cNvPr id="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F5976A8-8975-4233-AA64-D27390690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30074"/>
          <a:ext cx="245110" cy="25654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579118</xdr:colOff>
      <xdr:row>0</xdr:row>
      <xdr:rowOff>42829</xdr:rowOff>
    </xdr:from>
    <xdr:to>
      <xdr:col>10</xdr:col>
      <xdr:colOff>59578</xdr:colOff>
      <xdr:row>0</xdr:row>
      <xdr:rowOff>247189</xdr:rowOff>
    </xdr:to>
    <xdr:pic macro="[0]!Salvar_CPU">
      <xdr:nvPicPr>
        <xdr:cNvPr id="2" name="Imagem 1">
          <a:extLst>
            <a:ext uri="{FF2B5EF4-FFF2-40B4-BE49-F238E27FC236}">
              <a16:creationId xmlns:a16="http://schemas.microsoft.com/office/drawing/2014/main" id="{2BFC5DF3-1406-4CC0-84BD-AA1940E80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3" y="44734"/>
          <a:ext cx="20817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0</xdr:row>
      <xdr:rowOff>42829</xdr:rowOff>
    </xdr:from>
    <xdr:to>
      <xdr:col>10</xdr:col>
      <xdr:colOff>703470</xdr:colOff>
      <xdr:row>0</xdr:row>
      <xdr:rowOff>247189</xdr:rowOff>
    </xdr:to>
    <xdr:pic>
      <xdr:nvPicPr>
        <xdr:cNvPr id="3" name="Imagem 2">
          <a:hlinkClick xmlns:r="http://schemas.openxmlformats.org/officeDocument/2006/relationships" r:id="rId2" tooltip="Voltar"/>
          <a:extLst>
            <a:ext uri="{FF2B5EF4-FFF2-40B4-BE49-F238E27FC236}">
              <a16:creationId xmlns:a16="http://schemas.microsoft.com/office/drawing/2014/main" id="{F25C36B4-CE0E-4DC4-82FA-89A2D8666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925" y="44734"/>
          <a:ext cx="21198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175260</xdr:colOff>
      <xdr:row>0</xdr:row>
      <xdr:rowOff>31979</xdr:rowOff>
    </xdr:from>
    <xdr:to>
      <xdr:col>10</xdr:col>
      <xdr:colOff>416560</xdr:colOff>
      <xdr:row>0</xdr:row>
      <xdr:rowOff>282804</xdr:rowOff>
    </xdr:to>
    <xdr:pic>
      <xdr:nvPicPr>
        <xdr:cNvPr id="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62DECA8-FF77-4FAF-8755-907089705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30074"/>
          <a:ext cx="245110" cy="256540"/>
        </a:xfrm>
        <a:prstGeom prst="rect">
          <a:avLst/>
        </a:prstGeom>
      </xdr:spPr>
    </xdr:pic>
    <xdr:clientData/>
  </xdr:twoCellAnchor>
  <xdr:twoCellAnchor editAs="oneCell">
    <xdr:from>
      <xdr:col>36</xdr:col>
      <xdr:colOff>37557</xdr:colOff>
      <xdr:row>29</xdr:row>
      <xdr:rowOff>129540</xdr:rowOff>
    </xdr:from>
    <xdr:to>
      <xdr:col>42</xdr:col>
      <xdr:colOff>248556</xdr:colOff>
      <xdr:row>51</xdr:row>
      <xdr:rowOff>174791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9D25F8B-23A7-1352-A240-C693AC56B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3795628" y="5613219"/>
          <a:ext cx="4201974" cy="3946691"/>
        </a:xfrm>
        <a:prstGeom prst="rect">
          <a:avLst/>
        </a:prstGeom>
      </xdr:spPr>
    </xdr:pic>
    <xdr:clientData/>
  </xdr:twoCellAnchor>
  <xdr:twoCellAnchor editAs="oneCell">
    <xdr:from>
      <xdr:col>33</xdr:col>
      <xdr:colOff>590824</xdr:colOff>
      <xdr:row>0</xdr:row>
      <xdr:rowOff>258536</xdr:rowOff>
    </xdr:from>
    <xdr:to>
      <xdr:col>43</xdr:col>
      <xdr:colOff>513546</xdr:colOff>
      <xdr:row>29</xdr:row>
      <xdr:rowOff>92750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96789D4C-AC96-D715-94E2-675C62292D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443895" y="258536"/>
          <a:ext cx="6444354" cy="5321703"/>
        </a:xfrm>
        <a:prstGeom prst="rect">
          <a:avLst/>
        </a:prstGeom>
      </xdr:spPr>
    </xdr:pic>
    <xdr:clientData/>
  </xdr:twoCellAnchor>
  <xdr:twoCellAnchor editAs="oneCell">
    <xdr:from>
      <xdr:col>28</xdr:col>
      <xdr:colOff>553811</xdr:colOff>
      <xdr:row>0</xdr:row>
      <xdr:rowOff>276945</xdr:rowOff>
    </xdr:from>
    <xdr:to>
      <xdr:col>33</xdr:col>
      <xdr:colOff>570540</xdr:colOff>
      <xdr:row>29</xdr:row>
      <xdr:rowOff>152304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797DB809-0C43-55C3-B219-2C2AB12F5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897840" y="276945"/>
          <a:ext cx="3378494" cy="5411065"/>
        </a:xfrm>
        <a:prstGeom prst="rect">
          <a:avLst/>
        </a:prstGeom>
      </xdr:spPr>
    </xdr:pic>
    <xdr:clientData/>
  </xdr:twoCellAnchor>
  <xdr:twoCellAnchor editAs="oneCell">
    <xdr:from>
      <xdr:col>28</xdr:col>
      <xdr:colOff>571500</xdr:colOff>
      <xdr:row>30</xdr:row>
      <xdr:rowOff>11703</xdr:rowOff>
    </xdr:from>
    <xdr:to>
      <xdr:col>35</xdr:col>
      <xdr:colOff>589047</xdr:colOff>
      <xdr:row>62</xdr:row>
      <xdr:rowOff>136042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5F67A74A-8D62-9A8C-49CD-4A5AB147F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9050000" y="5672274"/>
          <a:ext cx="4653773" cy="580831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579118</xdr:colOff>
      <xdr:row>0</xdr:row>
      <xdr:rowOff>42829</xdr:rowOff>
    </xdr:from>
    <xdr:to>
      <xdr:col>10</xdr:col>
      <xdr:colOff>59578</xdr:colOff>
      <xdr:row>0</xdr:row>
      <xdr:rowOff>247189</xdr:rowOff>
    </xdr:to>
    <xdr:pic macro="[0]!Salvar_CPU">
      <xdr:nvPicPr>
        <xdr:cNvPr id="2" name="Imagem 1">
          <a:extLst>
            <a:ext uri="{FF2B5EF4-FFF2-40B4-BE49-F238E27FC236}">
              <a16:creationId xmlns:a16="http://schemas.microsoft.com/office/drawing/2014/main" id="{C22CE39B-F17D-453C-B078-3A3F4AC5DD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3" y="44734"/>
          <a:ext cx="20817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0</xdr:row>
      <xdr:rowOff>42829</xdr:rowOff>
    </xdr:from>
    <xdr:to>
      <xdr:col>10</xdr:col>
      <xdr:colOff>703470</xdr:colOff>
      <xdr:row>0</xdr:row>
      <xdr:rowOff>247189</xdr:rowOff>
    </xdr:to>
    <xdr:pic>
      <xdr:nvPicPr>
        <xdr:cNvPr id="3" name="Imagem 2">
          <a:hlinkClick xmlns:r="http://schemas.openxmlformats.org/officeDocument/2006/relationships" r:id="rId2" tooltip="Voltar"/>
          <a:extLst>
            <a:ext uri="{FF2B5EF4-FFF2-40B4-BE49-F238E27FC236}">
              <a16:creationId xmlns:a16="http://schemas.microsoft.com/office/drawing/2014/main" id="{2A796F9C-ADDA-4247-8476-954F08D5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925" y="44734"/>
          <a:ext cx="21198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175260</xdr:colOff>
      <xdr:row>0</xdr:row>
      <xdr:rowOff>31979</xdr:rowOff>
    </xdr:from>
    <xdr:to>
      <xdr:col>10</xdr:col>
      <xdr:colOff>416560</xdr:colOff>
      <xdr:row>0</xdr:row>
      <xdr:rowOff>282804</xdr:rowOff>
    </xdr:to>
    <xdr:pic>
      <xdr:nvPicPr>
        <xdr:cNvPr id="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25095A-EC6C-4020-A020-63E30401B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30074"/>
          <a:ext cx="245110" cy="25654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579118</xdr:colOff>
      <xdr:row>0</xdr:row>
      <xdr:rowOff>42829</xdr:rowOff>
    </xdr:from>
    <xdr:to>
      <xdr:col>10</xdr:col>
      <xdr:colOff>59578</xdr:colOff>
      <xdr:row>0</xdr:row>
      <xdr:rowOff>247189</xdr:rowOff>
    </xdr:to>
    <xdr:pic macro="[0]!Salvar_CPU">
      <xdr:nvPicPr>
        <xdr:cNvPr id="2" name="Imagem 1">
          <a:extLst>
            <a:ext uri="{FF2B5EF4-FFF2-40B4-BE49-F238E27FC236}">
              <a16:creationId xmlns:a16="http://schemas.microsoft.com/office/drawing/2014/main" id="{73449FD6-E35A-418A-B5FA-55065D485D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3" y="44734"/>
          <a:ext cx="20817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0</xdr:row>
      <xdr:rowOff>42829</xdr:rowOff>
    </xdr:from>
    <xdr:to>
      <xdr:col>10</xdr:col>
      <xdr:colOff>703470</xdr:colOff>
      <xdr:row>0</xdr:row>
      <xdr:rowOff>247189</xdr:rowOff>
    </xdr:to>
    <xdr:pic>
      <xdr:nvPicPr>
        <xdr:cNvPr id="3" name="Imagem 2">
          <a:hlinkClick xmlns:r="http://schemas.openxmlformats.org/officeDocument/2006/relationships" r:id="rId2" tooltip="Voltar"/>
          <a:extLst>
            <a:ext uri="{FF2B5EF4-FFF2-40B4-BE49-F238E27FC236}">
              <a16:creationId xmlns:a16="http://schemas.microsoft.com/office/drawing/2014/main" id="{4E47491A-6D64-47E3-8AAB-83EBE9CDB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925" y="44734"/>
          <a:ext cx="21198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175260</xdr:colOff>
      <xdr:row>0</xdr:row>
      <xdr:rowOff>31979</xdr:rowOff>
    </xdr:from>
    <xdr:to>
      <xdr:col>10</xdr:col>
      <xdr:colOff>416560</xdr:colOff>
      <xdr:row>0</xdr:row>
      <xdr:rowOff>282804</xdr:rowOff>
    </xdr:to>
    <xdr:pic>
      <xdr:nvPicPr>
        <xdr:cNvPr id="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6CCFBDA-8D05-4BF8-96BD-0EA2D781C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30074"/>
          <a:ext cx="245110" cy="256540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579118</xdr:colOff>
      <xdr:row>0</xdr:row>
      <xdr:rowOff>42829</xdr:rowOff>
    </xdr:from>
    <xdr:to>
      <xdr:col>10</xdr:col>
      <xdr:colOff>55768</xdr:colOff>
      <xdr:row>0</xdr:row>
      <xdr:rowOff>250999</xdr:rowOff>
    </xdr:to>
    <xdr:pic macro="[0]!Salvar_CPU">
      <xdr:nvPicPr>
        <xdr:cNvPr id="2" name="Imagem 1">
          <a:extLst>
            <a:ext uri="{FF2B5EF4-FFF2-40B4-BE49-F238E27FC236}">
              <a16:creationId xmlns:a16="http://schemas.microsoft.com/office/drawing/2014/main" id="{D07E0905-193B-4220-859C-AE5A07F30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3" y="44734"/>
          <a:ext cx="20817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0</xdr:row>
      <xdr:rowOff>42829</xdr:rowOff>
    </xdr:from>
    <xdr:to>
      <xdr:col>10</xdr:col>
      <xdr:colOff>707280</xdr:colOff>
      <xdr:row>0</xdr:row>
      <xdr:rowOff>250999</xdr:rowOff>
    </xdr:to>
    <xdr:pic>
      <xdr:nvPicPr>
        <xdr:cNvPr id="3" name="Imagem 2">
          <a:hlinkClick xmlns:r="http://schemas.openxmlformats.org/officeDocument/2006/relationships" r:id="rId2" tooltip="Voltar"/>
          <a:extLst>
            <a:ext uri="{FF2B5EF4-FFF2-40B4-BE49-F238E27FC236}">
              <a16:creationId xmlns:a16="http://schemas.microsoft.com/office/drawing/2014/main" id="{3861866C-E916-47A5-A3AC-DE4140738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925" y="44734"/>
          <a:ext cx="21198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175260</xdr:colOff>
      <xdr:row>0</xdr:row>
      <xdr:rowOff>31979</xdr:rowOff>
    </xdr:from>
    <xdr:to>
      <xdr:col>10</xdr:col>
      <xdr:colOff>416560</xdr:colOff>
      <xdr:row>0</xdr:row>
      <xdr:rowOff>286614</xdr:rowOff>
    </xdr:to>
    <xdr:pic>
      <xdr:nvPicPr>
        <xdr:cNvPr id="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144979B-7AD8-4CB6-8EC5-C36F5ADA10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30074"/>
          <a:ext cx="245110" cy="256540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579118</xdr:colOff>
      <xdr:row>0</xdr:row>
      <xdr:rowOff>42829</xdr:rowOff>
    </xdr:from>
    <xdr:to>
      <xdr:col>10</xdr:col>
      <xdr:colOff>55768</xdr:colOff>
      <xdr:row>0</xdr:row>
      <xdr:rowOff>250999</xdr:rowOff>
    </xdr:to>
    <xdr:pic macro="[0]!Salvar_CPU">
      <xdr:nvPicPr>
        <xdr:cNvPr id="2" name="Imagem 1">
          <a:extLst>
            <a:ext uri="{FF2B5EF4-FFF2-40B4-BE49-F238E27FC236}">
              <a16:creationId xmlns:a16="http://schemas.microsoft.com/office/drawing/2014/main" id="{DE008ED0-0F3D-419E-9B50-B96EAEC8E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3" y="44734"/>
          <a:ext cx="20817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0</xdr:row>
      <xdr:rowOff>42829</xdr:rowOff>
    </xdr:from>
    <xdr:to>
      <xdr:col>10</xdr:col>
      <xdr:colOff>707280</xdr:colOff>
      <xdr:row>0</xdr:row>
      <xdr:rowOff>250999</xdr:rowOff>
    </xdr:to>
    <xdr:pic>
      <xdr:nvPicPr>
        <xdr:cNvPr id="3" name="Imagem 2">
          <a:hlinkClick xmlns:r="http://schemas.openxmlformats.org/officeDocument/2006/relationships" r:id="rId2" tooltip="Voltar"/>
          <a:extLst>
            <a:ext uri="{FF2B5EF4-FFF2-40B4-BE49-F238E27FC236}">
              <a16:creationId xmlns:a16="http://schemas.microsoft.com/office/drawing/2014/main" id="{407B4299-898A-44C8-8B9C-52CFBB12B3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925" y="44734"/>
          <a:ext cx="21198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175260</xdr:colOff>
      <xdr:row>0</xdr:row>
      <xdr:rowOff>31979</xdr:rowOff>
    </xdr:from>
    <xdr:to>
      <xdr:col>10</xdr:col>
      <xdr:colOff>416560</xdr:colOff>
      <xdr:row>0</xdr:row>
      <xdr:rowOff>286614</xdr:rowOff>
    </xdr:to>
    <xdr:pic>
      <xdr:nvPicPr>
        <xdr:cNvPr id="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A1284E8-C03A-4027-80FB-4720699A0C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30074"/>
          <a:ext cx="245110" cy="256540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579118</xdr:colOff>
      <xdr:row>0</xdr:row>
      <xdr:rowOff>42829</xdr:rowOff>
    </xdr:from>
    <xdr:to>
      <xdr:col>10</xdr:col>
      <xdr:colOff>59578</xdr:colOff>
      <xdr:row>0</xdr:row>
      <xdr:rowOff>247189</xdr:rowOff>
    </xdr:to>
    <xdr:pic macro="[0]!Salvar_CPU">
      <xdr:nvPicPr>
        <xdr:cNvPr id="2" name="Imagem 1">
          <a:extLst>
            <a:ext uri="{FF2B5EF4-FFF2-40B4-BE49-F238E27FC236}">
              <a16:creationId xmlns:a16="http://schemas.microsoft.com/office/drawing/2014/main" id="{115CDB78-3EAF-4BD2-B679-D7E06AEAD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3" y="44734"/>
          <a:ext cx="20817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0</xdr:row>
      <xdr:rowOff>42829</xdr:rowOff>
    </xdr:from>
    <xdr:to>
      <xdr:col>10</xdr:col>
      <xdr:colOff>703470</xdr:colOff>
      <xdr:row>0</xdr:row>
      <xdr:rowOff>247189</xdr:rowOff>
    </xdr:to>
    <xdr:pic>
      <xdr:nvPicPr>
        <xdr:cNvPr id="3" name="Imagem 2">
          <a:hlinkClick xmlns:r="http://schemas.openxmlformats.org/officeDocument/2006/relationships" r:id="rId2" tooltip="Voltar"/>
          <a:extLst>
            <a:ext uri="{FF2B5EF4-FFF2-40B4-BE49-F238E27FC236}">
              <a16:creationId xmlns:a16="http://schemas.microsoft.com/office/drawing/2014/main" id="{A0DC33AC-FC14-449F-BAA6-529D42F464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925" y="44734"/>
          <a:ext cx="21198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175260</xdr:colOff>
      <xdr:row>0</xdr:row>
      <xdr:rowOff>31979</xdr:rowOff>
    </xdr:from>
    <xdr:to>
      <xdr:col>10</xdr:col>
      <xdr:colOff>416560</xdr:colOff>
      <xdr:row>0</xdr:row>
      <xdr:rowOff>282804</xdr:rowOff>
    </xdr:to>
    <xdr:pic>
      <xdr:nvPicPr>
        <xdr:cNvPr id="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33D3507-34EE-4126-BB8A-E57787D86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30074"/>
          <a:ext cx="245110" cy="256540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579118</xdr:colOff>
      <xdr:row>0</xdr:row>
      <xdr:rowOff>42829</xdr:rowOff>
    </xdr:from>
    <xdr:to>
      <xdr:col>10</xdr:col>
      <xdr:colOff>55768</xdr:colOff>
      <xdr:row>0</xdr:row>
      <xdr:rowOff>250999</xdr:rowOff>
    </xdr:to>
    <xdr:pic macro="[0]!Salvar_CPU">
      <xdr:nvPicPr>
        <xdr:cNvPr id="2" name="Imagem 1">
          <a:extLst>
            <a:ext uri="{FF2B5EF4-FFF2-40B4-BE49-F238E27FC236}">
              <a16:creationId xmlns:a16="http://schemas.microsoft.com/office/drawing/2014/main" id="{A061317A-55D0-4AFC-89C1-2FE9FC57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3" y="44734"/>
          <a:ext cx="20817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0</xdr:row>
      <xdr:rowOff>42829</xdr:rowOff>
    </xdr:from>
    <xdr:to>
      <xdr:col>10</xdr:col>
      <xdr:colOff>707280</xdr:colOff>
      <xdr:row>0</xdr:row>
      <xdr:rowOff>250999</xdr:rowOff>
    </xdr:to>
    <xdr:pic>
      <xdr:nvPicPr>
        <xdr:cNvPr id="3" name="Imagem 2">
          <a:hlinkClick xmlns:r="http://schemas.openxmlformats.org/officeDocument/2006/relationships" r:id="rId2" tooltip="Voltar"/>
          <a:extLst>
            <a:ext uri="{FF2B5EF4-FFF2-40B4-BE49-F238E27FC236}">
              <a16:creationId xmlns:a16="http://schemas.microsoft.com/office/drawing/2014/main" id="{A844550C-FF4D-4E14-9E85-9B153D817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925" y="44734"/>
          <a:ext cx="21198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175260</xdr:colOff>
      <xdr:row>0</xdr:row>
      <xdr:rowOff>31979</xdr:rowOff>
    </xdr:from>
    <xdr:to>
      <xdr:col>10</xdr:col>
      <xdr:colOff>416560</xdr:colOff>
      <xdr:row>0</xdr:row>
      <xdr:rowOff>286614</xdr:rowOff>
    </xdr:to>
    <xdr:pic>
      <xdr:nvPicPr>
        <xdr:cNvPr id="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F805320-09EA-426A-9187-BEF2DB860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30074"/>
          <a:ext cx="245110" cy="256540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579118</xdr:colOff>
      <xdr:row>0</xdr:row>
      <xdr:rowOff>42829</xdr:rowOff>
    </xdr:from>
    <xdr:to>
      <xdr:col>10</xdr:col>
      <xdr:colOff>55768</xdr:colOff>
      <xdr:row>0</xdr:row>
      <xdr:rowOff>250999</xdr:rowOff>
    </xdr:to>
    <xdr:pic macro="[0]!Salvar_CPU">
      <xdr:nvPicPr>
        <xdr:cNvPr id="2" name="Imagem 1">
          <a:extLst>
            <a:ext uri="{FF2B5EF4-FFF2-40B4-BE49-F238E27FC236}">
              <a16:creationId xmlns:a16="http://schemas.microsoft.com/office/drawing/2014/main" id="{B8930993-8610-447A-82AB-E129BBA029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3" y="44734"/>
          <a:ext cx="20817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0</xdr:row>
      <xdr:rowOff>42829</xdr:rowOff>
    </xdr:from>
    <xdr:to>
      <xdr:col>10</xdr:col>
      <xdr:colOff>707280</xdr:colOff>
      <xdr:row>0</xdr:row>
      <xdr:rowOff>250999</xdr:rowOff>
    </xdr:to>
    <xdr:pic>
      <xdr:nvPicPr>
        <xdr:cNvPr id="3" name="Imagem 2">
          <a:hlinkClick xmlns:r="http://schemas.openxmlformats.org/officeDocument/2006/relationships" r:id="rId2" tooltip="Voltar"/>
          <a:extLst>
            <a:ext uri="{FF2B5EF4-FFF2-40B4-BE49-F238E27FC236}">
              <a16:creationId xmlns:a16="http://schemas.microsoft.com/office/drawing/2014/main" id="{E589B311-2EF8-4BD0-9C00-4F8EF93437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925" y="44734"/>
          <a:ext cx="21198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175260</xdr:colOff>
      <xdr:row>0</xdr:row>
      <xdr:rowOff>31979</xdr:rowOff>
    </xdr:from>
    <xdr:to>
      <xdr:col>10</xdr:col>
      <xdr:colOff>416560</xdr:colOff>
      <xdr:row>0</xdr:row>
      <xdr:rowOff>286614</xdr:rowOff>
    </xdr:to>
    <xdr:pic>
      <xdr:nvPicPr>
        <xdr:cNvPr id="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100C51E-BC04-4CB1-9A01-75F3A3AD1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30074"/>
          <a:ext cx="245110" cy="256540"/>
        </a:xfrm>
        <a:prstGeom prst="rect">
          <a:avLst/>
        </a:prstGeom>
      </xdr:spPr>
    </xdr:pic>
    <xdr:clientData/>
  </xdr:twoCellAnchor>
  <xdr:twoCellAnchor editAs="oneCell">
    <xdr:from>
      <xdr:col>15</xdr:col>
      <xdr:colOff>82026</xdr:colOff>
      <xdr:row>10</xdr:row>
      <xdr:rowOff>32721</xdr:rowOff>
    </xdr:from>
    <xdr:to>
      <xdr:col>36</xdr:col>
      <xdr:colOff>136751</xdr:colOff>
      <xdr:row>38</xdr:row>
      <xdr:rowOff>172463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884A5319-954D-12C0-5B34-7073D947A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79697" y="2157356"/>
          <a:ext cx="13408326" cy="5155607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579118</xdr:colOff>
      <xdr:row>0</xdr:row>
      <xdr:rowOff>42829</xdr:rowOff>
    </xdr:from>
    <xdr:to>
      <xdr:col>10</xdr:col>
      <xdr:colOff>56403</xdr:colOff>
      <xdr:row>0</xdr:row>
      <xdr:rowOff>250364</xdr:rowOff>
    </xdr:to>
    <xdr:pic macro="[0]!Salvar_CPU">
      <xdr:nvPicPr>
        <xdr:cNvPr id="2" name="Imagem 1">
          <a:extLst>
            <a:ext uri="{FF2B5EF4-FFF2-40B4-BE49-F238E27FC236}">
              <a16:creationId xmlns:a16="http://schemas.microsoft.com/office/drawing/2014/main" id="{A8B98236-64B8-4E1C-8500-DBA5DB3E2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3" y="44734"/>
          <a:ext cx="20817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0</xdr:row>
      <xdr:rowOff>42829</xdr:rowOff>
    </xdr:from>
    <xdr:to>
      <xdr:col>10</xdr:col>
      <xdr:colOff>706645</xdr:colOff>
      <xdr:row>0</xdr:row>
      <xdr:rowOff>250364</xdr:rowOff>
    </xdr:to>
    <xdr:pic>
      <xdr:nvPicPr>
        <xdr:cNvPr id="3" name="Imagem 2">
          <a:hlinkClick xmlns:r="http://schemas.openxmlformats.org/officeDocument/2006/relationships" r:id="rId2" tooltip="Voltar"/>
          <a:extLst>
            <a:ext uri="{FF2B5EF4-FFF2-40B4-BE49-F238E27FC236}">
              <a16:creationId xmlns:a16="http://schemas.microsoft.com/office/drawing/2014/main" id="{E08925B0-2E63-4987-A9EF-0A1E95851F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925" y="44734"/>
          <a:ext cx="21198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175260</xdr:colOff>
      <xdr:row>0</xdr:row>
      <xdr:rowOff>31979</xdr:rowOff>
    </xdr:from>
    <xdr:to>
      <xdr:col>10</xdr:col>
      <xdr:colOff>416560</xdr:colOff>
      <xdr:row>0</xdr:row>
      <xdr:rowOff>285979</xdr:rowOff>
    </xdr:to>
    <xdr:pic>
      <xdr:nvPicPr>
        <xdr:cNvPr id="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63C96C8-4924-4CD5-B11A-253C07A3B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30074"/>
          <a:ext cx="245110" cy="256540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579118</xdr:colOff>
      <xdr:row>0</xdr:row>
      <xdr:rowOff>42829</xdr:rowOff>
    </xdr:from>
    <xdr:to>
      <xdr:col>10</xdr:col>
      <xdr:colOff>59578</xdr:colOff>
      <xdr:row>0</xdr:row>
      <xdr:rowOff>247189</xdr:rowOff>
    </xdr:to>
    <xdr:pic macro="[0]!Salvar_CPU">
      <xdr:nvPicPr>
        <xdr:cNvPr id="2" name="Imagem 1">
          <a:extLst>
            <a:ext uri="{FF2B5EF4-FFF2-40B4-BE49-F238E27FC236}">
              <a16:creationId xmlns:a16="http://schemas.microsoft.com/office/drawing/2014/main" id="{81E1BD93-A0E0-4C99-99ED-807A4E691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3" y="44734"/>
          <a:ext cx="20817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0</xdr:row>
      <xdr:rowOff>42829</xdr:rowOff>
    </xdr:from>
    <xdr:to>
      <xdr:col>10</xdr:col>
      <xdr:colOff>703470</xdr:colOff>
      <xdr:row>0</xdr:row>
      <xdr:rowOff>247189</xdr:rowOff>
    </xdr:to>
    <xdr:pic>
      <xdr:nvPicPr>
        <xdr:cNvPr id="3" name="Imagem 2">
          <a:hlinkClick xmlns:r="http://schemas.openxmlformats.org/officeDocument/2006/relationships" r:id="rId2" tooltip="Voltar"/>
          <a:extLst>
            <a:ext uri="{FF2B5EF4-FFF2-40B4-BE49-F238E27FC236}">
              <a16:creationId xmlns:a16="http://schemas.microsoft.com/office/drawing/2014/main" id="{BD0DF176-1AA3-472F-A022-FDB9C14C3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925" y="44734"/>
          <a:ext cx="21198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175260</xdr:colOff>
      <xdr:row>0</xdr:row>
      <xdr:rowOff>31979</xdr:rowOff>
    </xdr:from>
    <xdr:to>
      <xdr:col>10</xdr:col>
      <xdr:colOff>416560</xdr:colOff>
      <xdr:row>0</xdr:row>
      <xdr:rowOff>282804</xdr:rowOff>
    </xdr:to>
    <xdr:pic>
      <xdr:nvPicPr>
        <xdr:cNvPr id="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4AD4253-7100-47DB-ABB1-7AFB85B66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30074"/>
          <a:ext cx="245110" cy="256540"/>
        </a:xfrm>
        <a:prstGeom prst="rect">
          <a:avLst/>
        </a:prstGeom>
      </xdr:spPr>
    </xdr:pic>
    <xdr:clientData/>
  </xdr:twoCellAnchor>
  <xdr:twoCellAnchor editAs="oneCell">
    <xdr:from>
      <xdr:col>15</xdr:col>
      <xdr:colOff>606848</xdr:colOff>
      <xdr:row>3</xdr:row>
      <xdr:rowOff>23306</xdr:rowOff>
    </xdr:from>
    <xdr:to>
      <xdr:col>34</xdr:col>
      <xdr:colOff>31714</xdr:colOff>
      <xdr:row>32</xdr:row>
      <xdr:rowOff>18396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583D230A-748A-199B-823F-0C986F6BB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89791" y="730877"/>
          <a:ext cx="11466099" cy="5710090"/>
        </a:xfrm>
        <a:prstGeom prst="rect">
          <a:avLst/>
        </a:prstGeom>
      </xdr:spPr>
    </xdr:pic>
    <xdr:clientData/>
  </xdr:twoCellAnchor>
  <xdr:twoCellAnchor editAs="oneCell">
    <xdr:from>
      <xdr:col>15</xdr:col>
      <xdr:colOff>473652</xdr:colOff>
      <xdr:row>40</xdr:row>
      <xdr:rowOff>120881</xdr:rowOff>
    </xdr:from>
    <xdr:to>
      <xdr:col>33</xdr:col>
      <xdr:colOff>526072</xdr:colOff>
      <xdr:row>71</xdr:row>
      <xdr:rowOff>136611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5C957BD7-51DB-2BAC-109C-527B96EB1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975397" y="7671608"/>
          <a:ext cx="11378165" cy="5632536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579118</xdr:colOff>
      <xdr:row>0</xdr:row>
      <xdr:rowOff>42829</xdr:rowOff>
    </xdr:from>
    <xdr:to>
      <xdr:col>10</xdr:col>
      <xdr:colOff>59578</xdr:colOff>
      <xdr:row>0</xdr:row>
      <xdr:rowOff>247189</xdr:rowOff>
    </xdr:to>
    <xdr:pic macro="[0]!Salvar_CPU">
      <xdr:nvPicPr>
        <xdr:cNvPr id="2" name="Imagem 1">
          <a:extLst>
            <a:ext uri="{FF2B5EF4-FFF2-40B4-BE49-F238E27FC236}">
              <a16:creationId xmlns:a16="http://schemas.microsoft.com/office/drawing/2014/main" id="{3A3E4DCB-53CF-437A-92BF-6B3C3FDCB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43698" y="42829"/>
          <a:ext cx="211980" cy="204360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0</xdr:row>
      <xdr:rowOff>42829</xdr:rowOff>
    </xdr:from>
    <xdr:to>
      <xdr:col>10</xdr:col>
      <xdr:colOff>703470</xdr:colOff>
      <xdr:row>0</xdr:row>
      <xdr:rowOff>247189</xdr:rowOff>
    </xdr:to>
    <xdr:pic>
      <xdr:nvPicPr>
        <xdr:cNvPr id="3" name="Imagem 2">
          <a:hlinkClick xmlns:r="http://schemas.openxmlformats.org/officeDocument/2006/relationships" r:id="rId2" tooltip="Voltar"/>
          <a:extLst>
            <a:ext uri="{FF2B5EF4-FFF2-40B4-BE49-F238E27FC236}">
              <a16:creationId xmlns:a16="http://schemas.microsoft.com/office/drawing/2014/main" id="{122AB1F2-4AEC-4457-91AA-769A98C46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42829"/>
          <a:ext cx="208170" cy="204360"/>
        </a:xfrm>
        <a:prstGeom prst="rect">
          <a:avLst/>
        </a:prstGeom>
      </xdr:spPr>
    </xdr:pic>
    <xdr:clientData/>
  </xdr:twoCellAnchor>
  <xdr:twoCellAnchor editAs="oneCell">
    <xdr:from>
      <xdr:col>10</xdr:col>
      <xdr:colOff>175260</xdr:colOff>
      <xdr:row>0</xdr:row>
      <xdr:rowOff>31979</xdr:rowOff>
    </xdr:from>
    <xdr:to>
      <xdr:col>10</xdr:col>
      <xdr:colOff>416560</xdr:colOff>
      <xdr:row>0</xdr:row>
      <xdr:rowOff>282804</xdr:rowOff>
    </xdr:to>
    <xdr:pic>
      <xdr:nvPicPr>
        <xdr:cNvPr id="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55FCA45-F23E-487D-9097-09978FC53B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1360" y="31979"/>
          <a:ext cx="241300" cy="250825"/>
        </a:xfrm>
        <a:prstGeom prst="rect">
          <a:avLst/>
        </a:prstGeom>
      </xdr:spPr>
    </xdr:pic>
    <xdr:clientData/>
  </xdr:twoCellAnchor>
  <xdr:twoCellAnchor editAs="oneCell">
    <xdr:from>
      <xdr:col>15</xdr:col>
      <xdr:colOff>606848</xdr:colOff>
      <xdr:row>3</xdr:row>
      <xdr:rowOff>23306</xdr:rowOff>
    </xdr:from>
    <xdr:to>
      <xdr:col>34</xdr:col>
      <xdr:colOff>60289</xdr:colOff>
      <xdr:row>33</xdr:row>
      <xdr:rowOff>18396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620FBD5-EFAB-4F41-B151-C245AF1CB5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320568" y="724346"/>
          <a:ext cx="11470181" cy="5641510"/>
        </a:xfrm>
        <a:prstGeom prst="rect">
          <a:avLst/>
        </a:prstGeom>
      </xdr:spPr>
    </xdr:pic>
    <xdr:clientData/>
  </xdr:twoCellAnchor>
  <xdr:twoCellAnchor editAs="oneCell">
    <xdr:from>
      <xdr:col>15</xdr:col>
      <xdr:colOff>477462</xdr:colOff>
      <xdr:row>40</xdr:row>
      <xdr:rowOff>83098</xdr:rowOff>
    </xdr:from>
    <xdr:to>
      <xdr:col>33</xdr:col>
      <xdr:colOff>550837</xdr:colOff>
      <xdr:row>71</xdr:row>
      <xdr:rowOff>93113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8098D68-95D9-4B48-A076-5F2DB5F57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19545" y="7769244"/>
          <a:ext cx="11348435" cy="5755283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579118</xdr:colOff>
      <xdr:row>0</xdr:row>
      <xdr:rowOff>42829</xdr:rowOff>
    </xdr:from>
    <xdr:to>
      <xdr:col>10</xdr:col>
      <xdr:colOff>55768</xdr:colOff>
      <xdr:row>0</xdr:row>
      <xdr:rowOff>250999</xdr:rowOff>
    </xdr:to>
    <xdr:pic macro="[0]!Salvar_CPU">
      <xdr:nvPicPr>
        <xdr:cNvPr id="2" name="Imagem 1">
          <a:extLst>
            <a:ext uri="{FF2B5EF4-FFF2-40B4-BE49-F238E27FC236}">
              <a16:creationId xmlns:a16="http://schemas.microsoft.com/office/drawing/2014/main" id="{0125E22B-02BB-4A34-B6E4-AB93F442A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43698" y="42829"/>
          <a:ext cx="211980" cy="204360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0</xdr:row>
      <xdr:rowOff>42829</xdr:rowOff>
    </xdr:from>
    <xdr:to>
      <xdr:col>10</xdr:col>
      <xdr:colOff>707280</xdr:colOff>
      <xdr:row>0</xdr:row>
      <xdr:rowOff>250999</xdr:rowOff>
    </xdr:to>
    <xdr:pic>
      <xdr:nvPicPr>
        <xdr:cNvPr id="3" name="Imagem 2">
          <a:hlinkClick xmlns:r="http://schemas.openxmlformats.org/officeDocument/2006/relationships" r:id="rId2" tooltip="Voltar"/>
          <a:extLst>
            <a:ext uri="{FF2B5EF4-FFF2-40B4-BE49-F238E27FC236}">
              <a16:creationId xmlns:a16="http://schemas.microsoft.com/office/drawing/2014/main" id="{DA327432-0E51-474E-A1DC-09A11B2AB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42829"/>
          <a:ext cx="208170" cy="204360"/>
        </a:xfrm>
        <a:prstGeom prst="rect">
          <a:avLst/>
        </a:prstGeom>
      </xdr:spPr>
    </xdr:pic>
    <xdr:clientData/>
  </xdr:twoCellAnchor>
  <xdr:twoCellAnchor editAs="oneCell">
    <xdr:from>
      <xdr:col>10</xdr:col>
      <xdr:colOff>175260</xdr:colOff>
      <xdr:row>0</xdr:row>
      <xdr:rowOff>31979</xdr:rowOff>
    </xdr:from>
    <xdr:to>
      <xdr:col>10</xdr:col>
      <xdr:colOff>416560</xdr:colOff>
      <xdr:row>0</xdr:row>
      <xdr:rowOff>286614</xdr:rowOff>
    </xdr:to>
    <xdr:pic>
      <xdr:nvPicPr>
        <xdr:cNvPr id="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76BF787-0441-45CE-BA49-CB7442BD5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1360" y="31979"/>
          <a:ext cx="241300" cy="250825"/>
        </a:xfrm>
        <a:prstGeom prst="rect">
          <a:avLst/>
        </a:prstGeom>
      </xdr:spPr>
    </xdr:pic>
    <xdr:clientData/>
  </xdr:twoCellAnchor>
  <xdr:twoCellAnchor editAs="oneCell">
    <xdr:from>
      <xdr:col>15</xdr:col>
      <xdr:colOff>606848</xdr:colOff>
      <xdr:row>3</xdr:row>
      <xdr:rowOff>23306</xdr:rowOff>
    </xdr:from>
    <xdr:to>
      <xdr:col>34</xdr:col>
      <xdr:colOff>56479</xdr:colOff>
      <xdr:row>33</xdr:row>
      <xdr:rowOff>22206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B70227B-A436-42B5-B7D5-79EBA6667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320568" y="724346"/>
          <a:ext cx="11470181" cy="5641510"/>
        </a:xfrm>
        <a:prstGeom prst="rect">
          <a:avLst/>
        </a:prstGeom>
      </xdr:spPr>
    </xdr:pic>
    <xdr:clientData/>
  </xdr:twoCellAnchor>
  <xdr:twoCellAnchor editAs="oneCell">
    <xdr:from>
      <xdr:col>15</xdr:col>
      <xdr:colOff>473652</xdr:colOff>
      <xdr:row>40</xdr:row>
      <xdr:rowOff>120881</xdr:rowOff>
    </xdr:from>
    <xdr:to>
      <xdr:col>33</xdr:col>
      <xdr:colOff>550837</xdr:colOff>
      <xdr:row>71</xdr:row>
      <xdr:rowOff>132801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FC9E15A4-F1E9-401B-B9CE-6524DB52D7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187372" y="7748501"/>
          <a:ext cx="11366215" cy="5700250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579118</xdr:colOff>
      <xdr:row>0</xdr:row>
      <xdr:rowOff>42829</xdr:rowOff>
    </xdr:from>
    <xdr:to>
      <xdr:col>9</xdr:col>
      <xdr:colOff>796813</xdr:colOff>
      <xdr:row>0</xdr:row>
      <xdr:rowOff>250364</xdr:rowOff>
    </xdr:to>
    <xdr:pic macro="[0]!Salvar_CPU">
      <xdr:nvPicPr>
        <xdr:cNvPr id="2" name="Imagem 1">
          <a:extLst>
            <a:ext uri="{FF2B5EF4-FFF2-40B4-BE49-F238E27FC236}">
              <a16:creationId xmlns:a16="http://schemas.microsoft.com/office/drawing/2014/main" id="{9E846A1D-009A-4F02-95E7-B81B702B5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3" y="44734"/>
          <a:ext cx="20817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0</xdr:row>
      <xdr:rowOff>42829</xdr:rowOff>
    </xdr:from>
    <xdr:to>
      <xdr:col>10</xdr:col>
      <xdr:colOff>706645</xdr:colOff>
      <xdr:row>0</xdr:row>
      <xdr:rowOff>250364</xdr:rowOff>
    </xdr:to>
    <xdr:pic>
      <xdr:nvPicPr>
        <xdr:cNvPr id="3" name="Imagem 2">
          <a:hlinkClick xmlns:r="http://schemas.openxmlformats.org/officeDocument/2006/relationships" r:id="rId2" tooltip="Voltar"/>
          <a:extLst>
            <a:ext uri="{FF2B5EF4-FFF2-40B4-BE49-F238E27FC236}">
              <a16:creationId xmlns:a16="http://schemas.microsoft.com/office/drawing/2014/main" id="{5A966503-8085-49D6-8CB4-3520B080B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925" y="44734"/>
          <a:ext cx="21198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175260</xdr:colOff>
      <xdr:row>0</xdr:row>
      <xdr:rowOff>31979</xdr:rowOff>
    </xdr:from>
    <xdr:to>
      <xdr:col>10</xdr:col>
      <xdr:colOff>416560</xdr:colOff>
      <xdr:row>0</xdr:row>
      <xdr:rowOff>285979</xdr:rowOff>
    </xdr:to>
    <xdr:pic>
      <xdr:nvPicPr>
        <xdr:cNvPr id="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D64D2FF-A86D-4AC7-B822-362D1B4FC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30074"/>
          <a:ext cx="245110" cy="256540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579118</xdr:colOff>
      <xdr:row>0</xdr:row>
      <xdr:rowOff>42829</xdr:rowOff>
    </xdr:from>
    <xdr:to>
      <xdr:col>10</xdr:col>
      <xdr:colOff>53863</xdr:colOff>
      <xdr:row>0</xdr:row>
      <xdr:rowOff>244014</xdr:rowOff>
    </xdr:to>
    <xdr:pic macro="[0]!Salvar_CPU">
      <xdr:nvPicPr>
        <xdr:cNvPr id="2" name="Imagem 1">
          <a:extLst>
            <a:ext uri="{FF2B5EF4-FFF2-40B4-BE49-F238E27FC236}">
              <a16:creationId xmlns:a16="http://schemas.microsoft.com/office/drawing/2014/main" id="{6746E727-AFF4-48DF-A716-1AAC41C7E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3" y="44734"/>
          <a:ext cx="20817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0</xdr:row>
      <xdr:rowOff>42829</xdr:rowOff>
    </xdr:from>
    <xdr:to>
      <xdr:col>10</xdr:col>
      <xdr:colOff>701565</xdr:colOff>
      <xdr:row>0</xdr:row>
      <xdr:rowOff>244014</xdr:rowOff>
    </xdr:to>
    <xdr:pic>
      <xdr:nvPicPr>
        <xdr:cNvPr id="3" name="Imagem 2">
          <a:hlinkClick xmlns:r="http://schemas.openxmlformats.org/officeDocument/2006/relationships" r:id="rId2" tooltip="Voltar"/>
          <a:extLst>
            <a:ext uri="{FF2B5EF4-FFF2-40B4-BE49-F238E27FC236}">
              <a16:creationId xmlns:a16="http://schemas.microsoft.com/office/drawing/2014/main" id="{0E47525F-DECE-4EA2-A807-BA21016CB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925" y="44734"/>
          <a:ext cx="21198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175260</xdr:colOff>
      <xdr:row>0</xdr:row>
      <xdr:rowOff>31979</xdr:rowOff>
    </xdr:from>
    <xdr:to>
      <xdr:col>10</xdr:col>
      <xdr:colOff>416560</xdr:colOff>
      <xdr:row>0</xdr:row>
      <xdr:rowOff>282169</xdr:rowOff>
    </xdr:to>
    <xdr:pic>
      <xdr:nvPicPr>
        <xdr:cNvPr id="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C75C01B-19F0-4BBA-9C4B-59BA3873F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30074"/>
          <a:ext cx="245110" cy="256540"/>
        </a:xfrm>
        <a:prstGeom prst="rect">
          <a:avLst/>
        </a:prstGeom>
      </xdr:spPr>
    </xdr:pic>
    <xdr:clientData/>
  </xdr:twoCellAnchor>
  <xdr:twoCellAnchor editAs="oneCell">
    <xdr:from>
      <xdr:col>16</xdr:col>
      <xdr:colOff>145677</xdr:colOff>
      <xdr:row>10</xdr:row>
      <xdr:rowOff>112058</xdr:rowOff>
    </xdr:from>
    <xdr:to>
      <xdr:col>35</xdr:col>
      <xdr:colOff>112209</xdr:colOff>
      <xdr:row>36</xdr:row>
      <xdr:rowOff>38517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8E2C6F55-CCEC-AEEB-C9C4-86E6973803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295530" y="2229970"/>
          <a:ext cx="12304208" cy="4599312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579118</xdr:colOff>
      <xdr:row>0</xdr:row>
      <xdr:rowOff>42829</xdr:rowOff>
    </xdr:from>
    <xdr:to>
      <xdr:col>10</xdr:col>
      <xdr:colOff>54498</xdr:colOff>
      <xdr:row>0</xdr:row>
      <xdr:rowOff>250999</xdr:rowOff>
    </xdr:to>
    <xdr:pic macro="[0]!Salvar_CPU">
      <xdr:nvPicPr>
        <xdr:cNvPr id="2" name="Imagem 1">
          <a:extLst>
            <a:ext uri="{FF2B5EF4-FFF2-40B4-BE49-F238E27FC236}">
              <a16:creationId xmlns:a16="http://schemas.microsoft.com/office/drawing/2014/main" id="{74B9F7F4-CB03-4832-B740-3884C96AF6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3223" y="44734"/>
          <a:ext cx="20817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495300</xdr:colOff>
      <xdr:row>0</xdr:row>
      <xdr:rowOff>42829</xdr:rowOff>
    </xdr:from>
    <xdr:to>
      <xdr:col>10</xdr:col>
      <xdr:colOff>708550</xdr:colOff>
      <xdr:row>0</xdr:row>
      <xdr:rowOff>250999</xdr:rowOff>
    </xdr:to>
    <xdr:pic>
      <xdr:nvPicPr>
        <xdr:cNvPr id="3" name="Imagem 2">
          <a:hlinkClick xmlns:r="http://schemas.openxmlformats.org/officeDocument/2006/relationships" r:id="rId2" tooltip="Voltar"/>
          <a:extLst>
            <a:ext uri="{FF2B5EF4-FFF2-40B4-BE49-F238E27FC236}">
              <a16:creationId xmlns:a16="http://schemas.microsoft.com/office/drawing/2014/main" id="{8C36D64B-69C0-4228-BCD5-743F4760FD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925" y="44734"/>
          <a:ext cx="211980" cy="206265"/>
        </a:xfrm>
        <a:prstGeom prst="rect">
          <a:avLst/>
        </a:prstGeom>
      </xdr:spPr>
    </xdr:pic>
    <xdr:clientData/>
  </xdr:twoCellAnchor>
  <xdr:twoCellAnchor editAs="oneCell">
    <xdr:from>
      <xdr:col>10</xdr:col>
      <xdr:colOff>175260</xdr:colOff>
      <xdr:row>0</xdr:row>
      <xdr:rowOff>31979</xdr:rowOff>
    </xdr:from>
    <xdr:to>
      <xdr:col>10</xdr:col>
      <xdr:colOff>416560</xdr:colOff>
      <xdr:row>0</xdr:row>
      <xdr:rowOff>287884</xdr:rowOff>
    </xdr:to>
    <xdr:pic>
      <xdr:nvPicPr>
        <xdr:cNvPr id="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E3D65B0-41B9-4924-A634-087CAB416F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30074"/>
          <a:ext cx="245110" cy="256540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3297555</xdr:colOff>
      <xdr:row>0</xdr:row>
      <xdr:rowOff>64190</xdr:rowOff>
    </xdr:from>
    <xdr:to>
      <xdr:col>2</xdr:col>
      <xdr:colOff>3634740</xdr:colOff>
      <xdr:row>1</xdr:row>
      <xdr:rowOff>151619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5E2B30-616F-4B1B-971D-2DF7E5F63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52990" y="64190"/>
          <a:ext cx="337185" cy="319342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131445</xdr:colOff>
      <xdr:row>1</xdr:row>
      <xdr:rowOff>47625</xdr:rowOff>
    </xdr:from>
    <xdr:to>
      <xdr:col>1</xdr:col>
      <xdr:colOff>380365</xdr:colOff>
      <xdr:row>1</xdr:row>
      <xdr:rowOff>303530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D7EEED-8043-464B-8595-73515C608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" y="238125"/>
          <a:ext cx="248920" cy="255905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178904</xdr:colOff>
      <xdr:row>0</xdr:row>
      <xdr:rowOff>19879</xdr:rowOff>
    </xdr:from>
    <xdr:to>
      <xdr:col>6</xdr:col>
      <xdr:colOff>398504</xdr:colOff>
      <xdr:row>1</xdr:row>
      <xdr:rowOff>53949</xdr:rowOff>
    </xdr:to>
    <xdr:pic macro="[0]!Agrupamento">
      <xdr:nvPicPr>
        <xdr:cNvPr id="3" name="Imagem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51634" y="19879"/>
          <a:ext cx="219600" cy="219600"/>
        </a:xfrm>
        <a:prstGeom prst="rect">
          <a:avLst/>
        </a:prstGeom>
      </xdr:spPr>
    </xdr:pic>
    <xdr:clientData/>
  </xdr:twoCellAnchor>
  <xdr:twoCellAnchor editAs="oneCell">
    <xdr:from>
      <xdr:col>6</xdr:col>
      <xdr:colOff>543340</xdr:colOff>
      <xdr:row>0</xdr:row>
      <xdr:rowOff>1</xdr:rowOff>
    </xdr:from>
    <xdr:to>
      <xdr:col>7</xdr:col>
      <xdr:colOff>175040</xdr:colOff>
      <xdr:row>1</xdr:row>
      <xdr:rowOff>55771</xdr:rowOff>
    </xdr:to>
    <xdr:pic>
      <xdr:nvPicPr>
        <xdr:cNvPr id="5" name="Imagem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6070" y="1"/>
          <a:ext cx="241300" cy="241300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7620</xdr:rowOff>
    </xdr:from>
    <xdr:to>
      <xdr:col>5</xdr:col>
      <xdr:colOff>247015</xdr:colOff>
      <xdr:row>1</xdr:row>
      <xdr:rowOff>57150</xdr:rowOff>
    </xdr:to>
    <xdr:pic>
      <xdr:nvPicPr>
        <xdr:cNvPr id="4" name="Imagem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8760" y="7620"/>
          <a:ext cx="241300" cy="241300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516255</xdr:colOff>
      <xdr:row>0</xdr:row>
      <xdr:rowOff>116205</xdr:rowOff>
    </xdr:from>
    <xdr:to>
      <xdr:col>4</xdr:col>
      <xdr:colOff>857456</xdr:colOff>
      <xdr:row>1</xdr:row>
      <xdr:rowOff>148590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00365A-A25B-46D6-873D-CB38A4367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7080" y="116205"/>
          <a:ext cx="341201" cy="346710"/>
        </a:xfrm>
        <a:prstGeom prst="rect">
          <a:avLst/>
        </a:prstGeom>
      </xdr:spPr>
    </xdr:pic>
    <xdr:clientData/>
  </xdr:twoCellAnchor>
  <xdr:twoCellAnchor editAs="oneCell">
    <xdr:from>
      <xdr:col>3</xdr:col>
      <xdr:colOff>1066800</xdr:colOff>
      <xdr:row>0</xdr:row>
      <xdr:rowOff>133350</xdr:rowOff>
    </xdr:from>
    <xdr:to>
      <xdr:col>4</xdr:col>
      <xdr:colOff>228600</xdr:colOff>
      <xdr:row>1</xdr:row>
      <xdr:rowOff>170137</xdr:rowOff>
    </xdr:to>
    <xdr:pic macro="[0]!Atualizar_ABC">
      <xdr:nvPicPr>
        <xdr:cNvPr id="3" name="Imagem 2">
          <a:extLst>
            <a:ext uri="{FF2B5EF4-FFF2-40B4-BE49-F238E27FC236}">
              <a16:creationId xmlns:a16="http://schemas.microsoft.com/office/drawing/2014/main" id="{DB294FAA-DE44-4B91-B670-BC7823F8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133350"/>
          <a:ext cx="352425" cy="351112"/>
        </a:xfrm>
        <a:prstGeom prst="rect">
          <a:avLst/>
        </a:prstGeom>
      </xdr:spPr>
    </xdr:pic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nderson Ferraz De Aguiar" refreshedDate="46156.499116782405" backgroundQuery="1" createdVersion="8" refreshedVersion="8" minRefreshableVersion="3" recordCount="0" supportSubquery="1" supportAdvancedDrill="1" xr:uid="{8FC84E09-B3F5-473F-A1C8-107546CAB5FC}">
  <cacheSource type="external" connectionId="7"/>
  <cacheFields count="1">
    <cacheField name="[fHistograma].[Codigo].[Codigo]" caption="Codigo" numFmtId="0" level="1">
      <sharedItems containsSemiMixedTypes="0" containsNonDate="0" containsString="0"/>
    </cacheField>
  </cacheFields>
  <cacheHierarchies count="26">
    <cacheHierarchy uniqueName="[fHistograma].[Codigo]" caption="Codigo" attribute="1" defaultMemberUniqueName="[fHistograma].[Codigo].[All]" allUniqueName="[fHistograma].[Codigo].[All]" dimensionUniqueName="[fHistograma]" displayFolder="" count="2" memberValueDatatype="130" unbalanced="0">
      <fieldsUsage count="2">
        <fieldUsage x="-1"/>
        <fieldUsage x="0"/>
      </fieldsUsage>
    </cacheHierarchy>
    <cacheHierarchy uniqueName="[fHistograma].[ETAPA]" caption="ETAPA" attribute="1" defaultMemberUniqueName="[fHistograma].[ETAPA].[All]" allUniqueName="[fHistograma].[ETAPA].[All]" dimensionUniqueName="[fHistograma]" displayFolder="" count="0" memberValueDatatype="130" unbalanced="0"/>
    <cacheHierarchy uniqueName="[fHistograma].[Serviço]" caption="Serviço" attribute="1" defaultMemberUniqueName="[fHistograma].[Serviço].[All]" allUniqueName="[fHistograma].[Serviço].[All]" dimensionUniqueName="[fHistograma]" displayFolder="" count="0" memberValueDatatype="130" unbalanced="0"/>
    <cacheHierarchy uniqueName="[fHistograma].[Qtde.]" caption="Qtde." attribute="1" defaultMemberUniqueName="[fHistograma].[Qtde.].[All]" allUniqueName="[fHistograma].[Qtde.].[All]" dimensionUniqueName="[fHistograma]" displayFolder="" count="0" memberValueDatatype="5" unbalanced="0"/>
    <cacheHierarchy uniqueName="[fHistograma].[V. Unit]" caption="V. Unit" attribute="1" defaultMemberUniqueName="[fHistograma].[V. Unit].[All]" allUniqueName="[fHistograma].[V. Unit].[All]" dimensionUniqueName="[fHistograma]" displayFolder="" count="0" memberValueDatatype="5" unbalanced="0"/>
    <cacheHierarchy uniqueName="[fHistograma].[Prazo (dias)]" caption="Prazo (dias)" attribute="1" defaultMemberUniqueName="[fHistograma].[Prazo (dias)].[All]" allUniqueName="[fHistograma].[Prazo (dias)].[All]" dimensionUniqueName="[fHistograma]" displayFolder="" count="0" memberValueDatatype="130" unbalanced="0"/>
    <cacheHierarchy uniqueName="[fHistograma].[Mês]" caption="Mês" attribute="1" defaultMemberUniqueName="[fHistograma].[Mês].[All]" allUniqueName="[fHistograma].[Mês].[All]" dimensionUniqueName="[fHistograma]" displayFolder="" count="0" memberValueDatatype="130" unbalanced="0"/>
    <cacheHierarchy uniqueName="[fHistograma].[Valor]" caption="Valor" attribute="1" defaultMemberUniqueName="[fHistograma].[Valor].[All]" allUniqueName="[fHistograma].[Valor].[All]" dimensionUniqueName="[fHistograma]" displayFolder="" count="0" memberValueDatatype="130" unbalanced="0"/>
    <cacheHierarchy uniqueName="[fOrcamento].[AUX]" caption="AUX" attribute="1" defaultMemberUniqueName="[fOrcamento].[AUX].[All]" allUniqueName="[fOrcamento].[AUX].[All]" dimensionUniqueName="[fOrcamento]" displayFolder="" count="0" memberValueDatatype="20" unbalanced="0"/>
    <cacheHierarchy uniqueName="[fOrcamento].[AGRUPADOR]" caption="AGRUPADOR" attribute="1" defaultMemberUniqueName="[fOrcamento].[AGRUPADOR].[All]" allUniqueName="[fOrcamento].[AGRUPADOR].[All]" dimensionUniqueName="[fOrcamento]" displayFolder="" count="0" memberValueDatatype="130" unbalanced="0"/>
    <cacheHierarchy uniqueName="[fOrcamento].[DESCRIÇÃO AGRUPADOR]" caption="DESCRIÇÃO AGRUPADOR" attribute="1" defaultMemberUniqueName="[fOrcamento].[DESCRIÇÃO AGRUPADOR].[All]" allUniqueName="[fOrcamento].[DESCRIÇÃO AGRUPADOR].[All]" dimensionUniqueName="[fOrcamento]" displayFolder="" count="0" memberValueDatatype="130" unbalanced="0"/>
    <cacheHierarchy uniqueName="[fOrcamento].[UNID. AGRUPADOR]" caption="UNID. AGRUPADOR" attribute="1" defaultMemberUniqueName="[fOrcamento].[UNID. AGRUPADOR].[All]" allUniqueName="[fOrcamento].[UNID. AGRUPADOR].[All]" dimensionUniqueName="[fOrcamento]" displayFolder="" count="0" memberValueDatatype="130" unbalanced="0"/>
    <cacheHierarchy uniqueName="[fOrcamento].[ITEM]" caption="ITEM" attribute="1" defaultMemberUniqueName="[fOrcamento].[ITEM].[All]" allUniqueName="[fOrcamento].[ITEM].[All]" dimensionUniqueName="[fOrcamento]" displayFolder="" count="0" memberValueDatatype="5" unbalanced="0"/>
    <cacheHierarchy uniqueName="[fOrcamento].[DESCRIÇÃO]" caption="DESCRIÇÃO" attribute="1" defaultMemberUniqueName="[fOrcamento].[DESCRIÇÃO].[All]" allUniqueName="[fOrcamento].[DESCRIÇÃO].[All]" dimensionUniqueName="[fOrcamento]" displayFolder="" count="0" memberValueDatatype="130" unbalanced="0"/>
    <cacheHierarchy uniqueName="[fOrcamento].[UNID.]" caption="UNID." attribute="1" defaultMemberUniqueName="[fOrcamento].[UNID.].[All]" allUniqueName="[fOrcamento].[UNID.].[All]" dimensionUniqueName="[fOrcamento]" displayFolder="" count="0" memberValueDatatype="130" unbalanced="0"/>
    <cacheHierarchy uniqueName="[fOrcamento].[K]" caption="K" attribute="1" defaultMemberUniqueName="[fOrcamento].[K].[All]" allUniqueName="[fOrcamento].[K].[All]" dimensionUniqueName="[fOrcamento]" displayFolder="" count="0" memberValueDatatype="130" unbalanced="0"/>
    <cacheHierarchy uniqueName="[fOrcamento].[QUANT.]" caption="QUANT." attribute="1" defaultMemberUniqueName="[fOrcamento].[QUANT.].[All]" allUniqueName="[fOrcamento].[QUANT.].[All]" dimensionUniqueName="[fOrcamento]" displayFolder="" count="0" memberValueDatatype="5" unbalanced="0"/>
    <cacheHierarchy uniqueName="[fOrcamento].[VENDA UNIT]" caption="VENDA UNIT" attribute="1" defaultMemberUniqueName="[fOrcamento].[VENDA UNIT].[All]" allUniqueName="[fOrcamento].[VENDA UNIT].[All]" dimensionUniqueName="[fOrcamento]" displayFolder="" count="0" memberValueDatatype="5" unbalanced="0"/>
    <cacheHierarchy uniqueName="[fOrcamento].[VENDA TOTAL]" caption="VENDA TOTAL" attribute="1" defaultMemberUniqueName="[fOrcamento].[VENDA TOTAL].[All]" allUniqueName="[fOrcamento].[VENDA TOTAL].[All]" dimensionUniqueName="[fOrcamento]" displayFolder="" count="0" memberValueDatatype="5" unbalanced="0"/>
    <cacheHierarchy uniqueName="[fOrcamento].[CUSTO UNIT]" caption="CUSTO UNIT" attribute="1" defaultMemberUniqueName="[fOrcamento].[CUSTO UNIT].[All]" allUniqueName="[fOrcamento].[CUSTO UNIT].[All]" dimensionUniqueName="[fOrcamento]" displayFolder="" count="0" memberValueDatatype="130" unbalanced="0"/>
    <cacheHierarchy uniqueName="[fOrcamento].[CUSTO TOTAL]" caption="CUSTO TOTAL" attribute="1" defaultMemberUniqueName="[fOrcamento].[CUSTO TOTAL].[All]" allUniqueName="[fOrcamento].[CUSTO TOTAL].[All]" dimensionUniqueName="[fOrcamento]" displayFolder="" count="0" memberValueDatatype="130" unbalanced="0"/>
    <cacheHierarchy uniqueName="[fOrcamento].[LUCR %]" caption="LUCR %" attribute="1" defaultMemberUniqueName="[fOrcamento].[LUCR %].[All]" allUniqueName="[fOrcamento].[LUCR %].[All]" dimensionUniqueName="[fOrcamento]" displayFolder="" count="0" memberValueDatatype="130" unbalanced="0"/>
    <cacheHierarchy uniqueName="[fOrcamento].[QUANT_X_K]" caption="QUANT_X_K" attribute="1" defaultMemberUniqueName="[fOrcamento].[QUANT_X_K].[All]" allUniqueName="[fOrcamento].[QUANT_X_K].[All]" dimensionUniqueName="[fOrcamento]" displayFolder="" count="0" memberValueDatatype="5" unbalanced="0"/>
    <cacheHierarchy uniqueName="[Measures].[__XL_Count fHistograma]" caption="__XL_Count fHistograma" measure="1" displayFolder="" measureGroup="fHistograma" count="0" hidden="1"/>
    <cacheHierarchy uniqueName="[Measures].[__XL_Count fOrcamento]" caption="__XL_Count fOrcamento" measure="1" displayFolder="" measureGroup="fOrcamento" count="0" hidden="1"/>
    <cacheHierarchy uniqueName="[Measures].[__XL_Count of Models]" caption="__XL_Count of Models" measure="1" displayFolder="" count="0" hidden="1"/>
  </cacheHierarchies>
  <kpis count="0"/>
  <dimensions count="3">
    <dimension name="fHistograma" uniqueName="[fHistograma]" caption="fHistograma"/>
    <dimension name="fOrcamento" uniqueName="[fOrcamento]" caption="fOrcamento"/>
    <dimension measure="1" name="Measures" uniqueName="[Measures]" caption="Measures"/>
  </dimensions>
  <measureGroups count="2">
    <measureGroup name="fHistograma" caption="fHistograma"/>
    <measureGroup name="fOrcamento" caption="fOrcamento"/>
  </measureGroups>
  <maps count="2">
    <map measureGroup="0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erson Ferraz De Aguiar" refreshedDate="46156.499119444445" createdVersion="8" refreshedVersion="8" minRefreshableVersion="3" recordCount="179" xr:uid="{E77CE654-5654-4C74-A842-B2A44A08CF30}">
  <cacheSource type="worksheet">
    <worksheetSource name="fAbc"/>
  </cacheSource>
  <cacheFields count="14">
    <cacheField name="CODIGO" numFmtId="0">
      <sharedItems containsBlank="1"/>
    </cacheField>
    <cacheField name="SERVIÇO" numFmtId="0">
      <sharedItems count="24">
        <s v="CPU_PinturadeLigação"/>
        <s v="CPU_Recomposiçãocerca"/>
        <s v="CPU_Cerca"/>
        <s v="CPU_Fundaçãoestruturamet"/>
        <s v="CPU_Passeiodeconcreto"/>
        <s v="CPU_DrenagemSuperficial"/>
        <s v="CPU_CapaConcreto"/>
        <s v="CPU_IluminaçãoBSOeSAL"/>
        <s v="CPU_Iluminaçãodeaproxima"/>
        <s v="CPU_Alambrado"/>
        <s v="CPU_SinalizaçãoverticalS"/>
        <s v="CPU_SinalizaçãohorizSAUS"/>
        <s v="CPU_Grama"/>
        <s v="CPU_Reservatorio"/>
        <s v="CPU_CapaSAUS"/>
        <s v="CPU_TachaRefletiva"/>
        <s v="CPU_MicroRevestimento"/>
        <s v="CPU_SinalizaçãoHorizonta"/>
        <s v="CPU_Conserva"/>
        <s v="CPU_Administracaolocaldi"/>
        <s v="CPU_CapaCBUQ"/>
        <s v="CPU_FresagemDescontinua"/>
        <s v="CPU_Transportecbuq" u="1"/>
        <s v="CPU_Instalaçãoestruturam" u="1"/>
      </sharedItems>
    </cacheField>
    <cacheField name="PRODUÇÃO" numFmtId="0">
      <sharedItems containsSemiMixedTypes="0" containsString="0" containsNumber="1" minValue="0" maxValue="8000"/>
    </cacheField>
    <cacheField name="QTDE_TOTAL" numFmtId="0">
      <sharedItems containsSemiMixedTypes="0" containsString="0" containsNumber="1" minValue="0" maxValue="453600"/>
    </cacheField>
    <cacheField name="DESCRIÇÃO" numFmtId="0">
      <sharedItems containsBlank="1" count="88">
        <m/>
        <s v="Cam. espargidor VW 17.180"/>
        <s v="Ajudante geral"/>
        <s v="Motorista de cam espargidor"/>
        <s v="Armador"/>
        <s v="Op. de espargidor"/>
        <s v="Carpinteiro"/>
        <s v="Caminhão carroceria"/>
        <s v="Óleo diesel"/>
        <s v="Pedreiro"/>
        <s v="Poste de madeira p/cerca 2,20 x 10 a 12 cm"/>
        <s v="Esticador de madeira p/cerca 2,80 x 14 a 16 cm"/>
        <s v="Arame zincado ovalado 1,5/1,7 mm"/>
        <s v="Op. de motoniveladora"/>
        <s v="Op. de rolo compactador"/>
        <s v="Op. de rolo de pneu"/>
        <s v="Op. de vibroacabadora"/>
        <s v="Concreto usinado fck 25 MPA"/>
        <s v="Tabua 15 cm"/>
        <s v="Cam Micro 6x4 VW 31.320"/>
        <s v="Tela soldada Q 138"/>
        <s v="Lona plastica"/>
        <s v="Grelha aço"/>
        <s v="Brita 1"/>
        <s v="Tubo pvc 100 mm"/>
        <s v="Piso concreto (Terceiros)"/>
        <s v="Aço CA-50 vários diâmetros"/>
        <s v="Caibro 5x5"/>
        <s v="Motoniveladora"/>
        <s v="Tela soldada Q 82"/>
        <s v="Pa carreadeira"/>
        <s v="Iluminação BSO e SAU (Terceiros)"/>
        <s v="Rolo chapa vib tandem Dynapac CC424HF"/>
        <s v="Iluminação de aproximação (Terceiros)"/>
        <s v="Rolo pata vibratorio"/>
        <s v="Rolo de pneus"/>
        <s v="Vibro acabadora"/>
        <s v="Painel belgo slim alt = 2,03"/>
        <s v="Poste Nylofor alt = 2,6"/>
        <s v="Fixador gradil"/>
        <s v="Arame recozido"/>
        <s v="Areia"/>
        <s v="Cimento"/>
        <s v="Transporte CBUQ"/>
        <s v="Coluna de aço 10x15 8 mm"/>
        <s v="Tabua 30 cm"/>
        <s v="Sinalização vertical SAUS (Terceiros)"/>
        <s v="Tacha refletiva (Terceiros)"/>
        <s v="Tacha refletiva tipo III (Terceiros)"/>
        <s v="Sinalização horizontal SAUS (Terceiros)"/>
        <s v="Plantio de grama (Terceiros)"/>
        <s v="Reservatorio metalico 10 m³"/>
        <s v="EAI"/>
        <s v="RR 1C"/>
        <s v="CAP 50 / 70"/>
        <s v="CBUQ exceto cap"/>
        <s v="Cam. pipa VW 17.180"/>
        <s v="Motorista de cam usina"/>
        <s v="Op. de pá-carregadeira"/>
        <s v="Motorista de cam pipa"/>
        <s v="Mesista de vibro acabadora (Asfalto)"/>
        <s v="Rasteleiro"/>
        <s v="Sinalização horizontal (Terceiros)"/>
        <s v="Trator pneus 4x4"/>
        <s v="Roçadeira costal"/>
        <s v="Gasolina"/>
        <s v="Op. de trator de pneu"/>
        <s v="Motorista de cam carroceria"/>
        <s v="Op. De roçadeira"/>
        <s v="Administração local"/>
        <s v="Minicarregadeira "/>
        <s v="Op. de mini-escavadeira"/>
        <s v="CBUQ"/>
        <s v="Fresadora Wirtgen W1000L"/>
        <s v="Cam. basculante 8x2 VW 24.220"/>
        <s v="Op. de fresadora"/>
        <s v="Motorista de cam basculante"/>
        <s v="BITZ"/>
        <s v="Op. De usina micro" u="1"/>
        <s v="Sinalização horizontal (Fechamento)" u="1"/>
        <s v="Estrutura metalica (Terceiros)" u="1"/>
        <s v="Escavação estaca" u="1"/>
        <s v="Reservatorio metalico 5 m³" u="1"/>
        <s v="Administração" u="1"/>
        <s v="Op. de mini-carregadeira" u="1"/>
        <s v="Pá Carregadeira NH 12C" u="1"/>
        <s v="Minicarregadeira-Bobcat" u="1"/>
        <s v="Concreto betuminoso usinado a quente (CBUQ)" u="1"/>
      </sharedItems>
    </cacheField>
    <cacheField name="UNID" numFmtId="0">
      <sharedItems containsBlank="1"/>
    </cacheField>
    <cacheField name="Nº" numFmtId="0">
      <sharedItems containsString="0" containsBlank="1" containsNumber="1" containsInteger="1" minValue="1" maxValue="6"/>
    </cacheField>
    <cacheField name="QUANT." numFmtId="0">
      <sharedItems containsString="0" containsBlank="1" containsNumber="1" minValue="0.18079999999999999" maxValue="3178861.9865999995"/>
    </cacheField>
    <cacheField name="C. UNIT" numFmtId="0">
      <sharedItems containsSemiMixedTypes="0" containsString="0" containsNumber="1" minValue="0" maxValue="1059620.6621999999"/>
    </cacheField>
    <cacheField name="C. TOTAL" numFmtId="0">
      <sharedItems containsSemiMixedTypes="0" containsString="0" containsNumber="1" minValue="6.4" maxValue="3178861.9865999995"/>
    </cacheField>
    <cacheField name="Name" numFmtId="0">
      <sharedItems/>
    </cacheField>
    <cacheField name="QTDE" numFmtId="0">
      <sharedItems containsMixedTypes="1" containsNumber="1" minValue="0" maxValue="4238482.6487999987"/>
    </cacheField>
    <cacheField name="CUSTO_TOTAL" numFmtId="0">
      <sharedItems containsMixedTypes="1" containsNumber="1" minValue="0" maxValue="6099600"/>
    </cacheField>
    <cacheField name="GRUPO" numFmtId="0">
      <sharedItems containsBlank="1" count="7">
        <m/>
        <s v="MVE"/>
        <s v="MO"/>
        <s v="COMBUSTIVEL"/>
        <s v="MATERIAL"/>
        <s v="TER"/>
        <s v="ADM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erson Ferraz De Aguiar" refreshedDate="46156.499119675929" createdVersion="5" refreshedVersion="8" minRefreshableVersion="3" recordCount="1998" xr:uid="{00000000-000A-0000-FFFF-FFFF00000000}">
  <cacheSource type="worksheet">
    <worksheetSource name="fOrcamento"/>
  </cacheSource>
  <cacheFields count="17">
    <cacheField name="AUX" numFmtId="0">
      <sharedItems containsString="0" containsBlank="1" containsNumber="1" containsInteger="1" minValue="1" maxValue="1"/>
    </cacheField>
    <cacheField name="AGRUPADOR" numFmtId="0">
      <sharedItems containsBlank="1" count="55">
        <m/>
        <s v="02.03.65 Transporte cbuq"/>
        <s v="01.01.01 Administracao local diversos"/>
        <s v="02.06.10 Cerca"/>
        <s v="02.06.15 Recomposição cerca"/>
        <s v="02.04.10 Sinalização Horizontal"/>
        <s v="02.04.30 Tacha Refletiva"/>
        <s v="02.03.25 Fresagem Descontinua"/>
        <s v="02.03.60 Micro Revestimento"/>
        <s v="02.03.45 Pintura de Ligação"/>
        <s v="02.03.50 Capa - CBUQ"/>
        <s v="02.06.50 Conserva" u="1"/>
        <s v="99.01 Reajuste" u="1"/>
        <s v="02.10.15 Capa SAUS" u="1"/>
        <s v="02.10.16 Capa Concreto" u="1"/>
        <s v="02.10.20 Sinalização vertical SAUS" u="1"/>
        <s v="02.10.20 Sinalização horiz SAUS" u="1"/>
        <s v="02.10.30 Drenagem Superficial" u="1"/>
        <s v="02.10.35 Passeio de concreto" u="1"/>
        <s v="02.10.40 Grama" u="1"/>
        <s v="02.10.45 Iluminação de aproximação" u="1"/>
        <s v="02.10.50 Iluminação BSO e SAL" u="1"/>
        <s v="02.10.80 Instalação estrutura metalica" u="1"/>
        <s v="02.10.75 Fundação estrutura metalica" u="1"/>
        <s v="02.10.70 Reservatorio" u="1"/>
        <s v="02.10.60 Alambrado" u="1"/>
        <s v="02.10.25 Defensa" u="1"/>
        <s v="02.10.20 Sinalização horizontal SAUS" u="1"/>
        <s v="02.10.70 Reservatório" u="1"/>
        <s v="02.10.20 Sinalização" u="1"/>
        <s v="02.06.10 Cerca madeira" u="1"/>
        <s v="02.06.10 Cerca de Vedação" u="1"/>
        <s v="02.01.10 Desmatamento" u="1"/>
        <s v="02.01.20 Escavação" u="1"/>
        <s v="02.01.35 Compactação" u="1"/>
        <s v="02.01.40 Diversos TER" u="1"/>
        <s v="02.02.56 Transporte agregados" u="1"/>
        <s v="02.02.55 Transporte jazida" u="1"/>
        <s v="02.02.20 Base" u="1"/>
        <s v="02.02.21 Estabilização brita graduada" u="1"/>
        <s v="02.02.30 Imprimação" u="1"/>
        <s v="02.02.35 Pintura de Ligação" u="1"/>
        <s v="02.02.57 Transporte massa" u="1"/>
        <s v="02.04.40 Defensa Metalica" u="1"/>
        <s v="02.02.60 Diversos" u="1"/>
        <s v="02.01.40 Diversos" u="1"/>
        <s v="02.01.35 Compactação 100%" u="1"/>
        <s v="02.01.35 Compactação 100" u="1"/>
        <s v="02.02.40 Capa - TSS" u="1"/>
        <s v="99.03 Reequilíbrio" u="1"/>
        <s v="02.02.45 Capa - TSD" u="1"/>
        <s v="02.02.15 Sub-Base" u="1"/>
        <s v="02.01.25 Transporte" u="1"/>
        <s v="02.02.55 Transporte" u="1"/>
        <s v="02.09.40 Bueiro Tubular" u="1"/>
      </sharedItems>
    </cacheField>
    <cacheField name="DESCRIÇÃO AGRUPADOR" numFmtId="0">
      <sharedItems containsBlank="1"/>
    </cacheField>
    <cacheField name="UNID. AGRUPADOR" numFmtId="0">
      <sharedItems containsBlank="1"/>
    </cacheField>
    <cacheField name="ITEM" numFmtId="0">
      <sharedItems containsString="0" containsBlank="1" containsNumber="1" containsInteger="1" minValue="1" maxValue="20305"/>
    </cacheField>
    <cacheField name="DESCRIÇÃO" numFmtId="0">
      <sharedItems containsBlank="1" count="246">
        <m/>
        <s v="ADMINISTRAÇÃO DE OBRAS"/>
        <s v="DESMOBILIZAÇÃO"/>
        <s v="TRANSPORTE DE MASSA"/>
        <s v="SERVIÇOS DA PRODUÇÃO"/>
        <s v="CANTEIRO DE OBRAS"/>
        <s v="MOBILIZAÇÃO"/>
        <s v="SERVIÇOS INICIAIS"/>
        <s v="CANTEIRO CENTRAL E FAIXA DE DOMÍNIO"/>
        <s v="CERCA COM 4 FIOS DE ARAME FARPADO E MOURÃO DE CONCRETO DE SEÇÃO QUADRADA DE 11 CM A CADA 2,5 M E ESTICADOR DE 15 CM A CADA 50 M - AREIA E BRITA COMERCIAIS"/>
        <s v="RECOMPOSIÇÃO TOTAL DE CERCA COM MOURÃO DE CONCRETO SEÇÃO QUADRADA - AREIA E BRITA COMERCIAIS"/>
        <s v="SINALIZAÇÃO"/>
        <s v="PINTURA DE FAIXA COM TINTA ACRÍLICA - ESPESSURA DE 0,6 MM"/>
        <s v="TACHA REFLETIVA METÁLICA - BIDIRECIONAL TIPO II - COM DOIS PINOS - FORNECIMENTO E COLOCAÇÃO"/>
        <s v="PAVIMENTO FLEXÍVEL"/>
        <s v="FRESAGEM DESCONTÍNUA DE REVESTIMENTO ASFÁLTICO"/>
        <s v="MICRORREVESTIMENTO A FRIO COM EMULSÃO MODIFICADA COM POLÍMERO DE 0,8 CM - BRITA COMERCIAL"/>
        <s v="PINTURA DE LIGAÇÃO"/>
        <s v="CONCRETO ASFÁLTICO - FAIXA C - AREIA E BRITA COMERCIAIS"/>
        <s v="M2" u="1"/>
        <s v="DEVOLUÇÃO" u="1"/>
        <s v="CAPINA MANUAL" u="1"/>
        <s v="HIDROSSEMEADURA" u="1"/>
        <s v="PINTURA DE FAIXA COM TERMOPLÁSTICO EM ALTO RELEVO TIPO I POR EXTRUSÃO - RELEVO DUPLO COM BASE" u="1"/>
        <s v="LIMPEZA DE PLACA DE SINALIZAÇÃO" u="1"/>
        <s v="PLACA EM AÇO Nº 16 GALVANIZADO COM PELÍCULA RETRORREFLETIVA TIPO I + IV - CONFECÇÃO" u="1"/>
        <s v="PLACA MODULADA EM AÇO Nº 18 GALVANIZADO COM PELÍCULA RETRORREFLETIVA TIPO III + III - CONFECÇÃO" u="1"/>
        <s v="PLACA EM CHAPA DE POLIÉSTER REFORÇADA COM FIBRA DE VIDRO COM PELÍCULA RETRORREFLETIVA TIPO I + III - CONFECÇÃO" u="1"/>
        <s v="SUPORTE PARA PLACA DE SINALIZAÇÃO EM MADEIRA DE LEI TRATADA 8 X 8 CM - FORNECIMENTO E IMPLANTAÇÃO" u="1"/>
        <s v="SUPORTE DUPLO METÁLICO GALVANIZADO PARA PLACAS - 3,00 X 2,00 M - FORNECIMENTO E IMPLANTAÇÃO" u="1"/>
        <s v="REMOÇÃO DE PLACA DE SINALIZAÇÃO" u="1"/>
        <s v="REMOÇÃO DE DEFENSA METÁLICA" u="1"/>
        <s v="DEFENSA MALEÁVEL SIMPLES - FORNECIMENTO E IMPLANTAÇÃO" u="1"/>
        <s v="PLACA DELINEADOR EM AÇO - 0,30 X 0,90 M - PELÍCULA RETRORREFLETIVA TIPO I + IV - FORNECIMENTO E IMPLANTAÇÃO" u="1"/>
        <s v="TERMINAL ABSORVEDOR DE ENERGIA DE ABERTURA COM NÍVEL DE CONTENÇÃO TL3 PARA DEFENSA METÁLICA - FORNECIMENTO E IMPLANTAÇÃO" u="1"/>
        <s v="DEFENSA SEMIMALEÁVEL SIMPLES - FORNECIMENTO E IMPLANTAÇÃO" u="1"/>
        <s v="BARREIRA SIMPLES DE CONCRETO, ARMADA, PRÉ-MOLDADA (PERFIL NEW JERSEY) - L &gt; 3,00 M E H = 810 MM" u="1"/>
        <s v="CONCRETO USINADO BOMBEAVEL, CLASSE DE RESISTENCIA C25, COM BRITA 0 E 1, SLUMP = 190 +/- 20 MM, EXCLUI SERVICO DE BOMBEAMENTO (NBR 8953)" u="1"/>
        <s v="LIMPEZA DE SARJETA E MEIO-FIO" u="1"/>
        <s v="LIMPEZA DE DESCIDA D'ÁGUA" u="1"/>
        <s v="LIMPEZA DE VALETA DE CORTE" u="1"/>
        <s v="SARJETA TRIANGULAR DE CONCRETO - STC 125-25 - ESCAVAÇÃO MECÂNICA - AREIA E BRITA COMERCIAIS" u="1"/>
        <s v="MEIO-FIO DE CONCRETO - MFC 01 - AREIA E BRITA COMERCIAIS - FÔRMA DE MADEIRA" u="1"/>
        <s v="SARJETA TRIANGULAR DE CANTEIRO CENTRAL DE CONCRETO - STCC 140-35 - AREIA E BRITA COMERCIAIS" u="1"/>
        <s v="DESCIDA D'ÁGUA DE ATERROS TIPO RÁPIDO - DAR 03 - AREIA E BRITA COMERCIAIS" u="1"/>
        <s v="VALETA DE PROTEÇÃO DE CORTES COM REVESTIMENTO DE CONCRETO - VPCC 120-30 - ESCAVAÇÃO MECÂNICA - AREIA E BRITA COMERCIAIS" u="1"/>
        <s v="CAIAÇÃO MANUAL COM FIXADOR DE CAL" u="1"/>
        <s v="DEMOLIÇÃO DE CONCRETO SIMPLES" u="1"/>
        <s v="LIMPEZA DE BUEIRO" u="1"/>
        <s v="DESOBSTRUÇÃO DE BUEIRO" u="1"/>
        <s v="ILUMINAÇÃO SERVIÇOS INICIAIS" u="1"/>
        <s v="POSTE DE CONCRETO COM COMPRIMENTO NOMINAL DE 15 M, CARGA NOMINAL MENOR OU IGUAL A 1000 DAN, ENGASTAMENTO SIMPLES COM 2,1 M DE SOLO (NÃO INCLUI FORNECIMENTO). AF_11/2019" u="1"/>
        <s v="INSTALAÇÃO DE LUMINARIA DE LED PARA ILUMINACAO PUBLICA, DE 181 W ATE 239 W, INVOLUCRO EM ALUMINIO OU ACO INOX" u="1"/>
        <s v="RECOMPOSIÇÃO DE GUARDA-CORPO COM AGREGADOS PRODUZIDOS - INSTALAÇÃO" u="1"/>
        <s v="REPARO DO PISO (PASSEIO)" u="1"/>
        <s v="REPARO DE PAVIMENTO" u="1"/>
        <s v="ESTUCAMENTO DE DENSIDADE ALTA NAS FACES INTERNAS DE PAREDES DO SISTEMA DE PAREDES DE CONCRETO, EM AMBIENTES COM ÁREA ENTRE 5 M² E 10 M², UTILIZAÇÃO DE ARGAMASSA COLANTE. AF_10/2022" u="1"/>
        <s v="LIMPEZA DE PONTE" u="1"/>
        <s v="LIMPEZA EM JUNTA DE DILATAÇÃO" u="1"/>
        <s v="LIMPEZA DE APARELHOS DE APOIO EM OBRAS DE ARTE ESPECIAIS - EXCLUSA A PLATAFORMA" u="1"/>
        <s v="PINTURA DE GUARDA CORPOS" u="1"/>
        <s v="PINTURA DE ESTRUTURA LÁTEX ACRÍLICO" u="1"/>
        <s v="PINTURA COM TINTA ANTICORROSIVA À BASE DE EPÓXI POLIAMIDA DE DOIS COMPONENTES COM PISTOLA A AR COMPRIMIDO, UMA DEMÃO, ESPESSURA DE ATÉ 150 µM" u="1"/>
        <s v="CORREÇÃO DE DEPRESSÃO EM ENCONTRO" u="1"/>
        <s v="LÁBIOS POLIMÉRICOS EM JUNTA DE PAVIMENTO DE CONCRETO - L = 20 MM E H = 30 MM - CONFECÇÃO E ASSENTAMENTO" u="1"/>
        <s v="REPARO DE GUARDA-RODA" u="1"/>
        <s v="TRATAMENTO DE FISSURAS TRANSVERSAIS COM ABERTURA MAIOR QUE 1,0 MM EM PAVIMENTOS DE CONCRETO" u="1"/>
        <s v="SELAGEM DE TRINCAS MECANIZADA EM PAVIMENTO FLEXÍVEL COM EMULSÃO - AREIA COMERCIAL" u="1"/>
        <s v="LIMPEZA E DESOBSTRUÇÃO DE DISPOSITIVOS DE DRENAGEM EM OAE" u="1"/>
        <s v="GEOGRELHA UNIDIRECIONAL COM RESISTÊNCIA À TRAÇÃO DE 300 KN/M - FORNECIMENTO E INSTALAÇÃO" u="1"/>
        <s v="IMPRIMAÇÃO COM EMULSÃO ASFÁLTICA" u="1"/>
        <s v="RECICLAGEM COM INCORPORAÇÃO DO REVESTIMENTO ASFÁLTICO À BASE COM ADIÇÃO DE 3% DE CIMENTO E DE BRITA COMERCIAL" u="1"/>
        <s v="PMQ - PRÉ-MISTURADO A QUENTE COM RAP=30% - FAIXA C (EXCLUSO BETUMINOSO)" u="1"/>
        <s v="REMOÇÃO MECANIZADA DE REVESTIMENTO ASFÁLTICO" u="1"/>
        <s v="REMOÇÃO MECANIZADA DE CAMADA GRANULAR DO PAVIMENTO" u="1"/>
        <s v="BASE OU SUB-BASE DE BRITA GRADUADA COM BRITA COMERCIAL" u="1"/>
        <s v="DRENO DE PAVIMENTO EM MICROVALA COM GEOCOMPOSTO DRENANTE H = 0,60 M - INCLUSIVE CORTE, ENCHIMENTO COM AREIA E SELO ASFÁLTICO" u="1"/>
        <s v="FORNECIMENTO DE AMP 55/75-E" u="1"/>
        <s v="FORNECIMENTO DE CAP 50/70" u="1"/>
        <s v="FORNECIMENTO DE RR-1C" u="1"/>
        <s v="FORNECIMENTO DE CM-30" u="1"/>
        <s v="FORNECIMENTO DE RC-1C-E" u="1"/>
        <s v="FORNECIMENTO DE EAI" u="1"/>
        <s v="DESMATAMENTO, DESTOCAMENTO, LIMPEZA" u="1"/>
        <s v="ESCAVAÇÃO, CARGA E TRANSPORTE DE MATERIAL DE 1ª CATEGORIA" u="1"/>
        <s v="COMPACTAÇÃO DE ATERROS A 100% DO PROCTOR NORMAL" u="1"/>
        <s v="EMPRÉSTIMO E BOTA-FORA" u="1"/>
        <s v="MATERIAIS" u="1"/>
        <s v="FABRICAÇÃO" u="1"/>
        <s v="INSTALAÇÃO" u="1"/>
        <s v="FUNDAÇÃO" u="1"/>
        <s v="MOBILIZAÇÃO/DESMOBILIZAÇÃO" u="1"/>
        <s v="MAO-DE-OBRA 15% (TURN OVER)" u="1"/>
        <s v="CBUQ -  RAP C/ 25% (USINAGEM+APLIC+TRANSP)" u="1"/>
        <s v="ADIANTAMENTO" u="1"/>
        <s v="PINTURA DEMARCAÇÃO VIÁRIA TINTA ACRÍLICA BASE DE ÁGUA - FORNECIMENTO E INSTALAÇÃO" u="1"/>
        <s v="SINALIZAÇÃO VERTICAL" u="1"/>
        <s v="DISPOSITIVO DE SEGURANÇA" u="1"/>
        <s v="DEFENSA METÁLICA" u="1"/>
        <s v="BARREIRA DE CONCRETO" u="1"/>
        <s v="DRENAGEM" u="1"/>
        <s v="DRENAGEM SUPERFICIAL" u="1"/>
        <s v="DRENAGEM PROFUNDA" u="1"/>
        <s v="SISTEMAS ELÉTRICOS E DE ILUMINAÇÃO" u="1"/>
        <s v="OBRAS DE ARTE ESPECIAIS" u="1"/>
        <s v="REAJUSTE" u="1"/>
        <s v="BSO + SAU (BASE DE SERV. OPERACIONAL + SERV. ATENDIMENTO AO USUÁRIO)" u="1"/>
        <s v="VEGETAÇÃO" u="1"/>
        <s v="TERRAPLENAGEM" u="1"/>
        <s v="PAVIMENTAÇÃO" u="1"/>
        <s v="EQUIPAMENTO DE PROTEÇÃO E SEGURANÇA" u="1"/>
        <s v="PAISAGISMO" u="1"/>
        <s v="ILUMINAÇÃO" u="1"/>
        <s v="EDIFICAÇÃO - BSO+SAU" u="1"/>
        <s v="MODULOS HABITACIONAIS" u="1"/>
        <s v="ESTRUTURA METALICA" u="1"/>
        <s v="RESERVATÓRIO METÁLICO" u="1"/>
        <s v="MOBILIZAÇÃO E DESMOBILIZAÇÃO" u="1"/>
        <s v="TURN OVER" u="1"/>
        <s v="SINALIZAÇÃO HORIZONTAL" u="1"/>
        <s v="RESTAURAÇÃO PAVIMENTO EXISTENTE (PROJETO MARCÍLIO)" u="1"/>
        <s v="INSTALAÇÃO DE CANTEIRO" u="1"/>
        <s v="INSTALAÇÃO DE USINA DE ASFALTO" u="1"/>
        <s v="INDIRETO" u="1"/>
        <s v="ROÇADA MECANIZADA COM ROÇADEIRA DE ARRASTE" u="1"/>
        <s v="ROÇADA COM ROÇADEIRA COSTAL" u="1"/>
        <s v="FRESAGEM CONTÍNUA DE REVESTIMENTO ASFÁLTICO" u="1"/>
        <s v="MICRORREVESTIMENTO A FRIO COM EMULSÃO MODIFICADA COM POLÍMERO DE 1,5 CM - BRITA COMERCIAL" u="1"/>
        <s v="MICRORREVESTIMENTO À FRIO-1,5 CM C/ 50% MAT FRESADO - TECPAV" u="1"/>
        <s v="REAJUSTE PREÇOS UNITÁRIOS DE JAN/24 À JAN/25" u="1"/>
        <s v="PAVIMENTO NOVO SBC (20,00 CM) BGS (20,00 CM) CBUQ (3,00 CM)" u="1"/>
        <s v="PAVIMENTO CONCRETO" u="1"/>
        <s v="PASSEIO DE CONCRETO FCK=20MPA, INCLUSO PREPARO DE CAIXA E LASTRO" u="1"/>
        <s v="REVESTIMENTO VEGETAL COM GRAMA EM MUDAS EM SUPERFÍCIES PLANAS" u="1"/>
        <s v="ILUMINAÇÃO DE APROXIMAÇÃO ÀS EDIFICAÇÕES (EXCL. PRAÇAS DE PEDÁGIOS)" u="1"/>
        <s v="ILUMINAÇÃO BSO + SAU (BASE DE SERVIÇO OPERACIONAL - COM ATENDIMENTO AOS USUÁRIOS)" u="1"/>
        <s v="FORNECIMENTO E INSTALAÇÃO DE RESERVATÓRIO METÁLICO TIPO TAÇA DE 5.000 LITROS PINTURA INTERNA E EXTERNA COM ESCADA DE ACESSO E BASE DE CONCRETO ARMADO - AREIA E BRITA COMERCIAIS" u="1"/>
        <s v="ALAMBRADO EM MOURÕES DE CONCRETO, COM TELA DE ARAME GALVANIZADO (INCLUSIVE MURETA EM CONCRETO)" u="1"/>
        <s v="TRANSPORTE CBUQ" u="1"/>
        <s v="CPU AUXILIARES" u="1"/>
        <s v="TOTAL" u="1"/>
        <s v="Desmatamento, destocamento e limpeza (árvore diâm. até 15 cm)" u="1"/>
        <s v="Desmatamento, destocamento e limpeza (árvore diâm. &gt; 15 cm)" u="1"/>
        <s v="Esc. carga transp. mat 1a cat DMT 50 m" u="1"/>
        <s v="Esc. carga transp. mat 1a cat DMT 50 a 200m c/e" u="1"/>
        <s v="Esc. carga transp. mat 1a cat DMT 200 a 400m c/e" u="1"/>
        <s v="Esc. carga transp. mat 1a cat DMT 400 a 600m c/e" u="1"/>
        <s v="Esc. carga transp. mat 1a cat DMT 600 a 800m c/e" u="1"/>
        <s v="Esc. carga transp. mat 2a cat DMT 200 a 400m c/e" u="1"/>
        <s v="Esc. carga transp. mat 3a cat DMT 51 a 200m" u="1"/>
        <s v="Esc. carga transp. mat 3a cat DMT 200 a 400m" u="1"/>
        <s v="Esc. carga transp. mat 3a cat DMT 400 a 600m" u="1"/>
        <s v="Esc. carga transp. mat 3a cat DMT 800 a 1000m" u="1"/>
        <s v="Compactação a 95% do P.N." u="1"/>
        <s v="Compactação a 100% do P.N." u="1"/>
        <s v="Esc. carga transp. solos moles DMT até 200m" u="1"/>
        <s v="Estabilização de solo com baixa capacidade de suporte com rachão" u="1"/>
        <s v="Transporte comercial de agregados" u="1"/>
        <s v="Acabamento e recomposição de jazida" u="1"/>
        <s v="PAVIMENTAÇÃO - SUB-BASE E BASE" u="1"/>
        <s v="Desmatamento, limpeza e expurgo de jazida" u="1"/>
        <s v="Regularização e compactação de sub-leito" u="1"/>
        <s v="Escavação e carga de material de jazida c/indenização" u="1"/>
        <s v="Transporte de material de jazida (cascalho) - MVE Central" u="1"/>
        <s v="Transporte de mistura" u="1"/>
        <s v="Estabilização de solo brita 35% peso" u="1"/>
        <s v="Estabilização brita graduada" u="1"/>
        <s v="Transporte comercial de agregados - MVE Central" u="1"/>
        <s v="PAVIMENTAÇÃO - CAPA" u="1"/>
        <s v="Imprimação" u="1"/>
        <s v="Concreto betuminoso usinado a quente - CBUQ (Exceto CAP)" u="1"/>
        <s v="Transporte local de material betuminoso" u="1"/>
        <s v="Transporte local de massa asfáltica - MVE central" u="1"/>
        <s v="Transporte comercial de cimento" u="1"/>
        <s v="Fornecimento de emulsão asfáltica para imprimação - EAI" u="1"/>
        <s v="Fornecimento de emulsão RR-2C (Betim - MG)" u="1"/>
        <s v="Fornecimento de CAP - 50 / 70 (Aparecida de Goiânia)" u="1"/>
        <s v="Transporte comercial de material betuminoso" u="1"/>
        <s v="OBRAS DE ARTE CORRENTES E DRENAGEM PROFUNDA" u="1"/>
        <s v="Escavação manual de valas cascalho até 2,00 m" u="1"/>
        <s v="Escavação mecânica em terra" u="1"/>
        <s v="Reaterro compactado de valas com compactador tipo sapo" u="1"/>
        <s v="Corpo de bstc, exceto escavação, diâm 80 cm" u="1"/>
        <s v="Corpo de bstc, exceto escavação, diâm 100 cm" u="1"/>
        <s v="Corpo de bdtc, exceto escavação, diâm 120 cm" u="1"/>
        <s v="Corpo de bttc, exceto escavação, diâm 120 cm" u="1"/>
        <s v="Corpo de bttc, exceto escavação, diâm 150 cm" u="1"/>
        <s v="Boca de bstc, diâm. 80 cm" u="1"/>
        <s v="Boca de bstc, diâm. 100 cm" u="1"/>
        <s v="Boca de bdtc, diâm. 120 cm" u="1"/>
        <s v="Boca de bttc, diâm. 120 cm" u="1"/>
        <s v="Boca de bttc, diâm. 150 cm" u="1"/>
        <s v="Caixa coletora em concreto tubo, exceto escavação, diâm. 80 cm" u="1"/>
        <s v="Caixa coletora em concreto tubo, exceto escavação, diâm. 100 cm" u="1"/>
        <s v="Enrocamento de pedra arrumada" u="1"/>
        <s v="Valeta de proteção de corte - VPC01" u="1"/>
        <s v="Valeta de proteção de aterro - VPA03" u="1"/>
        <s v="Colchão drenante com brita" u="1"/>
        <s v="Dreno profundo, corte em solo PEAD - DPS07 (Exceto escavação)" u="1"/>
        <s v="Dreno cego, corte em rocha - DPR04 (Exceto escavação)" u="1"/>
        <s v="Sarjeta triangular de concreto - STC02" u="1"/>
        <s v="Transposição De Segmentos De Sarjetas - (D= 0,40M) - TSS-02" u="1"/>
        <s v="Meio fio com sarjeta - MFC03" u="1"/>
        <s v="Meio fio com sarjeta - MFC05" u="1"/>
        <s v="Dissipador de energia - DES 02" u="1"/>
        <s v="Dissipador de energia - DES 04" u="1"/>
        <s v="Dissipador de energia - DEB 01" u="1"/>
        <s v="Dissipador de energia - DEB 02" u="1"/>
        <s v="Dissipador de energia - DEB 04" u="1"/>
        <s v="Dissipador de energia - DEB 05" u="1"/>
        <s v="Dissipador de energia - DEB 09" u="1"/>
        <s v="Dissipador de energia - DEB 12" u="1"/>
        <s v="Dissipador de energia - DEB 13" u="1"/>
        <s v="Entrada d'agua - EDA 01" u="1"/>
        <s v="Entrada d'agua - EDA 02" u="1"/>
        <s v="Descida d'água de aterros tipo rápido - DAR 02" u="1"/>
        <s v="Descida d'água de aterros tipo rápido - DAR 03" u="1"/>
        <s v="Descida d'água de aterros em degraus - DAD 02" u="1"/>
        <s v="Boca p/ dreno profundo - BSD 02" u="1"/>
        <s v="Escavação mecânica de valas de 1ª categoria" u="1"/>
        <s v="OBRAS COMPLEMENTARES" u="1"/>
        <s v="Cerca de vedação de faixa de domínio em madeira" u="1"/>
        <s v="Remoção De Cerca" u="1"/>
        <s v="Remoção e recolocação de cerca" u="1"/>
        <s v="Defensa metálica semi-maleável simples" u="1"/>
        <s v="Sinalização horizontal com resina acrílica" u="1"/>
        <s v="Tacha refletiva monodirecional" u="1"/>
        <s v="Tacha refletiva bidirecional" u="1"/>
        <s v="Tachão refletivo monodirecional" u="1"/>
        <s v="Tachão refletivo bidirecional" u="1"/>
        <s v="Sinalização vertical totalmente refletiva pintura eletrostática" u="1"/>
        <s v="Revestimento vegetal em placas (grama)" u="1"/>
        <s v="Revestimento vegetal em mudas" u="1"/>
        <s v="Conformação de talude" u="1"/>
        <s v="Florestamento" u="1"/>
        <s v="Revestimento vegetal para semeadura" u="1"/>
        <s v="Pintura à cal" u="1"/>
        <s v="Boca BSCC 3,00 x 3,00 m - esconsidade 45°" u="1"/>
        <s v="REEQUILÍBRIO" u="1"/>
        <s v="Reequilibrio material betuminoso" u="1"/>
        <s v="Reequilibrito contratual" u="1"/>
        <s v="Diferença de valor solo brita - Usina (35%) / Brita - Pista (25%)" u="1"/>
        <s v="Diferença de valor solo brita - Usina (35%) / Cimento - Pista (2%)" u="1"/>
        <s v="RISCOS E INCERTEZAS" u="1"/>
        <s v="Riscos e Incertezas (Mão de obra)" u="1"/>
        <s v="Riscos e Incertezas (Materiais)" u="1"/>
      </sharedItems>
    </cacheField>
    <cacheField name="UNID." numFmtId="0">
      <sharedItems containsBlank="1" count="15">
        <m/>
        <s v="ANO"/>
        <s v="TXKM"/>
        <s v="M"/>
        <s v="M²"/>
        <s v="UN"/>
        <s v="M³"/>
        <s v="VB" u="1"/>
        <s v="M2" u="1"/>
        <s v="T" u="1"/>
        <s v="HA" u="1"/>
        <s v="%" u="1"/>
        <s v="UM" u="1"/>
        <s v="M3" u="1"/>
        <s v="M3XKM" u="1"/>
      </sharedItems>
    </cacheField>
    <cacheField name="K" numFmtId="0">
      <sharedItems containsBlank="1"/>
    </cacheField>
    <cacheField name="QUANT." numFmtId="0">
      <sharedItems containsString="0" containsBlank="1" containsNumber="1" minValue="0" maxValue="2210000"/>
    </cacheField>
    <cacheField name="VENDA UNIT" numFmtId="0">
      <sharedItems containsString="0" containsBlank="1" containsNumber="1" minValue="0" maxValue="1319100.2337549999"/>
    </cacheField>
    <cacheField name="VENDA TOTAL" numFmtId="0">
      <sharedItems containsSemiMixedTypes="0" containsString="0" containsNumber="1" minValue="0" maxValue="21391572.401319001"/>
    </cacheField>
    <cacheField name="CUSTO UNIT" numFmtId="0">
      <sharedItems/>
    </cacheField>
    <cacheField name="CUSTO TOTAL" numFmtId="0">
      <sharedItems/>
    </cacheField>
    <cacheField name="LUCR %" numFmtId="0">
      <sharedItems/>
    </cacheField>
    <cacheField name="QUANT_X_K" numFmtId="0">
      <sharedItems containsString="0" containsBlank="1" containsNumber="1" minValue="0" maxValue="2210000"/>
    </cacheField>
    <cacheField name="V. Unit" numFmtId="0" formula="IFERROR('VENDA TOTAL'/QUANT_X_K,0)" databaseField="0"/>
    <cacheField name="Campo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nderson Ferraz De Aguiar" refreshedDate="46156.499116435189" backgroundQuery="1" createdVersion="3" refreshedVersion="8" minRefreshableVersion="3" recordCount="0" supportSubquery="1" supportAdvancedDrill="1" xr:uid="{832D1895-016B-4DDE-A9B4-1A1F1C262325}">
  <cacheSource type="external" connectionId="7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6">
    <cacheHierarchy uniqueName="[fHistograma].[Codigo]" caption="Codigo" attribute="1" defaultMemberUniqueName="[fHistograma].[Codigo].[All]" allUniqueName="[fHistograma].[Codigo].[All]" dimensionUniqueName="[fHistograma]" displayFolder="" count="2" memberValueDatatype="130" unbalanced="0"/>
    <cacheHierarchy uniqueName="[fHistograma].[ETAPA]" caption="ETAPA" attribute="1" defaultMemberUniqueName="[fHistograma].[ETAPA].[All]" allUniqueName="[fHistograma].[ETAPA].[All]" dimensionUniqueName="[fHistograma]" displayFolder="" count="0" memberValueDatatype="130" unbalanced="0"/>
    <cacheHierarchy uniqueName="[fHistograma].[Serviço]" caption="Serviço" attribute="1" defaultMemberUniqueName="[fHistograma].[Serviço].[All]" allUniqueName="[fHistograma].[Serviço].[All]" dimensionUniqueName="[fHistograma]" displayFolder="" count="0" memberValueDatatype="130" unbalanced="0"/>
    <cacheHierarchy uniqueName="[fHistograma].[Qtde.]" caption="Qtde." attribute="1" defaultMemberUniqueName="[fHistograma].[Qtde.].[All]" allUniqueName="[fHistograma].[Qtde.].[All]" dimensionUniqueName="[fHistograma]" displayFolder="" count="0" memberValueDatatype="5" unbalanced="0"/>
    <cacheHierarchy uniqueName="[fHistograma].[V. Unit]" caption="V. Unit" attribute="1" defaultMemberUniqueName="[fHistograma].[V. Unit].[All]" allUniqueName="[fHistograma].[V. Unit].[All]" dimensionUniqueName="[fHistograma]" displayFolder="" count="0" memberValueDatatype="5" unbalanced="0"/>
    <cacheHierarchy uniqueName="[fHistograma].[Prazo (dias)]" caption="Prazo (dias)" attribute="1" defaultMemberUniqueName="[fHistograma].[Prazo (dias)].[All]" allUniqueName="[fHistograma].[Prazo (dias)].[All]" dimensionUniqueName="[fHistograma]" displayFolder="" count="0" memberValueDatatype="130" unbalanced="0"/>
    <cacheHierarchy uniqueName="[fHistograma].[Mês]" caption="Mês" attribute="1" defaultMemberUniqueName="[fHistograma].[Mês].[All]" allUniqueName="[fHistograma].[Mês].[All]" dimensionUniqueName="[fHistograma]" displayFolder="" count="0" memberValueDatatype="130" unbalanced="0"/>
    <cacheHierarchy uniqueName="[fHistograma].[Valor]" caption="Valor" attribute="1" defaultMemberUniqueName="[fHistograma].[Valor].[All]" allUniqueName="[fHistograma].[Valor].[All]" dimensionUniqueName="[fHistograma]" displayFolder="" count="0" memberValueDatatype="130" unbalanced="0"/>
    <cacheHierarchy uniqueName="[fOrcamento].[AUX]" caption="AUX" attribute="1" defaultMemberUniqueName="[fOrcamento].[AUX].[All]" allUniqueName="[fOrcamento].[AUX].[All]" dimensionUniqueName="[fOrcamento]" displayFolder="" count="0" memberValueDatatype="20" unbalanced="0"/>
    <cacheHierarchy uniqueName="[fOrcamento].[AGRUPADOR]" caption="AGRUPADOR" attribute="1" defaultMemberUniqueName="[fOrcamento].[AGRUPADOR].[All]" allUniqueName="[fOrcamento].[AGRUPADOR].[All]" dimensionUniqueName="[fOrcamento]" displayFolder="" count="0" memberValueDatatype="130" unbalanced="0"/>
    <cacheHierarchy uniqueName="[fOrcamento].[DESCRIÇÃO AGRUPADOR]" caption="DESCRIÇÃO AGRUPADOR" attribute="1" defaultMemberUniqueName="[fOrcamento].[DESCRIÇÃO AGRUPADOR].[All]" allUniqueName="[fOrcamento].[DESCRIÇÃO AGRUPADOR].[All]" dimensionUniqueName="[fOrcamento]" displayFolder="" count="0" memberValueDatatype="130" unbalanced="0"/>
    <cacheHierarchy uniqueName="[fOrcamento].[UNID. AGRUPADOR]" caption="UNID. AGRUPADOR" attribute="1" defaultMemberUniqueName="[fOrcamento].[UNID. AGRUPADOR].[All]" allUniqueName="[fOrcamento].[UNID. AGRUPADOR].[All]" dimensionUniqueName="[fOrcamento]" displayFolder="" count="0" memberValueDatatype="130" unbalanced="0"/>
    <cacheHierarchy uniqueName="[fOrcamento].[ITEM]" caption="ITEM" attribute="1" defaultMemberUniqueName="[fOrcamento].[ITEM].[All]" allUniqueName="[fOrcamento].[ITEM].[All]" dimensionUniqueName="[fOrcamento]" displayFolder="" count="0" memberValueDatatype="5" unbalanced="0"/>
    <cacheHierarchy uniqueName="[fOrcamento].[DESCRIÇÃO]" caption="DESCRIÇÃO" attribute="1" defaultMemberUniqueName="[fOrcamento].[DESCRIÇÃO].[All]" allUniqueName="[fOrcamento].[DESCRIÇÃO].[All]" dimensionUniqueName="[fOrcamento]" displayFolder="" count="0" memberValueDatatype="130" unbalanced="0"/>
    <cacheHierarchy uniqueName="[fOrcamento].[UNID.]" caption="UNID." attribute="1" defaultMemberUniqueName="[fOrcamento].[UNID.].[All]" allUniqueName="[fOrcamento].[UNID.].[All]" dimensionUniqueName="[fOrcamento]" displayFolder="" count="0" memberValueDatatype="130" unbalanced="0"/>
    <cacheHierarchy uniqueName="[fOrcamento].[K]" caption="K" attribute="1" defaultMemberUniqueName="[fOrcamento].[K].[All]" allUniqueName="[fOrcamento].[K].[All]" dimensionUniqueName="[fOrcamento]" displayFolder="" count="0" memberValueDatatype="130" unbalanced="0"/>
    <cacheHierarchy uniqueName="[fOrcamento].[QUANT.]" caption="QUANT." attribute="1" defaultMemberUniqueName="[fOrcamento].[QUANT.].[All]" allUniqueName="[fOrcamento].[QUANT.].[All]" dimensionUniqueName="[fOrcamento]" displayFolder="" count="0" memberValueDatatype="5" unbalanced="0"/>
    <cacheHierarchy uniqueName="[fOrcamento].[VENDA UNIT]" caption="VENDA UNIT" attribute="1" defaultMemberUniqueName="[fOrcamento].[VENDA UNIT].[All]" allUniqueName="[fOrcamento].[VENDA UNIT].[All]" dimensionUniqueName="[fOrcamento]" displayFolder="" count="0" memberValueDatatype="5" unbalanced="0"/>
    <cacheHierarchy uniqueName="[fOrcamento].[VENDA TOTAL]" caption="VENDA TOTAL" attribute="1" defaultMemberUniqueName="[fOrcamento].[VENDA TOTAL].[All]" allUniqueName="[fOrcamento].[VENDA TOTAL].[All]" dimensionUniqueName="[fOrcamento]" displayFolder="" count="0" memberValueDatatype="5" unbalanced="0"/>
    <cacheHierarchy uniqueName="[fOrcamento].[CUSTO UNIT]" caption="CUSTO UNIT" attribute="1" defaultMemberUniqueName="[fOrcamento].[CUSTO UNIT].[All]" allUniqueName="[fOrcamento].[CUSTO UNIT].[All]" dimensionUniqueName="[fOrcamento]" displayFolder="" count="0" memberValueDatatype="130" unbalanced="0"/>
    <cacheHierarchy uniqueName="[fOrcamento].[CUSTO TOTAL]" caption="CUSTO TOTAL" attribute="1" defaultMemberUniqueName="[fOrcamento].[CUSTO TOTAL].[All]" allUniqueName="[fOrcamento].[CUSTO TOTAL].[All]" dimensionUniqueName="[fOrcamento]" displayFolder="" count="0" memberValueDatatype="130" unbalanced="0"/>
    <cacheHierarchy uniqueName="[fOrcamento].[LUCR %]" caption="LUCR %" attribute="1" defaultMemberUniqueName="[fOrcamento].[LUCR %].[All]" allUniqueName="[fOrcamento].[LUCR %].[All]" dimensionUniqueName="[fOrcamento]" displayFolder="" count="0" memberValueDatatype="130" unbalanced="0"/>
    <cacheHierarchy uniqueName="[fOrcamento].[QUANT_X_K]" caption="QUANT_X_K" attribute="1" defaultMemberUniqueName="[fOrcamento].[QUANT_X_K].[All]" allUniqueName="[fOrcamento].[QUANT_X_K].[All]" dimensionUniqueName="[fOrcamento]" displayFolder="" count="0" memberValueDatatype="5" unbalanced="0"/>
    <cacheHierarchy uniqueName="[Measures].[__XL_Count fHistograma]" caption="__XL_Count fHistograma" measure="1" displayFolder="" measureGroup="fHistograma" count="0" hidden="1"/>
    <cacheHierarchy uniqueName="[Measures].[__XL_Count fOrcamento]" caption="__XL_Count fOrcamento" measure="1" displayFolder="" measureGroup="fOrcamento" count="0" hidden="1"/>
    <cacheHierarchy uniqueName="[Measures].[__XL_Count of Models]" caption="__XL_Count of Model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595706566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9">
  <r>
    <s v="EQUIPAMENTO"/>
    <x v="0"/>
    <n v="2917"/>
    <n v="368333.33"/>
    <x v="0"/>
    <m/>
    <m/>
    <m/>
    <n v="0.28282482002056902"/>
    <n v="824.99999999999989"/>
    <s v="CPU_63"/>
    <n v="368333.33"/>
    <n v="104173.80776482687"/>
    <x v="0"/>
  </r>
  <r>
    <s v="MO"/>
    <x v="0"/>
    <n v="2917"/>
    <n v="368333.33"/>
    <x v="0"/>
    <m/>
    <m/>
    <m/>
    <n v="0.34672422847439205"/>
    <n v="1011.3945744598017"/>
    <s v="CPU_63"/>
    <n v="368333.33"/>
    <n v="127710.08966565365"/>
    <x v="0"/>
  </r>
  <r>
    <s v="EQUIPAMENTO"/>
    <x v="1"/>
    <n v="125"/>
    <n v="55500"/>
    <x v="0"/>
    <m/>
    <m/>
    <m/>
    <n v="5.4545454545454541"/>
    <n v="681.81818181818176"/>
    <s v="CPU_5961"/>
    <n v="55500"/>
    <n v="302727.27272727271"/>
    <x v="0"/>
  </r>
  <r>
    <s v="COMBUSTIVEL"/>
    <x v="1"/>
    <n v="125"/>
    <n v="55500"/>
    <x v="0"/>
    <m/>
    <m/>
    <m/>
    <n v="2.4436363636363634"/>
    <n v="305.45454545454544"/>
    <s v="CPU_5961"/>
    <n v="55500"/>
    <n v="135621.81818181818"/>
    <x v="0"/>
  </r>
  <r>
    <s v="MO"/>
    <x v="1"/>
    <n v="125"/>
    <n v="55500"/>
    <x v="0"/>
    <m/>
    <m/>
    <m/>
    <n v="10.585204744753744"/>
    <n v="1323.150593094218"/>
    <s v="CPU_5961"/>
    <n v="55500"/>
    <n v="587478.86333383282"/>
    <x v="0"/>
  </r>
  <r>
    <s v="MATERIAL"/>
    <x v="1"/>
    <n v="125"/>
    <n v="55500"/>
    <x v="0"/>
    <m/>
    <m/>
    <m/>
    <n v="15.087000000000002"/>
    <n v="1885.8750000000002"/>
    <s v="CPU_5961"/>
    <n v="55500"/>
    <n v="837328.50000000012"/>
    <x v="0"/>
  </r>
  <r>
    <s v="EQUIPAMENTO"/>
    <x v="2"/>
    <n v="250"/>
    <n v="31875"/>
    <x v="0"/>
    <m/>
    <m/>
    <m/>
    <n v="2.7272727272727271"/>
    <n v="681.81818181818176"/>
    <s v="CPU_59"/>
    <n v="31875"/>
    <n v="86931.818181818177"/>
    <x v="0"/>
  </r>
  <r>
    <s v="COMBUSTIVEL"/>
    <x v="2"/>
    <n v="250"/>
    <n v="31875"/>
    <x v="0"/>
    <m/>
    <m/>
    <m/>
    <n v="1.2218181818181817"/>
    <n v="305.45454545454544"/>
    <s v="CPU_59"/>
    <n v="31875"/>
    <n v="38945.454545454544"/>
    <x v="0"/>
  </r>
  <r>
    <s v="MO"/>
    <x v="2"/>
    <n v="250"/>
    <n v="31875"/>
    <x v="0"/>
    <m/>
    <m/>
    <m/>
    <n v="5.292602372376872"/>
    <n v="1323.150593094218"/>
    <s v="CPU_59"/>
    <n v="31875"/>
    <n v="168701.70061951279"/>
    <x v="0"/>
  </r>
  <r>
    <s v="MATERIAL"/>
    <x v="2"/>
    <n v="250"/>
    <n v="31875"/>
    <x v="0"/>
    <m/>
    <m/>
    <m/>
    <n v="18.858750000000001"/>
    <n v="4714.6875"/>
    <s v="CPU_59"/>
    <n v="31875"/>
    <n v="601122.65625"/>
    <x v="0"/>
  </r>
  <r>
    <s v="MO"/>
    <x v="3"/>
    <n v="0.2"/>
    <n v="0"/>
    <x v="0"/>
    <m/>
    <m/>
    <m/>
    <n v="17451.83396875608"/>
    <n v="3490.3667937512159"/>
    <s v="CPU_49"/>
    <n v="0"/>
    <n v="0"/>
    <x v="0"/>
  </r>
  <r>
    <s v="MO"/>
    <x v="4"/>
    <n v="1"/>
    <n v="0"/>
    <x v="0"/>
    <m/>
    <m/>
    <m/>
    <n v="1342.5289870547008"/>
    <n v="1342.5289870547008"/>
    <s v="CPU_47"/>
    <n v="0"/>
    <n v="0"/>
    <x v="0"/>
  </r>
  <r>
    <s v="MATERIAL"/>
    <x v="4"/>
    <n v="1"/>
    <n v="0"/>
    <x v="0"/>
    <m/>
    <m/>
    <m/>
    <n v="4250.6866666666674"/>
    <n v="4250.6866666666674"/>
    <s v="CPU_47"/>
    <n v="0"/>
    <n v="0"/>
    <x v="0"/>
  </r>
  <r>
    <s v="MO"/>
    <x v="5"/>
    <n v="0"/>
    <n v="0"/>
    <x v="0"/>
    <m/>
    <m/>
    <m/>
    <n v="0"/>
    <n v="2013.7934805820514"/>
    <s v="CPU_45"/>
    <e v="#NUM!"/>
    <e v="#NUM!"/>
    <x v="0"/>
  </r>
  <r>
    <s v="MATERIAL"/>
    <x v="6"/>
    <n v="0.2"/>
    <n v="0"/>
    <x v="0"/>
    <m/>
    <m/>
    <m/>
    <n v="35220.932072534873"/>
    <n v="7044.1864145069758"/>
    <s v="CPU_43"/>
    <n v="0"/>
    <n v="0"/>
    <x v="0"/>
  </r>
  <r>
    <s v="MATERIAL"/>
    <x v="7"/>
    <n v="1"/>
    <n v="0"/>
    <x v="0"/>
    <m/>
    <m/>
    <m/>
    <n v="166666.66666666666"/>
    <n v="166666.66666666666"/>
    <s v="CPU_41"/>
    <n v="0"/>
    <n v="0"/>
    <x v="0"/>
  </r>
  <r>
    <s v="MATERIAL"/>
    <x v="8"/>
    <n v="1"/>
    <n v="0"/>
    <x v="0"/>
    <m/>
    <m/>
    <m/>
    <n v="155555.55555555556"/>
    <n v="155555.55555555556"/>
    <s v="CPU_39"/>
    <n v="0"/>
    <n v="0"/>
    <x v="0"/>
  </r>
  <r>
    <s v="MO"/>
    <x v="9"/>
    <n v="0.1"/>
    <n v="0"/>
    <x v="0"/>
    <m/>
    <m/>
    <m/>
    <n v="9370.6433453377431"/>
    <n v="937.0643345337744"/>
    <s v="CPU_37"/>
    <n v="0"/>
    <n v="0"/>
    <x v="0"/>
  </r>
  <r>
    <s v="MATERIAL"/>
    <x v="9"/>
    <n v="0.1"/>
    <n v="0"/>
    <x v="0"/>
    <m/>
    <m/>
    <m/>
    <n v="45403.59538666666"/>
    <n v="4540.3595386666666"/>
    <s v="CPU_37"/>
    <n v="0"/>
    <n v="0"/>
    <x v="0"/>
  </r>
  <r>
    <s v="MATERIAL"/>
    <x v="10"/>
    <n v="1"/>
    <n v="0"/>
    <x v="0"/>
    <m/>
    <m/>
    <m/>
    <n v="22197.777777777777"/>
    <n v="22197.777777777777"/>
    <s v="CPU_35"/>
    <n v="0"/>
    <n v="0"/>
    <x v="0"/>
  </r>
  <r>
    <s v="MATERIAL"/>
    <x v="11"/>
    <n v="1"/>
    <n v="0"/>
    <x v="0"/>
    <m/>
    <m/>
    <m/>
    <n v="26558.355555555558"/>
    <n v="26558.355555555558"/>
    <s v="CPU_32"/>
    <n v="0"/>
    <n v="0"/>
    <x v="0"/>
  </r>
  <r>
    <s v="MATERIAL"/>
    <x v="12"/>
    <n v="0.5"/>
    <n v="0"/>
    <x v="0"/>
    <m/>
    <m/>
    <m/>
    <n v="19905.222222222223"/>
    <n v="9952.6111111111113"/>
    <s v="CPU_30"/>
    <n v="0"/>
    <n v="0"/>
    <x v="0"/>
  </r>
  <r>
    <s v="MO"/>
    <x v="13"/>
    <n v="0.2"/>
    <n v="0"/>
    <x v="0"/>
    <m/>
    <m/>
    <m/>
    <n v="4685.3216726688715"/>
    <n v="937.0643345337744"/>
    <s v="CPU_28"/>
    <n v="0"/>
    <n v="0"/>
    <x v="0"/>
  </r>
  <r>
    <s v="MATERIAL"/>
    <x v="13"/>
    <n v="0.2"/>
    <n v="0"/>
    <x v="0"/>
    <m/>
    <m/>
    <m/>
    <n v="19559.039999999997"/>
    <n v="3911.808"/>
    <s v="CPU_28"/>
    <n v="0"/>
    <n v="0"/>
    <x v="0"/>
  </r>
  <r>
    <s v="EQUIPAMENTO"/>
    <x v="14"/>
    <n v="0.2"/>
    <n v="0"/>
    <x v="0"/>
    <m/>
    <m/>
    <m/>
    <n v="34090.909090909096"/>
    <n v="6818.1818181818198"/>
    <s v="CPU_26"/>
    <n v="0"/>
    <n v="0"/>
    <x v="0"/>
  </r>
  <r>
    <s v="COMBUSTIVEL"/>
    <x v="14"/>
    <n v="0.2"/>
    <n v="0"/>
    <x v="0"/>
    <m/>
    <m/>
    <m/>
    <n v="15272.727272727272"/>
    <n v="3054.5454545454545"/>
    <s v="CPU_26"/>
    <n v="0"/>
    <n v="0"/>
    <x v="0"/>
  </r>
  <r>
    <s v="MO"/>
    <x v="14"/>
    <n v="0.2"/>
    <n v="0"/>
    <x v="0"/>
    <m/>
    <m/>
    <m/>
    <n v="16705.49644320615"/>
    <n v="3341.0992886412305"/>
    <s v="CPU_26"/>
    <n v="0"/>
    <n v="0"/>
    <x v="0"/>
  </r>
  <r>
    <s v="MATERIAL"/>
    <x v="14"/>
    <n v="0.2"/>
    <n v="0"/>
    <x v="0"/>
    <m/>
    <m/>
    <m/>
    <n v="111115.18333333333"/>
    <n v="22223.036666666667"/>
    <s v="CPU_26"/>
    <n v="0"/>
    <n v="0"/>
    <x v="0"/>
  </r>
  <r>
    <s v="MATERIAL"/>
    <x v="15"/>
    <n v="942.5"/>
    <n v="94250"/>
    <x v="0"/>
    <m/>
    <m/>
    <m/>
    <n v="18.5"/>
    <n v="17436.25"/>
    <s v="CPU_24"/>
    <n v="94250"/>
    <n v="1743625"/>
    <x v="0"/>
  </r>
  <r>
    <s v="EQUIPAMENTO"/>
    <x v="16"/>
    <n v="8000"/>
    <n v="453600"/>
    <x v="0"/>
    <m/>
    <m/>
    <m/>
    <n v="0.84217045454545447"/>
    <n v="6737.363636363636"/>
    <s v="CPU_16"/>
    <n v="453600"/>
    <n v="382008.51818181813"/>
    <x v="0"/>
  </r>
  <r>
    <m/>
    <x v="0"/>
    <n v="2917"/>
    <n v="368333.33"/>
    <x v="1"/>
    <s v="DIA"/>
    <n v="1"/>
    <n v="1.3636363636363635"/>
    <n v="605"/>
    <n v="824.99999999999989"/>
    <s v="CPU_63"/>
    <n v="172.1881120079783"/>
    <n v="104173.80776482688"/>
    <x v="1"/>
  </r>
  <r>
    <m/>
    <x v="1"/>
    <n v="125"/>
    <n v="55500"/>
    <x v="2"/>
    <s v="H"/>
    <n v="3"/>
    <n v="11"/>
    <n v="26.579984100642395"/>
    <n v="877.13947532119892"/>
    <s v="CPU_5961"/>
    <n v="14651.999999999996"/>
    <n v="389449.92704261228"/>
    <x v="2"/>
  </r>
  <r>
    <m/>
    <x v="2"/>
    <n v="250"/>
    <n v="31875"/>
    <x v="2"/>
    <s v="H"/>
    <n v="3"/>
    <n v="11"/>
    <n v="26.579984100642395"/>
    <n v="877.13947532119892"/>
    <s v="CPU_59"/>
    <n v="4207.4999999999991"/>
    <n v="111835.28310345285"/>
    <x v="2"/>
  </r>
  <r>
    <m/>
    <x v="3"/>
    <n v="0.2"/>
    <n v="0"/>
    <x v="2"/>
    <s v="H"/>
    <n v="6"/>
    <n v="10"/>
    <n v="26.579984100642395"/>
    <n v="1594.7990460385436"/>
    <s v="CPU_49"/>
    <n v="0"/>
    <n v="0"/>
    <x v="2"/>
  </r>
  <r>
    <m/>
    <x v="4"/>
    <n v="1"/>
    <n v="0"/>
    <x v="2"/>
    <s v="H"/>
    <n v="2"/>
    <n v="10"/>
    <n v="26.579984100642395"/>
    <n v="531.59968201284789"/>
    <s v="CPU_47"/>
    <n v="0"/>
    <n v="0"/>
    <x v="2"/>
  </r>
  <r>
    <m/>
    <x v="5"/>
    <n v="0"/>
    <n v="0"/>
    <x v="2"/>
    <s v="H"/>
    <n v="3"/>
    <n v="10"/>
    <n v="26.579984100642395"/>
    <n v="797.39952301927178"/>
    <s v="CPU_45"/>
    <e v="#NUM!"/>
    <e v="#NUM!"/>
    <x v="2"/>
  </r>
  <r>
    <m/>
    <x v="9"/>
    <n v="0.1"/>
    <n v="0"/>
    <x v="2"/>
    <s v="H"/>
    <n v="2"/>
    <n v="10"/>
    <n v="26.579984100642395"/>
    <n v="531.59968201284789"/>
    <s v="CPU_37"/>
    <n v="0"/>
    <n v="0"/>
    <x v="2"/>
  </r>
  <r>
    <m/>
    <x v="13"/>
    <n v="0.2"/>
    <n v="0"/>
    <x v="2"/>
    <s v="H"/>
    <n v="2"/>
    <n v="10"/>
    <n v="26.579984100642395"/>
    <n v="531.59968201284789"/>
    <s v="CPU_28"/>
    <n v="0"/>
    <n v="0"/>
    <x v="2"/>
  </r>
  <r>
    <m/>
    <x v="14"/>
    <n v="0.2"/>
    <n v="0"/>
    <x v="2"/>
    <s v="H"/>
    <n v="4"/>
    <n v="10"/>
    <n v="26.579984100642395"/>
    <n v="1063.1993640256958"/>
    <s v="CPU_26"/>
    <n v="0"/>
    <n v="0"/>
    <x v="2"/>
  </r>
  <r>
    <m/>
    <x v="0"/>
    <n v="2917"/>
    <n v="368333.33"/>
    <x v="3"/>
    <s v="H"/>
    <n v="1"/>
    <n v="10"/>
    <n v="50.569728722990085"/>
    <n v="505.69728722990084"/>
    <s v="CPU_63"/>
    <n v="1262.7128213918409"/>
    <n v="63855.044832826825"/>
    <x v="2"/>
  </r>
  <r>
    <m/>
    <x v="3"/>
    <n v="0.2"/>
    <n v="0"/>
    <x v="4"/>
    <s v="H"/>
    <n v="1"/>
    <n v="10"/>
    <n v="33.958689507494654"/>
    <n v="339.58689507494654"/>
    <s v="CPU_49"/>
    <n v="0"/>
    <n v="0"/>
    <x v="2"/>
  </r>
  <r>
    <m/>
    <x v="0"/>
    <n v="2917"/>
    <n v="368333.33"/>
    <x v="5"/>
    <s v="H"/>
    <n v="1"/>
    <n v="10"/>
    <n v="50.569728722990085"/>
    <n v="505.69728722990084"/>
    <s v="CPU_63"/>
    <n v="1262.7128213918409"/>
    <n v="63855.044832826825"/>
    <x v="2"/>
  </r>
  <r>
    <m/>
    <x v="3"/>
    <n v="0.2"/>
    <n v="0"/>
    <x v="6"/>
    <s v="H"/>
    <n v="1"/>
    <n v="10"/>
    <n v="33.958689507494654"/>
    <n v="339.58689507494654"/>
    <s v="CPU_49"/>
    <n v="0"/>
    <n v="0"/>
    <x v="2"/>
  </r>
  <r>
    <m/>
    <x v="1"/>
    <n v="125"/>
    <n v="55500"/>
    <x v="7"/>
    <s v="DIA"/>
    <n v="1"/>
    <n v="1.3636363636363635"/>
    <n v="500"/>
    <n v="681.81818181818176"/>
    <s v="CPU_5961"/>
    <n v="605.45454545454538"/>
    <n v="302727.27272727271"/>
    <x v="1"/>
  </r>
  <r>
    <m/>
    <x v="2"/>
    <n v="250"/>
    <n v="31875"/>
    <x v="7"/>
    <s v="DIA"/>
    <n v="1"/>
    <n v="1.3636363636363635"/>
    <n v="500"/>
    <n v="681.81818181818176"/>
    <s v="CPU_59"/>
    <n v="173.86363636363635"/>
    <n v="86931.818181818177"/>
    <x v="1"/>
  </r>
  <r>
    <m/>
    <x v="1"/>
    <n v="125"/>
    <n v="55500"/>
    <x v="8"/>
    <s v="L"/>
    <m/>
    <n v="43.636363636363633"/>
    <n v="7"/>
    <n v="305.45454545454544"/>
    <s v="CPU_5961"/>
    <n v="19374.545454545452"/>
    <n v="135621.81818181818"/>
    <x v="3"/>
  </r>
  <r>
    <m/>
    <x v="2"/>
    <n v="250"/>
    <n v="31875"/>
    <x v="8"/>
    <s v="L"/>
    <m/>
    <n v="43.636363636363633"/>
    <n v="7"/>
    <n v="305.45454545454544"/>
    <s v="CPU_59"/>
    <n v="5563.6363636363631"/>
    <n v="38945.454545454544"/>
    <x v="3"/>
  </r>
  <r>
    <m/>
    <x v="14"/>
    <n v="0.2"/>
    <n v="0"/>
    <x v="8"/>
    <s v="L"/>
    <m/>
    <n v="436.36363636363637"/>
    <n v="7"/>
    <n v="3054.5454545454545"/>
    <s v="CPU_26"/>
    <n v="0"/>
    <n v="0"/>
    <x v="3"/>
  </r>
  <r>
    <m/>
    <x v="1"/>
    <n v="125"/>
    <n v="55500"/>
    <x v="9"/>
    <s v="H"/>
    <n v="1"/>
    <n v="11"/>
    <n v="40.546465252092652"/>
    <n v="446.01111777301918"/>
    <s v="CPU_5961"/>
    <n v="4884"/>
    <n v="198028.93629122051"/>
    <x v="2"/>
  </r>
  <r>
    <m/>
    <x v="2"/>
    <n v="250"/>
    <n v="31875"/>
    <x v="9"/>
    <s v="H"/>
    <n v="1"/>
    <n v="11"/>
    <n v="40.546465252092652"/>
    <n v="446.01111777301918"/>
    <s v="CPU_59"/>
    <n v="1402.5"/>
    <n v="56866.417516059948"/>
    <x v="2"/>
  </r>
  <r>
    <m/>
    <x v="3"/>
    <n v="0.2"/>
    <n v="0"/>
    <x v="9"/>
    <s v="H"/>
    <n v="3"/>
    <n v="10"/>
    <n v="40.546465252092652"/>
    <n v="1216.3939575627796"/>
    <s v="CPU_49"/>
    <n v="0"/>
    <n v="0"/>
    <x v="2"/>
  </r>
  <r>
    <m/>
    <x v="4"/>
    <n v="1"/>
    <n v="0"/>
    <x v="9"/>
    <s v="H"/>
    <n v="2"/>
    <n v="10"/>
    <n v="40.546465252092652"/>
    <n v="810.92930504185301"/>
    <s v="CPU_47"/>
    <n v="0"/>
    <n v="0"/>
    <x v="2"/>
  </r>
  <r>
    <m/>
    <x v="5"/>
    <n v="0"/>
    <n v="0"/>
    <x v="9"/>
    <s v="H"/>
    <n v="3"/>
    <n v="10"/>
    <n v="40.546465252092652"/>
    <n v="1216.3939575627796"/>
    <s v="CPU_45"/>
    <e v="#NUM!"/>
    <e v="#NUM!"/>
    <x v="2"/>
  </r>
  <r>
    <m/>
    <x v="9"/>
    <n v="0.1"/>
    <n v="0"/>
    <x v="9"/>
    <s v="H"/>
    <n v="1"/>
    <n v="10"/>
    <n v="40.546465252092652"/>
    <n v="405.46465252092651"/>
    <s v="CPU_37"/>
    <n v="0"/>
    <n v="0"/>
    <x v="2"/>
  </r>
  <r>
    <m/>
    <x v="13"/>
    <n v="0.2"/>
    <n v="0"/>
    <x v="9"/>
    <s v="H"/>
    <n v="1"/>
    <n v="10"/>
    <n v="40.546465252092652"/>
    <n v="405.46465252092651"/>
    <s v="CPU_28"/>
    <n v="0"/>
    <n v="0"/>
    <x v="2"/>
  </r>
  <r>
    <m/>
    <x v="1"/>
    <n v="125"/>
    <n v="55500"/>
    <x v="10"/>
    <s v="unid"/>
    <m/>
    <n v="40.000000000000007"/>
    <n v="37.9"/>
    <n v="1516.0000000000002"/>
    <s v="CPU_5961"/>
    <n v="17760.000000000004"/>
    <n v="673104.00000000012"/>
    <x v="4"/>
  </r>
  <r>
    <m/>
    <x v="2"/>
    <n v="250"/>
    <n v="31875"/>
    <x v="10"/>
    <s v="unid"/>
    <m/>
    <n v="100"/>
    <n v="37.9"/>
    <n v="3790"/>
    <s v="CPU_59"/>
    <n v="12750"/>
    <n v="483225"/>
    <x v="4"/>
  </r>
  <r>
    <m/>
    <x v="1"/>
    <n v="125"/>
    <n v="55500"/>
    <x v="11"/>
    <s v="unid"/>
    <m/>
    <n v="1.2500000000000002"/>
    <n v="119.9"/>
    <n v="149.87500000000003"/>
    <s v="CPU_5961"/>
    <n v="555.00000000000011"/>
    <n v="66544.500000000015"/>
    <x v="4"/>
  </r>
  <r>
    <m/>
    <x v="2"/>
    <n v="250"/>
    <n v="31875"/>
    <x v="11"/>
    <s v="unid"/>
    <m/>
    <n v="3.125"/>
    <n v="119.9"/>
    <n v="374.6875"/>
    <s v="CPU_59"/>
    <n v="398.4375"/>
    <n v="47772.65625"/>
    <x v="4"/>
  </r>
  <r>
    <m/>
    <x v="1"/>
    <n v="125"/>
    <n v="55500"/>
    <x v="12"/>
    <s v="m"/>
    <m/>
    <n v="400"/>
    <n v="0.55000000000000004"/>
    <n v="220.00000000000003"/>
    <s v="CPU_5961"/>
    <n v="177600"/>
    <n v="97680.000000000015"/>
    <x v="4"/>
  </r>
  <r>
    <m/>
    <x v="2"/>
    <n v="250"/>
    <n v="31875"/>
    <x v="12"/>
    <s v="m"/>
    <m/>
    <n v="1000"/>
    <n v="0.55000000000000004"/>
    <n v="550"/>
    <s v="CPU_59"/>
    <n v="127499.99999999999"/>
    <n v="70125"/>
    <x v="4"/>
  </r>
  <r>
    <m/>
    <x v="14"/>
    <n v="0.2"/>
    <n v="0"/>
    <x v="13"/>
    <s v="H"/>
    <n v="1"/>
    <n v="10"/>
    <n v="65.760687030367933"/>
    <n v="657.60687030367933"/>
    <s v="CPU_26"/>
    <n v="0"/>
    <n v="0"/>
    <x v="2"/>
  </r>
  <r>
    <m/>
    <x v="14"/>
    <n v="0.2"/>
    <n v="0"/>
    <x v="14"/>
    <s v="H"/>
    <n v="2"/>
    <n v="10"/>
    <n v="35.57167850885731"/>
    <n v="711.43357017714618"/>
    <s v="CPU_26"/>
    <n v="0"/>
    <n v="0"/>
    <x v="2"/>
  </r>
  <r>
    <m/>
    <x v="14"/>
    <n v="0.2"/>
    <n v="0"/>
    <x v="15"/>
    <s v="H"/>
    <n v="1"/>
    <n v="10"/>
    <n v="33.958689507494654"/>
    <n v="339.58689507494654"/>
    <s v="CPU_26"/>
    <n v="0"/>
    <n v="0"/>
    <x v="2"/>
  </r>
  <r>
    <m/>
    <x v="14"/>
    <n v="0.2"/>
    <n v="0"/>
    <x v="16"/>
    <s v="H"/>
    <n v="1"/>
    <n v="10"/>
    <n v="56.927258905976259"/>
    <n v="569.27258905976259"/>
    <s v="CPU_26"/>
    <n v="0"/>
    <n v="0"/>
    <x v="2"/>
  </r>
  <r>
    <m/>
    <x v="4"/>
    <n v="1"/>
    <n v="0"/>
    <x v="17"/>
    <s v="M3"/>
    <m/>
    <n v="5.2472888888888898"/>
    <n v="600"/>
    <n v="3148.3733333333339"/>
    <s v="CPU_47"/>
    <n v="0"/>
    <n v="0"/>
    <x v="4"/>
  </r>
  <r>
    <m/>
    <x v="6"/>
    <n v="0.2"/>
    <n v="0"/>
    <x v="17"/>
    <s v="M3"/>
    <m/>
    <n v="5.1780588888888905"/>
    <n v="600"/>
    <n v="3106.8353333333343"/>
    <s v="CPU_43"/>
    <n v="0"/>
    <n v="0"/>
    <x v="4"/>
  </r>
  <r>
    <m/>
    <x v="4"/>
    <n v="1"/>
    <n v="0"/>
    <x v="18"/>
    <s v="m"/>
    <m/>
    <n v="91.859444444444449"/>
    <n v="12"/>
    <n v="1102.3133333333335"/>
    <s v="CPU_47"/>
    <n v="0"/>
    <n v="0"/>
    <x v="4"/>
  </r>
  <r>
    <m/>
    <x v="6"/>
    <n v="0.2"/>
    <n v="0"/>
    <x v="18"/>
    <s v="m"/>
    <m/>
    <n v="13.474992592592594"/>
    <n v="12"/>
    <n v="161.69991111111113"/>
    <s v="CPU_43"/>
    <n v="0"/>
    <n v="0"/>
    <x v="4"/>
  </r>
  <r>
    <m/>
    <x v="16"/>
    <n v="8000"/>
    <n v="453600"/>
    <x v="19"/>
    <s v="DIA"/>
    <n v="3"/>
    <n v="1.3636363636363635"/>
    <n v="1200"/>
    <n v="4909.090909090909"/>
    <s v="CPU_16"/>
    <n v="231.95454545454547"/>
    <n v="278345.45454545459"/>
    <x v="1"/>
  </r>
  <r>
    <m/>
    <x v="6"/>
    <n v="0.2"/>
    <n v="0"/>
    <x v="20"/>
    <s v="KG"/>
    <m/>
    <n v="80.568888888888893"/>
    <n v="7.7813852813852806"/>
    <n v="626.93756613756614"/>
    <s v="CPU_43"/>
    <n v="0"/>
    <n v="0"/>
    <x v="4"/>
  </r>
  <r>
    <m/>
    <x v="6"/>
    <n v="0.2"/>
    <n v="0"/>
    <x v="21"/>
    <s v="M2"/>
    <m/>
    <n v="40.77511111111113"/>
    <n v="2.835"/>
    <n v="115.59744000000005"/>
    <s v="CPU_43"/>
    <n v="0"/>
    <n v="0"/>
    <x v="4"/>
  </r>
  <r>
    <m/>
    <x v="6"/>
    <n v="0.2"/>
    <n v="0"/>
    <x v="22"/>
    <s v="m"/>
    <m/>
    <n v="3.3000000000000003"/>
    <n v="135"/>
    <n v="445.50000000000006"/>
    <s v="CPU_43"/>
    <n v="0"/>
    <n v="0"/>
    <x v="4"/>
  </r>
  <r>
    <m/>
    <x v="6"/>
    <n v="0.2"/>
    <n v="0"/>
    <x v="23"/>
    <s v="M3"/>
    <m/>
    <n v="2.0387555555555554"/>
    <n v="180"/>
    <n v="366.976"/>
    <s v="CPU_43"/>
    <n v="0"/>
    <n v="0"/>
    <x v="4"/>
  </r>
  <r>
    <m/>
    <x v="9"/>
    <n v="0.1"/>
    <n v="0"/>
    <x v="23"/>
    <s v="M3"/>
    <m/>
    <n v="0.54997206666666665"/>
    <n v="180"/>
    <n v="98.99497199999999"/>
    <s v="CPU_37"/>
    <n v="0"/>
    <n v="0"/>
    <x v="4"/>
  </r>
  <r>
    <m/>
    <x v="13"/>
    <n v="0.2"/>
    <n v="0"/>
    <x v="23"/>
    <s v="M3"/>
    <m/>
    <n v="0.18079999999999999"/>
    <n v="180"/>
    <n v="32.543999999999997"/>
    <s v="CPU_28"/>
    <n v="0"/>
    <n v="0"/>
    <x v="4"/>
  </r>
  <r>
    <m/>
    <x v="6"/>
    <n v="0.2"/>
    <n v="0"/>
    <x v="24"/>
    <s v="m"/>
    <m/>
    <n v="1.2000000000000002"/>
    <n v="8.1666666666666661"/>
    <n v="9.8000000000000007"/>
    <s v="CPU_43"/>
    <n v="0"/>
    <n v="0"/>
    <x v="4"/>
  </r>
  <r>
    <m/>
    <x v="6"/>
    <n v="0.2"/>
    <n v="0"/>
    <x v="25"/>
    <s v="M2"/>
    <m/>
    <n v="40.77511111111113"/>
    <n v="50"/>
    <n v="2038.7555555555564"/>
    <s v="CPU_43"/>
    <n v="0"/>
    <n v="0"/>
    <x v="5"/>
  </r>
  <r>
    <m/>
    <x v="6"/>
    <n v="0.2"/>
    <n v="0"/>
    <x v="26"/>
    <s v="KG"/>
    <m/>
    <n v="1.6375555555555552"/>
    <n v="8"/>
    <n v="13.100444444444442"/>
    <s v="CPU_43"/>
    <n v="0"/>
    <n v="0"/>
    <x v="4"/>
  </r>
  <r>
    <m/>
    <x v="13"/>
    <n v="0.2"/>
    <n v="0"/>
    <x v="26"/>
    <s v="KG"/>
    <m/>
    <n v="16"/>
    <n v="8"/>
    <n v="128"/>
    <s v="CPU_28"/>
    <n v="0"/>
    <n v="0"/>
    <x v="4"/>
  </r>
  <r>
    <m/>
    <x v="6"/>
    <n v="0.2"/>
    <n v="0"/>
    <x v="27"/>
    <s v="m"/>
    <m/>
    <n v="13.474992592592594"/>
    <n v="8"/>
    <n v="107.79994074074075"/>
    <s v="CPU_43"/>
    <n v="0"/>
    <n v="0"/>
    <x v="4"/>
  </r>
  <r>
    <m/>
    <x v="14"/>
    <n v="0.2"/>
    <n v="0"/>
    <x v="28"/>
    <s v="H"/>
    <n v="1"/>
    <n v="9.0909090909090917"/>
    <n v="225"/>
    <n v="2045.4545454545457"/>
    <s v="CPU_26"/>
    <n v="0"/>
    <n v="0"/>
    <x v="1"/>
  </r>
  <r>
    <m/>
    <x v="6"/>
    <n v="0.2"/>
    <n v="0"/>
    <x v="29"/>
    <s v="KG"/>
    <m/>
    <n v="6.5777777777777775"/>
    <n v="7.7813852813852806"/>
    <n v="51.184223184223178"/>
    <s v="CPU_43"/>
    <n v="0"/>
    <n v="0"/>
    <x v="4"/>
  </r>
  <r>
    <m/>
    <x v="16"/>
    <n v="8000"/>
    <n v="453600"/>
    <x v="30"/>
    <s v="H"/>
    <n v="1"/>
    <n v="9.0909090909090917"/>
    <n v="90"/>
    <n v="818.18181818181824"/>
    <s v="CPU_16"/>
    <n v="515.4545454545455"/>
    <n v="46390.909090909096"/>
    <x v="1"/>
  </r>
  <r>
    <m/>
    <x v="7"/>
    <n v="1"/>
    <n v="0"/>
    <x v="31"/>
    <s v="VB"/>
    <m/>
    <n v="166666.66666666666"/>
    <n v="1"/>
    <n v="166666.66666666666"/>
    <s v="CPU_41"/>
    <n v="0"/>
    <n v="0"/>
    <x v="5"/>
  </r>
  <r>
    <m/>
    <x v="14"/>
    <n v="0.2"/>
    <n v="0"/>
    <x v="32"/>
    <s v="H"/>
    <n v="1"/>
    <n v="9.0909090909090917"/>
    <n v="95"/>
    <n v="863.63636363636374"/>
    <s v="CPU_26"/>
    <n v="0"/>
    <n v="0"/>
    <x v="1"/>
  </r>
  <r>
    <m/>
    <x v="8"/>
    <n v="1"/>
    <n v="0"/>
    <x v="33"/>
    <s v="VB"/>
    <m/>
    <n v="155555.55555555556"/>
    <n v="1"/>
    <n v="155555.55555555556"/>
    <s v="CPU_39"/>
    <n v="0"/>
    <n v="0"/>
    <x v="5"/>
  </r>
  <r>
    <m/>
    <x v="14"/>
    <n v="0.2"/>
    <n v="0"/>
    <x v="34"/>
    <s v="H"/>
    <n v="1"/>
    <n v="9.0909090909090917"/>
    <n v="95"/>
    <n v="863.63636363636374"/>
    <s v="CPU_26"/>
    <n v="0"/>
    <n v="0"/>
    <x v="1"/>
  </r>
  <r>
    <m/>
    <x v="14"/>
    <n v="0.2"/>
    <n v="0"/>
    <x v="35"/>
    <s v="H"/>
    <n v="1"/>
    <n v="9.0909090909090917"/>
    <n v="115"/>
    <n v="1045.4545454545455"/>
    <s v="CPU_26"/>
    <n v="0"/>
    <n v="0"/>
    <x v="1"/>
  </r>
  <r>
    <m/>
    <x v="14"/>
    <n v="0.2"/>
    <n v="0"/>
    <x v="36"/>
    <s v="H"/>
    <n v="1"/>
    <n v="9.0909090909090917"/>
    <n v="220"/>
    <n v="2000.0000000000002"/>
    <s v="CPU_26"/>
    <n v="0"/>
    <n v="0"/>
    <x v="1"/>
  </r>
  <r>
    <m/>
    <x v="9"/>
    <n v="0.1"/>
    <n v="0"/>
    <x v="37"/>
    <s v="m"/>
    <m/>
    <n v="11.622222222222224"/>
    <n v="188.50399999999999"/>
    <n v="2190.8353777777779"/>
    <s v="CPU_37"/>
    <n v="0"/>
    <n v="0"/>
    <x v="4"/>
  </r>
  <r>
    <m/>
    <x v="9"/>
    <n v="0.1"/>
    <n v="0"/>
    <x v="38"/>
    <s v="unid"/>
    <m/>
    <n v="4.7488888888888887"/>
    <n v="196.92"/>
    <n v="935.1511999999999"/>
    <s v="CPU_37"/>
    <n v="0"/>
    <n v="0"/>
    <x v="4"/>
  </r>
  <r>
    <m/>
    <x v="9"/>
    <n v="0.1"/>
    <n v="0"/>
    <x v="39"/>
    <s v="unid"/>
    <m/>
    <n v="28.493333333333336"/>
    <n v="4.29"/>
    <n v="122.23640000000002"/>
    <s v="CPU_37"/>
    <n v="0"/>
    <n v="0"/>
    <x v="4"/>
  </r>
  <r>
    <m/>
    <x v="13"/>
    <n v="0.2"/>
    <n v="0"/>
    <x v="40"/>
    <s v="KG"/>
    <m/>
    <n v="0.32"/>
    <n v="20"/>
    <n v="6.4"/>
    <s v="CPU_28"/>
    <n v="0"/>
    <n v="0"/>
    <x v="4"/>
  </r>
  <r>
    <m/>
    <x v="9"/>
    <n v="0.1"/>
    <n v="0"/>
    <x v="41"/>
    <s v="M3"/>
    <m/>
    <n v="0.54997206666666665"/>
    <n v="180"/>
    <n v="98.99497199999999"/>
    <s v="CPU_37"/>
    <n v="0"/>
    <n v="0"/>
    <x v="4"/>
  </r>
  <r>
    <m/>
    <x v="13"/>
    <n v="0.2"/>
    <n v="0"/>
    <x v="41"/>
    <s v="M3"/>
    <m/>
    <n v="0.18079999999999999"/>
    <n v="180"/>
    <n v="32.543999999999997"/>
    <s v="CPU_28"/>
    <n v="0"/>
    <n v="0"/>
    <x v="4"/>
  </r>
  <r>
    <m/>
    <x v="9"/>
    <n v="0.1"/>
    <n v="0"/>
    <x v="42"/>
    <s v="KG"/>
    <m/>
    <n v="219.98882666666674"/>
    <n v="0.8"/>
    <n v="175.99106133333339"/>
    <s v="CPU_37"/>
    <n v="0"/>
    <n v="0"/>
    <x v="4"/>
  </r>
  <r>
    <m/>
    <x v="13"/>
    <n v="0.2"/>
    <n v="0"/>
    <x v="42"/>
    <s v="KG"/>
    <m/>
    <n v="90.399999999999991"/>
    <n v="0.8"/>
    <n v="72.319999999999993"/>
    <s v="CPU_28"/>
    <n v="0"/>
    <n v="0"/>
    <x v="4"/>
  </r>
  <r>
    <m/>
    <x v="14"/>
    <n v="0.2"/>
    <n v="0"/>
    <x v="43"/>
    <s v="TXKM"/>
    <m/>
    <n v="2049.3866666666668"/>
    <n v="1.2"/>
    <n v="2459.2640000000001"/>
    <s v="CPU_26"/>
    <n v="0"/>
    <n v="0"/>
    <x v="4"/>
  </r>
  <r>
    <m/>
    <x v="9"/>
    <n v="0.1"/>
    <n v="0"/>
    <x v="44"/>
    <s v="m"/>
    <m/>
    <n v="11.622222222222224"/>
    <n v="39"/>
    <n v="453.26666666666671"/>
    <s v="CPU_37"/>
    <n v="0"/>
    <n v="0"/>
    <x v="4"/>
  </r>
  <r>
    <m/>
    <x v="9"/>
    <n v="0.1"/>
    <n v="0"/>
    <x v="45"/>
    <s v="m"/>
    <m/>
    <n v="23.244444444444447"/>
    <n v="20"/>
    <n v="464.88888888888891"/>
    <s v="CPU_37"/>
    <n v="0"/>
    <n v="0"/>
    <x v="4"/>
  </r>
  <r>
    <m/>
    <x v="13"/>
    <n v="0.2"/>
    <n v="0"/>
    <x v="45"/>
    <s v="m"/>
    <m/>
    <n v="2"/>
    <n v="20"/>
    <n v="40"/>
    <s v="CPU_28"/>
    <n v="0"/>
    <n v="0"/>
    <x v="4"/>
  </r>
  <r>
    <m/>
    <x v="10"/>
    <n v="1"/>
    <n v="0"/>
    <x v="46"/>
    <s v="M2"/>
    <m/>
    <n v="22.197777777777777"/>
    <n v="1000"/>
    <n v="22197.777777777777"/>
    <s v="CPU_35"/>
    <n v="0"/>
    <n v="0"/>
    <x v="5"/>
  </r>
  <r>
    <m/>
    <x v="15"/>
    <n v="942.5"/>
    <n v="94250"/>
    <x v="47"/>
    <s v="unid"/>
    <m/>
    <n v="942.5"/>
    <n v="18.5"/>
    <n v="17436.25"/>
    <s v="CPU_24"/>
    <n v="94250"/>
    <n v="1743625"/>
    <x v="5"/>
  </r>
  <r>
    <m/>
    <x v="11"/>
    <n v="1"/>
    <n v="0"/>
    <x v="48"/>
    <s v="unid"/>
    <m/>
    <n v="596.88888888888891"/>
    <n v="25"/>
    <n v="14922.222222222223"/>
    <s v="CPU_32"/>
    <n v="0"/>
    <n v="0"/>
    <x v="5"/>
  </r>
  <r>
    <m/>
    <x v="11"/>
    <n v="1"/>
    <n v="0"/>
    <x v="49"/>
    <s v="M2"/>
    <m/>
    <n v="581.80666666666673"/>
    <n v="20"/>
    <n v="11636.133333333335"/>
    <s v="CPU_32"/>
    <n v="0"/>
    <n v="0"/>
    <x v="5"/>
  </r>
  <r>
    <m/>
    <x v="12"/>
    <n v="0.5"/>
    <n v="0"/>
    <x v="50"/>
    <s v="M2"/>
    <m/>
    <n v="432.72222222222223"/>
    <n v="23"/>
    <n v="9952.6111111111113"/>
    <s v="CPU_30"/>
    <n v="0"/>
    <n v="0"/>
    <x v="5"/>
  </r>
  <r>
    <m/>
    <x v="13"/>
    <n v="0.2"/>
    <n v="0"/>
    <x v="51"/>
    <s v="unid"/>
    <m/>
    <n v="0.2"/>
    <n v="18000"/>
    <n v="3600"/>
    <s v="CPU_28"/>
    <n v="0"/>
    <n v="0"/>
    <x v="4"/>
  </r>
  <r>
    <m/>
    <x v="14"/>
    <n v="0.2"/>
    <n v="0"/>
    <x v="52"/>
    <s v="T"/>
    <m/>
    <n v="0.42695555555555559"/>
    <n v="3500"/>
    <n v="1494.3444444444447"/>
    <s v="CPU_26"/>
    <n v="0"/>
    <n v="0"/>
    <x v="4"/>
  </r>
  <r>
    <m/>
    <x v="14"/>
    <n v="0.2"/>
    <n v="0"/>
    <x v="53"/>
    <s v="T"/>
    <m/>
    <n v="0.21347777777777779"/>
    <n v="3500"/>
    <n v="747.17222222222233"/>
    <s v="CPU_26"/>
    <n v="0"/>
    <n v="0"/>
    <x v="4"/>
  </r>
  <r>
    <m/>
    <x v="14"/>
    <n v="0.2"/>
    <n v="0"/>
    <x v="54"/>
    <s v="T"/>
    <m/>
    <n v="2.0493866666666669"/>
    <n v="4950"/>
    <n v="10144.464000000002"/>
    <s v="CPU_26"/>
    <n v="0"/>
    <n v="0"/>
    <x v="4"/>
  </r>
  <r>
    <m/>
    <x v="14"/>
    <n v="0.2"/>
    <n v="0"/>
    <x v="55"/>
    <s v="T"/>
    <m/>
    <n v="40.987733333333331"/>
    <n v="180"/>
    <n v="7377.7919999999995"/>
    <s v="CPU_26"/>
    <n v="0"/>
    <n v="0"/>
    <x v="4"/>
  </r>
  <r>
    <m/>
    <x v="16"/>
    <n v="8000"/>
    <n v="453600"/>
    <x v="56"/>
    <s v="DIA"/>
    <n v="1"/>
    <n v="1.3636363636363635"/>
    <n v="740.73333333333335"/>
    <n v="1010.090909090909"/>
    <s v="CPU_16"/>
    <n v="77.318181818181813"/>
    <n v="57272.154545454541"/>
    <x v="1"/>
  </r>
  <r>
    <s v="COMBUSTIVEL"/>
    <x v="16"/>
    <n v="8000"/>
    <n v="453600"/>
    <x v="0"/>
    <m/>
    <m/>
    <m/>
    <n v="0.30068181818181805"/>
    <n v="2405.4545454545446"/>
    <s v="CPU_16"/>
    <n v="453600.00000000006"/>
    <n v="136389.27272727268"/>
    <x v="0"/>
  </r>
  <r>
    <m/>
    <x v="16"/>
    <n v="8000"/>
    <n v="453600"/>
    <x v="8"/>
    <s v="L"/>
    <m/>
    <n v="343.63636363636351"/>
    <n v="7"/>
    <n v="2405.4545454545446"/>
    <s v="CPU_16"/>
    <n v="19484.181818181813"/>
    <n v="136389.27272727268"/>
    <x v="3"/>
  </r>
  <r>
    <s v="MO"/>
    <x v="16"/>
    <n v="8000"/>
    <n v="453600"/>
    <x v="0"/>
    <m/>
    <m/>
    <m/>
    <n v="0.69354498950019472"/>
    <n v="5548.3599160015574"/>
    <s v="CPU_16"/>
    <n v="453600"/>
    <n v="314592.00723728834"/>
    <x v="0"/>
  </r>
  <r>
    <m/>
    <x v="16"/>
    <n v="8000"/>
    <n v="453600"/>
    <x v="57"/>
    <s v="H"/>
    <n v="3"/>
    <n v="10"/>
    <n v="37.466726747128675"/>
    <n v="1124.0018024138603"/>
    <s v="CPU_16"/>
    <n v="1701.0000000000002"/>
    <n v="63730.902196865885"/>
    <x v="2"/>
  </r>
  <r>
    <m/>
    <x v="16"/>
    <n v="8000"/>
    <n v="453600"/>
    <x v="58"/>
    <s v="H"/>
    <n v="1"/>
    <n v="10"/>
    <n v="35.57167850885731"/>
    <n v="355.71678508857309"/>
    <s v="CPU_16"/>
    <n v="567"/>
    <n v="20169.141714522095"/>
    <x v="2"/>
  </r>
  <r>
    <m/>
    <x v="16"/>
    <n v="8000"/>
    <n v="453600"/>
    <x v="59"/>
    <s v="H"/>
    <n v="1"/>
    <n v="10"/>
    <n v="39.212114074362468"/>
    <n v="392.12114074362466"/>
    <s v="CPU_16"/>
    <n v="567"/>
    <n v="22233.268680163521"/>
    <x v="2"/>
  </r>
  <r>
    <m/>
    <x v="16"/>
    <n v="8000"/>
    <n v="453600"/>
    <x v="2"/>
    <s v="H"/>
    <n v="6"/>
    <n v="10"/>
    <n v="26.579984100642395"/>
    <n v="1594.7990460385436"/>
    <s v="CPU_16"/>
    <n v="3401.9999999999995"/>
    <n v="90425.10591038542"/>
    <x v="2"/>
  </r>
  <r>
    <m/>
    <x v="16"/>
    <n v="8000"/>
    <n v="453600"/>
    <x v="60"/>
    <s v="H"/>
    <n v="2"/>
    <n v="10"/>
    <n v="40.846875705664786"/>
    <n v="816.93751411329572"/>
    <s v="CPU_16"/>
    <n v="1134"/>
    <n v="46320.357050223865"/>
    <x v="2"/>
  </r>
  <r>
    <m/>
    <x v="16"/>
    <n v="8000"/>
    <n v="453600"/>
    <x v="61"/>
    <s v="H"/>
    <n v="3"/>
    <n v="10"/>
    <n v="42.159454253455323"/>
    <n v="1264.7836276036596"/>
    <s v="CPU_16"/>
    <n v="1701"/>
    <n v="71713.23168512751"/>
    <x v="2"/>
  </r>
  <r>
    <s v="MATERIAL"/>
    <x v="17"/>
    <n v="504"/>
    <n v="87750"/>
    <x v="0"/>
    <m/>
    <m/>
    <m/>
    <n v="15.35"/>
    <n v="7736.4"/>
    <s v="CPU_22"/>
    <n v="87750"/>
    <n v="1346962.5"/>
    <x v="0"/>
  </r>
  <r>
    <m/>
    <x v="17"/>
    <n v="504"/>
    <n v="87750"/>
    <x v="62"/>
    <s v="M2"/>
    <m/>
    <n v="504"/>
    <n v="15.35"/>
    <n v="7736.4"/>
    <s v="CPU_22"/>
    <n v="87750"/>
    <n v="1346962.5"/>
    <x v="5"/>
  </r>
  <r>
    <s v="EQUIPAMENTO"/>
    <x v="18"/>
    <n v="3"/>
    <n v="0"/>
    <x v="0"/>
    <m/>
    <m/>
    <m/>
    <n v="636.36363636363637"/>
    <n v="1909.090909090909"/>
    <s v="CPU_20"/>
    <n v="0"/>
    <n v="0"/>
    <x v="0"/>
  </r>
  <r>
    <m/>
    <x v="18"/>
    <n v="3"/>
    <n v="0"/>
    <x v="63"/>
    <s v="DIA"/>
    <n v="2"/>
    <n v="1.3636363636363635"/>
    <n v="416.66666666666669"/>
    <n v="1136.3636363636363"/>
    <s v="CPU_20"/>
    <n v="0"/>
    <n v="0"/>
    <x v="1"/>
  </r>
  <r>
    <m/>
    <x v="18"/>
    <n v="3"/>
    <n v="0"/>
    <x v="64"/>
    <s v="DIA"/>
    <n v="4"/>
    <n v="1.3636363636363635"/>
    <n v="16.666666666666668"/>
    <n v="90.909090909090907"/>
    <s v="CPU_20"/>
    <n v="0"/>
    <n v="0"/>
    <x v="1"/>
  </r>
  <r>
    <m/>
    <x v="18"/>
    <n v="3"/>
    <n v="0"/>
    <x v="7"/>
    <s v="DIA"/>
    <n v="1"/>
    <n v="1.3636363636363635"/>
    <n v="500"/>
    <n v="681.81818181818176"/>
    <s v="CPU_20"/>
    <n v="0"/>
    <n v="0"/>
    <x v="1"/>
  </r>
  <r>
    <s v="COMBUSTIVEL"/>
    <x v="18"/>
    <n v="3"/>
    <n v="0"/>
    <x v="0"/>
    <m/>
    <m/>
    <m/>
    <n v="608"/>
    <n v="1824"/>
    <s v="CPU_20"/>
    <n v="0"/>
    <n v="0"/>
    <x v="0"/>
  </r>
  <r>
    <m/>
    <x v="18"/>
    <n v="3"/>
    <n v="0"/>
    <x v="8"/>
    <s v="L"/>
    <m/>
    <n v="253.09090909090909"/>
    <n v="7"/>
    <n v="1771.6363636363637"/>
    <s v="CPU_20"/>
    <n v="0"/>
    <n v="0"/>
    <x v="3"/>
  </r>
  <r>
    <m/>
    <x v="18"/>
    <n v="3"/>
    <n v="0"/>
    <x v="65"/>
    <s v="L"/>
    <m/>
    <n v="8.7272727272727266"/>
    <n v="6"/>
    <n v="52.36363636363636"/>
    <s v="CPU_20"/>
    <n v="0"/>
    <n v="0"/>
    <x v="3"/>
  </r>
  <r>
    <s v="MO"/>
    <x v="18"/>
    <n v="3"/>
    <n v="0"/>
    <x v="0"/>
    <m/>
    <m/>
    <m/>
    <n v="1015.422863295698"/>
    <n v="3046.2685898870941"/>
    <s v="CPU_20"/>
    <n v="0"/>
    <n v="0"/>
    <x v="0"/>
  </r>
  <r>
    <m/>
    <x v="18"/>
    <n v="3"/>
    <n v="0"/>
    <x v="66"/>
    <s v="H"/>
    <n v="2"/>
    <n v="10"/>
    <n v="33.958689507494654"/>
    <n v="679.17379014989308"/>
    <s v="CPU_20"/>
    <n v="0"/>
    <n v="0"/>
    <x v="2"/>
  </r>
  <r>
    <m/>
    <x v="18"/>
    <n v="3"/>
    <n v="0"/>
    <x v="67"/>
    <s v="H"/>
    <n v="1"/>
    <n v="10"/>
    <n v="35.621612998832006"/>
    <n v="356.21612998832006"/>
    <s v="CPU_20"/>
    <n v="0"/>
    <n v="0"/>
    <x v="2"/>
  </r>
  <r>
    <m/>
    <x v="18"/>
    <n v="3"/>
    <n v="0"/>
    <x v="2"/>
    <s v="H"/>
    <n v="2"/>
    <n v="10"/>
    <n v="26.579984100642395"/>
    <n v="531.59968201284789"/>
    <s v="CPU_20"/>
    <n v="0"/>
    <n v="0"/>
    <x v="2"/>
  </r>
  <r>
    <m/>
    <x v="18"/>
    <n v="3"/>
    <n v="0"/>
    <x v="68"/>
    <s v="H"/>
    <n v="4"/>
    <n v="10"/>
    <n v="36.981974693400822"/>
    <n v="1479.2789877360328"/>
    <s v="CPU_20"/>
    <n v="0"/>
    <n v="0"/>
    <x v="2"/>
  </r>
  <r>
    <s v="EQUIPAMENTO"/>
    <x v="18"/>
    <n v="4.2560000000000002"/>
    <n v="0"/>
    <x v="0"/>
    <m/>
    <m/>
    <m/>
    <n v="267.00273410799724"/>
    <n v="1136.3636363636363"/>
    <s v="CPU_2053"/>
    <n v="0"/>
    <n v="0"/>
    <x v="0"/>
  </r>
  <r>
    <m/>
    <x v="18"/>
    <n v="4.2560000000000002"/>
    <n v="0"/>
    <x v="63"/>
    <s v="DIA"/>
    <n v="2"/>
    <n v="1.3636363636363635"/>
    <n v="416.66666666666669"/>
    <n v="1136.3636363636363"/>
    <s v="CPU_2053"/>
    <n v="0"/>
    <n v="0"/>
    <x v="1"/>
  </r>
  <r>
    <s v="COMBUSTIVEL"/>
    <x v="18"/>
    <n v="4.2560000000000002"/>
    <n v="0"/>
    <x v="0"/>
    <m/>
    <m/>
    <m/>
    <n v="344.49760765550241"/>
    <n v="1466.1818181818182"/>
    <s v="CPU_2053"/>
    <n v="0"/>
    <n v="0"/>
    <x v="0"/>
  </r>
  <r>
    <m/>
    <x v="18"/>
    <n v="4.2560000000000002"/>
    <n v="0"/>
    <x v="8"/>
    <s v="L"/>
    <m/>
    <n v="209.45454545454547"/>
    <n v="7"/>
    <n v="1466.1818181818182"/>
    <s v="CPU_2053"/>
    <n v="0"/>
    <n v="0"/>
    <x v="3"/>
  </r>
  <r>
    <s v="MO"/>
    <x v="18"/>
    <n v="4.2560000000000002"/>
    <n v="0"/>
    <x v="0"/>
    <m/>
    <m/>
    <m/>
    <n v="207.45440018676246"/>
    <n v="882.92592719486106"/>
    <s v="CPU_2053"/>
    <n v="0"/>
    <n v="0"/>
    <x v="0"/>
  </r>
  <r>
    <m/>
    <x v="18"/>
    <n v="4.2560000000000002"/>
    <n v="0"/>
    <x v="66"/>
    <s v="H"/>
    <n v="2"/>
    <n v="13"/>
    <n v="33.958689507494654"/>
    <n v="882.92592719486106"/>
    <s v="CPU_2053"/>
    <n v="0"/>
    <n v="0"/>
    <x v="2"/>
  </r>
  <r>
    <s v="EQUIPAMENTO"/>
    <x v="18"/>
    <n v="1.0640000000000001"/>
    <n v="0"/>
    <x v="0"/>
    <m/>
    <m/>
    <m/>
    <n v="85.440874914559117"/>
    <n v="90.909090909090907"/>
    <s v="CPU_2055"/>
    <n v="0"/>
    <n v="0"/>
    <x v="0"/>
  </r>
  <r>
    <m/>
    <x v="18"/>
    <n v="1.0640000000000001"/>
    <n v="0"/>
    <x v="64"/>
    <s v="DIA"/>
    <n v="4"/>
    <n v="1.3636363636363635"/>
    <n v="16.666666666666668"/>
    <n v="90.909090909090907"/>
    <s v="CPU_2055"/>
    <n v="0"/>
    <n v="0"/>
    <x v="1"/>
  </r>
  <r>
    <s v="COMBUSTIVEL"/>
    <x v="18"/>
    <n v="1.0640000000000001"/>
    <n v="0"/>
    <x v="0"/>
    <m/>
    <m/>
    <m/>
    <n v="172.2488038277512"/>
    <n v="183.27272727272728"/>
    <s v="CPU_2055"/>
    <n v="0"/>
    <n v="0"/>
    <x v="0"/>
  </r>
  <r>
    <m/>
    <x v="18"/>
    <n v="1.0640000000000001"/>
    <n v="0"/>
    <x v="8"/>
    <s v="L"/>
    <m/>
    <n v="26.181818181818183"/>
    <n v="7"/>
    <n v="183.27272727272728"/>
    <s v="CPU_2055"/>
    <n v="0"/>
    <n v="0"/>
    <x v="3"/>
  </r>
  <r>
    <s v="MO"/>
    <x v="18"/>
    <n v="1.0640000000000001"/>
    <n v="0"/>
    <x v="0"/>
    <m/>
    <m/>
    <m/>
    <n v="1889.9235617940608"/>
    <n v="2010.8786697488808"/>
    <s v="CPU_2055"/>
    <n v="0"/>
    <n v="0"/>
    <x v="0"/>
  </r>
  <r>
    <m/>
    <x v="18"/>
    <n v="1.0640000000000001"/>
    <n v="0"/>
    <x v="2"/>
    <s v="H"/>
    <n v="2"/>
    <n v="10"/>
    <n v="26.579984100642395"/>
    <n v="531.59968201284789"/>
    <s v="CPU_2055"/>
    <n v="0"/>
    <n v="0"/>
    <x v="2"/>
  </r>
  <r>
    <m/>
    <x v="18"/>
    <n v="1.0640000000000001"/>
    <n v="0"/>
    <x v="68"/>
    <s v="H"/>
    <n v="4"/>
    <n v="10"/>
    <n v="36.981974693400822"/>
    <n v="1479.2789877360328"/>
    <s v="CPU_2055"/>
    <n v="0"/>
    <n v="0"/>
    <x v="2"/>
  </r>
  <r>
    <s v="MATERIAL"/>
    <x v="19"/>
    <n v="3"/>
    <n v="4"/>
    <x v="0"/>
    <m/>
    <m/>
    <m/>
    <n v="1059620.6621999999"/>
    <n v="3178861.9865999995"/>
    <s v="CPU_18"/>
    <n v="4"/>
    <n v="4238482.6487999996"/>
    <x v="0"/>
  </r>
  <r>
    <m/>
    <x v="19"/>
    <n v="3"/>
    <n v="4"/>
    <x v="69"/>
    <s v="VB"/>
    <m/>
    <n v="3178861.9865999995"/>
    <n v="1"/>
    <n v="3178861.9865999995"/>
    <s v="CPU_18"/>
    <n v="4238482.6487999987"/>
    <n v="4238482.6487999987"/>
    <x v="6"/>
  </r>
  <r>
    <s v="EQUIPAMENTO"/>
    <x v="20"/>
    <n v="350"/>
    <n v="44200"/>
    <x v="0"/>
    <m/>
    <m/>
    <m/>
    <n v="12.922077922077923"/>
    <n v="4522.727272727273"/>
    <s v="CPU_14"/>
    <n v="44200"/>
    <n v="571155.84415584418"/>
    <x v="0"/>
  </r>
  <r>
    <m/>
    <x v="20"/>
    <n v="350"/>
    <n v="44200"/>
    <x v="36"/>
    <s v="H"/>
    <n v="1"/>
    <n v="9.0909090909090917"/>
    <n v="220"/>
    <n v="2000.0000000000002"/>
    <s v="CPU_14"/>
    <n v="1148.0519480519481"/>
    <n v="252571.42857142858"/>
    <x v="1"/>
  </r>
  <r>
    <m/>
    <x v="20"/>
    <n v="350"/>
    <n v="44200"/>
    <x v="32"/>
    <s v="H"/>
    <n v="1"/>
    <n v="9.0909090909090917"/>
    <n v="95"/>
    <n v="863.63636363636374"/>
    <s v="CPU_14"/>
    <n v="1148.0519480519481"/>
    <n v="109064.93506493507"/>
    <x v="1"/>
  </r>
  <r>
    <m/>
    <x v="20"/>
    <n v="350"/>
    <n v="44200"/>
    <x v="35"/>
    <s v="H"/>
    <n v="1"/>
    <n v="9.0909090909090917"/>
    <n v="115"/>
    <n v="1045.4545454545455"/>
    <s v="CPU_14"/>
    <n v="1148.0519480519481"/>
    <n v="132025.97402597402"/>
    <x v="1"/>
  </r>
  <r>
    <m/>
    <x v="20"/>
    <n v="350"/>
    <n v="44200"/>
    <x v="70"/>
    <s v="H"/>
    <n v="1"/>
    <n v="9.0909090909090917"/>
    <n v="67.5"/>
    <n v="613.63636363636374"/>
    <s v="CPU_14"/>
    <n v="1148.0519480519481"/>
    <n v="77493.506493506502"/>
    <x v="1"/>
  </r>
  <r>
    <s v="MO"/>
    <x v="20"/>
    <n v="350"/>
    <n v="44200"/>
    <x v="0"/>
    <m/>
    <m/>
    <m/>
    <n v="15.635081365583025"/>
    <n v="5472.2784779540589"/>
    <s v="CPU_14"/>
    <n v="44200"/>
    <n v="691070.59635876969"/>
    <x v="0"/>
  </r>
  <r>
    <m/>
    <x v="20"/>
    <n v="350"/>
    <n v="44200"/>
    <x v="60"/>
    <s v="H"/>
    <n v="1"/>
    <n v="10"/>
    <n v="40.846875705664786"/>
    <n v="408.46875705664786"/>
    <s v="CPU_14"/>
    <n v="1262.8571428571429"/>
    <n v="51583.768748296672"/>
    <x v="2"/>
  </r>
  <r>
    <m/>
    <x v="20"/>
    <n v="350"/>
    <n v="44200"/>
    <x v="16"/>
    <s v="H"/>
    <n v="1"/>
    <n v="10"/>
    <n v="56.927258905976259"/>
    <n v="569.27258905976259"/>
    <s v="CPU_14"/>
    <n v="1262.8571428571429"/>
    <n v="71890.995532690024"/>
    <x v="2"/>
  </r>
  <r>
    <m/>
    <x v="20"/>
    <n v="350"/>
    <n v="44200"/>
    <x v="14"/>
    <s v="H"/>
    <n v="1"/>
    <n v="10"/>
    <n v="35.57167850885731"/>
    <n v="355.71678508857309"/>
    <s v="CPU_14"/>
    <n v="1262.8571428571429"/>
    <n v="44921.948288328378"/>
    <x v="2"/>
  </r>
  <r>
    <m/>
    <x v="20"/>
    <n v="350"/>
    <n v="44200"/>
    <x v="15"/>
    <s v="H"/>
    <n v="1"/>
    <n v="10"/>
    <n v="33.958689507494654"/>
    <n v="339.58689507494654"/>
    <s v="CPU_14"/>
    <n v="1262.8571428571429"/>
    <n v="42884.973606607535"/>
    <x v="2"/>
  </r>
  <r>
    <m/>
    <x v="20"/>
    <n v="350"/>
    <n v="44200"/>
    <x v="71"/>
    <s v="H"/>
    <n v="1"/>
    <n v="10"/>
    <n v="36.226153396924282"/>
    <n v="362.26153396924281"/>
    <s v="CPU_14"/>
    <n v="1262.8571428571429"/>
    <n v="45748.456575544384"/>
    <x v="2"/>
  </r>
  <r>
    <m/>
    <x v="20"/>
    <n v="350"/>
    <n v="44200"/>
    <x v="61"/>
    <s v="H"/>
    <n v="5"/>
    <n v="10"/>
    <n v="42.159454253455323"/>
    <n v="2107.9727126727662"/>
    <s v="CPU_14"/>
    <n v="6314.2857142857147"/>
    <n v="266206.83971467504"/>
    <x v="2"/>
  </r>
  <r>
    <m/>
    <x v="20"/>
    <n v="350"/>
    <n v="44200"/>
    <x v="2"/>
    <s v="H"/>
    <n v="5"/>
    <n v="10"/>
    <n v="26.579984100642395"/>
    <n v="1328.9992050321198"/>
    <s v="CPU_14"/>
    <n v="6314.2857142857147"/>
    <n v="167833.61389262771"/>
    <x v="2"/>
  </r>
  <r>
    <s v="MATERIAL"/>
    <x v="20"/>
    <n v="350"/>
    <n v="44200"/>
    <x v="0"/>
    <m/>
    <m/>
    <m/>
    <n v="138"/>
    <n v="48300"/>
    <s v="CPU_14"/>
    <n v="44200"/>
    <n v="6099600"/>
    <x v="0"/>
  </r>
  <r>
    <m/>
    <x v="20"/>
    <n v="350"/>
    <n v="44200"/>
    <x v="72"/>
    <s v="T"/>
    <m/>
    <n v="350"/>
    <n v="78"/>
    <n v="27300"/>
    <s v="CPU_14"/>
    <n v="44200"/>
    <n v="3447600"/>
    <x v="4"/>
  </r>
  <r>
    <m/>
    <x v="20"/>
    <n v="350"/>
    <n v="44200"/>
    <x v="43"/>
    <s v="TXKM"/>
    <m/>
    <n v="17500"/>
    <n v="1.2"/>
    <n v="21000"/>
    <s v="CPU_14"/>
    <n v="2210000"/>
    <n v="2652000"/>
    <x v="4"/>
  </r>
  <r>
    <s v="EQUIPAMENTO"/>
    <x v="21"/>
    <n v="145.83333333333334"/>
    <n v="18416.669999999998"/>
    <x v="0"/>
    <m/>
    <m/>
    <m/>
    <n v="41.212051948051943"/>
    <n v="6010.090909090909"/>
    <s v="CPU_12"/>
    <n v="18416.669999999998"/>
    <n v="758988.7607501297"/>
    <x v="0"/>
  </r>
  <r>
    <m/>
    <x v="21"/>
    <n v="145.83333333333334"/>
    <n v="18416.669999999998"/>
    <x v="73"/>
    <s v="H"/>
    <n v="1"/>
    <n v="9.0909090909090917"/>
    <n v="325"/>
    <n v="2954.545454545455"/>
    <s v="CPU_12"/>
    <n v="1148.0521558441558"/>
    <n v="373116.95064935065"/>
    <x v="1"/>
  </r>
  <r>
    <m/>
    <x v="21"/>
    <n v="145.83333333333334"/>
    <n v="18416.669999999998"/>
    <x v="56"/>
    <s v="DIA"/>
    <n v="1"/>
    <n v="1.3636363636363635"/>
    <n v="740.73333333333335"/>
    <n v="1010.090909090909"/>
    <s v="CPU_12"/>
    <n v="172.20782337662334"/>
    <n v="127560.07503584413"/>
    <x v="1"/>
  </r>
  <r>
    <m/>
    <x v="21"/>
    <n v="145.83333333333334"/>
    <n v="18416.669999999998"/>
    <x v="74"/>
    <s v="DIA"/>
    <n v="2"/>
    <n v="1.3636363636363635"/>
    <n v="750"/>
    <n v="2045.4545454545453"/>
    <s v="CPU_12"/>
    <n v="344.41564675324668"/>
    <n v="258311.735064935"/>
    <x v="1"/>
  </r>
  <r>
    <s v="COMBUSTIVEL"/>
    <x v="21"/>
    <n v="145.83333333333334"/>
    <n v="18416.669999999998"/>
    <x v="0"/>
    <m/>
    <m/>
    <m/>
    <n v="3.5702479338842967"/>
    <n v="520.66115702479328"/>
    <s v="CPU_12"/>
    <n v="18416.669999999998"/>
    <n v="65752.078016528903"/>
    <x v="0"/>
  </r>
  <r>
    <m/>
    <x v="21"/>
    <n v="145.83333333333334"/>
    <n v="18416.669999999998"/>
    <x v="8"/>
    <s v="L"/>
    <m/>
    <n v="74.380165289256183"/>
    <n v="7"/>
    <n v="520.66115702479328"/>
    <s v="CPU_12"/>
    <n v="9393.1540023612706"/>
    <n v="65752.078016528889"/>
    <x v="3"/>
  </r>
  <r>
    <s v="MO"/>
    <x v="21"/>
    <n v="145.83333333333334"/>
    <n v="18416.669999999998"/>
    <x v="0"/>
    <m/>
    <m/>
    <m/>
    <n v="11.557906291053701"/>
    <n v="1685.5280007786648"/>
    <s v="CPU_12"/>
    <n v="18416.669999999998"/>
    <n v="212858.14605325996"/>
    <x v="0"/>
  </r>
  <r>
    <m/>
    <x v="21"/>
    <n v="145.83333333333334"/>
    <n v="18416.669999999998"/>
    <x v="75"/>
    <s v="H"/>
    <n v="1"/>
    <n v="10"/>
    <n v="54.666793361884373"/>
    <n v="546.66793361884379"/>
    <s v="CPU_12"/>
    <n v="1262.8573714285715"/>
    <n v="69036.362969418173"/>
    <x v="2"/>
  </r>
  <r>
    <m/>
    <x v="21"/>
    <n v="145.83333333333334"/>
    <n v="18416.669999999998"/>
    <x v="59"/>
    <s v="H"/>
    <n v="1"/>
    <n v="10"/>
    <n v="39.212114074362468"/>
    <n v="392.12114074362466"/>
    <s v="CPU_12"/>
    <n v="1262.8573714285712"/>
    <n v="49519.307308106669"/>
    <x v="2"/>
  </r>
  <r>
    <m/>
    <x v="21"/>
    <n v="145.83333333333334"/>
    <n v="18416.669999999998"/>
    <x v="76"/>
    <s v="H"/>
    <n v="2"/>
    <n v="10"/>
    <n v="37.336946320809815"/>
    <n v="746.73892641619636"/>
    <s v="CPU_12"/>
    <n v="2525.7147428571425"/>
    <n v="94302.475775735089"/>
    <x v="2"/>
  </r>
  <r>
    <s v="MATERIAL"/>
    <x v="21"/>
    <n v="145.83333333333334"/>
    <n v="18416.669999999998"/>
    <x v="0"/>
    <m/>
    <m/>
    <m/>
    <n v="8.8000000000000007"/>
    <n v="1283.3333333333335"/>
    <s v="CPU_12"/>
    <n v="18416.669999999998"/>
    <n v="162066.696"/>
    <x v="0"/>
  </r>
  <r>
    <m/>
    <x v="21"/>
    <n v="145.83333333333334"/>
    <n v="18416.669999999998"/>
    <x v="77"/>
    <s v="unid"/>
    <m/>
    <n v="23.333333333333336"/>
    <n v="55"/>
    <n v="1283.3333333333335"/>
    <s v="CPU_12"/>
    <n v="2946.6671999999999"/>
    <n v="162066.696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98"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m/>
    <m/>
    <m/>
    <n v="0"/>
    <s v=""/>
    <s v="0"/>
    <s v=""/>
    <m/>
  </r>
  <r>
    <m/>
    <x v="0"/>
    <s v=""/>
    <s v=""/>
    <m/>
    <x v="0"/>
    <x v="0"/>
    <s v="0"/>
    <m/>
    <m/>
    <n v="0"/>
    <s v=""/>
    <s v="0"/>
    <s v=""/>
    <m/>
  </r>
  <r>
    <m/>
    <x v="0"/>
    <s v=""/>
    <s v=""/>
    <m/>
    <x v="0"/>
    <x v="0"/>
    <s v="1"/>
    <m/>
    <m/>
    <n v="0"/>
    <s v=""/>
    <s v="0"/>
    <s v=""/>
    <m/>
  </r>
  <r>
    <m/>
    <x v="0"/>
    <s v=""/>
    <s v=""/>
    <m/>
    <x v="0"/>
    <x v="0"/>
    <s v="0"/>
    <m/>
    <m/>
    <n v="0"/>
    <s v=""/>
    <s v="0"/>
    <s v=""/>
    <m/>
  </r>
  <r>
    <m/>
    <x v="0"/>
    <s v=""/>
    <s v=""/>
    <m/>
    <x v="0"/>
    <x v="0"/>
    <s v="0"/>
    <m/>
    <m/>
    <n v="0"/>
    <s v=""/>
    <s v="0"/>
    <s v=""/>
    <m/>
  </r>
  <r>
    <m/>
    <x v="0"/>
    <s v=""/>
    <s v=""/>
    <m/>
    <x v="0"/>
    <x v="0"/>
    <s v="1"/>
    <m/>
    <m/>
    <n v="0"/>
    <s v=""/>
    <s v="0"/>
    <s v=""/>
    <m/>
  </r>
  <r>
    <m/>
    <x v="0"/>
    <s v=""/>
    <s v=""/>
    <m/>
    <x v="0"/>
    <x v="0"/>
    <s v="1"/>
    <m/>
    <m/>
    <n v="0"/>
    <s v=""/>
    <s v="0"/>
    <s v=""/>
    <m/>
  </r>
  <r>
    <m/>
    <x v="0"/>
    <s v=""/>
    <s v=""/>
    <m/>
    <x v="0"/>
    <x v="0"/>
    <s v="1"/>
    <m/>
    <m/>
    <n v="0"/>
    <s v=""/>
    <s v="0"/>
    <s v=""/>
    <m/>
  </r>
  <r>
    <m/>
    <x v="0"/>
    <s v=""/>
    <s v=""/>
    <m/>
    <x v="0"/>
    <x v="0"/>
    <s v="1"/>
    <m/>
    <m/>
    <n v="0"/>
    <s v=""/>
    <s v="0"/>
    <s v=""/>
    <m/>
  </r>
  <r>
    <m/>
    <x v="0"/>
    <s v=""/>
    <s v=""/>
    <m/>
    <x v="0"/>
    <x v="0"/>
    <s v="1"/>
    <m/>
    <m/>
    <n v="0"/>
    <s v=""/>
    <s v="0"/>
    <s v=""/>
    <m/>
  </r>
  <r>
    <m/>
    <x v="0"/>
    <s v=""/>
    <s v=""/>
    <m/>
    <x v="0"/>
    <x v="0"/>
    <s v="1"/>
    <m/>
    <m/>
    <n v="0"/>
    <s v=""/>
    <s v="0"/>
    <s v=""/>
    <m/>
  </r>
  <r>
    <m/>
    <x v="0"/>
    <s v=""/>
    <s v=""/>
    <m/>
    <x v="0"/>
    <x v="0"/>
    <s v="1"/>
    <m/>
    <m/>
    <n v="0"/>
    <s v=""/>
    <s v="0"/>
    <s v=""/>
    <m/>
  </r>
  <r>
    <m/>
    <x v="0"/>
    <s v=""/>
    <s v=""/>
    <m/>
    <x v="0"/>
    <x v="0"/>
    <s v="1"/>
    <m/>
    <m/>
    <n v="0"/>
    <s v=""/>
    <s v="0"/>
    <s v=""/>
    <m/>
  </r>
  <r>
    <m/>
    <x v="0"/>
    <s v=""/>
    <s v=""/>
    <m/>
    <x v="0"/>
    <x v="0"/>
    <s v="1"/>
    <m/>
    <m/>
    <n v="0"/>
    <s v=""/>
    <s v="0"/>
    <s v=""/>
    <m/>
  </r>
  <r>
    <m/>
    <x v="0"/>
    <s v=""/>
    <s v=""/>
    <m/>
    <x v="0"/>
    <x v="0"/>
    <s v="1"/>
    <m/>
    <m/>
    <n v="0"/>
    <s v=""/>
    <s v="0"/>
    <s v=""/>
    <m/>
  </r>
  <r>
    <m/>
    <x v="0"/>
    <s v=""/>
    <s v=""/>
    <m/>
    <x v="0"/>
    <x v="0"/>
    <s v="1"/>
    <m/>
    <m/>
    <n v="0"/>
    <s v=""/>
    <s v="0"/>
    <s v=""/>
    <m/>
  </r>
  <r>
    <m/>
    <x v="0"/>
    <s v=""/>
    <s v=""/>
    <m/>
    <x v="0"/>
    <x v="0"/>
    <s v="1"/>
    <m/>
    <m/>
    <n v="0"/>
    <s v=""/>
    <s v="0"/>
    <s v=""/>
    <m/>
  </r>
  <r>
    <m/>
    <x v="0"/>
    <s v=""/>
    <s v=""/>
    <m/>
    <x v="0"/>
    <x v="0"/>
    <s v="1"/>
    <m/>
    <m/>
    <n v="0"/>
    <s v=""/>
    <s v="0"/>
    <s v=""/>
    <m/>
  </r>
  <r>
    <m/>
    <x v="0"/>
    <s v=""/>
    <s v=""/>
    <m/>
    <x v="0"/>
    <x v="0"/>
    <s v="1"/>
    <m/>
    <m/>
    <n v="0"/>
    <s v=""/>
    <s v="0"/>
    <s v=""/>
    <m/>
  </r>
  <r>
    <m/>
    <x v="0"/>
    <s v=""/>
    <s v=""/>
    <m/>
    <x v="0"/>
    <x v="0"/>
    <s v="0"/>
    <m/>
    <m/>
    <n v="0"/>
    <s v=""/>
    <s v="0"/>
    <s v=""/>
    <m/>
  </r>
  <r>
    <m/>
    <x v="0"/>
    <s v=""/>
    <s v=""/>
    <m/>
    <x v="0"/>
    <x v="0"/>
    <s v="0"/>
    <m/>
    <m/>
    <n v="0"/>
    <s v=""/>
    <s v="0"/>
    <s v=""/>
    <m/>
  </r>
  <r>
    <m/>
    <x v="0"/>
    <s v=""/>
    <s v=""/>
    <m/>
    <x v="0"/>
    <x v="0"/>
    <s v="0"/>
    <m/>
    <m/>
    <n v="0"/>
    <s v=""/>
    <s v="0"/>
    <s v=""/>
    <m/>
  </r>
  <r>
    <m/>
    <x v="0"/>
    <s v=""/>
    <s v="1"/>
    <m/>
    <x v="0"/>
    <x v="0"/>
    <m/>
    <m/>
    <m/>
    <n v="0"/>
    <s v=""/>
    <s v="0"/>
    <s v=""/>
    <m/>
  </r>
  <r>
    <m/>
    <x v="0"/>
    <s v=""/>
    <s v="1"/>
    <m/>
    <x v="0"/>
    <x v="0"/>
    <m/>
    <m/>
    <m/>
    <n v="0"/>
    <s v=""/>
    <s v="0"/>
    <s v=""/>
    <m/>
  </r>
  <r>
    <m/>
    <x v="0"/>
    <s v=""/>
    <s v="1"/>
    <m/>
    <x v="0"/>
    <x v="0"/>
    <m/>
    <m/>
    <m/>
    <n v="0"/>
    <s v=""/>
    <s v="0"/>
    <s v=""/>
    <m/>
  </r>
  <r>
    <m/>
    <x v="0"/>
    <s v=""/>
    <s v="1"/>
    <m/>
    <x v="0"/>
    <x v="0"/>
    <m/>
    <m/>
    <m/>
    <n v="0"/>
    <s v=""/>
    <s v="0"/>
    <s v=""/>
    <m/>
  </r>
  <r>
    <m/>
    <x v="0"/>
    <s v=""/>
    <s v="1"/>
    <m/>
    <x v="0"/>
    <x v="0"/>
    <m/>
    <m/>
    <m/>
    <n v="0"/>
    <s v=""/>
    <s v="0"/>
    <s v=""/>
    <m/>
  </r>
  <r>
    <m/>
    <x v="0"/>
    <s v=""/>
    <s v="1"/>
    <m/>
    <x v="0"/>
    <x v="0"/>
    <m/>
    <m/>
    <m/>
    <n v="0"/>
    <s v=""/>
    <s v="0"/>
    <s v=""/>
    <m/>
  </r>
  <r>
    <m/>
    <x v="0"/>
    <s v=""/>
    <s v="1"/>
    <m/>
    <x v="0"/>
    <x v="0"/>
    <m/>
    <m/>
    <m/>
    <n v="0"/>
    <s v=""/>
    <s v="0"/>
    <s v=""/>
    <m/>
  </r>
  <r>
    <m/>
    <x v="0"/>
    <s v=""/>
    <s v="1"/>
    <m/>
    <x v="0"/>
    <x v="0"/>
    <m/>
    <m/>
    <m/>
    <n v="0"/>
    <s v=""/>
    <s v="0"/>
    <s v=""/>
    <m/>
  </r>
  <r>
    <m/>
    <x v="0"/>
    <m/>
    <m/>
    <m/>
    <x v="0"/>
    <x v="0"/>
    <m/>
    <m/>
    <m/>
    <n v="0"/>
    <s v=""/>
    <s v="0"/>
    <s v=""/>
    <m/>
  </r>
  <r>
    <m/>
    <x v="0"/>
    <s v=""/>
    <s v=""/>
    <n v="190"/>
    <x v="1"/>
    <x v="0"/>
    <m/>
    <m/>
    <m/>
    <n v="0"/>
    <s v=""/>
    <s v="0"/>
    <s v=""/>
    <m/>
  </r>
  <r>
    <m/>
    <x v="0"/>
    <s v=""/>
    <s v=""/>
    <n v="10302"/>
    <x v="2"/>
    <x v="1"/>
    <s v="0"/>
    <n v="0"/>
    <m/>
    <n v="0"/>
    <s v="0"/>
    <s v="0"/>
    <s v=""/>
    <n v="0"/>
  </r>
  <r>
    <m/>
    <x v="1"/>
    <s v="Transporte cbuq"/>
    <s v="1"/>
    <n v="20305"/>
    <x v="3"/>
    <x v="2"/>
    <s v="1"/>
    <n v="2210000"/>
    <n v="0"/>
    <n v="0"/>
    <s v="0"/>
    <s v="0"/>
    <s v=""/>
    <n v="2210000"/>
  </r>
  <r>
    <n v="1"/>
    <x v="0"/>
    <s v=""/>
    <s v=""/>
    <n v="1"/>
    <x v="4"/>
    <x v="0"/>
    <m/>
    <m/>
    <m/>
    <n v="6028987.8998399992"/>
    <s v=""/>
    <s v="4238482,649"/>
    <s v="0,146182724"/>
    <m/>
  </r>
  <r>
    <m/>
    <x v="2"/>
    <s v="Administracao local diversos"/>
    <s v="1"/>
    <n v="10101"/>
    <x v="1"/>
    <x v="1"/>
    <s v="1"/>
    <n v="4"/>
    <n v="1319100.2337549999"/>
    <n v="5276400.9350199997"/>
    <s v="1059620,662"/>
    <s v="4238482,649"/>
    <s v="0,045909518"/>
    <n v="4"/>
  </r>
  <r>
    <m/>
    <x v="2"/>
    <s v="Administracao local diversos"/>
    <s v="1"/>
    <n v="10201"/>
    <x v="5"/>
    <x v="1"/>
    <s v="0"/>
    <n v="4"/>
    <n v="177139.50374499999"/>
    <n v="708558.01497999998"/>
    <s v="1059620,662"/>
    <s v="0"/>
    <s v="0,8492"/>
    <n v="0"/>
  </r>
  <r>
    <m/>
    <x v="2"/>
    <s v="Administracao local diversos"/>
    <s v="1"/>
    <n v="10301"/>
    <x v="6"/>
    <x v="1"/>
    <s v="0"/>
    <n v="4"/>
    <n v="11007.23746"/>
    <n v="44028.949840000001"/>
    <s v="1059620,662"/>
    <s v="0"/>
    <s v="0,8492"/>
    <n v="0"/>
  </r>
  <r>
    <n v="1"/>
    <x v="0"/>
    <s v=""/>
    <s v=""/>
    <n v="2"/>
    <x v="7"/>
    <x v="0"/>
    <m/>
    <m/>
    <m/>
    <n v="21391572.401319001"/>
    <s v=""/>
    <s v="15235457,96"/>
    <s v="0,136982232"/>
    <m/>
  </r>
  <r>
    <m/>
    <x v="0"/>
    <s v=""/>
    <s v=""/>
    <n v="201"/>
    <x v="8"/>
    <x v="0"/>
    <m/>
    <m/>
    <m/>
    <n v="4029213.4406249998"/>
    <s v=""/>
    <s v="2518504,64"/>
    <s v="0,224138887"/>
    <m/>
  </r>
  <r>
    <m/>
    <x v="3"/>
    <s v="Cerca"/>
    <s v="1"/>
    <n v="20101"/>
    <x v="9"/>
    <x v="3"/>
    <s v="1"/>
    <n v="31875"/>
    <n v="52.627694999999996"/>
    <n v="1677507.778125"/>
    <s v="30,4108666"/>
    <s v="969346,3729"/>
    <s v="0,271350892"/>
    <n v="31875"/>
  </r>
  <r>
    <m/>
    <x v="4"/>
    <s v="Recomposição cerca"/>
    <s v="1"/>
    <n v="20102"/>
    <x v="10"/>
    <x v="3"/>
    <s v="1"/>
    <n v="55500"/>
    <n v="42.373075"/>
    <n v="2351705.6625000001"/>
    <s v="27,91276156"/>
    <s v="1549158,267"/>
    <s v="0,190461838"/>
    <n v="55500"/>
  </r>
  <r>
    <m/>
    <x v="0"/>
    <s v=""/>
    <s v=""/>
    <n v="202"/>
    <x v="11"/>
    <x v="0"/>
    <m/>
    <m/>
    <m/>
    <n v="5040815"/>
    <s v=""/>
    <s v="3090587,5"/>
    <s v="0,236087339"/>
    <m/>
  </r>
  <r>
    <m/>
    <x v="5"/>
    <s v="Sinalização Horizontal"/>
    <s v="1"/>
    <n v="20201"/>
    <x v="12"/>
    <x v="4"/>
    <s v="1"/>
    <n v="87750"/>
    <n v="29.53"/>
    <n v="2591257.5"/>
    <s v="15,35"/>
    <s v="1346962,5"/>
    <s v="0,329389638"/>
    <n v="87750"/>
  </r>
  <r>
    <m/>
    <x v="6"/>
    <s v="Tacha Refletiva"/>
    <s v="1"/>
    <n v="20202"/>
    <x v="13"/>
    <x v="5"/>
    <s v="1"/>
    <n v="94250"/>
    <n v="25.99"/>
    <n v="2449557.5"/>
    <s v="18,5"/>
    <s v="1743625"/>
    <s v="0,137387765"/>
    <n v="94250"/>
  </r>
  <r>
    <m/>
    <x v="0"/>
    <s v=""/>
    <s v=""/>
    <n v="203"/>
    <x v="14"/>
    <x v="0"/>
    <m/>
    <m/>
    <m/>
    <n v="12321543.960694"/>
    <s v=""/>
    <s v="9626365,817"/>
    <s v="0,067937047"/>
    <m/>
  </r>
  <r>
    <m/>
    <x v="7"/>
    <s v="Fresagem Descontinua"/>
    <s v="1"/>
    <n v="20301"/>
    <x v="15"/>
    <x v="6"/>
    <s v="1"/>
    <n v="18416.669999999998"/>
    <n v="124.6"/>
    <n v="2294717.0819999995"/>
    <s v="65,14020617"/>
    <s v="1199665,681"/>
    <s v="0,326405408"/>
    <n v="18416.669999999998"/>
  </r>
  <r>
    <m/>
    <x v="8"/>
    <s v="Micro Revestimento"/>
    <s v="1"/>
    <n v="20302"/>
    <x v="16"/>
    <x v="4"/>
    <s v="1"/>
    <n v="453600"/>
    <n v="2.5525000000000002"/>
    <n v="1157814"/>
    <s v="1,836397262"/>
    <s v="832989,7981"/>
    <s v="0,129749554"/>
    <n v="453600"/>
  </r>
  <r>
    <m/>
    <x v="9"/>
    <s v="Pintura de Ligação"/>
    <s v="1"/>
    <n v="20303"/>
    <x v="17"/>
    <x v="4"/>
    <s v="1"/>
    <n v="368333.33"/>
    <n v="0.39179999999999998"/>
    <n v="144312.99869400001"/>
    <s v="0,629549048"/>
    <s v="231883,8974"/>
    <s v="-0,757612273"/>
    <n v="368333.33"/>
  </r>
  <r>
    <m/>
    <x v="10"/>
    <s v="Capa - CBUQ"/>
    <s v="1"/>
    <n v="20304"/>
    <x v="18"/>
    <x v="4"/>
    <s v="1"/>
    <n v="44200"/>
    <n v="197.3914"/>
    <n v="8724699.8800000008"/>
    <s v="166,5571593"/>
    <s v="7361826,441"/>
    <s v="0,005408633"/>
    <n v="442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dinâmica1" cacheId="306" applyNumberFormats="0" applyBorderFormats="0" applyFontFormats="0" applyPatternFormats="0" applyAlignmentFormats="0" applyWidthHeightFormats="1" dataCaption="Valores" updatedVersion="8" minRefreshableVersion="3" preserveFormatting="0" itemPrintTitles="1" createdVersion="5" indent="0" outline="1" outlineData="1" multipleFieldFilters="0" rowHeaderCaption="Serviço">
  <location ref="B3:E21" firstHeaderRow="0" firstDataRow="1" firstDataCol="1"/>
  <pivotFields count="17">
    <pivotField showAll="0"/>
    <pivotField axis="axisRow" showAll="0" sortType="descending">
      <items count="56">
        <item sd="0" m="1" x="32"/>
        <item sd="0" m="1" x="33"/>
        <item sd="0" m="1" x="52"/>
        <item sd="0" m="1" x="46"/>
        <item sd="0" m="1" x="40"/>
        <item sd="0" m="1" x="41"/>
        <item sd="0" x="10"/>
        <item sd="0" m="1" x="54"/>
        <item sd="0" x="0"/>
        <item sd="0" m="1" x="53"/>
        <item sd="0" m="1" x="31"/>
        <item sd="0" m="1" x="43"/>
        <item sd="0" m="1" x="49"/>
        <item sd="0" m="1" x="47"/>
        <item sd="0" m="1" x="51"/>
        <item sd="0" m="1" x="38"/>
        <item sd="0" m="1" x="48"/>
        <item sd="0" m="1" x="50"/>
        <item sd="0" m="1" x="37"/>
        <item sd="0" m="1" x="34"/>
        <item sd="0" m="1" x="36"/>
        <item sd="0" m="1" x="45"/>
        <item sd="0" m="1" x="39"/>
        <item sd="0" m="1" x="42"/>
        <item sd="0" m="1" x="44"/>
        <item sd="0" m="1" x="35"/>
        <item sd="0" x="5"/>
        <item sd="0" x="6"/>
        <item sd="0" x="7"/>
        <item sd="0" x="8"/>
        <item x="2"/>
        <item sd="0" m="1" x="30"/>
        <item sd="0" x="3"/>
        <item sd="0" x="4"/>
        <item sd="0" m="1" x="11"/>
        <item sd="0" m="1" x="29"/>
        <item sd="0" m="1" x="26"/>
        <item sd="0" m="1" x="15"/>
        <item sd="0" m="1" x="27"/>
        <item sd="0" m="1" x="17"/>
        <item sd="0" m="1" x="18"/>
        <item sd="0" m="1" x="13"/>
        <item m="1" x="12"/>
        <item m="1" x="20"/>
        <item m="1" x="21"/>
        <item m="1" x="28"/>
        <item m="1" x="25"/>
        <item m="1" x="19"/>
        <item m="1" x="24"/>
        <item m="1" x="16"/>
        <item m="1" x="14"/>
        <item m="1" x="22"/>
        <item m="1" x="23"/>
        <item x="9"/>
        <item x="1"/>
        <item t="default" sd="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 defaultSubtotal="0"/>
    <pivotField showAll="0" defaultSubtotal="0"/>
    <pivotField showAll="0"/>
    <pivotField axis="axisRow" showAll="0" sortType="descending">
      <items count="247">
        <item sd="0" m="1" x="158"/>
        <item sd="0" m="1" x="237"/>
        <item sd="0" m="1" x="189"/>
        <item sd="0" m="1" x="188"/>
        <item sd="0" m="1" x="187"/>
        <item sd="0" m="1" x="190"/>
        <item sd="0" m="1" x="191"/>
        <item sd="0" m="1" x="218"/>
        <item sd="0" m="1" x="193"/>
        <item sd="0" m="1" x="192"/>
        <item sd="0" m="1" x="221"/>
        <item sd="0" m="1" x="197"/>
        <item sd="0" m="1" x="154"/>
        <item sd="0" m="1" x="153"/>
        <item sd="0" m="1" x="170"/>
        <item sd="0" m="1" x="233"/>
        <item sd="0" m="1" x="184"/>
        <item sd="0" m="1" x="183"/>
        <item sd="0" m="1" x="182"/>
        <item sd="0" m="1" x="185"/>
        <item sd="0" m="1" x="186"/>
        <item sd="0" m="1" x="224"/>
        <item sd="0" m="1" x="217"/>
        <item sd="0" m="1" x="215"/>
        <item sd="0" m="1" x="216"/>
        <item sd="0" m="1" x="142"/>
        <item sd="0" m="1" x="141"/>
        <item sd="0" m="1" x="160"/>
        <item sd="0" m="1" x="241"/>
        <item sd="0" m="1" x="242"/>
        <item sd="0" m="1" x="206"/>
        <item sd="0" m="1" x="207"/>
        <item sd="0" m="1" x="208"/>
        <item sd="0" m="1" x="209"/>
        <item sd="0" m="1" x="210"/>
        <item sd="0" m="1" x="211"/>
        <item sd="0" m="1" x="212"/>
        <item sd="0" m="1" x="204"/>
        <item sd="0" m="1" x="205"/>
        <item sd="0" m="1" x="101"/>
        <item sd="0" m="1" x="199"/>
        <item sd="0" m="1" x="198"/>
        <item sd="0" m="1" x="194"/>
        <item sd="0" m="1" x="213"/>
        <item sd="0" m="1" x="214"/>
        <item sd="0" m="1" x="145"/>
        <item sd="0" m="1" x="146"/>
        <item sd="0" m="1" x="144"/>
        <item sd="0" m="1" x="143"/>
        <item sd="0" m="1" x="147"/>
        <item sd="0" m="1" x="148"/>
        <item sd="0" m="1" x="150"/>
        <item sd="0" m="1" x="151"/>
        <item sd="0" m="1" x="149"/>
        <item sd="0" m="1" x="152"/>
        <item sd="0" m="1" x="155"/>
        <item sd="0" m="1" x="162"/>
        <item sd="0" m="1" x="179"/>
        <item sd="0" m="1" x="219"/>
        <item sd="0" m="1" x="180"/>
        <item sd="0" m="1" x="166"/>
        <item sd="0" m="1" x="165"/>
        <item sd="0" m="1" x="156"/>
        <item sd="0" m="1" x="234"/>
        <item sd="0" m="1" x="176"/>
        <item sd="0" m="1" x="174"/>
        <item sd="0" m="1" x="175"/>
        <item sd="0" m="1" x="169"/>
        <item sd="0" m="1" x="57"/>
        <item sd="0" m="1" x="202"/>
        <item sd="0" m="1" x="203"/>
        <item sd="0" m="1" x="220"/>
        <item sd="0" m="1" x="178"/>
        <item sd="0" m="1" x="104"/>
        <item sd="0" m="1" x="168"/>
        <item sd="0" m="1" x="159"/>
        <item sd="0" m="1" x="236"/>
        <item sd="0" x="17"/>
        <item sd="0" m="1" x="181"/>
        <item sd="0" m="1" x="238"/>
        <item sd="0" m="1" x="239"/>
        <item sd="0" m="1" x="240"/>
        <item sd="0" m="1" x="161"/>
        <item sd="0" m="1" x="222"/>
        <item sd="0" m="1" x="223"/>
        <item sd="0" m="1" x="232"/>
        <item sd="0" m="1" x="231"/>
        <item sd="0" m="1" x="235"/>
        <item sd="0" m="1" x="243"/>
        <item sd="0" m="1" x="244"/>
        <item sd="0" m="1" x="245"/>
        <item sd="0" m="1" x="200"/>
        <item sd="0" x="4"/>
        <item sd="0" m="1" x="225"/>
        <item sd="0" m="1" x="230"/>
        <item sd="0" m="1" x="227"/>
        <item sd="0" m="1" x="226"/>
        <item sd="0" m="1" x="229"/>
        <item sd="0" m="1" x="228"/>
        <item sd="0" m="1" x="108"/>
        <item sd="0" m="1" x="140"/>
        <item sd="0" m="1" x="157"/>
        <item sd="0" m="1" x="167"/>
        <item sd="0" m="1" x="173"/>
        <item sd="0" m="1" x="177"/>
        <item sd="0" m="1" x="163"/>
        <item sd="0" m="1" x="164"/>
        <item sd="0" m="1" x="172"/>
        <item sd="0" m="1" x="171"/>
        <item sd="0" m="1" x="201"/>
        <item sd="0" m="1" x="196"/>
        <item sd="0" m="1" x="195"/>
        <item sd="0" x="0"/>
        <item sd="0" x="1"/>
        <item sd="0" x="5"/>
        <item sd="0" m="1" x="121"/>
        <item sd="0" m="1" x="122"/>
        <item sd="0" m="1" x="117"/>
        <item sd="0" x="6"/>
        <item sd="0" x="2"/>
        <item sd="0" m="1" x="118"/>
        <item sd="0" m="1" x="92"/>
        <item sd="0" m="1" x="94"/>
        <item sd="0" m="1" x="20"/>
        <item sd="0" x="7"/>
        <item sd="0" x="8"/>
        <item sd="0" x="9"/>
        <item sd="0" x="10"/>
        <item sd="0" m="1" x="21"/>
        <item sd="0" m="1" x="124"/>
        <item sd="0" m="1" x="125"/>
        <item sd="0" m="1" x="22"/>
        <item sd="0" x="11"/>
        <item sd="0" m="1" x="119"/>
        <item sd="0" x="12"/>
        <item sd="0" m="1" x="23"/>
        <item sd="0" x="13"/>
        <item sd="0" m="1" x="95"/>
        <item sd="0" m="1" x="96"/>
        <item sd="0" m="1" x="24"/>
        <item sd="0" m="1" x="25"/>
        <item sd="0" m="1" x="26"/>
        <item sd="0" m="1" x="27"/>
        <item sd="0" m="1" x="28"/>
        <item sd="0" m="1" x="29"/>
        <item sd="0" m="1" x="30"/>
        <item sd="0" m="1" x="97"/>
        <item sd="0" m="1" x="98"/>
        <item sd="0" m="1" x="31"/>
        <item sd="0" m="1" x="32"/>
        <item sd="0" m="1" x="33"/>
        <item sd="0" m="1" x="34"/>
        <item sd="0" m="1" x="35"/>
        <item sd="0" m="1" x="99"/>
        <item sd="0" m="1" x="36"/>
        <item sd="0" m="1" x="37"/>
        <item sd="0" m="1" x="100"/>
        <item sd="0" m="1" x="38"/>
        <item sd="0" m="1" x="39"/>
        <item sd="0" m="1" x="40"/>
        <item sd="0" m="1" x="41"/>
        <item sd="0" m="1" x="42"/>
        <item sd="0" m="1" x="43"/>
        <item sd="0" m="1" x="44"/>
        <item sd="0" m="1" x="45"/>
        <item sd="0" m="1" x="46"/>
        <item sd="0" m="1" x="47"/>
        <item sd="0" m="1" x="102"/>
        <item sd="0" m="1" x="48"/>
        <item sd="0" m="1" x="49"/>
        <item sd="0" m="1" x="103"/>
        <item sd="0" m="1" x="50"/>
        <item sd="0" m="1" x="51"/>
        <item sd="0" m="1" x="52"/>
        <item sd="0" m="1" x="53"/>
        <item sd="0" m="1" x="54"/>
        <item sd="0" m="1" x="55"/>
        <item sd="0" m="1" x="56"/>
        <item sd="0" m="1" x="58"/>
        <item sd="0" m="1" x="59"/>
        <item sd="0" m="1" x="60"/>
        <item sd="0" m="1" x="61"/>
        <item sd="0" m="1" x="62"/>
        <item sd="0" m="1" x="63"/>
        <item sd="0" m="1" x="64"/>
        <item sd="0" m="1" x="65"/>
        <item sd="0" m="1" x="66"/>
        <item sd="0" m="1" x="67"/>
        <item sd="0" m="1" x="68"/>
        <item sd="0" m="1" x="69"/>
        <item sd="0" x="14"/>
        <item sd="0" m="1" x="120"/>
        <item sd="0" x="15"/>
        <item sd="0" m="1" x="126"/>
        <item sd="0" x="16"/>
        <item sd="0" m="1" x="127"/>
        <item sd="0" m="1" x="70"/>
        <item sd="0" x="18"/>
        <item sd="0" m="1" x="71"/>
        <item sd="0" m="1" x="128"/>
        <item sd="0" m="1" x="72"/>
        <item sd="0" m="1" x="93"/>
        <item sd="0" m="1" x="73"/>
        <item sd="0" m="1" x="74"/>
        <item sd="0" m="1" x="75"/>
        <item sd="0" m="1" x="76"/>
        <item sd="0" m="1" x="77"/>
        <item sd="0" m="1" x="78"/>
        <item sd="0" m="1" x="79"/>
        <item sd="0" m="1" x="80"/>
        <item sd="0" m="1" x="81"/>
        <item sd="0" m="1" x="82"/>
        <item sd="0" m="1" x="105"/>
        <item sd="0" m="1" x="129"/>
        <item m="1" x="138"/>
        <item m="1" x="139"/>
        <item m="1" x="107"/>
        <item m="1" x="114"/>
        <item m="1" x="115"/>
        <item m="1" x="83"/>
        <item m="1" x="84"/>
        <item m="1" x="85"/>
        <item m="1" x="86"/>
        <item m="1" x="87"/>
        <item m="1" x="88"/>
        <item m="1" x="89"/>
        <item m="1" x="90"/>
        <item m="1" x="106"/>
        <item m="1" x="109"/>
        <item m="1" x="130"/>
        <item m="1" x="110"/>
        <item m="1" x="111"/>
        <item m="1" x="132"/>
        <item m="1" x="133"/>
        <item m="1" x="112"/>
        <item m="1" x="134"/>
        <item m="1" x="135"/>
        <item m="1" x="113"/>
        <item m="1" x="116"/>
        <item m="1" x="136"/>
        <item m="1" x="137"/>
        <item m="1" x="91"/>
        <item m="1" x="123"/>
        <item m="1" x="131"/>
        <item x="3"/>
        <item m="1" x="19"/>
        <item t="default" sd="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multipleItemSelectionAllowed="1" showAll="0">
      <items count="16">
        <item x="3"/>
        <item m="1" x="8"/>
        <item m="1" x="13"/>
        <item m="1" x="14"/>
        <item m="1" x="9"/>
        <item x="2"/>
        <item x="5"/>
        <item m="1" x="7"/>
        <item x="0"/>
        <item x="1"/>
        <item x="4"/>
        <item m="1" x="10"/>
        <item x="6"/>
        <item m="1" x="11"/>
        <item m="1" x="1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dragToRow="0" dragToCol="0" dragToPage="0" showAll="0" defaultSubtotal="0"/>
    <pivotField dragToRow="0" dragToCol="0" dragToPage="0" showAll="0" defaultSubtotal="0"/>
  </pivotFields>
  <rowFields count="3">
    <field x="1"/>
    <field x="5"/>
    <field x="6"/>
  </rowFields>
  <rowItems count="18">
    <i>
      <x v="8"/>
    </i>
    <i>
      <x v="6"/>
    </i>
    <i>
      <x v="30"/>
    </i>
    <i r="1">
      <x v="113"/>
    </i>
    <i r="1">
      <x v="114"/>
    </i>
    <i r="1">
      <x v="118"/>
    </i>
    <i>
      <x v="26"/>
    </i>
    <i>
      <x v="27"/>
    </i>
    <i>
      <x v="33"/>
    </i>
    <i>
      <x v="28"/>
    </i>
    <i>
      <x v="32"/>
    </i>
    <i>
      <x v="29"/>
    </i>
    <i>
      <x v="53"/>
    </i>
    <i r="1">
      <x v="77"/>
    </i>
    <i>
      <x v="54"/>
    </i>
    <i r="1">
      <x v="244"/>
    </i>
    <i r="2"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Quant" fld="14" baseField="1" baseItem="6" numFmtId="4"/>
    <dataField name="Venda Unit." fld="15" baseField="3" baseItem="53" numFmtId="43"/>
    <dataField name="Venda Total." fld="10" baseField="3" baseItem="53" numFmtId="4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2C8ECE-3533-4FC6-81A9-0040A179F9D4}" name="Tabela dinâmica1" cacheId="30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C2:E19" firstHeaderRow="1" firstDataRow="1" firstDataCol="0"/>
  <pivotFields count="1">
    <pivotField allDrilled="1" subtotalTop="0" showAll="0" dataSourceSort="1" defaultSubtotal="0" defaultAttributeDrillState="1"/>
  </pivotFields>
  <pivotHierarchies count="26"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Consulta - fHistograma">
        <x15:activeTabTopLevelEntity name="[fHistogram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DB9621-1C51-4AD3-9626-61A56FC5E632}" name="Tabela dinâmica1" cacheId="305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Insumo">
  <location ref="B3:E37" firstHeaderRow="0" firstDataRow="1" firstDataCol="1"/>
  <pivotFields count="14">
    <pivotField showAll="0"/>
    <pivotField axis="axisRow" showAll="0">
      <items count="25">
        <item sd="0" x="19"/>
        <item sd="0" x="9"/>
        <item x="20"/>
        <item sd="0" x="6"/>
        <item sd="0" x="14"/>
        <item sd="0" x="18"/>
        <item sd="0" x="5"/>
        <item x="21"/>
        <item sd="0" x="3"/>
        <item sd="0" x="12"/>
        <item sd="0" x="7"/>
        <item sd="0" x="8"/>
        <item sd="0" m="1" x="23"/>
        <item sd="0" x="16"/>
        <item sd="0" x="4"/>
        <item sd="0" x="13"/>
        <item sd="0" x="17"/>
        <item sd="0" x="11"/>
        <item sd="0" x="10"/>
        <item sd="0" x="15"/>
        <item x="1"/>
        <item x="2"/>
        <item m="1" x="22"/>
        <item x="0"/>
        <item t="default" sd="0"/>
      </items>
    </pivotField>
    <pivotField showAll="0"/>
    <pivotField showAll="0"/>
    <pivotField axis="axisRow" showAll="0">
      <items count="89">
        <item x="0"/>
        <item x="74"/>
        <item x="56"/>
        <item x="73"/>
        <item x="8"/>
        <item x="60"/>
        <item x="3"/>
        <item x="5"/>
        <item x="76"/>
        <item x="59"/>
        <item x="75"/>
        <item m="1" x="84"/>
        <item x="14"/>
        <item x="15"/>
        <item x="16"/>
        <item x="1"/>
        <item m="1" x="86"/>
        <item x="32"/>
        <item x="35"/>
        <item x="36"/>
        <item m="1" x="87"/>
        <item x="43"/>
        <item x="2"/>
        <item x="57"/>
        <item x="58"/>
        <item m="1" x="83"/>
        <item x="19"/>
        <item m="1" x="85"/>
        <item x="61"/>
        <item x="63"/>
        <item x="7"/>
        <item x="66"/>
        <item x="72"/>
        <item x="62"/>
        <item x="47"/>
        <item x="54"/>
        <item x="52"/>
        <item x="53"/>
        <item x="17"/>
        <item x="20"/>
        <item x="21"/>
        <item x="22"/>
        <item x="23"/>
        <item x="24"/>
        <item x="31"/>
        <item x="33"/>
        <item x="46"/>
        <item x="49"/>
        <item x="48"/>
        <item x="50"/>
        <item x="9"/>
        <item x="26"/>
        <item x="40"/>
        <item x="45"/>
        <item x="41"/>
        <item x="42"/>
        <item x="13"/>
        <item m="1" x="82"/>
        <item x="28"/>
        <item x="34"/>
        <item x="25"/>
        <item x="70"/>
        <item x="18"/>
        <item x="27"/>
        <item x="29"/>
        <item m="1" x="80"/>
        <item x="4"/>
        <item x="6"/>
        <item m="1" x="81"/>
        <item x="30"/>
        <item m="1" x="78"/>
        <item x="37"/>
        <item x="38"/>
        <item x="39"/>
        <item x="44"/>
        <item x="69"/>
        <item x="55"/>
        <item x="71"/>
        <item x="68"/>
        <item x="51"/>
        <item x="64"/>
        <item x="65"/>
        <item x="67"/>
        <item m="1" x="79"/>
        <item x="77"/>
        <item x="10"/>
        <item x="11"/>
        <item x="12"/>
        <item t="default"/>
      </items>
    </pivotField>
    <pivotField showAll="0"/>
    <pivotField showAll="0"/>
    <pivotField dataField="1" showAll="0"/>
    <pivotField dataField="1" showAll="0"/>
    <pivotField showAll="0"/>
    <pivotField showAll="0"/>
    <pivotField showAll="0"/>
    <pivotField dataField="1" showAll="0"/>
    <pivotField axis="axisRow" showAll="0">
      <items count="8">
        <item x="3"/>
        <item sd="0" x="4"/>
        <item sd="0" x="2"/>
        <item x="1"/>
        <item h="1" sd="0" x="0"/>
        <item sd="0" x="5"/>
        <item sd="0" x="6"/>
        <item t="default"/>
      </items>
    </pivotField>
  </pivotFields>
  <rowFields count="3">
    <field x="13"/>
    <field x="1"/>
    <field x="4"/>
  </rowFields>
  <rowItems count="34">
    <i>
      <x/>
    </i>
    <i r="1">
      <x v="4"/>
    </i>
    <i r="1">
      <x v="5"/>
    </i>
    <i r="1">
      <x v="7"/>
    </i>
    <i r="2">
      <x v="4"/>
    </i>
    <i r="1">
      <x v="13"/>
    </i>
    <i r="1">
      <x v="20"/>
    </i>
    <i r="2">
      <x v="4"/>
    </i>
    <i r="1">
      <x v="21"/>
    </i>
    <i r="2">
      <x v="4"/>
    </i>
    <i>
      <x v="1"/>
    </i>
    <i>
      <x v="2"/>
    </i>
    <i>
      <x v="3"/>
    </i>
    <i r="1">
      <x v="2"/>
    </i>
    <i r="2">
      <x v="17"/>
    </i>
    <i r="2">
      <x v="18"/>
    </i>
    <i r="2">
      <x v="19"/>
    </i>
    <i r="2">
      <x v="61"/>
    </i>
    <i r="1">
      <x v="4"/>
    </i>
    <i r="1">
      <x v="5"/>
    </i>
    <i r="1">
      <x v="7"/>
    </i>
    <i r="2">
      <x v="1"/>
    </i>
    <i r="2">
      <x v="2"/>
    </i>
    <i r="2">
      <x v="3"/>
    </i>
    <i r="1">
      <x v="13"/>
    </i>
    <i r="1">
      <x v="20"/>
    </i>
    <i r="2">
      <x v="30"/>
    </i>
    <i r="1">
      <x v="21"/>
    </i>
    <i r="2">
      <x v="30"/>
    </i>
    <i r="1">
      <x v="23"/>
    </i>
    <i r="2">
      <x v="15"/>
    </i>
    <i>
      <x v="5"/>
    </i>
    <i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Quantidade" fld="7" baseField="4" baseItem="0" numFmtId="4"/>
    <dataField name="Custo Unit" fld="8" subtotal="average" baseField="4" baseItem="0" numFmtId="4"/>
    <dataField name="Custo Total" fld="12" baseField="4" baseItem="0" numFmtId="4"/>
  </dataFields>
  <formats count="13"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4" type="button" dataOnly="0" labelOnly="1" outline="0" axis="axisRow" fieldPosition="2"/>
    </format>
    <format dxfId="9">
      <pivotArea dataOnly="0" labelOnly="1" fieldPosition="0">
        <references count="1">
          <reference field="4" count="0"/>
        </references>
      </pivotArea>
    </format>
    <format dxfId="8">
      <pivotArea dataOnly="0" labelOnly="1" grandRow="1" outline="0" fieldPosition="0"/>
    </format>
    <format dxfId="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">
      <pivotArea dataOnly="0" labelOnly="1" fieldPosition="0">
        <references count="1">
          <reference field="13" count="1">
            <x v="5"/>
          </reference>
        </references>
      </pivotArea>
    </format>
    <format dxfId="5">
      <pivotArea collapsedLevelsAreSubtotals="1" fieldPosition="0">
        <references count="3">
          <reference field="4294967294" count="1" selected="0">
            <x v="2"/>
          </reference>
          <reference field="1" count="1">
            <x v="3"/>
          </reference>
          <reference field="13" count="1" selected="0">
            <x v="5"/>
          </reference>
        </references>
      </pivotArea>
    </format>
    <format dxfId="4">
      <pivotArea collapsedLevelsAreSubtotals="1" fieldPosition="0">
        <references count="3">
          <reference field="4294967294" count="1" selected="0">
            <x v="2"/>
          </reference>
          <reference field="1" count="1">
            <x v="15"/>
          </reference>
          <reference field="13" count="1" selected="0">
            <x v="2"/>
          </reference>
        </references>
      </pivotArea>
    </format>
    <format dxfId="3">
      <pivotArea collapsedLevelsAreSubtotals="1" fieldPosition="0">
        <references count="3">
          <reference field="4294967294" count="1" selected="0">
            <x v="2"/>
          </reference>
          <reference field="1" count="1">
            <x v="14"/>
          </reference>
          <reference field="13" count="1" selected="0">
            <x v="2"/>
          </reference>
        </references>
      </pivotArea>
    </format>
    <format dxfId="2">
      <pivotArea collapsedLevelsAreSubtotals="1" fieldPosition="0">
        <references count="3">
          <reference field="4294967294" count="1" selected="0">
            <x v="2"/>
          </reference>
          <reference field="1" count="1">
            <x v="8"/>
          </reference>
          <reference field="13" count="1" selected="0">
            <x v="2"/>
          </reference>
        </references>
      </pivotArea>
    </format>
    <format dxfId="1">
      <pivotArea collapsedLevelsAreSubtotals="1" fieldPosition="0">
        <references count="3">
          <reference field="4294967294" count="1" selected="0">
            <x v="2"/>
          </reference>
          <reference field="1" count="1">
            <x v="6"/>
          </reference>
          <reference field="13" count="1" selected="0">
            <x v="2"/>
          </reference>
        </references>
      </pivotArea>
    </format>
    <format dxfId="0">
      <pivotArea collapsedLevelsAreSubtotals="1" fieldPosition="0">
        <references count="3">
          <reference field="4294967294" count="1" selected="0">
            <x v="2"/>
          </reference>
          <reference field="1" count="1">
            <x v="1"/>
          </reference>
          <reference field="13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900-000000000000}" autoFormatId="0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AUX" tableColumnId="31"/>
      <queryTableField id="2" name="AGRUPADOR" tableColumnId="32"/>
      <queryTableField id="3" name="DESCRIÇÃO AGRUPADOR" tableColumnId="33"/>
      <queryTableField id="4" name="UNID. AGRUPADOR" tableColumnId="34"/>
      <queryTableField id="5" name="ITEM" tableColumnId="35"/>
      <queryTableField id="6" name="DESCRIÇÃO" tableColumnId="36"/>
      <queryTableField id="7" name="UNID." tableColumnId="37"/>
      <queryTableField id="8" name="K" tableColumnId="38"/>
      <queryTableField id="9" name="QUANT." tableColumnId="39"/>
      <queryTableField id="10" name="VENDA UNIT" tableColumnId="40"/>
      <queryTableField id="11" name="VENDA TOTAL" tableColumnId="41"/>
      <queryTableField id="12" name="CUSTO UNIT" tableColumnId="42"/>
      <queryTableField id="13" name="CUSTO TOTAL" tableColumnId="43"/>
      <queryTableField id="14" name="LUCR %" tableColumnId="44"/>
      <queryTableField id="15" name="QUANT_X_K" tableColumnId="45"/>
    </queryTableFields>
  </queryTableRefresh>
  <extLst>
    <ext xmlns:x15="http://schemas.microsoft.com/office/spreadsheetml/2010/11/main" uri="{883FBD77-0823-4a55-B5E3-86C4891E6966}">
      <x15:queryTable sourceDataName="Consulta - fOrcamento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00000000-0016-0000-0A00-000001000000}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SERVICO" tableColumnId="13"/>
      <queryTableField id="2" name="NOME SERVIÇO" tableColumnId="14"/>
      <queryTableField id="3" name="ETAPA" tableColumnId="15"/>
      <queryTableField id="4" name="ETAPA/SERVICO" tableColumnId="16"/>
      <queryTableField id="5" name="UNID" tableColumnId="17"/>
      <queryTableField id="6" name="Utilização" tableColumnId="1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5DE67D05-0253-40C1-825C-018A37B2CDBF}" autoFormatId="16" applyNumberFormats="0" applyBorderFormats="0" applyFontFormats="0" applyPatternFormats="0" applyAlignmentFormats="0" applyWidthHeightFormats="0">
  <queryTableRefresh nextId="15">
    <queryTableFields count="14">
      <queryTableField id="1" name="CODIGO" tableColumnId="1"/>
      <queryTableField id="2" name="SERVIÇO" tableColumnId="2"/>
      <queryTableField id="3" name="PRODUÇÃO" tableColumnId="3"/>
      <queryTableField id="4" name="QTDE_TOTAL" tableColumnId="4"/>
      <queryTableField id="5" name="DESCRIÇÃO" tableColumnId="5"/>
      <queryTableField id="6" name="UNID" tableColumnId="6"/>
      <queryTableField id="7" name="Nº" tableColumnId="7"/>
      <queryTableField id="8" name="QUANT." tableColumnId="8"/>
      <queryTableField id="9" name="C. UNIT" tableColumnId="9"/>
      <queryTableField id="10" name="C. TOTAL" tableColumnId="10"/>
      <queryTableField id="11" name="Name" tableColumnId="11"/>
      <queryTableField id="12" name="QTDE" tableColumnId="12"/>
      <queryTableField id="13" name="CUSTO_TOTAL" tableColumnId="13"/>
      <queryTableField id="14" name="GRUPO" tableColumnId="1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odigo" xr10:uid="{0F521139-8DD7-4D8D-B65B-4FCC940E3540}" sourceName="[fHistograma].[Codigo]">
  <pivotTables>
    <pivotTable tabId="59" name="Tabela dinâmica1"/>
  </pivotTables>
  <data>
    <olap pivotCacheId="595706566">
      <levels count="2">
        <level uniqueName="[fHistograma].[Codigo].[(All)]" sourceCaption="(All)" count="0"/>
        <level uniqueName="[fHistograma].[Codigo].[Codigo]" sourceCaption="Codigo" count="0"/>
      </levels>
      <selections count="1">
        <selection n="[fHistograma].[Codigo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digo" xr10:uid="{3640A3F3-5CF6-41DF-BAC8-4681C7FD0942}" cache="SegmentaçãodeDados_Codigo" caption="Codigo" level="1" rowHeight="234950"/>
</slicers>
</file>

<file path=xl/tables/_rels/table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B3:O2001" totalsRowShown="0" headerRowDxfId="1867" dataDxfId="1866" tableBorderDxfId="1865">
  <autoFilter ref="B3:O2001" xr:uid="{00000000-0009-0000-0100-000002000000}"/>
  <tableColumns count="14">
    <tableColumn id="1" xr3:uid="{00000000-0010-0000-0000-000001000000}" name="AUX" dataDxfId="1864" dataCellStyle="Vírgula">
      <calculatedColumnFormula>IF(LEN(F4)=3,1,"")</calculatedColumnFormula>
    </tableColumn>
    <tableColumn id="2" xr3:uid="{00000000-0010-0000-0000-000002000000}" name="AGRUPADOR" dataDxfId="1863"/>
    <tableColumn id="12" xr3:uid="{00000000-0010-0000-0000-00000C000000}" name="DESCRIÇÃO AGRUPADOR" dataDxfId="1862">
      <calculatedColumnFormula>IF(Tabela2[[#This Row],[AGRUPADOR]]&lt;&gt;"",VLOOKUP(Tabela2[[#This Row],[AGRUPADOR]],Tabela1[],2,0),"")</calculatedColumnFormula>
    </tableColumn>
    <tableColumn id="11" xr3:uid="{00000000-0010-0000-0000-00000B000000}" name="UNID. AGRUPADOR" dataDxfId="1861">
      <calculatedColumnFormula>IF(Tabela2[[#This Row],[AGRUPADOR]]&lt;&gt;"",VLOOKUP(Tabela2[[#This Row],[AGRUPADOR]],Tabela1[],4,0),"")</calculatedColumnFormula>
    </tableColumn>
    <tableColumn id="3" xr3:uid="{00000000-0010-0000-0000-000003000000}" name="ITEM" dataDxfId="1860"/>
    <tableColumn id="4" xr3:uid="{00000000-0010-0000-0000-000004000000}" name="DESCRIÇÃO" dataDxfId="1859"/>
    <tableColumn id="5" xr3:uid="{00000000-0010-0000-0000-000005000000}" name="UNID." dataDxfId="1858"/>
    <tableColumn id="10" xr3:uid="{00000000-0010-0000-0000-00000A000000}" name="K" dataDxfId="1857" dataCellStyle="Vírgula"/>
    <tableColumn id="6" xr3:uid="{00000000-0010-0000-0000-000006000000}" name="QUANT." dataDxfId="1856"/>
    <tableColumn id="7" xr3:uid="{00000000-0010-0000-0000-000007000000}" name="VENDA UNIT" dataDxfId="1855"/>
    <tableColumn id="8" xr3:uid="{00000000-0010-0000-0000-000008000000}" name="VENDA TOTAL" dataDxfId="1854" dataCellStyle="Vírgula"/>
    <tableColumn id="9" xr3:uid="{00000000-0010-0000-0000-000009000000}" name="CUSTO UNIT" dataDxfId="1853" dataCellStyle="Vírgula">
      <calculatedColumnFormula>IF(Tabela2[[#This Row],[UNID.]]&lt;&gt;"",IFERROR(VLOOKUP(Tabela2[[#This Row],[AGRUPADOR]],Lucratividade!$D$4:$O$129,6,0),0),"")</calculatedColumnFormula>
    </tableColumn>
    <tableColumn id="13" xr3:uid="{00000000-0010-0000-0000-00000D000000}" name="CUSTO TOTAL" dataDxfId="1852" dataCellStyle="Vírgula">
      <calculatedColumnFormula>IF(H4&lt;&gt;"",J4*M4,SUMIFS(N5:N$9844,$F5:$F$9844,"*"&amp;F4&amp;"*",$H5:$H$9844,"&lt;&gt;"))</calculatedColumnFormula>
    </tableColumn>
    <tableColumn id="14" xr3:uid="{00000000-0010-0000-0000-00000E000000}" name="LUCR %" dataDxfId="1851" dataCellStyle="Porcentagem">
      <calculatedColumnFormula>IFERROR((-Tabela2[[#This Row],[CUSTO TOTAL]]+Tabela2[[#This Row],[VENDA TOTAL]])/Tabela2[[#This Row],[VENDA TOTAL]]-PARAMETROS!$C$19,"")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Plan_Orc" displayName="Plan_Orc" ref="AA3:AM2001" totalsRowShown="0" headerRowDxfId="1850" dataDxfId="1849" tableBorderDxfId="1848">
  <autoFilter ref="AA3:AM2001" xr:uid="{00000000-0009-0000-0100-000008000000}"/>
  <tableColumns count="13">
    <tableColumn id="1" xr3:uid="{00000000-0010-0000-0100-000001000000}" name="Acum. 2023" dataDxfId="1847">
      <calculatedColumnFormula>SUM(Plan_Orc[[#This Row],[01/jan]:[01/dez]])</calculatedColumnFormula>
    </tableColumn>
    <tableColumn id="2" xr3:uid="{00000000-0010-0000-0100-000002000000}" name="01/jan" dataDxfId="1846"/>
    <tableColumn id="3" xr3:uid="{00000000-0010-0000-0100-000003000000}" name="01/fev" dataDxfId="1845"/>
    <tableColumn id="4" xr3:uid="{00000000-0010-0000-0100-000004000000}" name="01/mar" dataDxfId="1844"/>
    <tableColumn id="5" xr3:uid="{00000000-0010-0000-0100-000005000000}" name="01/abr" dataDxfId="1843"/>
    <tableColumn id="6" xr3:uid="{00000000-0010-0000-0100-000006000000}" name="01/mai" dataDxfId="1842"/>
    <tableColumn id="7" xr3:uid="{00000000-0010-0000-0100-000007000000}" name="01/jun" dataDxfId="1841"/>
    <tableColumn id="8" xr3:uid="{00000000-0010-0000-0100-000008000000}" name="01/jul" dataDxfId="1840"/>
    <tableColumn id="9" xr3:uid="{00000000-0010-0000-0100-000009000000}" name="01/ago" dataDxfId="1839"/>
    <tableColumn id="10" xr3:uid="{00000000-0010-0000-0100-00000A000000}" name="01/set" dataDxfId="1838"/>
    <tableColumn id="11" xr3:uid="{00000000-0010-0000-0100-00000B000000}" name="01/out" dataDxfId="1837"/>
    <tableColumn id="12" xr3:uid="{00000000-0010-0000-0100-00000C000000}" name="01/nov" dataDxfId="1836"/>
    <tableColumn id="13" xr3:uid="{00000000-0010-0000-0100-00000D000000}" name="01/dez" dataDxfId="1835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4" displayName="Tabela4" ref="B3:T95" totalsRowCount="1" headerRowDxfId="1900" dataDxfId="1899">
  <autoFilter ref="B3:T94" xr:uid="{00000000-0009-0000-0100-000004000000}">
    <filterColumn colId="6">
      <filters>
        <filter val="18.417"/>
        <filter val="2.210.000"/>
        <filter val="31.875"/>
        <filter val="368.333"/>
        <filter val="44.200"/>
        <filter val="453.600"/>
        <filter val="55.500"/>
        <filter val="8,00"/>
        <filter val="87.750"/>
        <filter val="94.250"/>
      </filters>
    </filterColumn>
  </autoFilter>
  <tableColumns count="19">
    <tableColumn id="1" xr3:uid="{00000000-0010-0000-0200-000001000000}" name="Item" totalsRowLabel="Total" dataDxfId="1898" totalsRowDxfId="1897">
      <calculatedColumnFormula>IF(Tabela4[[#This Row],[ETAPA]]&lt;&gt;0,0,0)</calculatedColumnFormula>
    </tableColumn>
    <tableColumn id="11" xr3:uid="{00000000-0010-0000-0200-00000B000000}" name="CPU" dataDxfId="1896" totalsRowDxfId="1895">
      <calculatedColumnFormula>IFERROR(HYPERLINK("#"&amp;LEFT(SUBSTITUTE(SUBSTITUTE(G4," ",""),"-",""),20)&amp;"!B3","..."),0)</calculatedColumnFormula>
    </tableColumn>
    <tableColumn id="2" xr3:uid="{00000000-0010-0000-0200-000002000000}" name="Codigo" dataDxfId="1894"/>
    <tableColumn id="10" xr3:uid="{00000000-0010-0000-0200-00000A000000}" name="TIPO" dataDxfId="1893">
      <calculatedColumnFormula>IFERROR(VLOOKUP(Tabela4[[#This Row],[Codigo]],Tabela1[[SERVICO]:[ETAPA/SERVICO]],4),0)</calculatedColumnFormula>
    </tableColumn>
    <tableColumn id="12" xr3:uid="{00000000-0010-0000-0200-00000C000000}" name="ETAPA" dataDxfId="1892">
      <calculatedColumnFormula>IFERROR(VLOOKUP(Tabela4[[#This Row],[Codigo]],Tabela1[[SERVICO]:[ETAPA/SERVICO]],3),0)</calculatedColumnFormula>
    </tableColumn>
    <tableColumn id="13" xr3:uid="{00000000-0010-0000-0200-00000D000000}" name="Serviço" dataDxfId="1891">
      <calculatedColumnFormula>VLOOKUP(Tabela4[[#This Row],[Codigo]],Tabela1[[SERVICO]:[NOME SERVIÇO]],2,0)</calculatedColumnFormula>
    </tableColumn>
    <tableColumn id="3" xr3:uid="{00000000-0010-0000-0200-000003000000}" name="Qtde." dataDxfId="1890" dataCellStyle="Vírgula">
      <calculatedColumnFormula>SUMIF(Resumo_Agrupamento!$B$4:$B$1000,Tabela4[[#This Row],[Codigo]],Resumo_Agrupamento!$C$4:$C$1000)</calculatedColumnFormula>
    </tableColumn>
    <tableColumn id="4" xr3:uid="{00000000-0010-0000-0200-000004000000}" name="C. Unit" dataDxfId="1889" dataCellStyle="Vírgula">
      <calculatedColumnFormula>IFERROR(INDIRECT(LEFT(SUBSTITUTE(SUBSTITUTE(G4," ",""),"-",""),20)&amp;"!h3"),0)</calculatedColumnFormula>
    </tableColumn>
    <tableColumn id="5" xr3:uid="{00000000-0010-0000-0200-000005000000}" name="V. Unit" dataDxfId="1888" dataCellStyle="Vírgula">
      <calculatedColumnFormula>SUMIF(Resumo_Agrupamento!$B$4:$B$1000,Tabela4[[#This Row],[Codigo]],Resumo_Agrupamento!$D$4:$D$1000)</calculatedColumnFormula>
    </tableColumn>
    <tableColumn id="6" xr3:uid="{00000000-0010-0000-0200-000006000000}" name="C. Total" totalsRowFunction="custom" dataDxfId="1887" totalsRowDxfId="1886" dataCellStyle="Vírgula">
      <totalsRowFormula>IF(PARAMETROS!C17="RDC",SUBTOTAL(109,Tabela4[C. Total])/2,SUBTOTAL(109,Tabela4[C. Total]))</totalsRowFormula>
    </tableColumn>
    <tableColumn id="7" xr3:uid="{00000000-0010-0000-0200-000007000000}" name="V. Total" totalsRowFunction="custom" dataDxfId="1885" totalsRowDxfId="1884" dataCellStyle="Vírgula">
      <calculatedColumnFormula>IF(AND(Tabela4[[#This Row],[TIPO]]&gt;1,PARAMETROS!$C$17="RDC"),SUMIF(F5:$F$34,#REF!,L5:$L$34),SUMIF(Resumo_Agrupamento!$B$4:$B$1000,Tabela4[[#This Row],[Codigo]],Resumo_Agrupamento!$E$4:$E$1000))</calculatedColumnFormula>
      <totalsRowFormula>IF(PARAMETROS!C17="RDC",SUBTOTAL(109,Tabela4[V. Total])/2,SUBTOTAL(109,Tabela4[V. Total]))</totalsRowFormula>
    </tableColumn>
    <tableColumn id="8" xr3:uid="{00000000-0010-0000-0200-000008000000}" name="Lucro" totalsRowFunction="custom" dataDxfId="1883" totalsRowDxfId="1882" dataCellStyle="Vírgula">
      <calculatedColumnFormula>Tabela4[[#This Row],[V. Total]]-Tabela4[[#This Row],[C. Total]]</calculatedColumnFormula>
      <totalsRowFormula>IF(PARAMETROS!C17="RDC",SUBTOTAL(109,Tabela4[Lucro])/2,SUBTOTAL(109,Tabela4[Lucro]))</totalsRowFormula>
    </tableColumn>
    <tableColumn id="9" xr3:uid="{00000000-0010-0000-0200-000009000000}" name="Lucr. %" totalsRowFunction="custom" dataDxfId="1881" totalsRowDxfId="1880" dataCellStyle="Porcentagem">
      <calculatedColumnFormula>IFERROR(Tabela4[[#This Row],[Lucro]]/Tabela4[[#This Row],[V. Total]]-PARAMETROS!C19,0)</calculatedColumnFormula>
      <totalsRowFormula>IFERROR(Tabela4[[#Totals],[Lucro]]/Tabela4[[#Totals],[V. Total]],0)</totalsRowFormula>
    </tableColumn>
    <tableColumn id="14" xr3:uid="{00000000-0010-0000-0200-00000E000000}" name="Coluna1" dataDxfId="1879" totalsRowDxfId="1878"/>
    <tableColumn id="15" xr3:uid="{00000000-0010-0000-0200-00000F000000}" name="Produção" dataDxfId="1877" totalsRowDxfId="1876">
      <calculatedColumnFormula>IF(Tabela4[[#This Row],[TIPO]]&gt;1,"",IFERROR(INDIRECT("CPU_"&amp;LEFT(SUBSTITUTE(SUBSTITUTE($G4," ",""),"-",""),20)&amp;"!b6"),""))</calculatedColumnFormula>
    </tableColumn>
    <tableColumn id="16" xr3:uid="{00000000-0010-0000-0200-000010000000}" name="Unidade" dataDxfId="1875" totalsRowDxfId="1874">
      <calculatedColumnFormula>IF(Tabela4[[#This Row],[TIPO]]&gt;1,"",IFERROR(INDIRECT("CPU_"&amp;LEFT(SUBSTITUTE(SUBSTITUTE($G4," ",""),"-",""),20)&amp;"!j3"),""))</calculatedColumnFormula>
    </tableColumn>
    <tableColumn id="17" xr3:uid="{00000000-0010-0000-0200-000011000000}" name="Prazo (dias)" dataDxfId="1873" totalsRowDxfId="1872">
      <calculatedColumnFormula>IF(Tabela4[[#This Row],[TIPO]]&gt;1,"",IFERROR(INDIRECT("CPU_"&amp;LEFT(SUBSTITUTE(SUBSTITUTE($G4," ",""),"-",""),20)&amp;"!g7"),""))</calculatedColumnFormula>
    </tableColumn>
    <tableColumn id="18" xr3:uid="{F16E8141-DA33-4030-8FE4-81C6E2D2BB58}" name="Mês 1" dataDxfId="1871" totalsRowDxfId="1870"/>
    <tableColumn id="19" xr3:uid="{772C6733-793B-44CE-AF15-173B90F21781}" name="mês 2" dataDxfId="1869" totalsRowDxfId="1868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7000000}" name="CPU" displayName="CPU" ref="B10:K62" totalsRowShown="0" headerRowDxfId="1834" tableBorderDxfId="1833">
  <autoFilter ref="B10:K62" xr:uid="{00000000-0009-0000-0100-000020000000}"/>
  <tableColumns count="10">
    <tableColumn id="1" xr3:uid="{00000000-0010-0000-0700-000001000000}" name="CODIGO" dataDxfId="1832"/>
    <tableColumn id="8" xr3:uid="{4BD00445-85CA-48D5-A933-1FAD1C8556FA}" name="SERVIÇO" dataDxfId="1831">
      <calculatedColumnFormula>$A$3</calculatedColumnFormula>
    </tableColumn>
    <tableColumn id="9" xr3:uid="{B265C0E9-FDEB-4EF3-B26B-5D89BF1628BC}" name="PRODUÇÃO" dataDxfId="1830">
      <calculatedColumnFormula>$B$6</calculatedColumnFormula>
    </tableColumn>
    <tableColumn id="10" xr3:uid="{805439B3-E7B5-428A-83E1-C466000D78EA}" name="QTDE_TOTAL" dataDxfId="1829">
      <calculatedColumnFormula>$B$7</calculatedColumnFormula>
    </tableColumn>
    <tableColumn id="2" xr3:uid="{00000000-0010-0000-0700-000002000000}" name="DESCRIÇÃO" dataDxfId="1828"/>
    <tableColumn id="3" xr3:uid="{00000000-0010-0000-0700-000003000000}" name="UNID" dataDxfId="1827">
      <calculatedColumnFormula>IFERROR(VLOOKUP(F11,Tabela7[[RECURSO]:[CUSTO]],2,FALSE),"")</calculatedColumnFormula>
    </tableColumn>
    <tableColumn id="7" xr3:uid="{00000000-0010-0000-0700-000007000000}" name="Nº" dataDxfId="1826"/>
    <tableColumn id="4" xr3:uid="{00000000-0010-0000-0700-000004000000}" name="QUANT." dataDxfId="1825"/>
    <tableColumn id="5" xr3:uid="{00000000-0010-0000-0700-000005000000}" name="C. UNIT" dataDxfId="1824" dataCellStyle="Vírgula">
      <calculatedColumnFormula>IFERROR(VLOOKUP(F11,Tabela7[[RECURSO]:[CUSTO]],3,FALSE),0)</calculatedColumnFormula>
    </tableColumn>
    <tableColumn id="6" xr3:uid="{00000000-0010-0000-0700-000006000000}" name="C. TOTAL" dataDxfId="1823" dataCellStyle="Vírgula">
      <calculatedColumnFormula>IFERROR(VLOOKUP(G11,Tabela7[[RECURSO]:[CUSTO]],3),0)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Realizado6" displayName="Realizado6" ref="AD10:CD62" totalsRowShown="0" headerRowDxfId="1822">
  <autoFilter ref="AD10:CD62" xr:uid="{00000000-0009-0000-0100-000006000000}"/>
  <tableColumns count="53">
    <tableColumn id="1" xr3:uid="{00000000-0010-0000-0800-000001000000}" name="serviço" dataDxfId="1821">
      <calculatedColumnFormula>$B$3</calculatedColumnFormula>
    </tableColumn>
    <tableColumn id="2" xr3:uid="{00000000-0010-0000-0800-000002000000}" name="Nº" dataDxfId="1820"/>
    <tableColumn id="3" xr3:uid="{00000000-0010-0000-0800-000003000000}" name="QUANT." dataDxfId="1819" dataCellStyle="Vírgula">
      <calculatedColumnFormula>AJ11+AN11+AR11+AV11+AZ11+BD11+BH11+BL11+BP11+BT11+BX11+CB11</calculatedColumnFormula>
    </tableColumn>
    <tableColumn id="4" xr3:uid="{00000000-0010-0000-0800-000004000000}" name="C. UNIT" dataDxfId="1818" dataCellStyle="Vírgula">
      <calculatedColumnFormula>IFERROR(AH11/AF11,0)</calculatedColumnFormula>
    </tableColumn>
    <tableColumn id="5" xr3:uid="{00000000-0010-0000-0800-000005000000}" name="C. TOTAL" dataDxfId="1817" dataCellStyle="Vírgula">
      <calculatedColumnFormula>AL11+AP11+AT11+AX11+BB11+BF11+BJ11+BN11+BR11+BV11+BZ11+CD11</calculatedColumnFormula>
    </tableColumn>
    <tableColumn id="6" xr3:uid="{00000000-0010-0000-0800-000006000000}" name="Nº1" dataDxfId="1816"/>
    <tableColumn id="7" xr3:uid="{00000000-0010-0000-0800-000007000000}" name="QUANT.1" dataDxfId="1815" dataCellStyle="Vírgula"/>
    <tableColumn id="8" xr3:uid="{00000000-0010-0000-0800-000008000000}" name="C. UNIT1" dataDxfId="1814" dataCellStyle="Vírgula"/>
    <tableColumn id="9" xr3:uid="{00000000-0010-0000-0800-000009000000}" name="C. TOTAL1" dataDxfId="1813" dataCellStyle="Vírgula">
      <calculatedColumnFormula>AJ11*AK11</calculatedColumnFormula>
    </tableColumn>
    <tableColumn id="10" xr3:uid="{00000000-0010-0000-0800-00000A000000}" name="Nº2" dataDxfId="1812"/>
    <tableColumn id="11" xr3:uid="{00000000-0010-0000-0800-00000B000000}" name="QUANT.2" dataDxfId="1811" dataCellStyle="Vírgula"/>
    <tableColumn id="12" xr3:uid="{00000000-0010-0000-0800-00000C000000}" name="C. UNIT2" dataDxfId="1810" dataCellStyle="Vírgula"/>
    <tableColumn id="13" xr3:uid="{00000000-0010-0000-0800-00000D000000}" name="C. TOTAL2" dataDxfId="1809" dataCellStyle="Vírgula">
      <calculatedColumnFormula>AN11*AO11</calculatedColumnFormula>
    </tableColumn>
    <tableColumn id="14" xr3:uid="{00000000-0010-0000-0800-00000E000000}" name="Nº3" dataDxfId="1808"/>
    <tableColumn id="15" xr3:uid="{00000000-0010-0000-0800-00000F000000}" name="QUANT.3" dataDxfId="1807" dataCellStyle="Vírgula"/>
    <tableColumn id="16" xr3:uid="{00000000-0010-0000-0800-000010000000}" name="C. UNIT3" dataDxfId="1806" dataCellStyle="Vírgula"/>
    <tableColumn id="17" xr3:uid="{00000000-0010-0000-0800-000011000000}" name="C. TOTAL3" dataDxfId="1805" dataCellStyle="Vírgula">
      <calculatedColumnFormula>AR11*AS11</calculatedColumnFormula>
    </tableColumn>
    <tableColumn id="18" xr3:uid="{00000000-0010-0000-0800-000012000000}" name="Nº4" dataDxfId="1804"/>
    <tableColumn id="19" xr3:uid="{00000000-0010-0000-0800-000013000000}" name="QUANT.4" dataDxfId="1803" dataCellStyle="Vírgula"/>
    <tableColumn id="20" xr3:uid="{00000000-0010-0000-0800-000014000000}" name="C. UNIT4" dataDxfId="1802" dataCellStyle="Vírgula"/>
    <tableColumn id="21" xr3:uid="{00000000-0010-0000-0800-000015000000}" name="C. TOTAL4" dataDxfId="1801" dataCellStyle="Vírgula">
      <calculatedColumnFormula>AV11*AW11</calculatedColumnFormula>
    </tableColumn>
    <tableColumn id="22" xr3:uid="{00000000-0010-0000-0800-000016000000}" name="Nº5" dataDxfId="1800"/>
    <tableColumn id="23" xr3:uid="{00000000-0010-0000-0800-000017000000}" name="QUANT.5" dataDxfId="1799" dataCellStyle="Vírgula"/>
    <tableColumn id="24" xr3:uid="{00000000-0010-0000-0800-000018000000}" name="C. UNIT5" dataDxfId="1798" dataCellStyle="Vírgula"/>
    <tableColumn id="25" xr3:uid="{00000000-0010-0000-0800-000019000000}" name="C. TOTAL5" dataDxfId="1797" dataCellStyle="Vírgula">
      <calculatedColumnFormula>AZ11*BA11</calculatedColumnFormula>
    </tableColumn>
    <tableColumn id="26" xr3:uid="{00000000-0010-0000-0800-00001A000000}" name="Nº6" dataDxfId="1796"/>
    <tableColumn id="27" xr3:uid="{00000000-0010-0000-0800-00001B000000}" name="QUANT.6" dataDxfId="1795" dataCellStyle="Vírgula"/>
    <tableColumn id="28" xr3:uid="{00000000-0010-0000-0800-00001C000000}" name="C. UNIT6" dataDxfId="1794" dataCellStyle="Vírgula"/>
    <tableColumn id="29" xr3:uid="{00000000-0010-0000-0800-00001D000000}" name="C. TOTAL6" dataDxfId="1793" dataCellStyle="Vírgula">
      <calculatedColumnFormula>BD11*BE11</calculatedColumnFormula>
    </tableColumn>
    <tableColumn id="30" xr3:uid="{00000000-0010-0000-0800-00001E000000}" name="Nº7" dataDxfId="1792"/>
    <tableColumn id="31" xr3:uid="{00000000-0010-0000-0800-00001F000000}" name="QUANT.7" dataDxfId="1791" dataCellStyle="Vírgula"/>
    <tableColumn id="32" xr3:uid="{00000000-0010-0000-0800-000020000000}" name="C. UNIT7" dataDxfId="1790" dataCellStyle="Vírgula"/>
    <tableColumn id="33" xr3:uid="{00000000-0010-0000-0800-000021000000}" name="C. TOTAL7" dataDxfId="1789" dataCellStyle="Vírgula">
      <calculatedColumnFormula>BH11*BI11</calculatedColumnFormula>
    </tableColumn>
    <tableColumn id="34" xr3:uid="{00000000-0010-0000-0800-000022000000}" name="Nº8" dataDxfId="1788"/>
    <tableColumn id="35" xr3:uid="{00000000-0010-0000-0800-000023000000}" name="QUANT.8" dataDxfId="1787" dataCellStyle="Vírgula"/>
    <tableColumn id="36" xr3:uid="{00000000-0010-0000-0800-000024000000}" name="C. UNIT8" dataDxfId="1786" dataCellStyle="Vírgula"/>
    <tableColumn id="37" xr3:uid="{00000000-0010-0000-0800-000025000000}" name="C. TOTAL8" dataDxfId="1785" dataCellStyle="Vírgula">
      <calculatedColumnFormula>BL11*BM11</calculatedColumnFormula>
    </tableColumn>
    <tableColumn id="38" xr3:uid="{00000000-0010-0000-0800-000026000000}" name="Nº9" dataDxfId="1784"/>
    <tableColumn id="39" xr3:uid="{00000000-0010-0000-0800-000027000000}" name="QUANT.9" dataDxfId="1783" dataCellStyle="Vírgula"/>
    <tableColumn id="40" xr3:uid="{00000000-0010-0000-0800-000028000000}" name="C. UNIT9" dataDxfId="1782" dataCellStyle="Vírgula"/>
    <tableColumn id="41" xr3:uid="{00000000-0010-0000-0800-000029000000}" name="C. TOTAL9" dataDxfId="1781" dataCellStyle="Vírgula">
      <calculatedColumnFormula>BP11*BQ11</calculatedColumnFormula>
    </tableColumn>
    <tableColumn id="42" xr3:uid="{00000000-0010-0000-0800-00002A000000}" name="Nº10" dataDxfId="1780"/>
    <tableColumn id="43" xr3:uid="{00000000-0010-0000-0800-00002B000000}" name="QUANT.10" dataDxfId="1779" dataCellStyle="Vírgula"/>
    <tableColumn id="44" xr3:uid="{00000000-0010-0000-0800-00002C000000}" name="C. UNIT10" dataDxfId="1778" dataCellStyle="Vírgula"/>
    <tableColumn id="45" xr3:uid="{00000000-0010-0000-0800-00002D000000}" name="C. TOTAL10" dataDxfId="1777" dataCellStyle="Vírgula">
      <calculatedColumnFormula>BT11*BU11</calculatedColumnFormula>
    </tableColumn>
    <tableColumn id="46" xr3:uid="{00000000-0010-0000-0800-00002E000000}" name="Nº11" dataDxfId="1776"/>
    <tableColumn id="47" xr3:uid="{00000000-0010-0000-0800-00002F000000}" name="QUANT.11" dataDxfId="1775" dataCellStyle="Vírgula"/>
    <tableColumn id="48" xr3:uid="{00000000-0010-0000-0800-000030000000}" name="C. UNIT11" dataDxfId="1774" dataCellStyle="Vírgula"/>
    <tableColumn id="49" xr3:uid="{00000000-0010-0000-0800-000031000000}" name="C. TOTAL11" dataDxfId="1773" dataCellStyle="Vírgula">
      <calculatedColumnFormula>BX11*BY11</calculatedColumnFormula>
    </tableColumn>
    <tableColumn id="50" xr3:uid="{00000000-0010-0000-0800-000032000000}" name="Nº12" dataDxfId="1772"/>
    <tableColumn id="51" xr3:uid="{00000000-0010-0000-0800-000033000000}" name="QUANT.12" dataDxfId="1771" dataCellStyle="Vírgula"/>
    <tableColumn id="52" xr3:uid="{00000000-0010-0000-0800-000034000000}" name="C. UNIT12" dataDxfId="1770" dataCellStyle="Vírgula"/>
    <tableColumn id="53" xr3:uid="{00000000-0010-0000-0800-000035000000}" name="C. TOTAL12" dataDxfId="1769" dataCellStyle="Vírgula">
      <calculatedColumnFormula>CB11*CC11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6847A03E-F34B-466A-A8A2-761D0035CD55}" name="CPU_63" displayName="CPU_63" ref="B10:K62" totalsRowShown="0" headerRowDxfId="1768" tableBorderDxfId="1767">
  <autoFilter ref="B10:K62" xr:uid="{00000000-0009-0000-0100-000020000000}"/>
  <tableColumns count="10">
    <tableColumn id="1" xr3:uid="{54E34337-5D9B-40E0-BA46-1C977618F542}" name="CODIGO" dataDxfId="1766"/>
    <tableColumn id="8" xr3:uid="{ED60EFE8-6EC9-4250-8E5B-75EBC6C5B771}" name="SERVIÇO" dataDxfId="1765">
      <calculatedColumnFormula>$A$3</calculatedColumnFormula>
    </tableColumn>
    <tableColumn id="9" xr3:uid="{5AD925B6-871C-4300-A1FF-8BD35FC5735E}" name="PRODUÇÃO" dataDxfId="1764">
      <calculatedColumnFormula>$B$6</calculatedColumnFormula>
    </tableColumn>
    <tableColumn id="10" xr3:uid="{5C938D3B-14FD-48A4-9E53-89DE0EBE583E}" name="QTDE_TOTAL" dataDxfId="1763">
      <calculatedColumnFormula>$B$7</calculatedColumnFormula>
    </tableColumn>
    <tableColumn id="2" xr3:uid="{C0E1CFF3-6007-4046-9016-9D9558E92F2B}" name="DESCRIÇÃO" dataDxfId="1762"/>
    <tableColumn id="3" xr3:uid="{8C2A67B1-4F64-4586-BE42-F1792C1E7CBB}" name="UNID" dataDxfId="1761">
      <calculatedColumnFormula>IFERROR(VLOOKUP(F11,Tabela7[[RECURSO]:[CUSTO]],2,FALSE),"")</calculatedColumnFormula>
    </tableColumn>
    <tableColumn id="7" xr3:uid="{80A875A2-E432-4995-9D70-9B8655C0EDB5}" name="Nº" dataDxfId="1760"/>
    <tableColumn id="4" xr3:uid="{84040415-ACF3-4DB9-838D-ED3A9B032D73}" name="QUANT." dataDxfId="1759"/>
    <tableColumn id="5" xr3:uid="{93DDECE8-1383-4CAE-A0CB-9F02DB45C82A}" name="C. UNIT" dataDxfId="1758" dataCellStyle="Vírgula">
      <calculatedColumnFormula>IFERROR(VLOOKUP(F11,Tabela7[[RECURSO]:[CUSTO]],3,FALSE),0)</calculatedColumnFormula>
    </tableColumn>
    <tableColumn id="6" xr3:uid="{F76E407B-828E-44EE-9BDB-A2E077123686}" name="C. TOTAL" dataDxfId="1757" dataCellStyle="Vírgula">
      <calculatedColumnFormula>IFERROR(VLOOKUP(G11,Tabela7[[RECURSO]:[CUSTO]],3),0)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B273CBE1-F1E9-49FC-A017-7A70E24738F9}" name="Realizado664" displayName="Realizado664" ref="AD10:CD62" totalsRowShown="0" headerRowDxfId="1756">
  <autoFilter ref="AD10:CD62" xr:uid="{00000000-0009-0000-0100-000006000000}"/>
  <tableColumns count="53">
    <tableColumn id="1" xr3:uid="{DC26C039-F1D4-426A-B268-5C31B5724CB4}" name="serviço" dataDxfId="1755">
      <calculatedColumnFormula>$B$3</calculatedColumnFormula>
    </tableColumn>
    <tableColumn id="2" xr3:uid="{04065323-85D3-48B5-AC77-7D4C13C9BC1C}" name="Nº" dataDxfId="1754"/>
    <tableColumn id="3" xr3:uid="{B76A43A4-FFAF-4882-8FAF-C2CAAB1A0157}" name="QUANT." dataDxfId="1753" dataCellStyle="Vírgula">
      <calculatedColumnFormula>AJ11+AN11+AR11+AV11+AZ11+BD11+BH11+BL11+BP11+BT11+BX11+CB11</calculatedColumnFormula>
    </tableColumn>
    <tableColumn id="4" xr3:uid="{427B3C70-12DE-4157-B2D1-23D3EFD9C71A}" name="C. UNIT" dataDxfId="1752" dataCellStyle="Vírgula">
      <calculatedColumnFormula>IFERROR(AH11/AF11,0)</calculatedColumnFormula>
    </tableColumn>
    <tableColumn id="5" xr3:uid="{EDE22F54-21CC-41ED-9112-EC65F87FDC5F}" name="C. TOTAL" dataDxfId="1751" dataCellStyle="Vírgula">
      <calculatedColumnFormula>AL11+AP11+AT11+AX11+BB11+BF11+BJ11+BN11+BR11+BV11+BZ11+CD11</calculatedColumnFormula>
    </tableColumn>
    <tableColumn id="6" xr3:uid="{77AD8253-BBAF-4BF0-82EA-5D9C750AA71C}" name="Nº1" dataDxfId="1750"/>
    <tableColumn id="7" xr3:uid="{9E978910-59FE-4493-9624-15FCBDFDA054}" name="QUANT.1" dataDxfId="1749" dataCellStyle="Vírgula"/>
    <tableColumn id="8" xr3:uid="{10B3F8F9-8565-46C5-850B-B4CAAD4477E0}" name="C. UNIT1" dataDxfId="1748" dataCellStyle="Vírgula"/>
    <tableColumn id="9" xr3:uid="{3E279A06-7925-4F72-8209-C1A990168662}" name="C. TOTAL1" dataDxfId="1747" dataCellStyle="Vírgula">
      <calculatedColumnFormula>AJ11*AK11</calculatedColumnFormula>
    </tableColumn>
    <tableColumn id="10" xr3:uid="{4B194DC9-BB0D-4FD3-A3A7-FDD63F89F1E1}" name="Nº2" dataDxfId="1746"/>
    <tableColumn id="11" xr3:uid="{98B3829E-79C9-444F-A540-DCE48A9B4CE6}" name="QUANT.2" dataDxfId="1745" dataCellStyle="Vírgula"/>
    <tableColumn id="12" xr3:uid="{E5487B13-9C26-4C8D-B909-A2C3A4EAC1E3}" name="C. UNIT2" dataDxfId="1744" dataCellStyle="Vírgula"/>
    <tableColumn id="13" xr3:uid="{0E60ED56-9044-4FFB-B236-AAC08D97D114}" name="C. TOTAL2" dataDxfId="1743" dataCellStyle="Vírgula">
      <calculatedColumnFormula>AN11*AO11</calculatedColumnFormula>
    </tableColumn>
    <tableColumn id="14" xr3:uid="{FE76B75F-4504-4929-95C2-6388006049CD}" name="Nº3" dataDxfId="1742"/>
    <tableColumn id="15" xr3:uid="{5EBAD9D4-C634-4F69-8565-D936A21F3161}" name="QUANT.3" dataDxfId="1741" dataCellStyle="Vírgula"/>
    <tableColumn id="16" xr3:uid="{7E5A431E-0613-4200-B8B0-A06F9AE9C73B}" name="C. UNIT3" dataDxfId="1740" dataCellStyle="Vírgula"/>
    <tableColumn id="17" xr3:uid="{A7906D11-7642-4071-9190-CC900CD6471F}" name="C. TOTAL3" dataDxfId="1739" dataCellStyle="Vírgula">
      <calculatedColumnFormula>AR11*AS11</calculatedColumnFormula>
    </tableColumn>
    <tableColumn id="18" xr3:uid="{D722B011-AB46-47DE-9322-FDAE537F9EDF}" name="Nº4" dataDxfId="1738"/>
    <tableColumn id="19" xr3:uid="{C766516F-7266-4AF6-931D-F62C43A10B53}" name="QUANT.4" dataDxfId="1737" dataCellStyle="Vírgula"/>
    <tableColumn id="20" xr3:uid="{DF4EEBEE-FC2C-42F0-8BB5-01FB3244598E}" name="C. UNIT4" dataDxfId="1736" dataCellStyle="Vírgula"/>
    <tableColumn id="21" xr3:uid="{38EC1416-9412-49CD-A598-DD7310D7773E}" name="C. TOTAL4" dataDxfId="1735" dataCellStyle="Vírgula">
      <calculatedColumnFormula>AV11*AW11</calculatedColumnFormula>
    </tableColumn>
    <tableColumn id="22" xr3:uid="{7FFEE200-6744-4E8A-8CBD-CECAD13A62F7}" name="Nº5" dataDxfId="1734"/>
    <tableColumn id="23" xr3:uid="{1E9F8735-A3D4-4FB6-83C4-332770970804}" name="QUANT.5" dataDxfId="1733" dataCellStyle="Vírgula"/>
    <tableColumn id="24" xr3:uid="{4E3B182D-18BC-4B8E-96BF-C1531732339A}" name="C. UNIT5" dataDxfId="1732" dataCellStyle="Vírgula"/>
    <tableColumn id="25" xr3:uid="{31CA9C0F-896A-40CD-BF50-A942A774519A}" name="C. TOTAL5" dataDxfId="1731" dataCellStyle="Vírgula">
      <calculatedColumnFormula>AZ11*BA11</calculatedColumnFormula>
    </tableColumn>
    <tableColumn id="26" xr3:uid="{BCF678F9-088C-48D1-AC68-697CFCA1B4C9}" name="Nº6" dataDxfId="1730"/>
    <tableColumn id="27" xr3:uid="{24CABBC4-37B0-40C4-9446-E51455459ABB}" name="QUANT.6" dataDxfId="1729" dataCellStyle="Vírgula"/>
    <tableColumn id="28" xr3:uid="{BB357095-3DE4-41E7-A6E7-D7FD19C126C6}" name="C. UNIT6" dataDxfId="1728" dataCellStyle="Vírgula"/>
    <tableColumn id="29" xr3:uid="{F5EE7632-7607-453D-8006-D4DDCB2978A5}" name="C. TOTAL6" dataDxfId="1727" dataCellStyle="Vírgula">
      <calculatedColumnFormula>BD11*BE11</calculatedColumnFormula>
    </tableColumn>
    <tableColumn id="30" xr3:uid="{0C84135E-89A7-4046-973D-D45FF84D35FF}" name="Nº7" dataDxfId="1726"/>
    <tableColumn id="31" xr3:uid="{12FCF5F9-E73E-46A1-B350-585F0DECC81D}" name="QUANT.7" dataDxfId="1725" dataCellStyle="Vírgula"/>
    <tableColumn id="32" xr3:uid="{AD66F2B2-75D6-471B-B6F4-F23C4422A156}" name="C. UNIT7" dataDxfId="1724" dataCellStyle="Vírgula"/>
    <tableColumn id="33" xr3:uid="{B4AECF2B-A4D2-4B98-846F-B1ABC666E3E5}" name="C. TOTAL7" dataDxfId="1723" dataCellStyle="Vírgula">
      <calculatedColumnFormula>BH11*BI11</calculatedColumnFormula>
    </tableColumn>
    <tableColumn id="34" xr3:uid="{C9FF9861-3EAC-419A-A978-5872603EDE07}" name="Nº8" dataDxfId="1722"/>
    <tableColumn id="35" xr3:uid="{9A9E07B8-2072-4D4D-8C67-182B68174FA6}" name="QUANT.8" dataDxfId="1721" dataCellStyle="Vírgula"/>
    <tableColumn id="36" xr3:uid="{B67EC839-949F-494A-8C88-125FC857431B}" name="C. UNIT8" dataDxfId="1720" dataCellStyle="Vírgula"/>
    <tableColumn id="37" xr3:uid="{DAFB729A-D9E9-4DD4-BBCA-0938D3F9BADA}" name="C. TOTAL8" dataDxfId="1719" dataCellStyle="Vírgula">
      <calculatedColumnFormula>BL11*BM11</calculatedColumnFormula>
    </tableColumn>
    <tableColumn id="38" xr3:uid="{F0CDD6E2-9B08-41E4-A8AC-CBA245ACE8CD}" name="Nº9" dataDxfId="1718"/>
    <tableColumn id="39" xr3:uid="{CECCC895-8CE0-45A1-A297-A919FB50EC6B}" name="QUANT.9" dataDxfId="1717" dataCellStyle="Vírgula"/>
    <tableColumn id="40" xr3:uid="{FA5B6D78-6B30-4D2F-BED3-2139FF6993A0}" name="C. UNIT9" dataDxfId="1716" dataCellStyle="Vírgula"/>
    <tableColumn id="41" xr3:uid="{E1A7FC5F-2064-447D-AC00-C283FD6257C8}" name="C. TOTAL9" dataDxfId="1715" dataCellStyle="Vírgula">
      <calculatedColumnFormula>BP11*BQ11</calculatedColumnFormula>
    </tableColumn>
    <tableColumn id="42" xr3:uid="{7974271E-A3B7-457F-AF9A-62331853CC38}" name="Nº10" dataDxfId="1714"/>
    <tableColumn id="43" xr3:uid="{0183593A-A85A-46B4-B44F-8A3AEADF5D62}" name="QUANT.10" dataDxfId="1713" dataCellStyle="Vírgula"/>
    <tableColumn id="44" xr3:uid="{97668E66-8E15-44AF-8A4F-C60E4B192304}" name="C. UNIT10" dataDxfId="1712" dataCellStyle="Vírgula"/>
    <tableColumn id="45" xr3:uid="{F875EA25-BBDB-405F-9B64-59453CDE17B2}" name="C. TOTAL10" dataDxfId="1711" dataCellStyle="Vírgula">
      <calculatedColumnFormula>BT11*BU11</calculatedColumnFormula>
    </tableColumn>
    <tableColumn id="46" xr3:uid="{49380228-B0AA-4F46-A4B1-711CEB351F44}" name="Nº11" dataDxfId="1710"/>
    <tableColumn id="47" xr3:uid="{FAEDDE23-208C-490F-8CDC-AD7B5DCF7FE5}" name="QUANT.11" dataDxfId="1709" dataCellStyle="Vírgula"/>
    <tableColumn id="48" xr3:uid="{AFCF3DD2-6F5B-4B7B-9239-37CCC6DCC880}" name="C. UNIT11" dataDxfId="1708" dataCellStyle="Vírgula"/>
    <tableColumn id="49" xr3:uid="{0BB32FB7-B4E1-4B8F-9DC3-82ACC8AA6E8E}" name="C. TOTAL11" dataDxfId="1707" dataCellStyle="Vírgula">
      <calculatedColumnFormula>BX11*BY11</calculatedColumnFormula>
    </tableColumn>
    <tableColumn id="50" xr3:uid="{7A3131A3-EC51-41A4-902A-552BC43527C5}" name="Nº12" dataDxfId="1706"/>
    <tableColumn id="51" xr3:uid="{52919AB7-4787-4467-B86D-A00941776A26}" name="QUANT.12" dataDxfId="1705" dataCellStyle="Vírgula"/>
    <tableColumn id="52" xr3:uid="{A7B99238-B195-43C4-936D-DDB48E18FD8C}" name="C. UNIT12" dataDxfId="1704" dataCellStyle="Vírgula"/>
    <tableColumn id="53" xr3:uid="{B2278BA9-8753-4B76-B417-A53B7CB8A995}" name="C. TOTAL12" dataDxfId="1703" dataCellStyle="Vírgula">
      <calculatedColumnFormula>CB11*CC11</calculatedColumnFormula>
    </tableColumn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FBB21169-2022-45E7-B6C4-742CD135B63B}" name="CPU_5961" displayName="CPU_5961" ref="B10:K62" totalsRowShown="0" headerRowDxfId="1702" tableBorderDxfId="1701">
  <autoFilter ref="B10:K62" xr:uid="{00000000-0009-0000-0100-000020000000}"/>
  <tableColumns count="10">
    <tableColumn id="1" xr3:uid="{E858FFE3-7D0A-42BE-A469-D5D6C77883D7}" name="CODIGO" dataDxfId="1700"/>
    <tableColumn id="8" xr3:uid="{3F9AEF3A-D339-4A53-A852-B0D37FA23D08}" name="SERVIÇO" dataDxfId="1699">
      <calculatedColumnFormula>$A$3</calculatedColumnFormula>
    </tableColumn>
    <tableColumn id="9" xr3:uid="{1DE63567-CC6B-42DA-BA26-E7131E9066B3}" name="PRODUÇÃO" dataDxfId="1698">
      <calculatedColumnFormula>$B$6</calculatedColumnFormula>
    </tableColumn>
    <tableColumn id="10" xr3:uid="{83F7CA2B-C648-4CE9-9FD0-5B7321E50CD4}" name="QTDE_TOTAL" dataDxfId="1697">
      <calculatedColumnFormula>$B$7</calculatedColumnFormula>
    </tableColumn>
    <tableColumn id="2" xr3:uid="{906FA204-5034-43DE-AB0F-4994CEF30DBC}" name="DESCRIÇÃO" dataDxfId="1696"/>
    <tableColumn id="3" xr3:uid="{2ED74024-186E-4E06-8AAC-90971F2904AC}" name="UNID" dataDxfId="1695">
      <calculatedColumnFormula>IFERROR(VLOOKUP(F11,Tabela7[[RECURSO]:[CUSTO]],2,FALSE),"")</calculatedColumnFormula>
    </tableColumn>
    <tableColumn id="7" xr3:uid="{6FE1BFDF-9641-4BAD-B7C0-5A1E439FDF7D}" name="Nº" dataDxfId="1694"/>
    <tableColumn id="4" xr3:uid="{D2D475A8-7C43-4F5E-8B44-0F8DE350F28A}" name="QUANT." dataDxfId="1693"/>
    <tableColumn id="5" xr3:uid="{8BE158D1-162C-4BC6-9B1B-8C0682F4DEA5}" name="C. UNIT" dataDxfId="1692" dataCellStyle="Vírgula">
      <calculatedColumnFormula>IFERROR(VLOOKUP(F11,Tabela7[[RECURSO]:[CUSTO]],3,FALSE),0)</calculatedColumnFormula>
    </tableColumn>
    <tableColumn id="6" xr3:uid="{CD47F6D5-F3EC-4933-AD40-B4814F350067}" name="C. TOTAL" dataDxfId="1691" dataCellStyle="Vírgula">
      <calculatedColumnFormula>IFERROR(VLOOKUP(G11,Tabela7[[RECURSO]:[CUSTO]],3),0)</calculatedColumnFormula>
    </tableColumn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2D639040-688E-4153-92A1-38D6B7E9A9C4}" name="Realizado66062" displayName="Realizado66062" ref="AD10:CD62" totalsRowShown="0" headerRowDxfId="1690">
  <autoFilter ref="AD10:CD62" xr:uid="{00000000-0009-0000-0100-000006000000}"/>
  <tableColumns count="53">
    <tableColumn id="1" xr3:uid="{093B78A0-C8A7-4ADB-9229-77A7534BE26E}" name="serviço" dataDxfId="1689">
      <calculatedColumnFormula>$B$3</calculatedColumnFormula>
    </tableColumn>
    <tableColumn id="2" xr3:uid="{89A3B0B4-45C0-4A0E-89E1-D339D145BED1}" name="Nº" dataDxfId="1688"/>
    <tableColumn id="3" xr3:uid="{44BFE7DD-106B-40CE-868D-E12A56549C0F}" name="QUANT." dataDxfId="1687" dataCellStyle="Vírgula">
      <calculatedColumnFormula>AJ11+AN11+AR11+AV11+AZ11+BD11+BH11+BL11+BP11+BT11+BX11+CB11</calculatedColumnFormula>
    </tableColumn>
    <tableColumn id="4" xr3:uid="{321EE685-EC77-4C2C-AFA2-3F81BEF9D26D}" name="C. UNIT" dataDxfId="1686" dataCellStyle="Vírgula">
      <calculatedColumnFormula>IFERROR(AH11/AF11,0)</calculatedColumnFormula>
    </tableColumn>
    <tableColumn id="5" xr3:uid="{2DBFE8F3-FB90-4B79-8942-9767C449CC70}" name="C. TOTAL" dataDxfId="1685" dataCellStyle="Vírgula">
      <calculatedColumnFormula>AL11+AP11+AT11+AX11+BB11+BF11+BJ11+BN11+BR11+BV11+BZ11+CD11</calculatedColumnFormula>
    </tableColumn>
    <tableColumn id="6" xr3:uid="{4B6538F9-5075-4090-9486-470B7E6EA15F}" name="Nº1" dataDxfId="1684"/>
    <tableColumn id="7" xr3:uid="{1602694D-CB34-437E-A247-F4F392F7BE5B}" name="QUANT.1" dataDxfId="1683" dataCellStyle="Vírgula"/>
    <tableColumn id="8" xr3:uid="{4D61F3F8-DC88-4521-B31C-40F284B5E942}" name="C. UNIT1" dataDxfId="1682" dataCellStyle="Vírgula"/>
    <tableColumn id="9" xr3:uid="{1A537D8C-13FB-47CF-B258-C0607FCBB0CB}" name="C. TOTAL1" dataDxfId="1681" dataCellStyle="Vírgula">
      <calculatedColumnFormula>AJ11*AK11</calculatedColumnFormula>
    </tableColumn>
    <tableColumn id="10" xr3:uid="{5C46745C-7FDF-4876-A528-EE069B80EFB6}" name="Nº2" dataDxfId="1680"/>
    <tableColumn id="11" xr3:uid="{17DE0D2D-0174-446E-831D-CF46F7EB67B1}" name="QUANT.2" dataDxfId="1679" dataCellStyle="Vírgula"/>
    <tableColumn id="12" xr3:uid="{781D0CAC-E36E-4763-AFE5-0FCC04E12C57}" name="C. UNIT2" dataDxfId="1678" dataCellStyle="Vírgula"/>
    <tableColumn id="13" xr3:uid="{1BC03F46-DA5D-4423-9425-D65E5A66EC26}" name="C. TOTAL2" dataDxfId="1677" dataCellStyle="Vírgula">
      <calculatedColumnFormula>AN11*AO11</calculatedColumnFormula>
    </tableColumn>
    <tableColumn id="14" xr3:uid="{9849FC20-27C4-4861-8D38-8258AD7C0EBE}" name="Nº3" dataDxfId="1676"/>
    <tableColumn id="15" xr3:uid="{F25382EC-3A93-477E-B508-425E32A84DCA}" name="QUANT.3" dataDxfId="1675" dataCellStyle="Vírgula"/>
    <tableColumn id="16" xr3:uid="{5A04920C-FC58-4E7F-A3A0-486761352C84}" name="C. UNIT3" dataDxfId="1674" dataCellStyle="Vírgula"/>
    <tableColumn id="17" xr3:uid="{C4D8CB91-0E0D-4FE4-A5FB-22033D043FDC}" name="C. TOTAL3" dataDxfId="1673" dataCellStyle="Vírgula">
      <calculatedColumnFormula>AR11*AS11</calculatedColumnFormula>
    </tableColumn>
    <tableColumn id="18" xr3:uid="{C43DBDBE-C086-484C-B2C1-05BAE5B64733}" name="Nº4" dataDxfId="1672"/>
    <tableColumn id="19" xr3:uid="{D0B0ECF5-A122-44E0-B948-7951B08E3869}" name="QUANT.4" dataDxfId="1671" dataCellStyle="Vírgula"/>
    <tableColumn id="20" xr3:uid="{14EBC83E-66FC-4841-8E75-8B3A6999A1F8}" name="C. UNIT4" dataDxfId="1670" dataCellStyle="Vírgula"/>
    <tableColumn id="21" xr3:uid="{F3DFC469-A442-464D-8D85-746FE110B5A3}" name="C. TOTAL4" dataDxfId="1669" dataCellStyle="Vírgula">
      <calculatedColumnFormula>AV11*AW11</calculatedColumnFormula>
    </tableColumn>
    <tableColumn id="22" xr3:uid="{95BF7CCD-0BE7-481B-81AD-4870394ACB4C}" name="Nº5" dataDxfId="1668"/>
    <tableColumn id="23" xr3:uid="{33E53599-5E74-49C9-BAE2-FBAA8BDA4718}" name="QUANT.5" dataDxfId="1667" dataCellStyle="Vírgula"/>
    <tableColumn id="24" xr3:uid="{993217FB-6781-49FA-8779-4657F9376583}" name="C. UNIT5" dataDxfId="1666" dataCellStyle="Vírgula"/>
    <tableColumn id="25" xr3:uid="{092BCA95-CDD7-41A8-AC71-835930D9DA3B}" name="C. TOTAL5" dataDxfId="1665" dataCellStyle="Vírgula">
      <calculatedColumnFormula>AZ11*BA11</calculatedColumnFormula>
    </tableColumn>
    <tableColumn id="26" xr3:uid="{283F0A16-9754-430A-B68C-345A8E69E59E}" name="Nº6" dataDxfId="1664"/>
    <tableColumn id="27" xr3:uid="{2499EE3A-B313-4E13-9E26-D700DBE1ECE0}" name="QUANT.6" dataDxfId="1663" dataCellStyle="Vírgula"/>
    <tableColumn id="28" xr3:uid="{9E15E3A2-BA85-4FA9-B8D4-06D48E9181B1}" name="C. UNIT6" dataDxfId="1662" dataCellStyle="Vírgula"/>
    <tableColumn id="29" xr3:uid="{0C47BB6C-2D3A-4336-A766-45AAAD71128E}" name="C. TOTAL6" dataDxfId="1661" dataCellStyle="Vírgula">
      <calculatedColumnFormula>BD11*BE11</calculatedColumnFormula>
    </tableColumn>
    <tableColumn id="30" xr3:uid="{63C4D815-6E03-4D53-9295-363141B0478A}" name="Nº7" dataDxfId="1660"/>
    <tableColumn id="31" xr3:uid="{D235C912-7A8C-4B8F-9ADB-77401966D321}" name="QUANT.7" dataDxfId="1659" dataCellStyle="Vírgula"/>
    <tableColumn id="32" xr3:uid="{A8588D5F-D1B5-4C2C-8633-B90CB47353B3}" name="C. UNIT7" dataDxfId="1658" dataCellStyle="Vírgula"/>
    <tableColumn id="33" xr3:uid="{1EC4D4EE-B0AA-40FE-AAC4-0FE63A569D93}" name="C. TOTAL7" dataDxfId="1657" dataCellStyle="Vírgula">
      <calculatedColumnFormula>BH11*BI11</calculatedColumnFormula>
    </tableColumn>
    <tableColumn id="34" xr3:uid="{5A256783-C3D9-41DC-AF50-DA14B53CD294}" name="Nº8" dataDxfId="1656"/>
    <tableColumn id="35" xr3:uid="{79A8F239-2B18-4521-93CA-E75377CBBB3E}" name="QUANT.8" dataDxfId="1655" dataCellStyle="Vírgula"/>
    <tableColumn id="36" xr3:uid="{6D09320C-DD83-4FF4-AE0D-262732EE2F80}" name="C. UNIT8" dataDxfId="1654" dataCellStyle="Vírgula"/>
    <tableColumn id="37" xr3:uid="{E3E33E59-1756-4F62-BC31-B864F785E4F7}" name="C. TOTAL8" dataDxfId="1653" dataCellStyle="Vírgula">
      <calculatedColumnFormula>BL11*BM11</calculatedColumnFormula>
    </tableColumn>
    <tableColumn id="38" xr3:uid="{D360D485-A694-42DA-ACEA-05BD9F07DB6F}" name="Nº9" dataDxfId="1652"/>
    <tableColumn id="39" xr3:uid="{50D52FD8-5698-40F5-B3E5-4BAB10E021B1}" name="QUANT.9" dataDxfId="1651" dataCellStyle="Vírgula"/>
    <tableColumn id="40" xr3:uid="{FCEF4FC0-944F-4131-AED0-A6BA6CD6FBA2}" name="C. UNIT9" dataDxfId="1650" dataCellStyle="Vírgula"/>
    <tableColumn id="41" xr3:uid="{421DD342-3F22-4245-AF8B-A9CC76F0C62D}" name="C. TOTAL9" dataDxfId="1649" dataCellStyle="Vírgula">
      <calculatedColumnFormula>BP11*BQ11</calculatedColumnFormula>
    </tableColumn>
    <tableColumn id="42" xr3:uid="{2B97C18B-B323-4B54-AD09-70C08C9D7FE7}" name="Nº10" dataDxfId="1648"/>
    <tableColumn id="43" xr3:uid="{1855F748-CCCA-4003-BE7B-AF0C382B4300}" name="QUANT.10" dataDxfId="1647" dataCellStyle="Vírgula"/>
    <tableColumn id="44" xr3:uid="{51F360F1-F4EF-4675-A730-77339848D46A}" name="C. UNIT10" dataDxfId="1646" dataCellStyle="Vírgula"/>
    <tableColumn id="45" xr3:uid="{6D5740CE-C4FB-4072-8EB1-DA75E67E5958}" name="C. TOTAL10" dataDxfId="1645" dataCellStyle="Vírgula">
      <calculatedColumnFormula>BT11*BU11</calculatedColumnFormula>
    </tableColumn>
    <tableColumn id="46" xr3:uid="{C07810EE-6209-4E9B-B121-A3C1C008C222}" name="Nº11" dataDxfId="1644"/>
    <tableColumn id="47" xr3:uid="{E6688806-19C2-4856-92DB-8B187EE26500}" name="QUANT.11" dataDxfId="1643" dataCellStyle="Vírgula"/>
    <tableColumn id="48" xr3:uid="{9B5C8D11-2F7E-4EAC-8F4A-E7A3FFD715EA}" name="C. UNIT11" dataDxfId="1642" dataCellStyle="Vírgula"/>
    <tableColumn id="49" xr3:uid="{669C0CE9-80B7-44EC-8354-8884C3E5B3F6}" name="C. TOTAL11" dataDxfId="1641" dataCellStyle="Vírgula">
      <calculatedColumnFormula>BX11*BY11</calculatedColumnFormula>
    </tableColumn>
    <tableColumn id="50" xr3:uid="{B089A9F5-FD23-415B-B07F-16A2654D3BA6}" name="Nº12" dataDxfId="1640"/>
    <tableColumn id="51" xr3:uid="{72204894-9C0B-4A4C-AF5C-4E701268072E}" name="QUANT.12" dataDxfId="1639" dataCellStyle="Vírgula"/>
    <tableColumn id="52" xr3:uid="{FB48F0C2-DA9C-4816-AAD5-0F8045B473C0}" name="C. UNIT12" dataDxfId="1638" dataCellStyle="Vírgula"/>
    <tableColumn id="53" xr3:uid="{DD612D71-8943-4C0C-B3C7-1C7CE22D54FD}" name="C. TOTAL12" dataDxfId="1637" dataCellStyle="Vírgula">
      <calculatedColumnFormula>CB11*CC11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C735E4F6-8F7D-4931-957F-6EFBBF400F12}" name="CPU_59" displayName="CPU_59" ref="B10:K62" totalsRowShown="0" headerRowDxfId="1636" tableBorderDxfId="1635">
  <autoFilter ref="B10:K62" xr:uid="{00000000-0009-0000-0100-000020000000}"/>
  <tableColumns count="10">
    <tableColumn id="1" xr3:uid="{B5879CD4-DA65-457E-A127-104280738303}" name="CODIGO" dataDxfId="1634"/>
    <tableColumn id="8" xr3:uid="{2C497C4E-ACA8-461B-B929-D7FF6BBEC676}" name="SERVIÇO" dataDxfId="1633">
      <calculatedColumnFormula>$A$3</calculatedColumnFormula>
    </tableColumn>
    <tableColumn id="9" xr3:uid="{FF2EC1F2-62F2-444D-9C92-7039ACCFA54E}" name="PRODUÇÃO" dataDxfId="1632">
      <calculatedColumnFormula>$B$6</calculatedColumnFormula>
    </tableColumn>
    <tableColumn id="10" xr3:uid="{E80A5525-E4DE-4B99-832F-60B30D9BB31E}" name="QTDE_TOTAL" dataDxfId="1631">
      <calculatedColumnFormula>$B$7</calculatedColumnFormula>
    </tableColumn>
    <tableColumn id="2" xr3:uid="{77746E65-B32C-47EE-8112-A888AC238279}" name="DESCRIÇÃO" dataDxfId="1630"/>
    <tableColumn id="3" xr3:uid="{68D73E0E-0C08-4CB1-A9F4-A065380ADA39}" name="UNID" dataDxfId="1629">
      <calculatedColumnFormula>IFERROR(VLOOKUP(F11,Tabela7[[RECURSO]:[CUSTO]],2,FALSE),"")</calculatedColumnFormula>
    </tableColumn>
    <tableColumn id="7" xr3:uid="{953FDAF5-8A3C-472C-A575-9625DE111A33}" name="Nº" dataDxfId="1628"/>
    <tableColumn id="4" xr3:uid="{28225F6A-1DDE-43D2-AA25-87FE26F4AE52}" name="QUANT." dataDxfId="1627"/>
    <tableColumn id="5" xr3:uid="{50B3A9AA-DF37-4A42-93AD-E5971E0F1171}" name="C. UNIT" dataDxfId="1626" dataCellStyle="Vírgula">
      <calculatedColumnFormula>IFERROR(VLOOKUP(F11,Tabela7[[RECURSO]:[CUSTO]],3,FALSE),0)</calculatedColumnFormula>
    </tableColumn>
    <tableColumn id="6" xr3:uid="{E3EF62DD-C8F5-486E-8558-7509541959D1}" name="C. TOTAL" dataDxfId="1625" dataCellStyle="Vírgula">
      <calculatedColumnFormula>IFERROR(VLOOKUP(G11,Tabela7[[RECURSO]:[CUSTO]],3),0)</calculatedColumnFormula>
    </tableColumn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B4F1EB1-6E1B-41A7-87D2-F7469839ACC6}" name="Realizado660" displayName="Realizado660" ref="AD10:CD62" totalsRowShown="0" headerRowDxfId="1624">
  <autoFilter ref="AD10:CD62" xr:uid="{00000000-0009-0000-0100-000006000000}"/>
  <tableColumns count="53">
    <tableColumn id="1" xr3:uid="{F70A3C5F-CE7F-4C9B-BD2B-B3EEF4F734D8}" name="serviço" dataDxfId="1623">
      <calculatedColumnFormula>$B$3</calculatedColumnFormula>
    </tableColumn>
    <tableColumn id="2" xr3:uid="{36DF5B71-0CD9-4E0E-BA0E-729BE4690998}" name="Nº" dataDxfId="1622"/>
    <tableColumn id="3" xr3:uid="{8A722E8F-6A68-4965-9F1E-470040BCBF5A}" name="QUANT." dataDxfId="1621" dataCellStyle="Vírgula">
      <calculatedColumnFormula>AJ11+AN11+AR11+AV11+AZ11+BD11+BH11+BL11+BP11+BT11+BX11+CB11</calculatedColumnFormula>
    </tableColumn>
    <tableColumn id="4" xr3:uid="{753EEB6C-DB5F-474A-A710-7B9AAA8B87FC}" name="C. UNIT" dataDxfId="1620" dataCellStyle="Vírgula">
      <calculatedColumnFormula>IFERROR(AH11/AF11,0)</calculatedColumnFormula>
    </tableColumn>
    <tableColumn id="5" xr3:uid="{EF3E90C3-4D0E-4BFA-8B1E-2D4C7DE559BB}" name="C. TOTAL" dataDxfId="1619" dataCellStyle="Vírgula">
      <calculatedColumnFormula>AL11+AP11+AT11+AX11+BB11+BF11+BJ11+BN11+BR11+BV11+BZ11+CD11</calculatedColumnFormula>
    </tableColumn>
    <tableColumn id="6" xr3:uid="{C0FE6246-9BC9-423D-85D0-E9D977A61862}" name="Nº1" dataDxfId="1618"/>
    <tableColumn id="7" xr3:uid="{EF8E4DAE-A10E-4962-9613-46885F013862}" name="QUANT.1" dataDxfId="1617" dataCellStyle="Vírgula"/>
    <tableColumn id="8" xr3:uid="{8B13C99E-B26F-4CB7-88F1-B8A7F6E8640B}" name="C. UNIT1" dataDxfId="1616" dataCellStyle="Vírgula"/>
    <tableColumn id="9" xr3:uid="{C81A421F-0B99-4BD4-A9CA-D1B9FE2AF4D2}" name="C. TOTAL1" dataDxfId="1615" dataCellStyle="Vírgula">
      <calculatedColumnFormula>AJ11*AK11</calculatedColumnFormula>
    </tableColumn>
    <tableColumn id="10" xr3:uid="{F1DD2FC6-4CD9-42D4-9508-31CB1CFE1B2F}" name="Nº2" dataDxfId="1614"/>
    <tableColumn id="11" xr3:uid="{5FC1CCF7-9DFB-4C65-955D-442EBBB46B33}" name="QUANT.2" dataDxfId="1613" dataCellStyle="Vírgula"/>
    <tableColumn id="12" xr3:uid="{A4625980-3527-47F9-97FB-48BE8ED7A140}" name="C. UNIT2" dataDxfId="1612" dataCellStyle="Vírgula"/>
    <tableColumn id="13" xr3:uid="{DA9687EB-28C7-4FB5-86B6-16D708712716}" name="C. TOTAL2" dataDxfId="1611" dataCellStyle="Vírgula">
      <calculatedColumnFormula>AN11*AO11</calculatedColumnFormula>
    </tableColumn>
    <tableColumn id="14" xr3:uid="{155F0763-5A44-4F2A-93EF-D0600BA7A299}" name="Nº3" dataDxfId="1610"/>
    <tableColumn id="15" xr3:uid="{1FF3EB25-66D1-4576-A5DA-95F58F6E053C}" name="QUANT.3" dataDxfId="1609" dataCellStyle="Vírgula"/>
    <tableColumn id="16" xr3:uid="{9FD9C13E-77D3-45E3-8A4C-93256E284DCD}" name="C. UNIT3" dataDxfId="1608" dataCellStyle="Vírgula"/>
    <tableColumn id="17" xr3:uid="{F18AC629-AC66-4428-B9A6-552DB5D14596}" name="C. TOTAL3" dataDxfId="1607" dataCellStyle="Vírgula">
      <calculatedColumnFormula>AR11*AS11</calculatedColumnFormula>
    </tableColumn>
    <tableColumn id="18" xr3:uid="{0B4C4070-7717-4BEA-B91A-D444F3FB1290}" name="Nº4" dataDxfId="1606"/>
    <tableColumn id="19" xr3:uid="{F8F2FD4F-C399-4FFF-9384-2C0B81AD1B9A}" name="QUANT.4" dataDxfId="1605" dataCellStyle="Vírgula"/>
    <tableColumn id="20" xr3:uid="{9B5D9D22-F557-4EBE-BA86-B94688836AF9}" name="C. UNIT4" dataDxfId="1604" dataCellStyle="Vírgula"/>
    <tableColumn id="21" xr3:uid="{201A6BFD-0123-47F4-9BA2-896CC43FCAF0}" name="C. TOTAL4" dataDxfId="1603" dataCellStyle="Vírgula">
      <calculatedColumnFormula>AV11*AW11</calculatedColumnFormula>
    </tableColumn>
    <tableColumn id="22" xr3:uid="{68AE2CFC-2DF6-436F-9CA7-B5F4E8641479}" name="Nº5" dataDxfId="1602"/>
    <tableColumn id="23" xr3:uid="{CCE8D9D0-FC80-4626-AB99-000D808676D8}" name="QUANT.5" dataDxfId="1601" dataCellStyle="Vírgula"/>
    <tableColumn id="24" xr3:uid="{BC5D34A7-D5A8-432F-A70F-00343CF30E6D}" name="C. UNIT5" dataDxfId="1600" dataCellStyle="Vírgula"/>
    <tableColumn id="25" xr3:uid="{2C49837C-8ECC-423E-9DC1-32096C984C8C}" name="C. TOTAL5" dataDxfId="1599" dataCellStyle="Vírgula">
      <calculatedColumnFormula>AZ11*BA11</calculatedColumnFormula>
    </tableColumn>
    <tableColumn id="26" xr3:uid="{D3226FC3-4CB9-4432-A919-6E773B37B3D7}" name="Nº6" dataDxfId="1598"/>
    <tableColumn id="27" xr3:uid="{A2974069-BAE1-4EA0-94CA-E26EE5E18E8D}" name="QUANT.6" dataDxfId="1597" dataCellStyle="Vírgula"/>
    <tableColumn id="28" xr3:uid="{336B3BE3-1038-461E-B532-D60208341D5E}" name="C. UNIT6" dataDxfId="1596" dataCellStyle="Vírgula"/>
    <tableColumn id="29" xr3:uid="{8F5EC5DD-DF1A-405C-B010-5910A2FD0541}" name="C. TOTAL6" dataDxfId="1595" dataCellStyle="Vírgula">
      <calculatedColumnFormula>BD11*BE11</calculatedColumnFormula>
    </tableColumn>
    <tableColumn id="30" xr3:uid="{18FABF85-91B2-452F-9E60-DA0095F7A231}" name="Nº7" dataDxfId="1594"/>
    <tableColumn id="31" xr3:uid="{556289F2-5399-4FD2-B4AF-58376652EDE8}" name="QUANT.7" dataDxfId="1593" dataCellStyle="Vírgula"/>
    <tableColumn id="32" xr3:uid="{3E0DA59C-9477-4CCE-919C-8377C344724C}" name="C. UNIT7" dataDxfId="1592" dataCellStyle="Vírgula"/>
    <tableColumn id="33" xr3:uid="{AE6362CB-F81B-4C4C-9364-A7AD54AEF1E1}" name="C. TOTAL7" dataDxfId="1591" dataCellStyle="Vírgula">
      <calculatedColumnFormula>BH11*BI11</calculatedColumnFormula>
    </tableColumn>
    <tableColumn id="34" xr3:uid="{FE0D64B5-A9EF-4A2F-B414-1528AB5EBE96}" name="Nº8" dataDxfId="1590"/>
    <tableColumn id="35" xr3:uid="{9B7D8C88-3394-47F2-AA17-5E0680C19445}" name="QUANT.8" dataDxfId="1589" dataCellStyle="Vírgula"/>
    <tableColumn id="36" xr3:uid="{DB026F37-32CA-4477-897A-3091819E472D}" name="C. UNIT8" dataDxfId="1588" dataCellStyle="Vírgula"/>
    <tableColumn id="37" xr3:uid="{D745F230-5118-4FF1-933A-8798ACEADA3A}" name="C. TOTAL8" dataDxfId="1587" dataCellStyle="Vírgula">
      <calculatedColumnFormula>BL11*BM11</calculatedColumnFormula>
    </tableColumn>
    <tableColumn id="38" xr3:uid="{9B4D8A71-DDC3-49B2-95FF-FF879C56450B}" name="Nº9" dataDxfId="1586"/>
    <tableColumn id="39" xr3:uid="{23E4E829-065F-4F0D-AC92-91CADFAE24C4}" name="QUANT.9" dataDxfId="1585" dataCellStyle="Vírgula"/>
    <tableColumn id="40" xr3:uid="{CDA847E3-A4E8-4DAB-BC6D-755DCEAD3F81}" name="C. UNIT9" dataDxfId="1584" dataCellStyle="Vírgula"/>
    <tableColumn id="41" xr3:uid="{A0D0E0D6-FCC2-437B-9EB8-AA18626CD51D}" name="C. TOTAL9" dataDxfId="1583" dataCellStyle="Vírgula">
      <calculatedColumnFormula>BP11*BQ11</calculatedColumnFormula>
    </tableColumn>
    <tableColumn id="42" xr3:uid="{FEBBFCD7-0258-4CAA-B06C-5DD4DFAF170D}" name="Nº10" dataDxfId="1582"/>
    <tableColumn id="43" xr3:uid="{36B9642E-0350-4BF9-A215-99798ADBE3E6}" name="QUANT.10" dataDxfId="1581" dataCellStyle="Vírgula"/>
    <tableColumn id="44" xr3:uid="{16338578-B104-480B-BD44-A2BD9CDCE68D}" name="C. UNIT10" dataDxfId="1580" dataCellStyle="Vírgula"/>
    <tableColumn id="45" xr3:uid="{1FF5C5ED-3EED-4EE2-B8A0-A872D988C3BE}" name="C. TOTAL10" dataDxfId="1579" dataCellStyle="Vírgula">
      <calculatedColumnFormula>BT11*BU11</calculatedColumnFormula>
    </tableColumn>
    <tableColumn id="46" xr3:uid="{764545E0-C1DC-40DE-8A55-ED8A7BC781AB}" name="Nº11" dataDxfId="1578"/>
    <tableColumn id="47" xr3:uid="{5A690E54-E425-44C0-8061-76CAE2C8547E}" name="QUANT.11" dataDxfId="1577" dataCellStyle="Vírgula"/>
    <tableColumn id="48" xr3:uid="{5B69169D-E233-4FFB-B824-AAE028ECE75E}" name="C. UNIT11" dataDxfId="1576" dataCellStyle="Vírgula"/>
    <tableColumn id="49" xr3:uid="{E92FBA1A-9DA4-4320-A271-C97335CCF7A4}" name="C. TOTAL11" dataDxfId="1575" dataCellStyle="Vírgula">
      <calculatedColumnFormula>BX11*BY11</calculatedColumnFormula>
    </tableColumn>
    <tableColumn id="50" xr3:uid="{EDC91D7D-9D95-4CC9-A8EB-E1D2A3F2BF33}" name="Nº12" dataDxfId="1574"/>
    <tableColumn id="51" xr3:uid="{56CF1B61-4777-4FBF-A78F-C1F6278F7FB9}" name="QUANT.12" dataDxfId="1573" dataCellStyle="Vírgula"/>
    <tableColumn id="52" xr3:uid="{EEC258DD-AFE1-445E-BECF-AB6B8711462C}" name="C. UNIT12" dataDxfId="1572" dataCellStyle="Vírgula"/>
    <tableColumn id="53" xr3:uid="{96ABEDE4-5A55-464C-9A95-CA9829A3E0F9}" name="C. TOTAL12" dataDxfId="1571" dataCellStyle="Vírgula">
      <calculatedColumnFormula>CB11*CC11</calculatedColumnFormula>
    </tableColumn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846C5523-8F9E-415D-85A5-1861C3E6BAA6}" name="CPU_57" displayName="CPU_57" ref="B10:K62" totalsRowShown="0" headerRowDxfId="1570" tableBorderDxfId="1569">
  <autoFilter ref="B10:K62" xr:uid="{00000000-0009-0000-0100-000020000000}"/>
  <tableColumns count="10">
    <tableColumn id="1" xr3:uid="{3CA26A5A-3B15-4298-AB0E-B7AE25059AD4}" name="CODIGO" dataDxfId="1568"/>
    <tableColumn id="8" xr3:uid="{20B1E549-AB0D-4565-96F6-1D9246AB0B47}" name="SERVIÇO" dataDxfId="1567">
      <calculatedColumnFormula>$A$3</calculatedColumnFormula>
    </tableColumn>
    <tableColumn id="9" xr3:uid="{C3EF5E83-5846-40E8-992C-BD922D94F4A1}" name="PRODUÇÃO" dataDxfId="1566">
      <calculatedColumnFormula>$B$6</calculatedColumnFormula>
    </tableColumn>
    <tableColumn id="10" xr3:uid="{7341CE41-EA10-4AC1-947A-4C57C481FC63}" name="QTDE_TOTAL" dataDxfId="1565">
      <calculatedColumnFormula>$B$7</calculatedColumnFormula>
    </tableColumn>
    <tableColumn id="2" xr3:uid="{4DD78CE8-6601-4C68-BAA3-B941C0AE738A}" name="DESCRIÇÃO" dataDxfId="1564"/>
    <tableColumn id="3" xr3:uid="{87C9E2E2-809D-4DFF-AD5A-A66FCB954FF2}" name="UNID" dataDxfId="1563">
      <calculatedColumnFormula>IFERROR(VLOOKUP(F11,Tabela7[[RECURSO]:[CUSTO]],2,FALSE),"")</calculatedColumnFormula>
    </tableColumn>
    <tableColumn id="7" xr3:uid="{818B43F5-EE18-4034-9BF7-7F4665287E06}" name="Nº" dataDxfId="1562"/>
    <tableColumn id="4" xr3:uid="{EE23EEC9-8F1D-47E8-9EBD-0EB4E84DA6CA}" name="QUANT." dataDxfId="1561"/>
    <tableColumn id="5" xr3:uid="{544AF6A1-630B-4971-B1CD-25CFED422411}" name="C. UNIT" dataDxfId="1560" dataCellStyle="Vírgula">
      <calculatedColumnFormula>IFERROR(VLOOKUP(F11,Tabela7[[RECURSO]:[CUSTO]],3,FALSE),0)</calculatedColumnFormula>
    </tableColumn>
    <tableColumn id="6" xr3:uid="{4E5FAC1F-ACD4-4F56-BE41-B245C282603F}" name="C. TOTAL" dataDxfId="1559" dataCellStyle="Vírgula">
      <calculatedColumnFormula>IFERROR(VLOOKUP(G11,Tabela7[[RECURSO]:[CUSTO]],3),0)</calculatedColumnFormula>
    </tableColumn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1890B53E-3930-482C-91A9-5D28D9E85C38}" name="Realizado658" displayName="Realizado658" ref="AD10:CD62" totalsRowShown="0" headerRowDxfId="1558">
  <autoFilter ref="AD10:CD62" xr:uid="{00000000-0009-0000-0100-000006000000}"/>
  <tableColumns count="53">
    <tableColumn id="1" xr3:uid="{775412E9-468E-43A8-88E7-72132E5867F5}" name="serviço" dataDxfId="1557">
      <calculatedColumnFormula>$B$3</calculatedColumnFormula>
    </tableColumn>
    <tableColumn id="2" xr3:uid="{A6CB09CF-0E71-4F07-A937-E57E5AA495B3}" name="Nº" dataDxfId="1556"/>
    <tableColumn id="3" xr3:uid="{74C12714-CBC7-4F45-8918-390A7239D48B}" name="QUANT." dataDxfId="1555" dataCellStyle="Vírgula">
      <calculatedColumnFormula>AJ11+AN11+AR11+AV11+AZ11+BD11+BH11+BL11+BP11+BT11+BX11+CB11</calculatedColumnFormula>
    </tableColumn>
    <tableColumn id="4" xr3:uid="{DC8B1160-21BD-447D-88A4-1DFE7382E69A}" name="C. UNIT" dataDxfId="1554" dataCellStyle="Vírgula">
      <calculatedColumnFormula>IFERROR(AH11/AF11,0)</calculatedColumnFormula>
    </tableColumn>
    <tableColumn id="5" xr3:uid="{33392DA7-A301-4ABD-9062-A6DEB6739D7F}" name="C. TOTAL" dataDxfId="1553" dataCellStyle="Vírgula">
      <calculatedColumnFormula>AL11+AP11+AT11+AX11+BB11+BF11+BJ11+BN11+BR11+BV11+BZ11+CD11</calculatedColumnFormula>
    </tableColumn>
    <tableColumn id="6" xr3:uid="{127DD9F3-88B4-4F3F-8DF0-DDC27B434E2C}" name="Nº1" dataDxfId="1552"/>
    <tableColumn id="7" xr3:uid="{0DBF4B08-9CD6-43F9-B39B-83166B84DA3A}" name="QUANT.1" dataDxfId="1551" dataCellStyle="Vírgula"/>
    <tableColumn id="8" xr3:uid="{736CD671-B4DA-4278-AACF-176912211BCA}" name="C. UNIT1" dataDxfId="1550" dataCellStyle="Vírgula"/>
    <tableColumn id="9" xr3:uid="{A7E6C9F2-0D6E-4B9A-84AE-07624B4A535F}" name="C. TOTAL1" dataDxfId="1549" dataCellStyle="Vírgula">
      <calculatedColumnFormula>AJ11*AK11</calculatedColumnFormula>
    </tableColumn>
    <tableColumn id="10" xr3:uid="{6465C0DD-E24B-4B93-82DA-014F1F051372}" name="Nº2" dataDxfId="1548"/>
    <tableColumn id="11" xr3:uid="{39A0273C-A91B-4C6C-B16B-464F4D1104DC}" name="QUANT.2" dataDxfId="1547" dataCellStyle="Vírgula"/>
    <tableColumn id="12" xr3:uid="{D83AAAB7-FFA9-41D8-B66C-CF10DD844B65}" name="C. UNIT2" dataDxfId="1546" dataCellStyle="Vírgula"/>
    <tableColumn id="13" xr3:uid="{00C35127-4E74-43D3-A3D7-1609CCEA032E}" name="C. TOTAL2" dataDxfId="1545" dataCellStyle="Vírgula">
      <calculatedColumnFormula>AN11*AO11</calculatedColumnFormula>
    </tableColumn>
    <tableColumn id="14" xr3:uid="{2794AC24-2405-4888-8B85-98281D761E2A}" name="Nº3" dataDxfId="1544"/>
    <tableColumn id="15" xr3:uid="{7A18F672-DCD4-4000-B21A-1B518FE54169}" name="QUANT.3" dataDxfId="1543" dataCellStyle="Vírgula"/>
    <tableColumn id="16" xr3:uid="{7E1641C6-4CF9-4E7E-9442-D93BEA672661}" name="C. UNIT3" dataDxfId="1542" dataCellStyle="Vírgula"/>
    <tableColumn id="17" xr3:uid="{2DF4F7B1-7AE3-4B33-AF4E-35FB6C15693C}" name="C. TOTAL3" dataDxfId="1541" dataCellStyle="Vírgula">
      <calculatedColumnFormula>AR11*AS11</calculatedColumnFormula>
    </tableColumn>
    <tableColumn id="18" xr3:uid="{DF891635-8A1B-4ED8-99AB-F088A49E896E}" name="Nº4" dataDxfId="1540"/>
    <tableColumn id="19" xr3:uid="{6CC83C1B-9957-4DBD-8EA0-85329A14B3AF}" name="QUANT.4" dataDxfId="1539" dataCellStyle="Vírgula"/>
    <tableColumn id="20" xr3:uid="{6070D0EC-B5B5-4C01-9FEF-26B0A291EB0E}" name="C. UNIT4" dataDxfId="1538" dataCellStyle="Vírgula"/>
    <tableColumn id="21" xr3:uid="{4CF72FE8-A283-4821-9DBF-0327075FD6BD}" name="C. TOTAL4" dataDxfId="1537" dataCellStyle="Vírgula">
      <calculatedColumnFormula>AV11*AW11</calculatedColumnFormula>
    </tableColumn>
    <tableColumn id="22" xr3:uid="{1598CFDE-CF87-45D5-83A2-C68ABD23751C}" name="Nº5" dataDxfId="1536"/>
    <tableColumn id="23" xr3:uid="{F2A88717-207C-4939-A02C-F800585E4AF2}" name="QUANT.5" dataDxfId="1535" dataCellStyle="Vírgula"/>
    <tableColumn id="24" xr3:uid="{EA648519-96B9-4C92-B8A8-0DF61D0CEA59}" name="C. UNIT5" dataDxfId="1534" dataCellStyle="Vírgula"/>
    <tableColumn id="25" xr3:uid="{12C45CDE-0446-4C40-9950-02F1AB43A1C3}" name="C. TOTAL5" dataDxfId="1533" dataCellStyle="Vírgula">
      <calculatedColumnFormula>AZ11*BA11</calculatedColumnFormula>
    </tableColumn>
    <tableColumn id="26" xr3:uid="{436C6508-0CFF-4DED-A5D4-ECE30E71CC97}" name="Nº6" dataDxfId="1532"/>
    <tableColumn id="27" xr3:uid="{79B802A0-7BA9-494C-A0AE-4C11231C96E8}" name="QUANT.6" dataDxfId="1531" dataCellStyle="Vírgula"/>
    <tableColumn id="28" xr3:uid="{D6DF63B4-CF09-4A16-BCD2-A78F9312DA6B}" name="C. UNIT6" dataDxfId="1530" dataCellStyle="Vírgula"/>
    <tableColumn id="29" xr3:uid="{508EB743-CD43-4EE8-B381-71CFA03B42FF}" name="C. TOTAL6" dataDxfId="1529" dataCellStyle="Vírgula">
      <calculatedColumnFormula>BD11*BE11</calculatedColumnFormula>
    </tableColumn>
    <tableColumn id="30" xr3:uid="{225BE541-04CE-430E-846D-B85BF8D54790}" name="Nº7" dataDxfId="1528"/>
    <tableColumn id="31" xr3:uid="{4F70F3D1-1DB9-40E5-AA91-6D0B7C8F0BFB}" name="QUANT.7" dataDxfId="1527" dataCellStyle="Vírgula"/>
    <tableColumn id="32" xr3:uid="{B123F7EC-E1C7-4215-A833-033C8C627AAA}" name="C. UNIT7" dataDxfId="1526" dataCellStyle="Vírgula"/>
    <tableColumn id="33" xr3:uid="{7B5FFEEA-A343-42F9-B44F-C6DD55B64E65}" name="C. TOTAL7" dataDxfId="1525" dataCellStyle="Vírgula">
      <calculatedColumnFormula>BH11*BI11</calculatedColumnFormula>
    </tableColumn>
    <tableColumn id="34" xr3:uid="{A97D65DE-6F88-4CF6-A8EC-CB3FE387ACDC}" name="Nº8" dataDxfId="1524"/>
    <tableColumn id="35" xr3:uid="{654CDD79-BAF9-43F2-A578-F083AE3D1318}" name="QUANT.8" dataDxfId="1523" dataCellStyle="Vírgula"/>
    <tableColumn id="36" xr3:uid="{B86F7288-FF0C-437E-BCB6-ADA0398F55B1}" name="C. UNIT8" dataDxfId="1522" dataCellStyle="Vírgula"/>
    <tableColumn id="37" xr3:uid="{709EE685-A468-4DBC-B995-0FE068791D09}" name="C. TOTAL8" dataDxfId="1521" dataCellStyle="Vírgula">
      <calculatedColumnFormula>BL11*BM11</calculatedColumnFormula>
    </tableColumn>
    <tableColumn id="38" xr3:uid="{8651AB6A-89CB-4E74-A2EF-A7CC8861D4B3}" name="Nº9" dataDxfId="1520"/>
    <tableColumn id="39" xr3:uid="{E4AE4463-7138-4ECD-8466-840BE39E71BD}" name="QUANT.9" dataDxfId="1519" dataCellStyle="Vírgula"/>
    <tableColumn id="40" xr3:uid="{6134835D-77E8-4D9A-B95A-2390BD6177F8}" name="C. UNIT9" dataDxfId="1518" dataCellStyle="Vírgula"/>
    <tableColumn id="41" xr3:uid="{47D369A9-03E1-485A-93C0-F9AA8B096F91}" name="C. TOTAL9" dataDxfId="1517" dataCellStyle="Vírgula">
      <calculatedColumnFormula>BP11*BQ11</calculatedColumnFormula>
    </tableColumn>
    <tableColumn id="42" xr3:uid="{6A205224-071E-41C1-9BDF-5BCF01CB53E8}" name="Nº10" dataDxfId="1516"/>
    <tableColumn id="43" xr3:uid="{61D6236B-8DAC-4AC4-9249-C0D818642972}" name="QUANT.10" dataDxfId="1515" dataCellStyle="Vírgula"/>
    <tableColumn id="44" xr3:uid="{D53BF3DD-70D2-42BF-8054-BA93BAF66C10}" name="C. UNIT10" dataDxfId="1514" dataCellStyle="Vírgula"/>
    <tableColumn id="45" xr3:uid="{F9909FC5-3B1B-4481-9AF6-4D20281CA413}" name="C. TOTAL10" dataDxfId="1513" dataCellStyle="Vírgula">
      <calculatedColumnFormula>BT11*BU11</calculatedColumnFormula>
    </tableColumn>
    <tableColumn id="46" xr3:uid="{3B1D2990-7E1F-444A-9963-281D026C4CFC}" name="Nº11" dataDxfId="1512"/>
    <tableColumn id="47" xr3:uid="{AA9C6FB4-14C5-42E7-95E3-D9FED222CCE6}" name="QUANT.11" dataDxfId="1511" dataCellStyle="Vírgula"/>
    <tableColumn id="48" xr3:uid="{DAAD4E8D-E361-4726-9512-DC98BDE9A0F0}" name="C. UNIT11" dataDxfId="1510" dataCellStyle="Vírgula"/>
    <tableColumn id="49" xr3:uid="{C14030DF-D4F7-49E2-BB16-7F937DDD34D7}" name="C. TOTAL11" dataDxfId="1509" dataCellStyle="Vírgula">
      <calculatedColumnFormula>BX11*BY11</calculatedColumnFormula>
    </tableColumn>
    <tableColumn id="50" xr3:uid="{2211A2B0-444A-47AC-B00D-4330D2E02480}" name="Nº12" dataDxfId="1508"/>
    <tableColumn id="51" xr3:uid="{99299DC7-5E25-4ACA-AC77-F86326AD56B3}" name="QUANT.12" dataDxfId="1507" dataCellStyle="Vírgula"/>
    <tableColumn id="52" xr3:uid="{3C8E7A1C-2434-4177-8BFA-184B8434A377}" name="C. UNIT12" dataDxfId="1506" dataCellStyle="Vírgula"/>
    <tableColumn id="53" xr3:uid="{BFD3B9F4-F4F8-4756-9040-B2A514C7A0CB}" name="C. TOTAL12" dataDxfId="1505" dataCellStyle="Vírgula">
      <calculatedColumnFormula>CB11*CC11</calculatedColumnFormula>
    </tableColumn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F1C7531A-76CC-47E4-AE40-E7495DE85CC8}" name="CPU_51" displayName="CPU_51" ref="B10:K62" totalsRowShown="0" headerRowDxfId="1504" tableBorderDxfId="1503">
  <autoFilter ref="B10:K62" xr:uid="{00000000-0009-0000-0100-000020000000}"/>
  <tableColumns count="10">
    <tableColumn id="1" xr3:uid="{B63772DF-5986-47A9-81ED-BD131C3D0784}" name="CODIGO" dataDxfId="1502"/>
    <tableColumn id="8" xr3:uid="{57B7F2CF-1B8A-496B-84A6-1D8C6851A582}" name="SERVIÇO" dataDxfId="1501">
      <calculatedColumnFormula>$A$3</calculatedColumnFormula>
    </tableColumn>
    <tableColumn id="9" xr3:uid="{BCCEE2CA-DC6D-4BCD-AB51-90EBBE420F59}" name="PRODUÇÃO" dataDxfId="1500">
      <calculatedColumnFormula>$B$6</calculatedColumnFormula>
    </tableColumn>
    <tableColumn id="10" xr3:uid="{4D777C16-938F-44D5-8142-EC5A772CCF0B}" name="QTDE_TOTAL" dataDxfId="1499">
      <calculatedColumnFormula>$B$7</calculatedColumnFormula>
    </tableColumn>
    <tableColumn id="2" xr3:uid="{46560B80-72CA-4BDF-8D99-08B824026813}" name="DESCRIÇÃO" dataDxfId="1498"/>
    <tableColumn id="3" xr3:uid="{48B34AA7-D61C-435B-A16F-3F975DEA04F2}" name="UNID" dataDxfId="1497">
      <calculatedColumnFormula>IFERROR(VLOOKUP(F11,Tabela7[[RECURSO]:[CUSTO]],2,FALSE),"")</calculatedColumnFormula>
    </tableColumn>
    <tableColumn id="7" xr3:uid="{4B93CFA4-9D27-4405-953A-081758C7DE8C}" name="Nº" dataDxfId="1496"/>
    <tableColumn id="4" xr3:uid="{CDFB4114-0A4F-4500-95FC-1269FB934A9F}" name="QUANT." dataDxfId="1495"/>
    <tableColumn id="5" xr3:uid="{D19F5395-CF5D-4914-A341-AF7DA5DAD7FF}" name="C. UNIT" dataDxfId="1494" dataCellStyle="Vírgula">
      <calculatedColumnFormula>IFERROR(VLOOKUP(F11,Tabela7[[RECURSO]:[CUSTO]],3,FALSE),0)</calculatedColumnFormula>
    </tableColumn>
    <tableColumn id="6" xr3:uid="{896E0C51-1A0D-4693-BB76-66405CA084D6}" name="C. TOTAL" dataDxfId="1493" dataCellStyle="Vírgula">
      <calculatedColumnFormula>IFERROR(VLOOKUP(G11,Tabela7[[RECURSO]:[CUSTO]],3),0)</calculatedColumnFormula>
    </tableColumn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72AEA486-7BA3-45B7-AEF4-3E4B0DAA884F}" name="Realizado652" displayName="Realizado652" ref="AD10:CD62" totalsRowShown="0" headerRowDxfId="1492">
  <autoFilter ref="AD10:CD62" xr:uid="{00000000-0009-0000-0100-000006000000}"/>
  <tableColumns count="53">
    <tableColumn id="1" xr3:uid="{2C23E2AE-81E3-4D77-8145-F3D7B436C506}" name="serviço" dataDxfId="1491">
      <calculatedColumnFormula>$B$3</calculatedColumnFormula>
    </tableColumn>
    <tableColumn id="2" xr3:uid="{69E38442-5D22-4D71-9AE8-E0A4D628EF28}" name="Nº" dataDxfId="1490"/>
    <tableColumn id="3" xr3:uid="{8A7E095F-E417-4FF5-B080-96E7487A496B}" name="QUANT." dataDxfId="1489" dataCellStyle="Vírgula">
      <calculatedColumnFormula>AJ11+AN11+AR11+AV11+AZ11+BD11+BH11+BL11+BP11+BT11+BX11+CB11</calculatedColumnFormula>
    </tableColumn>
    <tableColumn id="4" xr3:uid="{48B5C02B-ED42-4DF3-9D0E-09B04D318978}" name="C. UNIT" dataDxfId="1488" dataCellStyle="Vírgula">
      <calculatedColumnFormula>IFERROR(AH11/AF11,0)</calculatedColumnFormula>
    </tableColumn>
    <tableColumn id="5" xr3:uid="{D1E7E06F-F75E-4E60-B084-9678DBA8EC14}" name="C. TOTAL" dataDxfId="1487" dataCellStyle="Vírgula">
      <calculatedColumnFormula>AL11+AP11+AT11+AX11+BB11+BF11+BJ11+BN11+BR11+BV11+BZ11+CD11</calculatedColumnFormula>
    </tableColumn>
    <tableColumn id="6" xr3:uid="{06343501-F5EB-4D8E-866A-FC19FA1E7745}" name="Nº1" dataDxfId="1486"/>
    <tableColumn id="7" xr3:uid="{1F232119-3737-48C5-9BAE-8301ACD1CAAD}" name="QUANT.1" dataDxfId="1485" dataCellStyle="Vírgula"/>
    <tableColumn id="8" xr3:uid="{6E2DDC66-D64A-4E3F-B151-31039E94003B}" name="C. UNIT1" dataDxfId="1484" dataCellStyle="Vírgula"/>
    <tableColumn id="9" xr3:uid="{347AB015-8838-4956-84FE-7FBEA7BF6CEB}" name="C. TOTAL1" dataDxfId="1483" dataCellStyle="Vírgula">
      <calculatedColumnFormula>AJ11*AK11</calculatedColumnFormula>
    </tableColumn>
    <tableColumn id="10" xr3:uid="{A3C020AB-ACD9-4220-9817-9CA0871D70FB}" name="Nº2" dataDxfId="1482"/>
    <tableColumn id="11" xr3:uid="{282A7F03-45AC-4643-8956-A5B793154D08}" name="QUANT.2" dataDxfId="1481" dataCellStyle="Vírgula"/>
    <tableColumn id="12" xr3:uid="{A381E151-B94C-4A9A-9D50-75B8E98FFD5D}" name="C. UNIT2" dataDxfId="1480" dataCellStyle="Vírgula"/>
    <tableColumn id="13" xr3:uid="{A2D4F889-CACF-40E8-A973-876ADFF172DB}" name="C. TOTAL2" dataDxfId="1479" dataCellStyle="Vírgula">
      <calculatedColumnFormula>AN11*AO11</calculatedColumnFormula>
    </tableColumn>
    <tableColumn id="14" xr3:uid="{40AF1A96-E1CC-4802-9BE2-0E0FD65D5F5B}" name="Nº3" dataDxfId="1478"/>
    <tableColumn id="15" xr3:uid="{F2FC09B6-921B-41C0-9296-11C68B00076E}" name="QUANT.3" dataDxfId="1477" dataCellStyle="Vírgula"/>
    <tableColumn id="16" xr3:uid="{B5F66978-3FCF-4701-A294-A4BC10E16CE5}" name="C. UNIT3" dataDxfId="1476" dataCellStyle="Vírgula"/>
    <tableColumn id="17" xr3:uid="{19E518AE-75D3-4F0B-BC3A-6F7BA53FCE32}" name="C. TOTAL3" dataDxfId="1475" dataCellStyle="Vírgula">
      <calculatedColumnFormula>AR11*AS11</calculatedColumnFormula>
    </tableColumn>
    <tableColumn id="18" xr3:uid="{CC21A99D-D5EF-4597-BBA6-A96CCFB725F7}" name="Nº4" dataDxfId="1474"/>
    <tableColumn id="19" xr3:uid="{AE16909B-848C-4113-904A-A3B563C34F86}" name="QUANT.4" dataDxfId="1473" dataCellStyle="Vírgula"/>
    <tableColumn id="20" xr3:uid="{74405A4F-584E-438B-BDEB-CFD3990B13A1}" name="C. UNIT4" dataDxfId="1472" dataCellStyle="Vírgula"/>
    <tableColumn id="21" xr3:uid="{2A7FF9EC-8CC6-48DC-91B8-C5EEB68C5DE2}" name="C. TOTAL4" dataDxfId="1471" dataCellStyle="Vírgula">
      <calculatedColumnFormula>AV11*AW11</calculatedColumnFormula>
    </tableColumn>
    <tableColumn id="22" xr3:uid="{0BE43A72-F3A8-418E-96D7-6F1524D8E2F5}" name="Nº5" dataDxfId="1470"/>
    <tableColumn id="23" xr3:uid="{FA0B29DF-2B2F-4EBD-8D6B-F7ABAFC25532}" name="QUANT.5" dataDxfId="1469" dataCellStyle="Vírgula"/>
    <tableColumn id="24" xr3:uid="{882F0164-C30D-47A7-9A6C-CC045B31ABA0}" name="C. UNIT5" dataDxfId="1468" dataCellStyle="Vírgula"/>
    <tableColumn id="25" xr3:uid="{A202B7A6-2CDF-486B-A376-6B081FCBE71D}" name="C. TOTAL5" dataDxfId="1467" dataCellStyle="Vírgula">
      <calculatedColumnFormula>AZ11*BA11</calculatedColumnFormula>
    </tableColumn>
    <tableColumn id="26" xr3:uid="{F381F97C-62E3-4BBC-9311-AE27918E44C9}" name="Nº6" dataDxfId="1466"/>
    <tableColumn id="27" xr3:uid="{639D5815-F590-48ED-A3E8-0488D57A7831}" name="QUANT.6" dataDxfId="1465" dataCellStyle="Vírgula"/>
    <tableColumn id="28" xr3:uid="{F82651A0-5300-4ACB-B6F4-DC841065F5B1}" name="C. UNIT6" dataDxfId="1464" dataCellStyle="Vírgula"/>
    <tableColumn id="29" xr3:uid="{B168E28C-215A-4BB3-BED3-746B6203D16F}" name="C. TOTAL6" dataDxfId="1463" dataCellStyle="Vírgula">
      <calculatedColumnFormula>BD11*BE11</calculatedColumnFormula>
    </tableColumn>
    <tableColumn id="30" xr3:uid="{82798BF3-356F-408E-9010-617FB8B14FC0}" name="Nº7" dataDxfId="1462"/>
    <tableColumn id="31" xr3:uid="{793BC19E-CA9A-4532-BD56-D90AB5359FE6}" name="QUANT.7" dataDxfId="1461" dataCellStyle="Vírgula"/>
    <tableColumn id="32" xr3:uid="{AB36F5E6-4556-4050-BAE3-9A44C51E157A}" name="C. UNIT7" dataDxfId="1460" dataCellStyle="Vírgula"/>
    <tableColumn id="33" xr3:uid="{EF3C97DE-70D5-4995-838D-266563129A3F}" name="C. TOTAL7" dataDxfId="1459" dataCellStyle="Vírgula">
      <calculatedColumnFormula>BH11*BI11</calculatedColumnFormula>
    </tableColumn>
    <tableColumn id="34" xr3:uid="{B6B9D214-D37A-4004-A574-58702FE05016}" name="Nº8" dataDxfId="1458"/>
    <tableColumn id="35" xr3:uid="{51A9B1CE-44EA-4E3F-9159-A784C2F549E5}" name="QUANT.8" dataDxfId="1457" dataCellStyle="Vírgula"/>
    <tableColumn id="36" xr3:uid="{38A37B3B-3055-4EAC-8781-BBAA54C029EB}" name="C. UNIT8" dataDxfId="1456" dataCellStyle="Vírgula"/>
    <tableColumn id="37" xr3:uid="{F3035CD5-6DD6-4748-AB8D-398823DDEF2F}" name="C. TOTAL8" dataDxfId="1455" dataCellStyle="Vírgula">
      <calculatedColumnFormula>BL11*BM11</calculatedColumnFormula>
    </tableColumn>
    <tableColumn id="38" xr3:uid="{51889E04-5038-479D-969D-40FD71006CC5}" name="Nº9" dataDxfId="1454"/>
    <tableColumn id="39" xr3:uid="{3C497285-17F2-4992-BCF4-110CA1D33511}" name="QUANT.9" dataDxfId="1453" dataCellStyle="Vírgula"/>
    <tableColumn id="40" xr3:uid="{5ABFD1A6-B131-421E-9565-8997B81084EC}" name="C. UNIT9" dataDxfId="1452" dataCellStyle="Vírgula"/>
    <tableColumn id="41" xr3:uid="{DB2E87C2-8789-4E6D-A083-45AA3B7708B3}" name="C. TOTAL9" dataDxfId="1451" dataCellStyle="Vírgula">
      <calculatedColumnFormula>BP11*BQ11</calculatedColumnFormula>
    </tableColumn>
    <tableColumn id="42" xr3:uid="{EA6BD318-F33E-4C98-AB0F-44D1B957F350}" name="Nº10" dataDxfId="1450"/>
    <tableColumn id="43" xr3:uid="{36A1AAE4-9F5A-431A-914F-45512494BF67}" name="QUANT.10" dataDxfId="1449" dataCellStyle="Vírgula"/>
    <tableColumn id="44" xr3:uid="{303872AB-1C7A-4E45-9FCB-09D463BF3396}" name="C. UNIT10" dataDxfId="1448" dataCellStyle="Vírgula"/>
    <tableColumn id="45" xr3:uid="{5DA8A8A5-94B7-4D3B-8707-BF12B897E101}" name="C. TOTAL10" dataDxfId="1447" dataCellStyle="Vírgula">
      <calculatedColumnFormula>BT11*BU11</calculatedColumnFormula>
    </tableColumn>
    <tableColumn id="46" xr3:uid="{67B5AA36-BF54-47C6-91AA-516AE7064C6A}" name="Nº11" dataDxfId="1446"/>
    <tableColumn id="47" xr3:uid="{0E7F2F8C-BA62-4D20-B483-0B1FA3CE1E2F}" name="QUANT.11" dataDxfId="1445" dataCellStyle="Vírgula"/>
    <tableColumn id="48" xr3:uid="{DBEE42A1-F563-4B55-8AC4-29870CD6F527}" name="C. UNIT11" dataDxfId="1444" dataCellStyle="Vírgula"/>
    <tableColumn id="49" xr3:uid="{9926B836-03BF-493A-A0F9-437B68A417ED}" name="C. TOTAL11" dataDxfId="1443" dataCellStyle="Vírgula">
      <calculatedColumnFormula>BX11*BY11</calculatedColumnFormula>
    </tableColumn>
    <tableColumn id="50" xr3:uid="{5DD7B920-A384-4963-A159-F2E1F2F3C7B0}" name="Nº12" dataDxfId="1442"/>
    <tableColumn id="51" xr3:uid="{FB7FD00F-F380-44CC-998C-268C9F598914}" name="QUANT.12" dataDxfId="1441" dataCellStyle="Vírgula"/>
    <tableColumn id="52" xr3:uid="{5D0CF5C3-481E-42BC-B040-D5F10F7215C3}" name="C. UNIT12" dataDxfId="1440" dataCellStyle="Vírgula"/>
    <tableColumn id="53" xr3:uid="{86EFCA3D-A265-4837-B9C6-7451A5563EC3}" name="C. TOTAL12" dataDxfId="1439" dataCellStyle="Vírgula">
      <calculatedColumnFormula>CB11*CC11</calculatedColumnFormula>
    </tableColumn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1545947-0D1A-40A3-97A2-83A1A3968C94}" name="CPU_49" displayName="CPU_49" ref="B10:K62" totalsRowShown="0" headerRowDxfId="1438" tableBorderDxfId="1437">
  <autoFilter ref="B10:K62" xr:uid="{00000000-0009-0000-0100-000020000000}"/>
  <tableColumns count="10">
    <tableColumn id="1" xr3:uid="{69F2C09B-9763-43E5-9FFB-3C1FDCA751FB}" name="CODIGO" dataDxfId="1436"/>
    <tableColumn id="8" xr3:uid="{F8F4F521-DAD7-405C-AFB0-CA8438A76D5F}" name="SERVIÇO" dataDxfId="1435">
      <calculatedColumnFormula>$A$3</calculatedColumnFormula>
    </tableColumn>
    <tableColumn id="9" xr3:uid="{558A3F50-7711-4AF2-A141-9A154B2A980D}" name="PRODUÇÃO" dataDxfId="1434">
      <calculatedColumnFormula>$B$6</calculatedColumnFormula>
    </tableColumn>
    <tableColumn id="10" xr3:uid="{E739982D-E809-4A37-BCB2-01BE06C61C52}" name="QTDE_TOTAL" dataDxfId="1433">
      <calculatedColumnFormula>$B$7</calculatedColumnFormula>
    </tableColumn>
    <tableColumn id="2" xr3:uid="{2F2707C3-69EC-459D-A84E-7885C833507F}" name="DESCRIÇÃO" dataDxfId="1432"/>
    <tableColumn id="3" xr3:uid="{8C29894B-A14F-4D7B-9773-20BD8EB50E4B}" name="UNID" dataDxfId="1431">
      <calculatedColumnFormula>IFERROR(VLOOKUP(F11,Tabela7[[RECURSO]:[CUSTO]],2,FALSE),"")</calculatedColumnFormula>
    </tableColumn>
    <tableColumn id="7" xr3:uid="{2EC8821E-7E89-48C1-B327-67B029918108}" name="Nº" dataDxfId="1430"/>
    <tableColumn id="4" xr3:uid="{34653A29-C388-408F-B88E-AC65255B9713}" name="QUANT." dataDxfId="1429"/>
    <tableColumn id="5" xr3:uid="{32302834-D91C-48F8-B827-E2CF729EB0AE}" name="C. UNIT" dataDxfId="1428" dataCellStyle="Vírgula">
      <calculatedColumnFormula>IFERROR(VLOOKUP(F11,Tabela7[[RECURSO]:[CUSTO]],3,FALSE),0)</calculatedColumnFormula>
    </tableColumn>
    <tableColumn id="6" xr3:uid="{194E5264-008E-4C7B-9059-01B84CB70857}" name="C. TOTAL" dataDxfId="1427" dataCellStyle="Vírgula">
      <calculatedColumnFormula>IFERROR(VLOOKUP(G11,Tabela7[[RECURSO]:[CUSTO]],3),0)</calculatedColumnFormula>
    </tableColumn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78E34989-E965-453A-AC2C-FA84983BAFB9}" name="Realizado650" displayName="Realizado650" ref="AD10:CD62" totalsRowShown="0" headerRowDxfId="1426">
  <autoFilter ref="AD10:CD62" xr:uid="{00000000-0009-0000-0100-000006000000}"/>
  <tableColumns count="53">
    <tableColumn id="1" xr3:uid="{B3EF77BD-5C04-49DC-AE6C-B159E311F508}" name="serviço" dataDxfId="1425">
      <calculatedColumnFormula>$B$3</calculatedColumnFormula>
    </tableColumn>
    <tableColumn id="2" xr3:uid="{54FCAB5B-8807-48C6-A3D3-8826B02CB2F8}" name="Nº" dataDxfId="1424"/>
    <tableColumn id="3" xr3:uid="{928E7F9B-7879-47F0-825C-DB12AFAF31BA}" name="QUANT." dataDxfId="1423" dataCellStyle="Vírgula">
      <calculatedColumnFormula>AJ11+AN11+AR11+AV11+AZ11+BD11+BH11+BL11+BP11+BT11+BX11+CB11</calculatedColumnFormula>
    </tableColumn>
    <tableColumn id="4" xr3:uid="{19B7F325-6B0D-4A56-81BE-A52BB60928C2}" name="C. UNIT" dataDxfId="1422" dataCellStyle="Vírgula">
      <calculatedColumnFormula>IFERROR(AH11/AF11,0)</calculatedColumnFormula>
    </tableColumn>
    <tableColumn id="5" xr3:uid="{1A8414A4-E7AE-4D90-9EA4-B582E6CD752F}" name="C. TOTAL" dataDxfId="1421" dataCellStyle="Vírgula">
      <calculatedColumnFormula>AL11+AP11+AT11+AX11+BB11+BF11+BJ11+BN11+BR11+BV11+BZ11+CD11</calculatedColumnFormula>
    </tableColumn>
    <tableColumn id="6" xr3:uid="{D539F57A-C7DF-4152-AADF-EEA35745FCE4}" name="Nº1" dataDxfId="1420"/>
    <tableColumn id="7" xr3:uid="{C3DDF449-C4EC-4803-AE14-2CFBADD24E1C}" name="QUANT.1" dataDxfId="1419" dataCellStyle="Vírgula"/>
    <tableColumn id="8" xr3:uid="{E1541144-090C-4D55-848C-623F8AFF0F5B}" name="C. UNIT1" dataDxfId="1418" dataCellStyle="Vírgula"/>
    <tableColumn id="9" xr3:uid="{A30E3B82-84B2-4469-8639-220F67B0AA28}" name="C. TOTAL1" dataDxfId="1417" dataCellStyle="Vírgula">
      <calculatedColumnFormula>AJ11*AK11</calculatedColumnFormula>
    </tableColumn>
    <tableColumn id="10" xr3:uid="{857812F1-0A47-4D82-B6F4-21F3F7ABD79C}" name="Nº2" dataDxfId="1416"/>
    <tableColumn id="11" xr3:uid="{49C2CDCA-CF68-4A4C-A884-31689DE8947C}" name="QUANT.2" dataDxfId="1415" dataCellStyle="Vírgula"/>
    <tableColumn id="12" xr3:uid="{DEEE0BDC-A1ED-45B8-A11A-0B4789E700B6}" name="C. UNIT2" dataDxfId="1414" dataCellStyle="Vírgula"/>
    <tableColumn id="13" xr3:uid="{C89E1399-7AB1-481D-8D47-D907A80568ED}" name="C. TOTAL2" dataDxfId="1413" dataCellStyle="Vírgula">
      <calculatedColumnFormula>AN11*AO11</calculatedColumnFormula>
    </tableColumn>
    <tableColumn id="14" xr3:uid="{0C12A12A-05E4-455A-B940-9DDC4C7F635F}" name="Nº3" dataDxfId="1412"/>
    <tableColumn id="15" xr3:uid="{080D3B11-C5B8-4994-8DA1-33C15713964F}" name="QUANT.3" dataDxfId="1411" dataCellStyle="Vírgula"/>
    <tableColumn id="16" xr3:uid="{DDD21D19-4C85-48E0-BE91-7028C2BA1BBE}" name="C. UNIT3" dataDxfId="1410" dataCellStyle="Vírgula"/>
    <tableColumn id="17" xr3:uid="{BF334354-F239-44BA-8ED2-A56C7DA82A5C}" name="C. TOTAL3" dataDxfId="1409" dataCellStyle="Vírgula">
      <calculatedColumnFormula>AR11*AS11</calculatedColumnFormula>
    </tableColumn>
    <tableColumn id="18" xr3:uid="{960329D6-2189-4E94-B2C2-91F02F5D9B21}" name="Nº4" dataDxfId="1408"/>
    <tableColumn id="19" xr3:uid="{D66FB1A9-EE80-42D0-BCF7-1E31307E2423}" name="QUANT.4" dataDxfId="1407" dataCellStyle="Vírgula"/>
    <tableColumn id="20" xr3:uid="{43BDEA85-9883-4DB5-B915-15CF8F94B036}" name="C. UNIT4" dataDxfId="1406" dataCellStyle="Vírgula"/>
    <tableColumn id="21" xr3:uid="{9B0A1F2A-09B4-4137-9F30-3B857268EAD4}" name="C. TOTAL4" dataDxfId="1405" dataCellStyle="Vírgula">
      <calculatedColumnFormula>AV11*AW11</calculatedColumnFormula>
    </tableColumn>
    <tableColumn id="22" xr3:uid="{8A059826-BC0B-4A7A-B903-204D452B159F}" name="Nº5" dataDxfId="1404"/>
    <tableColumn id="23" xr3:uid="{8DABBFAF-1FFA-458B-89E9-8CD8549BE849}" name="QUANT.5" dataDxfId="1403" dataCellStyle="Vírgula"/>
    <tableColumn id="24" xr3:uid="{DAF800B7-A78A-48A2-84CF-BCC3D891B43A}" name="C. UNIT5" dataDxfId="1402" dataCellStyle="Vírgula"/>
    <tableColumn id="25" xr3:uid="{1DF78220-64BF-4B5B-AE30-638624592B75}" name="C. TOTAL5" dataDxfId="1401" dataCellStyle="Vírgula">
      <calculatedColumnFormula>AZ11*BA11</calculatedColumnFormula>
    </tableColumn>
    <tableColumn id="26" xr3:uid="{180223F1-3545-4048-9A70-D7A7D49B46BE}" name="Nº6" dataDxfId="1400"/>
    <tableColumn id="27" xr3:uid="{A91BAABA-B4D5-43C1-BA97-F0AE74D603F8}" name="QUANT.6" dataDxfId="1399" dataCellStyle="Vírgula"/>
    <tableColumn id="28" xr3:uid="{372C2CEA-9E19-479D-A8AF-C851E45DE295}" name="C. UNIT6" dataDxfId="1398" dataCellStyle="Vírgula"/>
    <tableColumn id="29" xr3:uid="{559AB6FD-24CE-4705-80D8-7308B7FB5743}" name="C. TOTAL6" dataDxfId="1397" dataCellStyle="Vírgula">
      <calculatedColumnFormula>BD11*BE11</calculatedColumnFormula>
    </tableColumn>
    <tableColumn id="30" xr3:uid="{9FC23182-9B77-4556-993E-F3EACC3AF6DB}" name="Nº7" dataDxfId="1396"/>
    <tableColumn id="31" xr3:uid="{12868121-ECFD-4125-BCEC-7AE0992F95ED}" name="QUANT.7" dataDxfId="1395" dataCellStyle="Vírgula"/>
    <tableColumn id="32" xr3:uid="{25D2D7CB-8B05-4B22-976D-64400FEC31DB}" name="C. UNIT7" dataDxfId="1394" dataCellStyle="Vírgula"/>
    <tableColumn id="33" xr3:uid="{0E3E083C-A41E-4E49-85FA-40EA8F53CF73}" name="C. TOTAL7" dataDxfId="1393" dataCellStyle="Vírgula">
      <calculatedColumnFormula>BH11*BI11</calculatedColumnFormula>
    </tableColumn>
    <tableColumn id="34" xr3:uid="{43272048-E1AA-456E-87BD-4BD91CFCEE0E}" name="Nº8" dataDxfId="1392"/>
    <tableColumn id="35" xr3:uid="{69E8CCF1-AE6B-40E3-9E28-588F8C188DD0}" name="QUANT.8" dataDxfId="1391" dataCellStyle="Vírgula"/>
    <tableColumn id="36" xr3:uid="{2A53B4D2-6B21-4132-B49E-A5F09723F1B2}" name="C. UNIT8" dataDxfId="1390" dataCellStyle="Vírgula"/>
    <tableColumn id="37" xr3:uid="{9F3E789B-6C3C-40C4-B67A-55571221290D}" name="C. TOTAL8" dataDxfId="1389" dataCellStyle="Vírgula">
      <calculatedColumnFormula>BL11*BM11</calculatedColumnFormula>
    </tableColumn>
    <tableColumn id="38" xr3:uid="{E8A4E627-CE4D-4B6F-BA75-4F239C222D11}" name="Nº9" dataDxfId="1388"/>
    <tableColumn id="39" xr3:uid="{F2AB27EF-A7DD-46A2-8A28-1C02D43BC106}" name="QUANT.9" dataDxfId="1387" dataCellStyle="Vírgula"/>
    <tableColumn id="40" xr3:uid="{F03253A3-7D99-45A1-AEF4-211C67A2CD94}" name="C. UNIT9" dataDxfId="1386" dataCellStyle="Vírgula"/>
    <tableColumn id="41" xr3:uid="{22811713-1BC5-474E-876C-2D8F5D987F33}" name="C. TOTAL9" dataDxfId="1385" dataCellStyle="Vírgula">
      <calculatedColumnFormula>BP11*BQ11</calculatedColumnFormula>
    </tableColumn>
    <tableColumn id="42" xr3:uid="{19E05105-687F-4124-8629-848A4419DA3F}" name="Nº10" dataDxfId="1384"/>
    <tableColumn id="43" xr3:uid="{0411A044-97E3-463F-A466-43EF896B72D3}" name="QUANT.10" dataDxfId="1383" dataCellStyle="Vírgula"/>
    <tableColumn id="44" xr3:uid="{4AB8A78E-C5C6-4EA8-AB17-A436F33F1B97}" name="C. UNIT10" dataDxfId="1382" dataCellStyle="Vírgula"/>
    <tableColumn id="45" xr3:uid="{0EB0FB4C-6BD2-45EB-83C9-0C8A0E019A5E}" name="C. TOTAL10" dataDxfId="1381" dataCellStyle="Vírgula">
      <calculatedColumnFormula>BT11*BU11</calculatedColumnFormula>
    </tableColumn>
    <tableColumn id="46" xr3:uid="{D622B479-E91E-488B-B09C-485D24BE900E}" name="Nº11" dataDxfId="1380"/>
    <tableColumn id="47" xr3:uid="{E7D7FD4E-D690-4B51-82BD-D16364BF2E9B}" name="QUANT.11" dataDxfId="1379" dataCellStyle="Vírgula"/>
    <tableColumn id="48" xr3:uid="{9AA78972-7824-4F20-ABBF-57D3891DB289}" name="C. UNIT11" dataDxfId="1378" dataCellStyle="Vírgula"/>
    <tableColumn id="49" xr3:uid="{CFE23AEA-2722-4FB6-A49B-81723FC9ED4A}" name="C. TOTAL11" dataDxfId="1377" dataCellStyle="Vírgula">
      <calculatedColumnFormula>BX11*BY11</calculatedColumnFormula>
    </tableColumn>
    <tableColumn id="50" xr3:uid="{AB1F1E15-7C8D-4D35-A2DE-0621A5A98F1E}" name="Nº12" dataDxfId="1376"/>
    <tableColumn id="51" xr3:uid="{49230C5E-6BA4-4FFA-B833-8C50A95016DE}" name="QUANT.12" dataDxfId="1375" dataCellStyle="Vírgula"/>
    <tableColumn id="52" xr3:uid="{A3C3CC5F-6F48-4125-BF4C-20582632A6E6}" name="C. UNIT12" dataDxfId="1374" dataCellStyle="Vírgula"/>
    <tableColumn id="53" xr3:uid="{93E57ABA-7A1F-4518-9EF0-0CC116CB9891}" name="C. TOTAL12" dataDxfId="1373" dataCellStyle="Vírgula">
      <calculatedColumnFormula>CB11*CC11</calculatedColumnFormula>
    </tableColumn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6E5ACF68-A7D3-4DF9-BC30-768BED15CA02}" name="CPU_47" displayName="CPU_47" ref="B10:K62" totalsRowShown="0" headerRowDxfId="1372" tableBorderDxfId="1371">
  <autoFilter ref="B10:K62" xr:uid="{00000000-0009-0000-0100-000020000000}"/>
  <tableColumns count="10">
    <tableColumn id="1" xr3:uid="{F5156D1A-61A4-4F84-8452-EFE2174DCB27}" name="CODIGO" dataDxfId="1370"/>
    <tableColumn id="8" xr3:uid="{E5D768C3-BE22-4AA3-A298-B3B976921C52}" name="SERVIÇO" dataDxfId="1369">
      <calculatedColumnFormula>$A$3</calculatedColumnFormula>
    </tableColumn>
    <tableColumn id="9" xr3:uid="{C839D96F-85A6-412D-9281-F44D5F788ACF}" name="PRODUÇÃO" dataDxfId="1368">
      <calculatedColumnFormula>$B$6</calculatedColumnFormula>
    </tableColumn>
    <tableColumn id="10" xr3:uid="{5EF9FC50-FD40-42E3-96A3-B775F98EDE55}" name="QTDE_TOTAL" dataDxfId="1367">
      <calculatedColumnFormula>$B$7</calculatedColumnFormula>
    </tableColumn>
    <tableColumn id="2" xr3:uid="{2D38ADB8-25EF-400B-A22D-AF6D0DB38AF9}" name="DESCRIÇÃO" dataDxfId="1366"/>
    <tableColumn id="3" xr3:uid="{758C8028-B91B-46C8-9854-FEE2ADEC5756}" name="UNID" dataDxfId="1365">
      <calculatedColumnFormula>IFERROR(VLOOKUP(F11,Tabela7[[RECURSO]:[CUSTO]],2,FALSE),"")</calculatedColumnFormula>
    </tableColumn>
    <tableColumn id="7" xr3:uid="{3AA843AA-DAF5-44AF-B67F-9DB9C6A55E6A}" name="Nº" dataDxfId="1364"/>
    <tableColumn id="4" xr3:uid="{49F711AA-936C-433B-9821-5DDBD899099D}" name="QUANT." dataDxfId="1363"/>
    <tableColumn id="5" xr3:uid="{E3F1C820-8978-434C-AEAE-E524F961D6C6}" name="C. UNIT" dataDxfId="1362" dataCellStyle="Vírgula">
      <calculatedColumnFormula>IFERROR(VLOOKUP(F11,Tabela7[[RECURSO]:[CUSTO]],3,FALSE),0)</calculatedColumnFormula>
    </tableColumn>
    <tableColumn id="6" xr3:uid="{9F79C178-889C-4CA0-89C6-D3F65D455119}" name="C. TOTAL" dataDxfId="1361" dataCellStyle="Vírgula">
      <calculatedColumnFormula>IFERROR(VLOOKUP(G11,Tabela7[[RECURSO]:[CUSTO]],3),0)</calculatedColumnFormula>
    </tableColumn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4143798-E9CB-4AAF-B151-06ADA399A072}" name="Realizado648" displayName="Realizado648" ref="AD10:CD62" totalsRowShown="0" headerRowDxfId="1360">
  <autoFilter ref="AD10:CD62" xr:uid="{00000000-0009-0000-0100-000006000000}"/>
  <tableColumns count="53">
    <tableColumn id="1" xr3:uid="{6C1FFE9F-E07A-43B5-8261-C1FEFC834BB9}" name="serviço" dataDxfId="1359">
      <calculatedColumnFormula>$B$3</calculatedColumnFormula>
    </tableColumn>
    <tableColumn id="2" xr3:uid="{43A484D7-2615-40EA-AB29-FF925D3CB736}" name="Nº" dataDxfId="1358"/>
    <tableColumn id="3" xr3:uid="{97775FE0-2D12-459C-B86F-3457A9435563}" name="QUANT." dataDxfId="1357" dataCellStyle="Vírgula">
      <calculatedColumnFormula>AJ11+AN11+AR11+AV11+AZ11+BD11+BH11+BL11+BP11+BT11+BX11+CB11</calculatedColumnFormula>
    </tableColumn>
    <tableColumn id="4" xr3:uid="{AD6464A8-DD54-4186-9B74-2D5E01431D0E}" name="C. UNIT" dataDxfId="1356" dataCellStyle="Vírgula">
      <calculatedColumnFormula>IFERROR(AH11/AF11,0)</calculatedColumnFormula>
    </tableColumn>
    <tableColumn id="5" xr3:uid="{1DCF62AA-A693-4BE0-9135-B18B16152BA5}" name="C. TOTAL" dataDxfId="1355" dataCellStyle="Vírgula">
      <calculatedColumnFormula>AL11+AP11+AT11+AX11+BB11+BF11+BJ11+BN11+BR11+BV11+BZ11+CD11</calculatedColumnFormula>
    </tableColumn>
    <tableColumn id="6" xr3:uid="{1A8DF4B9-4501-4998-AE90-BBB83558D079}" name="Nº1" dataDxfId="1354"/>
    <tableColumn id="7" xr3:uid="{CCDA0D93-F2AA-4C1F-8396-15BD0E631A46}" name="QUANT.1" dataDxfId="1353" dataCellStyle="Vírgula"/>
    <tableColumn id="8" xr3:uid="{9E9F1E66-B96D-4A71-BE8B-1C8572504CBD}" name="C. UNIT1" dataDxfId="1352" dataCellStyle="Vírgula"/>
    <tableColumn id="9" xr3:uid="{11F63213-C60C-4A69-91BE-B6BF342FD9F2}" name="C. TOTAL1" dataDxfId="1351" dataCellStyle="Vírgula">
      <calculatedColumnFormula>AJ11*AK11</calculatedColumnFormula>
    </tableColumn>
    <tableColumn id="10" xr3:uid="{E406925D-14E5-4245-9BA8-F889755C68B6}" name="Nº2" dataDxfId="1350"/>
    <tableColumn id="11" xr3:uid="{D0B9E2AA-5A7B-4EE7-B0FA-96FB57D45463}" name="QUANT.2" dataDxfId="1349" dataCellStyle="Vírgula"/>
    <tableColumn id="12" xr3:uid="{BA0C7FF6-A62F-45CB-A9C1-07B274B8A8B3}" name="C. UNIT2" dataDxfId="1348" dataCellStyle="Vírgula"/>
    <tableColumn id="13" xr3:uid="{78421306-F9EF-474E-BC76-BEB9A44B9CDC}" name="C. TOTAL2" dataDxfId="1347" dataCellStyle="Vírgula">
      <calculatedColumnFormula>AN11*AO11</calculatedColumnFormula>
    </tableColumn>
    <tableColumn id="14" xr3:uid="{E18EC019-1913-4DEA-9DC3-2DA97F3D3CA8}" name="Nº3" dataDxfId="1346"/>
    <tableColumn id="15" xr3:uid="{E9B9C821-994A-40DF-AF4E-9EE1B3364529}" name="QUANT.3" dataDxfId="1345" dataCellStyle="Vírgula"/>
    <tableColumn id="16" xr3:uid="{18C252F6-47A1-47B5-95BE-1A3E41243F81}" name="C. UNIT3" dataDxfId="1344" dataCellStyle="Vírgula"/>
    <tableColumn id="17" xr3:uid="{D27F4671-BF47-4D09-8929-2C92F105124B}" name="C. TOTAL3" dataDxfId="1343" dataCellStyle="Vírgula">
      <calculatedColumnFormula>AR11*AS11</calculatedColumnFormula>
    </tableColumn>
    <tableColumn id="18" xr3:uid="{C9F3940B-B32D-425E-8A93-05FC504C19DB}" name="Nº4" dataDxfId="1342"/>
    <tableColumn id="19" xr3:uid="{12175307-E2B6-4EBD-9787-44CDD0F2507E}" name="QUANT.4" dataDxfId="1341" dataCellStyle="Vírgula"/>
    <tableColumn id="20" xr3:uid="{E77DE88B-A7BC-4430-ADEA-15488578FFFF}" name="C. UNIT4" dataDxfId="1340" dataCellStyle="Vírgula"/>
    <tableColumn id="21" xr3:uid="{1E3AA0F4-C19F-440E-AF1C-5569B76E8463}" name="C. TOTAL4" dataDxfId="1339" dataCellStyle="Vírgula">
      <calculatedColumnFormula>AV11*AW11</calculatedColumnFormula>
    </tableColumn>
    <tableColumn id="22" xr3:uid="{F4F005CC-C19E-4E30-80B6-2B9D259F785D}" name="Nº5" dataDxfId="1338"/>
    <tableColumn id="23" xr3:uid="{554837AD-C74D-4DED-9473-94258CF706E7}" name="QUANT.5" dataDxfId="1337" dataCellStyle="Vírgula"/>
    <tableColumn id="24" xr3:uid="{ABEF0CF5-7F3F-4F23-86E2-A00EA8BB1B5B}" name="C. UNIT5" dataDxfId="1336" dataCellStyle="Vírgula"/>
    <tableColumn id="25" xr3:uid="{42FF03F1-714B-4E0B-BB7C-61DCA2783904}" name="C. TOTAL5" dataDxfId="1335" dataCellStyle="Vírgula">
      <calculatedColumnFormula>AZ11*BA11</calculatedColumnFormula>
    </tableColumn>
    <tableColumn id="26" xr3:uid="{E9E66F9F-83AF-4E81-80BC-587388D5C0C2}" name="Nº6" dataDxfId="1334"/>
    <tableColumn id="27" xr3:uid="{7E0EE82B-C153-409C-B1DA-08535FB30968}" name="QUANT.6" dataDxfId="1333" dataCellStyle="Vírgula"/>
    <tableColumn id="28" xr3:uid="{34DFA16E-EECE-4A7F-BDA0-F1D6271282F0}" name="C. UNIT6" dataDxfId="1332" dataCellStyle="Vírgula"/>
    <tableColumn id="29" xr3:uid="{72F22C57-47C3-42F1-A605-7A1FC7876E38}" name="C. TOTAL6" dataDxfId="1331" dataCellStyle="Vírgula">
      <calculatedColumnFormula>BD11*BE11</calculatedColumnFormula>
    </tableColumn>
    <tableColumn id="30" xr3:uid="{A83F2E03-01A6-4B92-B40A-76E13EDA6709}" name="Nº7" dataDxfId="1330"/>
    <tableColumn id="31" xr3:uid="{29963D79-DE9E-4D08-8A2B-4CE4CEE79EE8}" name="QUANT.7" dataDxfId="1329" dataCellStyle="Vírgula"/>
    <tableColumn id="32" xr3:uid="{16177311-B1D1-4988-BD89-2EE2D63542C1}" name="C. UNIT7" dataDxfId="1328" dataCellStyle="Vírgula"/>
    <tableColumn id="33" xr3:uid="{9698BCE6-F35F-4348-9289-62C0BC63EE61}" name="C. TOTAL7" dataDxfId="1327" dataCellStyle="Vírgula">
      <calculatedColumnFormula>BH11*BI11</calculatedColumnFormula>
    </tableColumn>
    <tableColumn id="34" xr3:uid="{9E92499D-BCB1-4389-A91F-BED4A06AC1A2}" name="Nº8" dataDxfId="1326"/>
    <tableColumn id="35" xr3:uid="{5C752A2D-4928-453D-BBB9-B9E126190269}" name="QUANT.8" dataDxfId="1325" dataCellStyle="Vírgula"/>
    <tableColumn id="36" xr3:uid="{FECE7FBA-C060-40E7-B2BB-51DB1ACBF4EA}" name="C. UNIT8" dataDxfId="1324" dataCellStyle="Vírgula"/>
    <tableColumn id="37" xr3:uid="{F8CC1280-741C-4D76-B218-AAE61333A428}" name="C. TOTAL8" dataDxfId="1323" dataCellStyle="Vírgula">
      <calculatedColumnFormula>BL11*BM11</calculatedColumnFormula>
    </tableColumn>
    <tableColumn id="38" xr3:uid="{CDBC0146-3B4E-431F-8633-81F83E1E3027}" name="Nº9" dataDxfId="1322"/>
    <tableColumn id="39" xr3:uid="{E3DA181B-7E07-4A1C-A268-E702EBDD7DFC}" name="QUANT.9" dataDxfId="1321" dataCellStyle="Vírgula"/>
    <tableColumn id="40" xr3:uid="{F332336B-9D23-4A48-90D3-47DC54C91D57}" name="C. UNIT9" dataDxfId="1320" dataCellStyle="Vírgula"/>
    <tableColumn id="41" xr3:uid="{C7EAA8D2-C831-4469-A310-2D99CFD6E691}" name="C. TOTAL9" dataDxfId="1319" dataCellStyle="Vírgula">
      <calculatedColumnFormula>BP11*BQ11</calculatedColumnFormula>
    </tableColumn>
    <tableColumn id="42" xr3:uid="{AB554DEE-554F-41AB-9310-055995B8C514}" name="Nº10" dataDxfId="1318"/>
    <tableColumn id="43" xr3:uid="{ACF8A82F-0493-4CC0-BCFB-47E122203358}" name="QUANT.10" dataDxfId="1317" dataCellStyle="Vírgula"/>
    <tableColumn id="44" xr3:uid="{9701DAFE-CBE7-4139-9651-1E3BC0D8C5A7}" name="C. UNIT10" dataDxfId="1316" dataCellStyle="Vírgula"/>
    <tableColumn id="45" xr3:uid="{1CCDFCDC-AA29-4A99-9D4A-42BDCCF5BA8D}" name="C. TOTAL10" dataDxfId="1315" dataCellStyle="Vírgula">
      <calculatedColumnFormula>BT11*BU11</calculatedColumnFormula>
    </tableColumn>
    <tableColumn id="46" xr3:uid="{1C152714-6238-422E-8132-A84F1AC8EC07}" name="Nº11" dataDxfId="1314"/>
    <tableColumn id="47" xr3:uid="{541AE504-DE57-4C9F-BBE9-5C96A985268E}" name="QUANT.11" dataDxfId="1313" dataCellStyle="Vírgula"/>
    <tableColumn id="48" xr3:uid="{386E34D0-6F26-4D93-843E-45EB9D8C8BEA}" name="C. UNIT11" dataDxfId="1312" dataCellStyle="Vírgula"/>
    <tableColumn id="49" xr3:uid="{93A0BACB-9B09-44D1-93B4-CD8C8C66E4BE}" name="C. TOTAL11" dataDxfId="1311" dataCellStyle="Vírgula">
      <calculatedColumnFormula>BX11*BY11</calculatedColumnFormula>
    </tableColumn>
    <tableColumn id="50" xr3:uid="{2DA475F9-34DB-4B82-8273-48064B2E3532}" name="Nº12" dataDxfId="1310"/>
    <tableColumn id="51" xr3:uid="{08D155F1-52BC-4234-8286-E5867201F934}" name="QUANT.12" dataDxfId="1309" dataCellStyle="Vírgula"/>
    <tableColumn id="52" xr3:uid="{6AB2889F-3931-4D5B-B6A0-8D7B6D072D78}" name="C. UNIT12" dataDxfId="1308" dataCellStyle="Vírgula"/>
    <tableColumn id="53" xr3:uid="{4A266D74-EB71-448F-AC89-B450F0253610}" name="C. TOTAL12" dataDxfId="1307" dataCellStyle="Vírgula">
      <calculatedColumnFormula>CB11*CC11</calculatedColumnFormula>
    </tableColumn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FE4483-6C6A-421F-8A93-6B6CE463A8CE}" name="CPU_45" displayName="CPU_45" ref="B10:K62" totalsRowShown="0" headerRowDxfId="1306" tableBorderDxfId="1305">
  <autoFilter ref="B10:K62" xr:uid="{00000000-0009-0000-0100-000020000000}"/>
  <tableColumns count="10">
    <tableColumn id="1" xr3:uid="{23F1D335-BCAC-4098-BD31-A4D754DC5347}" name="CODIGO" dataDxfId="1304"/>
    <tableColumn id="8" xr3:uid="{AA9D3924-5F7F-4051-A23A-626A2950BCAA}" name="SERVIÇO" dataDxfId="1303">
      <calculatedColumnFormula>$A$3</calculatedColumnFormula>
    </tableColumn>
    <tableColumn id="9" xr3:uid="{322509D9-B632-429A-86FD-D9A988AA4A92}" name="PRODUÇÃO" dataDxfId="1302">
      <calculatedColumnFormula>$B$6</calculatedColumnFormula>
    </tableColumn>
    <tableColumn id="10" xr3:uid="{DE669248-EBF0-4CD9-BA91-D6E61E0DD46B}" name="QTDE_TOTAL" dataDxfId="1301">
      <calculatedColumnFormula>$B$7</calculatedColumnFormula>
    </tableColumn>
    <tableColumn id="2" xr3:uid="{1FBE60F3-7398-4DED-A03A-5E0C9B8364F2}" name="DESCRIÇÃO" dataDxfId="1300"/>
    <tableColumn id="3" xr3:uid="{BA4B4C5A-0B5E-4EBB-B0D8-4D184C3F770F}" name="UNID" dataDxfId="1299">
      <calculatedColumnFormula>IFERROR(VLOOKUP(F11,Tabela7[[RECURSO]:[CUSTO]],2,FALSE),"")</calculatedColumnFormula>
    </tableColumn>
    <tableColumn id="7" xr3:uid="{27DEA7F4-BC61-4B3A-93B9-7D36B1525318}" name="Nº" dataDxfId="1298"/>
    <tableColumn id="4" xr3:uid="{D7A6F332-CC1D-4688-A13A-68D70CDC8A65}" name="QUANT." dataDxfId="1297"/>
    <tableColumn id="5" xr3:uid="{57AE8788-D641-4F18-B727-5A14B74B8D2E}" name="C. UNIT" dataDxfId="1296" dataCellStyle="Vírgula">
      <calculatedColumnFormula>IFERROR(VLOOKUP(F11,Tabela7[[RECURSO]:[CUSTO]],3,FALSE),0)</calculatedColumnFormula>
    </tableColumn>
    <tableColumn id="6" xr3:uid="{71C5E111-9CD8-4346-B255-4C4C2EC417DD}" name="C. TOTAL" dataDxfId="1295" dataCellStyle="Vírgula">
      <calculatedColumnFormula>IFERROR(VLOOKUP(G11,Tabela7[[RECURSO]:[CUSTO]],3),0)</calculatedColumnFormula>
    </tableColumn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E5547D1F-9660-419D-8AF1-B660314545CF}" name="Realizado646" displayName="Realizado646" ref="AD10:CD62" totalsRowShown="0" headerRowDxfId="1294">
  <autoFilter ref="AD10:CD62" xr:uid="{00000000-0009-0000-0100-000006000000}"/>
  <tableColumns count="53">
    <tableColumn id="1" xr3:uid="{20E8CA2E-DF44-48B8-85A8-80BB34267ADA}" name="serviço" dataDxfId="1293">
      <calculatedColumnFormula>$B$3</calculatedColumnFormula>
    </tableColumn>
    <tableColumn id="2" xr3:uid="{9FF5F776-42ED-433F-A7CB-7D27044E2B9D}" name="Nº" dataDxfId="1292"/>
    <tableColumn id="3" xr3:uid="{AD84970C-84FF-46F1-9401-A1B6C4AA214E}" name="QUANT." dataDxfId="1291" dataCellStyle="Vírgula">
      <calculatedColumnFormula>AJ11+AN11+AR11+AV11+AZ11+BD11+BH11+BL11+BP11+BT11+BX11+CB11</calculatedColumnFormula>
    </tableColumn>
    <tableColumn id="4" xr3:uid="{8BCA4AE8-C9C6-4256-BAE9-DD69A9CF64DA}" name="C. UNIT" dataDxfId="1290" dataCellStyle="Vírgula">
      <calculatedColumnFormula>IFERROR(AH11/AF11,0)</calculatedColumnFormula>
    </tableColumn>
    <tableColumn id="5" xr3:uid="{A051BB5E-1AE5-4D1A-9FAA-CD2C42973D4E}" name="C. TOTAL" dataDxfId="1289" dataCellStyle="Vírgula">
      <calculatedColumnFormula>AL11+AP11+AT11+AX11+BB11+BF11+BJ11+BN11+BR11+BV11+BZ11+CD11</calculatedColumnFormula>
    </tableColumn>
    <tableColumn id="6" xr3:uid="{B69DFE97-37AF-45FE-AB1E-02D9EF31068C}" name="Nº1" dataDxfId="1288"/>
    <tableColumn id="7" xr3:uid="{9D7E4C58-ABFF-4135-9D15-9A70BF1A9481}" name="QUANT.1" dataDxfId="1287" dataCellStyle="Vírgula"/>
    <tableColumn id="8" xr3:uid="{A82B9F53-7E30-48C0-8F1A-DB95F006D17F}" name="C. UNIT1" dataDxfId="1286" dataCellStyle="Vírgula"/>
    <tableColumn id="9" xr3:uid="{65A7DDFF-098A-4136-806F-2F52A14757B4}" name="C. TOTAL1" dataDxfId="1285" dataCellStyle="Vírgula">
      <calculatedColumnFormula>AJ11*AK11</calculatedColumnFormula>
    </tableColumn>
    <tableColumn id="10" xr3:uid="{8F2D405E-015A-406F-810E-A6EB9885562B}" name="Nº2" dataDxfId="1284"/>
    <tableColumn id="11" xr3:uid="{B94E57CD-4CF1-4397-8862-26B7C48FC08A}" name="QUANT.2" dataDxfId="1283" dataCellStyle="Vírgula"/>
    <tableColumn id="12" xr3:uid="{E47B7CD4-6C07-4B85-A875-914BB3A967AE}" name="C. UNIT2" dataDxfId="1282" dataCellStyle="Vírgula"/>
    <tableColumn id="13" xr3:uid="{38FAB96D-842F-4934-B5EF-DA9CBE2CF88A}" name="C. TOTAL2" dataDxfId="1281" dataCellStyle="Vírgula">
      <calculatedColumnFormula>AN11*AO11</calculatedColumnFormula>
    </tableColumn>
    <tableColumn id="14" xr3:uid="{CC450A0C-14AF-4674-8DC3-D1D595B02482}" name="Nº3" dataDxfId="1280"/>
    <tableColumn id="15" xr3:uid="{690909AF-6B83-42EC-B3E7-D0F0E35CC27E}" name="QUANT.3" dataDxfId="1279" dataCellStyle="Vírgula"/>
    <tableColumn id="16" xr3:uid="{FA7B87DC-9D36-4F5B-BFA0-40488721AA1F}" name="C. UNIT3" dataDxfId="1278" dataCellStyle="Vírgula"/>
    <tableColumn id="17" xr3:uid="{D5FA016F-29D6-4B8F-A6AA-D3F1C94CA1F2}" name="C. TOTAL3" dataDxfId="1277" dataCellStyle="Vírgula">
      <calculatedColumnFormula>AR11*AS11</calculatedColumnFormula>
    </tableColumn>
    <tableColumn id="18" xr3:uid="{9F39692B-C51D-4B63-8FD6-1E75E7E405FA}" name="Nº4" dataDxfId="1276"/>
    <tableColumn id="19" xr3:uid="{8C95716E-3757-470D-BFB0-1015849B25D1}" name="QUANT.4" dataDxfId="1275" dataCellStyle="Vírgula"/>
    <tableColumn id="20" xr3:uid="{94BF00BF-719B-40AE-93CD-93F7E137BF5E}" name="C. UNIT4" dataDxfId="1274" dataCellStyle="Vírgula"/>
    <tableColumn id="21" xr3:uid="{68272193-56CD-454D-8810-F3ABA0E00AE2}" name="C. TOTAL4" dataDxfId="1273" dataCellStyle="Vírgula">
      <calculatedColumnFormula>AV11*AW11</calculatedColumnFormula>
    </tableColumn>
    <tableColumn id="22" xr3:uid="{3BA0D010-4BAE-4836-80D1-AB3CE1729FA7}" name="Nº5" dataDxfId="1272"/>
    <tableColumn id="23" xr3:uid="{165A572F-E179-4891-880F-F0C40F520C38}" name="QUANT.5" dataDxfId="1271" dataCellStyle="Vírgula"/>
    <tableColumn id="24" xr3:uid="{38D2B207-C767-457B-9A8F-21DC076E1F74}" name="C. UNIT5" dataDxfId="1270" dataCellStyle="Vírgula"/>
    <tableColumn id="25" xr3:uid="{F02C1B83-B2BA-4B67-89D5-7274559912D3}" name="C. TOTAL5" dataDxfId="1269" dataCellStyle="Vírgula">
      <calculatedColumnFormula>AZ11*BA11</calculatedColumnFormula>
    </tableColumn>
    <tableColumn id="26" xr3:uid="{F5B27447-C9D4-4424-A561-617544B174FB}" name="Nº6" dataDxfId="1268"/>
    <tableColumn id="27" xr3:uid="{8DC6A6A8-0496-4EB9-9409-737A0C20A98D}" name="QUANT.6" dataDxfId="1267" dataCellStyle="Vírgula"/>
    <tableColumn id="28" xr3:uid="{A70790C7-0045-43A5-970A-7673852A30F7}" name="C. UNIT6" dataDxfId="1266" dataCellStyle="Vírgula"/>
    <tableColumn id="29" xr3:uid="{47EAE994-D150-48B0-897E-BCB224E8861E}" name="C. TOTAL6" dataDxfId="1265" dataCellStyle="Vírgula">
      <calculatedColumnFormula>BD11*BE11</calculatedColumnFormula>
    </tableColumn>
    <tableColumn id="30" xr3:uid="{07EF18D4-B4E2-4B59-9313-707882CCF08A}" name="Nº7" dataDxfId="1264"/>
    <tableColumn id="31" xr3:uid="{1D9CE1AD-B6F9-4BCC-8A25-5D6806A60E36}" name="QUANT.7" dataDxfId="1263" dataCellStyle="Vírgula"/>
    <tableColumn id="32" xr3:uid="{A1C44A10-E822-4DE7-934B-5D3D21004124}" name="C. UNIT7" dataDxfId="1262" dataCellStyle="Vírgula"/>
    <tableColumn id="33" xr3:uid="{A5A93679-70AF-420E-BD79-7D2963B5F647}" name="C. TOTAL7" dataDxfId="1261" dataCellStyle="Vírgula">
      <calculatedColumnFormula>BH11*BI11</calculatedColumnFormula>
    </tableColumn>
    <tableColumn id="34" xr3:uid="{32AD31AC-5233-4A1E-962B-E618707EA12E}" name="Nº8" dataDxfId="1260"/>
    <tableColumn id="35" xr3:uid="{EBE5EE28-4F1C-44A2-AFC5-53555C534A42}" name="QUANT.8" dataDxfId="1259" dataCellStyle="Vírgula"/>
    <tableColumn id="36" xr3:uid="{1168BC11-5831-43FB-866C-299E4E963717}" name="C. UNIT8" dataDxfId="1258" dataCellStyle="Vírgula"/>
    <tableColumn id="37" xr3:uid="{60F9042B-BD17-40CA-BDE8-0EA18B287314}" name="C. TOTAL8" dataDxfId="1257" dataCellStyle="Vírgula">
      <calculatedColumnFormula>BL11*BM11</calculatedColumnFormula>
    </tableColumn>
    <tableColumn id="38" xr3:uid="{73432CF0-730F-4C9E-8884-F67532F83D96}" name="Nº9" dataDxfId="1256"/>
    <tableColumn id="39" xr3:uid="{0F1F4D10-CE28-4E72-B304-B6372095C296}" name="QUANT.9" dataDxfId="1255" dataCellStyle="Vírgula"/>
    <tableColumn id="40" xr3:uid="{06E21BAF-787A-408A-886E-4E68F9ABACD8}" name="C. UNIT9" dataDxfId="1254" dataCellStyle="Vírgula"/>
    <tableColumn id="41" xr3:uid="{46426BFD-B460-473B-8E16-63FCBC159272}" name="C. TOTAL9" dataDxfId="1253" dataCellStyle="Vírgula">
      <calculatedColumnFormula>BP11*BQ11</calculatedColumnFormula>
    </tableColumn>
    <tableColumn id="42" xr3:uid="{5057E5FE-77C8-4F4E-89EA-2BC89AE8BC1C}" name="Nº10" dataDxfId="1252"/>
    <tableColumn id="43" xr3:uid="{8C8B063C-8106-4612-A6E5-E7B0A04B1CF9}" name="QUANT.10" dataDxfId="1251" dataCellStyle="Vírgula"/>
    <tableColumn id="44" xr3:uid="{6631171D-27E2-4DE5-838F-BB110BEE39DC}" name="C. UNIT10" dataDxfId="1250" dataCellStyle="Vírgula"/>
    <tableColumn id="45" xr3:uid="{39B22A00-DD2E-4F25-A3D1-96ECDFD91673}" name="C. TOTAL10" dataDxfId="1249" dataCellStyle="Vírgula">
      <calculatedColumnFormula>BT11*BU11</calculatedColumnFormula>
    </tableColumn>
    <tableColumn id="46" xr3:uid="{A8259E96-2344-42D5-83EA-E034054BD389}" name="Nº11" dataDxfId="1248"/>
    <tableColumn id="47" xr3:uid="{4CA10275-40F6-4715-83C0-82E66B711C09}" name="QUANT.11" dataDxfId="1247" dataCellStyle="Vírgula"/>
    <tableColumn id="48" xr3:uid="{6EB2DE82-1EF8-4371-9D04-51A7E2DA3E17}" name="C. UNIT11" dataDxfId="1246" dataCellStyle="Vírgula"/>
    <tableColumn id="49" xr3:uid="{F8787D42-02EE-4748-B15A-60B416DAFD5A}" name="C. TOTAL11" dataDxfId="1245" dataCellStyle="Vírgula">
      <calculatedColumnFormula>BX11*BY11</calculatedColumnFormula>
    </tableColumn>
    <tableColumn id="50" xr3:uid="{8DF24F37-C5AA-4EEF-AC33-51A5BB0B04EB}" name="Nº12" dataDxfId="1244"/>
    <tableColumn id="51" xr3:uid="{B21F7DC6-9AC4-41EF-923A-2836E989DAE8}" name="QUANT.12" dataDxfId="1243" dataCellStyle="Vírgula"/>
    <tableColumn id="52" xr3:uid="{2AEE8C82-ABD1-4DFF-B236-B8E9CC5EBD32}" name="C. UNIT12" dataDxfId="1242" dataCellStyle="Vírgula"/>
    <tableColumn id="53" xr3:uid="{CD49CE6A-59F4-4EDA-B269-497BBBB918D6}" name="C. TOTAL12" dataDxfId="1241" dataCellStyle="Vírgula">
      <calculatedColumnFormula>CB11*CC11</calculatedColumnFormula>
    </tableColumn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3CE34120-DEFC-4F49-BAEC-B69B4BC9CC65}" name="CPU_43" displayName="CPU_43" ref="B10:K62" totalsRowShown="0" headerRowDxfId="1240" tableBorderDxfId="1239">
  <autoFilter ref="B10:K62" xr:uid="{00000000-0009-0000-0100-000020000000}"/>
  <tableColumns count="10">
    <tableColumn id="1" xr3:uid="{65C23B59-20B9-4FE7-A448-AC4533504390}" name="CODIGO" dataDxfId="1238"/>
    <tableColumn id="8" xr3:uid="{6C8771FB-3CA6-4652-9800-4AEAA5957F75}" name="SERVIÇO" dataDxfId="1237">
      <calculatedColumnFormula>$A$3</calculatedColumnFormula>
    </tableColumn>
    <tableColumn id="9" xr3:uid="{89559294-F95D-4CC6-8D33-FCA3EF5F226F}" name="PRODUÇÃO" dataDxfId="1236">
      <calculatedColumnFormula>$B$6</calculatedColumnFormula>
    </tableColumn>
    <tableColumn id="10" xr3:uid="{D45F9444-5DCE-4F4A-8FA0-573907D66E97}" name="QTDE_TOTAL" dataDxfId="1235">
      <calculatedColumnFormula>$B$7</calculatedColumnFormula>
    </tableColumn>
    <tableColumn id="2" xr3:uid="{B9713228-4FF0-4F27-9998-18E25718091F}" name="DESCRIÇÃO" dataDxfId="1234"/>
    <tableColumn id="3" xr3:uid="{4AC0832B-0F35-4554-A429-3C54FC040AF5}" name="UNID" dataDxfId="1233">
      <calculatedColumnFormula>IFERROR(VLOOKUP(F11,Tabela7[[RECURSO]:[CUSTO]],2,FALSE),"")</calculatedColumnFormula>
    </tableColumn>
    <tableColumn id="7" xr3:uid="{F7DB3935-519A-4EF3-8D97-4DA4D352760A}" name="Nº" dataDxfId="1232"/>
    <tableColumn id="4" xr3:uid="{ACBB8FC2-AF85-4F30-AA3D-6137B8F5A81C}" name="QUANT." dataDxfId="1231"/>
    <tableColumn id="5" xr3:uid="{6A702A9E-7EF8-475A-8792-962980449B13}" name="C. UNIT" dataDxfId="1230" dataCellStyle="Vírgula">
      <calculatedColumnFormula>IFERROR(VLOOKUP(F11,Tabela7[[RECURSO]:[CUSTO]],3,FALSE),0)</calculatedColumnFormula>
    </tableColumn>
    <tableColumn id="6" xr3:uid="{404842F8-3FA5-4873-8854-89F89FA9D0A2}" name="C. TOTAL" dataDxfId="1229" dataCellStyle="Vírgula">
      <calculatedColumnFormula>IFERROR(VLOOKUP(G11,Tabela7[[RECURSO]:[CUSTO]],3),0)</calculatedColumnFormula>
    </tableColumn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9EED49E-D2E3-48C8-BB2F-40A9BC0D231C}" name="Realizado644" displayName="Realizado644" ref="AD10:CD62" totalsRowShown="0" headerRowDxfId="1228">
  <autoFilter ref="AD10:CD62" xr:uid="{00000000-0009-0000-0100-000006000000}"/>
  <tableColumns count="53">
    <tableColumn id="1" xr3:uid="{53313B13-D440-4162-850D-DC4AD59F5714}" name="serviço" dataDxfId="1227">
      <calculatedColumnFormula>$B$3</calculatedColumnFormula>
    </tableColumn>
    <tableColumn id="2" xr3:uid="{5D739AE9-3CA2-486D-927F-6EE4ABE62EEE}" name="Nº" dataDxfId="1226"/>
    <tableColumn id="3" xr3:uid="{AB53AEDE-4B98-4F43-8AB9-D8FE27A6EBF0}" name="QUANT." dataDxfId="1225" dataCellStyle="Vírgula">
      <calculatedColumnFormula>AJ11+AN11+AR11+AV11+AZ11+BD11+BH11+BL11+BP11+BT11+BX11+CB11</calculatedColumnFormula>
    </tableColumn>
    <tableColumn id="4" xr3:uid="{6DE4C6C7-861A-411F-98DF-F4103CA9FCF5}" name="C. UNIT" dataDxfId="1224" dataCellStyle="Vírgula">
      <calculatedColumnFormula>IFERROR(AH11/AF11,0)</calculatedColumnFormula>
    </tableColumn>
    <tableColumn id="5" xr3:uid="{0E572831-5A0E-471F-8AA0-0C1428219884}" name="C. TOTAL" dataDxfId="1223" dataCellStyle="Vírgula">
      <calculatedColumnFormula>AL11+AP11+AT11+AX11+BB11+BF11+BJ11+BN11+BR11+BV11+BZ11+CD11</calculatedColumnFormula>
    </tableColumn>
    <tableColumn id="6" xr3:uid="{7BBB0638-FAD6-45CA-9650-82BB6675257E}" name="Nº1" dataDxfId="1222"/>
    <tableColumn id="7" xr3:uid="{FFA3FC40-F138-45D7-A0E2-1528D0E5706F}" name="QUANT.1" dataDxfId="1221" dataCellStyle="Vírgula"/>
    <tableColumn id="8" xr3:uid="{7DC9117D-2CD6-4A20-BAA1-DD08405A84E5}" name="C. UNIT1" dataDxfId="1220" dataCellStyle="Vírgula"/>
    <tableColumn id="9" xr3:uid="{1A207FF8-CD4B-457A-9E49-BADDCBA17A6D}" name="C. TOTAL1" dataDxfId="1219" dataCellStyle="Vírgula">
      <calculatedColumnFormula>AJ11*AK11</calculatedColumnFormula>
    </tableColumn>
    <tableColumn id="10" xr3:uid="{EEC3AF4C-2929-4D4A-9529-E65EB1CFD37A}" name="Nº2" dataDxfId="1218"/>
    <tableColumn id="11" xr3:uid="{3027CA5F-D5F7-4631-87BA-6F55B620FBAD}" name="QUANT.2" dataDxfId="1217" dataCellStyle="Vírgula"/>
    <tableColumn id="12" xr3:uid="{3FAA4D93-731E-43F2-A072-FC4C6C65A7F6}" name="C. UNIT2" dataDxfId="1216" dataCellStyle="Vírgula"/>
    <tableColumn id="13" xr3:uid="{076DDD13-F8AA-459D-ADCD-087E83E9EADE}" name="C. TOTAL2" dataDxfId="1215" dataCellStyle="Vírgula">
      <calculatedColumnFormula>AN11*AO11</calculatedColumnFormula>
    </tableColumn>
    <tableColumn id="14" xr3:uid="{52D1E461-335C-4CDC-935C-010788426101}" name="Nº3" dataDxfId="1214"/>
    <tableColumn id="15" xr3:uid="{10568DBE-1790-43A0-AC9B-578A4899FC6A}" name="QUANT.3" dataDxfId="1213" dataCellStyle="Vírgula"/>
    <tableColumn id="16" xr3:uid="{BD62EC77-3156-4E6E-9155-060CA363DDEA}" name="C. UNIT3" dataDxfId="1212" dataCellStyle="Vírgula"/>
    <tableColumn id="17" xr3:uid="{AE6863CD-BD4C-4DE8-881D-C5B4C8DA3431}" name="C. TOTAL3" dataDxfId="1211" dataCellStyle="Vírgula">
      <calculatedColumnFormula>AR11*AS11</calculatedColumnFormula>
    </tableColumn>
    <tableColumn id="18" xr3:uid="{46105DAB-B0F8-4880-AD33-219D3FD3E657}" name="Nº4" dataDxfId="1210"/>
    <tableColumn id="19" xr3:uid="{3D10A28D-1618-4084-906F-3C1DB3DA3371}" name="QUANT.4" dataDxfId="1209" dataCellStyle="Vírgula"/>
    <tableColumn id="20" xr3:uid="{A50B6DDA-5480-4616-A1AF-EC9E95ABC640}" name="C. UNIT4" dataDxfId="1208" dataCellStyle="Vírgula"/>
    <tableColumn id="21" xr3:uid="{9A072774-4F0C-4E11-9A27-75F5F88C2C38}" name="C. TOTAL4" dataDxfId="1207" dataCellStyle="Vírgula">
      <calculatedColumnFormula>AV11*AW11</calculatedColumnFormula>
    </tableColumn>
    <tableColumn id="22" xr3:uid="{59537816-E442-43B2-94C0-F071685DB769}" name="Nº5" dataDxfId="1206"/>
    <tableColumn id="23" xr3:uid="{6E8AC46E-10E2-494D-85BF-3E7A39C6E01E}" name="QUANT.5" dataDxfId="1205" dataCellStyle="Vírgula"/>
    <tableColumn id="24" xr3:uid="{22823A45-E665-45F3-BEBF-7E29A06B44B7}" name="C. UNIT5" dataDxfId="1204" dataCellStyle="Vírgula"/>
    <tableColumn id="25" xr3:uid="{F6232904-9952-4843-B07A-96FC81F3611D}" name="C. TOTAL5" dataDxfId="1203" dataCellStyle="Vírgula">
      <calculatedColumnFormula>AZ11*BA11</calculatedColumnFormula>
    </tableColumn>
    <tableColumn id="26" xr3:uid="{3817A1C8-E5EE-4F5F-851B-8ECDB608102D}" name="Nº6" dataDxfId="1202"/>
    <tableColumn id="27" xr3:uid="{70C5DB0F-05C3-4935-A7B2-646498F5F747}" name="QUANT.6" dataDxfId="1201" dataCellStyle="Vírgula"/>
    <tableColumn id="28" xr3:uid="{2F59C6BB-63F2-4879-9D4F-47B3FCAF9B26}" name="C. UNIT6" dataDxfId="1200" dataCellStyle="Vírgula"/>
    <tableColumn id="29" xr3:uid="{E341803A-5410-4288-B4F4-E221EB25A7AB}" name="C. TOTAL6" dataDxfId="1199" dataCellStyle="Vírgula">
      <calculatedColumnFormula>BD11*BE11</calculatedColumnFormula>
    </tableColumn>
    <tableColumn id="30" xr3:uid="{3CDDFED2-ED08-4CF6-98DE-DEF90118E338}" name="Nº7" dataDxfId="1198"/>
    <tableColumn id="31" xr3:uid="{48F73459-2D90-4373-BEE5-F3B8C7D07CF9}" name="QUANT.7" dataDxfId="1197" dataCellStyle="Vírgula"/>
    <tableColumn id="32" xr3:uid="{5CF77E0E-6E69-4835-95CC-25D71E86FC8C}" name="C. UNIT7" dataDxfId="1196" dataCellStyle="Vírgula"/>
    <tableColumn id="33" xr3:uid="{2F2F9233-CE9F-43FD-961D-39EB5484E67B}" name="C. TOTAL7" dataDxfId="1195" dataCellStyle="Vírgula">
      <calculatedColumnFormula>BH11*BI11</calculatedColumnFormula>
    </tableColumn>
    <tableColumn id="34" xr3:uid="{3E885C43-A257-40EA-BB67-01D43B0BE28B}" name="Nº8" dataDxfId="1194"/>
    <tableColumn id="35" xr3:uid="{2E307001-730D-425D-B352-3DCFAF0E48FD}" name="QUANT.8" dataDxfId="1193" dataCellStyle="Vírgula"/>
    <tableColumn id="36" xr3:uid="{241CD7D3-A4D5-459C-8147-1736427839ED}" name="C. UNIT8" dataDxfId="1192" dataCellStyle="Vírgula"/>
    <tableColumn id="37" xr3:uid="{87E25AC1-63C5-41FC-BF34-2ED810BDFA4D}" name="C. TOTAL8" dataDxfId="1191" dataCellStyle="Vírgula">
      <calculatedColumnFormula>BL11*BM11</calculatedColumnFormula>
    </tableColumn>
    <tableColumn id="38" xr3:uid="{B4EEE328-79F8-4DFD-9818-B8A139BFCFFA}" name="Nº9" dataDxfId="1190"/>
    <tableColumn id="39" xr3:uid="{1D279686-5F21-4A83-8EC2-10B0341BCDA6}" name="QUANT.9" dataDxfId="1189" dataCellStyle="Vírgula"/>
    <tableColumn id="40" xr3:uid="{D85BF151-0612-434D-B690-4F7EC2FF8542}" name="C. UNIT9" dataDxfId="1188" dataCellStyle="Vírgula"/>
    <tableColumn id="41" xr3:uid="{041F93F8-5DAE-4849-AB47-CF70F5DD00D9}" name="C. TOTAL9" dataDxfId="1187" dataCellStyle="Vírgula">
      <calculatedColumnFormula>BP11*BQ11</calculatedColumnFormula>
    </tableColumn>
    <tableColumn id="42" xr3:uid="{D293A864-D071-4B04-BF0C-F82B791FDF0C}" name="Nº10" dataDxfId="1186"/>
    <tableColumn id="43" xr3:uid="{26ED870F-E7BA-45B0-A189-D9D732B7EDB9}" name="QUANT.10" dataDxfId="1185" dataCellStyle="Vírgula"/>
    <tableColumn id="44" xr3:uid="{3F7B570D-F332-4614-9DDB-088BC081DDA0}" name="C. UNIT10" dataDxfId="1184" dataCellStyle="Vírgula"/>
    <tableColumn id="45" xr3:uid="{F120F7CA-53C1-431E-BBC5-9FBE6E225BCA}" name="C. TOTAL10" dataDxfId="1183" dataCellStyle="Vírgula">
      <calculatedColumnFormula>BT11*BU11</calculatedColumnFormula>
    </tableColumn>
    <tableColumn id="46" xr3:uid="{DAD2D868-BC3C-478C-865A-2074F0CBBC6C}" name="Nº11" dataDxfId="1182"/>
    <tableColumn id="47" xr3:uid="{8DB5AFA8-5F07-4AEA-B728-87688B578507}" name="QUANT.11" dataDxfId="1181" dataCellStyle="Vírgula"/>
    <tableColumn id="48" xr3:uid="{30EFFBE3-5039-41F3-92C3-66027C33CA76}" name="C. UNIT11" dataDxfId="1180" dataCellStyle="Vírgula"/>
    <tableColumn id="49" xr3:uid="{58D78268-59D1-4BD9-9F75-9C195EE180F3}" name="C. TOTAL11" dataDxfId="1179" dataCellStyle="Vírgula">
      <calculatedColumnFormula>BX11*BY11</calculatedColumnFormula>
    </tableColumn>
    <tableColumn id="50" xr3:uid="{94D7537F-1E40-4D43-9F4B-931CCDA8B69A}" name="Nº12" dataDxfId="1178"/>
    <tableColumn id="51" xr3:uid="{61E00AE6-9C61-4615-BE23-604F85321E52}" name="QUANT.12" dataDxfId="1177" dataCellStyle="Vírgula"/>
    <tableColumn id="52" xr3:uid="{AE51579D-A07A-4A67-BB9D-3B8AEE47020D}" name="C. UNIT12" dataDxfId="1176" dataCellStyle="Vírgula"/>
    <tableColumn id="53" xr3:uid="{6A661B61-1764-486C-8E88-412C8945606F}" name="C. TOTAL12" dataDxfId="1175" dataCellStyle="Vírgula">
      <calculatedColumnFormula>CB11*CC11</calculatedColumnFormula>
    </tableColumn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1B2BC2AA-B40F-4B82-8EE4-9E649E24FDC6}" name="CPU_41" displayName="CPU_41" ref="B10:K62" totalsRowShown="0" headerRowDxfId="1174" tableBorderDxfId="1173">
  <autoFilter ref="B10:K62" xr:uid="{00000000-0009-0000-0100-000020000000}"/>
  <tableColumns count="10">
    <tableColumn id="1" xr3:uid="{EA751D98-5ABA-4C2D-98CF-A6F59090EE64}" name="CODIGO" dataDxfId="1172"/>
    <tableColumn id="8" xr3:uid="{2421CCF7-A042-4D05-8D37-9519307EB34A}" name="SERVIÇO" dataDxfId="1171">
      <calculatedColumnFormula>$A$3</calculatedColumnFormula>
    </tableColumn>
    <tableColumn id="9" xr3:uid="{BF4C94AB-C83E-45FF-B674-896BF6F6B97A}" name="PRODUÇÃO" dataDxfId="1170">
      <calculatedColumnFormula>$B$6</calculatedColumnFormula>
    </tableColumn>
    <tableColumn id="10" xr3:uid="{AFCF884F-240E-44A7-8211-142BA52EAA97}" name="QTDE_TOTAL" dataDxfId="1169">
      <calculatedColumnFormula>$B$7</calculatedColumnFormula>
    </tableColumn>
    <tableColumn id="2" xr3:uid="{C747AC6F-853C-4C35-9497-EEE234B4DCFC}" name="DESCRIÇÃO" dataDxfId="1168"/>
    <tableColumn id="3" xr3:uid="{F73440D4-228F-4F5A-B501-9B187CBFADFA}" name="UNID" dataDxfId="1167">
      <calculatedColumnFormula>IFERROR(VLOOKUP(F11,Tabela7[[RECURSO]:[CUSTO]],2,FALSE),"")</calculatedColumnFormula>
    </tableColumn>
    <tableColumn id="7" xr3:uid="{738C8EE5-EE9C-4455-9612-45AF71A89413}" name="Nº" dataDxfId="1166"/>
    <tableColumn id="4" xr3:uid="{ACB63DCA-83B5-4F8E-86FC-A325143BB3C4}" name="QUANT." dataDxfId="1165"/>
    <tableColumn id="5" xr3:uid="{2A210020-6F2C-4061-ABEE-412181DFF003}" name="C. UNIT" dataDxfId="1164" dataCellStyle="Vírgula">
      <calculatedColumnFormula>IFERROR(VLOOKUP(F11,Tabela7[[RECURSO]:[CUSTO]],3,FALSE),0)</calculatedColumnFormula>
    </tableColumn>
    <tableColumn id="6" xr3:uid="{D5D589A3-F7D7-4E1D-8FF9-58ABDDB4C30E}" name="C. TOTAL" dataDxfId="1163" dataCellStyle="Vírgula">
      <calculatedColumnFormula>IFERROR(VLOOKUP(G11,Tabela7[[RECURSO]:[CUSTO]],3),0)</calculatedColumnFormula>
    </tableColumn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A354BE69-0C73-4242-9C17-31113259F931}" name="Realizado642" displayName="Realizado642" ref="AD10:CD62" totalsRowShown="0" headerRowDxfId="1162">
  <autoFilter ref="AD10:CD62" xr:uid="{00000000-0009-0000-0100-000006000000}"/>
  <tableColumns count="53">
    <tableColumn id="1" xr3:uid="{EA0EAAFE-966F-431C-8142-E75059F0538D}" name="serviço" dataDxfId="1161">
      <calculatedColumnFormula>$B$3</calculatedColumnFormula>
    </tableColumn>
    <tableColumn id="2" xr3:uid="{AEA6C9D4-D22A-4CC5-B0DE-3AAF5F169DB7}" name="Nº" dataDxfId="1160"/>
    <tableColumn id="3" xr3:uid="{5CEC618F-11D5-4B05-B1EC-E4D3807FEBBC}" name="QUANT." dataDxfId="1159" dataCellStyle="Vírgula">
      <calculatedColumnFormula>AJ11+AN11+AR11+AV11+AZ11+BD11+BH11+BL11+BP11+BT11+BX11+CB11</calculatedColumnFormula>
    </tableColumn>
    <tableColumn id="4" xr3:uid="{D6B13AB0-EEFE-4C66-A671-6AC3F0976B9E}" name="C. UNIT" dataDxfId="1158" dataCellStyle="Vírgula">
      <calculatedColumnFormula>IFERROR(AH11/AF11,0)</calculatedColumnFormula>
    </tableColumn>
    <tableColumn id="5" xr3:uid="{4A66278E-9948-4F66-ABED-F50ACD7065F1}" name="C. TOTAL" dataDxfId="1157" dataCellStyle="Vírgula">
      <calculatedColumnFormula>AL11+AP11+AT11+AX11+BB11+BF11+BJ11+BN11+BR11+BV11+BZ11+CD11</calculatedColumnFormula>
    </tableColumn>
    <tableColumn id="6" xr3:uid="{FF3F9DBA-2278-4CAC-9C91-29662D4ECDE9}" name="Nº1" dataDxfId="1156"/>
    <tableColumn id="7" xr3:uid="{A49D00D0-08CA-4CCE-B6CC-BF0088001B2F}" name="QUANT.1" dataDxfId="1155" dataCellStyle="Vírgula"/>
    <tableColumn id="8" xr3:uid="{DE8DCAEC-E2CB-4BFF-86BC-60C078F7968F}" name="C. UNIT1" dataDxfId="1154" dataCellStyle="Vírgula"/>
    <tableColumn id="9" xr3:uid="{3CB87DF8-DAA2-40EB-A651-4CDDC265BC32}" name="C. TOTAL1" dataDxfId="1153" dataCellStyle="Vírgula">
      <calculatedColumnFormula>AJ11*AK11</calculatedColumnFormula>
    </tableColumn>
    <tableColumn id="10" xr3:uid="{608EDF31-173E-4084-8DCE-E9A7CA32D414}" name="Nº2" dataDxfId="1152"/>
    <tableColumn id="11" xr3:uid="{9AD05A23-A45B-4B94-84BE-609F58529895}" name="QUANT.2" dataDxfId="1151" dataCellStyle="Vírgula"/>
    <tableColumn id="12" xr3:uid="{7173F2A7-323A-4721-8B0A-F8348EE72408}" name="C. UNIT2" dataDxfId="1150" dataCellStyle="Vírgula"/>
    <tableColumn id="13" xr3:uid="{CB3EED89-691D-4F69-83E0-38041B966B92}" name="C. TOTAL2" dataDxfId="1149" dataCellStyle="Vírgula">
      <calculatedColumnFormula>AN11*AO11</calculatedColumnFormula>
    </tableColumn>
    <tableColumn id="14" xr3:uid="{637EF66F-1684-4E6C-AA15-6A2D7B47DDD9}" name="Nº3" dataDxfId="1148"/>
    <tableColumn id="15" xr3:uid="{3C830AFF-47AA-4F6A-8302-A4018512E8B3}" name="QUANT.3" dataDxfId="1147" dataCellStyle="Vírgula"/>
    <tableColumn id="16" xr3:uid="{A5C9E247-885E-4CC6-A174-00E92DAA45A7}" name="C. UNIT3" dataDxfId="1146" dataCellStyle="Vírgula"/>
    <tableColumn id="17" xr3:uid="{D13B613B-F948-4DCD-A582-86CFE2A0CC2D}" name="C. TOTAL3" dataDxfId="1145" dataCellStyle="Vírgula">
      <calculatedColumnFormula>AR11*AS11</calculatedColumnFormula>
    </tableColumn>
    <tableColumn id="18" xr3:uid="{8AEC2454-2598-408F-AC7C-8B10484F9049}" name="Nº4" dataDxfId="1144"/>
    <tableColumn id="19" xr3:uid="{539A5068-2908-4307-AD2D-EF85EA1EDBC4}" name="QUANT.4" dataDxfId="1143" dataCellStyle="Vírgula"/>
    <tableColumn id="20" xr3:uid="{18F6EB58-3AEE-4407-98B8-4B3B792DE19C}" name="C. UNIT4" dataDxfId="1142" dataCellStyle="Vírgula"/>
    <tableColumn id="21" xr3:uid="{3C405848-F188-4095-B85A-863FE667C181}" name="C. TOTAL4" dataDxfId="1141" dataCellStyle="Vírgula">
      <calculatedColumnFormula>AV11*AW11</calculatedColumnFormula>
    </tableColumn>
    <tableColumn id="22" xr3:uid="{90BF9493-A94C-4ED4-A1DF-0B06CF3382E2}" name="Nº5" dataDxfId="1140"/>
    <tableColumn id="23" xr3:uid="{7958C29B-EE54-450A-8B25-636FF9F25D73}" name="QUANT.5" dataDxfId="1139" dataCellStyle="Vírgula"/>
    <tableColumn id="24" xr3:uid="{75DB484C-6638-44DF-BF1B-2B480F3BD56C}" name="C. UNIT5" dataDxfId="1138" dataCellStyle="Vírgula"/>
    <tableColumn id="25" xr3:uid="{5B6D8EAB-BCEE-4C49-B894-16854CA3C47D}" name="C. TOTAL5" dataDxfId="1137" dataCellStyle="Vírgula">
      <calculatedColumnFormula>AZ11*BA11</calculatedColumnFormula>
    </tableColumn>
    <tableColumn id="26" xr3:uid="{B79DBE3D-76E1-483E-9784-ED2A928F97F7}" name="Nº6" dataDxfId="1136"/>
    <tableColumn id="27" xr3:uid="{F52FAC99-7046-4683-A532-6EB08D13C612}" name="QUANT.6" dataDxfId="1135" dataCellStyle="Vírgula"/>
    <tableColumn id="28" xr3:uid="{EAB37542-C27C-401E-A436-E8DCD6F87EDF}" name="C. UNIT6" dataDxfId="1134" dataCellStyle="Vírgula"/>
    <tableColumn id="29" xr3:uid="{040F3BDA-76F5-4001-BA79-075E066C8D20}" name="C. TOTAL6" dataDxfId="1133" dataCellStyle="Vírgula">
      <calculatedColumnFormula>BD11*BE11</calculatedColumnFormula>
    </tableColumn>
    <tableColumn id="30" xr3:uid="{063E680C-F68F-4B87-9BB4-3B274E1CFAA5}" name="Nº7" dataDxfId="1132"/>
    <tableColumn id="31" xr3:uid="{07387FC2-0206-4BAC-86F3-47833F222C3F}" name="QUANT.7" dataDxfId="1131" dataCellStyle="Vírgula"/>
    <tableColumn id="32" xr3:uid="{B2EC7874-9F7C-4D05-83C4-670AE057FAD2}" name="C. UNIT7" dataDxfId="1130" dataCellStyle="Vírgula"/>
    <tableColumn id="33" xr3:uid="{1F5A5D83-9610-4690-A6E0-3F248E40981B}" name="C. TOTAL7" dataDxfId="1129" dataCellStyle="Vírgula">
      <calculatedColumnFormula>BH11*BI11</calculatedColumnFormula>
    </tableColumn>
    <tableColumn id="34" xr3:uid="{BF228BFD-1AAB-454A-B4DE-476BA37B3BF4}" name="Nº8" dataDxfId="1128"/>
    <tableColumn id="35" xr3:uid="{C3423EFF-A53D-4388-B966-3AFC2FF52E60}" name="QUANT.8" dataDxfId="1127" dataCellStyle="Vírgula"/>
    <tableColumn id="36" xr3:uid="{D378D292-B89B-4A64-97C6-6456842CE5ED}" name="C. UNIT8" dataDxfId="1126" dataCellStyle="Vírgula"/>
    <tableColumn id="37" xr3:uid="{5403E0A2-ADF5-4EA0-8C2C-6377EBCD3CF8}" name="C. TOTAL8" dataDxfId="1125" dataCellStyle="Vírgula">
      <calculatedColumnFormula>BL11*BM11</calculatedColumnFormula>
    </tableColumn>
    <tableColumn id="38" xr3:uid="{139F0249-55E7-490C-9F13-BCA691318153}" name="Nº9" dataDxfId="1124"/>
    <tableColumn id="39" xr3:uid="{2DEB5112-9801-4D50-AE26-54FA4D7F2D5D}" name="QUANT.9" dataDxfId="1123" dataCellStyle="Vírgula"/>
    <tableColumn id="40" xr3:uid="{1E4B1A18-8BA3-4C86-8B58-3BF1DE7D75DA}" name="C. UNIT9" dataDxfId="1122" dataCellStyle="Vírgula"/>
    <tableColumn id="41" xr3:uid="{81C461F1-6A87-49A6-BF18-FC12B2904028}" name="C. TOTAL9" dataDxfId="1121" dataCellStyle="Vírgula">
      <calculatedColumnFormula>BP11*BQ11</calculatedColumnFormula>
    </tableColumn>
    <tableColumn id="42" xr3:uid="{D182D43F-C231-46A9-92A1-407680155D73}" name="Nº10" dataDxfId="1120"/>
    <tableColumn id="43" xr3:uid="{1AF3C21F-A810-4018-9687-253EA12D04B0}" name="QUANT.10" dataDxfId="1119" dataCellStyle="Vírgula"/>
    <tableColumn id="44" xr3:uid="{3994C922-BD53-4CE5-B60D-18A1E525CC84}" name="C. UNIT10" dataDxfId="1118" dataCellStyle="Vírgula"/>
    <tableColumn id="45" xr3:uid="{255702F4-8765-47BE-AD92-A9D93B4424E0}" name="C. TOTAL10" dataDxfId="1117" dataCellStyle="Vírgula">
      <calculatedColumnFormula>BT11*BU11</calculatedColumnFormula>
    </tableColumn>
    <tableColumn id="46" xr3:uid="{FEBC2C7D-9B73-4844-813E-21739CE1F8C8}" name="Nº11" dataDxfId="1116"/>
    <tableColumn id="47" xr3:uid="{4F4E25D8-6748-4B58-938C-B7551ABFB725}" name="QUANT.11" dataDxfId="1115" dataCellStyle="Vírgula"/>
    <tableColumn id="48" xr3:uid="{2DC0B825-6469-42AF-8F8C-210E1DED2331}" name="C. UNIT11" dataDxfId="1114" dataCellStyle="Vírgula"/>
    <tableColumn id="49" xr3:uid="{957855D1-AA42-4C4F-9A40-289A835BE45F}" name="C. TOTAL11" dataDxfId="1113" dataCellStyle="Vírgula">
      <calculatedColumnFormula>BX11*BY11</calculatedColumnFormula>
    </tableColumn>
    <tableColumn id="50" xr3:uid="{A46708B7-AA38-4504-B880-A89253F86ED2}" name="Nº12" dataDxfId="1112"/>
    <tableColumn id="51" xr3:uid="{07611CA3-298B-4EAF-BF01-C942409E7406}" name="QUANT.12" dataDxfId="1111" dataCellStyle="Vírgula"/>
    <tableColumn id="52" xr3:uid="{F4674A68-9B90-4EEC-8D66-D2762EF0A1AB}" name="C. UNIT12" dataDxfId="1110" dataCellStyle="Vírgula"/>
    <tableColumn id="53" xr3:uid="{BF23D3EE-5663-48D9-BE8C-7E31A4D5CC6E}" name="C. TOTAL12" dataDxfId="1109" dataCellStyle="Vírgula">
      <calculatedColumnFormula>CB11*CC11</calculatedColumnFormula>
    </tableColumn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B97416CE-0731-47D3-89B0-20822DAF17A0}" name="CPU_39" displayName="CPU_39" ref="B10:K62" totalsRowShown="0" headerRowDxfId="1108" tableBorderDxfId="1107">
  <autoFilter ref="B10:K62" xr:uid="{00000000-0009-0000-0100-000020000000}"/>
  <tableColumns count="10">
    <tableColumn id="1" xr3:uid="{6A97C4D7-93F3-4DC9-A5AF-375B99B2F5EA}" name="CODIGO" dataDxfId="1106"/>
    <tableColumn id="8" xr3:uid="{56A15CCF-AB81-4828-85CA-DD7587EC98C4}" name="SERVIÇO" dataDxfId="1105">
      <calculatedColumnFormula>$A$3</calculatedColumnFormula>
    </tableColumn>
    <tableColumn id="9" xr3:uid="{47A2D6EC-6A88-4228-BD67-ED654D64EC2B}" name="PRODUÇÃO" dataDxfId="1104">
      <calculatedColumnFormula>$B$6</calculatedColumnFormula>
    </tableColumn>
    <tableColumn id="10" xr3:uid="{D89C238F-9898-4191-858A-751DF17BC668}" name="QTDE_TOTAL" dataDxfId="1103">
      <calculatedColumnFormula>$B$7</calculatedColumnFormula>
    </tableColumn>
    <tableColumn id="2" xr3:uid="{41FAD422-CD6F-40A2-B168-0C77FCCA5A36}" name="DESCRIÇÃO" dataDxfId="1102"/>
    <tableColumn id="3" xr3:uid="{8F111E0F-5EB4-4161-A30C-C16A48B0219A}" name="UNID" dataDxfId="1101">
      <calculatedColumnFormula>IFERROR(VLOOKUP(F11,Tabela7[[RECURSO]:[CUSTO]],2,FALSE),"")</calculatedColumnFormula>
    </tableColumn>
    <tableColumn id="7" xr3:uid="{E1034B89-9A5F-414D-887C-2105421C411F}" name="Nº" dataDxfId="1100"/>
    <tableColumn id="4" xr3:uid="{7A94FF52-FD12-4E82-8274-1C3E927593FF}" name="QUANT." dataDxfId="1099"/>
    <tableColumn id="5" xr3:uid="{52DD3FD0-6996-44FC-A09D-696DBFBC409A}" name="C. UNIT" dataDxfId="1098" dataCellStyle="Vírgula">
      <calculatedColumnFormula>IFERROR(VLOOKUP(F11,Tabela7[[RECURSO]:[CUSTO]],3,FALSE),0)</calculatedColumnFormula>
    </tableColumn>
    <tableColumn id="6" xr3:uid="{C8FFC5FD-5459-403D-A22F-05BA7D0144A3}" name="C. TOTAL" dataDxfId="1097" dataCellStyle="Vírgula">
      <calculatedColumnFormula>IFERROR(VLOOKUP(G11,Tabela7[[RECURSO]:[CUSTO]],3),0)</calculatedColumnFormula>
    </tableColumn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E0AD5FFB-CDDF-4281-A768-7C5551F97ECF}" name="Realizado640" displayName="Realizado640" ref="AD10:CD62" totalsRowShown="0" headerRowDxfId="1096">
  <autoFilter ref="AD10:CD62" xr:uid="{00000000-0009-0000-0100-000006000000}"/>
  <tableColumns count="53">
    <tableColumn id="1" xr3:uid="{58269FE3-DFD5-4FC8-BB1D-A5F5C615BCD5}" name="serviço" dataDxfId="1095">
      <calculatedColumnFormula>$B$3</calculatedColumnFormula>
    </tableColumn>
    <tableColumn id="2" xr3:uid="{972569B3-7803-49B1-80E1-F586AE789B04}" name="Nº" dataDxfId="1094"/>
    <tableColumn id="3" xr3:uid="{20DC3A46-0430-4703-B9AF-5EFB1348F511}" name="QUANT." dataDxfId="1093" dataCellStyle="Vírgula">
      <calculatedColumnFormula>AJ11+AN11+AR11+AV11+AZ11+BD11+BH11+BL11+BP11+BT11+BX11+CB11</calculatedColumnFormula>
    </tableColumn>
    <tableColumn id="4" xr3:uid="{7AE4D00C-AD08-49F3-94CB-74BC7C5C518B}" name="C. UNIT" dataDxfId="1092" dataCellStyle="Vírgula">
      <calculatedColumnFormula>IFERROR(AH11/AF11,0)</calculatedColumnFormula>
    </tableColumn>
    <tableColumn id="5" xr3:uid="{54C37EEE-A140-4AF0-8337-CC923C159D8A}" name="C. TOTAL" dataDxfId="1091" dataCellStyle="Vírgula">
      <calculatedColumnFormula>AL11+AP11+AT11+AX11+BB11+BF11+BJ11+BN11+BR11+BV11+BZ11+CD11</calculatedColumnFormula>
    </tableColumn>
    <tableColumn id="6" xr3:uid="{1D486621-FB8F-473D-AC15-22E8A7434B4A}" name="Nº1" dataDxfId="1090"/>
    <tableColumn id="7" xr3:uid="{FD6F80DE-7DC2-443D-B476-05D6BCC27281}" name="QUANT.1" dataDxfId="1089" dataCellStyle="Vírgula"/>
    <tableColumn id="8" xr3:uid="{99798E4E-82C0-4A25-9985-EA6A7AE91F4F}" name="C. UNIT1" dataDxfId="1088" dataCellStyle="Vírgula"/>
    <tableColumn id="9" xr3:uid="{6FBFC5B7-A3A3-4352-BB74-B7F6ABD0454E}" name="C. TOTAL1" dataDxfId="1087" dataCellStyle="Vírgula">
      <calculatedColumnFormula>AJ11*AK11</calculatedColumnFormula>
    </tableColumn>
    <tableColumn id="10" xr3:uid="{11F2BAC0-5A62-4A6A-8EAA-7B455BAA2D2E}" name="Nº2" dataDxfId="1086"/>
    <tableColumn id="11" xr3:uid="{19C3B9A0-7928-400B-8828-483E6F9A2BC9}" name="QUANT.2" dataDxfId="1085" dataCellStyle="Vírgula"/>
    <tableColumn id="12" xr3:uid="{96D47837-E8FE-49C7-BA39-9A9EFA6CEB4B}" name="C. UNIT2" dataDxfId="1084" dataCellStyle="Vírgula"/>
    <tableColumn id="13" xr3:uid="{ED409BA0-E379-4D35-A29F-A1746D3C088C}" name="C. TOTAL2" dataDxfId="1083" dataCellStyle="Vírgula">
      <calculatedColumnFormula>AN11*AO11</calculatedColumnFormula>
    </tableColumn>
    <tableColumn id="14" xr3:uid="{445B32FD-3AD0-4819-A56D-9F755B6CF543}" name="Nº3" dataDxfId="1082"/>
    <tableColumn id="15" xr3:uid="{D188EE31-1099-4F7A-8617-27F3BCBA8B2A}" name="QUANT.3" dataDxfId="1081" dataCellStyle="Vírgula"/>
    <tableColumn id="16" xr3:uid="{80C69BD8-BF5A-404E-B9C8-31C5A86C8A28}" name="C. UNIT3" dataDxfId="1080" dataCellStyle="Vírgula"/>
    <tableColumn id="17" xr3:uid="{D10CA212-2143-488F-9920-ED2232E2056B}" name="C. TOTAL3" dataDxfId="1079" dataCellStyle="Vírgula">
      <calculatedColumnFormula>AR11*AS11</calculatedColumnFormula>
    </tableColumn>
    <tableColumn id="18" xr3:uid="{9CFC1E82-D830-49E0-BF42-FD0F0241FEC3}" name="Nº4" dataDxfId="1078"/>
    <tableColumn id="19" xr3:uid="{081FBE9C-BBEA-4F3D-AE73-024AD15992EC}" name="QUANT.4" dataDxfId="1077" dataCellStyle="Vírgula"/>
    <tableColumn id="20" xr3:uid="{FD86EDEE-5582-47A8-B712-AFECD800C458}" name="C. UNIT4" dataDxfId="1076" dataCellStyle="Vírgula"/>
    <tableColumn id="21" xr3:uid="{88895F27-DD74-4076-8CF3-DA6409E8970F}" name="C. TOTAL4" dataDxfId="1075" dataCellStyle="Vírgula">
      <calculatedColumnFormula>AV11*AW11</calculatedColumnFormula>
    </tableColumn>
    <tableColumn id="22" xr3:uid="{AE7F4160-E535-4C3D-88E9-3E0D42B73402}" name="Nº5" dataDxfId="1074"/>
    <tableColumn id="23" xr3:uid="{AB9ED1C8-30D6-49F1-9C35-8846A37CC0E7}" name="QUANT.5" dataDxfId="1073" dataCellStyle="Vírgula"/>
    <tableColumn id="24" xr3:uid="{727A13E6-9F06-4ED7-BE74-0365759ADF06}" name="C. UNIT5" dataDxfId="1072" dataCellStyle="Vírgula"/>
    <tableColumn id="25" xr3:uid="{EA32BBCE-0870-440B-BDB2-D7A38140BCDA}" name="C. TOTAL5" dataDxfId="1071" dataCellStyle="Vírgula">
      <calculatedColumnFormula>AZ11*BA11</calculatedColumnFormula>
    </tableColumn>
    <tableColumn id="26" xr3:uid="{A4678FEC-D1F5-48A7-BD8D-90FB52EBA0A9}" name="Nº6" dataDxfId="1070"/>
    <tableColumn id="27" xr3:uid="{9E29F809-83E1-4EBC-B7C9-182DBA5DC831}" name="QUANT.6" dataDxfId="1069" dataCellStyle="Vírgula"/>
    <tableColumn id="28" xr3:uid="{7C04988D-3638-4AD0-9A26-97CDD12A7142}" name="C. UNIT6" dataDxfId="1068" dataCellStyle="Vírgula"/>
    <tableColumn id="29" xr3:uid="{813FF547-C056-4B70-B097-286BFDE04A4F}" name="C. TOTAL6" dataDxfId="1067" dataCellStyle="Vírgula">
      <calculatedColumnFormula>BD11*BE11</calculatedColumnFormula>
    </tableColumn>
    <tableColumn id="30" xr3:uid="{A04E5C8B-4D96-4568-8CAF-4AB58A302B8C}" name="Nº7" dataDxfId="1066"/>
    <tableColumn id="31" xr3:uid="{2963942A-8818-4DAB-A1F1-78DDB31C8D06}" name="QUANT.7" dataDxfId="1065" dataCellStyle="Vírgula"/>
    <tableColumn id="32" xr3:uid="{504848C5-EDE4-4DCA-B1DA-EA7F5226A1EC}" name="C. UNIT7" dataDxfId="1064" dataCellStyle="Vírgula"/>
    <tableColumn id="33" xr3:uid="{0FB68F31-C0AF-41E9-B8B7-43617254FF06}" name="C. TOTAL7" dataDxfId="1063" dataCellStyle="Vírgula">
      <calculatedColumnFormula>BH11*BI11</calculatedColumnFormula>
    </tableColumn>
    <tableColumn id="34" xr3:uid="{16089EC1-5A59-481B-9AD7-0C7CD60CDD5B}" name="Nº8" dataDxfId="1062"/>
    <tableColumn id="35" xr3:uid="{6BA16799-F7CD-4D8E-9CCC-D2F884052AC5}" name="QUANT.8" dataDxfId="1061" dataCellStyle="Vírgula"/>
    <tableColumn id="36" xr3:uid="{20B4864B-DA2B-48B6-A875-16B314432967}" name="C. UNIT8" dataDxfId="1060" dataCellStyle="Vírgula"/>
    <tableColumn id="37" xr3:uid="{2BB264DB-8EA4-4BA1-B5AB-92E009E5A56A}" name="C. TOTAL8" dataDxfId="1059" dataCellStyle="Vírgula">
      <calculatedColumnFormula>BL11*BM11</calculatedColumnFormula>
    </tableColumn>
    <tableColumn id="38" xr3:uid="{CE8D6FA4-6AA8-4AFB-87EC-80C0018A6A12}" name="Nº9" dataDxfId="1058"/>
    <tableColumn id="39" xr3:uid="{66EF6960-E9A4-45C3-B854-F0B037E4E64F}" name="QUANT.9" dataDxfId="1057" dataCellStyle="Vírgula"/>
    <tableColumn id="40" xr3:uid="{5965C931-178C-41D2-A7A9-DFC86B210754}" name="C. UNIT9" dataDxfId="1056" dataCellStyle="Vírgula"/>
    <tableColumn id="41" xr3:uid="{35034608-9D1E-4E1E-BC07-B7E8041C0F3F}" name="C. TOTAL9" dataDxfId="1055" dataCellStyle="Vírgula">
      <calculatedColumnFormula>BP11*BQ11</calculatedColumnFormula>
    </tableColumn>
    <tableColumn id="42" xr3:uid="{717EEE0C-8C64-4FFE-85EA-8B5F5E278747}" name="Nº10" dataDxfId="1054"/>
    <tableColumn id="43" xr3:uid="{742CCB14-892C-41AE-890A-263194C30426}" name="QUANT.10" dataDxfId="1053" dataCellStyle="Vírgula"/>
    <tableColumn id="44" xr3:uid="{8C334AEF-97B9-488A-8DE2-F45DD51CFA47}" name="C. UNIT10" dataDxfId="1052" dataCellStyle="Vírgula"/>
    <tableColumn id="45" xr3:uid="{CDF84FCE-A2D7-4057-92AD-593AE2326AE9}" name="C. TOTAL10" dataDxfId="1051" dataCellStyle="Vírgula">
      <calculatedColumnFormula>BT11*BU11</calculatedColumnFormula>
    </tableColumn>
    <tableColumn id="46" xr3:uid="{53DC48BA-E6F0-4694-B0D8-64CDE078A211}" name="Nº11" dataDxfId="1050"/>
    <tableColumn id="47" xr3:uid="{DCBCE53E-14C9-4DE7-981D-DED306406B02}" name="QUANT.11" dataDxfId="1049" dataCellStyle="Vírgula"/>
    <tableColumn id="48" xr3:uid="{33160A36-4882-499E-9ED1-F3B12418FA3A}" name="C. UNIT11" dataDxfId="1048" dataCellStyle="Vírgula"/>
    <tableColumn id="49" xr3:uid="{C303AA81-787C-4F28-B7A7-843857470B87}" name="C. TOTAL11" dataDxfId="1047" dataCellStyle="Vírgula">
      <calculatedColumnFormula>BX11*BY11</calculatedColumnFormula>
    </tableColumn>
    <tableColumn id="50" xr3:uid="{D7F36A04-76E9-41FF-9052-D9613B5DC609}" name="Nº12" dataDxfId="1046"/>
    <tableColumn id="51" xr3:uid="{619055E2-E311-4223-9610-D4F3A712E37C}" name="QUANT.12" dataDxfId="1045" dataCellStyle="Vírgula"/>
    <tableColumn id="52" xr3:uid="{961D1E50-4FFC-48E0-9D9B-A8177F74C9D7}" name="C. UNIT12" dataDxfId="1044" dataCellStyle="Vírgula"/>
    <tableColumn id="53" xr3:uid="{5694433D-2DFB-4DA1-9E31-C271C40D1877}" name="C. TOTAL12" dataDxfId="1043" dataCellStyle="Vírgula">
      <calculatedColumnFormula>CB11*CC11</calculatedColumnFormula>
    </tableColumn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97674230-D88A-4CF8-9672-54E144B04123}" name="CPU_37" displayName="CPU_37" ref="B10:K62" totalsRowShown="0" headerRowDxfId="1042" tableBorderDxfId="1041">
  <autoFilter ref="B10:K62" xr:uid="{00000000-0009-0000-0100-000020000000}"/>
  <tableColumns count="10">
    <tableColumn id="1" xr3:uid="{45AD8307-273B-4C23-90C8-FBFD65E6B876}" name="CODIGO" dataDxfId="1040"/>
    <tableColumn id="8" xr3:uid="{13074CCA-29E5-4917-8C95-1B16FF5F9AE7}" name="SERVIÇO" dataDxfId="1039">
      <calculatedColumnFormula>$A$3</calculatedColumnFormula>
    </tableColumn>
    <tableColumn id="9" xr3:uid="{D76664E5-3A95-4514-8D70-8C1FE4D08146}" name="PRODUÇÃO" dataDxfId="1038">
      <calculatedColumnFormula>$B$6</calculatedColumnFormula>
    </tableColumn>
    <tableColumn id="10" xr3:uid="{A0289AE3-E4EE-4C98-99CC-7AC839A06502}" name="QTDE_TOTAL" dataDxfId="1037">
      <calculatedColumnFormula>$B$7</calculatedColumnFormula>
    </tableColumn>
    <tableColumn id="2" xr3:uid="{F11045EF-03FC-418D-842E-2F7C78E1BEEC}" name="DESCRIÇÃO" dataDxfId="1036"/>
    <tableColumn id="3" xr3:uid="{6737DF0E-4005-49DD-8F6F-425808749CD2}" name="UNID" dataDxfId="1035">
      <calculatedColumnFormula>IFERROR(VLOOKUP(F11,Tabela7[[RECURSO]:[CUSTO]],2,FALSE),"")</calculatedColumnFormula>
    </tableColumn>
    <tableColumn id="7" xr3:uid="{71157236-7063-49F7-A9F5-A0554E8667C7}" name="Nº" dataDxfId="1034"/>
    <tableColumn id="4" xr3:uid="{DE87991E-D512-4B50-97B3-1C3A947E1A3B}" name="QUANT." dataDxfId="1033"/>
    <tableColumn id="5" xr3:uid="{618DB9C6-B9BB-4C4A-AC23-0C803D6E86BD}" name="C. UNIT" dataDxfId="1032" dataCellStyle="Vírgula">
      <calculatedColumnFormula>IFERROR(VLOOKUP(F11,Tabela7[[RECURSO]:[CUSTO]],3,FALSE),0)</calculatedColumnFormula>
    </tableColumn>
    <tableColumn id="6" xr3:uid="{CD00BABC-0E79-4AD6-B834-E04E6BC0E000}" name="C. TOTAL" dataDxfId="1031" dataCellStyle="Vírgula">
      <calculatedColumnFormula>IFERROR(VLOOKUP(G11,Tabela7[[RECURSO]:[CUSTO]],3),0)</calculatedColumnFormula>
    </tableColumn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1F429D4A-1140-4A04-A751-7EE9F27BC317}" name="Realizado638" displayName="Realizado638" ref="AD10:CD62" totalsRowShown="0" headerRowDxfId="1030">
  <autoFilter ref="AD10:CD62" xr:uid="{00000000-0009-0000-0100-000006000000}"/>
  <tableColumns count="53">
    <tableColumn id="1" xr3:uid="{F8DA2B51-94ED-4F17-A895-630293B8C83B}" name="serviço" dataDxfId="1029">
      <calculatedColumnFormula>$B$3</calculatedColumnFormula>
    </tableColumn>
    <tableColumn id="2" xr3:uid="{1F9F3BA0-E9D5-4F3C-92FD-4ECD60956E2E}" name="Nº" dataDxfId="1028"/>
    <tableColumn id="3" xr3:uid="{12D22B01-CB80-4621-9DAF-36B99698DAE6}" name="QUANT." dataDxfId="1027" dataCellStyle="Vírgula">
      <calculatedColumnFormula>AJ11+AN11+AR11+AV11+AZ11+BD11+BH11+BL11+BP11+BT11+BX11+CB11</calculatedColumnFormula>
    </tableColumn>
    <tableColumn id="4" xr3:uid="{BBE27FA2-08D9-4B4D-A469-CD114AF3BC55}" name="C. UNIT" dataDxfId="1026" dataCellStyle="Vírgula">
      <calculatedColumnFormula>IFERROR(AH11/AF11,0)</calculatedColumnFormula>
    </tableColumn>
    <tableColumn id="5" xr3:uid="{E6C63A5B-A493-477D-8788-62522BE9B21D}" name="C. TOTAL" dataDxfId="1025" dataCellStyle="Vírgula">
      <calculatedColumnFormula>AL11+AP11+AT11+AX11+BB11+BF11+BJ11+BN11+BR11+BV11+BZ11+CD11</calculatedColumnFormula>
    </tableColumn>
    <tableColumn id="6" xr3:uid="{1C37E4D8-15A8-4105-A05D-3F96F857CC00}" name="Nº1" dataDxfId="1024"/>
    <tableColumn id="7" xr3:uid="{CA5E9B81-0AB2-4E9F-BC8B-545E489B9B88}" name="QUANT.1" dataDxfId="1023" dataCellStyle="Vírgula"/>
    <tableColumn id="8" xr3:uid="{0C6A290D-65B6-4989-9F57-1A2710E001A0}" name="C. UNIT1" dataDxfId="1022" dataCellStyle="Vírgula"/>
    <tableColumn id="9" xr3:uid="{5410A974-D193-4D04-942C-F00E7543817B}" name="C. TOTAL1" dataDxfId="1021" dataCellStyle="Vírgula">
      <calculatedColumnFormula>AJ11*AK11</calculatedColumnFormula>
    </tableColumn>
    <tableColumn id="10" xr3:uid="{93E9CD66-62B1-4D60-8CB1-BBFBBCE20C11}" name="Nº2" dataDxfId="1020"/>
    <tableColumn id="11" xr3:uid="{E6BEC08E-EE76-49C2-A12D-6488D3B29C89}" name="QUANT.2" dataDxfId="1019" dataCellStyle="Vírgula"/>
    <tableColumn id="12" xr3:uid="{29CD8225-0AD8-4685-BA03-4B753CED2B27}" name="C. UNIT2" dataDxfId="1018" dataCellStyle="Vírgula"/>
    <tableColumn id="13" xr3:uid="{B32ACB19-334E-4232-B460-D22981C4F281}" name="C. TOTAL2" dataDxfId="1017" dataCellStyle="Vírgula">
      <calculatedColumnFormula>AN11*AO11</calculatedColumnFormula>
    </tableColumn>
    <tableColumn id="14" xr3:uid="{56AE2F57-0F7D-4EA8-B0D0-E48777CC3507}" name="Nº3" dataDxfId="1016"/>
    <tableColumn id="15" xr3:uid="{D79EA420-BA39-4450-BB66-05D4D45004F9}" name="QUANT.3" dataDxfId="1015" dataCellStyle="Vírgula"/>
    <tableColumn id="16" xr3:uid="{3AAA6859-0097-4921-9A8B-F459BDE2A4D2}" name="C. UNIT3" dataDxfId="1014" dataCellStyle="Vírgula"/>
    <tableColumn id="17" xr3:uid="{FA6D732A-1D7E-45CB-910C-C60FF7EE99E8}" name="C. TOTAL3" dataDxfId="1013" dataCellStyle="Vírgula">
      <calculatedColumnFormula>AR11*AS11</calculatedColumnFormula>
    </tableColumn>
    <tableColumn id="18" xr3:uid="{62998C6A-C853-41CF-B5D1-8964855C48EE}" name="Nº4" dataDxfId="1012"/>
    <tableColumn id="19" xr3:uid="{13CFB35E-9168-4C81-87DF-AED3F1A5006E}" name="QUANT.4" dataDxfId="1011" dataCellStyle="Vírgula"/>
    <tableColumn id="20" xr3:uid="{DA02F4DF-37E3-487A-9ACF-C23354789356}" name="C. UNIT4" dataDxfId="1010" dataCellStyle="Vírgula"/>
    <tableColumn id="21" xr3:uid="{4B4CEA7E-D588-4510-B9DD-3A8648391866}" name="C. TOTAL4" dataDxfId="1009" dataCellStyle="Vírgula">
      <calculatedColumnFormula>AV11*AW11</calculatedColumnFormula>
    </tableColumn>
    <tableColumn id="22" xr3:uid="{AF10B685-07F7-47DA-BF5B-702F83A69791}" name="Nº5" dataDxfId="1008"/>
    <tableColumn id="23" xr3:uid="{F22F13D2-9D8E-4666-B2C5-5460CD3F24A2}" name="QUANT.5" dataDxfId="1007" dataCellStyle="Vírgula"/>
    <tableColumn id="24" xr3:uid="{850354F0-A38B-46B7-BE20-CEEC06E0E722}" name="C. UNIT5" dataDxfId="1006" dataCellStyle="Vírgula"/>
    <tableColumn id="25" xr3:uid="{8D82CC3F-73C0-474B-968A-6F339854ED35}" name="C. TOTAL5" dataDxfId="1005" dataCellStyle="Vírgula">
      <calculatedColumnFormula>AZ11*BA11</calculatedColumnFormula>
    </tableColumn>
    <tableColumn id="26" xr3:uid="{E3DC0E7D-9366-4328-900B-0D19B85CA7C1}" name="Nº6" dataDxfId="1004"/>
    <tableColumn id="27" xr3:uid="{7A90FEE1-0096-47C1-9DA9-8C1BDD207632}" name="QUANT.6" dataDxfId="1003" dataCellStyle="Vírgula"/>
    <tableColumn id="28" xr3:uid="{8BC119B8-9CAF-4064-90B5-AFAC33286D2A}" name="C. UNIT6" dataDxfId="1002" dataCellStyle="Vírgula"/>
    <tableColumn id="29" xr3:uid="{49C74393-5472-4D45-BFFE-85691E53BC67}" name="C. TOTAL6" dataDxfId="1001" dataCellStyle="Vírgula">
      <calculatedColumnFormula>BD11*BE11</calculatedColumnFormula>
    </tableColumn>
    <tableColumn id="30" xr3:uid="{6ED3EDC4-5A7E-4BE7-B545-1F4F9A680981}" name="Nº7" dataDxfId="1000"/>
    <tableColumn id="31" xr3:uid="{93D0915B-9A66-4326-8FF0-85A8F4DE8760}" name="QUANT.7" dataDxfId="999" dataCellStyle="Vírgula"/>
    <tableColumn id="32" xr3:uid="{1867FB10-22DB-49CA-AE2E-E9C003827322}" name="C. UNIT7" dataDxfId="998" dataCellStyle="Vírgula"/>
    <tableColumn id="33" xr3:uid="{E75D19A7-8C19-43D5-90D2-582822540D09}" name="C. TOTAL7" dataDxfId="997" dataCellStyle="Vírgula">
      <calculatedColumnFormula>BH11*BI11</calculatedColumnFormula>
    </tableColumn>
    <tableColumn id="34" xr3:uid="{AAFA27A6-40A5-4D64-944C-B6CE9D6DF4C6}" name="Nº8" dataDxfId="996"/>
    <tableColumn id="35" xr3:uid="{316805DE-189F-41FA-B3D0-0308224B683A}" name="QUANT.8" dataDxfId="995" dataCellStyle="Vírgula"/>
    <tableColumn id="36" xr3:uid="{FAC25B8A-A81C-45AE-B3AC-EB8178F87521}" name="C. UNIT8" dataDxfId="994" dataCellStyle="Vírgula"/>
    <tableColumn id="37" xr3:uid="{0487DCBD-21BC-48E4-80CF-CD7C5308B834}" name="C. TOTAL8" dataDxfId="993" dataCellStyle="Vírgula">
      <calculatedColumnFormula>BL11*BM11</calculatedColumnFormula>
    </tableColumn>
    <tableColumn id="38" xr3:uid="{4DD95A28-6777-4A1D-8287-E86962B4CC24}" name="Nº9" dataDxfId="992"/>
    <tableColumn id="39" xr3:uid="{36187C04-38C4-4228-9F78-2154AF566E7B}" name="QUANT.9" dataDxfId="991" dataCellStyle="Vírgula"/>
    <tableColumn id="40" xr3:uid="{5B9EEA75-636A-41F9-8C00-D9E246976009}" name="C. UNIT9" dataDxfId="990" dataCellStyle="Vírgula"/>
    <tableColumn id="41" xr3:uid="{83D4980B-3CCF-4C6C-9DA3-50655DE03FAD}" name="C. TOTAL9" dataDxfId="989" dataCellStyle="Vírgula">
      <calculatedColumnFormula>BP11*BQ11</calculatedColumnFormula>
    </tableColumn>
    <tableColumn id="42" xr3:uid="{C5F2A39F-92F2-410F-9E29-38C85E96195F}" name="Nº10" dataDxfId="988"/>
    <tableColumn id="43" xr3:uid="{49536D2D-348A-4CC1-90C8-9D1FA4278A06}" name="QUANT.10" dataDxfId="987" dataCellStyle="Vírgula"/>
    <tableColumn id="44" xr3:uid="{B85A5B46-9210-4FEE-A962-6DF32800D2ED}" name="C. UNIT10" dataDxfId="986" dataCellStyle="Vírgula"/>
    <tableColumn id="45" xr3:uid="{6DC08D4B-0AF5-4B88-9E33-797240EEC8FA}" name="C. TOTAL10" dataDxfId="985" dataCellStyle="Vírgula">
      <calculatedColumnFormula>BT11*BU11</calculatedColumnFormula>
    </tableColumn>
    <tableColumn id="46" xr3:uid="{D4403150-1444-44D4-8C95-DF3ED6F5670D}" name="Nº11" dataDxfId="984"/>
    <tableColumn id="47" xr3:uid="{6DD367B9-22AE-4654-92D0-9EBCB2739D02}" name="QUANT.11" dataDxfId="983" dataCellStyle="Vírgula"/>
    <tableColumn id="48" xr3:uid="{239227BE-63C6-4378-8350-55D51CC5C1D2}" name="C. UNIT11" dataDxfId="982" dataCellStyle="Vírgula"/>
    <tableColumn id="49" xr3:uid="{D99D48A3-F9C8-4098-8498-27032C69C051}" name="C. TOTAL11" dataDxfId="981" dataCellStyle="Vírgula">
      <calculatedColumnFormula>BX11*BY11</calculatedColumnFormula>
    </tableColumn>
    <tableColumn id="50" xr3:uid="{69985D92-FD20-49F1-AFA6-C915944B0C5A}" name="Nº12" dataDxfId="980"/>
    <tableColumn id="51" xr3:uid="{35961D04-1A1B-406A-AD19-5059CFAB6976}" name="QUANT.12" dataDxfId="979" dataCellStyle="Vírgula"/>
    <tableColumn id="52" xr3:uid="{02C8791B-9A5C-4B59-8A40-A2FF83664DA8}" name="C. UNIT12" dataDxfId="978" dataCellStyle="Vírgula"/>
    <tableColumn id="53" xr3:uid="{FBB017FE-70EF-46E4-B832-86A3FF19791A}" name="C. TOTAL12" dataDxfId="977" dataCellStyle="Vírgula">
      <calculatedColumnFormula>CB11*CC11</calculatedColumnFormula>
    </tableColumn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F919B6D-C324-4F19-8EBD-2703FB67F95E}" name="CPU_35" displayName="CPU_35" ref="B10:K62" totalsRowShown="0" headerRowDxfId="976" tableBorderDxfId="975">
  <autoFilter ref="B10:K62" xr:uid="{00000000-0009-0000-0100-000020000000}"/>
  <tableColumns count="10">
    <tableColumn id="1" xr3:uid="{67AA682E-965F-4D0B-8934-01A9A2D50F0E}" name="CODIGO" dataDxfId="974"/>
    <tableColumn id="8" xr3:uid="{09C57BF8-ACB2-49A3-B95B-382A5CA2DF7A}" name="SERVIÇO" dataDxfId="973">
      <calculatedColumnFormula>$A$3</calculatedColumnFormula>
    </tableColumn>
    <tableColumn id="9" xr3:uid="{45B7E901-749C-44BB-8D8B-4516781AF4A4}" name="PRODUÇÃO" dataDxfId="972">
      <calculatedColumnFormula>$B$6</calculatedColumnFormula>
    </tableColumn>
    <tableColumn id="10" xr3:uid="{9853E7B9-30FA-4427-9211-6E6A63375F02}" name="QTDE_TOTAL" dataDxfId="971">
      <calculatedColumnFormula>$B$7</calculatedColumnFormula>
    </tableColumn>
    <tableColumn id="2" xr3:uid="{31C412F3-B239-4327-BF36-C3F3B83E1914}" name="DESCRIÇÃO" dataDxfId="970"/>
    <tableColumn id="3" xr3:uid="{1D73A6FF-A9A0-4631-A1EF-D9A4256146F4}" name="UNID" dataDxfId="969">
      <calculatedColumnFormula>IFERROR(VLOOKUP(F11,Tabela7[[RECURSO]:[CUSTO]],2,FALSE),"")</calculatedColumnFormula>
    </tableColumn>
    <tableColumn id="7" xr3:uid="{B2E3A7E4-ABBA-4AC4-A528-2E889B0E46C6}" name="Nº" dataDxfId="968"/>
    <tableColumn id="4" xr3:uid="{CAC0923A-4976-4068-8EE7-FDAD31AC76EB}" name="QUANT." dataDxfId="967"/>
    <tableColumn id="5" xr3:uid="{17A4F294-C8C8-4147-9577-436F954031B3}" name="C. UNIT" dataDxfId="966" dataCellStyle="Vírgula">
      <calculatedColumnFormula>IFERROR(VLOOKUP(F11,Tabela7[[RECURSO]:[CUSTO]],3,FALSE),0)</calculatedColumnFormula>
    </tableColumn>
    <tableColumn id="6" xr3:uid="{9FD0FD62-296F-4FED-AE97-26C9CA04BFF0}" name="C. TOTAL" dataDxfId="965" dataCellStyle="Vírgula">
      <calculatedColumnFormula>IFERROR(VLOOKUP(G11,Tabela7[[RECURSO]:[CUSTO]],3),0)</calculatedColumnFormula>
    </tableColumn>
  </tableColumns>
  <tableStyleInfo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4113DFD0-C0AF-43A3-BD21-10D92B7E22BD}" name="Realizado636" displayName="Realizado636" ref="AD10:CD62" totalsRowShown="0" headerRowDxfId="964">
  <autoFilter ref="AD10:CD62" xr:uid="{00000000-0009-0000-0100-000006000000}"/>
  <tableColumns count="53">
    <tableColumn id="1" xr3:uid="{E9740993-B7E7-414F-B658-98C55C2FC5CA}" name="serviço" dataDxfId="963">
      <calculatedColumnFormula>$B$3</calculatedColumnFormula>
    </tableColumn>
    <tableColumn id="2" xr3:uid="{D2ECCA94-23C8-4847-B051-F0DBAE0E16C0}" name="Nº" dataDxfId="962"/>
    <tableColumn id="3" xr3:uid="{98A6DA4A-9406-4043-8A0E-B5D4329B90E0}" name="QUANT." dataDxfId="961" dataCellStyle="Vírgula">
      <calculatedColumnFormula>AJ11+AN11+AR11+AV11+AZ11+BD11+BH11+BL11+BP11+BT11+BX11+CB11</calculatedColumnFormula>
    </tableColumn>
    <tableColumn id="4" xr3:uid="{5F434078-AEFE-447C-B636-BAF08857D9B0}" name="C. UNIT" dataDxfId="960" dataCellStyle="Vírgula">
      <calculatedColumnFormula>IFERROR(AH11/AF11,0)</calculatedColumnFormula>
    </tableColumn>
    <tableColumn id="5" xr3:uid="{D47BC12E-9964-49F3-99E3-FD28525397EF}" name="C. TOTAL" dataDxfId="959" dataCellStyle="Vírgula">
      <calculatedColumnFormula>AL11+AP11+AT11+AX11+BB11+BF11+BJ11+BN11+BR11+BV11+BZ11+CD11</calculatedColumnFormula>
    </tableColumn>
    <tableColumn id="6" xr3:uid="{8E5DAA4F-F945-472B-8DCC-B99E50D7322C}" name="Nº1" dataDxfId="958"/>
    <tableColumn id="7" xr3:uid="{72C63971-8454-4E99-8C15-D95E6CE7DF2D}" name="QUANT.1" dataDxfId="957" dataCellStyle="Vírgula"/>
    <tableColumn id="8" xr3:uid="{835B676F-C623-4D45-80A5-9BA835857245}" name="C. UNIT1" dataDxfId="956" dataCellStyle="Vírgula"/>
    <tableColumn id="9" xr3:uid="{417986C2-2D2C-4F40-837B-3FDAF4F24FC4}" name="C. TOTAL1" dataDxfId="955" dataCellStyle="Vírgula">
      <calculatedColumnFormula>AJ11*AK11</calculatedColumnFormula>
    </tableColumn>
    <tableColumn id="10" xr3:uid="{BC7D33C9-151B-4F5F-801B-8D1EE8C0E609}" name="Nº2" dataDxfId="954"/>
    <tableColumn id="11" xr3:uid="{DE42B654-9A3F-4C06-9386-5E8157F3C9DC}" name="QUANT.2" dataDxfId="953" dataCellStyle="Vírgula"/>
    <tableColumn id="12" xr3:uid="{212DA0CD-E2D4-4AD1-A05B-128DC43FFC60}" name="C. UNIT2" dataDxfId="952" dataCellStyle="Vírgula"/>
    <tableColumn id="13" xr3:uid="{DC1D3349-F7F3-408B-8965-2D27B704CF9F}" name="C. TOTAL2" dataDxfId="951" dataCellStyle="Vírgula">
      <calculatedColumnFormula>AN11*AO11</calculatedColumnFormula>
    </tableColumn>
    <tableColumn id="14" xr3:uid="{D41FC652-8F10-436B-987C-9DFA521B5834}" name="Nº3" dataDxfId="950"/>
    <tableColumn id="15" xr3:uid="{8109FC0B-CF20-4B6F-9541-4784F3BD16C5}" name="QUANT.3" dataDxfId="949" dataCellStyle="Vírgula"/>
    <tableColumn id="16" xr3:uid="{CFAFF5D5-1C79-4736-94BF-3F117E12CF87}" name="C. UNIT3" dataDxfId="948" dataCellStyle="Vírgula"/>
    <tableColumn id="17" xr3:uid="{FC6FC114-ADC3-42CA-8E58-C436D8604ED8}" name="C. TOTAL3" dataDxfId="947" dataCellStyle="Vírgula">
      <calculatedColumnFormula>AR11*AS11</calculatedColumnFormula>
    </tableColumn>
    <tableColumn id="18" xr3:uid="{60D4373A-DB33-402B-99A0-699FAB960568}" name="Nº4" dataDxfId="946"/>
    <tableColumn id="19" xr3:uid="{3B9AB7BD-3234-489A-8DEC-FB61B2FE1B46}" name="QUANT.4" dataDxfId="945" dataCellStyle="Vírgula"/>
    <tableColumn id="20" xr3:uid="{8F726CBF-D04A-490F-8397-7EA52142D881}" name="C. UNIT4" dataDxfId="944" dataCellStyle="Vírgula"/>
    <tableColumn id="21" xr3:uid="{1ACA309C-1F19-467A-AF0A-DFBC3460F130}" name="C. TOTAL4" dataDxfId="943" dataCellStyle="Vírgula">
      <calculatedColumnFormula>AV11*AW11</calculatedColumnFormula>
    </tableColumn>
    <tableColumn id="22" xr3:uid="{0D3451CF-033B-4C37-ACFE-18B592F2DC20}" name="Nº5" dataDxfId="942"/>
    <tableColumn id="23" xr3:uid="{0D85EBCF-8EFB-4F2F-BC30-192A252895E2}" name="QUANT.5" dataDxfId="941" dataCellStyle="Vírgula"/>
    <tableColumn id="24" xr3:uid="{6D3B6FB7-A277-4D33-B61C-7A9CAEAC873C}" name="C. UNIT5" dataDxfId="940" dataCellStyle="Vírgula"/>
    <tableColumn id="25" xr3:uid="{07BC12A9-7694-4349-96B5-15D693A6C4F6}" name="C. TOTAL5" dataDxfId="939" dataCellStyle="Vírgula">
      <calculatedColumnFormula>AZ11*BA11</calculatedColumnFormula>
    </tableColumn>
    <tableColumn id="26" xr3:uid="{BD22C733-A2D7-4537-B13A-5B9CB1C7091E}" name="Nº6" dataDxfId="938"/>
    <tableColumn id="27" xr3:uid="{C673ADED-67AB-4727-B4DA-B65ED16C4012}" name="QUANT.6" dataDxfId="937" dataCellStyle="Vírgula"/>
    <tableColumn id="28" xr3:uid="{6634679D-0E46-4F7B-9241-816CC78F19D7}" name="C. UNIT6" dataDxfId="936" dataCellStyle="Vírgula"/>
    <tableColumn id="29" xr3:uid="{889C0AFC-A978-4347-B36C-FC277EE2D7FA}" name="C. TOTAL6" dataDxfId="935" dataCellStyle="Vírgula">
      <calculatedColumnFormula>BD11*BE11</calculatedColumnFormula>
    </tableColumn>
    <tableColumn id="30" xr3:uid="{DD7986EA-F5A2-488B-9562-E26125571623}" name="Nº7" dataDxfId="934"/>
    <tableColumn id="31" xr3:uid="{DD7F0FF2-2C0C-41FF-9D58-FEA45A35989C}" name="QUANT.7" dataDxfId="933" dataCellStyle="Vírgula"/>
    <tableColumn id="32" xr3:uid="{F314871D-334E-4477-B22E-562192363587}" name="C. UNIT7" dataDxfId="932" dataCellStyle="Vírgula"/>
    <tableColumn id="33" xr3:uid="{CAD12611-987B-4A6A-9486-92649AD4C053}" name="C. TOTAL7" dataDxfId="931" dataCellStyle="Vírgula">
      <calculatedColumnFormula>BH11*BI11</calculatedColumnFormula>
    </tableColumn>
    <tableColumn id="34" xr3:uid="{9275444A-7AD1-41FE-BE93-5150FEE1A3AE}" name="Nº8" dataDxfId="930"/>
    <tableColumn id="35" xr3:uid="{FE5E7C26-9FA7-400C-8BDF-C25CB7CCDDA3}" name="QUANT.8" dataDxfId="929" dataCellStyle="Vírgula"/>
    <tableColumn id="36" xr3:uid="{0E9635FE-554B-4D73-8ECA-CB7D5295AFEE}" name="C. UNIT8" dataDxfId="928" dataCellStyle="Vírgula"/>
    <tableColumn id="37" xr3:uid="{16435E17-8B03-4991-9A9B-B15F8CAD3EB2}" name="C. TOTAL8" dataDxfId="927" dataCellStyle="Vírgula">
      <calculatedColumnFormula>BL11*BM11</calculatedColumnFormula>
    </tableColumn>
    <tableColumn id="38" xr3:uid="{A4991639-15D0-43B9-B93E-2487AEAAAECA}" name="Nº9" dataDxfId="926"/>
    <tableColumn id="39" xr3:uid="{5195BCC4-E794-46B7-B0AF-5F258251BD87}" name="QUANT.9" dataDxfId="925" dataCellStyle="Vírgula"/>
    <tableColumn id="40" xr3:uid="{F7FE18E0-F12E-408E-9B2C-79048174EEE1}" name="C. UNIT9" dataDxfId="924" dataCellStyle="Vírgula"/>
    <tableColumn id="41" xr3:uid="{2F00277C-3283-48B6-886F-F58BD5C47C53}" name="C. TOTAL9" dataDxfId="923" dataCellStyle="Vírgula">
      <calculatedColumnFormula>BP11*BQ11</calculatedColumnFormula>
    </tableColumn>
    <tableColumn id="42" xr3:uid="{BBE44C0B-C9C0-4FCE-8527-7C7381A2BB50}" name="Nº10" dataDxfId="922"/>
    <tableColumn id="43" xr3:uid="{4B34E6AD-7041-4E9D-93EC-A7563CEE77DA}" name="QUANT.10" dataDxfId="921" dataCellStyle="Vírgula"/>
    <tableColumn id="44" xr3:uid="{07CBDCC0-2FFB-4ED1-B19E-E0D1B3F80478}" name="C. UNIT10" dataDxfId="920" dataCellStyle="Vírgula"/>
    <tableColumn id="45" xr3:uid="{CDC3D561-016C-44F8-9F61-7F02EC1483B2}" name="C. TOTAL10" dataDxfId="919" dataCellStyle="Vírgula">
      <calculatedColumnFormula>BT11*BU11</calculatedColumnFormula>
    </tableColumn>
    <tableColumn id="46" xr3:uid="{AA78D1F6-94DC-449E-AC1C-41E89AC4FF85}" name="Nº11" dataDxfId="918"/>
    <tableColumn id="47" xr3:uid="{6C149B7D-2E23-48D2-B619-89CC13B08BC0}" name="QUANT.11" dataDxfId="917" dataCellStyle="Vírgula"/>
    <tableColumn id="48" xr3:uid="{7C356BF9-9248-4BC1-A73F-ED7759314D72}" name="C. UNIT11" dataDxfId="916" dataCellStyle="Vírgula"/>
    <tableColumn id="49" xr3:uid="{7F60A2C6-8729-43FC-88B7-2DF515B3D4CA}" name="C. TOTAL11" dataDxfId="915" dataCellStyle="Vírgula">
      <calculatedColumnFormula>BX11*BY11</calculatedColumnFormula>
    </tableColumn>
    <tableColumn id="50" xr3:uid="{CCDB79FE-F867-4BFD-8657-38D0DB732302}" name="Nº12" dataDxfId="914"/>
    <tableColumn id="51" xr3:uid="{28576DFC-D758-452A-B254-EF967C2A95E3}" name="QUANT.12" dataDxfId="913" dataCellStyle="Vírgula"/>
    <tableColumn id="52" xr3:uid="{B9DF2901-C43F-4E8B-9D46-99847E87FC40}" name="C. UNIT12" dataDxfId="912" dataCellStyle="Vírgula"/>
    <tableColumn id="53" xr3:uid="{4DD0222E-EE93-43C2-AF80-4D0446686602}" name="C. TOTAL12" dataDxfId="911" dataCellStyle="Vírgula">
      <calculatedColumnFormula>CB11*CC11</calculatedColumnFormula>
    </tableColumn>
  </tableColumns>
  <tableStyleInfo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36E9F501-1DA7-4933-BCC8-365B0216E15B}" name="CPU_32" displayName="CPU_32" ref="B10:K62" totalsRowShown="0" headerRowDxfId="910" tableBorderDxfId="909">
  <autoFilter ref="B10:K62" xr:uid="{00000000-0009-0000-0100-000020000000}"/>
  <tableColumns count="10">
    <tableColumn id="1" xr3:uid="{B766F81F-6AFB-456F-82BA-3A3E7E45A930}" name="CODIGO" dataDxfId="908"/>
    <tableColumn id="8" xr3:uid="{1F972F0B-2898-42EF-B2CF-68ACBB65A99A}" name="SERVIÇO" dataDxfId="907">
      <calculatedColumnFormula>$A$3</calculatedColumnFormula>
    </tableColumn>
    <tableColumn id="9" xr3:uid="{F842C90B-2F2A-4F0B-A958-7706E2AB7352}" name="PRODUÇÃO" dataDxfId="906">
      <calculatedColumnFormula>$B$6</calculatedColumnFormula>
    </tableColumn>
    <tableColumn id="10" xr3:uid="{7809DFC5-C15C-46F6-99C4-A68FBF6B2D79}" name="QTDE_TOTAL" dataDxfId="905">
      <calculatedColumnFormula>$B$7</calculatedColumnFormula>
    </tableColumn>
    <tableColumn id="2" xr3:uid="{FC6D4E7C-2CC8-49CF-9C62-A16D1EB800E4}" name="DESCRIÇÃO" dataDxfId="904"/>
    <tableColumn id="3" xr3:uid="{2FA18D38-0086-494A-B039-41BAA8CE5B39}" name="UNID" dataDxfId="903">
      <calculatedColumnFormula>IFERROR(VLOOKUP(F11,Tabela7[[RECURSO]:[CUSTO]],2,FALSE),"")</calculatedColumnFormula>
    </tableColumn>
    <tableColumn id="7" xr3:uid="{A504D42E-4531-486B-9E4A-A0D239F3B65D}" name="Nº" dataDxfId="902"/>
    <tableColumn id="4" xr3:uid="{45A228CA-9EB0-4281-BAC2-4E9D9A807FE5}" name="QUANT." dataDxfId="901"/>
    <tableColumn id="5" xr3:uid="{7865733C-F4BC-41B7-A178-689101FBBD59}" name="C. UNIT" dataDxfId="900" dataCellStyle="Vírgula">
      <calculatedColumnFormula>IFERROR(VLOOKUP(F11,Tabela7[[RECURSO]:[CUSTO]],3,FALSE),0)</calculatedColumnFormula>
    </tableColumn>
    <tableColumn id="6" xr3:uid="{944F2F3F-B65E-4234-A917-E33217703157}" name="C. TOTAL" dataDxfId="899" dataCellStyle="Vírgula">
      <calculatedColumnFormula>IFERROR(VLOOKUP(G11,Tabela7[[RECURSO]:[CUSTO]],3),0)</calculatedColumnFormula>
    </tableColumn>
  </tableColumns>
  <tableStyleInfo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62E1B2AC-4E56-4A95-B628-84BD6D30C589}" name="Realizado634" displayName="Realizado634" ref="AD10:CD62" totalsRowShown="0" headerRowDxfId="898">
  <autoFilter ref="AD10:CD62" xr:uid="{00000000-0009-0000-0100-000006000000}"/>
  <tableColumns count="53">
    <tableColumn id="1" xr3:uid="{A940C9BA-4D6C-4A48-B6AE-9B83FE0A4657}" name="serviço" dataDxfId="897">
      <calculatedColumnFormula>$B$3</calculatedColumnFormula>
    </tableColumn>
    <tableColumn id="2" xr3:uid="{87037FD9-E377-4B19-8D86-57EF14FEC10C}" name="Nº" dataDxfId="896"/>
    <tableColumn id="3" xr3:uid="{5D5E841E-FEFC-4B5C-99CF-FA391FBEB3F2}" name="QUANT." dataDxfId="895" dataCellStyle="Vírgula">
      <calculatedColumnFormula>AJ11+AN11+AR11+AV11+AZ11+BD11+BH11+BL11+BP11+BT11+BX11+CB11</calculatedColumnFormula>
    </tableColumn>
    <tableColumn id="4" xr3:uid="{81701401-9B40-4763-BCBC-787D44ED83A6}" name="C. UNIT" dataDxfId="894" dataCellStyle="Vírgula">
      <calculatedColumnFormula>IFERROR(AH11/AF11,0)</calculatedColumnFormula>
    </tableColumn>
    <tableColumn id="5" xr3:uid="{4D1D14D9-002A-46F1-952F-FD2B9B188957}" name="C. TOTAL" dataDxfId="893" dataCellStyle="Vírgula">
      <calculatedColumnFormula>AL11+AP11+AT11+AX11+BB11+BF11+BJ11+BN11+BR11+BV11+BZ11+CD11</calculatedColumnFormula>
    </tableColumn>
    <tableColumn id="6" xr3:uid="{FDD85C00-500D-4244-B5AD-EE4EC4EB32DC}" name="Nº1" dataDxfId="892"/>
    <tableColumn id="7" xr3:uid="{E011F49D-DFDF-45DD-8C64-EEC667221279}" name="QUANT.1" dataDxfId="891" dataCellStyle="Vírgula"/>
    <tableColumn id="8" xr3:uid="{51CC799D-AA8F-4E6C-85C2-056BF7D1A114}" name="C. UNIT1" dataDxfId="890" dataCellStyle="Vírgula"/>
    <tableColumn id="9" xr3:uid="{5C86A35B-12DE-483A-BD46-0CC5CCFF5967}" name="C. TOTAL1" dataDxfId="889" dataCellStyle="Vírgula">
      <calculatedColumnFormula>AJ11*AK11</calculatedColumnFormula>
    </tableColumn>
    <tableColumn id="10" xr3:uid="{4C7F22A6-58D8-4FC8-A27C-E425FD9A2BBA}" name="Nº2" dataDxfId="888"/>
    <tableColumn id="11" xr3:uid="{BBE7D800-9AE3-46B8-87CD-96E8D11B4E3A}" name="QUANT.2" dataDxfId="887" dataCellStyle="Vírgula"/>
    <tableColumn id="12" xr3:uid="{3CBA3984-148C-4754-9284-22E058FF0A3F}" name="C. UNIT2" dataDxfId="886" dataCellStyle="Vírgula"/>
    <tableColumn id="13" xr3:uid="{7A3F067C-6890-4DA7-B7E5-5124925C7E51}" name="C. TOTAL2" dataDxfId="885" dataCellStyle="Vírgula">
      <calculatedColumnFormula>AN11*AO11</calculatedColumnFormula>
    </tableColumn>
    <tableColumn id="14" xr3:uid="{4E7FAA70-7A9E-4C71-876D-9696E77E92C0}" name="Nº3" dataDxfId="884"/>
    <tableColumn id="15" xr3:uid="{79D2C4F3-3F16-4CD1-B2B5-7C1E553EB874}" name="QUANT.3" dataDxfId="883" dataCellStyle="Vírgula"/>
    <tableColumn id="16" xr3:uid="{4A00CF24-60AD-43C2-B935-83E5E1D9A781}" name="C. UNIT3" dataDxfId="882" dataCellStyle="Vírgula"/>
    <tableColumn id="17" xr3:uid="{2DA4C898-469E-48DD-AFE5-D8126CDD657D}" name="C. TOTAL3" dataDxfId="881" dataCellStyle="Vírgula">
      <calculatedColumnFormula>AR11*AS11</calculatedColumnFormula>
    </tableColumn>
    <tableColumn id="18" xr3:uid="{86C27BBF-582B-4141-9300-9CE6B634CAE4}" name="Nº4" dataDxfId="880"/>
    <tableColumn id="19" xr3:uid="{21AC5130-5D33-442F-A2A3-2CB1DDB66A03}" name="QUANT.4" dataDxfId="879" dataCellStyle="Vírgula"/>
    <tableColumn id="20" xr3:uid="{3A1400A6-7D0A-42D3-B4C1-B00C386165E7}" name="C. UNIT4" dataDxfId="878" dataCellStyle="Vírgula"/>
    <tableColumn id="21" xr3:uid="{A345BCAE-9201-4019-AD84-1F35B0A6416F}" name="C. TOTAL4" dataDxfId="877" dataCellStyle="Vírgula">
      <calculatedColumnFormula>AV11*AW11</calculatedColumnFormula>
    </tableColumn>
    <tableColumn id="22" xr3:uid="{7AF0E351-4C9B-4D27-9169-C5D1530BB976}" name="Nº5" dataDxfId="876"/>
    <tableColumn id="23" xr3:uid="{D58E3FA1-5731-44AE-B826-B431F3AC104A}" name="QUANT.5" dataDxfId="875" dataCellStyle="Vírgula"/>
    <tableColumn id="24" xr3:uid="{5FF8D064-E4DA-4310-B05F-7A1EC828F355}" name="C. UNIT5" dataDxfId="874" dataCellStyle="Vírgula"/>
    <tableColumn id="25" xr3:uid="{22FAF0D3-72BC-4516-860F-A27907AA6DC6}" name="C. TOTAL5" dataDxfId="873" dataCellStyle="Vírgula">
      <calculatedColumnFormula>AZ11*BA11</calculatedColumnFormula>
    </tableColumn>
    <tableColumn id="26" xr3:uid="{6E9FFAE2-7CB1-4DB3-A075-42E0A3C2B4BC}" name="Nº6" dataDxfId="872"/>
    <tableColumn id="27" xr3:uid="{5961B44B-8633-42B2-85AD-45080FCACD7E}" name="QUANT.6" dataDxfId="871" dataCellStyle="Vírgula"/>
    <tableColumn id="28" xr3:uid="{F3826BBF-26C4-46AC-86F3-018EBF4BC41B}" name="C. UNIT6" dataDxfId="870" dataCellStyle="Vírgula"/>
    <tableColumn id="29" xr3:uid="{89D5A85F-31E5-4389-A3B1-4E4E9EF37CF2}" name="C. TOTAL6" dataDxfId="869" dataCellStyle="Vírgula">
      <calculatedColumnFormula>BD11*BE11</calculatedColumnFormula>
    </tableColumn>
    <tableColumn id="30" xr3:uid="{E2F1CE34-0283-4CA6-8DBF-3C55E4908191}" name="Nº7" dataDxfId="868"/>
    <tableColumn id="31" xr3:uid="{EAB601FB-1483-4E97-B5B3-DD1B0A5C02C1}" name="QUANT.7" dataDxfId="867" dataCellStyle="Vírgula"/>
    <tableColumn id="32" xr3:uid="{FDD6A663-B74E-4F9C-BD70-6C12FD14FBD0}" name="C. UNIT7" dataDxfId="866" dataCellStyle="Vírgula"/>
    <tableColumn id="33" xr3:uid="{D5231E75-EB90-43DC-9281-6CF664F0A994}" name="C. TOTAL7" dataDxfId="865" dataCellStyle="Vírgula">
      <calculatedColumnFormula>BH11*BI11</calculatedColumnFormula>
    </tableColumn>
    <tableColumn id="34" xr3:uid="{3A5D47F0-D9CB-4A83-9BA9-798D24C8363E}" name="Nº8" dataDxfId="864"/>
    <tableColumn id="35" xr3:uid="{C92DD6F9-2751-4310-B112-0B2C6041D866}" name="QUANT.8" dataDxfId="863" dataCellStyle="Vírgula"/>
    <tableColumn id="36" xr3:uid="{DB74465A-4187-4DC8-BC73-CD7B7BFABD88}" name="C. UNIT8" dataDxfId="862" dataCellStyle="Vírgula"/>
    <tableColumn id="37" xr3:uid="{9CC4DBCD-0EAB-42D3-90CA-77300354FB90}" name="C. TOTAL8" dataDxfId="861" dataCellStyle="Vírgula">
      <calculatedColumnFormula>BL11*BM11</calculatedColumnFormula>
    </tableColumn>
    <tableColumn id="38" xr3:uid="{A9A211B8-EB82-400C-8D7B-C7E4E0C9CDCA}" name="Nº9" dataDxfId="860"/>
    <tableColumn id="39" xr3:uid="{13CF5737-5AE3-4E12-8F17-812EAA400140}" name="QUANT.9" dataDxfId="859" dataCellStyle="Vírgula"/>
    <tableColumn id="40" xr3:uid="{41BBACFE-809A-4668-A5D5-11F79E9C342B}" name="C. UNIT9" dataDxfId="858" dataCellStyle="Vírgula"/>
    <tableColumn id="41" xr3:uid="{FB8F000D-69C6-4C23-9EF4-FB7D1F3F68EA}" name="C. TOTAL9" dataDxfId="857" dataCellStyle="Vírgula">
      <calculatedColumnFormula>BP11*BQ11</calculatedColumnFormula>
    </tableColumn>
    <tableColumn id="42" xr3:uid="{9663BF61-D531-4D23-B70A-18DA10B8361F}" name="Nº10" dataDxfId="856"/>
    <tableColumn id="43" xr3:uid="{142DE88B-D2AF-4174-B0C3-88DA6DE74624}" name="QUANT.10" dataDxfId="855" dataCellStyle="Vírgula"/>
    <tableColumn id="44" xr3:uid="{2AA6BCBC-7EA0-42FA-91D3-D2821DBCBDDE}" name="C. UNIT10" dataDxfId="854" dataCellStyle="Vírgula"/>
    <tableColumn id="45" xr3:uid="{BFEF6D2A-FE70-4112-BA4C-1486106375A9}" name="C. TOTAL10" dataDxfId="853" dataCellStyle="Vírgula">
      <calculatedColumnFormula>BT11*BU11</calculatedColumnFormula>
    </tableColumn>
    <tableColumn id="46" xr3:uid="{121C759A-A032-4123-B751-5CCE1865587E}" name="Nº11" dataDxfId="852"/>
    <tableColumn id="47" xr3:uid="{53D617CF-2B69-42EB-B44A-BAE297F0C258}" name="QUANT.11" dataDxfId="851" dataCellStyle="Vírgula"/>
    <tableColumn id="48" xr3:uid="{48356AC4-3784-46F0-9EB0-6B39659B3E3B}" name="C. UNIT11" dataDxfId="850" dataCellStyle="Vírgula"/>
    <tableColumn id="49" xr3:uid="{0EBB82AB-55A2-4957-A7A3-F860F1E44224}" name="C. TOTAL11" dataDxfId="849" dataCellStyle="Vírgula">
      <calculatedColumnFormula>BX11*BY11</calculatedColumnFormula>
    </tableColumn>
    <tableColumn id="50" xr3:uid="{1C67D83F-A51F-4F4F-8965-46F3195A4E37}" name="Nº12" dataDxfId="848"/>
    <tableColumn id="51" xr3:uid="{E3613DAC-F557-4131-87E1-12E6710D55C0}" name="QUANT.12" dataDxfId="847" dataCellStyle="Vírgula"/>
    <tableColumn id="52" xr3:uid="{84C31228-9EB6-4FCA-8AF7-FD425C66BD8A}" name="C. UNIT12" dataDxfId="846" dataCellStyle="Vírgula"/>
    <tableColumn id="53" xr3:uid="{4B75FD2E-8126-455F-A7FF-2F12EB0CD8D7}" name="C. TOTAL12" dataDxfId="845" dataCellStyle="Vírgula">
      <calculatedColumnFormula>CB11*CC11</calculatedColumnFormula>
    </tableColumn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3D4C727-A889-474D-A155-0F6E1CCFD9D6}" name="CPU_30" displayName="CPU_30" ref="B10:K62" totalsRowShown="0" headerRowDxfId="844" tableBorderDxfId="843">
  <autoFilter ref="B10:K62" xr:uid="{00000000-0009-0000-0100-000020000000}"/>
  <tableColumns count="10">
    <tableColumn id="1" xr3:uid="{076CC777-7E16-4A4F-9AE5-8EF61793B6DD}" name="CODIGO" dataDxfId="842"/>
    <tableColumn id="8" xr3:uid="{725C8239-88FA-4578-A1E3-1225B6680297}" name="SERVIÇO" dataDxfId="841">
      <calculatedColumnFormula>$A$3</calculatedColumnFormula>
    </tableColumn>
    <tableColumn id="9" xr3:uid="{4176EC74-AB78-485F-984C-00C275713A33}" name="PRODUÇÃO" dataDxfId="840">
      <calculatedColumnFormula>$B$6</calculatedColumnFormula>
    </tableColumn>
    <tableColumn id="10" xr3:uid="{D22DBC52-1D5B-40F8-9572-C5DE6EA99384}" name="QTDE_TOTAL" dataDxfId="839">
      <calculatedColumnFormula>$B$7</calculatedColumnFormula>
    </tableColumn>
    <tableColumn id="2" xr3:uid="{289402F3-BC67-4E1A-8AA1-4C325C06ED25}" name="DESCRIÇÃO" dataDxfId="838"/>
    <tableColumn id="3" xr3:uid="{C103DF0F-4715-467D-B2ED-4BAD1F8BD159}" name="UNID" dataDxfId="837">
      <calculatedColumnFormula>IFERROR(VLOOKUP(F11,Tabela7[[RECURSO]:[CUSTO]],2,FALSE),"")</calculatedColumnFormula>
    </tableColumn>
    <tableColumn id="7" xr3:uid="{E86AC705-2B35-4A66-9287-73C73BE13698}" name="Nº" dataDxfId="836"/>
    <tableColumn id="4" xr3:uid="{69003D0F-2773-4315-B692-012EABD232BB}" name="QUANT." dataDxfId="835"/>
    <tableColumn id="5" xr3:uid="{8789D37D-D100-4A9A-8636-BDD16EA7A886}" name="C. UNIT" dataDxfId="834" dataCellStyle="Vírgula">
      <calculatedColumnFormula>IFERROR(VLOOKUP(F11,Tabela7[[RECURSO]:[CUSTO]],3,FALSE),0)</calculatedColumnFormula>
    </tableColumn>
    <tableColumn id="6" xr3:uid="{16B65F9D-88B7-4065-8FD2-8CE9EA71D5F7}" name="C. TOTAL" dataDxfId="833" dataCellStyle="Vírgula">
      <calculatedColumnFormula>IFERROR(VLOOKUP(G11,Tabela7[[RECURSO]:[CUSTO]],3),0)</calculatedColumnFormula>
    </tableColumn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D18A5EC3-B26D-4228-B1EF-62BD711DD244}" name="Realizado631" displayName="Realizado631" ref="AD10:CD62" totalsRowShown="0" headerRowDxfId="832">
  <autoFilter ref="AD10:CD62" xr:uid="{00000000-0009-0000-0100-000006000000}"/>
  <tableColumns count="53">
    <tableColumn id="1" xr3:uid="{3EC4DD4D-BF77-41C9-8BFB-E5DD065ACF82}" name="serviço" dataDxfId="831">
      <calculatedColumnFormula>$B$3</calculatedColumnFormula>
    </tableColumn>
    <tableColumn id="2" xr3:uid="{AF6ACBB1-56D1-411E-BABA-C78A9785FDCC}" name="Nº" dataDxfId="830"/>
    <tableColumn id="3" xr3:uid="{99D719F9-B4E8-45EE-B044-8DFB39A820E8}" name="QUANT." dataDxfId="829" dataCellStyle="Vírgula">
      <calculatedColumnFormula>AJ11+AN11+AR11+AV11+AZ11+BD11+BH11+BL11+BP11+BT11+BX11+CB11</calculatedColumnFormula>
    </tableColumn>
    <tableColumn id="4" xr3:uid="{4B878A19-935F-45C6-A06D-B351FF0A26A5}" name="C. UNIT" dataDxfId="828" dataCellStyle="Vírgula">
      <calculatedColumnFormula>IFERROR(AH11/AF11,0)</calculatedColumnFormula>
    </tableColumn>
    <tableColumn id="5" xr3:uid="{8BBF2A96-F64E-43BD-A8A1-42210F07447A}" name="C. TOTAL" dataDxfId="827" dataCellStyle="Vírgula">
      <calculatedColumnFormula>AL11+AP11+AT11+AX11+BB11+BF11+BJ11+BN11+BR11+BV11+BZ11+CD11</calculatedColumnFormula>
    </tableColumn>
    <tableColumn id="6" xr3:uid="{1E346B79-1929-4910-9E8E-3BF1A299B14B}" name="Nº1" dataDxfId="826"/>
    <tableColumn id="7" xr3:uid="{E8EE76F8-5EFC-4B2C-85CE-446711855329}" name="QUANT.1" dataDxfId="825" dataCellStyle="Vírgula"/>
    <tableColumn id="8" xr3:uid="{41807D07-7BF8-47B2-91B6-7D4AB4265F90}" name="C. UNIT1" dataDxfId="824" dataCellStyle="Vírgula"/>
    <tableColumn id="9" xr3:uid="{FFF812AD-50BA-4E16-B728-F65D5FA3DD33}" name="C. TOTAL1" dataDxfId="823" dataCellStyle="Vírgula">
      <calculatedColumnFormula>AJ11*AK11</calculatedColumnFormula>
    </tableColumn>
    <tableColumn id="10" xr3:uid="{FB5E4A59-6FF2-4511-A982-05081400C398}" name="Nº2" dataDxfId="822"/>
    <tableColumn id="11" xr3:uid="{68D840C2-DE66-43FE-90D6-293C996C35A0}" name="QUANT.2" dataDxfId="821" dataCellStyle="Vírgula"/>
    <tableColumn id="12" xr3:uid="{7E4C0C9F-6C93-4415-B525-F466C625CF6A}" name="C. UNIT2" dataDxfId="820" dataCellStyle="Vírgula"/>
    <tableColumn id="13" xr3:uid="{F3A25DC6-CE1F-4FBE-BAE6-8DB69384C37D}" name="C. TOTAL2" dataDxfId="819" dataCellStyle="Vírgula">
      <calculatedColumnFormula>AN11*AO11</calculatedColumnFormula>
    </tableColumn>
    <tableColumn id="14" xr3:uid="{C7AB62C8-BEF9-4A44-B384-B506EB886787}" name="Nº3" dataDxfId="818"/>
    <tableColumn id="15" xr3:uid="{C8638E96-5FD4-4009-B9D0-E09D7251E080}" name="QUANT.3" dataDxfId="817" dataCellStyle="Vírgula"/>
    <tableColumn id="16" xr3:uid="{0D355CE0-75CB-44C9-930F-3FEE09CFA6EE}" name="C. UNIT3" dataDxfId="816" dataCellStyle="Vírgula"/>
    <tableColumn id="17" xr3:uid="{BA26385D-301A-4569-997F-5D203BB6F98B}" name="C. TOTAL3" dataDxfId="815" dataCellStyle="Vírgula">
      <calculatedColumnFormula>AR11*AS11</calculatedColumnFormula>
    </tableColumn>
    <tableColumn id="18" xr3:uid="{45894202-F828-43FB-8781-344B3AFBA466}" name="Nº4" dataDxfId="814"/>
    <tableColumn id="19" xr3:uid="{7A58B36F-8F82-4180-A5D9-4EAD466B3E99}" name="QUANT.4" dataDxfId="813" dataCellStyle="Vírgula"/>
    <tableColumn id="20" xr3:uid="{AC18C2B3-B868-46DD-80E9-D5755BE9F0DD}" name="C. UNIT4" dataDxfId="812" dataCellStyle="Vírgula"/>
    <tableColumn id="21" xr3:uid="{4BA77CC8-B111-4EAD-9FCD-39C0E2981120}" name="C. TOTAL4" dataDxfId="811" dataCellStyle="Vírgula">
      <calculatedColumnFormula>AV11*AW11</calculatedColumnFormula>
    </tableColumn>
    <tableColumn id="22" xr3:uid="{CC7B478E-5FEF-4567-995C-6B76489A730D}" name="Nº5" dataDxfId="810"/>
    <tableColumn id="23" xr3:uid="{A4EBCFB5-8DF7-4BA5-9676-1243AB402F98}" name="QUANT.5" dataDxfId="809" dataCellStyle="Vírgula"/>
    <tableColumn id="24" xr3:uid="{67F3F6BE-01C1-4FB7-9EB9-26B6A0B39892}" name="C. UNIT5" dataDxfId="808" dataCellStyle="Vírgula"/>
    <tableColumn id="25" xr3:uid="{B72FBFCF-2399-4B91-B0A9-9188A8C3564A}" name="C. TOTAL5" dataDxfId="807" dataCellStyle="Vírgula">
      <calculatedColumnFormula>AZ11*BA11</calculatedColumnFormula>
    </tableColumn>
    <tableColumn id="26" xr3:uid="{050FE939-0ACB-4280-A8D4-04AED42539B1}" name="Nº6" dataDxfId="806"/>
    <tableColumn id="27" xr3:uid="{72E04586-B9D4-407A-9846-C3328E24B7CC}" name="QUANT.6" dataDxfId="805" dataCellStyle="Vírgula"/>
    <tableColumn id="28" xr3:uid="{53E786A6-851F-45BD-86F9-51DC471D519F}" name="C. UNIT6" dataDxfId="804" dataCellStyle="Vírgula"/>
    <tableColumn id="29" xr3:uid="{49C8F981-710B-467A-9928-DB11EACCC763}" name="C. TOTAL6" dataDxfId="803" dataCellStyle="Vírgula">
      <calculatedColumnFormula>BD11*BE11</calculatedColumnFormula>
    </tableColumn>
    <tableColumn id="30" xr3:uid="{71E23B71-231D-455E-9F7E-91CCB6D4621A}" name="Nº7" dataDxfId="802"/>
    <tableColumn id="31" xr3:uid="{B58A2709-AF6B-4DB3-9757-BEE46D48A4D6}" name="QUANT.7" dataDxfId="801" dataCellStyle="Vírgula"/>
    <tableColumn id="32" xr3:uid="{23CE88D7-DD83-45C1-A1F1-50ECAF188254}" name="C. UNIT7" dataDxfId="800" dataCellStyle="Vírgula"/>
    <tableColumn id="33" xr3:uid="{064E2BC9-4E0A-49EC-BA41-B735784E0451}" name="C. TOTAL7" dataDxfId="799" dataCellStyle="Vírgula">
      <calculatedColumnFormula>BH11*BI11</calculatedColumnFormula>
    </tableColumn>
    <tableColumn id="34" xr3:uid="{6F9E3F7E-1704-4018-AE6F-18C0C9C156AD}" name="Nº8" dataDxfId="798"/>
    <tableColumn id="35" xr3:uid="{7AFBE453-90C2-4B90-8E57-B0974A1AEACE}" name="QUANT.8" dataDxfId="797" dataCellStyle="Vírgula"/>
    <tableColumn id="36" xr3:uid="{3DD2F88A-C7A8-41E5-9C4D-5A547A665142}" name="C. UNIT8" dataDxfId="796" dataCellStyle="Vírgula"/>
    <tableColumn id="37" xr3:uid="{B5940738-8369-4727-A97F-BB9300308703}" name="C. TOTAL8" dataDxfId="795" dataCellStyle="Vírgula">
      <calculatedColumnFormula>BL11*BM11</calculatedColumnFormula>
    </tableColumn>
    <tableColumn id="38" xr3:uid="{4AC3E833-A893-4214-9CB5-DF2D1B7FA395}" name="Nº9" dataDxfId="794"/>
    <tableColumn id="39" xr3:uid="{E9A86E7D-E53B-4A07-BAA3-A4E6C95E4287}" name="QUANT.9" dataDxfId="793" dataCellStyle="Vírgula"/>
    <tableColumn id="40" xr3:uid="{4B5E68EF-87E6-4BBB-870A-C0335A65FFB6}" name="C. UNIT9" dataDxfId="792" dataCellStyle="Vírgula"/>
    <tableColumn id="41" xr3:uid="{1552032C-2833-4D0B-A4BB-33E611E255E0}" name="C. TOTAL9" dataDxfId="791" dataCellStyle="Vírgula">
      <calculatedColumnFormula>BP11*BQ11</calculatedColumnFormula>
    </tableColumn>
    <tableColumn id="42" xr3:uid="{4BD0FF7D-0B50-4D3D-8BA0-93F32348AACF}" name="Nº10" dataDxfId="790"/>
    <tableColumn id="43" xr3:uid="{8DBC7A65-6A96-4F76-BA3A-38F8E45F594C}" name="QUANT.10" dataDxfId="789" dataCellStyle="Vírgula"/>
    <tableColumn id="44" xr3:uid="{9FDC1884-AA65-4E20-8B40-4AEE2972B055}" name="C. UNIT10" dataDxfId="788" dataCellStyle="Vírgula"/>
    <tableColumn id="45" xr3:uid="{8C9A239F-3110-43AB-8782-99673D20825E}" name="C. TOTAL10" dataDxfId="787" dataCellStyle="Vírgula">
      <calculatedColumnFormula>BT11*BU11</calculatedColumnFormula>
    </tableColumn>
    <tableColumn id="46" xr3:uid="{C29680F3-B329-4E79-AC64-E511EE722DA4}" name="Nº11" dataDxfId="786"/>
    <tableColumn id="47" xr3:uid="{2CCB3DBE-9400-4E65-8017-685337204D79}" name="QUANT.11" dataDxfId="785" dataCellStyle="Vírgula"/>
    <tableColumn id="48" xr3:uid="{88F01F4A-EA49-40D4-BD56-AF4123F95362}" name="C. UNIT11" dataDxfId="784" dataCellStyle="Vírgula"/>
    <tableColumn id="49" xr3:uid="{7D8D88CA-6CEF-40C2-8B72-8E3BBC9B04D2}" name="C. TOTAL11" dataDxfId="783" dataCellStyle="Vírgula">
      <calculatedColumnFormula>BX11*BY11</calculatedColumnFormula>
    </tableColumn>
    <tableColumn id="50" xr3:uid="{852BEDC8-0BD5-415F-BF2E-F42E594B849A}" name="Nº12" dataDxfId="782"/>
    <tableColumn id="51" xr3:uid="{19EAFD36-6391-4F06-87E7-410A0C0FFC6E}" name="QUANT.12" dataDxfId="781" dataCellStyle="Vírgula"/>
    <tableColumn id="52" xr3:uid="{D9CC687C-F5E9-4F08-B634-CB9C26A19056}" name="C. UNIT12" dataDxfId="780" dataCellStyle="Vírgula"/>
    <tableColumn id="53" xr3:uid="{79D8109D-8602-4D5D-91B6-1E070746765E}" name="C. TOTAL12" dataDxfId="779" dataCellStyle="Vírgula">
      <calculatedColumnFormula>CB11*CC11</calculatedColumnFormula>
    </tableColumn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B50C377-FCC8-4B17-89B2-F5B86EA3430C}" name="CPU_28" displayName="CPU_28" ref="B10:K62" totalsRowShown="0" headerRowDxfId="778" tableBorderDxfId="777">
  <autoFilter ref="B10:K62" xr:uid="{00000000-0009-0000-0100-000020000000}"/>
  <tableColumns count="10">
    <tableColumn id="1" xr3:uid="{35C6A720-AB3A-471B-90A6-4917A427FD55}" name="CODIGO" dataDxfId="776"/>
    <tableColumn id="8" xr3:uid="{7347E800-E22D-4151-99C1-67D5AA055823}" name="SERVIÇO" dataDxfId="775">
      <calculatedColumnFormula>$A$3</calculatedColumnFormula>
    </tableColumn>
    <tableColumn id="9" xr3:uid="{5A4E7F2A-88AE-4431-B4FD-A22A29EA1D06}" name="PRODUÇÃO" dataDxfId="774">
      <calculatedColumnFormula>$B$6</calculatedColumnFormula>
    </tableColumn>
    <tableColumn id="10" xr3:uid="{EEE0B9F2-B0D8-4F87-913A-4F72E234EFC0}" name="QTDE_TOTAL" dataDxfId="773">
      <calculatedColumnFormula>$B$7</calculatedColumnFormula>
    </tableColumn>
    <tableColumn id="2" xr3:uid="{E47545E0-F7A3-4A77-9338-0991EA0670D0}" name="DESCRIÇÃO" dataDxfId="772"/>
    <tableColumn id="3" xr3:uid="{26D15D87-6625-468D-A51B-9A12AD0F9ECD}" name="UNID" dataDxfId="771">
      <calculatedColumnFormula>IFERROR(VLOOKUP(F11,Tabela7[[RECURSO]:[CUSTO]],2,FALSE),"")</calculatedColumnFormula>
    </tableColumn>
    <tableColumn id="7" xr3:uid="{BE238AFD-ACCE-47CC-9F91-0D5A5F280954}" name="Nº" dataDxfId="770"/>
    <tableColumn id="4" xr3:uid="{2545B150-2268-4806-9373-95CDD03FA420}" name="QUANT." dataDxfId="769"/>
    <tableColumn id="5" xr3:uid="{AABA3D92-CA8D-432D-9717-DFECDA126CC2}" name="C. UNIT" dataDxfId="768" dataCellStyle="Vírgula">
      <calculatedColumnFormula>IFERROR(VLOOKUP(F11,Tabela7[[RECURSO]:[CUSTO]],3,FALSE),0)</calculatedColumnFormula>
    </tableColumn>
    <tableColumn id="6" xr3:uid="{366BD731-66A4-4AF6-9FA7-C28AE2236013}" name="C. TOTAL" dataDxfId="767" dataCellStyle="Vírgula">
      <calculatedColumnFormula>IFERROR(VLOOKUP(G11,Tabela7[[RECURSO]:[CUSTO]],3),0)</calculatedColumnFormula>
    </tableColumn>
  </tableColumns>
  <tableStyleInfo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72D15759-5984-4DA8-93FC-552D18155A28}" name="Realizado629" displayName="Realizado629" ref="AD10:CD62" totalsRowShown="0" headerRowDxfId="766">
  <autoFilter ref="AD10:CD62" xr:uid="{00000000-0009-0000-0100-000006000000}"/>
  <tableColumns count="53">
    <tableColumn id="1" xr3:uid="{053C773C-1AD2-49E9-BAF9-C3FCAD14EAA7}" name="serviço" dataDxfId="765">
      <calculatedColumnFormula>$B$3</calculatedColumnFormula>
    </tableColumn>
    <tableColumn id="2" xr3:uid="{A84A946D-42BB-443F-858B-FA65C5EF130D}" name="Nº" dataDxfId="764"/>
    <tableColumn id="3" xr3:uid="{77C513BD-8120-4D75-965D-2C3A2413A52A}" name="QUANT." dataDxfId="763" dataCellStyle="Vírgula">
      <calculatedColumnFormula>AJ11+AN11+AR11+AV11+AZ11+BD11+BH11+BL11+BP11+BT11+BX11+CB11</calculatedColumnFormula>
    </tableColumn>
    <tableColumn id="4" xr3:uid="{1DD2291B-BA62-485D-A77C-AA32C9DC0D55}" name="C. UNIT" dataDxfId="762" dataCellStyle="Vírgula">
      <calculatedColumnFormula>IFERROR(AH11/AF11,0)</calculatedColumnFormula>
    </tableColumn>
    <tableColumn id="5" xr3:uid="{853F31C1-CF79-4068-932D-F97C8653149D}" name="C. TOTAL" dataDxfId="761" dataCellStyle="Vírgula">
      <calculatedColumnFormula>AL11+AP11+AT11+AX11+BB11+BF11+BJ11+BN11+BR11+BV11+BZ11+CD11</calculatedColumnFormula>
    </tableColumn>
    <tableColumn id="6" xr3:uid="{DA858BB8-2E32-43A4-BE2F-2CF6C575DD32}" name="Nº1" dataDxfId="760"/>
    <tableColumn id="7" xr3:uid="{3E53897B-01F0-421B-85D9-34F390584D45}" name="QUANT.1" dataDxfId="759" dataCellStyle="Vírgula"/>
    <tableColumn id="8" xr3:uid="{1F803605-D5BE-4D84-8A00-9556AA95F7E5}" name="C. UNIT1" dataDxfId="758" dataCellStyle="Vírgula"/>
    <tableColumn id="9" xr3:uid="{BBFB4120-93D4-4D3A-B9B5-A0EFEE3DCF7C}" name="C. TOTAL1" dataDxfId="757" dataCellStyle="Vírgula">
      <calculatedColumnFormula>AJ11*AK11</calculatedColumnFormula>
    </tableColumn>
    <tableColumn id="10" xr3:uid="{6C938E11-B027-4BDC-A438-527137F5B781}" name="Nº2" dataDxfId="756"/>
    <tableColumn id="11" xr3:uid="{4E5EE9D7-B0D8-4C15-A164-80C603595978}" name="QUANT.2" dataDxfId="755" dataCellStyle="Vírgula"/>
    <tableColumn id="12" xr3:uid="{B0DDC15B-2B9E-4C93-A867-F14572E7B28D}" name="C. UNIT2" dataDxfId="754" dataCellStyle="Vírgula"/>
    <tableColumn id="13" xr3:uid="{82037E27-C911-4EBB-871B-E93FFB023C6D}" name="C. TOTAL2" dataDxfId="753" dataCellStyle="Vírgula">
      <calculatedColumnFormula>AN11*AO11</calculatedColumnFormula>
    </tableColumn>
    <tableColumn id="14" xr3:uid="{5325CF05-73B5-4035-BB6B-24996AD0304E}" name="Nº3" dataDxfId="752"/>
    <tableColumn id="15" xr3:uid="{E74FC319-CFB8-4AF6-B363-92934EF4D518}" name="QUANT.3" dataDxfId="751" dataCellStyle="Vírgula"/>
    <tableColumn id="16" xr3:uid="{AE98F9F4-C69A-4517-8783-A10E3CE86129}" name="C. UNIT3" dataDxfId="750" dataCellStyle="Vírgula"/>
    <tableColumn id="17" xr3:uid="{3DA588D6-F740-4BB7-8416-FEEAFCA1F79E}" name="C. TOTAL3" dataDxfId="749" dataCellStyle="Vírgula">
      <calculatedColumnFormula>AR11*AS11</calculatedColumnFormula>
    </tableColumn>
    <tableColumn id="18" xr3:uid="{0E5543B5-44E9-4239-9815-3D74EC303084}" name="Nº4" dataDxfId="748"/>
    <tableColumn id="19" xr3:uid="{85DAAF9A-1E34-4703-8D56-7F1F14476C7F}" name="QUANT.4" dataDxfId="747" dataCellStyle="Vírgula"/>
    <tableColumn id="20" xr3:uid="{2E97FED6-5C87-45E0-A17F-4E0167284857}" name="C. UNIT4" dataDxfId="746" dataCellStyle="Vírgula"/>
    <tableColumn id="21" xr3:uid="{19B2E791-EBA7-4D91-96E6-EFC641007965}" name="C. TOTAL4" dataDxfId="745" dataCellStyle="Vírgula">
      <calculatedColumnFormula>AV11*AW11</calculatedColumnFormula>
    </tableColumn>
    <tableColumn id="22" xr3:uid="{161A21FD-5957-4AC0-9C4D-E4C07A8562E1}" name="Nº5" dataDxfId="744"/>
    <tableColumn id="23" xr3:uid="{F645941A-9090-47DF-9DD6-5C5678025EBB}" name="QUANT.5" dataDxfId="743" dataCellStyle="Vírgula"/>
    <tableColumn id="24" xr3:uid="{DB95A39E-A0C0-48E2-B4C8-2AAB658A44EB}" name="C. UNIT5" dataDxfId="742" dataCellStyle="Vírgula"/>
    <tableColumn id="25" xr3:uid="{AA4269BC-2744-4426-AD74-10C3C5EB8110}" name="C. TOTAL5" dataDxfId="741" dataCellStyle="Vírgula">
      <calculatedColumnFormula>AZ11*BA11</calculatedColumnFormula>
    </tableColumn>
    <tableColumn id="26" xr3:uid="{4D7F1CB3-0458-4CB2-958F-686021775C06}" name="Nº6" dataDxfId="740"/>
    <tableColumn id="27" xr3:uid="{126DD2B0-12BB-4926-ADEE-24B64183ED3A}" name="QUANT.6" dataDxfId="739" dataCellStyle="Vírgula"/>
    <tableColumn id="28" xr3:uid="{94FFB3F5-AA28-4768-8F26-216737E56FCC}" name="C. UNIT6" dataDxfId="738" dataCellStyle="Vírgula"/>
    <tableColumn id="29" xr3:uid="{654F3ED7-31C7-49A1-AAB1-CB933ED93079}" name="C. TOTAL6" dataDxfId="737" dataCellStyle="Vírgula">
      <calculatedColumnFormula>BD11*BE11</calculatedColumnFormula>
    </tableColumn>
    <tableColumn id="30" xr3:uid="{4D6BECDD-2878-476A-A66E-5AB55612277F}" name="Nº7" dataDxfId="736"/>
    <tableColumn id="31" xr3:uid="{1C8FD632-9F0F-4555-81C8-BA53433DEE69}" name="QUANT.7" dataDxfId="735" dataCellStyle="Vírgula"/>
    <tableColumn id="32" xr3:uid="{D8D5571C-9F03-4C7F-BEC0-6349AA92FB57}" name="C. UNIT7" dataDxfId="734" dataCellStyle="Vírgula"/>
    <tableColumn id="33" xr3:uid="{DB592E8A-FD0F-49BA-A388-326B52DC500E}" name="C. TOTAL7" dataDxfId="733" dataCellStyle="Vírgula">
      <calculatedColumnFormula>BH11*BI11</calculatedColumnFormula>
    </tableColumn>
    <tableColumn id="34" xr3:uid="{C5E03205-1CB5-4B18-AE55-30947A6DE31B}" name="Nº8" dataDxfId="732"/>
    <tableColumn id="35" xr3:uid="{E31CF489-2292-4277-BB20-EBDFBDC258BA}" name="QUANT.8" dataDxfId="731" dataCellStyle="Vírgula"/>
    <tableColumn id="36" xr3:uid="{4B08C073-06CE-4E93-93B2-CA5ABE392AF0}" name="C. UNIT8" dataDxfId="730" dataCellStyle="Vírgula"/>
    <tableColumn id="37" xr3:uid="{22DA2113-7866-4831-930D-E294E0B4BFB4}" name="C. TOTAL8" dataDxfId="729" dataCellStyle="Vírgula">
      <calculatedColumnFormula>BL11*BM11</calculatedColumnFormula>
    </tableColumn>
    <tableColumn id="38" xr3:uid="{DB97AD90-73F2-424D-B592-C468A00EEA45}" name="Nº9" dataDxfId="728"/>
    <tableColumn id="39" xr3:uid="{8D0D2C26-AFF2-4BA2-B7C2-06F03888E2C5}" name="QUANT.9" dataDxfId="727" dataCellStyle="Vírgula"/>
    <tableColumn id="40" xr3:uid="{6F5C4EC1-2979-4AC4-99F8-A9B6132F8583}" name="C. UNIT9" dataDxfId="726" dataCellStyle="Vírgula"/>
    <tableColumn id="41" xr3:uid="{B496DCAF-1DFB-4183-B740-5792ED3EF53D}" name="C. TOTAL9" dataDxfId="725" dataCellStyle="Vírgula">
      <calculatedColumnFormula>BP11*BQ11</calculatedColumnFormula>
    </tableColumn>
    <tableColumn id="42" xr3:uid="{FE4F368E-591D-4DEC-9686-D048E9C82E53}" name="Nº10" dataDxfId="724"/>
    <tableColumn id="43" xr3:uid="{0805E9A3-3C63-4FA3-9CB2-928F6518AD31}" name="QUANT.10" dataDxfId="723" dataCellStyle="Vírgula"/>
    <tableColumn id="44" xr3:uid="{7DDF381E-6292-42CE-8717-C38344968518}" name="C. UNIT10" dataDxfId="722" dataCellStyle="Vírgula"/>
    <tableColumn id="45" xr3:uid="{41644A5D-6747-40F2-9DFC-739B2D1B0629}" name="C. TOTAL10" dataDxfId="721" dataCellStyle="Vírgula">
      <calculatedColumnFormula>BT11*BU11</calculatedColumnFormula>
    </tableColumn>
    <tableColumn id="46" xr3:uid="{38A40877-B99B-41C2-AAFB-D7532E14DFA3}" name="Nº11" dataDxfId="720"/>
    <tableColumn id="47" xr3:uid="{5AC89AD5-5809-4258-8222-84AA21C0F399}" name="QUANT.11" dataDxfId="719" dataCellStyle="Vírgula"/>
    <tableColumn id="48" xr3:uid="{2D63D74B-68A8-486D-9616-70B4007FAC3F}" name="C. UNIT11" dataDxfId="718" dataCellStyle="Vírgula"/>
    <tableColumn id="49" xr3:uid="{9DDE034D-BCDE-4B10-B7BF-518CA2A00CD7}" name="C. TOTAL11" dataDxfId="717" dataCellStyle="Vírgula">
      <calculatedColumnFormula>BX11*BY11</calculatedColumnFormula>
    </tableColumn>
    <tableColumn id="50" xr3:uid="{66A1CC3F-4120-4CDB-8E59-731AB139422C}" name="Nº12" dataDxfId="716"/>
    <tableColumn id="51" xr3:uid="{B32E8861-5A0E-4AFB-9E86-3D1F704A3A29}" name="QUANT.12" dataDxfId="715" dataCellStyle="Vírgula"/>
    <tableColumn id="52" xr3:uid="{F742C2FF-3C59-4067-99C1-A0FB2368CCEC}" name="C. UNIT12" dataDxfId="714" dataCellStyle="Vírgula"/>
    <tableColumn id="53" xr3:uid="{DD85EEB7-0855-481E-81EF-AB64695BBF1F}" name="C. TOTAL12" dataDxfId="713" dataCellStyle="Vírgula">
      <calculatedColumnFormula>CB11*CC11</calculatedColumnFormula>
    </tableColumn>
  </tableColumns>
  <tableStyleInfo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42707E5-D7EE-4FFF-942E-9D967ACF6C01}" name="CPU_26" displayName="CPU_26" ref="B10:K62" totalsRowShown="0" headerRowDxfId="712" tableBorderDxfId="711">
  <autoFilter ref="B10:K62" xr:uid="{00000000-0009-0000-0100-000020000000}"/>
  <tableColumns count="10">
    <tableColumn id="1" xr3:uid="{267B9F10-4AC0-44F5-BFA7-C1E94AF7400A}" name="CODIGO" dataDxfId="710"/>
    <tableColumn id="8" xr3:uid="{4AE7D45D-8E3B-422B-9CA7-D48C60A8A327}" name="SERVIÇO" dataDxfId="709">
      <calculatedColumnFormula>$A$3</calculatedColumnFormula>
    </tableColumn>
    <tableColumn id="9" xr3:uid="{A7A9938F-ACE4-4C15-AC9F-4DB1D3377DC0}" name="PRODUÇÃO" dataDxfId="708">
      <calculatedColumnFormula>$B$6</calculatedColumnFormula>
    </tableColumn>
    <tableColumn id="10" xr3:uid="{7EA40F43-71E2-408A-B813-080DBF560141}" name="QTDE_TOTAL" dataDxfId="707">
      <calculatedColumnFormula>$B$7</calculatedColumnFormula>
    </tableColumn>
    <tableColumn id="2" xr3:uid="{7AD39F25-7861-4387-BFEB-DAD0D14BAEAE}" name="DESCRIÇÃO" dataDxfId="706"/>
    <tableColumn id="3" xr3:uid="{6D260FEF-8B05-41A3-9AF2-B7336E790F88}" name="UNID" dataDxfId="705">
      <calculatedColumnFormula>IFERROR(VLOOKUP(F11,Tabela7[[RECURSO]:[CUSTO]],2,FALSE),"")</calculatedColumnFormula>
    </tableColumn>
    <tableColumn id="7" xr3:uid="{95AB5A72-9D47-487B-9DF1-9E15E767DDC9}" name="Nº" dataDxfId="704"/>
    <tableColumn id="4" xr3:uid="{8F09480E-AEE6-4367-BB83-5E9FEBBD560F}" name="QUANT." dataDxfId="703"/>
    <tableColumn id="5" xr3:uid="{C65C2F51-914D-481C-9AAD-565AE198A821}" name="C. UNIT" dataDxfId="702" dataCellStyle="Vírgula">
      <calculatedColumnFormula>IFERROR(VLOOKUP(F11,Tabela7[[RECURSO]:[CUSTO]],3,FALSE),0)</calculatedColumnFormula>
    </tableColumn>
    <tableColumn id="6" xr3:uid="{05300C8C-D02D-4617-A08E-197C537AEBD8}" name="C. TOTAL" dataDxfId="701" dataCellStyle="Vírgula">
      <calculatedColumnFormula>IFERROR(VLOOKUP(G11,Tabela7[[RECURSO]:[CUSTO]],3),0)</calculatedColumnFormula>
    </tableColumn>
  </tableColumns>
  <tableStyleInfo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6140A6E-1D77-48DD-B2F3-C7C5A594729F}" name="Realizado627" displayName="Realizado627" ref="AD10:CD62" totalsRowShown="0" headerRowDxfId="700">
  <autoFilter ref="AD10:CD62" xr:uid="{00000000-0009-0000-0100-000006000000}"/>
  <tableColumns count="53">
    <tableColumn id="1" xr3:uid="{167AB617-11E7-4FB1-92B7-F2614AFBBE2F}" name="serviço" dataDxfId="699">
      <calculatedColumnFormula>$B$3</calculatedColumnFormula>
    </tableColumn>
    <tableColumn id="2" xr3:uid="{F331B945-DD2D-4169-9BA3-BF4F2C146D8E}" name="Nº" dataDxfId="698"/>
    <tableColumn id="3" xr3:uid="{38499248-0661-47EE-B0B5-F9456099B464}" name="QUANT." dataDxfId="697" dataCellStyle="Vírgula">
      <calculatedColumnFormula>AJ11+AN11+AR11+AV11+AZ11+BD11+BH11+BL11+BP11+BT11+BX11+CB11</calculatedColumnFormula>
    </tableColumn>
    <tableColumn id="4" xr3:uid="{8B2865B4-5506-4902-9770-76064C28645B}" name="C. UNIT" dataDxfId="696" dataCellStyle="Vírgula">
      <calculatedColumnFormula>IFERROR(AH11/AF11,0)</calculatedColumnFormula>
    </tableColumn>
    <tableColumn id="5" xr3:uid="{740F5411-8AEF-46B1-AC59-80DA68F88892}" name="C. TOTAL" dataDxfId="695" dataCellStyle="Vírgula">
      <calculatedColumnFormula>AL11+AP11+AT11+AX11+BB11+BF11+BJ11+BN11+BR11+BV11+BZ11+CD11</calculatedColumnFormula>
    </tableColumn>
    <tableColumn id="6" xr3:uid="{E4DC2AEF-EE47-4373-9C4E-16133586C5F6}" name="Nº1" dataDxfId="694"/>
    <tableColumn id="7" xr3:uid="{5C1089FF-F17F-4B8A-8DB5-8F47AA09C1AC}" name="QUANT.1" dataDxfId="693" dataCellStyle="Vírgula"/>
    <tableColumn id="8" xr3:uid="{DDD36B1E-4F29-4853-9B2C-7D8C8230F281}" name="C. UNIT1" dataDxfId="692" dataCellStyle="Vírgula"/>
    <tableColumn id="9" xr3:uid="{7B577B1B-6D05-4C3C-957A-7EE95CED61C8}" name="C. TOTAL1" dataDxfId="691" dataCellStyle="Vírgula">
      <calculatedColumnFormula>AJ11*AK11</calculatedColumnFormula>
    </tableColumn>
    <tableColumn id="10" xr3:uid="{6E77C3FF-DB82-4297-9072-669742440F08}" name="Nº2" dataDxfId="690"/>
    <tableColumn id="11" xr3:uid="{63D01CD7-4529-4AB1-86F4-49CE7C4BC96D}" name="QUANT.2" dataDxfId="689" dataCellStyle="Vírgula"/>
    <tableColumn id="12" xr3:uid="{DBCEC990-3F02-4E72-9FCB-3E54AD6CA896}" name="C. UNIT2" dataDxfId="688" dataCellStyle="Vírgula"/>
    <tableColumn id="13" xr3:uid="{767B026B-3BA0-4E2E-96E2-86396B3EC4B0}" name="C. TOTAL2" dataDxfId="687" dataCellStyle="Vírgula">
      <calculatedColumnFormula>AN11*AO11</calculatedColumnFormula>
    </tableColumn>
    <tableColumn id="14" xr3:uid="{1FE3C1C1-C792-4BF2-B9C6-AD10B0E601EC}" name="Nº3" dataDxfId="686"/>
    <tableColumn id="15" xr3:uid="{73B07F68-3913-44B3-A36B-EEDE88B79862}" name="QUANT.3" dataDxfId="685" dataCellStyle="Vírgula"/>
    <tableColumn id="16" xr3:uid="{6C70221D-C271-4D40-8D0F-C6C17416831D}" name="C. UNIT3" dataDxfId="684" dataCellStyle="Vírgula"/>
    <tableColumn id="17" xr3:uid="{F56F1FAE-EE4F-4214-A3C1-BCD32B30DF69}" name="C. TOTAL3" dataDxfId="683" dataCellStyle="Vírgula">
      <calculatedColumnFormula>AR11*AS11</calculatedColumnFormula>
    </tableColumn>
    <tableColumn id="18" xr3:uid="{D7DFCCA4-44DE-450C-9A73-761B0D0C361F}" name="Nº4" dataDxfId="682"/>
    <tableColumn id="19" xr3:uid="{7F6C6367-7FD1-4B29-8D0A-47AA891FA46D}" name="QUANT.4" dataDxfId="681" dataCellStyle="Vírgula"/>
    <tableColumn id="20" xr3:uid="{0DC4DDCD-9E1C-4E93-98A1-999689F1310F}" name="C. UNIT4" dataDxfId="680" dataCellStyle="Vírgula"/>
    <tableColumn id="21" xr3:uid="{EC099CB8-704D-487E-A707-4C632196A849}" name="C. TOTAL4" dataDxfId="679" dataCellStyle="Vírgula">
      <calculatedColumnFormula>AV11*AW11</calculatedColumnFormula>
    </tableColumn>
    <tableColumn id="22" xr3:uid="{D2038E3B-443B-42A5-88AF-B015F3DFDD98}" name="Nº5" dataDxfId="678"/>
    <tableColumn id="23" xr3:uid="{D773794C-DF61-4071-91BD-03458F1F76A7}" name="QUANT.5" dataDxfId="677" dataCellStyle="Vírgula"/>
    <tableColumn id="24" xr3:uid="{A758FA47-EAAD-4C09-9FA3-7E914550CE3F}" name="C. UNIT5" dataDxfId="676" dataCellStyle="Vírgula"/>
    <tableColumn id="25" xr3:uid="{40359F5D-D2C2-424E-8C05-1D09286C1F84}" name="C. TOTAL5" dataDxfId="675" dataCellStyle="Vírgula">
      <calculatedColumnFormula>AZ11*BA11</calculatedColumnFormula>
    </tableColumn>
    <tableColumn id="26" xr3:uid="{286334AE-341B-48A2-BF16-3FB056812D0A}" name="Nº6" dataDxfId="674"/>
    <tableColumn id="27" xr3:uid="{3FED346B-4C44-40EC-AA83-185D5465A356}" name="QUANT.6" dataDxfId="673" dataCellStyle="Vírgula"/>
    <tableColumn id="28" xr3:uid="{5354FC60-0076-4BF0-BD83-65DC845DF649}" name="C. UNIT6" dataDxfId="672" dataCellStyle="Vírgula"/>
    <tableColumn id="29" xr3:uid="{E00B3AF1-14B2-4740-BDAF-10910950E9EC}" name="C. TOTAL6" dataDxfId="671" dataCellStyle="Vírgula">
      <calculatedColumnFormula>BD11*BE11</calculatedColumnFormula>
    </tableColumn>
    <tableColumn id="30" xr3:uid="{91CC6196-25C2-44D7-A486-884B5E344EA5}" name="Nº7" dataDxfId="670"/>
    <tableColumn id="31" xr3:uid="{9B8A4336-7764-4BC7-96E9-96AF1F411B68}" name="QUANT.7" dataDxfId="669" dataCellStyle="Vírgula"/>
    <tableColumn id="32" xr3:uid="{6175E8FE-69ED-4FA7-AC8B-5F934D538747}" name="C. UNIT7" dataDxfId="668" dataCellStyle="Vírgula"/>
    <tableColumn id="33" xr3:uid="{CEF88CC2-59BE-41C3-BAFB-F2520410C1A2}" name="C. TOTAL7" dataDxfId="667" dataCellStyle="Vírgula">
      <calculatedColumnFormula>BH11*BI11</calculatedColumnFormula>
    </tableColumn>
    <tableColumn id="34" xr3:uid="{B6B3BF3B-C64F-4D96-BC31-EF8E343A3085}" name="Nº8" dataDxfId="666"/>
    <tableColumn id="35" xr3:uid="{E618F294-CCD9-4863-8F7A-A501C62B553F}" name="QUANT.8" dataDxfId="665" dataCellStyle="Vírgula"/>
    <tableColumn id="36" xr3:uid="{2FF17DC7-695C-4589-9F3E-101200DD3426}" name="C. UNIT8" dataDxfId="664" dataCellStyle="Vírgula"/>
    <tableColumn id="37" xr3:uid="{A505A0F3-9B23-4CD8-94DD-104C67255E47}" name="C. TOTAL8" dataDxfId="663" dataCellStyle="Vírgula">
      <calculatedColumnFormula>BL11*BM11</calculatedColumnFormula>
    </tableColumn>
    <tableColumn id="38" xr3:uid="{4C849FB5-6A49-4599-B950-9D996E2E73B7}" name="Nº9" dataDxfId="662"/>
    <tableColumn id="39" xr3:uid="{229675B2-BB66-4A9C-8099-E7D38A17FA7D}" name="QUANT.9" dataDxfId="661" dataCellStyle="Vírgula"/>
    <tableColumn id="40" xr3:uid="{F9301580-7A91-4CFC-B030-F90B01368D05}" name="C. UNIT9" dataDxfId="660" dataCellStyle="Vírgula"/>
    <tableColumn id="41" xr3:uid="{A8E12490-FA4B-423E-B73A-FE5E5DC2AEFA}" name="C. TOTAL9" dataDxfId="659" dataCellStyle="Vírgula">
      <calculatedColumnFormula>BP11*BQ11</calculatedColumnFormula>
    </tableColumn>
    <tableColumn id="42" xr3:uid="{88D5E98F-3206-4D66-B415-68ADC685EFDB}" name="Nº10" dataDxfId="658"/>
    <tableColumn id="43" xr3:uid="{CBDD8474-30B4-498E-AE97-35DC915A432D}" name="QUANT.10" dataDxfId="657" dataCellStyle="Vírgula"/>
    <tableColumn id="44" xr3:uid="{C8AA24E7-B103-420F-82D1-11116F200005}" name="C. UNIT10" dataDxfId="656" dataCellStyle="Vírgula"/>
    <tableColumn id="45" xr3:uid="{358617D7-5C56-4B48-9751-8C7B6E2F7280}" name="C. TOTAL10" dataDxfId="655" dataCellStyle="Vírgula">
      <calculatedColumnFormula>BT11*BU11</calculatedColumnFormula>
    </tableColumn>
    <tableColumn id="46" xr3:uid="{42E2F790-1880-4C47-BF9A-694C431BAF8C}" name="Nº11" dataDxfId="654"/>
    <tableColumn id="47" xr3:uid="{36B8CF5E-9E97-4D2C-846C-8E566AF5876F}" name="QUANT.11" dataDxfId="653" dataCellStyle="Vírgula"/>
    <tableColumn id="48" xr3:uid="{B2346F22-AE52-476C-9638-05FD2DDD8C44}" name="C. UNIT11" dataDxfId="652" dataCellStyle="Vírgula"/>
    <tableColumn id="49" xr3:uid="{A5029E2C-01D2-4E0D-99F6-EA437EC5B875}" name="C. TOTAL11" dataDxfId="651" dataCellStyle="Vírgula">
      <calculatedColumnFormula>BX11*BY11</calculatedColumnFormula>
    </tableColumn>
    <tableColumn id="50" xr3:uid="{F3ED1B9B-0F4A-4862-8A86-11E518D09E1F}" name="Nº12" dataDxfId="650"/>
    <tableColumn id="51" xr3:uid="{AE561779-28DF-46A8-B15E-047770D39DD4}" name="QUANT.12" dataDxfId="649" dataCellStyle="Vírgula"/>
    <tableColumn id="52" xr3:uid="{2D8A5BC4-3A1A-4DDF-96DC-6C330F4ACB17}" name="C. UNIT12" dataDxfId="648" dataCellStyle="Vírgula"/>
    <tableColumn id="53" xr3:uid="{9C0EDC2D-9F56-46E0-8AF1-7E4242AEF582}" name="C. TOTAL12" dataDxfId="647" dataCellStyle="Vírgula">
      <calculatedColumnFormula>CB11*CC11</calculatedColumnFormula>
    </tableColumn>
  </tableColumns>
  <tableStyleInfo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D127EDD-A23D-4DF9-AA20-7D4EE22AD6F9}" name="CPU_24" displayName="CPU_24" ref="B10:K62" totalsRowShown="0" headerRowDxfId="646" tableBorderDxfId="645">
  <autoFilter ref="B10:K62" xr:uid="{00000000-0009-0000-0100-000020000000}"/>
  <tableColumns count="10">
    <tableColumn id="1" xr3:uid="{7CE99A8D-8688-49FB-A59B-2A7A24FA2C96}" name="CODIGO" dataDxfId="644"/>
    <tableColumn id="8" xr3:uid="{CDFEA500-A88C-4AF5-AA2A-9424904DCD47}" name="SERVIÇO" dataDxfId="643">
      <calculatedColumnFormula>$A$3</calculatedColumnFormula>
    </tableColumn>
    <tableColumn id="9" xr3:uid="{954041B6-CCC6-4925-946E-DBC5DB85DF7A}" name="PRODUÇÃO" dataDxfId="642">
      <calculatedColumnFormula>$B$6</calculatedColumnFormula>
    </tableColumn>
    <tableColumn id="10" xr3:uid="{772CD820-2D0F-443F-A739-4BE25EADAD19}" name="QTDE_TOTAL" dataDxfId="641">
      <calculatedColumnFormula>$B$7</calculatedColumnFormula>
    </tableColumn>
    <tableColumn id="2" xr3:uid="{3EBDD5EF-A299-4CBA-9E1E-0A6EC73BA786}" name="DESCRIÇÃO" dataDxfId="640"/>
    <tableColumn id="3" xr3:uid="{D2C46F3A-A010-4BA7-9D30-3A7038097718}" name="UNID" dataDxfId="639">
      <calculatedColumnFormula>IFERROR(VLOOKUP(F11,Tabela7[[RECURSO]:[CUSTO]],2,FALSE),"")</calculatedColumnFormula>
    </tableColumn>
    <tableColumn id="7" xr3:uid="{A4BEAE8C-70DB-464E-B2FF-DCADAE325B87}" name="Nº" dataDxfId="638"/>
    <tableColumn id="4" xr3:uid="{79E0250A-0A83-442D-816A-6BE12FD80376}" name="QUANT." dataDxfId="637"/>
    <tableColumn id="5" xr3:uid="{52B766D8-8636-40A5-A2B1-FA6E8716C484}" name="C. UNIT" dataDxfId="636" dataCellStyle="Vírgula">
      <calculatedColumnFormula>IFERROR(VLOOKUP(F11,Tabela7[[RECURSO]:[CUSTO]],3,FALSE),0)</calculatedColumnFormula>
    </tableColumn>
    <tableColumn id="6" xr3:uid="{18D89ECF-2704-435B-A5DB-2D2B75AE6A24}" name="C. TOTAL" dataDxfId="635" dataCellStyle="Vírgula">
      <calculatedColumnFormula>IFERROR(VLOOKUP(G11,Tabela7[[RECURSO]:[CUSTO]],3),0)</calculatedColumnFormula>
    </tableColumn>
  </tableColumns>
  <tableStyleInfo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AD770E9D-A1A1-4546-899E-F2E6294394DF}" name="Realizado625" displayName="Realizado625" ref="AD10:CD62" totalsRowShown="0" headerRowDxfId="634">
  <autoFilter ref="AD10:CD62" xr:uid="{00000000-0009-0000-0100-000006000000}"/>
  <tableColumns count="53">
    <tableColumn id="1" xr3:uid="{9032D0FB-6223-48AB-9A0A-D154C47E2EED}" name="serviço" dataDxfId="633">
      <calculatedColumnFormula>$B$3</calculatedColumnFormula>
    </tableColumn>
    <tableColumn id="2" xr3:uid="{29706E3F-33A3-4DFE-8A01-71FA6C3438A8}" name="Nº" dataDxfId="632"/>
    <tableColumn id="3" xr3:uid="{3B57CFCF-F701-4ABB-8193-C88E6F47CB88}" name="QUANT." dataDxfId="631" dataCellStyle="Vírgula">
      <calculatedColumnFormula>AJ11+AN11+AR11+AV11+AZ11+BD11+BH11+BL11+BP11+BT11+BX11+CB11</calculatedColumnFormula>
    </tableColumn>
    <tableColumn id="4" xr3:uid="{9FE5B13E-522C-4482-BEB8-47FF0839AA3C}" name="C. UNIT" dataDxfId="630" dataCellStyle="Vírgula">
      <calculatedColumnFormula>IFERROR(AH11/AF11,0)</calculatedColumnFormula>
    </tableColumn>
    <tableColumn id="5" xr3:uid="{C6DFC522-02EE-4055-A655-910F608112C8}" name="C. TOTAL" dataDxfId="629" dataCellStyle="Vírgula">
      <calculatedColumnFormula>AL11+AP11+AT11+AX11+BB11+BF11+BJ11+BN11+BR11+BV11+BZ11+CD11</calculatedColumnFormula>
    </tableColumn>
    <tableColumn id="6" xr3:uid="{B63C81E0-4347-43A7-AB7B-049B9AA151A7}" name="Nº1" dataDxfId="628"/>
    <tableColumn id="7" xr3:uid="{80D539EA-36E2-4CE8-814C-BFF32176DC7B}" name="QUANT.1" dataDxfId="627" dataCellStyle="Vírgula"/>
    <tableColumn id="8" xr3:uid="{48FDC4C2-F23B-4205-9ABF-5DACEDCD92D3}" name="C. UNIT1" dataDxfId="626" dataCellStyle="Vírgula"/>
    <tableColumn id="9" xr3:uid="{84F9FC6A-DC98-4BA4-9456-8ECCD8B94BFA}" name="C. TOTAL1" dataDxfId="625" dataCellStyle="Vírgula">
      <calculatedColumnFormula>AJ11*AK11</calculatedColumnFormula>
    </tableColumn>
    <tableColumn id="10" xr3:uid="{28487A6D-6EFA-4B00-AE5A-A505E4369F00}" name="Nº2" dataDxfId="624"/>
    <tableColumn id="11" xr3:uid="{82DC38F5-913A-4EB5-AAE9-FB4F8883DFE1}" name="QUANT.2" dataDxfId="623" dataCellStyle="Vírgula"/>
    <tableColumn id="12" xr3:uid="{5B6A6395-5DCF-412E-BC43-7FA02A78B5FE}" name="C. UNIT2" dataDxfId="622" dataCellStyle="Vírgula"/>
    <tableColumn id="13" xr3:uid="{602AD3E9-330E-4746-9196-5BB777E70C69}" name="C. TOTAL2" dataDxfId="621" dataCellStyle="Vírgula">
      <calculatedColumnFormula>AN11*AO11</calculatedColumnFormula>
    </tableColumn>
    <tableColumn id="14" xr3:uid="{B4BBCEDB-A211-4117-9E51-D1546BAA457A}" name="Nº3" dataDxfId="620"/>
    <tableColumn id="15" xr3:uid="{C13CCFC2-1C14-4DFA-945F-D34147E88719}" name="QUANT.3" dataDxfId="619" dataCellStyle="Vírgula"/>
    <tableColumn id="16" xr3:uid="{F3AE9CB8-4748-4816-A8C7-B3F983A3D01B}" name="C. UNIT3" dataDxfId="618" dataCellStyle="Vírgula"/>
    <tableColumn id="17" xr3:uid="{380BA8B0-653B-460D-9E20-20F3080BA321}" name="C. TOTAL3" dataDxfId="617" dataCellStyle="Vírgula">
      <calculatedColumnFormula>AR11*AS11</calculatedColumnFormula>
    </tableColumn>
    <tableColumn id="18" xr3:uid="{2A832961-0B6D-4272-B919-566B20FD3F63}" name="Nº4" dataDxfId="616"/>
    <tableColumn id="19" xr3:uid="{3DD83191-DA2F-422F-8CFF-5CF51EE16CA4}" name="QUANT.4" dataDxfId="615" dataCellStyle="Vírgula"/>
    <tableColumn id="20" xr3:uid="{785EAEA2-1606-46D2-9F15-5FBFA24830E5}" name="C. UNIT4" dataDxfId="614" dataCellStyle="Vírgula"/>
    <tableColumn id="21" xr3:uid="{2FB92626-3A3A-4EA0-939C-31DDEE4D63BF}" name="C. TOTAL4" dataDxfId="613" dataCellStyle="Vírgula">
      <calculatedColumnFormula>AV11*AW11</calculatedColumnFormula>
    </tableColumn>
    <tableColumn id="22" xr3:uid="{CDEA356B-6694-4F20-B8BC-DBEC16660BAC}" name="Nº5" dataDxfId="612"/>
    <tableColumn id="23" xr3:uid="{84F540A6-C23A-48C2-BF88-B54975A8E114}" name="QUANT.5" dataDxfId="611" dataCellStyle="Vírgula"/>
    <tableColumn id="24" xr3:uid="{6841D101-3886-4E70-93F3-B10D7C6B6C1C}" name="C. UNIT5" dataDxfId="610" dataCellStyle="Vírgula"/>
    <tableColumn id="25" xr3:uid="{4F77E78B-35DB-48D0-8864-050BFCB44ED0}" name="C. TOTAL5" dataDxfId="609" dataCellStyle="Vírgula">
      <calculatedColumnFormula>AZ11*BA11</calculatedColumnFormula>
    </tableColumn>
    <tableColumn id="26" xr3:uid="{9243BBF3-1F8A-487E-A469-F3AC98F53B1A}" name="Nº6" dataDxfId="608"/>
    <tableColumn id="27" xr3:uid="{8C23A5DF-5AE1-4722-9027-59982C63AAB8}" name="QUANT.6" dataDxfId="607" dataCellStyle="Vírgula"/>
    <tableColumn id="28" xr3:uid="{86DCE24D-18CD-4137-829B-28EE04E29978}" name="C. UNIT6" dataDxfId="606" dataCellStyle="Vírgula"/>
    <tableColumn id="29" xr3:uid="{B767534F-9577-4193-B6C9-B4FBDFCB5091}" name="C. TOTAL6" dataDxfId="605" dataCellStyle="Vírgula">
      <calculatedColumnFormula>BD11*BE11</calculatedColumnFormula>
    </tableColumn>
    <tableColumn id="30" xr3:uid="{182078F9-6076-40E3-B4EB-0DD4788FAA5B}" name="Nº7" dataDxfId="604"/>
    <tableColumn id="31" xr3:uid="{2980197D-F6FD-42C6-8B0F-64FE0DCB5FB8}" name="QUANT.7" dataDxfId="603" dataCellStyle="Vírgula"/>
    <tableColumn id="32" xr3:uid="{3CCA1679-B23D-49D8-B18D-67763AA100A0}" name="C. UNIT7" dataDxfId="602" dataCellStyle="Vírgula"/>
    <tableColumn id="33" xr3:uid="{3335B006-791D-4BDF-A4CE-2D5583C1C3F8}" name="C. TOTAL7" dataDxfId="601" dataCellStyle="Vírgula">
      <calculatedColumnFormula>BH11*BI11</calculatedColumnFormula>
    </tableColumn>
    <tableColumn id="34" xr3:uid="{234CB1AD-F21A-4367-99C9-79B7662F3FEB}" name="Nº8" dataDxfId="600"/>
    <tableColumn id="35" xr3:uid="{A4D8CBAB-27AF-49BD-849B-758B8DA9D0E7}" name="QUANT.8" dataDxfId="599" dataCellStyle="Vírgula"/>
    <tableColumn id="36" xr3:uid="{B873ECBC-2676-43EE-AE10-E14F9DDB7493}" name="C. UNIT8" dataDxfId="598" dataCellStyle="Vírgula"/>
    <tableColumn id="37" xr3:uid="{ACB13733-78D5-432C-A829-E3156AAB9343}" name="C. TOTAL8" dataDxfId="597" dataCellStyle="Vírgula">
      <calculatedColumnFormula>BL11*BM11</calculatedColumnFormula>
    </tableColumn>
    <tableColumn id="38" xr3:uid="{9BFBBEF2-E29B-41DE-8EBD-8B00D22C5BDD}" name="Nº9" dataDxfId="596"/>
    <tableColumn id="39" xr3:uid="{2665ADB4-ECA1-4F28-90A3-529844C19DD8}" name="QUANT.9" dataDxfId="595" dataCellStyle="Vírgula"/>
    <tableColumn id="40" xr3:uid="{A07BF185-C921-4D67-8FA8-CDD35EF77D6D}" name="C. UNIT9" dataDxfId="594" dataCellStyle="Vírgula"/>
    <tableColumn id="41" xr3:uid="{B5BB39D5-CD66-4B29-88F2-C3D063CE2FC1}" name="C. TOTAL9" dataDxfId="593" dataCellStyle="Vírgula">
      <calculatedColumnFormula>BP11*BQ11</calculatedColumnFormula>
    </tableColumn>
    <tableColumn id="42" xr3:uid="{2A736DF8-0FDF-4576-B322-CDA793927DAB}" name="Nº10" dataDxfId="592"/>
    <tableColumn id="43" xr3:uid="{B781CF79-5FBA-4A74-8A5C-06D45C498D24}" name="QUANT.10" dataDxfId="591" dataCellStyle="Vírgula"/>
    <tableColumn id="44" xr3:uid="{888E884A-8949-44B6-ABC5-E4831F3E686F}" name="C. UNIT10" dataDxfId="590" dataCellStyle="Vírgula"/>
    <tableColumn id="45" xr3:uid="{C3652738-A828-4555-A77D-FC93C207947B}" name="C. TOTAL10" dataDxfId="589" dataCellStyle="Vírgula">
      <calculatedColumnFormula>BT11*BU11</calculatedColumnFormula>
    </tableColumn>
    <tableColumn id="46" xr3:uid="{BB60DF96-32C8-4731-978F-85B0B117FB6B}" name="Nº11" dataDxfId="588"/>
    <tableColumn id="47" xr3:uid="{E53BE8DD-22AA-4139-85EF-42D8D8EF0BF0}" name="QUANT.11" dataDxfId="587" dataCellStyle="Vírgula"/>
    <tableColumn id="48" xr3:uid="{09572602-1B82-4EC8-A3EE-6A0DE696D50B}" name="C. UNIT11" dataDxfId="586" dataCellStyle="Vírgula"/>
    <tableColumn id="49" xr3:uid="{590499DD-7AD5-4831-B5F1-A5BC000BC21A}" name="C. TOTAL11" dataDxfId="585" dataCellStyle="Vírgula">
      <calculatedColumnFormula>BX11*BY11</calculatedColumnFormula>
    </tableColumn>
    <tableColumn id="50" xr3:uid="{6A5DB206-2145-46B2-9E4C-AAB24E3D031F}" name="Nº12" dataDxfId="584"/>
    <tableColumn id="51" xr3:uid="{409333C8-5D54-4B10-9D8F-199AD801EF21}" name="QUANT.12" dataDxfId="583" dataCellStyle="Vírgula"/>
    <tableColumn id="52" xr3:uid="{994063F2-2A63-4624-A7A1-D05BB59D697A}" name="C. UNIT12" dataDxfId="582" dataCellStyle="Vírgula"/>
    <tableColumn id="53" xr3:uid="{784B29E6-57B2-488C-B647-72565995C0E4}" name="C. TOTAL12" dataDxfId="581" dataCellStyle="Vírgula">
      <calculatedColumnFormula>CB11*CC11</calculatedColumnFormula>
    </tableColumn>
  </tableColumns>
  <tableStyleInfo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3FE65B5-2411-40D1-8E6E-7DD6DEA0BCA7}" name="CPU_16" displayName="CPU_16" ref="B10:K62" totalsRowShown="0" headerRowDxfId="580" tableBorderDxfId="579">
  <autoFilter ref="B10:K62" xr:uid="{00000000-0009-0000-0100-000020000000}"/>
  <tableColumns count="10">
    <tableColumn id="1" xr3:uid="{651A6EC7-A60F-4D44-8EC9-20506D5CF6EF}" name="CODIGO" dataDxfId="578"/>
    <tableColumn id="8" xr3:uid="{5D6EFCC5-97F7-44DC-95A1-5BCE32730FAC}" name="SERVIÇO" dataDxfId="577">
      <calculatedColumnFormula>$A$3</calculatedColumnFormula>
    </tableColumn>
    <tableColumn id="9" xr3:uid="{B54EC30D-9981-4E38-AC4A-BB2EE4DFA9BE}" name="PRODUÇÃO" dataDxfId="576">
      <calculatedColumnFormula>$B$6</calculatedColumnFormula>
    </tableColumn>
    <tableColumn id="10" xr3:uid="{84F722DD-D26C-432A-A8D3-932FB78E6B8B}" name="QTDE_TOTAL" dataDxfId="575">
      <calculatedColumnFormula>$B$7</calculatedColumnFormula>
    </tableColumn>
    <tableColumn id="2" xr3:uid="{1A985AEF-1568-43A8-87AE-25210DA34B97}" name="DESCRIÇÃO" dataDxfId="574"/>
    <tableColumn id="3" xr3:uid="{B5515C1C-C095-45B6-8118-827234F915A9}" name="UNID" dataDxfId="573">
      <calculatedColumnFormula>IFERROR(VLOOKUP(F11,Tabela7[[RECURSO]:[CUSTO]],2,FALSE),"")</calculatedColumnFormula>
    </tableColumn>
    <tableColumn id="7" xr3:uid="{1AAD6E62-008E-4591-AE7E-0115387F2A99}" name="Nº" dataDxfId="572"/>
    <tableColumn id="4" xr3:uid="{3876C496-95FB-4019-9374-519CAF64D1E9}" name="QUANT." dataDxfId="571"/>
    <tableColumn id="5" xr3:uid="{8D9090A0-DB31-4D8E-ADB0-C74CFC60A02D}" name="C. UNIT" dataDxfId="570" dataCellStyle="Vírgula">
      <calculatedColumnFormula>IFERROR(VLOOKUP(F11,Tabela7[[RECURSO]:[CUSTO]],3,FALSE),0)</calculatedColumnFormula>
    </tableColumn>
    <tableColumn id="6" xr3:uid="{F957BD23-621E-4AE5-A4DB-C0084CAD8C1B}" name="C. TOTAL" dataDxfId="569" dataCellStyle="Vírgula">
      <calculatedColumnFormula>IFERROR(VLOOKUP(G11,Tabela7[[RECURSO]:[CUSTO]],3),0)</calculatedColumnFormula>
    </tableColumn>
  </tableColumns>
  <tableStyleInfo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9588A59-2BDF-4C6C-8314-3710D17E874E}" name="Realizado617" displayName="Realizado617" ref="AD10:CD62" totalsRowShown="0" headerRowDxfId="568">
  <autoFilter ref="AD10:CD62" xr:uid="{00000000-0009-0000-0100-000006000000}"/>
  <tableColumns count="53">
    <tableColumn id="1" xr3:uid="{49ADEAFF-B113-45E9-B5AB-1A5E64DD909E}" name="serviço" dataDxfId="567">
      <calculatedColumnFormula>$B$3</calculatedColumnFormula>
    </tableColumn>
    <tableColumn id="2" xr3:uid="{B02DD072-A728-4B36-9C9D-DC430B235B29}" name="Nº" dataDxfId="566"/>
    <tableColumn id="3" xr3:uid="{5BA67115-2F87-4BDA-B6C6-5C720B37201B}" name="QUANT." dataDxfId="565" dataCellStyle="Vírgula">
      <calculatedColumnFormula>AJ11+AN11+AR11+AV11+AZ11+BD11+BH11+BL11+BP11+BT11+BX11+CB11</calculatedColumnFormula>
    </tableColumn>
    <tableColumn id="4" xr3:uid="{870C80C5-51C8-4259-A28F-392308BB76CB}" name="C. UNIT" dataDxfId="564" dataCellStyle="Vírgula">
      <calculatedColumnFormula>IFERROR(AH11/AF11,0)</calculatedColumnFormula>
    </tableColumn>
    <tableColumn id="5" xr3:uid="{50F40547-D4B4-41E5-BA8C-EC8B99F51A07}" name="C. TOTAL" dataDxfId="563" dataCellStyle="Vírgula">
      <calculatedColumnFormula>AL11+AP11+AT11+AX11+BB11+BF11+BJ11+BN11+BR11+BV11+BZ11+CD11</calculatedColumnFormula>
    </tableColumn>
    <tableColumn id="6" xr3:uid="{A8CB15AD-0770-4D9F-A7EE-E785FC5D0F91}" name="Nº1" dataDxfId="562"/>
    <tableColumn id="7" xr3:uid="{4141A6BB-9CEC-450C-98A9-60ED747D8B94}" name="QUANT.1" dataDxfId="561" dataCellStyle="Vírgula"/>
    <tableColumn id="8" xr3:uid="{174265D2-46F7-4B7B-ABF3-33146F76C1BD}" name="C. UNIT1" dataDxfId="560" dataCellStyle="Vírgula"/>
    <tableColumn id="9" xr3:uid="{1FBB72CD-1FDD-41E1-B766-8CC6E30FF193}" name="C. TOTAL1" dataDxfId="559" dataCellStyle="Vírgula">
      <calculatedColumnFormula>AJ11*AK11</calculatedColumnFormula>
    </tableColumn>
    <tableColumn id="10" xr3:uid="{26E48925-7E17-4E5C-8144-CD6668E81368}" name="Nº2" dataDxfId="558"/>
    <tableColumn id="11" xr3:uid="{A1F69C59-5487-417F-BB59-BD17C57BA348}" name="QUANT.2" dataDxfId="557" dataCellStyle="Vírgula"/>
    <tableColumn id="12" xr3:uid="{67D2FCED-02DD-4154-8712-8ED0E78C1169}" name="C. UNIT2" dataDxfId="556" dataCellStyle="Vírgula"/>
    <tableColumn id="13" xr3:uid="{55E783EC-A27E-4C34-B8FB-8CAAE1BA879E}" name="C. TOTAL2" dataDxfId="555" dataCellStyle="Vírgula">
      <calculatedColumnFormula>AN11*AO11</calculatedColumnFormula>
    </tableColumn>
    <tableColumn id="14" xr3:uid="{FA2BCE46-0801-4E77-AD05-6C0266EBDE86}" name="Nº3" dataDxfId="554"/>
    <tableColumn id="15" xr3:uid="{506624BA-BF67-41A3-B645-FC244FD6DE7D}" name="QUANT.3" dataDxfId="553" dataCellStyle="Vírgula"/>
    <tableColumn id="16" xr3:uid="{50828F48-ECC7-4F27-B1CF-9AE493A733C1}" name="C. UNIT3" dataDxfId="552" dataCellStyle="Vírgula"/>
    <tableColumn id="17" xr3:uid="{A942245F-BDD6-49EE-A5D2-8591E887BE4E}" name="C. TOTAL3" dataDxfId="551" dataCellStyle="Vírgula">
      <calculatedColumnFormula>AR11*AS11</calculatedColumnFormula>
    </tableColumn>
    <tableColumn id="18" xr3:uid="{7540EE4E-FFE9-4FE5-B518-ED0CAFAC9A4D}" name="Nº4" dataDxfId="550"/>
    <tableColumn id="19" xr3:uid="{A19A1960-5005-4AD3-BC76-6EE6296D81EA}" name="QUANT.4" dataDxfId="549" dataCellStyle="Vírgula"/>
    <tableColumn id="20" xr3:uid="{64167AE5-E311-43FC-AD29-983830CEF250}" name="C. UNIT4" dataDxfId="548" dataCellStyle="Vírgula"/>
    <tableColumn id="21" xr3:uid="{AE6469E0-B7CA-4582-AFBB-5679CAAE6C68}" name="C. TOTAL4" dataDxfId="547" dataCellStyle="Vírgula">
      <calculatedColumnFormula>AV11*AW11</calculatedColumnFormula>
    </tableColumn>
    <tableColumn id="22" xr3:uid="{7C4144B6-C19D-4293-A9DF-28342020F9C9}" name="Nº5" dataDxfId="546"/>
    <tableColumn id="23" xr3:uid="{9B0FA736-F370-47F8-B347-D5E2247C5480}" name="QUANT.5" dataDxfId="545" dataCellStyle="Vírgula"/>
    <tableColumn id="24" xr3:uid="{BC8CAC0D-4626-4A4C-8881-A7753A84D96B}" name="C. UNIT5" dataDxfId="544" dataCellStyle="Vírgula"/>
    <tableColumn id="25" xr3:uid="{FE388530-1453-4C85-9F5F-81C71311F090}" name="C. TOTAL5" dataDxfId="543" dataCellStyle="Vírgula">
      <calculatedColumnFormula>AZ11*BA11</calculatedColumnFormula>
    </tableColumn>
    <tableColumn id="26" xr3:uid="{A29FE37A-4047-483A-8060-8B2BF7436A85}" name="Nº6" dataDxfId="542"/>
    <tableColumn id="27" xr3:uid="{7AFF9FA2-6FAB-4232-8053-FB084710D5DF}" name="QUANT.6" dataDxfId="541" dataCellStyle="Vírgula"/>
    <tableColumn id="28" xr3:uid="{EABF5954-884F-4C93-BB0B-4496432359D3}" name="C. UNIT6" dataDxfId="540" dataCellStyle="Vírgula"/>
    <tableColumn id="29" xr3:uid="{579DE26B-13C2-4B4F-978A-1A58131A4A82}" name="C. TOTAL6" dataDxfId="539" dataCellStyle="Vírgula">
      <calculatedColumnFormula>BD11*BE11</calculatedColumnFormula>
    </tableColumn>
    <tableColumn id="30" xr3:uid="{FA424E6A-FB25-48A0-BF07-B490F37935CA}" name="Nº7" dataDxfId="538"/>
    <tableColumn id="31" xr3:uid="{2A3C4E6D-6B8E-442D-821B-EF69F1BEFA05}" name="QUANT.7" dataDxfId="537" dataCellStyle="Vírgula"/>
    <tableColumn id="32" xr3:uid="{8224E449-02F0-4A10-B206-14C799869AFB}" name="C. UNIT7" dataDxfId="536" dataCellStyle="Vírgula"/>
    <tableColumn id="33" xr3:uid="{0B94075E-3AA5-4153-934A-26FC73C45D13}" name="C. TOTAL7" dataDxfId="535" dataCellStyle="Vírgula">
      <calculatedColumnFormula>BH11*BI11</calculatedColumnFormula>
    </tableColumn>
    <tableColumn id="34" xr3:uid="{5F996B9C-F812-45DE-9897-5F20C7A25806}" name="Nº8" dataDxfId="534"/>
    <tableColumn id="35" xr3:uid="{90CCFA4B-4F7F-4323-9E29-CD1693917071}" name="QUANT.8" dataDxfId="533" dataCellStyle="Vírgula"/>
    <tableColumn id="36" xr3:uid="{D3B5E0B5-2AC1-4B0B-B5A2-9C74C80D7210}" name="C. UNIT8" dataDxfId="532" dataCellStyle="Vírgula"/>
    <tableColumn id="37" xr3:uid="{6EBBE698-2D01-40FD-B4A5-B11078DF631B}" name="C. TOTAL8" dataDxfId="531" dataCellStyle="Vírgula">
      <calculatedColumnFormula>BL11*BM11</calculatedColumnFormula>
    </tableColumn>
    <tableColumn id="38" xr3:uid="{2E0D3C38-8EDF-426F-B0F1-0A5F92F356E2}" name="Nº9" dataDxfId="530"/>
    <tableColumn id="39" xr3:uid="{C0FFAE39-7438-4005-9EFF-6BEDBA36C570}" name="QUANT.9" dataDxfId="529" dataCellStyle="Vírgula"/>
    <tableColumn id="40" xr3:uid="{9814C1CE-745E-40E6-BDD9-AC23EB13E7C8}" name="C. UNIT9" dataDxfId="528" dataCellStyle="Vírgula"/>
    <tableColumn id="41" xr3:uid="{08579E7A-9A0D-4A03-82F2-E5F2F3424C5C}" name="C. TOTAL9" dataDxfId="527" dataCellStyle="Vírgula">
      <calculatedColumnFormula>BP11*BQ11</calculatedColumnFormula>
    </tableColumn>
    <tableColumn id="42" xr3:uid="{477C83BA-82C7-47A6-B283-1D04E74C3D15}" name="Nº10" dataDxfId="526"/>
    <tableColumn id="43" xr3:uid="{1895A978-B40C-4D13-9831-7DC89AE6C812}" name="QUANT.10" dataDxfId="525" dataCellStyle="Vírgula"/>
    <tableColumn id="44" xr3:uid="{F6B4E18F-039D-421A-AAC1-526CAB03FB9C}" name="C. UNIT10" dataDxfId="524" dataCellStyle="Vírgula"/>
    <tableColumn id="45" xr3:uid="{27BCF706-D5F6-4737-9CB9-95A7317A0AC4}" name="C. TOTAL10" dataDxfId="523" dataCellStyle="Vírgula">
      <calculatedColumnFormula>BT11*BU11</calculatedColumnFormula>
    </tableColumn>
    <tableColumn id="46" xr3:uid="{77419CAD-7FB2-4866-9913-915615DB7CFF}" name="Nº11" dataDxfId="522"/>
    <tableColumn id="47" xr3:uid="{4ED68C35-DDB5-4898-8BEA-2EB5DA262497}" name="QUANT.11" dataDxfId="521" dataCellStyle="Vírgula"/>
    <tableColumn id="48" xr3:uid="{36D95E2F-7361-46D8-B44E-3A33F5B5728E}" name="C. UNIT11" dataDxfId="520" dataCellStyle="Vírgula"/>
    <tableColumn id="49" xr3:uid="{1C72153B-285A-4ECE-AEEB-0518D150DA42}" name="C. TOTAL11" dataDxfId="519" dataCellStyle="Vírgula">
      <calculatedColumnFormula>BX11*BY11</calculatedColumnFormula>
    </tableColumn>
    <tableColumn id="50" xr3:uid="{0589A20D-D778-4C83-B762-0EC4B23735B9}" name="Nº12" dataDxfId="518"/>
    <tableColumn id="51" xr3:uid="{C32F8B59-65E1-407F-B89E-A7D3F7B18BAE}" name="QUANT.12" dataDxfId="517" dataCellStyle="Vírgula"/>
    <tableColumn id="52" xr3:uid="{AE21A9AB-BE93-4403-8583-11B2BF7B415C}" name="C. UNIT12" dataDxfId="516" dataCellStyle="Vírgula"/>
    <tableColumn id="53" xr3:uid="{3C30DA32-B5D0-4DD1-B05C-4BC48A259379}" name="C. TOTAL12" dataDxfId="515" dataCellStyle="Vírgula">
      <calculatedColumnFormula>CB11*CC11</calculatedColumnFormula>
    </tableColumn>
  </tableColumns>
  <tableStyleInfo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3F31229-C2C4-4887-A520-1DE0A164219A}" name="CPU_22" displayName="CPU_22" ref="B10:K62" totalsRowShown="0" headerRowDxfId="514" tableBorderDxfId="513">
  <autoFilter ref="B10:K62" xr:uid="{00000000-0009-0000-0100-000020000000}"/>
  <tableColumns count="10">
    <tableColumn id="1" xr3:uid="{DF921DA5-937C-489A-AD56-6C6B4321BE85}" name="CODIGO" dataDxfId="512"/>
    <tableColumn id="8" xr3:uid="{13950D48-0A78-42B6-98FD-18B161248B09}" name="SERVIÇO" dataDxfId="511">
      <calculatedColumnFormula>$A$3</calculatedColumnFormula>
    </tableColumn>
    <tableColumn id="9" xr3:uid="{A54C3116-BB45-4B6F-AC1C-299C8F4F9CD8}" name="PRODUÇÃO" dataDxfId="510">
      <calculatedColumnFormula>$B$6</calculatedColumnFormula>
    </tableColumn>
    <tableColumn id="10" xr3:uid="{6EE249A9-FAE8-41B0-B91D-0D462F7F46DA}" name="QTDE_TOTAL" dataDxfId="509">
      <calculatedColumnFormula>$B$7</calculatedColumnFormula>
    </tableColumn>
    <tableColumn id="2" xr3:uid="{E00E2DFD-41C9-42A9-92F7-16A8BB341105}" name="DESCRIÇÃO" dataDxfId="508"/>
    <tableColumn id="3" xr3:uid="{F4054013-0913-491D-A476-1ECAF36F66D7}" name="UNID" dataDxfId="507">
      <calculatedColumnFormula>IFERROR(VLOOKUP(F11,Tabela7[[RECURSO]:[CUSTO]],2,FALSE),"")</calculatedColumnFormula>
    </tableColumn>
    <tableColumn id="7" xr3:uid="{C4541894-7F7C-4E8B-8791-A9169D138FE7}" name="Nº" dataDxfId="506"/>
    <tableColumn id="4" xr3:uid="{5DB14CF6-E2F8-4347-98AB-6E13DB21FEC8}" name="QUANT." dataDxfId="505"/>
    <tableColumn id="5" xr3:uid="{B2914B3C-5632-4EFD-BC19-101A04542668}" name="C. UNIT" dataDxfId="504" dataCellStyle="Vírgula">
      <calculatedColumnFormula>IFERROR(VLOOKUP(F11,Tabela7[[RECURSO]:[CUSTO]],3,FALSE),0)</calculatedColumnFormula>
    </tableColumn>
    <tableColumn id="6" xr3:uid="{9CBC81BD-4A7C-4FFD-96B3-D4B7F5DD653D}" name="C. TOTAL" dataDxfId="503" dataCellStyle="Vírgula">
      <calculatedColumnFormula>IFERROR(VLOOKUP(G11,Tabela7[[RECURSO]:[CUSTO]],3),0)</calculatedColumnFormula>
    </tableColumn>
  </tableColumns>
  <tableStyleInfo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4748E23-0671-46FF-9608-04ACD19B359C}" name="Realizado623" displayName="Realizado623" ref="AD10:CD62" totalsRowShown="0" headerRowDxfId="502">
  <autoFilter ref="AD10:CD62" xr:uid="{00000000-0009-0000-0100-000006000000}"/>
  <tableColumns count="53">
    <tableColumn id="1" xr3:uid="{D2447DCF-BC08-4443-B729-1BA3B8111C8C}" name="serviço" dataDxfId="501">
      <calculatedColumnFormula>$B$3</calculatedColumnFormula>
    </tableColumn>
    <tableColumn id="2" xr3:uid="{D7A62039-F179-4DDD-A2A3-0EE85149C159}" name="Nº" dataDxfId="500"/>
    <tableColumn id="3" xr3:uid="{BDE744D8-CCFE-46DD-9D3A-26C0FE78B7A3}" name="QUANT." dataDxfId="499" dataCellStyle="Vírgula">
      <calculatedColumnFormula>AJ11+AN11+AR11+AV11+AZ11+BD11+BH11+BL11+BP11+BT11+BX11+CB11</calculatedColumnFormula>
    </tableColumn>
    <tableColumn id="4" xr3:uid="{1D514EC2-FF06-40E6-A388-C6C400B8AC54}" name="C. UNIT" dataDxfId="498" dataCellStyle="Vírgula">
      <calculatedColumnFormula>IFERROR(AH11/AF11,0)</calculatedColumnFormula>
    </tableColumn>
    <tableColumn id="5" xr3:uid="{D9EB5F69-75ED-459A-99E4-4655CFED1B30}" name="C. TOTAL" dataDxfId="497" dataCellStyle="Vírgula">
      <calculatedColumnFormula>AL11+AP11+AT11+AX11+BB11+BF11+BJ11+BN11+BR11+BV11+BZ11+CD11</calculatedColumnFormula>
    </tableColumn>
    <tableColumn id="6" xr3:uid="{4E13FF45-B28B-4CE6-9F56-5EB2369AEF9E}" name="Nº1" dataDxfId="496"/>
    <tableColumn id="7" xr3:uid="{183A62B5-7457-42F9-9173-D402AE35412B}" name="QUANT.1" dataDxfId="495" dataCellStyle="Vírgula"/>
    <tableColumn id="8" xr3:uid="{7C97CE73-7CDC-449D-B07F-584113059208}" name="C. UNIT1" dataDxfId="494" dataCellStyle="Vírgula"/>
    <tableColumn id="9" xr3:uid="{4C815E1B-47B8-4876-BE6A-7E0729A03475}" name="C. TOTAL1" dataDxfId="493" dataCellStyle="Vírgula">
      <calculatedColumnFormula>AJ11*AK11</calculatedColumnFormula>
    </tableColumn>
    <tableColumn id="10" xr3:uid="{7A4B416E-C9CB-4BF2-84D7-B40DD23DF061}" name="Nº2" dataDxfId="492"/>
    <tableColumn id="11" xr3:uid="{9FD9197E-C468-4794-93A2-F2891FF41FA4}" name="QUANT.2" dataDxfId="491" dataCellStyle="Vírgula"/>
    <tableColumn id="12" xr3:uid="{EAD83905-B4A4-4893-9200-3AA91E7BF6A9}" name="C. UNIT2" dataDxfId="490" dataCellStyle="Vírgula"/>
    <tableColumn id="13" xr3:uid="{2687FAFF-2BBF-47E5-9CDD-7A734203DBF3}" name="C. TOTAL2" dataDxfId="489" dataCellStyle="Vírgula">
      <calculatedColumnFormula>AN11*AO11</calculatedColumnFormula>
    </tableColumn>
    <tableColumn id="14" xr3:uid="{128EDAE4-36B3-4B2D-90EB-E156CA8EE531}" name="Nº3" dataDxfId="488"/>
    <tableColumn id="15" xr3:uid="{19627F41-D6E5-4614-B731-B53FF973C3F3}" name="QUANT.3" dataDxfId="487" dataCellStyle="Vírgula"/>
    <tableColumn id="16" xr3:uid="{531B1A7D-60FB-4BF6-8719-64BFE6DD9651}" name="C. UNIT3" dataDxfId="486" dataCellStyle="Vírgula"/>
    <tableColumn id="17" xr3:uid="{F4511D03-F675-4BC1-A98A-5DCF24663504}" name="C. TOTAL3" dataDxfId="485" dataCellStyle="Vírgula">
      <calculatedColumnFormula>AR11*AS11</calculatedColumnFormula>
    </tableColumn>
    <tableColumn id="18" xr3:uid="{8AE5E14B-7DB3-4B66-8280-0036FB758A37}" name="Nº4" dataDxfId="484"/>
    <tableColumn id="19" xr3:uid="{FB305BE2-2BD7-4AB0-9E89-98B2F7ABDC0D}" name="QUANT.4" dataDxfId="483" dataCellStyle="Vírgula"/>
    <tableColumn id="20" xr3:uid="{C3FDADDA-2276-4B47-AD5A-02315FD0DB0E}" name="C. UNIT4" dataDxfId="482" dataCellStyle="Vírgula"/>
    <tableColumn id="21" xr3:uid="{FBF5BA97-D8CF-43FA-8553-DD5F07C652AB}" name="C. TOTAL4" dataDxfId="481" dataCellStyle="Vírgula">
      <calculatedColumnFormula>AV11*AW11</calculatedColumnFormula>
    </tableColumn>
    <tableColumn id="22" xr3:uid="{3AE9A54D-1C1C-4B20-A0CC-D3F403847215}" name="Nº5" dataDxfId="480"/>
    <tableColumn id="23" xr3:uid="{9517F4CC-EDA6-4B2C-8516-31B9A79D8130}" name="QUANT.5" dataDxfId="479" dataCellStyle="Vírgula"/>
    <tableColumn id="24" xr3:uid="{7474118B-5B3B-4D23-8FE6-A71D98728A4B}" name="C. UNIT5" dataDxfId="478" dataCellStyle="Vírgula"/>
    <tableColumn id="25" xr3:uid="{9727C119-EE36-4AF7-A16B-B732C24F3DB6}" name="C. TOTAL5" dataDxfId="477" dataCellStyle="Vírgula">
      <calculatedColumnFormula>AZ11*BA11</calculatedColumnFormula>
    </tableColumn>
    <tableColumn id="26" xr3:uid="{9DD6DC90-CC6C-4B28-B49E-41F94943AD4F}" name="Nº6" dataDxfId="476"/>
    <tableColumn id="27" xr3:uid="{7BE6E43B-FFCD-40DE-AE7D-8C41D1F9471D}" name="QUANT.6" dataDxfId="475" dataCellStyle="Vírgula"/>
    <tableColumn id="28" xr3:uid="{ABF14644-E8A0-463A-97D3-6C81495D96C1}" name="C. UNIT6" dataDxfId="474" dataCellStyle="Vírgula"/>
    <tableColumn id="29" xr3:uid="{750B99EA-7C95-40FE-BBEA-543B8E7BFDE6}" name="C. TOTAL6" dataDxfId="473" dataCellStyle="Vírgula">
      <calculatedColumnFormula>BD11*BE11</calculatedColumnFormula>
    </tableColumn>
    <tableColumn id="30" xr3:uid="{5E02B823-D8EA-45A8-8CED-5D03D385A671}" name="Nº7" dataDxfId="472"/>
    <tableColumn id="31" xr3:uid="{9CF6DB15-DDEB-4B16-94A2-B8B08E26EFF9}" name="QUANT.7" dataDxfId="471" dataCellStyle="Vírgula"/>
    <tableColumn id="32" xr3:uid="{7A7FC08A-28CB-4B39-969C-51FA709F1777}" name="C. UNIT7" dataDxfId="470" dataCellStyle="Vírgula"/>
    <tableColumn id="33" xr3:uid="{24361A36-07F2-41CB-A526-D11B07E531F7}" name="C. TOTAL7" dataDxfId="469" dataCellStyle="Vírgula">
      <calculatedColumnFormula>BH11*BI11</calculatedColumnFormula>
    </tableColumn>
    <tableColumn id="34" xr3:uid="{F0D4A8B2-F6F9-4692-B1F2-3602E4A369E8}" name="Nº8" dataDxfId="468"/>
    <tableColumn id="35" xr3:uid="{53EA4F81-A81E-4C35-ACEB-F9BF98A691FF}" name="QUANT.8" dataDxfId="467" dataCellStyle="Vírgula"/>
    <tableColumn id="36" xr3:uid="{FF6D4A78-B98F-4D1B-8EE4-A8A47006535C}" name="C. UNIT8" dataDxfId="466" dataCellStyle="Vírgula"/>
    <tableColumn id="37" xr3:uid="{0CB085B3-3754-490F-A6E2-9466E0098672}" name="C. TOTAL8" dataDxfId="465" dataCellStyle="Vírgula">
      <calculatedColumnFormula>BL11*BM11</calculatedColumnFormula>
    </tableColumn>
    <tableColumn id="38" xr3:uid="{EE580A43-71AB-443B-AE42-01E2D5943A91}" name="Nº9" dataDxfId="464"/>
    <tableColumn id="39" xr3:uid="{E3DCEC16-0566-4190-8850-C74F6802B981}" name="QUANT.9" dataDxfId="463" dataCellStyle="Vírgula"/>
    <tableColumn id="40" xr3:uid="{66D1D5D0-E6FF-4D03-A59B-14648C0A4882}" name="C. UNIT9" dataDxfId="462" dataCellStyle="Vírgula"/>
    <tableColumn id="41" xr3:uid="{A806B805-19BA-42C6-84E5-87FBE3CAA167}" name="C. TOTAL9" dataDxfId="461" dataCellStyle="Vírgula">
      <calculatedColumnFormula>BP11*BQ11</calculatedColumnFormula>
    </tableColumn>
    <tableColumn id="42" xr3:uid="{8DA68E9F-FBDA-441E-A94D-331A8ACF2057}" name="Nº10" dataDxfId="460"/>
    <tableColumn id="43" xr3:uid="{B714D75A-3DE0-4396-8E13-CAEA7E04B3C0}" name="QUANT.10" dataDxfId="459" dataCellStyle="Vírgula"/>
    <tableColumn id="44" xr3:uid="{AF24BB76-C29C-430C-B307-288E5EB55003}" name="C. UNIT10" dataDxfId="458" dataCellStyle="Vírgula"/>
    <tableColumn id="45" xr3:uid="{E352EDB0-3A51-463C-B766-C793D79B99F3}" name="C. TOTAL10" dataDxfId="457" dataCellStyle="Vírgula">
      <calculatedColumnFormula>BT11*BU11</calculatedColumnFormula>
    </tableColumn>
    <tableColumn id="46" xr3:uid="{3D0BB655-AD04-498C-87E3-9CDE0FEC2CBB}" name="Nº11" dataDxfId="456"/>
    <tableColumn id="47" xr3:uid="{96604A54-C89A-496E-AD4B-CE9F1F1771AD}" name="QUANT.11" dataDxfId="455" dataCellStyle="Vírgula"/>
    <tableColumn id="48" xr3:uid="{00E4DC74-EDA5-4D5A-977B-CBB99E216D56}" name="C. UNIT11" dataDxfId="454" dataCellStyle="Vírgula"/>
    <tableColumn id="49" xr3:uid="{F6BF9003-FED3-44AA-94DD-9CA7444889C5}" name="C. TOTAL11" dataDxfId="453" dataCellStyle="Vírgula">
      <calculatedColumnFormula>BX11*BY11</calculatedColumnFormula>
    </tableColumn>
    <tableColumn id="50" xr3:uid="{D819BADD-72AB-4D23-B824-D298E7018CAB}" name="Nº12" dataDxfId="452"/>
    <tableColumn id="51" xr3:uid="{2FBB7078-F363-4F59-B48F-C36E055431C9}" name="QUANT.12" dataDxfId="451" dataCellStyle="Vírgula"/>
    <tableColumn id="52" xr3:uid="{18D52424-BE97-4E97-AE47-98A315B62C34}" name="C. UNIT12" dataDxfId="450" dataCellStyle="Vírgula"/>
    <tableColumn id="53" xr3:uid="{02C390E0-99DA-4473-84C0-E94D6F3A3F8D}" name="C. TOTAL12" dataDxfId="449" dataCellStyle="Vírgula">
      <calculatedColumnFormula>CB11*CC11</calculatedColumnFormula>
    </tableColumn>
  </tableColumns>
  <tableStyleInfo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E661034B-5595-4CD7-90FE-3A214592161A}" name="CPU_20" displayName="CPU_20" ref="B10:K62" totalsRowShown="0" headerRowDxfId="448" tableBorderDxfId="447">
  <autoFilter ref="B10:K62" xr:uid="{00000000-0009-0000-0100-000020000000}"/>
  <tableColumns count="10">
    <tableColumn id="1" xr3:uid="{698680F7-8AD3-4A81-9337-E4324A3FAC0B}" name="CODIGO" dataDxfId="446"/>
    <tableColumn id="8" xr3:uid="{7530B797-4B87-41E5-ABE3-D3803BFC5748}" name="SERVIÇO" dataDxfId="445">
      <calculatedColumnFormula>$A$3</calculatedColumnFormula>
    </tableColumn>
    <tableColumn id="9" xr3:uid="{FEA17044-CB47-4F12-8894-6D64C52BD729}" name="PRODUÇÃO" dataDxfId="444">
      <calculatedColumnFormula>$B$6</calculatedColumnFormula>
    </tableColumn>
    <tableColumn id="10" xr3:uid="{00609377-6A60-4BBF-84B3-CDF1F1D3F591}" name="QTDE_TOTAL" dataDxfId="443">
      <calculatedColumnFormula>$B$7</calculatedColumnFormula>
    </tableColumn>
    <tableColumn id="2" xr3:uid="{85A0731A-BAC0-4F65-B2AD-4ED176ADAA08}" name="DESCRIÇÃO" dataDxfId="442"/>
    <tableColumn id="3" xr3:uid="{79B679BA-4EAA-45B6-B599-9832622D4B12}" name="UNID" dataDxfId="441">
      <calculatedColumnFormula>IFERROR(VLOOKUP(F11,Tabela7[[RECURSO]:[CUSTO]],2,FALSE),"")</calculatedColumnFormula>
    </tableColumn>
    <tableColumn id="7" xr3:uid="{42433356-0AFC-4997-8694-BA659F37F5FD}" name="Nº" dataDxfId="440"/>
    <tableColumn id="4" xr3:uid="{DDB1E6AA-14CB-4B7D-9F8F-F227333CBE46}" name="QUANT." dataDxfId="439"/>
    <tableColumn id="5" xr3:uid="{0D739D21-9030-4D18-B32C-CC3909905813}" name="C. UNIT" dataDxfId="438" dataCellStyle="Vírgula">
      <calculatedColumnFormula>IFERROR(VLOOKUP(F11,Tabela7[[RECURSO]:[CUSTO]],3,FALSE),0)</calculatedColumnFormula>
    </tableColumn>
    <tableColumn id="6" xr3:uid="{83DAEF16-EAAF-4BF0-9190-CAB02A2F402B}" name="C. TOTAL" dataDxfId="437" dataCellStyle="Vírgula">
      <calculatedColumnFormula>IFERROR(VLOOKUP(G11,Tabela7[[RECURSO]:[CUSTO]],3),0)</calculatedColumnFormula>
    </tableColumn>
  </tableColumns>
  <tableStyleInfo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53DBFA2-9289-401D-A249-0871DD268D9E}" name="Realizado621" displayName="Realizado621" ref="AD10:CD62" totalsRowShown="0" headerRowDxfId="436">
  <autoFilter ref="AD10:CD62" xr:uid="{00000000-0009-0000-0100-000006000000}"/>
  <tableColumns count="53">
    <tableColumn id="1" xr3:uid="{87D9CBC4-A73B-47FF-A9BD-41E22F281694}" name="serviço" dataDxfId="435">
      <calculatedColumnFormula>$B$3</calculatedColumnFormula>
    </tableColumn>
    <tableColumn id="2" xr3:uid="{83FB15D0-6C26-46F6-84DD-147D6E35E06C}" name="Nº" dataDxfId="434"/>
    <tableColumn id="3" xr3:uid="{2DB7FAD4-15B0-4AA6-8930-10F34469D048}" name="QUANT." dataDxfId="433" dataCellStyle="Vírgula">
      <calculatedColumnFormula>AJ11+AN11+AR11+AV11+AZ11+BD11+BH11+BL11+BP11+BT11+BX11+CB11</calculatedColumnFormula>
    </tableColumn>
    <tableColumn id="4" xr3:uid="{D00EA0CC-4CCA-4C3F-9CD8-ADDB092A0A16}" name="C. UNIT" dataDxfId="432" dataCellStyle="Vírgula">
      <calculatedColumnFormula>IFERROR(AH11/AF11,0)</calculatedColumnFormula>
    </tableColumn>
    <tableColumn id="5" xr3:uid="{E5A963FA-36DF-410B-9D65-60F8EE53ECD3}" name="C. TOTAL" dataDxfId="431" dataCellStyle="Vírgula">
      <calculatedColumnFormula>AL11+AP11+AT11+AX11+BB11+BF11+BJ11+BN11+BR11+BV11+BZ11+CD11</calculatedColumnFormula>
    </tableColumn>
    <tableColumn id="6" xr3:uid="{E8CB33DD-2206-4FDB-BF2F-202A36778D3E}" name="Nº1" dataDxfId="430"/>
    <tableColumn id="7" xr3:uid="{F8A3A4CF-1B0E-4487-AC4C-C4483CB404EA}" name="QUANT.1" dataDxfId="429" dataCellStyle="Vírgula"/>
    <tableColumn id="8" xr3:uid="{46CD0AC0-03D2-4707-B749-F5B84B45850B}" name="C. UNIT1" dataDxfId="428" dataCellStyle="Vírgula"/>
    <tableColumn id="9" xr3:uid="{E41EF0B4-5D9C-430D-88B8-430C4AC5D659}" name="C. TOTAL1" dataDxfId="427" dataCellStyle="Vírgula">
      <calculatedColumnFormula>AJ11*AK11</calculatedColumnFormula>
    </tableColumn>
    <tableColumn id="10" xr3:uid="{5A831EB7-961E-4BFE-9ABB-930136359C7A}" name="Nº2" dataDxfId="426"/>
    <tableColumn id="11" xr3:uid="{E47AC813-A491-4FF3-A31E-734A3D9C4E88}" name="QUANT.2" dataDxfId="425" dataCellStyle="Vírgula"/>
    <tableColumn id="12" xr3:uid="{E69BC728-2B02-440D-91E9-49F9D1BD6391}" name="C. UNIT2" dataDxfId="424" dataCellStyle="Vírgula"/>
    <tableColumn id="13" xr3:uid="{8D11AEA0-A5E3-4963-AAB4-CDDE5DA26D2C}" name="C. TOTAL2" dataDxfId="423" dataCellStyle="Vírgula">
      <calculatedColumnFormula>AN11*AO11</calculatedColumnFormula>
    </tableColumn>
    <tableColumn id="14" xr3:uid="{27B2B08B-451D-43B8-8696-6FF4B172DCDF}" name="Nº3" dataDxfId="422"/>
    <tableColumn id="15" xr3:uid="{D3EFCD4C-5203-4EBD-ABA3-DB97A562873A}" name="QUANT.3" dataDxfId="421" dataCellStyle="Vírgula"/>
    <tableColumn id="16" xr3:uid="{EAB2971A-9076-483F-A90B-939A84E687A6}" name="C. UNIT3" dataDxfId="420" dataCellStyle="Vírgula"/>
    <tableColumn id="17" xr3:uid="{C4D9890E-FBDB-4D2C-AAEF-8B061F9EACA2}" name="C. TOTAL3" dataDxfId="419" dataCellStyle="Vírgula">
      <calculatedColumnFormula>AR11*AS11</calculatedColumnFormula>
    </tableColumn>
    <tableColumn id="18" xr3:uid="{145F6014-A01A-4204-B336-EEAD25151989}" name="Nº4" dataDxfId="418"/>
    <tableColumn id="19" xr3:uid="{CAFE6FC5-D808-4629-994A-141716ADBF27}" name="QUANT.4" dataDxfId="417" dataCellStyle="Vírgula"/>
    <tableColumn id="20" xr3:uid="{EE327FFA-4A6C-4DA4-8807-ED16ADBF4DA0}" name="C. UNIT4" dataDxfId="416" dataCellStyle="Vírgula"/>
    <tableColumn id="21" xr3:uid="{6B7D27B8-2482-4D4C-8DDA-D5159D4E89DB}" name="C. TOTAL4" dataDxfId="415" dataCellStyle="Vírgula">
      <calculatedColumnFormula>AV11*AW11</calculatedColumnFormula>
    </tableColumn>
    <tableColumn id="22" xr3:uid="{AACF60E9-39C3-42DB-A65A-F5EF1A6D65D3}" name="Nº5" dataDxfId="414"/>
    <tableColumn id="23" xr3:uid="{183DC2EC-D857-41A0-B984-21D9DF31ACE2}" name="QUANT.5" dataDxfId="413" dataCellStyle="Vírgula"/>
    <tableColumn id="24" xr3:uid="{F57A8EC9-E751-458B-AF2C-500C8FFCA036}" name="C. UNIT5" dataDxfId="412" dataCellStyle="Vírgula"/>
    <tableColumn id="25" xr3:uid="{88C8EBA7-875A-4949-8B05-0450F562CFB1}" name="C. TOTAL5" dataDxfId="411" dataCellStyle="Vírgula">
      <calculatedColumnFormula>AZ11*BA11</calculatedColumnFormula>
    </tableColumn>
    <tableColumn id="26" xr3:uid="{913DB0E6-E667-42AC-BCE2-AABB4F8ED343}" name="Nº6" dataDxfId="410"/>
    <tableColumn id="27" xr3:uid="{EF03BDB3-AB43-4B5C-8AEF-1057E71B5C6E}" name="QUANT.6" dataDxfId="409" dataCellStyle="Vírgula"/>
    <tableColumn id="28" xr3:uid="{40A2DBA7-401D-4168-A293-42D003B18760}" name="C. UNIT6" dataDxfId="408" dataCellStyle="Vírgula"/>
    <tableColumn id="29" xr3:uid="{C715D4BC-07BF-4910-8897-EDE9C518C9F8}" name="C. TOTAL6" dataDxfId="407" dataCellStyle="Vírgula">
      <calculatedColumnFormula>BD11*BE11</calculatedColumnFormula>
    </tableColumn>
    <tableColumn id="30" xr3:uid="{0F07C86C-9F77-4550-95AD-6D9DA94418B3}" name="Nº7" dataDxfId="406"/>
    <tableColumn id="31" xr3:uid="{0AFA5F73-879D-406C-8946-4E40AE093F4E}" name="QUANT.7" dataDxfId="405" dataCellStyle="Vírgula"/>
    <tableColumn id="32" xr3:uid="{A296769D-C881-4A00-AE71-BA4F35230024}" name="C. UNIT7" dataDxfId="404" dataCellStyle="Vírgula"/>
    <tableColumn id="33" xr3:uid="{D035AF90-D1DB-40B9-9049-5D01316B6C02}" name="C. TOTAL7" dataDxfId="403" dataCellStyle="Vírgula">
      <calculatedColumnFormula>BH11*BI11</calculatedColumnFormula>
    </tableColumn>
    <tableColumn id="34" xr3:uid="{5E33C83D-E79A-4F5A-A987-1B68798A9216}" name="Nº8" dataDxfId="402"/>
    <tableColumn id="35" xr3:uid="{DC95D462-4E90-4965-A1FE-A548C30E75A3}" name="QUANT.8" dataDxfId="401" dataCellStyle="Vírgula"/>
    <tableColumn id="36" xr3:uid="{D0179CF6-5A00-4F7A-9777-99C6E1F5BA87}" name="C. UNIT8" dataDxfId="400" dataCellStyle="Vírgula"/>
    <tableColumn id="37" xr3:uid="{EF8E3BFF-1314-439F-A832-C04052747173}" name="C. TOTAL8" dataDxfId="399" dataCellStyle="Vírgula">
      <calculatedColumnFormula>BL11*BM11</calculatedColumnFormula>
    </tableColumn>
    <tableColumn id="38" xr3:uid="{D3ACB5A0-D298-419B-A027-09BE3726563D}" name="Nº9" dataDxfId="398"/>
    <tableColumn id="39" xr3:uid="{2EF4F0E1-2F9A-469A-97F3-3D9AD9BCE11F}" name="QUANT.9" dataDxfId="397" dataCellStyle="Vírgula"/>
    <tableColumn id="40" xr3:uid="{21A80614-1618-4AE6-AF20-892126E98AFF}" name="C. UNIT9" dataDxfId="396" dataCellStyle="Vírgula"/>
    <tableColumn id="41" xr3:uid="{17247F20-3EEE-491C-9408-23E60CB3438C}" name="C. TOTAL9" dataDxfId="395" dataCellStyle="Vírgula">
      <calculatedColumnFormula>BP11*BQ11</calculatedColumnFormula>
    </tableColumn>
    <tableColumn id="42" xr3:uid="{4E072748-2D91-4B82-8135-C0F060E511DB}" name="Nº10" dataDxfId="394"/>
    <tableColumn id="43" xr3:uid="{243953B6-F8AE-4659-BC82-9B6671A6C002}" name="QUANT.10" dataDxfId="393" dataCellStyle="Vírgula"/>
    <tableColumn id="44" xr3:uid="{37063580-CC3C-410D-B347-DAA42BA0E0A7}" name="C. UNIT10" dataDxfId="392" dataCellStyle="Vírgula"/>
    <tableColumn id="45" xr3:uid="{E706515F-CF3B-4CC3-9A5F-3CC82093B7A4}" name="C. TOTAL10" dataDxfId="391" dataCellStyle="Vírgula">
      <calculatedColumnFormula>BT11*BU11</calculatedColumnFormula>
    </tableColumn>
    <tableColumn id="46" xr3:uid="{4C25CB88-468E-47B0-BC6D-48ED94E10CC5}" name="Nº11" dataDxfId="390"/>
    <tableColumn id="47" xr3:uid="{DD5E73C0-1BBB-4041-AC5C-AC17EC7810DA}" name="QUANT.11" dataDxfId="389" dataCellStyle="Vírgula"/>
    <tableColumn id="48" xr3:uid="{E9D6D686-C2B2-4ED2-AF09-98E2C3B19C68}" name="C. UNIT11" dataDxfId="388" dataCellStyle="Vírgula"/>
    <tableColumn id="49" xr3:uid="{D3407D9B-0BC3-48E0-B563-64F0D4E37525}" name="C. TOTAL11" dataDxfId="387" dataCellStyle="Vírgula">
      <calculatedColumnFormula>BX11*BY11</calculatedColumnFormula>
    </tableColumn>
    <tableColumn id="50" xr3:uid="{16E0C937-EF49-4AEB-B4AD-E074897A10F6}" name="Nº12" dataDxfId="386"/>
    <tableColumn id="51" xr3:uid="{BEF79BC4-0B74-4E3B-97E5-8F61F4E9DB54}" name="QUANT.12" dataDxfId="385" dataCellStyle="Vírgula"/>
    <tableColumn id="52" xr3:uid="{405996FB-0B89-4DFB-B326-24B215FDFB26}" name="C. UNIT12" dataDxfId="384" dataCellStyle="Vírgula"/>
    <tableColumn id="53" xr3:uid="{A16CA165-DBE7-409F-98E9-47A5FAEC1FAB}" name="C. TOTAL12" dataDxfId="383" dataCellStyle="Vírgula">
      <calculatedColumnFormula>CB11*CC11</calculatedColumnFormula>
    </tableColumn>
  </tableColumns>
  <tableStyleInfo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B27FAC42-9FBF-45AD-A7A5-32DB86EE9F9D}" name="CPU_2053" displayName="CPU_2053" ref="B10:K62" totalsRowShown="0" headerRowDxfId="382" tableBorderDxfId="381">
  <autoFilter ref="B10:K62" xr:uid="{00000000-0009-0000-0100-000020000000}"/>
  <tableColumns count="10">
    <tableColumn id="1" xr3:uid="{2D049A37-977C-4280-848C-42F82DA70970}" name="CODIGO" dataDxfId="380"/>
    <tableColumn id="8" xr3:uid="{EB5A7405-BACC-4ED0-B94B-A746A7734708}" name="SERVIÇO" dataDxfId="379">
      <calculatedColumnFormula>$A$3</calculatedColumnFormula>
    </tableColumn>
    <tableColumn id="9" xr3:uid="{DBD4CD7E-049A-4D95-B742-27F079BFA80E}" name="PRODUÇÃO" dataDxfId="378">
      <calculatedColumnFormula>$B$6</calculatedColumnFormula>
    </tableColumn>
    <tableColumn id="10" xr3:uid="{0C09C786-B07D-4460-B3E1-1AA7AEB66DC3}" name="QTDE_TOTAL" dataDxfId="377">
      <calculatedColumnFormula>$B$7</calculatedColumnFormula>
    </tableColumn>
    <tableColumn id="2" xr3:uid="{2F54343A-79F0-4C2D-BFBB-5B6334BFB653}" name="DESCRIÇÃO" dataDxfId="376"/>
    <tableColumn id="3" xr3:uid="{D3E5438C-DB6C-4850-AEB5-4BBC2A0FBA49}" name="UNID" dataDxfId="375">
      <calculatedColumnFormula>IFERROR(VLOOKUP(F11,Tabela7[[RECURSO]:[CUSTO]],2,FALSE),"")</calculatedColumnFormula>
    </tableColumn>
    <tableColumn id="7" xr3:uid="{0090F0F7-5313-4668-9264-379E25B47813}" name="Nº" dataDxfId="374"/>
    <tableColumn id="4" xr3:uid="{B7D71A68-CC81-4A04-BE1E-6B530B107BC3}" name="QUANT." dataDxfId="373"/>
    <tableColumn id="5" xr3:uid="{FB21D5B3-90D0-42B3-A1CA-82379524BAC5}" name="C. UNIT" dataDxfId="372" dataCellStyle="Vírgula">
      <calculatedColumnFormula>IFERROR(VLOOKUP(F11,Tabela7[[RECURSO]:[CUSTO]],3,FALSE),0)</calculatedColumnFormula>
    </tableColumn>
    <tableColumn id="6" xr3:uid="{C5A5D46C-7722-409B-9AA5-77821DC92732}" name="C. TOTAL" dataDxfId="371" dataCellStyle="Vírgula">
      <calculatedColumnFormula>IFERROR(VLOOKUP(G11,Tabela7[[RECURSO]:[CUSTO]],3),0)</calculatedColumnFormula>
    </tableColumn>
  </tableColumns>
  <tableStyleInfo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D801DB42-C427-401B-90EE-48F4F73A5942}" name="Realizado62154" displayName="Realizado62154" ref="AD10:CD62" totalsRowShown="0" headerRowDxfId="370">
  <autoFilter ref="AD10:CD62" xr:uid="{00000000-0009-0000-0100-000006000000}"/>
  <tableColumns count="53">
    <tableColumn id="1" xr3:uid="{7777F505-4EF4-4C5D-998A-4D3EF29FE7A6}" name="serviço" dataDxfId="369">
      <calculatedColumnFormula>$B$3</calculatedColumnFormula>
    </tableColumn>
    <tableColumn id="2" xr3:uid="{9E254943-249D-463E-BC32-AD00389CEC73}" name="Nº" dataDxfId="368"/>
    <tableColumn id="3" xr3:uid="{7B226CC4-580C-4D9D-9616-D51A42F2F82D}" name="QUANT." dataDxfId="367" dataCellStyle="Vírgula">
      <calculatedColumnFormula>AJ11+AN11+AR11+AV11+AZ11+BD11+BH11+BL11+BP11+BT11+BX11+CB11</calculatedColumnFormula>
    </tableColumn>
    <tableColumn id="4" xr3:uid="{573D909F-1AC1-4C32-AD4D-02188A804610}" name="C. UNIT" dataDxfId="366" dataCellStyle="Vírgula">
      <calculatedColumnFormula>IFERROR(AH11/AF11,0)</calculatedColumnFormula>
    </tableColumn>
    <tableColumn id="5" xr3:uid="{05289283-57CB-4B93-9B4C-2E4B3F204A62}" name="C. TOTAL" dataDxfId="365" dataCellStyle="Vírgula">
      <calculatedColumnFormula>AL11+AP11+AT11+AX11+BB11+BF11+BJ11+BN11+BR11+BV11+BZ11+CD11</calculatedColumnFormula>
    </tableColumn>
    <tableColumn id="6" xr3:uid="{97DF12AB-4C3B-43D0-84D5-DCE665D4E295}" name="Nº1" dataDxfId="364"/>
    <tableColumn id="7" xr3:uid="{0061AAD9-6101-4328-9D5F-035E365AF910}" name="QUANT.1" dataDxfId="363" dataCellStyle="Vírgula"/>
    <tableColumn id="8" xr3:uid="{B40E8A80-A7CF-458C-9B96-F99250F89693}" name="C. UNIT1" dataDxfId="362" dataCellStyle="Vírgula"/>
    <tableColumn id="9" xr3:uid="{A6689C58-3215-4A7B-ADE4-506516471833}" name="C. TOTAL1" dataDxfId="361" dataCellStyle="Vírgula">
      <calculatedColumnFormula>AJ11*AK11</calculatedColumnFormula>
    </tableColumn>
    <tableColumn id="10" xr3:uid="{ED13AC51-5EE8-43AE-988A-6815D3B1B21E}" name="Nº2" dataDxfId="360"/>
    <tableColumn id="11" xr3:uid="{B43593BA-CFE7-4259-BB27-F238D5C6EA58}" name="QUANT.2" dataDxfId="359" dataCellStyle="Vírgula"/>
    <tableColumn id="12" xr3:uid="{96586949-F929-4B9E-BCD6-72860E05A81B}" name="C. UNIT2" dataDxfId="358" dataCellStyle="Vírgula"/>
    <tableColumn id="13" xr3:uid="{E1A21C45-E9A8-4DB5-85F0-2510072B24E0}" name="C. TOTAL2" dataDxfId="357" dataCellStyle="Vírgula">
      <calculatedColumnFormula>AN11*AO11</calculatedColumnFormula>
    </tableColumn>
    <tableColumn id="14" xr3:uid="{1BF09977-DA13-473F-9327-002FC800002F}" name="Nº3" dataDxfId="356"/>
    <tableColumn id="15" xr3:uid="{A17D244C-1FC4-4FA4-81FF-5823590E79B0}" name="QUANT.3" dataDxfId="355" dataCellStyle="Vírgula"/>
    <tableColumn id="16" xr3:uid="{5713594C-5090-4714-A903-23BAC4688E18}" name="C. UNIT3" dataDxfId="354" dataCellStyle="Vírgula"/>
    <tableColumn id="17" xr3:uid="{5FD61516-0126-422C-8981-BBEC67AE03F4}" name="C. TOTAL3" dataDxfId="353" dataCellStyle="Vírgula">
      <calculatedColumnFormula>AR11*AS11</calculatedColumnFormula>
    </tableColumn>
    <tableColumn id="18" xr3:uid="{A2942F78-EC51-4073-8613-799D90521AA0}" name="Nº4" dataDxfId="352"/>
    <tableColumn id="19" xr3:uid="{F9955EC7-7819-4BB2-8ED0-3AF5067CBF74}" name="QUANT.4" dataDxfId="351" dataCellStyle="Vírgula"/>
    <tableColumn id="20" xr3:uid="{493FDFA8-D9D0-4C4F-A09F-B6A49990DC93}" name="C. UNIT4" dataDxfId="350" dataCellStyle="Vírgula"/>
    <tableColumn id="21" xr3:uid="{071DACD5-F20A-4697-B8BD-FA955DA8DEB0}" name="C. TOTAL4" dataDxfId="349" dataCellStyle="Vírgula">
      <calculatedColumnFormula>AV11*AW11</calculatedColumnFormula>
    </tableColumn>
    <tableColumn id="22" xr3:uid="{CFD23111-12C6-4239-8403-A1E5C2CCA2B5}" name="Nº5" dataDxfId="348"/>
    <tableColumn id="23" xr3:uid="{6ED227E2-C6C3-4768-9BC0-E0FB46F009F7}" name="QUANT.5" dataDxfId="347" dataCellStyle="Vírgula"/>
    <tableColumn id="24" xr3:uid="{AD3F2333-8D29-47F9-8ACA-84F3A319A9DB}" name="C. UNIT5" dataDxfId="346" dataCellStyle="Vírgula"/>
    <tableColumn id="25" xr3:uid="{18DA9B13-6C69-4028-A7F2-CF6AFE7C6D02}" name="C. TOTAL5" dataDxfId="345" dataCellStyle="Vírgula">
      <calculatedColumnFormula>AZ11*BA11</calculatedColumnFormula>
    </tableColumn>
    <tableColumn id="26" xr3:uid="{71065939-9298-444E-8EC1-EBA742030C0F}" name="Nº6" dataDxfId="344"/>
    <tableColumn id="27" xr3:uid="{04ADDD45-E202-49EC-A4AD-A1829592464F}" name="QUANT.6" dataDxfId="343" dataCellStyle="Vírgula"/>
    <tableColumn id="28" xr3:uid="{69174A70-B440-4132-9953-F54579B5CAB8}" name="C. UNIT6" dataDxfId="342" dataCellStyle="Vírgula"/>
    <tableColumn id="29" xr3:uid="{EEF19EA2-5D08-464C-A6C1-8BE5DDD72D73}" name="C. TOTAL6" dataDxfId="341" dataCellStyle="Vírgula">
      <calculatedColumnFormula>BD11*BE11</calculatedColumnFormula>
    </tableColumn>
    <tableColumn id="30" xr3:uid="{49C17A32-CD8D-4B12-8468-B6035D698A23}" name="Nº7" dataDxfId="340"/>
    <tableColumn id="31" xr3:uid="{DB8945D8-2910-4F63-876B-570F3F163F25}" name="QUANT.7" dataDxfId="339" dataCellStyle="Vírgula"/>
    <tableColumn id="32" xr3:uid="{0DF38EB0-C09C-4F97-8761-40662BC92CCF}" name="C. UNIT7" dataDxfId="338" dataCellStyle="Vírgula"/>
    <tableColumn id="33" xr3:uid="{83F380E3-106C-4E66-B724-F138361E7960}" name="C. TOTAL7" dataDxfId="337" dataCellStyle="Vírgula">
      <calculatedColumnFormula>BH11*BI11</calculatedColumnFormula>
    </tableColumn>
    <tableColumn id="34" xr3:uid="{2FFEE8F3-D875-437F-BD96-1B429F0E8C83}" name="Nº8" dataDxfId="336"/>
    <tableColumn id="35" xr3:uid="{7127C474-1D7F-48CD-8701-D206556CE648}" name="QUANT.8" dataDxfId="335" dataCellStyle="Vírgula"/>
    <tableColumn id="36" xr3:uid="{EEDB9C5A-1720-40BD-B18C-DF30913CA24C}" name="C. UNIT8" dataDxfId="334" dataCellStyle="Vírgula"/>
    <tableColumn id="37" xr3:uid="{4B285983-4499-4427-8393-03C2FA45EEBB}" name="C. TOTAL8" dataDxfId="333" dataCellStyle="Vírgula">
      <calculatedColumnFormula>BL11*BM11</calculatedColumnFormula>
    </tableColumn>
    <tableColumn id="38" xr3:uid="{EE38E309-6858-49BD-9766-07054EB3E4E1}" name="Nº9" dataDxfId="332"/>
    <tableColumn id="39" xr3:uid="{57D5CE9D-F240-4423-9852-30ED99DE1DA0}" name="QUANT.9" dataDxfId="331" dataCellStyle="Vírgula"/>
    <tableColumn id="40" xr3:uid="{841406BD-5E26-4C5E-813E-C583CF18DDEF}" name="C. UNIT9" dataDxfId="330" dataCellStyle="Vírgula"/>
    <tableColumn id="41" xr3:uid="{73F5E291-AB4B-4151-B273-425CCB1F164E}" name="C. TOTAL9" dataDxfId="329" dataCellStyle="Vírgula">
      <calculatedColumnFormula>BP11*BQ11</calculatedColumnFormula>
    </tableColumn>
    <tableColumn id="42" xr3:uid="{94E8C013-33BD-49CC-9359-9BC078FA05D6}" name="Nº10" dataDxfId="328"/>
    <tableColumn id="43" xr3:uid="{01D7CA5A-CA88-4F46-8D1D-0555373FE313}" name="QUANT.10" dataDxfId="327" dataCellStyle="Vírgula"/>
    <tableColumn id="44" xr3:uid="{2BA97522-6F6C-4CA4-953F-EEE0B46D67A0}" name="C. UNIT10" dataDxfId="326" dataCellStyle="Vírgula"/>
    <tableColumn id="45" xr3:uid="{861FE748-7442-4DAE-A605-1431FC591354}" name="C. TOTAL10" dataDxfId="325" dataCellStyle="Vírgula">
      <calculatedColumnFormula>BT11*BU11</calculatedColumnFormula>
    </tableColumn>
    <tableColumn id="46" xr3:uid="{E24F4337-F8AF-490F-BF83-3B2CE3052230}" name="Nº11" dataDxfId="324"/>
    <tableColumn id="47" xr3:uid="{367681E8-3C00-44CD-B390-C283C442AB11}" name="QUANT.11" dataDxfId="323" dataCellStyle="Vírgula"/>
    <tableColumn id="48" xr3:uid="{83523387-043B-494F-AAC3-FC13D8211C88}" name="C. UNIT11" dataDxfId="322" dataCellStyle="Vírgula"/>
    <tableColumn id="49" xr3:uid="{460926E0-60A0-4698-BE30-8258247AD2DC}" name="C. TOTAL11" dataDxfId="321" dataCellStyle="Vírgula">
      <calculatedColumnFormula>BX11*BY11</calculatedColumnFormula>
    </tableColumn>
    <tableColumn id="50" xr3:uid="{FEF98C84-A23B-4BFF-98A9-92628E0F5119}" name="Nº12" dataDxfId="320"/>
    <tableColumn id="51" xr3:uid="{608A3BC6-FDBD-4103-85C8-2A2322972B16}" name="QUANT.12" dataDxfId="319" dataCellStyle="Vírgula"/>
    <tableColumn id="52" xr3:uid="{2A826FDF-4827-4AB5-BBCA-2D33AA3107F3}" name="C. UNIT12" dataDxfId="318" dataCellStyle="Vírgula"/>
    <tableColumn id="53" xr3:uid="{8A62DAF0-915A-4A46-AC62-3DDF4C0273B6}" name="C. TOTAL12" dataDxfId="317" dataCellStyle="Vírgula">
      <calculatedColumnFormula>CB11*CC11</calculatedColumnFormula>
    </tableColumn>
  </tableColumns>
  <tableStyleInfo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701161-69AB-4140-BAE3-37EAF8D7542B}" name="CPU_2055" displayName="CPU_2055" ref="B10:K62" totalsRowShown="0" headerRowDxfId="316" tableBorderDxfId="315">
  <autoFilter ref="B10:K62" xr:uid="{00000000-0009-0000-0100-000020000000}"/>
  <tableColumns count="10">
    <tableColumn id="1" xr3:uid="{84F9A9A2-3E78-4C5A-A923-0346CDFC1EB5}" name="CODIGO" dataDxfId="314"/>
    <tableColumn id="8" xr3:uid="{25D0FAFA-BF5D-45D1-909C-73EB9E85D583}" name="SERVIÇO" dataDxfId="313">
      <calculatedColumnFormula>$A$3</calculatedColumnFormula>
    </tableColumn>
    <tableColumn id="9" xr3:uid="{A15629E1-F1A2-4405-BC99-BCB196A241E2}" name="PRODUÇÃO" dataDxfId="312">
      <calculatedColumnFormula>$B$6</calculatedColumnFormula>
    </tableColumn>
    <tableColumn id="10" xr3:uid="{915D822A-871A-435A-AD79-98A0C0578E76}" name="QTDE_TOTAL" dataDxfId="311">
      <calculatedColumnFormula>$B$7</calculatedColumnFormula>
    </tableColumn>
    <tableColumn id="2" xr3:uid="{24687D89-1C36-425D-B30F-D0F8DEC84F1F}" name="DESCRIÇÃO" dataDxfId="310"/>
    <tableColumn id="3" xr3:uid="{4667975A-2374-46FB-AC04-B941A178B015}" name="UNID" dataDxfId="309">
      <calculatedColumnFormula>IFERROR(VLOOKUP(F11,Tabela7[[RECURSO]:[CUSTO]],2,FALSE),"")</calculatedColumnFormula>
    </tableColumn>
    <tableColumn id="7" xr3:uid="{B684F693-059F-45F1-8BBC-17B52283E2DD}" name="Nº" dataDxfId="308"/>
    <tableColumn id="4" xr3:uid="{53D1FA46-C27D-4028-9FB9-9C9367A65D43}" name="QUANT." dataDxfId="307"/>
    <tableColumn id="5" xr3:uid="{4E5B727C-DD09-4D45-9AD2-F272DFFF27D0}" name="C. UNIT" dataDxfId="306" dataCellStyle="Vírgula">
      <calculatedColumnFormula>IFERROR(VLOOKUP(F11,Tabela7[[RECURSO]:[CUSTO]],3,FALSE),0)</calculatedColumnFormula>
    </tableColumn>
    <tableColumn id="6" xr3:uid="{356BDC0B-6F07-4C01-855B-F9DCEC4008DE}" name="C. TOTAL" dataDxfId="305" dataCellStyle="Vírgula">
      <calculatedColumnFormula>IFERROR(VLOOKUP(G11,Tabela7[[RECURSO]:[CUSTO]],3),0)</calculatedColumnFormula>
    </tableColumn>
  </tableColumns>
  <tableStyleInfo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A70CE02F-DAB5-4F23-A6AF-997A42EB0414}" name="Realizado62156" displayName="Realizado62156" ref="AD10:CD62" totalsRowShown="0" headerRowDxfId="304">
  <autoFilter ref="AD10:CD62" xr:uid="{00000000-0009-0000-0100-000006000000}"/>
  <tableColumns count="53">
    <tableColumn id="1" xr3:uid="{5A4AC18C-9D64-49B7-9A10-613CB6FC0118}" name="serviço" dataDxfId="303">
      <calculatedColumnFormula>$B$3</calculatedColumnFormula>
    </tableColumn>
    <tableColumn id="2" xr3:uid="{5AF4454B-5A01-459B-83ED-A8D3001118F5}" name="Nº" dataDxfId="302"/>
    <tableColumn id="3" xr3:uid="{13DA65B4-0A6D-4B2A-BE99-69BF3E871254}" name="QUANT." dataDxfId="301" dataCellStyle="Vírgula">
      <calculatedColumnFormula>AJ11+AN11+AR11+AV11+AZ11+BD11+BH11+BL11+BP11+BT11+BX11+CB11</calculatedColumnFormula>
    </tableColumn>
    <tableColumn id="4" xr3:uid="{18D3AA8F-38A4-452B-A130-3F6298249D39}" name="C. UNIT" dataDxfId="300" dataCellStyle="Vírgula">
      <calculatedColumnFormula>IFERROR(AH11/AF11,0)</calculatedColumnFormula>
    </tableColumn>
    <tableColumn id="5" xr3:uid="{2DA992FF-5E1B-4EBC-9451-A7366AD335D3}" name="C. TOTAL" dataDxfId="299" dataCellStyle="Vírgula">
      <calculatedColumnFormula>AL11+AP11+AT11+AX11+BB11+BF11+BJ11+BN11+BR11+BV11+BZ11+CD11</calculatedColumnFormula>
    </tableColumn>
    <tableColumn id="6" xr3:uid="{694DB705-9F38-4E2B-920C-FB8DF69238CD}" name="Nº1" dataDxfId="298"/>
    <tableColumn id="7" xr3:uid="{00CA1325-C04C-4BDB-A32C-94773A4EA579}" name="QUANT.1" dataDxfId="297" dataCellStyle="Vírgula"/>
    <tableColumn id="8" xr3:uid="{44E1F6C6-89D5-48B7-AC3C-9DF5D9E8FD71}" name="C. UNIT1" dataDxfId="296" dataCellStyle="Vírgula"/>
    <tableColumn id="9" xr3:uid="{2E7BB27B-214E-4F2C-93CC-D4B1E43D314E}" name="C. TOTAL1" dataDxfId="295" dataCellStyle="Vírgula">
      <calculatedColumnFormula>AJ11*AK11</calculatedColumnFormula>
    </tableColumn>
    <tableColumn id="10" xr3:uid="{9B338C8B-01BF-4F0F-9FB0-D841BFE3B3CD}" name="Nº2" dataDxfId="294"/>
    <tableColumn id="11" xr3:uid="{1D00101F-E20E-4E51-9ED5-D110BE005032}" name="QUANT.2" dataDxfId="293" dataCellStyle="Vírgula"/>
    <tableColumn id="12" xr3:uid="{D9D43F8A-42FD-40C8-BC0E-77E933769CEC}" name="C. UNIT2" dataDxfId="292" dataCellStyle="Vírgula"/>
    <tableColumn id="13" xr3:uid="{4B94F840-D889-4591-951A-F60F7BABA634}" name="C. TOTAL2" dataDxfId="291" dataCellStyle="Vírgula">
      <calculatedColumnFormula>AN11*AO11</calculatedColumnFormula>
    </tableColumn>
    <tableColumn id="14" xr3:uid="{DA508BC9-9628-4417-BD1A-18BA9FE9AD1F}" name="Nº3" dataDxfId="290"/>
    <tableColumn id="15" xr3:uid="{5EC5C2F4-BDD1-4940-B039-26C1814D8D3D}" name="QUANT.3" dataDxfId="289" dataCellStyle="Vírgula"/>
    <tableColumn id="16" xr3:uid="{3A4D2D3D-5471-430B-B61C-27AB4C0CB7F0}" name="C. UNIT3" dataDxfId="288" dataCellStyle="Vírgula"/>
    <tableColumn id="17" xr3:uid="{3E37D961-9890-4A22-8BB0-5FA9FB0D6E85}" name="C. TOTAL3" dataDxfId="287" dataCellStyle="Vírgula">
      <calculatedColumnFormula>AR11*AS11</calculatedColumnFormula>
    </tableColumn>
    <tableColumn id="18" xr3:uid="{72299EE4-1AD2-4F29-BE35-E119A399BC43}" name="Nº4" dataDxfId="286"/>
    <tableColumn id="19" xr3:uid="{FF0022D6-4382-438F-8DF6-67AD6310D15F}" name="QUANT.4" dataDxfId="285" dataCellStyle="Vírgula"/>
    <tableColumn id="20" xr3:uid="{68CF41F0-C9A2-4CA9-A332-77A3C2644BAC}" name="C. UNIT4" dataDxfId="284" dataCellStyle="Vírgula"/>
    <tableColumn id="21" xr3:uid="{C9D63BB1-044C-42E1-A103-D8FCC3DAA1B2}" name="C. TOTAL4" dataDxfId="283" dataCellStyle="Vírgula">
      <calculatedColumnFormula>AV11*AW11</calculatedColumnFormula>
    </tableColumn>
    <tableColumn id="22" xr3:uid="{EC753749-B30C-4C72-BD0F-D879057648A6}" name="Nº5" dataDxfId="282"/>
    <tableColumn id="23" xr3:uid="{DCB325EA-5C8D-4D52-A2C8-DB9D19BDF52B}" name="QUANT.5" dataDxfId="281" dataCellStyle="Vírgula"/>
    <tableColumn id="24" xr3:uid="{9F51B548-B802-4A3D-A6B6-216E70130A1A}" name="C. UNIT5" dataDxfId="280" dataCellStyle="Vírgula"/>
    <tableColumn id="25" xr3:uid="{002AB584-25FB-4AA4-BCBE-C7C755D5B44E}" name="C. TOTAL5" dataDxfId="279" dataCellStyle="Vírgula">
      <calculatedColumnFormula>AZ11*BA11</calculatedColumnFormula>
    </tableColumn>
    <tableColumn id="26" xr3:uid="{730C1698-486B-4791-B175-9426667908D2}" name="Nº6" dataDxfId="278"/>
    <tableColumn id="27" xr3:uid="{5F05DA5A-7DC9-4810-A0F0-BF18495D6196}" name="QUANT.6" dataDxfId="277" dataCellStyle="Vírgula"/>
    <tableColumn id="28" xr3:uid="{02364D06-8B9A-444B-86C4-5EA51FA5E338}" name="C. UNIT6" dataDxfId="276" dataCellStyle="Vírgula"/>
    <tableColumn id="29" xr3:uid="{B69BBB9A-4AAC-4656-A962-3CE8415AEA96}" name="C. TOTAL6" dataDxfId="275" dataCellStyle="Vírgula">
      <calculatedColumnFormula>BD11*BE11</calculatedColumnFormula>
    </tableColumn>
    <tableColumn id="30" xr3:uid="{3303DB5B-D386-4A38-B664-D3EA4B59505D}" name="Nº7" dataDxfId="274"/>
    <tableColumn id="31" xr3:uid="{18EC98F2-D6C5-45B4-BD9C-B57B9A5B9A6C}" name="QUANT.7" dataDxfId="273" dataCellStyle="Vírgula"/>
    <tableColumn id="32" xr3:uid="{0140C5D4-B413-4DDB-9599-008AD812496B}" name="C. UNIT7" dataDxfId="272" dataCellStyle="Vírgula"/>
    <tableColumn id="33" xr3:uid="{A304B825-99DE-40A7-BD17-4F93C07227C5}" name="C. TOTAL7" dataDxfId="271" dataCellStyle="Vírgula">
      <calculatedColumnFormula>BH11*BI11</calculatedColumnFormula>
    </tableColumn>
    <tableColumn id="34" xr3:uid="{21C211E9-2D61-486F-B182-328E9E469E27}" name="Nº8" dataDxfId="270"/>
    <tableColumn id="35" xr3:uid="{4C572880-11C6-4BBA-91AB-351AD8649405}" name="QUANT.8" dataDxfId="269" dataCellStyle="Vírgula"/>
    <tableColumn id="36" xr3:uid="{8FBE8FCF-493B-499E-9174-B67983B54209}" name="C. UNIT8" dataDxfId="268" dataCellStyle="Vírgula"/>
    <tableColumn id="37" xr3:uid="{FA9C3BB0-DC99-4843-908E-F6A2ABDC62B9}" name="C. TOTAL8" dataDxfId="267" dataCellStyle="Vírgula">
      <calculatedColumnFormula>BL11*BM11</calculatedColumnFormula>
    </tableColumn>
    <tableColumn id="38" xr3:uid="{6AA99BB9-7AAB-49D1-90C0-E45131B75747}" name="Nº9" dataDxfId="266"/>
    <tableColumn id="39" xr3:uid="{3205B088-73F1-4BF6-BD36-7884D0340E05}" name="QUANT.9" dataDxfId="265" dataCellStyle="Vírgula"/>
    <tableColumn id="40" xr3:uid="{3110117B-0810-4516-940B-EEB81D6A6CE8}" name="C. UNIT9" dataDxfId="264" dataCellStyle="Vírgula"/>
    <tableColumn id="41" xr3:uid="{8CE0571A-55BA-405A-B0C8-AB27E9E0CE7A}" name="C. TOTAL9" dataDxfId="263" dataCellStyle="Vírgula">
      <calculatedColumnFormula>BP11*BQ11</calculatedColumnFormula>
    </tableColumn>
    <tableColumn id="42" xr3:uid="{562D421C-ADA7-467D-9170-BB647E749A8B}" name="Nº10" dataDxfId="262"/>
    <tableColumn id="43" xr3:uid="{B0A1418D-2577-40B3-886A-55897A16D039}" name="QUANT.10" dataDxfId="261" dataCellStyle="Vírgula"/>
    <tableColumn id="44" xr3:uid="{C71E2094-2C22-4973-8BB8-73D8497C2E5B}" name="C. UNIT10" dataDxfId="260" dataCellStyle="Vírgula"/>
    <tableColumn id="45" xr3:uid="{9D9879D1-CE0E-459A-BE89-86D17F5D90AE}" name="C. TOTAL10" dataDxfId="259" dataCellStyle="Vírgula">
      <calculatedColumnFormula>BT11*BU11</calculatedColumnFormula>
    </tableColumn>
    <tableColumn id="46" xr3:uid="{24718B44-067B-42F6-8C44-3664D4B7F52C}" name="Nº11" dataDxfId="258"/>
    <tableColumn id="47" xr3:uid="{F0015C50-E4C3-46BA-B10E-8FF20663A818}" name="QUANT.11" dataDxfId="257" dataCellStyle="Vírgula"/>
    <tableColumn id="48" xr3:uid="{3CCEE154-6412-441B-BF57-64294695AEA2}" name="C. UNIT11" dataDxfId="256" dataCellStyle="Vírgula"/>
    <tableColumn id="49" xr3:uid="{E61251D2-9FEE-454F-B8D5-1AA324EE1721}" name="C. TOTAL11" dataDxfId="255" dataCellStyle="Vírgula">
      <calculatedColumnFormula>BX11*BY11</calculatedColumnFormula>
    </tableColumn>
    <tableColumn id="50" xr3:uid="{CC78487F-9819-4106-818F-0E5172CCB1E8}" name="Nº12" dataDxfId="254"/>
    <tableColumn id="51" xr3:uid="{016BF8D8-C6CE-4458-9E3B-CB432249B845}" name="QUANT.12" dataDxfId="253" dataCellStyle="Vírgula"/>
    <tableColumn id="52" xr3:uid="{4D6C8969-2CBD-433B-87CF-4D670822CEA0}" name="C. UNIT12" dataDxfId="252" dataCellStyle="Vírgula"/>
    <tableColumn id="53" xr3:uid="{B56EEBFD-3000-4841-97A4-38ECA7EC1A64}" name="C. TOTAL12" dataDxfId="251" dataCellStyle="Vírgula">
      <calculatedColumnFormula>CB11*CC11</calculatedColumnFormula>
    </tableColumn>
  </tableColumns>
  <tableStyleInfo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1FC059B-4308-4EBD-9071-DC2FC5093EDC}" name="CPU_18" displayName="CPU_18" ref="B10:K62" totalsRowShown="0" headerRowDxfId="250" tableBorderDxfId="249">
  <autoFilter ref="B10:K62" xr:uid="{00000000-0009-0000-0100-000020000000}"/>
  <tableColumns count="10">
    <tableColumn id="1" xr3:uid="{AFB7523C-D026-48E8-AB35-8FABAFB54AC1}" name="CODIGO" dataDxfId="248"/>
    <tableColumn id="8" xr3:uid="{8EF964F3-007A-468D-8C5C-0B6B10C4A79B}" name="SERVIÇO" dataDxfId="247">
      <calculatedColumnFormula>$A$3</calculatedColumnFormula>
    </tableColumn>
    <tableColumn id="9" xr3:uid="{7729B201-FC46-427A-A4E0-B806537A00A1}" name="PRODUÇÃO" dataDxfId="246">
      <calculatedColumnFormula>$B$6</calculatedColumnFormula>
    </tableColumn>
    <tableColumn id="10" xr3:uid="{6AD215DA-B365-4864-997E-80B0934F2A58}" name="QTDE_TOTAL" dataDxfId="245">
      <calculatedColumnFormula>$B$7</calculatedColumnFormula>
    </tableColumn>
    <tableColumn id="2" xr3:uid="{EB212484-73AA-4B89-9FC6-612D39A2F825}" name="DESCRIÇÃO" dataDxfId="244"/>
    <tableColumn id="3" xr3:uid="{109CCF12-E4FF-4820-9BE5-937694A2F742}" name="UNID" dataDxfId="243">
      <calculatedColumnFormula>IFERROR(VLOOKUP(F11,Tabela7[[RECURSO]:[CUSTO]],2,FALSE),"")</calculatedColumnFormula>
    </tableColumn>
    <tableColumn id="7" xr3:uid="{FB898846-86E9-4983-AC91-487D1CD27B16}" name="Nº" dataDxfId="242"/>
    <tableColumn id="4" xr3:uid="{83139245-01BC-4ADE-8800-0E8574BA2F99}" name="QUANT." dataDxfId="241"/>
    <tableColumn id="5" xr3:uid="{2D6B48E9-D5B9-4DEA-AADE-4CD3F37BFBB7}" name="C. UNIT" dataDxfId="240" dataCellStyle="Vírgula">
      <calculatedColumnFormula>IFERROR(VLOOKUP(F11,Tabela7[[RECURSO]:[CUSTO]],3,FALSE),0)</calculatedColumnFormula>
    </tableColumn>
    <tableColumn id="6" xr3:uid="{55F9E926-5324-4657-AF17-1FE9697366B7}" name="C. TOTAL" dataDxfId="239" dataCellStyle="Vírgula">
      <calculatedColumnFormula>IFERROR(VLOOKUP(G11,Tabela7[[RECURSO]:[CUSTO]],3),0)</calculatedColumnFormula>
    </tableColumn>
  </tableColumns>
  <tableStyleInfo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4C25739-6421-429A-B692-DFC03CE6E816}" name="Realizado619" displayName="Realizado619" ref="AD10:CD62" totalsRowShown="0" headerRowDxfId="238">
  <autoFilter ref="AD10:CD62" xr:uid="{00000000-0009-0000-0100-000006000000}"/>
  <tableColumns count="53">
    <tableColumn id="1" xr3:uid="{60A1B4E2-2811-49FB-8331-EB8E88B6CAF0}" name="serviço" dataDxfId="237">
      <calculatedColumnFormula>$B$3</calculatedColumnFormula>
    </tableColumn>
    <tableColumn id="2" xr3:uid="{275C8F43-5767-4037-AD6A-0905B996A84F}" name="Nº" dataDxfId="236"/>
    <tableColumn id="3" xr3:uid="{ED3DD9CE-4718-445E-9DA0-7C4D887A5651}" name="QUANT." dataDxfId="235" dataCellStyle="Vírgula">
      <calculatedColumnFormula>AJ11+AN11+AR11+AV11+AZ11+BD11+BH11+BL11+BP11+BT11+BX11+CB11</calculatedColumnFormula>
    </tableColumn>
    <tableColumn id="4" xr3:uid="{BA78A3C0-1634-485D-8F9E-0D3A4FCB7D7B}" name="C. UNIT" dataDxfId="234" dataCellStyle="Vírgula">
      <calculatedColumnFormula>IFERROR(AH11/AF11,0)</calculatedColumnFormula>
    </tableColumn>
    <tableColumn id="5" xr3:uid="{C8DA0ED0-8415-414C-9946-88FB89B9B824}" name="C. TOTAL" dataDxfId="233" dataCellStyle="Vírgula">
      <calculatedColumnFormula>AL11+AP11+AT11+AX11+BB11+BF11+BJ11+BN11+BR11+BV11+BZ11+CD11</calculatedColumnFormula>
    </tableColumn>
    <tableColumn id="6" xr3:uid="{860F8D84-0056-451C-BEAE-6765619DCAF5}" name="Nº1" dataDxfId="232"/>
    <tableColumn id="7" xr3:uid="{F298FE35-2394-48E8-8889-510ABA74FDD2}" name="QUANT.1" dataDxfId="231" dataCellStyle="Vírgula"/>
    <tableColumn id="8" xr3:uid="{4D4AF413-8224-42C8-9CAD-03C85F41433A}" name="C. UNIT1" dataDxfId="230" dataCellStyle="Vírgula"/>
    <tableColumn id="9" xr3:uid="{CBFE2864-71B6-4407-8593-E7CB0EF57B42}" name="C. TOTAL1" dataDxfId="229" dataCellStyle="Vírgula">
      <calculatedColumnFormula>AJ11*AK11</calculatedColumnFormula>
    </tableColumn>
    <tableColumn id="10" xr3:uid="{99DE996C-A39B-4602-A978-7E96CDACF391}" name="Nº2" dataDxfId="228"/>
    <tableColumn id="11" xr3:uid="{4CA20187-D9E5-4266-8697-835852ED313C}" name="QUANT.2" dataDxfId="227" dataCellStyle="Vírgula"/>
    <tableColumn id="12" xr3:uid="{CD78483D-E648-4342-A0BE-4456F61906BC}" name="C. UNIT2" dataDxfId="226" dataCellStyle="Vírgula"/>
    <tableColumn id="13" xr3:uid="{D221B156-09A5-4FBD-AEA4-EF6567FA58C5}" name="C. TOTAL2" dataDxfId="225" dataCellStyle="Vírgula">
      <calculatedColumnFormula>AN11*AO11</calculatedColumnFormula>
    </tableColumn>
    <tableColumn id="14" xr3:uid="{0889EA85-169F-4AED-8628-4BBDF0E11265}" name="Nº3" dataDxfId="224"/>
    <tableColumn id="15" xr3:uid="{F3A5B499-7BEA-4B46-9431-850F652E8CCB}" name="QUANT.3" dataDxfId="223" dataCellStyle="Vírgula"/>
    <tableColumn id="16" xr3:uid="{CC34E291-8FD3-479F-822D-6E6ADB4B0E86}" name="C. UNIT3" dataDxfId="222" dataCellStyle="Vírgula"/>
    <tableColumn id="17" xr3:uid="{39600E8E-7AE0-49B5-95F0-5CD67F233BC7}" name="C. TOTAL3" dataDxfId="221" dataCellStyle="Vírgula">
      <calculatedColumnFormula>AR11*AS11</calculatedColumnFormula>
    </tableColumn>
    <tableColumn id="18" xr3:uid="{C542FADE-5227-4618-AC7C-97A085A8DD6D}" name="Nº4" dataDxfId="220"/>
    <tableColumn id="19" xr3:uid="{D6CE18BE-C74C-4DA6-BE7E-AC924F6593D4}" name="QUANT.4" dataDxfId="219" dataCellStyle="Vírgula"/>
    <tableColumn id="20" xr3:uid="{0263A356-BD06-4F8E-B3D2-5A49D5862923}" name="C. UNIT4" dataDxfId="218" dataCellStyle="Vírgula"/>
    <tableColumn id="21" xr3:uid="{3017BB34-53C1-4107-88C7-09A1E90BB278}" name="C. TOTAL4" dataDxfId="217" dataCellStyle="Vírgula">
      <calculatedColumnFormula>AV11*AW11</calculatedColumnFormula>
    </tableColumn>
    <tableColumn id="22" xr3:uid="{386B03E9-72DF-4DB8-9EFB-CCAC88B7B932}" name="Nº5" dataDxfId="216"/>
    <tableColumn id="23" xr3:uid="{87115A6A-6DC2-4089-87D0-FE23772FD3B4}" name="QUANT.5" dataDxfId="215" dataCellStyle="Vírgula"/>
    <tableColumn id="24" xr3:uid="{03C7CA55-6D83-43D3-B2D6-C242AE42932B}" name="C. UNIT5" dataDxfId="214" dataCellStyle="Vírgula"/>
    <tableColumn id="25" xr3:uid="{F6C1A5EB-F25C-4C7F-9A21-24289B101A35}" name="C. TOTAL5" dataDxfId="213" dataCellStyle="Vírgula">
      <calculatedColumnFormula>AZ11*BA11</calculatedColumnFormula>
    </tableColumn>
    <tableColumn id="26" xr3:uid="{3E2783F9-B13E-40F7-9117-712CBD73AB7A}" name="Nº6" dataDxfId="212"/>
    <tableColumn id="27" xr3:uid="{41CF26ED-A104-406E-9F10-841DF6089A09}" name="QUANT.6" dataDxfId="211" dataCellStyle="Vírgula"/>
    <tableColumn id="28" xr3:uid="{6AC9735E-F84D-4FD9-80BC-1099886DE7CB}" name="C. UNIT6" dataDxfId="210" dataCellStyle="Vírgula"/>
    <tableColumn id="29" xr3:uid="{668E8FFB-EEC9-497E-B2E8-2508744068BE}" name="C. TOTAL6" dataDxfId="209" dataCellStyle="Vírgula">
      <calculatedColumnFormula>BD11*BE11</calculatedColumnFormula>
    </tableColumn>
    <tableColumn id="30" xr3:uid="{D0F3ABE8-6AA2-40F2-80D5-C0B4B8C93FD3}" name="Nº7" dataDxfId="208"/>
    <tableColumn id="31" xr3:uid="{6F595B32-3CDA-4F28-8371-4620D0B2E1A5}" name="QUANT.7" dataDxfId="207" dataCellStyle="Vírgula"/>
    <tableColumn id="32" xr3:uid="{2F18EFF1-CEAF-44CC-A8F5-500F6A61CDE9}" name="C. UNIT7" dataDxfId="206" dataCellStyle="Vírgula"/>
    <tableColumn id="33" xr3:uid="{9B61E3CB-EFAD-4009-879E-421CC5952388}" name="C. TOTAL7" dataDxfId="205" dataCellStyle="Vírgula">
      <calculatedColumnFormula>BH11*BI11</calculatedColumnFormula>
    </tableColumn>
    <tableColumn id="34" xr3:uid="{9F29A542-3B35-4BC5-B8DD-2E29A8BC228C}" name="Nº8" dataDxfId="204"/>
    <tableColumn id="35" xr3:uid="{0368767A-D2B4-4D90-B0D6-9C3FF1B0D97F}" name="QUANT.8" dataDxfId="203" dataCellStyle="Vírgula"/>
    <tableColumn id="36" xr3:uid="{CDA238DC-FF62-496A-A53B-60369E1E2373}" name="C. UNIT8" dataDxfId="202" dataCellStyle="Vírgula"/>
    <tableColumn id="37" xr3:uid="{B5A6ABE1-FCDB-4517-8277-A1D8B0E0DDBF}" name="C. TOTAL8" dataDxfId="201" dataCellStyle="Vírgula">
      <calculatedColumnFormula>BL11*BM11</calculatedColumnFormula>
    </tableColumn>
    <tableColumn id="38" xr3:uid="{D7921846-41B8-4401-AE9F-096F3F483E20}" name="Nº9" dataDxfId="200"/>
    <tableColumn id="39" xr3:uid="{E8FE9AB7-C134-441C-B9DD-A95F80BC2DCA}" name="QUANT.9" dataDxfId="199" dataCellStyle="Vírgula"/>
    <tableColumn id="40" xr3:uid="{4D3FF045-0513-45C3-8497-1727071088CB}" name="C. UNIT9" dataDxfId="198" dataCellStyle="Vírgula"/>
    <tableColumn id="41" xr3:uid="{CBF6F451-C504-42D6-B680-DB4A93E91F29}" name="C. TOTAL9" dataDxfId="197" dataCellStyle="Vírgula">
      <calculatedColumnFormula>BP11*BQ11</calculatedColumnFormula>
    </tableColumn>
    <tableColumn id="42" xr3:uid="{C049F8DC-E8A2-448C-9E94-58A4F0A88107}" name="Nº10" dataDxfId="196"/>
    <tableColumn id="43" xr3:uid="{D0F25C8A-0F88-4326-895A-A8DE5DEBE628}" name="QUANT.10" dataDxfId="195" dataCellStyle="Vírgula"/>
    <tableColumn id="44" xr3:uid="{9AFCF86C-27D3-46D5-8128-8F051D81856D}" name="C. UNIT10" dataDxfId="194" dataCellStyle="Vírgula"/>
    <tableColumn id="45" xr3:uid="{4C3E661B-7544-4616-9616-96171459058E}" name="C. TOTAL10" dataDxfId="193" dataCellStyle="Vírgula">
      <calculatedColumnFormula>BT11*BU11</calculatedColumnFormula>
    </tableColumn>
    <tableColumn id="46" xr3:uid="{A8C91754-4D40-4A3A-AC8D-1CB1D5781814}" name="Nº11" dataDxfId="192"/>
    <tableColumn id="47" xr3:uid="{0400CE14-AE90-45AB-830E-4437BD79E070}" name="QUANT.11" dataDxfId="191" dataCellStyle="Vírgula"/>
    <tableColumn id="48" xr3:uid="{9CACD422-8AA1-4A03-A5F3-3BA839BBE690}" name="C. UNIT11" dataDxfId="190" dataCellStyle="Vírgula"/>
    <tableColumn id="49" xr3:uid="{A2B492D9-EBF7-49B4-966F-FF46056D8A3A}" name="C. TOTAL11" dataDxfId="189" dataCellStyle="Vírgula">
      <calculatedColumnFormula>BX11*BY11</calculatedColumnFormula>
    </tableColumn>
    <tableColumn id="50" xr3:uid="{90FE5A9F-F70B-4AAC-ACB1-68858879D839}" name="Nº12" dataDxfId="188"/>
    <tableColumn id="51" xr3:uid="{3C333D7A-2FC0-46AC-94EC-8BBC64634E80}" name="QUANT.12" dataDxfId="187" dataCellStyle="Vírgula"/>
    <tableColumn id="52" xr3:uid="{3EE08815-8D88-4DC6-8BF7-98B4228BA046}" name="C. UNIT12" dataDxfId="186" dataCellStyle="Vírgula"/>
    <tableColumn id="53" xr3:uid="{F60056F7-EFE3-4AEC-92EC-D1A19E48A6DC}" name="C. TOTAL12" dataDxfId="185" dataCellStyle="Vírgula">
      <calculatedColumnFormula>CB11*CC11</calculatedColumnFormula>
    </tableColumn>
  </tableColumns>
  <tableStyleInfo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7499F3A-60FD-4BAE-8E3B-18A2DD443643}" name="CPU_14" displayName="CPU_14" ref="B10:K62" totalsRowShown="0" headerRowDxfId="184" tableBorderDxfId="183">
  <autoFilter ref="B10:K62" xr:uid="{00000000-0009-0000-0100-000020000000}"/>
  <tableColumns count="10">
    <tableColumn id="1" xr3:uid="{181A949C-7FCB-4933-80FB-9EA064C66DCB}" name="CODIGO" dataDxfId="182"/>
    <tableColumn id="8" xr3:uid="{F08DEC2C-42BC-492E-BE93-2F0C6ABB7936}" name="SERVIÇO" dataDxfId="181">
      <calculatedColumnFormula>$A$3</calculatedColumnFormula>
    </tableColumn>
    <tableColumn id="9" xr3:uid="{8BDE5CFE-C479-490E-94BC-6A3AC363E4EC}" name="PRODUÇÃO" dataDxfId="180">
      <calculatedColumnFormula>$B$6</calculatedColumnFormula>
    </tableColumn>
    <tableColumn id="10" xr3:uid="{2AAAFB55-5FB8-4C86-9E3E-C4A2955DF18C}" name="QTDE_TOTAL" dataDxfId="179">
      <calculatedColumnFormula>$B$7</calculatedColumnFormula>
    </tableColumn>
    <tableColumn id="2" xr3:uid="{70DE4A0E-F16B-4F32-B485-3DDD4B5AA52D}" name="DESCRIÇÃO" dataDxfId="178"/>
    <tableColumn id="3" xr3:uid="{687EF6C0-1827-4B9F-AA50-CE2ACFCF1F8B}" name="UNID" dataDxfId="177">
      <calculatedColumnFormula>IFERROR(VLOOKUP(F11,Tabela7[[RECURSO]:[CUSTO]],2,FALSE),"")</calculatedColumnFormula>
    </tableColumn>
    <tableColumn id="7" xr3:uid="{27C9AD32-C3E4-46ED-AC2C-AFD8F5821A65}" name="Nº" dataDxfId="176"/>
    <tableColumn id="4" xr3:uid="{2F03513F-B7E9-4E1F-B5B3-548E6D4992E1}" name="QUANT." dataDxfId="175"/>
    <tableColumn id="5" xr3:uid="{E57F9631-D48C-4926-A055-8FAC704B6233}" name="C. UNIT" dataDxfId="174" dataCellStyle="Vírgula">
      <calculatedColumnFormula>IFERROR(VLOOKUP(F11,Tabela7[[RECURSO]:[CUSTO]],3,FALSE),0)</calculatedColumnFormula>
    </tableColumn>
    <tableColumn id="6" xr3:uid="{10AF5D94-78AD-4BAA-B188-A0C08A232AC6}" name="C. TOTAL" dataDxfId="173" dataCellStyle="Vírgula">
      <calculatedColumnFormula>IFERROR(VLOOKUP(G11,Tabela7[[RECURSO]:[CUSTO]],3),0)</calculatedColumnFormula>
    </tableColumn>
  </tableColumns>
  <tableStyleInfo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1E1BE7-BF39-4126-B467-A766B676F881}" name="Realizado615" displayName="Realizado615" ref="AD10:CD62" totalsRowShown="0" headerRowDxfId="172">
  <autoFilter ref="AD10:CD62" xr:uid="{00000000-0009-0000-0100-000006000000}"/>
  <tableColumns count="53">
    <tableColumn id="1" xr3:uid="{442BC274-BF78-4A84-B462-19D2C082AD0F}" name="serviço" dataDxfId="171">
      <calculatedColumnFormula>$B$3</calculatedColumnFormula>
    </tableColumn>
    <tableColumn id="2" xr3:uid="{02E14866-3532-4046-92FE-91615B7775C7}" name="Nº" dataDxfId="170"/>
    <tableColumn id="3" xr3:uid="{51032DE3-9C7A-465E-98C7-20D5F8A887A0}" name="QUANT." dataDxfId="169" dataCellStyle="Vírgula">
      <calculatedColumnFormula>AJ11+AN11+AR11+AV11+AZ11+BD11+BH11+BL11+BP11+BT11+BX11+CB11</calculatedColumnFormula>
    </tableColumn>
    <tableColumn id="4" xr3:uid="{F02F29AF-7B57-47F9-8B87-D5389837319A}" name="C. UNIT" dataDxfId="168" dataCellStyle="Vírgula">
      <calculatedColumnFormula>IFERROR(AH11/AF11,0)</calculatedColumnFormula>
    </tableColumn>
    <tableColumn id="5" xr3:uid="{772E8841-1E5F-4CE0-B8F8-134B02867907}" name="C. TOTAL" dataDxfId="167" dataCellStyle="Vírgula">
      <calculatedColumnFormula>AL11+AP11+AT11+AX11+BB11+BF11+BJ11+BN11+BR11+BV11+BZ11+CD11</calculatedColumnFormula>
    </tableColumn>
    <tableColumn id="6" xr3:uid="{426CB5B4-C337-4B4E-BCF2-8A8A04EF87E5}" name="Nº1" dataDxfId="166"/>
    <tableColumn id="7" xr3:uid="{00F114F7-69C2-4336-AA00-D630AD59D7DC}" name="QUANT.1" dataDxfId="165" dataCellStyle="Vírgula"/>
    <tableColumn id="8" xr3:uid="{9AE2A04A-E729-4292-A62C-142BE5C9890A}" name="C. UNIT1" dataDxfId="164" dataCellStyle="Vírgula"/>
    <tableColumn id="9" xr3:uid="{91DB2F73-B7E7-4DF0-844A-8DFCEF6DD53B}" name="C. TOTAL1" dataDxfId="163" dataCellStyle="Vírgula">
      <calculatedColumnFormula>AJ11*AK11</calculatedColumnFormula>
    </tableColumn>
    <tableColumn id="10" xr3:uid="{0FD529FC-6547-477F-B6CF-A72DED8768D4}" name="Nº2" dataDxfId="162"/>
    <tableColumn id="11" xr3:uid="{BF13202E-FED0-4026-85F4-3CD69F341B3E}" name="QUANT.2" dataDxfId="161" dataCellStyle="Vírgula"/>
    <tableColumn id="12" xr3:uid="{B68333C2-3E9D-4FEE-B5E0-5973E6CE1C6F}" name="C. UNIT2" dataDxfId="160" dataCellStyle="Vírgula"/>
    <tableColumn id="13" xr3:uid="{127B1DFD-729B-4BD8-BD54-BF68025D6951}" name="C. TOTAL2" dataDxfId="159" dataCellStyle="Vírgula">
      <calculatedColumnFormula>AN11*AO11</calculatedColumnFormula>
    </tableColumn>
    <tableColumn id="14" xr3:uid="{E9C76201-759B-4EA3-B13D-518152009179}" name="Nº3" dataDxfId="158"/>
    <tableColumn id="15" xr3:uid="{F06E1A82-3DBC-4B85-B497-8F7A96FC3FF7}" name="QUANT.3" dataDxfId="157" dataCellStyle="Vírgula"/>
    <tableColumn id="16" xr3:uid="{7B050E9A-36D1-4F58-82C5-5ED04EC6F750}" name="C. UNIT3" dataDxfId="156" dataCellStyle="Vírgula"/>
    <tableColumn id="17" xr3:uid="{FC460449-1D37-40B0-8324-62372E068408}" name="C. TOTAL3" dataDxfId="155" dataCellStyle="Vírgula">
      <calculatedColumnFormula>AR11*AS11</calculatedColumnFormula>
    </tableColumn>
    <tableColumn id="18" xr3:uid="{58C57466-ED29-4529-85DA-F761BD2C7025}" name="Nº4" dataDxfId="154"/>
    <tableColumn id="19" xr3:uid="{F7F15F2F-C5B6-467C-9B35-067D451D02F3}" name="QUANT.4" dataDxfId="153" dataCellStyle="Vírgula"/>
    <tableColumn id="20" xr3:uid="{A6D34FAC-8A1A-4F75-B6E8-31BE63A14EE4}" name="C. UNIT4" dataDxfId="152" dataCellStyle="Vírgula"/>
    <tableColumn id="21" xr3:uid="{A2E234E5-4B82-4148-B052-6BB8FC1D27F3}" name="C. TOTAL4" dataDxfId="151" dataCellStyle="Vírgula">
      <calculatedColumnFormula>AV11*AW11</calculatedColumnFormula>
    </tableColumn>
    <tableColumn id="22" xr3:uid="{EFB60F07-5E00-4C6A-86AA-68CB74FBAB7C}" name="Nº5" dataDxfId="150"/>
    <tableColumn id="23" xr3:uid="{B6CB6C22-9E67-455B-9753-1C13D7A7CF8D}" name="QUANT.5" dataDxfId="149" dataCellStyle="Vírgula"/>
    <tableColumn id="24" xr3:uid="{A8EE9C41-AB50-4F3B-8BC8-FDD5C8A06417}" name="C. UNIT5" dataDxfId="148" dataCellStyle="Vírgula"/>
    <tableColumn id="25" xr3:uid="{3B127769-60BC-43F1-8A9B-72E7CFFF7F31}" name="C. TOTAL5" dataDxfId="147" dataCellStyle="Vírgula">
      <calculatedColumnFormula>AZ11*BA11</calculatedColumnFormula>
    </tableColumn>
    <tableColumn id="26" xr3:uid="{035BD363-1302-4D10-B268-AAF108E95D90}" name="Nº6" dataDxfId="146"/>
    <tableColumn id="27" xr3:uid="{C347EA9D-C00A-43B5-8B64-C8DA53E08A53}" name="QUANT.6" dataDxfId="145" dataCellStyle="Vírgula"/>
    <tableColumn id="28" xr3:uid="{050B98EE-FD80-466B-AF8E-BB21D5F168A5}" name="C. UNIT6" dataDxfId="144" dataCellStyle="Vírgula"/>
    <tableColumn id="29" xr3:uid="{5FD6D750-FBC8-47E4-8ED3-2A499BAA400E}" name="C. TOTAL6" dataDxfId="143" dataCellStyle="Vírgula">
      <calculatedColumnFormula>BD11*BE11</calculatedColumnFormula>
    </tableColumn>
    <tableColumn id="30" xr3:uid="{EAADD173-7D10-4F05-B4EC-4CC563D57EDF}" name="Nº7" dataDxfId="142"/>
    <tableColumn id="31" xr3:uid="{4529CAA7-7BA4-4660-A4C7-68DF5E2EAF99}" name="QUANT.7" dataDxfId="141" dataCellStyle="Vírgula"/>
    <tableColumn id="32" xr3:uid="{526BFEBA-741F-443F-9C6B-82815CD64F86}" name="C. UNIT7" dataDxfId="140" dataCellStyle="Vírgula"/>
    <tableColumn id="33" xr3:uid="{B93C8F88-FFC3-49A3-975A-5F22D9E5C571}" name="C. TOTAL7" dataDxfId="139" dataCellStyle="Vírgula">
      <calculatedColumnFormula>BH11*BI11</calculatedColumnFormula>
    </tableColumn>
    <tableColumn id="34" xr3:uid="{658E5C65-38E8-4353-ABF1-8EDA1563E47C}" name="Nº8" dataDxfId="138"/>
    <tableColumn id="35" xr3:uid="{E522D36B-3EDB-4C81-ACD2-0E8A9812598F}" name="QUANT.8" dataDxfId="137" dataCellStyle="Vírgula"/>
    <tableColumn id="36" xr3:uid="{3FD3E77B-F0C3-44B4-A017-380EE34BBF5D}" name="C. UNIT8" dataDxfId="136" dataCellStyle="Vírgula"/>
    <tableColumn id="37" xr3:uid="{DA487B91-6483-4E0F-A101-CDE333FC09D0}" name="C. TOTAL8" dataDxfId="135" dataCellStyle="Vírgula">
      <calculatedColumnFormula>BL11*BM11</calculatedColumnFormula>
    </tableColumn>
    <tableColumn id="38" xr3:uid="{15BF453A-2B77-4038-BEA3-62FD89D34D94}" name="Nº9" dataDxfId="134"/>
    <tableColumn id="39" xr3:uid="{1AD83FEF-054E-49C2-94C3-D2A8CAFC61CA}" name="QUANT.9" dataDxfId="133" dataCellStyle="Vírgula"/>
    <tableColumn id="40" xr3:uid="{37D01581-C920-4BCB-8B87-142A9EE10A4D}" name="C. UNIT9" dataDxfId="132" dataCellStyle="Vírgula"/>
    <tableColumn id="41" xr3:uid="{D73C38D6-E5FC-46E4-9B43-165438855113}" name="C. TOTAL9" dataDxfId="131" dataCellStyle="Vírgula">
      <calculatedColumnFormula>BP11*BQ11</calculatedColumnFormula>
    </tableColumn>
    <tableColumn id="42" xr3:uid="{0D4D4CC9-CEBA-4106-9DDB-59B9E0555E96}" name="Nº10" dataDxfId="130"/>
    <tableColumn id="43" xr3:uid="{71C1A5F5-F4B3-4B64-924A-2817F1CBAEF3}" name="QUANT.10" dataDxfId="129" dataCellStyle="Vírgula"/>
    <tableColumn id="44" xr3:uid="{BFB42BF8-CB74-45F9-9EBE-0747672A1424}" name="C. UNIT10" dataDxfId="128" dataCellStyle="Vírgula"/>
    <tableColumn id="45" xr3:uid="{6B859E23-F711-4B01-A3A1-ECF756318512}" name="C. TOTAL10" dataDxfId="127" dataCellStyle="Vírgula">
      <calculatedColumnFormula>BT11*BU11</calculatedColumnFormula>
    </tableColumn>
    <tableColumn id="46" xr3:uid="{47BF574B-FBE7-4791-989E-6EDBA7EF370B}" name="Nº11" dataDxfId="126"/>
    <tableColumn id="47" xr3:uid="{22A6CE76-A7F0-4971-893A-EB29FF287AEC}" name="QUANT.11" dataDxfId="125" dataCellStyle="Vírgula"/>
    <tableColumn id="48" xr3:uid="{B1A4424A-9CFD-4591-A296-69AA0423E6A8}" name="C. UNIT11" dataDxfId="124" dataCellStyle="Vírgula"/>
    <tableColumn id="49" xr3:uid="{0239FB00-5051-4AEF-B1EF-6AC19FD76917}" name="C. TOTAL11" dataDxfId="123" dataCellStyle="Vírgula">
      <calculatedColumnFormula>BX11*BY11</calculatedColumnFormula>
    </tableColumn>
    <tableColumn id="50" xr3:uid="{60284B5D-89F7-4C18-9582-DA1F1EE38975}" name="Nº12" dataDxfId="122"/>
    <tableColumn id="51" xr3:uid="{69C3206A-64C1-473F-820F-6B5715F48E4C}" name="QUANT.12" dataDxfId="121" dataCellStyle="Vírgula"/>
    <tableColumn id="52" xr3:uid="{F908DC04-1C6F-4715-97FD-D24370F08458}" name="C. UNIT12" dataDxfId="120" dataCellStyle="Vírgula"/>
    <tableColumn id="53" xr3:uid="{8EFDD6AE-FA45-4BC9-BD82-53E691D785F2}" name="C. TOTAL12" dataDxfId="119" dataCellStyle="Vírgula">
      <calculatedColumnFormula>CB11*CC11</calculatedColumnFormula>
    </tableColumn>
  </tableColumns>
  <tableStyleInfo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146CAB4-FE56-4351-9D75-AAEE582C1BDB}" name="CPU_12" displayName="CPU_12" ref="B10:K62" totalsRowShown="0" headerRowDxfId="118" tableBorderDxfId="117">
  <autoFilter ref="B10:K62" xr:uid="{00000000-0009-0000-0100-000020000000}"/>
  <tableColumns count="10">
    <tableColumn id="1" xr3:uid="{59F04E84-FAE5-4DDC-B33B-F2E88A25C4E6}" name="CODIGO" dataDxfId="116"/>
    <tableColumn id="8" xr3:uid="{A346829A-1987-4C5C-BB84-42834B21056A}" name="SERVIÇO" dataDxfId="115">
      <calculatedColumnFormula>$A$3</calculatedColumnFormula>
    </tableColumn>
    <tableColumn id="9" xr3:uid="{CB091291-643B-41BD-8487-2E3ADB04FBB0}" name="PRODUÇÃO" dataDxfId="114">
      <calculatedColumnFormula>$B$6</calculatedColumnFormula>
    </tableColumn>
    <tableColumn id="10" xr3:uid="{45FF53DB-BD30-4B54-B69D-A5B0AD32D02F}" name="QTDE_TOTAL" dataDxfId="113">
      <calculatedColumnFormula>$B$7</calculatedColumnFormula>
    </tableColumn>
    <tableColumn id="2" xr3:uid="{EDFD0568-994F-45AC-ADEF-D268512F7D38}" name="DESCRIÇÃO" dataDxfId="112"/>
    <tableColumn id="3" xr3:uid="{1A46E873-D8E8-4CCB-ADC6-F9F1DE3FBABA}" name="UNID" dataDxfId="111">
      <calculatedColumnFormula>IFERROR(VLOOKUP(F11,Tabela7[[RECURSO]:[CUSTO]],2,FALSE),"")</calculatedColumnFormula>
    </tableColumn>
    <tableColumn id="7" xr3:uid="{AC9EAB43-2335-4FCD-BC0C-87DE39422672}" name="Nº" dataDxfId="110"/>
    <tableColumn id="4" xr3:uid="{984B1D04-3E4C-4754-A50A-C085D808897C}" name="QUANT." dataDxfId="109"/>
    <tableColumn id="5" xr3:uid="{2D31C453-5D08-409F-B7B4-0FCAD70306FB}" name="C. UNIT" dataDxfId="108" dataCellStyle="Vírgula">
      <calculatedColumnFormula>IFERROR(VLOOKUP(F11,Tabela7[[RECURSO]:[CUSTO]],3,FALSE),0)</calculatedColumnFormula>
    </tableColumn>
    <tableColumn id="6" xr3:uid="{7EB720FA-AF6A-459C-B842-2AEF177FEE3A}" name="C. TOTAL" dataDxfId="107" dataCellStyle="Vírgula">
      <calculatedColumnFormula>IFERROR(VLOOKUP(G11,Tabela7[[RECURSO]:[CUSTO]],3),0)</calculatedColumnFormula>
    </tableColumn>
  </tableColumns>
  <tableStyleInfo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825860C-FCA6-46D5-AE66-6B0D872FE781}" name="Realizado613" displayName="Realizado613" ref="AD10:CD62" totalsRowShown="0" headerRowDxfId="106">
  <autoFilter ref="AD10:CD62" xr:uid="{00000000-0009-0000-0100-000006000000}"/>
  <tableColumns count="53">
    <tableColumn id="1" xr3:uid="{FAADEC86-90BC-4095-9E11-BED9118F9005}" name="serviço" dataDxfId="105">
      <calculatedColumnFormula>$B$3</calculatedColumnFormula>
    </tableColumn>
    <tableColumn id="2" xr3:uid="{4D19AECC-D8A5-4BC8-B3EF-25D95E33854D}" name="Nº" dataDxfId="104"/>
    <tableColumn id="3" xr3:uid="{13EF3019-7417-4CAA-B50D-FBE9244362CB}" name="QUANT." dataDxfId="103" dataCellStyle="Vírgula">
      <calculatedColumnFormula>AJ11+AN11+AR11+AV11+AZ11+BD11+BH11+BL11+BP11+BT11+BX11+CB11</calculatedColumnFormula>
    </tableColumn>
    <tableColumn id="4" xr3:uid="{F688E860-EFA1-4FA2-9F33-8AEA1805C96C}" name="C. UNIT" dataDxfId="102" dataCellStyle="Vírgula">
      <calculatedColumnFormula>IFERROR(AH11/AF11,0)</calculatedColumnFormula>
    </tableColumn>
    <tableColumn id="5" xr3:uid="{91CBA4AF-CDDD-4482-BD12-7F683E2C336F}" name="C. TOTAL" dataDxfId="101" dataCellStyle="Vírgula">
      <calculatedColumnFormula>AL11+AP11+AT11+AX11+BB11+BF11+BJ11+BN11+BR11+BV11+BZ11+CD11</calculatedColumnFormula>
    </tableColumn>
    <tableColumn id="6" xr3:uid="{0A394548-557F-44B5-975D-8EB4E0E7B467}" name="Nº1" dataDxfId="100"/>
    <tableColumn id="7" xr3:uid="{42B47534-DAB0-4686-A959-3D3E29A61649}" name="QUANT.1" dataDxfId="99" dataCellStyle="Vírgula"/>
    <tableColumn id="8" xr3:uid="{219AA84B-BE72-4CAD-83D0-E9BB1D77083B}" name="C. UNIT1" dataDxfId="98" dataCellStyle="Vírgula"/>
    <tableColumn id="9" xr3:uid="{3082C92F-D283-45F9-9163-5BF74102D297}" name="C. TOTAL1" dataDxfId="97" dataCellStyle="Vírgula">
      <calculatedColumnFormula>AJ11*AK11</calculatedColumnFormula>
    </tableColumn>
    <tableColumn id="10" xr3:uid="{7D325176-FFF8-4A74-8FD3-4059D367CD00}" name="Nº2" dataDxfId="96"/>
    <tableColumn id="11" xr3:uid="{19C03803-3AE9-4B39-ACF1-699878DF6C30}" name="QUANT.2" dataDxfId="95" dataCellStyle="Vírgula"/>
    <tableColumn id="12" xr3:uid="{BD2E13DC-4C3F-4A28-940C-1719B2D1A5C1}" name="C. UNIT2" dataDxfId="94" dataCellStyle="Vírgula"/>
    <tableColumn id="13" xr3:uid="{99071F85-C4C4-4427-9AAA-70766832E127}" name="C. TOTAL2" dataDxfId="93" dataCellStyle="Vírgula">
      <calculatedColumnFormula>AN11*AO11</calculatedColumnFormula>
    </tableColumn>
    <tableColumn id="14" xr3:uid="{E35DF808-EC26-4650-84AF-C05EBF20BBC2}" name="Nº3" dataDxfId="92"/>
    <tableColumn id="15" xr3:uid="{008A8598-B391-4AE0-8CB8-7AD19325BCA1}" name="QUANT.3" dataDxfId="91" dataCellStyle="Vírgula"/>
    <tableColumn id="16" xr3:uid="{C8D9AC35-DD95-41C5-90A2-D520B311BE7B}" name="C. UNIT3" dataDxfId="90" dataCellStyle="Vírgula"/>
    <tableColumn id="17" xr3:uid="{063EACCC-FDC3-46E4-9531-1ECF860D9681}" name="C. TOTAL3" dataDxfId="89" dataCellStyle="Vírgula">
      <calculatedColumnFormula>AR11*AS11</calculatedColumnFormula>
    </tableColumn>
    <tableColumn id="18" xr3:uid="{760033B2-475B-41E4-96B2-7180EF8F8DA6}" name="Nº4" dataDxfId="88"/>
    <tableColumn id="19" xr3:uid="{553986C2-DEA3-4263-BD7E-D58D31AD4F6B}" name="QUANT.4" dataDxfId="87" dataCellStyle="Vírgula"/>
    <tableColumn id="20" xr3:uid="{A3FB768B-8DB1-4AE8-95AC-433DA0F975FA}" name="C. UNIT4" dataDxfId="86" dataCellStyle="Vírgula"/>
    <tableColumn id="21" xr3:uid="{24C30428-801B-4936-8E4D-9604DD28ED02}" name="C. TOTAL4" dataDxfId="85" dataCellStyle="Vírgula">
      <calculatedColumnFormula>AV11*AW11</calculatedColumnFormula>
    </tableColumn>
    <tableColumn id="22" xr3:uid="{6A43DBB3-6731-408A-9E5F-9416DF39BA9A}" name="Nº5" dataDxfId="84"/>
    <tableColumn id="23" xr3:uid="{7028EEFD-982E-486E-86D1-AA329BF29B1F}" name="QUANT.5" dataDxfId="83" dataCellStyle="Vírgula"/>
    <tableColumn id="24" xr3:uid="{3226A852-D4E7-4C8B-9D13-76F0A847AFCC}" name="C. UNIT5" dataDxfId="82" dataCellStyle="Vírgula"/>
    <tableColumn id="25" xr3:uid="{D41AEA14-F493-4522-9901-70AA560F9591}" name="C. TOTAL5" dataDxfId="81" dataCellStyle="Vírgula">
      <calculatedColumnFormula>AZ11*BA11</calculatedColumnFormula>
    </tableColumn>
    <tableColumn id="26" xr3:uid="{F09B173C-14D4-4F0B-98FA-D03B3B48415F}" name="Nº6" dataDxfId="80"/>
    <tableColumn id="27" xr3:uid="{516BD2CF-98F7-4A7A-989C-531482D896E2}" name="QUANT.6" dataDxfId="79" dataCellStyle="Vírgula"/>
    <tableColumn id="28" xr3:uid="{3332BA73-FAC4-48A0-AF5D-2BEF963B9E85}" name="C. UNIT6" dataDxfId="78" dataCellStyle="Vírgula"/>
    <tableColumn id="29" xr3:uid="{BC9F6B76-52DD-40F9-A185-D559ED8537AF}" name="C. TOTAL6" dataDxfId="77" dataCellStyle="Vírgula">
      <calculatedColumnFormula>BD11*BE11</calculatedColumnFormula>
    </tableColumn>
    <tableColumn id="30" xr3:uid="{3BD219C6-F0E2-4390-A123-279E2353D4FD}" name="Nº7" dataDxfId="76"/>
    <tableColumn id="31" xr3:uid="{A7B17D34-323D-48C1-A125-B61A296A2401}" name="QUANT.7" dataDxfId="75" dataCellStyle="Vírgula"/>
    <tableColumn id="32" xr3:uid="{F11E78EC-902D-4130-B4A1-2853BB33DA4E}" name="C. UNIT7" dataDxfId="74" dataCellStyle="Vírgula"/>
    <tableColumn id="33" xr3:uid="{1471420D-0AF3-43A5-8AA9-DBA7E765FECF}" name="C. TOTAL7" dataDxfId="73" dataCellStyle="Vírgula">
      <calculatedColumnFormula>BH11*BI11</calculatedColumnFormula>
    </tableColumn>
    <tableColumn id="34" xr3:uid="{4D984AA9-A96F-4B2C-BC44-F6BEB92579C4}" name="Nº8" dataDxfId="72"/>
    <tableColumn id="35" xr3:uid="{480A9BA2-5F31-4108-B5D1-DC84EE919ECC}" name="QUANT.8" dataDxfId="71" dataCellStyle="Vírgula"/>
    <tableColumn id="36" xr3:uid="{DEEF4277-8E85-44AA-B224-9A52D0E02190}" name="C. UNIT8" dataDxfId="70" dataCellStyle="Vírgula"/>
    <tableColumn id="37" xr3:uid="{419C0315-84FE-4273-8B2D-E09BB9BCAB06}" name="C. TOTAL8" dataDxfId="69" dataCellStyle="Vírgula">
      <calculatedColumnFormula>BL11*BM11</calculatedColumnFormula>
    </tableColumn>
    <tableColumn id="38" xr3:uid="{EEDB9DD4-7956-4FC4-8E2D-2021346EBBF8}" name="Nº9" dataDxfId="68"/>
    <tableColumn id="39" xr3:uid="{9DBA499F-DAD8-4276-BAF1-9D50DA7D3BCE}" name="QUANT.9" dataDxfId="67" dataCellStyle="Vírgula"/>
    <tableColumn id="40" xr3:uid="{015B737A-5691-4749-8D3E-4DBF71DF9441}" name="C. UNIT9" dataDxfId="66" dataCellStyle="Vírgula"/>
    <tableColumn id="41" xr3:uid="{333929F5-AF2A-4103-9673-2E25BBA8BF58}" name="C. TOTAL9" dataDxfId="65" dataCellStyle="Vírgula">
      <calculatedColumnFormula>BP11*BQ11</calculatedColumnFormula>
    </tableColumn>
    <tableColumn id="42" xr3:uid="{758A2FC2-1A43-464A-ABDA-3F5346AB81E2}" name="Nº10" dataDxfId="64"/>
    <tableColumn id="43" xr3:uid="{2BE3E1A0-2B3F-4FC8-B2A9-5D7D7E256B40}" name="QUANT.10" dataDxfId="63" dataCellStyle="Vírgula"/>
    <tableColumn id="44" xr3:uid="{DA055B69-8C76-4EBB-8A8C-E57CAE7EBDB8}" name="C. UNIT10" dataDxfId="62" dataCellStyle="Vírgula"/>
    <tableColumn id="45" xr3:uid="{41D20F6A-AF6D-40ED-9232-024D950B051A}" name="C. TOTAL10" dataDxfId="61" dataCellStyle="Vírgula">
      <calculatedColumnFormula>BT11*BU11</calculatedColumnFormula>
    </tableColumn>
    <tableColumn id="46" xr3:uid="{52D24884-5BF1-4131-811E-651A0A89D9C2}" name="Nº11" dataDxfId="60"/>
    <tableColumn id="47" xr3:uid="{0364225E-2623-489A-902B-DBF24B1F15F9}" name="QUANT.11" dataDxfId="59" dataCellStyle="Vírgula"/>
    <tableColumn id="48" xr3:uid="{F50351A6-95CE-4415-B105-1AEA16049024}" name="C. UNIT11" dataDxfId="58" dataCellStyle="Vírgula"/>
    <tableColumn id="49" xr3:uid="{EB07CBC4-A9F5-4C7A-811F-FE86419C5CE7}" name="C. TOTAL11" dataDxfId="57" dataCellStyle="Vírgula">
      <calculatedColumnFormula>BX11*BY11</calculatedColumnFormula>
    </tableColumn>
    <tableColumn id="50" xr3:uid="{5482B665-DC11-4823-9F55-BD95B1ED9DF6}" name="Nº12" dataDxfId="56"/>
    <tableColumn id="51" xr3:uid="{902A2B7E-FA58-4ADB-A664-027CA999A83B}" name="QUANT.12" dataDxfId="55" dataCellStyle="Vírgula"/>
    <tableColumn id="52" xr3:uid="{8C78782A-FD90-40A5-9746-745E8348B388}" name="C. UNIT12" dataDxfId="54" dataCellStyle="Vírgula"/>
    <tableColumn id="53" xr3:uid="{B5810F38-3646-4C8A-8243-4A4BA58F7E40}" name="C. TOTAL12" dataDxfId="53" dataCellStyle="Vírgula">
      <calculatedColumnFormula>CB11*CC11</calculatedColumnFormula>
    </tableColumn>
  </tableColumns>
  <tableStyleInfo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FAD9843-C8B3-42BA-A679-13938CCD7A51}" name="Tabela10" displayName="Tabela10" ref="A3:C4" totalsRowShown="0" headerRowDxfId="52" dataDxfId="51">
  <autoFilter ref="A3:C4" xr:uid="{1FAD9843-C8B3-42BA-A679-13938CCD7A51}"/>
  <tableColumns count="3">
    <tableColumn id="1" xr3:uid="{153BFE21-FD54-4954-9E63-2A7A351CDAB4}" name="Item" dataDxfId="50"/>
    <tableColumn id="2" xr3:uid="{5FC72F8A-EDA5-4FEA-A133-2E4639E7049D}" name="Descrição" dataDxfId="49"/>
    <tableColumn id="3" xr3:uid="{39919E2E-6BBB-469D-AF28-2BF809A3499A}" name="Observação" dataDxfId="48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ela1" displayName="Tabela1" ref="A1:F71" totalsRowShown="0" headerRowDxfId="47" dataDxfId="46" tableBorderDxfId="45">
  <autoFilter ref="A1:F71" xr:uid="{00000000-0009-0000-0100-000001000000}"/>
  <tableColumns count="6">
    <tableColumn id="1" xr3:uid="{00000000-0010-0000-0300-000001000000}" name="SERVICO" dataDxfId="44"/>
    <tableColumn id="6" xr3:uid="{00000000-0010-0000-0300-000006000000}" name="NOME SERVIÇO" dataDxfId="43">
      <calculatedColumnFormula>IF(Tabela1[[#This Row],[SERVICO]]=Tabela1[[#This Row],[ETAPA]],Tabela1[[#This Row],[SERVICO]],RIGHT(Tabela1[[#This Row],[SERVICO]],LEN(Tabela1[[#This Row],[SERVICO]])-9))</calculatedColumnFormula>
    </tableColumn>
    <tableColumn id="2" xr3:uid="{00000000-0010-0000-0300-000002000000}" name="ETAPA" dataDxfId="42"/>
    <tableColumn id="5" xr3:uid="{00000000-0010-0000-0300-000005000000}" name="ETAPA/SERVICO" dataDxfId="41">
      <calculatedColumnFormula>IF(Tabela1[[#This Row],[SERVICO]]=Tabela1[[#This Row],[ETAPA]],2,1)</calculatedColumnFormula>
    </tableColumn>
    <tableColumn id="3" xr3:uid="{00000000-0010-0000-0300-000003000000}" name="UNID" dataDxfId="40"/>
    <tableColumn id="4" xr3:uid="{00000000-0010-0000-0300-000004000000}" name="Utilização" dataDxfId="39"/>
  </tableColumns>
  <tableStyleInfo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Tabela7" displayName="Tabela7" ref="A1:D112" totalsRowShown="0">
  <autoFilter ref="A1:D112" xr:uid="{00000000-0009-0000-0100-000007000000}"/>
  <tableColumns count="4">
    <tableColumn id="1" xr3:uid="{00000000-0010-0000-0400-000001000000}" name="GRUPO"/>
    <tableColumn id="2" xr3:uid="{00000000-0010-0000-0400-000002000000}" name="RECURSO" dataDxfId="38"/>
    <tableColumn id="3" xr3:uid="{00000000-0010-0000-0400-000003000000}" name="UNID"/>
    <tableColumn id="4" xr3:uid="{00000000-0010-0000-0400-000004000000}" name="CUSTO"/>
  </tableColumns>
  <tableStyleInfo name="TableStyleLight9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fOrcamento" displayName="fOrcamento" ref="A1:O1999" tableType="queryTable" totalsRowShown="0" headerRowDxfId="37" dataDxfId="36">
  <autoFilter ref="A1:O1999" xr:uid="{00000000-000C-0000-FFFF-FFFF05000000}"/>
  <tableColumns count="15">
    <tableColumn id="31" xr3:uid="{A87F6501-E269-4ED8-A507-5A86B5C042AE}" uniqueName="31" name="AUX" queryTableFieldId="1" dataDxfId="35"/>
    <tableColumn id="32" xr3:uid="{6055BA7D-6F1A-4A61-84CB-9D2BDAF99F8C}" uniqueName="32" name="AGRUPADOR" queryTableFieldId="2" dataDxfId="34"/>
    <tableColumn id="33" xr3:uid="{0E7CBE30-19FF-4367-8BB1-37FBE77E8FFB}" uniqueName="33" name="DESCRIÇÃO AGRUPADOR" queryTableFieldId="3" dataDxfId="33"/>
    <tableColumn id="34" xr3:uid="{2C3B35DE-33CD-4039-BA74-B69AF1A1C3C5}" uniqueName="34" name="UNID. AGRUPADOR" queryTableFieldId="4" dataDxfId="32"/>
    <tableColumn id="35" xr3:uid="{514DCCB7-419B-4BCC-BB0C-CE90D9806717}" uniqueName="35" name="ITEM" queryTableFieldId="5" dataDxfId="31"/>
    <tableColumn id="36" xr3:uid="{D1B1D047-B49B-4DA7-9BE7-12318EC4B9F2}" uniqueName="36" name="DESCRIÇÃO" queryTableFieldId="6" dataDxfId="30"/>
    <tableColumn id="37" xr3:uid="{662A0AFE-9CFD-4859-B739-F7AF0928B8E9}" uniqueName="37" name="UNID." queryTableFieldId="7" dataDxfId="29"/>
    <tableColumn id="38" xr3:uid="{CB8A0746-1603-426A-B3D5-0D09D4895BE0}" uniqueName="38" name="K" queryTableFieldId="8" dataDxfId="28"/>
    <tableColumn id="39" xr3:uid="{6D827689-1DC7-48F1-817A-CBFBD74D27D6}" uniqueName="39" name="QUANT." queryTableFieldId="9" dataDxfId="27"/>
    <tableColumn id="40" xr3:uid="{BADA138F-E1BC-407B-B073-B2908FF9CD4D}" uniqueName="40" name="VENDA UNIT" queryTableFieldId="10" dataDxfId="26"/>
    <tableColumn id="41" xr3:uid="{DEAB0821-AF75-4DDA-8DA3-B9B31BD850D4}" uniqueName="41" name="VENDA TOTAL" queryTableFieldId="11" dataDxfId="25"/>
    <tableColumn id="42" xr3:uid="{DD32283D-A38E-428B-B97A-C6531ACCA184}" uniqueName="42" name="CUSTO UNIT" queryTableFieldId="12" dataDxfId="24"/>
    <tableColumn id="43" xr3:uid="{A518DA0F-8EC7-4AD5-A86C-7A43D885FC68}" uniqueName="43" name="CUSTO TOTAL" queryTableFieldId="13" dataDxfId="23"/>
    <tableColumn id="44" xr3:uid="{AF681D59-D110-442F-ACEE-D272AD1E18A1}" uniqueName="44" name="LUCR %" queryTableFieldId="14" dataDxfId="22"/>
    <tableColumn id="45" xr3:uid="{B0D5868A-417A-4CD6-B00A-906E3719B3C3}" uniqueName="45" name="QUANT_X_K" queryTableFieldId="15" dataDxfId="21"/>
  </tableColumns>
  <tableStyleInfo name="TableStyleQueryResult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fServico" displayName="fServico" ref="A1:F31" tableType="queryTable" totalsRowShown="0" headerRowDxfId="20" dataDxfId="19">
  <autoFilter ref="A1:F31" xr:uid="{00000000-000C-0000-FFFF-FFFF06000000}"/>
  <tableColumns count="6">
    <tableColumn id="13" xr3:uid="{C335251D-11DC-4C95-BEDE-8FBC9AB9C1CB}" uniqueName="13" name="SERVICO" queryTableFieldId="1" dataDxfId="18"/>
    <tableColumn id="14" xr3:uid="{AADBAA26-40C9-48E7-9CDA-ECD216F2FF2A}" uniqueName="14" name="NOME SERVIÇO" queryTableFieldId="2" dataDxfId="17"/>
    <tableColumn id="15" xr3:uid="{4A6F4F15-3E4A-4A59-960F-76D94830E754}" uniqueName="15" name="ETAPA" queryTableFieldId="3" dataDxfId="16"/>
    <tableColumn id="16" xr3:uid="{55F7B2AB-2922-4388-8DF1-75272B2A4BF4}" uniqueName="16" name="ETAPA/SERVICO" queryTableFieldId="4" dataDxfId="15"/>
    <tableColumn id="17" xr3:uid="{64A10FC2-DB1B-464E-9BC3-B8E703226747}" uniqueName="17" name="UNID" queryTableFieldId="5" dataDxfId="14"/>
    <tableColumn id="18" xr3:uid="{62015765-66D0-469C-8EC1-89EFB11E9CF5}" uniqueName="18" name="Utilização" queryTableFieldId="6" dataDxfId="13"/>
  </tableColumns>
  <tableStyleInfo name="TableStyleQueryResult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2995886-67E2-48D2-9630-E613BA84398A}" name="fAbc" displayName="fAbc" ref="A1:N180" tableType="queryTable" totalsRowShown="0">
  <autoFilter ref="A1:N180" xr:uid="{62995886-67E2-48D2-9630-E613BA84398A}"/>
  <tableColumns count="14">
    <tableColumn id="1" xr3:uid="{BA801F4C-2768-4FC7-AE23-09794A7D58FF}" uniqueName="1" name="CODIGO" queryTableFieldId="1"/>
    <tableColumn id="2" xr3:uid="{94794A60-AFA7-44FD-8003-0A8C23779041}" uniqueName="2" name="SERVIÇO" queryTableFieldId="2"/>
    <tableColumn id="3" xr3:uid="{0BBD0B16-8BBD-4834-8525-FAE5F7F99ABB}" uniqueName="3" name="PRODUÇÃO" queryTableFieldId="3"/>
    <tableColumn id="4" xr3:uid="{B214A42C-F56D-40B4-85A3-01EE9234669E}" uniqueName="4" name="QTDE_TOTAL" queryTableFieldId="4"/>
    <tableColumn id="5" xr3:uid="{FD1EB3B6-9413-4793-95F0-A8E2D1648980}" uniqueName="5" name="DESCRIÇÃO" queryTableFieldId="5"/>
    <tableColumn id="6" xr3:uid="{18916EA8-2FE0-40A6-AA19-8ED3C50303D1}" uniqueName="6" name="UNID" queryTableFieldId="6"/>
    <tableColumn id="7" xr3:uid="{656B4372-3E2B-48E5-BEC3-ADCCEFAE6E7D}" uniqueName="7" name="Nº" queryTableFieldId="7"/>
    <tableColumn id="8" xr3:uid="{16371A37-4F1D-43E4-8D22-2F9B3CE1BA82}" uniqueName="8" name="QUANT." queryTableFieldId="8"/>
    <tableColumn id="9" xr3:uid="{4838BBE7-9166-4CF8-B824-3E7062CFB0A8}" uniqueName="9" name="C. UNIT" queryTableFieldId="9"/>
    <tableColumn id="10" xr3:uid="{1A69EEDE-4DAD-4F65-8AC8-FD7121798E8C}" uniqueName="10" name="C. TOTAL" queryTableFieldId="10"/>
    <tableColumn id="11" xr3:uid="{E3937352-C2A3-4A23-BD57-6EA6972D6E49}" uniqueName="11" name="Name" queryTableFieldId="11"/>
    <tableColumn id="12" xr3:uid="{7CCE38DE-AA9E-48A1-BDF0-8732DDB63B63}" uniqueName="12" name="QTDE" queryTableFieldId="12"/>
    <tableColumn id="13" xr3:uid="{560AAD7A-61F3-476C-AECF-3485E619F969}" uniqueName="13" name="CUSTO_TOTAL" queryTableFieldId="13"/>
    <tableColumn id="14" xr3:uid="{1C02D9F0-F7F1-4264-8130-9A6580651482}" uniqueName="14" name="GRUPO" queryTableField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3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4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5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6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7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mments" Target="../comments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9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mments" Target="../comments10.xml"/><Relationship Id="rId5" Type="http://schemas.openxmlformats.org/officeDocument/2006/relationships/table" Target="../tables/table21.xml"/><Relationship Id="rId4" Type="http://schemas.openxmlformats.org/officeDocument/2006/relationships/table" Target="../tables/table2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omments" Target="../comments11.xml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12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13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6" Type="http://schemas.openxmlformats.org/officeDocument/2006/relationships/comments" Target="../comments14.xml"/><Relationship Id="rId5" Type="http://schemas.openxmlformats.org/officeDocument/2006/relationships/table" Target="../tables/table29.xml"/><Relationship Id="rId4" Type="http://schemas.openxmlformats.org/officeDocument/2006/relationships/table" Target="../tables/table2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Relationship Id="rId6" Type="http://schemas.openxmlformats.org/officeDocument/2006/relationships/comments" Target="../comments15.xml"/><Relationship Id="rId5" Type="http://schemas.openxmlformats.org/officeDocument/2006/relationships/table" Target="../tables/table31.xml"/><Relationship Id="rId4" Type="http://schemas.openxmlformats.org/officeDocument/2006/relationships/table" Target="../tables/table3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Relationship Id="rId6" Type="http://schemas.openxmlformats.org/officeDocument/2006/relationships/comments" Target="../comments16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Relationship Id="rId6" Type="http://schemas.openxmlformats.org/officeDocument/2006/relationships/comments" Target="../comments17.xml"/><Relationship Id="rId5" Type="http://schemas.openxmlformats.org/officeDocument/2006/relationships/table" Target="../tables/table35.xml"/><Relationship Id="rId4" Type="http://schemas.openxmlformats.org/officeDocument/2006/relationships/table" Target="../tables/table3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6" Type="http://schemas.openxmlformats.org/officeDocument/2006/relationships/comments" Target="../comments18.xml"/><Relationship Id="rId5" Type="http://schemas.openxmlformats.org/officeDocument/2006/relationships/table" Target="../tables/table37.xml"/><Relationship Id="rId4" Type="http://schemas.openxmlformats.org/officeDocument/2006/relationships/table" Target="../tables/table3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19.xml"/><Relationship Id="rId5" Type="http://schemas.openxmlformats.org/officeDocument/2006/relationships/table" Target="../tables/table39.xml"/><Relationship Id="rId4" Type="http://schemas.openxmlformats.org/officeDocument/2006/relationships/table" Target="../tables/table38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3.bin"/><Relationship Id="rId6" Type="http://schemas.openxmlformats.org/officeDocument/2006/relationships/comments" Target="../comments20.xml"/><Relationship Id="rId5" Type="http://schemas.openxmlformats.org/officeDocument/2006/relationships/table" Target="../tables/table41.xml"/><Relationship Id="rId4" Type="http://schemas.openxmlformats.org/officeDocument/2006/relationships/table" Target="../tables/table40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4.bin"/><Relationship Id="rId6" Type="http://schemas.openxmlformats.org/officeDocument/2006/relationships/comments" Target="../comments21.xml"/><Relationship Id="rId5" Type="http://schemas.openxmlformats.org/officeDocument/2006/relationships/table" Target="../tables/table43.xml"/><Relationship Id="rId4" Type="http://schemas.openxmlformats.org/officeDocument/2006/relationships/table" Target="../tables/table4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5.bin"/><Relationship Id="rId6" Type="http://schemas.openxmlformats.org/officeDocument/2006/relationships/comments" Target="../comments22.xml"/><Relationship Id="rId5" Type="http://schemas.openxmlformats.org/officeDocument/2006/relationships/table" Target="../tables/table45.xml"/><Relationship Id="rId4" Type="http://schemas.openxmlformats.org/officeDocument/2006/relationships/table" Target="../tables/table4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6.bin"/><Relationship Id="rId6" Type="http://schemas.openxmlformats.org/officeDocument/2006/relationships/comments" Target="../comments23.xml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7.bin"/><Relationship Id="rId6" Type="http://schemas.openxmlformats.org/officeDocument/2006/relationships/comments" Target="../comments24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25.xml"/><Relationship Id="rId5" Type="http://schemas.openxmlformats.org/officeDocument/2006/relationships/table" Target="../tables/table51.xml"/><Relationship Id="rId4" Type="http://schemas.openxmlformats.org/officeDocument/2006/relationships/table" Target="../tables/table50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9.bin"/><Relationship Id="rId6" Type="http://schemas.openxmlformats.org/officeDocument/2006/relationships/comments" Target="../comments26.xml"/><Relationship Id="rId5" Type="http://schemas.openxmlformats.org/officeDocument/2006/relationships/table" Target="../tables/table53.xml"/><Relationship Id="rId4" Type="http://schemas.openxmlformats.org/officeDocument/2006/relationships/table" Target="../tables/table5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7.xml"/><Relationship Id="rId5" Type="http://schemas.openxmlformats.org/officeDocument/2006/relationships/table" Target="../tables/table55.xml"/><Relationship Id="rId4" Type="http://schemas.openxmlformats.org/officeDocument/2006/relationships/table" Target="../tables/table5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8.xml"/><Relationship Id="rId5" Type="http://schemas.openxmlformats.org/officeDocument/2006/relationships/table" Target="../tables/table57.xml"/><Relationship Id="rId4" Type="http://schemas.openxmlformats.org/officeDocument/2006/relationships/table" Target="../tables/table56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8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9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38.xml"/><Relationship Id="rId4" Type="http://schemas.openxmlformats.org/officeDocument/2006/relationships/comments" Target="../comments2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0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2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1.xml"/><Relationship Id="rId1" Type="http://schemas.openxmlformats.org/officeDocument/2006/relationships/printerSettings" Target="../printerSettings/printerSettings33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ivotTable" Target="../pivotTables/pivotTable3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1"/>
  <dimension ref="F1:P32"/>
  <sheetViews>
    <sheetView showGridLines="0" showRowColHeaders="0" zoomScaleNormal="100" workbookViewId="0"/>
  </sheetViews>
  <sheetFormatPr defaultRowHeight="14.4" x14ac:dyDescent="0.3"/>
  <cols>
    <col min="1" max="1" width="8.88671875" customWidth="1"/>
    <col min="2" max="2" width="12.5546875" customWidth="1"/>
    <col min="3" max="4" width="8.88671875" customWidth="1"/>
    <col min="5" max="18" width="9.6640625" customWidth="1"/>
  </cols>
  <sheetData>
    <row r="1" spans="6:16" ht="40.200000000000003" customHeight="1" x14ac:dyDescent="0.3"/>
    <row r="15" spans="6:16" ht="18" x14ac:dyDescent="0.35">
      <c r="F15" s="404" t="s">
        <v>0</v>
      </c>
      <c r="G15" s="404"/>
      <c r="H15" s="404"/>
      <c r="J15" s="404" t="s">
        <v>1</v>
      </c>
      <c r="K15" s="404"/>
      <c r="L15" s="404"/>
      <c r="N15" s="406" t="s">
        <v>2</v>
      </c>
      <c r="O15" s="406"/>
      <c r="P15" s="406"/>
    </row>
    <row r="16" spans="6:16" ht="18" x14ac:dyDescent="0.35">
      <c r="N16" s="406" t="s">
        <v>3</v>
      </c>
      <c r="O16" s="406"/>
      <c r="P16" s="406"/>
    </row>
    <row r="29" spans="6:16" ht="18" x14ac:dyDescent="0.35">
      <c r="F29" s="404" t="s">
        <v>4</v>
      </c>
      <c r="G29" s="404"/>
      <c r="H29" s="404"/>
      <c r="J29" s="404" t="s">
        <v>5</v>
      </c>
      <c r="K29" s="404"/>
      <c r="L29" s="404"/>
      <c r="N29" s="404" t="s">
        <v>6</v>
      </c>
      <c r="O29" s="404"/>
      <c r="P29" s="404"/>
    </row>
    <row r="30" spans="6:16" ht="4.95" customHeight="1" x14ac:dyDescent="0.3">
      <c r="F30" s="405"/>
      <c r="G30" s="405"/>
      <c r="H30" s="405"/>
    </row>
    <row r="31" spans="6:16" ht="18" x14ac:dyDescent="0.35">
      <c r="J31" s="404" t="s">
        <v>7</v>
      </c>
      <c r="K31" s="404"/>
      <c r="L31" s="404"/>
      <c r="N31" s="404" t="s">
        <v>8</v>
      </c>
      <c r="O31" s="404"/>
      <c r="P31" s="404"/>
    </row>
    <row r="32" spans="6:16" ht="18" x14ac:dyDescent="0.35">
      <c r="J32" s="404" t="s">
        <v>9</v>
      </c>
      <c r="K32" s="404"/>
      <c r="L32" s="404"/>
      <c r="N32" s="404" t="s">
        <v>10</v>
      </c>
      <c r="O32" s="404"/>
      <c r="P32" s="404"/>
    </row>
  </sheetData>
  <mergeCells count="12">
    <mergeCell ref="N32:P32"/>
    <mergeCell ref="N31:P31"/>
    <mergeCell ref="F30:H30"/>
    <mergeCell ref="J29:L29"/>
    <mergeCell ref="F15:H15"/>
    <mergeCell ref="J15:L15"/>
    <mergeCell ref="N15:P15"/>
    <mergeCell ref="F29:H29"/>
    <mergeCell ref="N29:P29"/>
    <mergeCell ref="J31:L31"/>
    <mergeCell ref="N16:P16"/>
    <mergeCell ref="J32:L32"/>
  </mergeCells>
  <hyperlinks>
    <hyperlink ref="J29:L29" location="PARAMETROS!A1" display="Parâmetros do Projeto" xr:uid="{00000000-0004-0000-0000-000000000000}"/>
    <hyperlink ref="N29:P29" location="Cadastro_Recursos!A1" display="Cadastro Recursos" xr:uid="{00000000-0004-0000-0000-000001000000}"/>
    <hyperlink ref="N31:P31" location="Cadastro_Resumo_Agrupamento!A1" display="Cadastro Agrupadores" xr:uid="{00000000-0004-0000-0000-000002000000}"/>
    <hyperlink ref="J31:L31" location="Calendario!A1" display="Calendário" xr:uid="{64F1910B-E17B-4CD7-BFD7-6CBBCF1568B9}"/>
    <hyperlink ref="N32:P32" location="Premissas!A1" display="Premissas" xr:uid="{A8F60301-3247-4232-BEF4-21B2841443B2}"/>
    <hyperlink ref="N16:P16" location="ABC!A1" display="ABC Insumos" xr:uid="{F9C83028-61B5-412D-8096-68A748491FEE}"/>
    <hyperlink ref="N15:P15" location="Lucratividade!A1" display="Quadro Lucratividade" xr:uid="{9116CEBB-085A-45D0-8CBF-E57642CB8CD6}"/>
    <hyperlink ref="J32:L32" location="ORGANOGRAMA!A1" display="Organograma" xr:uid="{EDA986E4-5D8D-4E9B-BC70-B40240B8EE46}"/>
  </hyperlink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1:AM2001"/>
  <sheetViews>
    <sheetView showGridLines="0" zoomScale="115" zoomScaleNormal="115" workbookViewId="0">
      <pane xSplit="12" ySplit="3" topLeftCell="M10" activePane="bottomRight" state="frozen"/>
      <selection pane="topRight" activeCell="C28" activeCellId="1" sqref="E13 C28"/>
      <selection pane="bottomLeft" activeCell="C28" activeCellId="1" sqref="E13 C28"/>
      <selection pane="bottomRight" activeCell="K14" sqref="K14"/>
    </sheetView>
  </sheetViews>
  <sheetFormatPr defaultColWidth="8.88671875" defaultRowHeight="25.2" customHeight="1" x14ac:dyDescent="0.3"/>
  <cols>
    <col min="1" max="1" width="4.6640625" style="2" customWidth="1"/>
    <col min="2" max="2" width="6.33203125" style="8" customWidth="1"/>
    <col min="3" max="4" width="16.44140625" style="19" customWidth="1"/>
    <col min="5" max="5" width="11.5546875" style="19" customWidth="1"/>
    <col min="6" max="6" width="12.5546875" style="2" customWidth="1"/>
    <col min="7" max="7" width="44.6640625" style="2" customWidth="1"/>
    <col min="8" max="8" width="7.6640625" style="2" customWidth="1"/>
    <col min="9" max="9" width="5.6640625" style="8" customWidth="1"/>
    <col min="10" max="11" width="13.6640625" style="2" customWidth="1"/>
    <col min="12" max="12" width="14.5546875" style="2" bestFit="1" customWidth="1"/>
    <col min="13" max="14" width="13.6640625" style="2" customWidth="1"/>
    <col min="15" max="16" width="8.88671875" style="2"/>
    <col min="17" max="17" width="10.44140625" style="2" bestFit="1" customWidth="1"/>
    <col min="18" max="18" width="9.33203125" style="2" bestFit="1" customWidth="1"/>
    <col min="19" max="19" width="14.33203125" style="2" bestFit="1" customWidth="1"/>
    <col min="20" max="26" width="8.88671875" style="2"/>
    <col min="27" max="39" width="13.6640625" style="2" customWidth="1"/>
    <col min="40" max="16384" width="8.88671875" style="2"/>
  </cols>
  <sheetData>
    <row r="1" spans="2:39" ht="14.4" customHeight="1" x14ac:dyDescent="0.3"/>
    <row r="2" spans="2:39" ht="27" customHeight="1" x14ac:dyDescent="0.3">
      <c r="C2" s="78" t="s">
        <v>0</v>
      </c>
      <c r="J2" s="24"/>
      <c r="K2" s="8"/>
      <c r="L2" s="80">
        <f>1-SUMIFS(Tabela2[VENDA TOTAL],Tabela2[AGRUPADOR],"",Tabela2[QUANT.],"&gt;0 ")/SUMIFS(Tabela2[VENDA TOTAL],Tabela2[QUANT.], "&gt;0")</f>
        <v>1</v>
      </c>
      <c r="Q2" s="2" t="s">
        <v>11</v>
      </c>
      <c r="R2" s="382">
        <f>1.06072*(1+0.044414+0.0125)</f>
        <v>1.12108981808</v>
      </c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</row>
    <row r="3" spans="2:39" ht="25.2" customHeight="1" x14ac:dyDescent="0.3">
      <c r="B3" s="16" t="s">
        <v>12</v>
      </c>
      <c r="C3" s="17" t="s">
        <v>13</v>
      </c>
      <c r="D3" s="17" t="s">
        <v>14</v>
      </c>
      <c r="E3" s="17" t="s">
        <v>15</v>
      </c>
      <c r="F3" s="17" t="s">
        <v>16</v>
      </c>
      <c r="G3" s="17" t="s">
        <v>17</v>
      </c>
      <c r="H3" s="17" t="s">
        <v>18</v>
      </c>
      <c r="I3" s="16" t="s">
        <v>19</v>
      </c>
      <c r="J3" s="17" t="s">
        <v>20</v>
      </c>
      <c r="K3" s="17" t="s">
        <v>21</v>
      </c>
      <c r="L3" s="17" t="s">
        <v>22</v>
      </c>
      <c r="M3" s="160" t="s">
        <v>23</v>
      </c>
      <c r="N3" s="160" t="s">
        <v>24</v>
      </c>
      <c r="O3" s="160" t="s">
        <v>25</v>
      </c>
      <c r="AA3" s="200" t="s">
        <v>26</v>
      </c>
      <c r="AB3" s="201" t="s">
        <v>27</v>
      </c>
      <c r="AC3" s="201" t="s">
        <v>28</v>
      </c>
      <c r="AD3" s="201" t="s">
        <v>29</v>
      </c>
      <c r="AE3" s="201" t="s">
        <v>30</v>
      </c>
      <c r="AF3" s="201" t="s">
        <v>31</v>
      </c>
      <c r="AG3" s="201" t="s">
        <v>32</v>
      </c>
      <c r="AH3" s="201" t="s">
        <v>33</v>
      </c>
      <c r="AI3" s="201" t="s">
        <v>34</v>
      </c>
      <c r="AJ3" s="201" t="s">
        <v>35</v>
      </c>
      <c r="AK3" s="201" t="s">
        <v>36</v>
      </c>
      <c r="AL3" s="201" t="s">
        <v>37</v>
      </c>
      <c r="AM3" s="201" t="s">
        <v>38</v>
      </c>
    </row>
    <row r="4" spans="2:39" ht="25.2" customHeight="1" x14ac:dyDescent="0.3">
      <c r="B4" s="299">
        <f t="shared" ref="B4:B67" si="0">IF(LEN(F4)=3,1,"")</f>
        <v>1</v>
      </c>
      <c r="C4" s="18"/>
      <c r="D4" s="19" t="str">
        <f>IF(Tabela2[[#This Row],[AGRUPADOR]]&lt;&gt;"",VLOOKUP(Tabela2[[#This Row],[AGRUPADOR]],Tabela1[],2,0),"")</f>
        <v/>
      </c>
      <c r="E4" s="19" t="str">
        <f>IF(Tabela2[[#This Row],[AGRUPADOR]]&lt;&gt;"",VLOOKUP(Tabela2[[#This Row],[AGRUPADOR]],Tabela1[],4,0),"")</f>
        <v/>
      </c>
      <c r="F4" s="300" t="s">
        <v>39</v>
      </c>
      <c r="G4" s="301" t="s">
        <v>40</v>
      </c>
      <c r="H4" s="302"/>
      <c r="I4" s="299"/>
      <c r="J4" s="303" t="s">
        <v>41</v>
      </c>
      <c r="K4" s="304"/>
      <c r="L4" s="377">
        <f>IF(H4&lt;&gt;"",J4*K4,SUMIFS(L5:L$9844,$F5:$F$9844,"*"&amp;F4&amp;"*",$H5:$H$9844,"&lt;&gt;"))</f>
        <v>6028987.8998399992</v>
      </c>
      <c r="M4" s="377" t="str">
        <f>IF(Tabela2[[#This Row],[UNID.]]&lt;&gt;"",IFERROR(VLOOKUP(Tabela2[[#This Row],[AGRUPADOR]],Lucratividade!$D$4:$O$129,6,0),0),"")</f>
        <v/>
      </c>
      <c r="N4" s="377">
        <f ca="1">IF(H4&lt;&gt;"",J4*M4*I4,SUMIFS(N5:N$9844,$F5:$F$9844,"*"&amp;F4&amp;"*",$H5:$H$9844,"&lt;&gt;"))</f>
        <v>4238482.6487999996</v>
      </c>
      <c r="O4" s="305">
        <f ca="1">IFERROR((-Tabela2[[#This Row],[CUSTO TOTAL]]+Tabela2[[#This Row],[VENDA TOTAL]])/Tabela2[[#This Row],[VENDA TOTAL]]-PARAMETROS!$C$19,"")</f>
        <v>0.14618272426247811</v>
      </c>
      <c r="AA4" s="217">
        <f>SUM(Plan_Orc[[#This Row],[01/jan]:[01/dez]])</f>
        <v>0</v>
      </c>
      <c r="AB4" s="113"/>
      <c r="AC4" s="113"/>
      <c r="AD4" s="113"/>
      <c r="AE4" s="113"/>
      <c r="AF4" s="113"/>
      <c r="AG4" s="113"/>
      <c r="AH4" s="113"/>
      <c r="AI4" s="113"/>
      <c r="AJ4" s="113"/>
      <c r="AK4" s="113"/>
      <c r="AL4" s="113"/>
      <c r="AM4" s="113"/>
    </row>
    <row r="5" spans="2:39" ht="25.2" customHeight="1" x14ac:dyDescent="0.3">
      <c r="B5" s="10" t="str">
        <f t="shared" si="0"/>
        <v/>
      </c>
      <c r="C5" s="306"/>
      <c r="D5" s="310" t="str">
        <f>IF(Tabela2[[#This Row],[AGRUPADOR]]&lt;&gt;"",VLOOKUP(Tabela2[[#This Row],[AGRUPADOR]],Tabela1[],2,0),"")</f>
        <v/>
      </c>
      <c r="E5" s="310" t="str">
        <f>IF(Tabela2[[#This Row],[AGRUPADOR]]&lt;&gt;"",VLOOKUP(Tabela2[[#This Row],[AGRUPADOR]],Tabela1[],4,0),"")</f>
        <v/>
      </c>
      <c r="F5" s="11" t="s">
        <v>42</v>
      </c>
      <c r="G5" s="4" t="s">
        <v>43</v>
      </c>
      <c r="H5" s="5"/>
      <c r="I5" s="10"/>
      <c r="J5" s="307"/>
      <c r="K5" s="308"/>
      <c r="L5" s="378">
        <f>IF(H5&lt;&gt;"",J5*K5,SUMIFS(L6:L$9844,$F6:$F$9844,"*"&amp;F5&amp;"*",$H6:$H$9844,"&lt;&gt;"))</f>
        <v>0</v>
      </c>
      <c r="M5" s="378" t="str">
        <f>IF(Tabela2[[#This Row],[UNID.]]&lt;&gt;"",IFERROR(VLOOKUP(Tabela2[[#This Row],[AGRUPADOR]],Lucratividade!$D$4:$O$129,6,0),0),"")</f>
        <v/>
      </c>
      <c r="N5" s="378">
        <f>IF(H5&lt;&gt;"",J5*M5*I5,SUMIFS(N6:N$9844,$F6:$F$9844,"*"&amp;F5&amp;"*",$H6:$H$9844,"&lt;&gt;"))</f>
        <v>0</v>
      </c>
      <c r="O5" s="309" t="str">
        <f>IFERROR((-Tabela2[[#This Row],[CUSTO TOTAL]]+Tabela2[[#This Row],[VENDA TOTAL]])/Tabela2[[#This Row],[VENDA TOTAL]]-PARAMETROS!$C$19,"")</f>
        <v/>
      </c>
      <c r="AA5" s="218">
        <f>SUM(Plan_Orc[[#This Row],[01/jan]:[01/dez]])</f>
        <v>0</v>
      </c>
      <c r="AB5" s="214"/>
      <c r="AC5" s="214"/>
      <c r="AD5" s="214"/>
      <c r="AE5" s="214"/>
      <c r="AF5" s="214"/>
      <c r="AG5" s="214"/>
      <c r="AH5" s="214"/>
      <c r="AI5" s="214"/>
      <c r="AJ5" s="214"/>
      <c r="AK5" s="214"/>
      <c r="AL5" s="214"/>
      <c r="AM5" s="214"/>
    </row>
    <row r="6" spans="2:39" ht="25.2" customHeight="1" x14ac:dyDescent="0.3">
      <c r="B6" s="13" t="str">
        <f t="shared" si="0"/>
        <v/>
      </c>
      <c r="C6" s="18" t="s">
        <v>44</v>
      </c>
      <c r="D6" s="19" t="str">
        <f>IF(Tabela2[[#This Row],[AGRUPADOR]]&lt;&gt;"",VLOOKUP(Tabela2[[#This Row],[AGRUPADOR]],Tabela1[],2,0),"")</f>
        <v>Administracao local diversos</v>
      </c>
      <c r="E6" s="19">
        <f>IF(Tabela2[[#This Row],[AGRUPADOR]]&lt;&gt;"",VLOOKUP(Tabela2[[#This Row],[AGRUPADOR]],Tabela1[],4,0),"")</f>
        <v>1</v>
      </c>
      <c r="F6" s="14" t="s">
        <v>45</v>
      </c>
      <c r="G6" s="6" t="s">
        <v>43</v>
      </c>
      <c r="H6" s="6" t="s">
        <v>46</v>
      </c>
      <c r="I6" s="25">
        <v>1</v>
      </c>
      <c r="J6" s="7">
        <v>4</v>
      </c>
      <c r="K6" s="15">
        <f>1178294.09*1.1195</f>
        <v>1319100.2337549999</v>
      </c>
      <c r="L6" s="379">
        <f>IF(H6&lt;&gt;"",J6*K6,SUMIFS(L7:L$9844,$F7:$F$9844,"*"&amp;F6&amp;"*",$H7:$H$9844,"&lt;&gt;"))</f>
        <v>5276400.9350199997</v>
      </c>
      <c r="M6" s="379">
        <f ca="1">IF(Tabela2[[#This Row],[UNID.]]&lt;&gt;"",IFERROR(VLOOKUP(Tabela2[[#This Row],[AGRUPADOR]],Lucratividade!$D$4:$O$129,6,0),0),"")</f>
        <v>1059620.6621999999</v>
      </c>
      <c r="N6" s="379">
        <f ca="1">IF(H6&lt;&gt;"",J6*M6*I6,SUMIFS(N7:N$9844,$F7:$F$9844,"*"&amp;F6&amp;"*",$H7:$H$9844,"&lt;&gt;"))</f>
        <v>4238482.6487999996</v>
      </c>
      <c r="O6" s="162">
        <f ca="1">IFERROR((-Tabela2[[#This Row],[CUSTO TOTAL]]+Tabela2[[#This Row],[VENDA TOTAL]])/Tabela2[[#This Row],[VENDA TOTAL]]-PARAMETROS!$C$19,"")</f>
        <v>4.5909518287595014E-2</v>
      </c>
      <c r="S6" s="8">
        <f>16681456/8</f>
        <v>2085182</v>
      </c>
      <c r="AA6" s="219">
        <f>SUM(Plan_Orc[[#This Row],[01/jan]:[01/dez]])</f>
        <v>0</v>
      </c>
      <c r="AB6" s="113"/>
      <c r="AC6" s="113"/>
      <c r="AD6" s="113"/>
      <c r="AE6" s="113"/>
      <c r="AF6" s="113"/>
      <c r="AG6" s="113"/>
      <c r="AH6" s="113"/>
      <c r="AI6" s="113"/>
      <c r="AJ6" s="113"/>
      <c r="AK6" s="113"/>
      <c r="AL6" s="113"/>
      <c r="AM6" s="113"/>
    </row>
    <row r="7" spans="2:39" ht="25.2" customHeight="1" x14ac:dyDescent="0.3">
      <c r="B7" s="13" t="str">
        <f t="shared" si="0"/>
        <v/>
      </c>
      <c r="C7" s="18" t="s">
        <v>44</v>
      </c>
      <c r="D7" s="19" t="str">
        <f>IF(Tabela2[[#This Row],[AGRUPADOR]]&lt;&gt;"",VLOOKUP(Tabela2[[#This Row],[AGRUPADOR]],Tabela1[],2,0),"")</f>
        <v>Administracao local diversos</v>
      </c>
      <c r="E7" s="19">
        <f>IF(Tabela2[[#This Row],[AGRUPADOR]]&lt;&gt;"",VLOOKUP(Tabela2[[#This Row],[AGRUPADOR]],Tabela1[],4,0),"")</f>
        <v>1</v>
      </c>
      <c r="F7" s="14" t="s">
        <v>47</v>
      </c>
      <c r="G7" s="6" t="s">
        <v>48</v>
      </c>
      <c r="H7" s="6" t="s">
        <v>46</v>
      </c>
      <c r="I7" s="25">
        <v>0</v>
      </c>
      <c r="J7" s="7">
        <v>4</v>
      </c>
      <c r="K7" s="15">
        <f>158230.91*1.1195</f>
        <v>177139.50374499999</v>
      </c>
      <c r="L7" s="379">
        <f>IF(H7&lt;&gt;"",J7*K7,SUMIFS(L8:L$9844,$F8:$F$9844,"*"&amp;F7&amp;"*",$H8:$H$9844,"&lt;&gt;"))</f>
        <v>708558.01497999998</v>
      </c>
      <c r="M7" s="379">
        <f ca="1">IF(Tabela2[[#This Row],[UNID.]]&lt;&gt;"",IFERROR(VLOOKUP(Tabela2[[#This Row],[AGRUPADOR]],Lucratividade!$D$4:$O$129,6,0),0),"")</f>
        <v>1059620.6621999999</v>
      </c>
      <c r="N7" s="379">
        <f ca="1">IF(H7&lt;&gt;"",J7*M7*I7,SUMIFS(N8:N$9844,$F8:$F$9844,"*"&amp;F7&amp;"*",$H8:$H$9844,"&lt;&gt;"))</f>
        <v>0</v>
      </c>
      <c r="O7" s="162">
        <f ca="1">IFERROR((-Tabela2[[#This Row],[CUSTO TOTAL]]+Tabela2[[#This Row],[VENDA TOTAL]])/Tabela2[[#This Row],[VENDA TOTAL]]-PARAMETROS!$C$19,"")</f>
        <v>0.84919999999999995</v>
      </c>
      <c r="S7" s="8"/>
      <c r="AA7" s="219">
        <f>SUM(Plan_Orc[[#This Row],[01/jan]:[01/dez]])</f>
        <v>0</v>
      </c>
      <c r="AB7" s="113"/>
      <c r="AC7" s="113"/>
      <c r="AD7" s="113"/>
      <c r="AE7" s="113"/>
      <c r="AF7" s="113"/>
      <c r="AG7" s="113"/>
      <c r="AH7" s="113"/>
      <c r="AI7" s="113"/>
      <c r="AJ7" s="113"/>
      <c r="AK7" s="113"/>
      <c r="AL7" s="113"/>
      <c r="AM7" s="113"/>
    </row>
    <row r="8" spans="2:39" ht="25.2" customHeight="1" x14ac:dyDescent="0.3">
      <c r="B8" s="13" t="str">
        <f t="shared" ref="B8:B9" si="1">IF(LEN(F8)=3,1,"")</f>
        <v/>
      </c>
      <c r="C8" s="18" t="s">
        <v>44</v>
      </c>
      <c r="D8" s="19" t="str">
        <f>IF(Tabela2[[#This Row],[AGRUPADOR]]&lt;&gt;"",VLOOKUP(Tabela2[[#This Row],[AGRUPADOR]],Tabela1[],2,0),"")</f>
        <v>Administracao local diversos</v>
      </c>
      <c r="E8" s="19">
        <f>IF(Tabela2[[#This Row],[AGRUPADOR]]&lt;&gt;"",VLOOKUP(Tabela2[[#This Row],[AGRUPADOR]],Tabela1[],4,0),"")</f>
        <v>1</v>
      </c>
      <c r="F8" s="14" t="s">
        <v>49</v>
      </c>
      <c r="G8" s="6" t="s">
        <v>50</v>
      </c>
      <c r="H8" s="6" t="s">
        <v>46</v>
      </c>
      <c r="I8" s="25">
        <v>0</v>
      </c>
      <c r="J8" s="7">
        <v>4</v>
      </c>
      <c r="K8" s="15">
        <f>9832.28*1.1195</f>
        <v>11007.23746</v>
      </c>
      <c r="L8" s="379">
        <f>IF(H8&lt;&gt;"",J8*K8,SUMIFS(L9:L$9844,$F9:$F$9844,"*"&amp;F8&amp;"*",$H9:$H$9844,"&lt;&gt;"))</f>
        <v>44028.949840000001</v>
      </c>
      <c r="M8" s="379">
        <f ca="1">IF(Tabela2[[#This Row],[UNID.]]&lt;&gt;"",IFERROR(VLOOKUP(Tabela2[[#This Row],[AGRUPADOR]],Lucratividade!$D$4:$O$129,6,0),0),"")</f>
        <v>1059620.6621999999</v>
      </c>
      <c r="N8" s="379">
        <f ca="1">IF(H8&lt;&gt;"",J8*M8*I8,SUMIFS(N9:N$9844,$F9:$F$9844,"*"&amp;F8&amp;"*",$H9:$H$9844,"&lt;&gt;"))</f>
        <v>0</v>
      </c>
      <c r="O8" s="162">
        <f ca="1">IFERROR((-Tabela2[[#This Row],[CUSTO TOTAL]]+Tabela2[[#This Row],[VENDA TOTAL]])/Tabela2[[#This Row],[VENDA TOTAL]]-PARAMETROS!$C$19,"")</f>
        <v>0.84919999999999995</v>
      </c>
      <c r="S8" s="8">
        <v>2643492.75</v>
      </c>
      <c r="AA8" s="219">
        <f>SUM(Plan_Orc[[#This Row],[01/jan]:[01/dez]])</f>
        <v>3500</v>
      </c>
      <c r="AB8" s="113"/>
      <c r="AC8" s="113">
        <v>1500</v>
      </c>
      <c r="AD8" s="113">
        <v>2000</v>
      </c>
      <c r="AE8" s="113"/>
      <c r="AF8" s="113"/>
      <c r="AG8" s="113"/>
      <c r="AH8" s="113"/>
      <c r="AI8" s="113"/>
      <c r="AJ8" s="113"/>
      <c r="AK8" s="113"/>
      <c r="AL8" s="113"/>
      <c r="AM8" s="113"/>
    </row>
    <row r="9" spans="2:39" ht="25.2" customHeight="1" x14ac:dyDescent="0.3">
      <c r="B9" s="13" t="str">
        <f t="shared" si="1"/>
        <v/>
      </c>
      <c r="C9" s="18"/>
      <c r="D9" s="19" t="str">
        <f>IF(Tabela2[[#This Row],[AGRUPADOR]]&lt;&gt;"",VLOOKUP(Tabela2[[#This Row],[AGRUPADOR]],Tabela1[],2,0),"")</f>
        <v/>
      </c>
      <c r="E9" s="19" t="str">
        <f>IF(Tabela2[[#This Row],[AGRUPADOR]]&lt;&gt;"",VLOOKUP(Tabela2[[#This Row],[AGRUPADOR]],Tabela1[],4,0),"")</f>
        <v/>
      </c>
      <c r="F9" s="14" t="s">
        <v>51</v>
      </c>
      <c r="G9" s="6" t="s">
        <v>52</v>
      </c>
      <c r="H9" s="6" t="s">
        <v>46</v>
      </c>
      <c r="I9" s="25">
        <v>0</v>
      </c>
      <c r="J9" s="7">
        <v>0</v>
      </c>
      <c r="K9" s="15"/>
      <c r="L9" s="379">
        <f>IF(H9&lt;&gt;"",J9*K9,SUMIFS(L10:L$9844,$F10:$F$9844,"*"&amp;F9&amp;"*",$H10:$H$9844,"&lt;&gt;"))</f>
        <v>0</v>
      </c>
      <c r="M9" s="379">
        <f>IF(Tabela2[[#This Row],[UNID.]]&lt;&gt;"",IFERROR(VLOOKUP(Tabela2[[#This Row],[AGRUPADOR]],Lucratividade!$D$4:$O$129,6,0),0),"")</f>
        <v>0</v>
      </c>
      <c r="N9" s="379">
        <f>IF(H9&lt;&gt;"",J9*M9*I9,SUMIFS(N10:N$9844,$F10:$F$9844,"*"&amp;F9&amp;"*",$H10:$H$9844,"&lt;&gt;"))</f>
        <v>0</v>
      </c>
      <c r="O9" s="162" t="str">
        <f>IFERROR((-Tabela2[[#This Row],[CUSTO TOTAL]]+Tabela2[[#This Row],[VENDA TOTAL]])/Tabela2[[#This Row],[VENDA TOTAL]]-PARAMETROS!$C$19,"")</f>
        <v/>
      </c>
      <c r="S9" s="8">
        <v>766511.47210000001</v>
      </c>
      <c r="AA9" s="219">
        <f>SUM(Plan_Orc[[#This Row],[01/jan]:[01/dez]])</f>
        <v>0</v>
      </c>
      <c r="AB9" s="113"/>
      <c r="AC9" s="113"/>
      <c r="AD9" s="113"/>
      <c r="AE9" s="113"/>
      <c r="AF9" s="113"/>
      <c r="AG9" s="113"/>
      <c r="AH9" s="113"/>
      <c r="AI9" s="113"/>
      <c r="AJ9" s="113"/>
      <c r="AK9" s="113"/>
      <c r="AL9" s="113"/>
      <c r="AM9" s="113"/>
    </row>
    <row r="10" spans="2:39" s="400" customFormat="1" ht="25.2" customHeight="1" x14ac:dyDescent="0.3">
      <c r="B10" s="391">
        <f t="shared" si="0"/>
        <v>1</v>
      </c>
      <c r="C10" s="392"/>
      <c r="D10" s="393" t="str">
        <f>IF(Tabela2[[#This Row],[AGRUPADOR]]&lt;&gt;"",VLOOKUP(Tabela2[[#This Row],[AGRUPADOR]],Tabela1[],2,0),"")</f>
        <v/>
      </c>
      <c r="E10" s="393" t="str">
        <f>IF(Tabela2[[#This Row],[AGRUPADOR]]&lt;&gt;"",VLOOKUP(Tabela2[[#This Row],[AGRUPADOR]],Tabela1[],4,0),"")</f>
        <v/>
      </c>
      <c r="F10" s="394" t="s">
        <v>53</v>
      </c>
      <c r="G10" s="395" t="s">
        <v>54</v>
      </c>
      <c r="H10" s="396"/>
      <c r="I10" s="391"/>
      <c r="J10" s="397"/>
      <c r="K10" s="105"/>
      <c r="L10" s="398">
        <f>IF(H10&lt;&gt;"",J10*K10,SUMIFS(L11:L$9844,$F11:$F$9844,"*"&amp;F10&amp;"*",$H11:$H$9844,"&lt;&gt;"))</f>
        <v>21391572.401319001</v>
      </c>
      <c r="M10" s="398" t="str">
        <f>IF(Tabela2[[#This Row],[UNID.]]&lt;&gt;"",IFERROR(VLOOKUP(Tabela2[[#This Row],[AGRUPADOR]],Lucratividade!$D$4:$O$129,6,0),0),"")</f>
        <v/>
      </c>
      <c r="N10" s="398">
        <f ca="1">IF(H10&lt;&gt;"",J10*M10*I10,SUMIFS(N11:N$9844,$F11:$F$9844,"*"&amp;F10&amp;"*",$H11:$H$9844,"&lt;&gt;"))</f>
        <v>14919979.32022416</v>
      </c>
      <c r="O10" s="399">
        <f ca="1">IFERROR((-Tabela2[[#This Row],[CUSTO TOTAL]]+Tabela2[[#This Row],[VENDA TOTAL]])/Tabela2[[#This Row],[VENDA TOTAL]]-PARAMETROS!$C$19,"")</f>
        <v>0.15173003190620074</v>
      </c>
      <c r="S10" s="401">
        <v>433526.01160000003</v>
      </c>
      <c r="AA10" s="402">
        <f>SUM(Plan_Orc[[#This Row],[01/jan]:[01/dez]])</f>
        <v>0</v>
      </c>
      <c r="AB10" s="403"/>
      <c r="AC10" s="403"/>
      <c r="AD10" s="403"/>
      <c r="AE10" s="403"/>
      <c r="AF10" s="403"/>
      <c r="AG10" s="403"/>
      <c r="AH10" s="403"/>
      <c r="AI10" s="403"/>
      <c r="AJ10" s="403"/>
      <c r="AK10" s="403"/>
      <c r="AL10" s="403"/>
      <c r="AM10" s="403"/>
    </row>
    <row r="11" spans="2:39" ht="25.2" customHeight="1" x14ac:dyDescent="0.3">
      <c r="B11" s="10" t="str">
        <f t="shared" si="0"/>
        <v/>
      </c>
      <c r="C11" s="306"/>
      <c r="D11" s="310" t="str">
        <f>IF(Tabela2[[#This Row],[AGRUPADOR]]&lt;&gt;"",VLOOKUP(Tabela2[[#This Row],[AGRUPADOR]],Tabela1[],2,0),"")</f>
        <v/>
      </c>
      <c r="E11" s="310" t="str">
        <f>IF(Tabela2[[#This Row],[AGRUPADOR]]&lt;&gt;"",VLOOKUP(Tabela2[[#This Row],[AGRUPADOR]],Tabela1[],4,0),"")</f>
        <v/>
      </c>
      <c r="F11" s="11" t="s">
        <v>55</v>
      </c>
      <c r="G11" s="4" t="s">
        <v>56</v>
      </c>
      <c r="H11" s="5"/>
      <c r="I11" s="10"/>
      <c r="J11" s="307"/>
      <c r="K11" s="308"/>
      <c r="L11" s="378">
        <f>IF(H11&lt;&gt;"",J11*K11,SUMIFS(L12:L$9844,$F12:$F$9844,"*"&amp;F11&amp;"*",$H12:$H$9844,"&lt;&gt;"))</f>
        <v>4029213.4406249998</v>
      </c>
      <c r="M11" s="378" t="str">
        <f>IF(Tabela2[[#This Row],[UNID.]]&lt;&gt;"",IFERROR(VLOOKUP(Tabela2[[#This Row],[AGRUPADOR]],Lucratividade!$D$4:$O$129,6,0),0),"")</f>
        <v/>
      </c>
      <c r="N11" s="378">
        <f ca="1">IF(H11&lt;&gt;"",J11*M11*I11,SUMIFS(N12:N$9844,$F12:$F$9844,"*"&amp;F11&amp;"*",$H12:$H$9844,"&lt;&gt;"))</f>
        <v>2203026.0033127689</v>
      </c>
      <c r="O11" s="309">
        <f ca="1">IFERROR((-Tabela2[[#This Row],[CUSTO TOTAL]]+Tabela2[[#This Row],[VENDA TOTAL]])/Tabela2[[#This Row],[VENDA TOTAL]]-PARAMETROS!$C$19,"")</f>
        <v>0.30243670841050252</v>
      </c>
      <c r="AA11" s="218">
        <f>SUM(Plan_Orc[[#This Row],[01/jan]:[01/dez]])</f>
        <v>0</v>
      </c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  <c r="AM11" s="214"/>
    </row>
    <row r="12" spans="2:39" ht="25.2" customHeight="1" x14ac:dyDescent="0.3">
      <c r="B12" s="13" t="str">
        <f t="shared" si="0"/>
        <v/>
      </c>
      <c r="C12" s="18" t="s">
        <v>57</v>
      </c>
      <c r="D12" s="19" t="str">
        <f>IF(Tabela2[[#This Row],[AGRUPADOR]]&lt;&gt;"",VLOOKUP(Tabela2[[#This Row],[AGRUPADOR]],Tabela1[],2,0),"")</f>
        <v>Cerca</v>
      </c>
      <c r="E12" s="19">
        <f>IF(Tabela2[[#This Row],[AGRUPADOR]]&lt;&gt;"",VLOOKUP(Tabela2[[#This Row],[AGRUPADOR]],Tabela1[],4,0),"")</f>
        <v>1</v>
      </c>
      <c r="F12" s="14" t="s">
        <v>58</v>
      </c>
      <c r="G12" s="6" t="s">
        <v>59</v>
      </c>
      <c r="H12" s="6" t="s">
        <v>60</v>
      </c>
      <c r="I12" s="25">
        <v>1</v>
      </c>
      <c r="J12" s="7">
        <v>31875</v>
      </c>
      <c r="K12" s="15">
        <f>47.01*1.1195</f>
        <v>52.627694999999996</v>
      </c>
      <c r="L12" s="379">
        <f>IF(H12&lt;&gt;"",J12*K12,SUMIFS(L13:L$9844,$F13:$F$9844,"*"&amp;F12&amp;"*",$H13:$H$9844,"&lt;&gt;"))</f>
        <v>1677507.778125</v>
      </c>
      <c r="M12" s="379">
        <f ca="1">IF(Tabela2[[#This Row],[UNID.]]&lt;&gt;"",IFERROR(VLOOKUP(Tabela2[[#This Row],[AGRUPADOR]],Lucratividade!$D$4:$O$129,6,0),0),"")</f>
        <v>26.683593874561996</v>
      </c>
      <c r="N12" s="379">
        <f ca="1">IF(H12&lt;&gt;"",J12*M12*I12,SUMIFS(N13:N$9844,$F13:$F$9844,"*"&amp;F12&amp;"*",$H13:$H$9844,"&lt;&gt;"))</f>
        <v>850539.55475166359</v>
      </c>
      <c r="O12" s="162">
        <f ca="1">IFERROR((-Tabela2[[#This Row],[CUSTO TOTAL]]+Tabela2[[#This Row],[VENDA TOTAL]])/Tabela2[[#This Row],[VENDA TOTAL]]-PARAMETROS!$C$19,"")</f>
        <v>0.34217430042182173</v>
      </c>
      <c r="Q12" s="381">
        <f ca="1">Tabela2[[#This Row],[CUSTO UNIT]]*1.44</f>
        <v>38.424375179369271</v>
      </c>
      <c r="S12" s="8">
        <v>110213.69</v>
      </c>
      <c r="AA12" s="219">
        <f>SUM(Plan_Orc[[#This Row],[01/jan]:[01/dez]])</f>
        <v>0</v>
      </c>
      <c r="AB12" s="113"/>
      <c r="AC12" s="113"/>
      <c r="AD12" s="113"/>
      <c r="AE12" s="113"/>
      <c r="AF12" s="113"/>
      <c r="AG12" s="113"/>
      <c r="AH12" s="113"/>
      <c r="AI12" s="113"/>
      <c r="AJ12" s="113"/>
      <c r="AK12" s="113"/>
      <c r="AL12" s="113"/>
      <c r="AM12" s="113"/>
    </row>
    <row r="13" spans="2:39" ht="25.2" customHeight="1" x14ac:dyDescent="0.3">
      <c r="B13" s="13" t="str">
        <f t="shared" si="0"/>
        <v/>
      </c>
      <c r="C13" s="18" t="s">
        <v>61</v>
      </c>
      <c r="D13" s="19" t="str">
        <f>IF(Tabela2[[#This Row],[AGRUPADOR]]&lt;&gt;"",VLOOKUP(Tabela2[[#This Row],[AGRUPADOR]],Tabela1[],2,0),"")</f>
        <v>Recomposição cerca</v>
      </c>
      <c r="E13" s="19">
        <f>IF(Tabela2[[#This Row],[AGRUPADOR]]&lt;&gt;"",VLOOKUP(Tabela2[[#This Row],[AGRUPADOR]],Tabela1[],4,0),"")</f>
        <v>1</v>
      </c>
      <c r="F13" s="14" t="s">
        <v>62</v>
      </c>
      <c r="G13" s="6" t="s">
        <v>63</v>
      </c>
      <c r="H13" s="6" t="s">
        <v>60</v>
      </c>
      <c r="I13" s="25">
        <v>1</v>
      </c>
      <c r="J13" s="7">
        <v>55500</v>
      </c>
      <c r="K13" s="15">
        <f>37.85*1.1195</f>
        <v>42.373075</v>
      </c>
      <c r="L13" s="379">
        <f>IF(H13&lt;&gt;"",J13*K13,SUMIFS(L14:L$9844,$F14:$F$9844,"*"&amp;F13&amp;"*",$H14:$H$9844,"&lt;&gt;"))</f>
        <v>2351705.6625000001</v>
      </c>
      <c r="M13" s="379">
        <f ca="1">IF(Tabela2[[#This Row],[UNID.]]&lt;&gt;"",IFERROR(VLOOKUP(Tabela2[[#This Row],[AGRUPADOR]],Lucratividade!$D$4:$O$129,6,0),0),"")</f>
        <v>24.369125199299198</v>
      </c>
      <c r="N13" s="379">
        <f ca="1">IF(H13&lt;&gt;"",J13*M13*I13,SUMIFS(N14:N$9844,$F14:$F$9844,"*"&amp;F13&amp;"*",$H14:$H$9844,"&lt;&gt;"))</f>
        <v>1352486.4485611054</v>
      </c>
      <c r="O13" s="162">
        <f ca="1">IFERROR((-Tabela2[[#This Row],[CUSTO TOTAL]]+Tabela2[[#This Row],[VENDA TOTAL]])/Tabela2[[#This Row],[VENDA TOTAL]]-PARAMETROS!$C$19,"")</f>
        <v>0.27409127354341889</v>
      </c>
      <c r="Q13" s="381">
        <f ca="1">Tabela2[[#This Row],[CUSTO UNIT]]*1.44</f>
        <v>35.091540286990842</v>
      </c>
      <c r="S13" s="8">
        <v>110213.69</v>
      </c>
      <c r="AA13" s="219">
        <f>SUM(Plan_Orc[[#This Row],[01/jan]:[01/dez]])</f>
        <v>0</v>
      </c>
      <c r="AB13" s="113"/>
      <c r="AC13" s="113"/>
      <c r="AD13" s="113"/>
      <c r="AE13" s="113"/>
      <c r="AF13" s="113"/>
      <c r="AG13" s="113"/>
      <c r="AH13" s="113"/>
      <c r="AI13" s="113"/>
      <c r="AJ13" s="113"/>
      <c r="AK13" s="113"/>
      <c r="AL13" s="113"/>
      <c r="AM13" s="113"/>
    </row>
    <row r="14" spans="2:39" ht="25.2" customHeight="1" x14ac:dyDescent="0.3">
      <c r="B14" s="10" t="str">
        <f t="shared" si="0"/>
        <v/>
      </c>
      <c r="C14" s="306"/>
      <c r="D14" s="310" t="str">
        <f>IF(Tabela2[[#This Row],[AGRUPADOR]]&lt;&gt;"",VLOOKUP(Tabela2[[#This Row],[AGRUPADOR]],Tabela1[],2,0),"")</f>
        <v/>
      </c>
      <c r="E14" s="310" t="str">
        <f>IF(Tabela2[[#This Row],[AGRUPADOR]]&lt;&gt;"",VLOOKUP(Tabela2[[#This Row],[AGRUPADOR]],Tabela1[],4,0),"")</f>
        <v/>
      </c>
      <c r="F14" s="11" t="s">
        <v>64</v>
      </c>
      <c r="G14" s="4" t="s">
        <v>65</v>
      </c>
      <c r="H14" s="5"/>
      <c r="I14" s="10"/>
      <c r="J14" s="307"/>
      <c r="K14" s="308"/>
      <c r="L14" s="378">
        <f>IF(H14&lt;&gt;"",J14*K14,SUMIFS(L15:L$9844,$F15:$F$9844,"*"&amp;F14&amp;"*",$H15:$H$9844,"&lt;&gt;"))</f>
        <v>5040815</v>
      </c>
      <c r="M14" s="378" t="str">
        <f>IF(Tabela2[[#This Row],[UNID.]]&lt;&gt;"",IFERROR(VLOOKUP(Tabela2[[#This Row],[AGRUPADOR]],Lucratividade!$D$4:$O$129,6,0),0),"")</f>
        <v/>
      </c>
      <c r="N14" s="378">
        <f ca="1">IF(H14&lt;&gt;"",J14*M14*I14,SUMIFS(N15:N$9844,$F15:$F$9844,"*"&amp;F14&amp;"*",$H15:$H$9844,"&lt;&gt;"))</f>
        <v>3090587.5</v>
      </c>
      <c r="O14" s="309">
        <f ca="1">IFERROR((-Tabela2[[#This Row],[CUSTO TOTAL]]+Tabela2[[#This Row],[VENDA TOTAL]])/Tabela2[[#This Row],[VENDA TOTAL]]-PARAMETROS!$C$19,"")</f>
        <v>0.2360873386545628</v>
      </c>
      <c r="Q14" s="381"/>
      <c r="AA14" s="218">
        <f>SUM(Plan_Orc[[#This Row],[01/jan]:[01/dez]])</f>
        <v>0</v>
      </c>
      <c r="AB14" s="214"/>
      <c r="AC14" s="214"/>
      <c r="AD14" s="214"/>
      <c r="AE14" s="214"/>
      <c r="AF14" s="214"/>
      <c r="AG14" s="214"/>
      <c r="AH14" s="214"/>
      <c r="AI14" s="214"/>
      <c r="AJ14" s="214"/>
      <c r="AK14" s="214"/>
      <c r="AL14" s="214"/>
      <c r="AM14" s="214"/>
    </row>
    <row r="15" spans="2:39" ht="25.2" customHeight="1" x14ac:dyDescent="0.3">
      <c r="B15" s="13" t="str">
        <f t="shared" si="0"/>
        <v/>
      </c>
      <c r="C15" s="18" t="s">
        <v>66</v>
      </c>
      <c r="D15" s="19" t="str">
        <f>IF(Tabela2[[#This Row],[AGRUPADOR]]&lt;&gt;"",VLOOKUP(Tabela2[[#This Row],[AGRUPADOR]],Tabela1[],2,0),"")</f>
        <v>Sinalização Horizontal</v>
      </c>
      <c r="E15" s="19">
        <f>IF(Tabela2[[#This Row],[AGRUPADOR]]&lt;&gt;"",VLOOKUP(Tabela2[[#This Row],[AGRUPADOR]],Tabela1[],4,0),"")</f>
        <v>1</v>
      </c>
      <c r="F15" s="14" t="s">
        <v>67</v>
      </c>
      <c r="G15" s="6" t="s">
        <v>68</v>
      </c>
      <c r="H15" s="6" t="s">
        <v>69</v>
      </c>
      <c r="I15" s="25">
        <v>1</v>
      </c>
      <c r="J15" s="7">
        <v>87750</v>
      </c>
      <c r="K15" s="15">
        <v>29.53</v>
      </c>
      <c r="L15" s="379">
        <f>IF(H15&lt;&gt;"",J15*K15,SUMIFS(L16:L$9844,$F16:$F$9844,"*"&amp;F15&amp;"*",$H16:$H$9844,"&lt;&gt;"))</f>
        <v>2591257.5</v>
      </c>
      <c r="M15" s="379">
        <f ca="1">IF(Tabela2[[#This Row],[UNID.]]&lt;&gt;"",IFERROR(VLOOKUP(Tabela2[[#This Row],[AGRUPADOR]],Lucratividade!$D$4:$O$129,6,0),0),"")</f>
        <v>15.35</v>
      </c>
      <c r="N15" s="379">
        <f ca="1">IF(H15&lt;&gt;"",J15*M15*I15,SUMIFS(N16:N$9844,$F16:$F$9844,"*"&amp;F15&amp;"*",$H16:$H$9844,"&lt;&gt;"))</f>
        <v>1346962.5</v>
      </c>
      <c r="O15" s="162">
        <f ca="1">IFERROR((-Tabela2[[#This Row],[CUSTO TOTAL]]+Tabela2[[#This Row],[VENDA TOTAL]])/Tabela2[[#This Row],[VENDA TOTAL]]-PARAMETROS!$C$19,"")</f>
        <v>0.32938963765662033</v>
      </c>
      <c r="Q15" s="381">
        <v>21.57</v>
      </c>
      <c r="S15" s="8"/>
      <c r="AA15" s="219">
        <f>SUM(Plan_Orc[[#This Row],[01/jan]:[01/dez]])</f>
        <v>0</v>
      </c>
      <c r="AB15" s="113"/>
      <c r="AC15" s="113"/>
      <c r="AD15" s="113"/>
      <c r="AE15" s="113"/>
      <c r="AF15" s="113"/>
      <c r="AG15" s="113"/>
      <c r="AH15" s="113"/>
      <c r="AI15" s="113"/>
      <c r="AJ15" s="113"/>
      <c r="AK15" s="113"/>
      <c r="AL15" s="113"/>
      <c r="AM15" s="113"/>
    </row>
    <row r="16" spans="2:39" ht="25.2" customHeight="1" x14ac:dyDescent="0.3">
      <c r="B16" s="13" t="str">
        <f t="shared" si="0"/>
        <v/>
      </c>
      <c r="C16" s="18" t="s">
        <v>70</v>
      </c>
      <c r="D16" s="19" t="str">
        <f>IF(Tabela2[[#This Row],[AGRUPADOR]]&lt;&gt;"",VLOOKUP(Tabela2[[#This Row],[AGRUPADOR]],Tabela1[],2,0),"")</f>
        <v>Tacha Refletiva</v>
      </c>
      <c r="E16" s="19">
        <f>IF(Tabela2[[#This Row],[AGRUPADOR]]&lt;&gt;"",VLOOKUP(Tabela2[[#This Row],[AGRUPADOR]],Tabela1[],4,0),"")</f>
        <v>1</v>
      </c>
      <c r="F16" s="14" t="s">
        <v>71</v>
      </c>
      <c r="G16" s="6" t="s">
        <v>72</v>
      </c>
      <c r="H16" s="6" t="s">
        <v>73</v>
      </c>
      <c r="I16" s="25">
        <v>1</v>
      </c>
      <c r="J16" s="7">
        <v>94250</v>
      </c>
      <c r="K16" s="15">
        <v>25.99</v>
      </c>
      <c r="L16" s="379">
        <f>IF(H16&lt;&gt;"",J16*K16,SUMIFS(L17:L$9844,$F17:$F$9844,"*"&amp;F16&amp;"*",$H17:$H$9844,"&lt;&gt;"))</f>
        <v>2449557.5</v>
      </c>
      <c r="M16" s="379">
        <f ca="1">IF(Tabela2[[#This Row],[UNID.]]&lt;&gt;"",IFERROR(VLOOKUP(Tabela2[[#This Row],[AGRUPADOR]],Lucratividade!$D$4:$O$129,6,0),0),"")</f>
        <v>18.5</v>
      </c>
      <c r="N16" s="379">
        <f ca="1">IF(H16&lt;&gt;"",J16*M16*I16,SUMIFS(N17:N$9844,$F17:$F$9844,"*"&amp;F16&amp;"*",$H17:$H$9844,"&lt;&gt;"))</f>
        <v>1743625</v>
      </c>
      <c r="O16" s="162">
        <f ca="1">IFERROR((-Tabela2[[#This Row],[CUSTO TOTAL]]+Tabela2[[#This Row],[VENDA TOTAL]])/Tabela2[[#This Row],[VENDA TOTAL]]-PARAMETROS!$C$19,"")</f>
        <v>0.13738776452481724</v>
      </c>
      <c r="Q16" s="381">
        <v>18.18</v>
      </c>
      <c r="S16" s="8"/>
      <c r="AA16" s="219">
        <f>SUM(Plan_Orc[[#This Row],[01/jan]:[01/dez]])</f>
        <v>0</v>
      </c>
      <c r="AB16" s="113"/>
      <c r="AC16" s="113"/>
      <c r="AD16" s="113"/>
      <c r="AE16" s="113"/>
      <c r="AF16" s="113"/>
      <c r="AG16" s="113"/>
      <c r="AH16" s="113"/>
      <c r="AI16" s="113"/>
      <c r="AJ16" s="113"/>
      <c r="AK16" s="113"/>
      <c r="AL16" s="113"/>
      <c r="AM16" s="113"/>
    </row>
    <row r="17" spans="2:39" ht="25.2" customHeight="1" x14ac:dyDescent="0.3">
      <c r="B17" s="10" t="str">
        <f t="shared" si="0"/>
        <v/>
      </c>
      <c r="C17" s="306"/>
      <c r="D17" s="310" t="str">
        <f>IF(Tabela2[[#This Row],[AGRUPADOR]]&lt;&gt;"",VLOOKUP(Tabela2[[#This Row],[AGRUPADOR]],Tabela1[],2,0),"")</f>
        <v/>
      </c>
      <c r="E17" s="310" t="str">
        <f>IF(Tabela2[[#This Row],[AGRUPADOR]]&lt;&gt;"",VLOOKUP(Tabela2[[#This Row],[AGRUPADOR]],Tabela1[],4,0),"")</f>
        <v/>
      </c>
      <c r="F17" s="11" t="s">
        <v>74</v>
      </c>
      <c r="G17" s="4" t="s">
        <v>75</v>
      </c>
      <c r="H17" s="5"/>
      <c r="I17" s="10"/>
      <c r="J17" s="307"/>
      <c r="K17" s="308"/>
      <c r="L17" s="378">
        <f>IF(H17&lt;&gt;"",J17*K17,SUMIFS(L18:L$9844,$F18:$F$9844,"*"&amp;F17&amp;"*",$H18:$H$9844,"&lt;&gt;"))</f>
        <v>12321543.960694</v>
      </c>
      <c r="M17" s="378" t="str">
        <f>IF(Tabela2[[#This Row],[UNID.]]&lt;&gt;"",IFERROR(VLOOKUP(Tabela2[[#This Row],[AGRUPADOR]],Lucratividade!$D$4:$O$129,6,0),0),"")</f>
        <v/>
      </c>
      <c r="N17" s="378">
        <f ca="1">IF(H17&lt;&gt;"",J17*M17*I17,SUMIFS(N18:N$9844,$F18:$F$9844,"*"&amp;F17&amp;"*",$H18:$H$9844,"&lt;&gt;"))</f>
        <v>9626365.8169113919</v>
      </c>
      <c r="O17" s="309">
        <f ca="1">IFERROR((-Tabela2[[#This Row],[CUSTO TOTAL]]+Tabela2[[#This Row],[VENDA TOTAL]])/Tabela2[[#This Row],[VENDA TOTAL]]-PARAMETROS!$C$19,"")</f>
        <v>6.7937047271047074E-2</v>
      </c>
      <c r="Q17" s="381"/>
      <c r="AA17" s="218">
        <f>SUM(Plan_Orc[[#This Row],[01/jan]:[01/dez]])</f>
        <v>0</v>
      </c>
      <c r="AB17" s="214"/>
      <c r="AC17" s="214"/>
      <c r="AD17" s="214"/>
      <c r="AE17" s="214"/>
      <c r="AF17" s="214"/>
      <c r="AG17" s="214"/>
      <c r="AH17" s="214"/>
      <c r="AI17" s="214"/>
      <c r="AJ17" s="214"/>
      <c r="AK17" s="214"/>
      <c r="AL17" s="214"/>
      <c r="AM17" s="214"/>
    </row>
    <row r="18" spans="2:39" ht="25.2" customHeight="1" x14ac:dyDescent="0.3">
      <c r="B18" s="13" t="str">
        <f t="shared" si="0"/>
        <v/>
      </c>
      <c r="C18" s="18" t="s">
        <v>76</v>
      </c>
      <c r="D18" s="19" t="str">
        <f>IF(Tabela2[[#This Row],[AGRUPADOR]]&lt;&gt;"",VLOOKUP(Tabela2[[#This Row],[AGRUPADOR]],Tabela1[],2,0),"")</f>
        <v>Fresagem Descontinua</v>
      </c>
      <c r="E18" s="19">
        <v>1</v>
      </c>
      <c r="F18" s="14" t="s">
        <v>77</v>
      </c>
      <c r="G18" s="6" t="s">
        <v>78</v>
      </c>
      <c r="H18" s="6" t="s">
        <v>79</v>
      </c>
      <c r="I18" s="25">
        <v>1</v>
      </c>
      <c r="J18" s="7">
        <v>18416.669999999998</v>
      </c>
      <c r="K18" s="15">
        <v>124.6</v>
      </c>
      <c r="L18" s="379">
        <f>IF(H18&lt;&gt;"",J18*K18,SUMIFS(L19:L$9844,$F19:$F$9844,"*"&amp;F18&amp;"*",$H19:$H$9844,"&lt;&gt;"))</f>
        <v>2294717.0819999995</v>
      </c>
      <c r="M18" s="379">
        <f ca="1">IF(Tabela2[[#This Row],[UNID.]]&lt;&gt;"",IFERROR(VLOOKUP(Tabela2[[#This Row],[AGRUPADOR]],Lucratividade!$D$4:$O$129,6,0),0),"")</f>
        <v>65.140206172989949</v>
      </c>
      <c r="N18" s="379">
        <f ca="1">IF(H18&lt;&gt;"",J18*M18*I18,SUMIFS(N19:N$9844,$F19:$F$9844,"*"&amp;F18&amp;"*",$H19:$H$9844,"&lt;&gt;"))</f>
        <v>1199665.6808199186</v>
      </c>
      <c r="O18" s="162">
        <f ca="1">IFERROR((-Tabela2[[#This Row],[CUSTO TOTAL]]+Tabela2[[#This Row],[VENDA TOTAL]])/Tabela2[[#This Row],[VENDA TOTAL]]-PARAMETROS!$C$19,"")</f>
        <v>0.32640540792142891</v>
      </c>
      <c r="Q18" s="381">
        <v>129.59</v>
      </c>
      <c r="S18" s="8"/>
      <c r="AA18" s="219">
        <f>SUM(Plan_Orc[[#This Row],[01/jan]:[01/dez]])</f>
        <v>0</v>
      </c>
      <c r="AB18" s="113"/>
      <c r="AC18" s="113"/>
      <c r="AD18" s="113"/>
      <c r="AE18" s="113"/>
      <c r="AF18" s="113"/>
      <c r="AG18" s="113"/>
      <c r="AH18" s="113"/>
      <c r="AI18" s="113"/>
      <c r="AJ18" s="113"/>
      <c r="AK18" s="113"/>
      <c r="AL18" s="113"/>
      <c r="AM18" s="113"/>
    </row>
    <row r="19" spans="2:39" ht="25.2" customHeight="1" x14ac:dyDescent="0.3">
      <c r="B19" s="13" t="str">
        <f t="shared" si="0"/>
        <v/>
      </c>
      <c r="C19" s="18" t="s">
        <v>80</v>
      </c>
      <c r="D19" s="19" t="str">
        <f>IF(Tabela2[[#This Row],[AGRUPADOR]]&lt;&gt;"",VLOOKUP(Tabela2[[#This Row],[AGRUPADOR]],Tabela1[],2,0),"")</f>
        <v>Micro Revestimento</v>
      </c>
      <c r="E19" s="19">
        <v>1</v>
      </c>
      <c r="F19" s="14" t="s">
        <v>81</v>
      </c>
      <c r="G19" s="389" t="s">
        <v>1046</v>
      </c>
      <c r="H19" s="6" t="s">
        <v>69</v>
      </c>
      <c r="I19" s="25">
        <v>1</v>
      </c>
      <c r="J19" s="7">
        <v>453600</v>
      </c>
      <c r="K19" s="15">
        <v>2.5525000000000002</v>
      </c>
      <c r="L19" s="379">
        <f>IF(H19&lt;&gt;"",J19*K19,SUMIFS(L20:L$9844,$F20:$F$9844,"*"&amp;F19&amp;"*",$H20:$H$9844,"&lt;&gt;"))</f>
        <v>1157814</v>
      </c>
      <c r="M19" s="379">
        <f ca="1">IF(Tabela2[[#This Row],[UNID.]]&lt;&gt;"",IFERROR(VLOOKUP(Tabela2[[#This Row],[AGRUPADOR]],Lucratividade!$D$4:$O$129,6,0),0),"")</f>
        <v>1.8363972622274674</v>
      </c>
      <c r="N19" s="379">
        <f ca="1">IF(H19&lt;&gt;"",J19*M19*I19,SUMIFS(N20:N$9844,$F20:$F$9844,"*"&amp;F19&amp;"*",$H20:$H$9844,"&lt;&gt;"))</f>
        <v>832989.79814637918</v>
      </c>
      <c r="O19" s="162">
        <f ca="1">IFERROR((-Tabela2[[#This Row],[CUSTO TOTAL]]+Tabela2[[#This Row],[VENDA TOTAL]])/Tabela2[[#This Row],[VENDA TOTAL]]-PARAMETROS!$C$19,"")</f>
        <v>0.12974955446524297</v>
      </c>
      <c r="Q19" s="381">
        <v>2.38</v>
      </c>
      <c r="S19" s="8"/>
      <c r="AA19" s="219">
        <f>SUM(Plan_Orc[[#This Row],[01/jan]:[01/dez]])</f>
        <v>0</v>
      </c>
      <c r="AB19" s="113"/>
      <c r="AC19" s="113"/>
      <c r="AD19" s="113"/>
      <c r="AE19" s="113"/>
      <c r="AF19" s="113"/>
      <c r="AG19" s="113"/>
      <c r="AH19" s="113"/>
      <c r="AI19" s="113"/>
      <c r="AJ19" s="113"/>
      <c r="AK19" s="113"/>
      <c r="AL19" s="113"/>
      <c r="AM19" s="113"/>
    </row>
    <row r="20" spans="2:39" ht="25.2" customHeight="1" x14ac:dyDescent="0.3">
      <c r="B20" s="13" t="str">
        <f t="shared" si="0"/>
        <v/>
      </c>
      <c r="C20" s="18" t="s">
        <v>83</v>
      </c>
      <c r="D20" s="19" t="str">
        <f>IF(Tabela2[[#This Row],[AGRUPADOR]]&lt;&gt;"",VLOOKUP(Tabela2[[#This Row],[AGRUPADOR]],Tabela1[],2,0),"")</f>
        <v>Pintura de Ligação</v>
      </c>
      <c r="E20" s="19">
        <v>1</v>
      </c>
      <c r="F20" s="14" t="s">
        <v>84</v>
      </c>
      <c r="G20" s="6" t="s">
        <v>85</v>
      </c>
      <c r="H20" s="6" t="s">
        <v>69</v>
      </c>
      <c r="I20" s="25">
        <v>1</v>
      </c>
      <c r="J20" s="7">
        <v>368333.33</v>
      </c>
      <c r="K20" s="15">
        <v>0.39179999999999998</v>
      </c>
      <c r="L20" s="379">
        <f>IF(H20&lt;&gt;"",J20*K20,SUMIFS(L21:L$9844,$F21:$F$9844,"*"&amp;F20&amp;"*",$H21:$H$9844,"&lt;&gt;"))</f>
        <v>144312.99869400001</v>
      </c>
      <c r="M20" s="379">
        <f ca="1">IF(Tabela2[[#This Row],[UNID.]]&lt;&gt;"",IFERROR(VLOOKUP(Tabela2[[#This Row],[AGRUPADOR]],Lucratividade!$D$4:$O$129,6,0),0),"")</f>
        <v>0.62954904849496107</v>
      </c>
      <c r="N20" s="379">
        <f ca="1">IF(H20&lt;&gt;"",J20*M20*I20,SUMIFS(N21:N$9844,$F21:$F$9844,"*"&amp;F20&amp;"*",$H21:$H$9844,"&lt;&gt;"))</f>
        <v>231883.89743048052</v>
      </c>
      <c r="O20" s="162">
        <f ca="1">IFERROR((-Tabela2[[#This Row],[CUSTO TOTAL]]+Tabela2[[#This Row],[VENDA TOTAL]])/Tabela2[[#This Row],[VENDA TOTAL]]-PARAMETROS!$C$19,"")</f>
        <v>-0.75761227283042643</v>
      </c>
      <c r="Q20" s="381">
        <v>1</v>
      </c>
      <c r="S20" s="8"/>
      <c r="AA20" s="219">
        <f>SUM(Plan_Orc[[#This Row],[01/jan]:[01/dez]])</f>
        <v>0</v>
      </c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13"/>
      <c r="AM20" s="113"/>
    </row>
    <row r="21" spans="2:39" ht="25.2" customHeight="1" x14ac:dyDescent="0.3">
      <c r="B21" s="13" t="str">
        <f t="shared" si="0"/>
        <v/>
      </c>
      <c r="C21" s="18" t="s">
        <v>86</v>
      </c>
      <c r="D21" s="19" t="str">
        <f>IF(Tabela2[[#This Row],[AGRUPADOR]]&lt;&gt;"",VLOOKUP(Tabela2[[#This Row],[AGRUPADOR]],Tabela1[],2,0),"")</f>
        <v>Capa - CBUQ</v>
      </c>
      <c r="E21" s="19">
        <v>1</v>
      </c>
      <c r="F21" s="14" t="s">
        <v>87</v>
      </c>
      <c r="G21" s="6" t="s">
        <v>88</v>
      </c>
      <c r="H21" s="6" t="s">
        <v>69</v>
      </c>
      <c r="I21" s="25">
        <v>1</v>
      </c>
      <c r="J21" s="7">
        <v>44200</v>
      </c>
      <c r="K21" s="15">
        <v>197.3914</v>
      </c>
      <c r="L21" s="379">
        <f>IF(H21&lt;&gt;"",J21*K21,SUMIFS(L22:L$9844,$F22:$F$9844,"*"&amp;F21&amp;"*",$H22:$H$9844,"&lt;&gt;"))</f>
        <v>8724699.8800000008</v>
      </c>
      <c r="M21" s="379">
        <f ca="1">IF(Tabela2[[#This Row],[UNID.]]&lt;&gt;"",IFERROR(VLOOKUP(Tabela2[[#This Row],[AGRUPADOR]],Lucratividade!$D$4:$O$129,6,0),0),"")</f>
        <v>166.55715928766094</v>
      </c>
      <c r="N21" s="379">
        <f ca="1">IF(H21&lt;&gt;"",J21*M21*I21,SUMIFS(N22:N$9844,$F22:$F$9844,"*"&amp;F21&amp;"*",$H22:$H$9844,"&lt;&gt;"))</f>
        <v>7361826.4405146139</v>
      </c>
      <c r="O21" s="162">
        <f ca="1">IFERROR((-Tabela2[[#This Row],[CUSTO TOTAL]]+Tabela2[[#This Row],[VENDA TOTAL]])/Tabela2[[#This Row],[VENDA TOTAL]]-PARAMETROS!$C$19,"")</f>
        <v>5.4086327587679339E-3</v>
      </c>
      <c r="Q21" s="381">
        <f>211.63-Q22*43.3</f>
        <v>131.81943999999999</v>
      </c>
      <c r="S21" s="8"/>
      <c r="AA21" s="219">
        <f>SUM(Plan_Orc[[#This Row],[01/jan]:[01/dez]])</f>
        <v>0</v>
      </c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13"/>
      <c r="AM21" s="113"/>
    </row>
    <row r="22" spans="2:39" ht="25.2" customHeight="1" x14ac:dyDescent="0.3">
      <c r="B22" s="13" t="str">
        <f t="shared" si="0"/>
        <v/>
      </c>
      <c r="C22" s="18" t="s">
        <v>89</v>
      </c>
      <c r="D22" s="19" t="str">
        <f>IF(Tabela2[[#This Row],[AGRUPADOR]]&lt;&gt;"",VLOOKUP(Tabela2[[#This Row],[AGRUPADOR]],Tabela1[],2,0),"")</f>
        <v>Transporte cbuq</v>
      </c>
      <c r="E22" s="19">
        <v>1</v>
      </c>
      <c r="F22" s="14" t="s">
        <v>90</v>
      </c>
      <c r="G22" s="6" t="s">
        <v>91</v>
      </c>
      <c r="H22" s="6" t="s">
        <v>92</v>
      </c>
      <c r="I22" s="25">
        <v>1</v>
      </c>
      <c r="J22" s="7">
        <f>J21*50</f>
        <v>2210000</v>
      </c>
      <c r="K22" s="15">
        <v>0</v>
      </c>
      <c r="L22" s="379">
        <f>IF(H22&lt;&gt;"",J22*K22,SUMIFS(L23:L$9844,$F23:$F$9844,"*"&amp;F22&amp;"*",$H23:$H$9844,"&lt;&gt;"))</f>
        <v>0</v>
      </c>
      <c r="M22" s="379">
        <f ca="1">IF(Tabela2[[#This Row],[UNID.]]&lt;&gt;"",IFERROR(VLOOKUP(Tabela2[[#This Row],[AGRUPADOR]],Lucratividade!$D$4:$O$129,6,0),0),"")</f>
        <v>0</v>
      </c>
      <c r="N22" s="379">
        <f ca="1">IF(H22&lt;&gt;"",J22*M22*I22,SUMIFS(N23:N$9844,$F23:$F$9844,"*"&amp;F22&amp;"*",$H23:$H$9844,"&lt;&gt;"))</f>
        <v>0</v>
      </c>
      <c r="O22" s="162" t="str">
        <f ca="1">IFERROR((-Tabela2[[#This Row],[CUSTO TOTAL]]+Tabela2[[#This Row],[VENDA TOTAL]])/Tabela2[[#This Row],[VENDA TOTAL]]-PARAMETROS!$C$19,"")</f>
        <v/>
      </c>
      <c r="Q22" s="381">
        <f>1.28*1.44</f>
        <v>1.8431999999999999</v>
      </c>
      <c r="S22" s="8"/>
      <c r="AA22" s="219">
        <f>SUM(Plan_Orc[[#This Row],[01/jan]:[01/dez]])</f>
        <v>0</v>
      </c>
      <c r="AB22" s="113"/>
      <c r="AC22" s="113"/>
      <c r="AD22" s="113"/>
      <c r="AE22" s="113"/>
      <c r="AF22" s="113"/>
      <c r="AG22" s="113"/>
      <c r="AH22" s="113"/>
      <c r="AI22" s="113"/>
      <c r="AJ22" s="113"/>
      <c r="AK22" s="113"/>
      <c r="AL22" s="113"/>
      <c r="AM22" s="113"/>
    </row>
    <row r="23" spans="2:39" ht="25.2" customHeight="1" x14ac:dyDescent="0.3">
      <c r="B23" s="13" t="str">
        <f t="shared" ref="B23" si="2">IF(LEN(F23)=3,1,"")</f>
        <v/>
      </c>
      <c r="C23" s="18"/>
      <c r="D23" s="19" t="str">
        <f>IF(Tabela2[[#This Row],[AGRUPADOR]]&lt;&gt;"",VLOOKUP(Tabela2[[#This Row],[AGRUPADOR]],Tabela1[],2,0),"")</f>
        <v/>
      </c>
      <c r="E23" s="19" t="str">
        <f>IF(Tabela2[[#This Row],[AGRUPADOR]]&lt;&gt;"",VLOOKUP(Tabela2[[#This Row],[AGRUPADOR]],Tabela1[],4,0),"")</f>
        <v/>
      </c>
      <c r="F23" s="14"/>
      <c r="G23" s="6"/>
      <c r="H23" s="6"/>
      <c r="I23" s="25"/>
      <c r="J23" s="7"/>
      <c r="K23" s="15" t="str">
        <f>IF(Tabela2[[#This Row],[UNID.]]&lt;&gt;"",S23*(1+$R$2),"")</f>
        <v/>
      </c>
      <c r="L23" s="379">
        <f>IF(H23&lt;&gt;"",J23*K23,SUMIFS(L24:L$9844,$F24:$F$9844,"*"&amp;F23&amp;"*",$H24:$H$9844,"&lt;&gt;"))</f>
        <v>0</v>
      </c>
      <c r="M23" s="379" t="str">
        <f>IF(Tabela2[[#This Row],[UNID.]]&lt;&gt;"",IFERROR(VLOOKUP(Tabela2[[#This Row],[AGRUPADOR]],Lucratividade!$D$4:$O$129,6,0),0),"")</f>
        <v/>
      </c>
      <c r="N23" s="379">
        <f>IF(H23&lt;&gt;"",J23*M23*I23,SUMIFS(N24:N$9844,$F24:$F$9844,"*"&amp;F23&amp;"*",$H24:$H$9844,"&lt;&gt;"))</f>
        <v>0</v>
      </c>
      <c r="O23" s="162" t="str">
        <f>IFERROR((-Tabela2[[#This Row],[CUSTO TOTAL]]+Tabela2[[#This Row],[VENDA TOTAL]])/Tabela2[[#This Row],[VENDA TOTAL]]-PARAMETROS!$C$19,"")</f>
        <v/>
      </c>
      <c r="AA23" s="218">
        <f>SUM(Plan_Orc[[#This Row],[01/jan]:[01/dez]])</f>
        <v>0</v>
      </c>
      <c r="AB23" s="214"/>
      <c r="AC23" s="214"/>
      <c r="AD23" s="214"/>
      <c r="AE23" s="214"/>
      <c r="AF23" s="214"/>
      <c r="AG23" s="214"/>
      <c r="AH23" s="214"/>
      <c r="AI23" s="214"/>
      <c r="AJ23" s="214"/>
      <c r="AK23" s="214"/>
      <c r="AL23" s="214"/>
      <c r="AM23" s="214"/>
    </row>
    <row r="24" spans="2:39" ht="25.2" customHeight="1" x14ac:dyDescent="0.3">
      <c r="B24" s="13" t="str">
        <f t="shared" si="0"/>
        <v/>
      </c>
      <c r="C24" s="18"/>
      <c r="D24" s="19" t="str">
        <f>IF(Tabela2[[#This Row],[AGRUPADOR]]&lt;&gt;"",VLOOKUP(Tabela2[[#This Row],[AGRUPADOR]],Tabela1[],2,0),"")</f>
        <v/>
      </c>
      <c r="E24" s="19" t="str">
        <f>IF(Tabela2[[#This Row],[AGRUPADOR]]&lt;&gt;"",VLOOKUP(Tabela2[[#This Row],[AGRUPADOR]],Tabela1[],4,0),"")</f>
        <v/>
      </c>
      <c r="F24" s="14"/>
      <c r="G24" s="6"/>
      <c r="H24" s="6"/>
      <c r="I24" s="25"/>
      <c r="J24" s="7"/>
      <c r="K24" s="15" t="str">
        <f>IF(Tabela2[[#This Row],[UNID.]]&lt;&gt;"",S24*(1+$R$2),"")</f>
        <v/>
      </c>
      <c r="L24" s="379">
        <f>IF(H24&lt;&gt;"",J24*K24,SUMIFS(L25:L$9844,$F25:$F$9844,"*"&amp;F24&amp;"*",$H25:$H$9844,"&lt;&gt;"))</f>
        <v>0</v>
      </c>
      <c r="M24" s="379" t="str">
        <f>IF(Tabela2[[#This Row],[UNID.]]&lt;&gt;"",IFERROR(VLOOKUP(Tabela2[[#This Row],[AGRUPADOR]],Lucratividade!$D$4:$O$129,6,0),0),"")</f>
        <v/>
      </c>
      <c r="N24" s="379">
        <f>IF(H24&lt;&gt;"",J24*M24*I24,SUMIFS(N25:N$9844,$F25:$F$9844,"*"&amp;F24&amp;"*",$H25:$H$9844,"&lt;&gt;"))</f>
        <v>0</v>
      </c>
      <c r="O24" s="162" t="str">
        <f>IFERROR((-Tabela2[[#This Row],[CUSTO TOTAL]]+Tabela2[[#This Row],[VENDA TOTAL]])/Tabela2[[#This Row],[VENDA TOTAL]]-PARAMETROS!$C$19,"")</f>
        <v/>
      </c>
      <c r="AA24" s="219">
        <f>SUM(Plan_Orc[[#This Row],[01/jan]:[01/dez]])</f>
        <v>0</v>
      </c>
      <c r="AB24" s="113"/>
      <c r="AC24" s="113"/>
      <c r="AD24" s="113"/>
      <c r="AE24" s="113"/>
      <c r="AF24" s="113"/>
      <c r="AG24" s="113"/>
      <c r="AH24" s="113"/>
      <c r="AI24" s="113"/>
      <c r="AJ24" s="113"/>
      <c r="AK24" s="113"/>
      <c r="AL24" s="113"/>
      <c r="AM24" s="113"/>
    </row>
    <row r="25" spans="2:39" ht="25.2" customHeight="1" x14ac:dyDescent="0.3">
      <c r="B25" s="13" t="str">
        <f t="shared" si="0"/>
        <v/>
      </c>
      <c r="C25" s="18"/>
      <c r="D25" s="19" t="str">
        <f>IF(Tabela2[[#This Row],[AGRUPADOR]]&lt;&gt;"",VLOOKUP(Tabela2[[#This Row],[AGRUPADOR]],Tabela1[],2,0),"")</f>
        <v/>
      </c>
      <c r="E25" s="19" t="str">
        <f>IF(Tabela2[[#This Row],[AGRUPADOR]]&lt;&gt;"",VLOOKUP(Tabela2[[#This Row],[AGRUPADOR]],Tabela1[],4,0),"")</f>
        <v/>
      </c>
      <c r="F25" s="14"/>
      <c r="G25" s="6"/>
      <c r="H25" s="6"/>
      <c r="I25" s="25"/>
      <c r="J25" s="7"/>
      <c r="K25" s="15" t="str">
        <f>IF(Tabela2[[#This Row],[UNID.]]&lt;&gt;"",S25*(1+$R$2),"")</f>
        <v/>
      </c>
      <c r="L25" s="379">
        <f>IF(H25&lt;&gt;"",J25*K25,SUMIFS(L26:L$9844,$F26:$F$9844,"*"&amp;F25&amp;"*",$H26:$H$9844,"&lt;&gt;"))</f>
        <v>0</v>
      </c>
      <c r="M25" s="379" t="str">
        <f>IF(Tabela2[[#This Row],[UNID.]]&lt;&gt;"",IFERROR(VLOOKUP(Tabela2[[#This Row],[AGRUPADOR]],Lucratividade!$D$4:$O$129,6,0),0),"")</f>
        <v/>
      </c>
      <c r="N25" s="379">
        <f>IF(H25&lt;&gt;"",J25*M25*I25,SUMIFS(N26:N$9844,$F26:$F$9844,"*"&amp;F25&amp;"*",$H26:$H$9844,"&lt;&gt;"))</f>
        <v>0</v>
      </c>
      <c r="O25" s="162" t="str">
        <f>IFERROR((-Tabela2[[#This Row],[CUSTO TOTAL]]+Tabela2[[#This Row],[VENDA TOTAL]])/Tabela2[[#This Row],[VENDA TOTAL]]-PARAMETROS!$C$19,"")</f>
        <v/>
      </c>
      <c r="V25" s="2" t="e">
        <f>Tabela2[[#This Row],[QUANT.]]/(J24+Tabela2[[#This Row],[QUANT.]])</f>
        <v>#DIV/0!</v>
      </c>
      <c r="AA25" s="219">
        <f>SUM(Plan_Orc[[#This Row],[01/jan]:[01/dez]])</f>
        <v>0</v>
      </c>
      <c r="AB25" s="113"/>
      <c r="AC25" s="113"/>
      <c r="AD25" s="113"/>
      <c r="AE25" s="113"/>
      <c r="AF25" s="113"/>
      <c r="AG25" s="113"/>
      <c r="AH25" s="113"/>
      <c r="AI25" s="113"/>
      <c r="AJ25" s="113"/>
      <c r="AK25" s="113"/>
      <c r="AL25" s="113"/>
      <c r="AM25" s="113"/>
    </row>
    <row r="26" spans="2:39" ht="25.2" customHeight="1" x14ac:dyDescent="0.3">
      <c r="B26" s="13" t="str">
        <f t="shared" si="0"/>
        <v/>
      </c>
      <c r="C26" s="18"/>
      <c r="D26" s="19" t="str">
        <f>IF(Tabela2[[#This Row],[AGRUPADOR]]&lt;&gt;"",VLOOKUP(Tabela2[[#This Row],[AGRUPADOR]],Tabela1[],2,0),"")</f>
        <v/>
      </c>
      <c r="E26" s="19" t="str">
        <f>IF(Tabela2[[#This Row],[AGRUPADOR]]&lt;&gt;"",VLOOKUP(Tabela2[[#This Row],[AGRUPADOR]],Tabela1[],4,0),"")</f>
        <v/>
      </c>
      <c r="F26" s="14"/>
      <c r="G26" s="6"/>
      <c r="H26" s="6"/>
      <c r="I26" s="25"/>
      <c r="J26" s="7"/>
      <c r="K26" s="15" t="str">
        <f>IF(Tabela2[[#This Row],[UNID.]]&lt;&gt;"",S26*(1+$R$2),"")</f>
        <v/>
      </c>
      <c r="L26" s="379">
        <f>IF(H26&lt;&gt;"",J26*K26,SUMIFS(L27:L$9844,$F27:$F$9844,"*"&amp;F26&amp;"*",$H27:$H$9844,"&lt;&gt;"))</f>
        <v>0</v>
      </c>
      <c r="M26" s="379" t="str">
        <f>IF(Tabela2[[#This Row],[UNID.]]&lt;&gt;"",IFERROR(VLOOKUP(Tabela2[[#This Row],[AGRUPADOR]],Lucratividade!$D$4:$O$129,6,0),0),"")</f>
        <v/>
      </c>
      <c r="N26" s="379">
        <f>IF(H26&lt;&gt;"",J26*M26*I26,SUMIFS(N27:N$9844,$F27:$F$9844,"*"&amp;F26&amp;"*",$H27:$H$9844,"&lt;&gt;"))</f>
        <v>0</v>
      </c>
      <c r="O26" s="162" t="str">
        <f>IFERROR((-Tabela2[[#This Row],[CUSTO TOTAL]]+Tabela2[[#This Row],[VENDA TOTAL]])/Tabela2[[#This Row],[VENDA TOTAL]]-PARAMETROS!$C$19,"")</f>
        <v/>
      </c>
      <c r="AA26" s="218">
        <f>SUM(Plan_Orc[[#This Row],[01/jan]:[01/dez]])</f>
        <v>0</v>
      </c>
      <c r="AB26" s="214"/>
      <c r="AC26" s="214"/>
      <c r="AD26" s="214"/>
      <c r="AE26" s="214"/>
      <c r="AF26" s="214"/>
      <c r="AG26" s="214"/>
      <c r="AH26" s="214"/>
      <c r="AI26" s="214"/>
      <c r="AJ26" s="214"/>
      <c r="AK26" s="214"/>
      <c r="AL26" s="214"/>
      <c r="AM26" s="214"/>
    </row>
    <row r="27" spans="2:39" ht="25.2" customHeight="1" x14ac:dyDescent="0.3">
      <c r="B27" s="13" t="str">
        <f t="shared" ref="B27" si="3">IF(LEN(F27)=3,1,"")</f>
        <v/>
      </c>
      <c r="C27" s="18"/>
      <c r="D27" s="19" t="str">
        <f>IF(Tabela2[[#This Row],[AGRUPADOR]]&lt;&gt;"",VLOOKUP(Tabela2[[#This Row],[AGRUPADOR]],Tabela1[],2,0),"")</f>
        <v/>
      </c>
      <c r="E27" s="19">
        <v>1</v>
      </c>
      <c r="F27" s="14"/>
      <c r="G27" s="6"/>
      <c r="H27" s="6"/>
      <c r="I27" s="25"/>
      <c r="J27" s="7"/>
      <c r="K27" s="15" t="str">
        <f>IF(Tabela2[[#This Row],[UNID.]]&lt;&gt;"",S27*(1+$R$2),"")</f>
        <v/>
      </c>
      <c r="L27" s="379">
        <f>IF(H27&lt;&gt;"",J27*K27,SUMIFS(L28:L$9844,$F28:$F$9844,"*"&amp;F27&amp;"*",$H28:$H$9844,"&lt;&gt;"))</f>
        <v>0</v>
      </c>
      <c r="M27" s="379" t="str">
        <f>IF(Tabela2[[#This Row],[UNID.]]&lt;&gt;"",IFERROR(VLOOKUP(Tabela2[[#This Row],[AGRUPADOR]],Lucratividade!$D$4:$O$129,6,0),0),"")</f>
        <v/>
      </c>
      <c r="N27" s="379">
        <f>IF(H27&lt;&gt;"",J27*M27*I27,SUMIFS(N28:N$9844,$F28:$F$9844,"*"&amp;F27&amp;"*",$H28:$H$9844,"&lt;&gt;"))</f>
        <v>0</v>
      </c>
      <c r="O27" s="162" t="str">
        <f>IFERROR((-Tabela2[[#This Row],[CUSTO TOTAL]]+Tabela2[[#This Row],[VENDA TOTAL]])/Tabela2[[#This Row],[VENDA TOTAL]]-PARAMETROS!$C$19,"")</f>
        <v/>
      </c>
      <c r="AA27" s="219">
        <f>SUM(Plan_Orc[[#This Row],[01/jan]:[01/dez]])</f>
        <v>0</v>
      </c>
      <c r="AB27" s="113"/>
      <c r="AC27" s="113"/>
      <c r="AD27" s="113"/>
      <c r="AE27" s="113"/>
      <c r="AF27" s="113"/>
      <c r="AG27" s="113"/>
      <c r="AH27" s="113"/>
      <c r="AI27" s="113"/>
      <c r="AJ27" s="113"/>
      <c r="AK27" s="113"/>
      <c r="AL27" s="113"/>
      <c r="AM27" s="113"/>
    </row>
    <row r="28" spans="2:39" ht="25.2" customHeight="1" x14ac:dyDescent="0.3">
      <c r="B28" s="13" t="s">
        <v>41</v>
      </c>
      <c r="C28" s="18"/>
      <c r="D28" s="19" t="str">
        <f>IF(Tabela2[[#This Row],[AGRUPADOR]]&lt;&gt;"",VLOOKUP(Tabela2[[#This Row],[AGRUPADOR]],Tabela1[],2,0),"")</f>
        <v/>
      </c>
      <c r="E28" s="19">
        <v>1</v>
      </c>
      <c r="F28" s="14"/>
      <c r="G28" s="6"/>
      <c r="H28" s="6"/>
      <c r="I28" s="25"/>
      <c r="J28" s="7"/>
      <c r="K28" s="15" t="str">
        <f>IF(Tabela2[[#This Row],[UNID.]]&lt;&gt;"",S28*(1+$R$2),"")</f>
        <v/>
      </c>
      <c r="L28" s="379">
        <f>IF(H28&lt;&gt;"",J28*K28,SUMIFS(L29:L$9844,$F29:$F$9844,"*"&amp;F28&amp;"*",$H29:$H$9844,"&lt;&gt;"))</f>
        <v>0</v>
      </c>
      <c r="M28" s="379" t="str">
        <f>IF(Tabela2[[#This Row],[UNID.]]&lt;&gt;"",IFERROR(VLOOKUP(Tabela2[[#This Row],[AGRUPADOR]],Lucratividade!$D$4:$O$129,6,0),0),"")</f>
        <v/>
      </c>
      <c r="N28" s="379">
        <f>IF(H28&lt;&gt;"",J28*M28*I28,SUMIFS(N29:N$9844,$F29:$F$9844,"*"&amp;F28&amp;"*",$H29:$H$9844,"&lt;&gt;"))</f>
        <v>0</v>
      </c>
      <c r="O28" s="162" t="str">
        <f>IFERROR((-Tabela2[[#This Row],[CUSTO TOTAL]]+Tabela2[[#This Row],[VENDA TOTAL]])/Tabela2[[#This Row],[VENDA TOTAL]]-PARAMETROS!$C$19,"")</f>
        <v/>
      </c>
      <c r="AA28" s="219">
        <f>SUM(Plan_Orc[[#This Row],[01/jan]:[01/dez]])</f>
        <v>0</v>
      </c>
      <c r="AB28" s="113"/>
      <c r="AC28" s="113"/>
      <c r="AD28" s="113"/>
      <c r="AE28" s="113"/>
      <c r="AF28" s="113"/>
      <c r="AG28" s="113"/>
      <c r="AH28" s="113"/>
      <c r="AI28" s="113"/>
      <c r="AJ28" s="113"/>
      <c r="AK28" s="113"/>
      <c r="AL28" s="113"/>
      <c r="AM28" s="113"/>
    </row>
    <row r="29" spans="2:39" ht="25.2" customHeight="1" x14ac:dyDescent="0.3">
      <c r="B29" s="13" t="s">
        <v>41</v>
      </c>
      <c r="C29" s="18"/>
      <c r="D29" s="19" t="str">
        <f>IF(Tabela2[[#This Row],[AGRUPADOR]]&lt;&gt;"",VLOOKUP(Tabela2[[#This Row],[AGRUPADOR]],Tabela1[],2,0),"")</f>
        <v/>
      </c>
      <c r="E29" s="19">
        <v>1</v>
      </c>
      <c r="F29" s="14"/>
      <c r="G29" s="6"/>
      <c r="H29" s="6"/>
      <c r="I29" s="25"/>
      <c r="J29" s="7"/>
      <c r="K29" s="15" t="str">
        <f>IF(Tabela2[[#This Row],[UNID.]]&lt;&gt;"",S29*(1+$R$2),"")</f>
        <v/>
      </c>
      <c r="L29" s="379">
        <f>IF(H29&lt;&gt;"",J29*K29,SUMIFS(L30:L$9844,$F30:$F$9844,"*"&amp;F29&amp;"*",$H30:$H$9844,"&lt;&gt;"))</f>
        <v>0</v>
      </c>
      <c r="M29" s="379" t="str">
        <f>IF(Tabela2[[#This Row],[UNID.]]&lt;&gt;"",IFERROR(VLOOKUP(Tabela2[[#This Row],[AGRUPADOR]],Lucratividade!$D$4:$O$129,6,0),0),"")</f>
        <v/>
      </c>
      <c r="N29" s="379">
        <f>IF(H29&lt;&gt;"",J29*M29*I29,SUMIFS(N30:N$9844,$F30:$F$9844,"*"&amp;F29&amp;"*",$H30:$H$9844,"&lt;&gt;"))</f>
        <v>0</v>
      </c>
      <c r="O29" s="162" t="str">
        <f>IFERROR((-Tabela2[[#This Row],[CUSTO TOTAL]]+Tabela2[[#This Row],[VENDA TOTAL]])/Tabela2[[#This Row],[VENDA TOTAL]]-PARAMETROS!$C$19,"")</f>
        <v/>
      </c>
      <c r="V29" s="2">
        <f>382782.92+36381.61</f>
        <v>419164.52999999997</v>
      </c>
      <c r="AA29" s="219">
        <f>SUM(Plan_Orc[[#This Row],[01/jan]:[01/dez]])</f>
        <v>0</v>
      </c>
      <c r="AB29" s="113"/>
      <c r="AC29" s="113"/>
      <c r="AD29" s="113"/>
      <c r="AE29" s="113"/>
      <c r="AF29" s="113"/>
      <c r="AG29" s="113"/>
      <c r="AH29" s="113"/>
      <c r="AI29" s="113"/>
      <c r="AJ29" s="113"/>
      <c r="AK29" s="113"/>
      <c r="AL29" s="113"/>
      <c r="AM29" s="113"/>
    </row>
    <row r="30" spans="2:39" ht="25.2" customHeight="1" x14ac:dyDescent="0.3">
      <c r="B30" s="13" t="s">
        <v>41</v>
      </c>
      <c r="C30" s="18"/>
      <c r="D30" s="19" t="str">
        <f>IF(Tabela2[[#This Row],[AGRUPADOR]]&lt;&gt;"",VLOOKUP(Tabela2[[#This Row],[AGRUPADOR]],Tabela1[],2,0),"")</f>
        <v/>
      </c>
      <c r="E30" s="19">
        <v>1</v>
      </c>
      <c r="F30" s="14"/>
      <c r="G30" s="6"/>
      <c r="H30" s="6"/>
      <c r="I30" s="25"/>
      <c r="J30" s="7"/>
      <c r="K30" s="15" t="str">
        <f>IF(Tabela2[[#This Row],[UNID.]]&lt;&gt;"",S30*(1+$R$2),"")</f>
        <v/>
      </c>
      <c r="L30" s="379">
        <f>IF(H30&lt;&gt;"",J30*K30,SUMIFS(L31:L$9844,$F31:$F$9844,"*"&amp;F30&amp;"*",$H31:$H$9844,"&lt;&gt;"))</f>
        <v>0</v>
      </c>
      <c r="M30" s="379" t="str">
        <f>IF(Tabela2[[#This Row],[UNID.]]&lt;&gt;"",IFERROR(VLOOKUP(Tabela2[[#This Row],[AGRUPADOR]],Lucratividade!$D$4:$O$129,6,0),0),"")</f>
        <v/>
      </c>
      <c r="N30" s="379">
        <f>IF(H30&lt;&gt;"",J30*M30*I30,SUMIFS(N31:N$9844,$F31:$F$9844,"*"&amp;F30&amp;"*",$H31:$H$9844,"&lt;&gt;"))</f>
        <v>0</v>
      </c>
      <c r="O30" s="162" t="str">
        <f>IFERROR((-Tabela2[[#This Row],[CUSTO TOTAL]]+Tabela2[[#This Row],[VENDA TOTAL]])/Tabela2[[#This Row],[VENDA TOTAL]]-PARAMETROS!$C$19,"")</f>
        <v/>
      </c>
      <c r="AA30" s="219">
        <f>SUM(Plan_Orc[[#This Row],[01/jan]:[01/dez]])</f>
        <v>0</v>
      </c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13"/>
      <c r="AM30" s="113"/>
    </row>
    <row r="31" spans="2:39" ht="25.2" customHeight="1" x14ac:dyDescent="0.3">
      <c r="B31" s="13" t="s">
        <v>41</v>
      </c>
      <c r="C31" s="18"/>
      <c r="D31" s="19" t="str">
        <f>IF(Tabela2[[#This Row],[AGRUPADOR]]&lt;&gt;"",VLOOKUP(Tabela2[[#This Row],[AGRUPADOR]],Tabela1[],2,0),"")</f>
        <v/>
      </c>
      <c r="E31" s="19">
        <v>1</v>
      </c>
      <c r="F31" s="14"/>
      <c r="G31" s="6"/>
      <c r="H31" s="6"/>
      <c r="I31" s="25"/>
      <c r="J31" s="7"/>
      <c r="K31" s="15" t="str">
        <f>IF(Tabela2[[#This Row],[UNID.]]&lt;&gt;"",S31*(1+$R$2),"")</f>
        <v/>
      </c>
      <c r="L31" s="379">
        <f>IF(H31&lt;&gt;"",J31*K31,SUMIFS(L32:L$9844,$F32:$F$9844,"*"&amp;F31&amp;"*",$H32:$H$9844,"&lt;&gt;"))</f>
        <v>0</v>
      </c>
      <c r="M31" s="379" t="str">
        <f>IF(Tabela2[[#This Row],[UNID.]]&lt;&gt;"",IFERROR(VLOOKUP(Tabela2[[#This Row],[AGRUPADOR]],Lucratividade!$D$4:$O$129,6,0),0),"")</f>
        <v/>
      </c>
      <c r="N31" s="379">
        <f>IF(H31&lt;&gt;"",J31*M31*I31,SUMIFS(N32:N$9844,$F32:$F$9844,"*"&amp;F31&amp;"*",$H32:$H$9844,"&lt;&gt;"))</f>
        <v>0</v>
      </c>
      <c r="O31" s="162" t="str">
        <f>IFERROR((-Tabela2[[#This Row],[CUSTO TOTAL]]+Tabela2[[#This Row],[VENDA TOTAL]])/Tabela2[[#This Row],[VENDA TOTAL]]-PARAMETROS!$C$19,"")</f>
        <v/>
      </c>
      <c r="AA31" s="219">
        <f>SUM(Plan_Orc[[#This Row],[01/jan]:[01/dez]])</f>
        <v>0</v>
      </c>
      <c r="AB31" s="113"/>
      <c r="AC31" s="113"/>
      <c r="AD31" s="113"/>
      <c r="AE31" s="113"/>
      <c r="AF31" s="113"/>
      <c r="AG31" s="113"/>
      <c r="AH31" s="113"/>
      <c r="AI31" s="113"/>
      <c r="AJ31" s="113"/>
      <c r="AK31" s="113"/>
      <c r="AL31" s="113"/>
      <c r="AM31" s="113"/>
    </row>
    <row r="32" spans="2:39" ht="25.2" customHeight="1" x14ac:dyDescent="0.3">
      <c r="B32" s="13" t="s">
        <v>41</v>
      </c>
      <c r="C32" s="18"/>
      <c r="D32" s="19" t="str">
        <f>IF(Tabela2[[#This Row],[AGRUPADOR]]&lt;&gt;"",VLOOKUP(Tabela2[[#This Row],[AGRUPADOR]],Tabela1[],2,0),"")</f>
        <v/>
      </c>
      <c r="E32" s="19">
        <v>1</v>
      </c>
      <c r="F32" s="14"/>
      <c r="G32" s="6"/>
      <c r="H32" s="6"/>
      <c r="I32" s="25"/>
      <c r="J32" s="7"/>
      <c r="K32" s="15" t="str">
        <f>IF(Tabela2[[#This Row],[UNID.]]&lt;&gt;"",S32*(1+$R$2),"")</f>
        <v/>
      </c>
      <c r="L32" s="379">
        <f>IF(H32&lt;&gt;"",J32*K32,SUMIFS(L33:L$9844,$F33:$F$9844,"*"&amp;F32&amp;"*",$H33:$H$9844,"&lt;&gt;"))</f>
        <v>0</v>
      </c>
      <c r="M32" s="379" t="str">
        <f>IF(Tabela2[[#This Row],[UNID.]]&lt;&gt;"",IFERROR(VLOOKUP(Tabela2[[#This Row],[AGRUPADOR]],Lucratividade!$D$4:$O$129,6,0),0),"")</f>
        <v/>
      </c>
      <c r="N32" s="379">
        <f>IF(H32&lt;&gt;"",J32*M32*I32,SUMIFS(N33:N$9844,$F33:$F$9844,"*"&amp;F32&amp;"*",$H33:$H$9844,"&lt;&gt;"))</f>
        <v>0</v>
      </c>
      <c r="O32" s="162" t="str">
        <f>IFERROR((-Tabela2[[#This Row],[CUSTO TOTAL]]+Tabela2[[#This Row],[VENDA TOTAL]])/Tabela2[[#This Row],[VENDA TOTAL]]-PARAMETROS!$C$19,"")</f>
        <v/>
      </c>
      <c r="AA32" s="219">
        <f>SUM(Plan_Orc[[#This Row],[01/jan]:[01/dez]])</f>
        <v>0</v>
      </c>
      <c r="AB32" s="114"/>
      <c r="AC32" s="114"/>
      <c r="AD32" s="114"/>
      <c r="AE32" s="114"/>
      <c r="AF32" s="114"/>
      <c r="AG32" s="114"/>
      <c r="AH32" s="114"/>
      <c r="AI32" s="114"/>
      <c r="AJ32" s="114"/>
      <c r="AK32" s="114"/>
      <c r="AL32" s="114"/>
      <c r="AM32" s="114"/>
    </row>
    <row r="33" spans="2:39" ht="25.2" customHeight="1" x14ac:dyDescent="0.3">
      <c r="B33" s="13" t="s">
        <v>41</v>
      </c>
      <c r="C33" s="18"/>
      <c r="D33" s="19" t="str">
        <f>IF(Tabela2[[#This Row],[AGRUPADOR]]&lt;&gt;"",VLOOKUP(Tabela2[[#This Row],[AGRUPADOR]],Tabela1[],2,0),"")</f>
        <v/>
      </c>
      <c r="E33" s="19">
        <v>1</v>
      </c>
      <c r="F33" s="14"/>
      <c r="G33" s="6"/>
      <c r="H33" s="6"/>
      <c r="I33" s="25"/>
      <c r="J33" s="7"/>
      <c r="K33" s="15" t="str">
        <f>IF(Tabela2[[#This Row],[UNID.]]&lt;&gt;"",S33*(1+$R$2),"")</f>
        <v/>
      </c>
      <c r="L33" s="379">
        <f>IF(H33&lt;&gt;"",J33*K33,SUMIFS(L34:L$9844,$F34:$F$9844,"*"&amp;F33&amp;"*",$H34:$H$9844,"&lt;&gt;"))</f>
        <v>0</v>
      </c>
      <c r="M33" s="379" t="str">
        <f>IF(Tabela2[[#This Row],[UNID.]]&lt;&gt;"",IFERROR(VLOOKUP(Tabela2[[#This Row],[AGRUPADOR]],Lucratividade!$D$4:$O$129,6,0),0),"")</f>
        <v/>
      </c>
      <c r="N33" s="379">
        <f>IF(H33&lt;&gt;"",J33*M33*I33,SUMIFS(N34:N$9844,$F34:$F$9844,"*"&amp;F33&amp;"*",$H34:$H$9844,"&lt;&gt;"))</f>
        <v>0</v>
      </c>
      <c r="O33" s="162" t="str">
        <f>IFERROR((-Tabela2[[#This Row],[CUSTO TOTAL]]+Tabela2[[#This Row],[VENDA TOTAL]])/Tabela2[[#This Row],[VENDA TOTAL]]-PARAMETROS!$C$19,"")</f>
        <v/>
      </c>
      <c r="R33" s="316"/>
      <c r="AA33" s="219">
        <f>SUM(Plan_Orc[[#This Row],[01/jan]:[01/dez]])</f>
        <v>0</v>
      </c>
      <c r="AB33" s="114"/>
      <c r="AC33" s="114"/>
      <c r="AD33" s="114"/>
      <c r="AE33" s="114"/>
      <c r="AF33" s="114"/>
      <c r="AG33" s="114"/>
      <c r="AH33" s="114"/>
      <c r="AI33" s="114"/>
      <c r="AJ33" s="114"/>
      <c r="AK33" s="114"/>
      <c r="AL33" s="114"/>
      <c r="AM33" s="114"/>
    </row>
    <row r="34" spans="2:39" ht="25.2" customHeight="1" x14ac:dyDescent="0.3">
      <c r="B34" s="13" t="s">
        <v>41</v>
      </c>
      <c r="C34" s="18"/>
      <c r="D34" s="19" t="str">
        <f>IF(Tabela2[[#This Row],[AGRUPADOR]]&lt;&gt;"",VLOOKUP(Tabela2[[#This Row],[AGRUPADOR]],Tabela1[],2,0),"")</f>
        <v/>
      </c>
      <c r="E34" s="19">
        <v>1</v>
      </c>
      <c r="F34" s="14"/>
      <c r="G34" s="6"/>
      <c r="H34" s="6"/>
      <c r="I34" s="25"/>
      <c r="J34" s="7"/>
      <c r="K34" s="15" t="str">
        <f>IF(Tabela2[[#This Row],[UNID.]]&lt;&gt;"",S34*(1+$R$2),"")</f>
        <v/>
      </c>
      <c r="L34" s="379">
        <f>IF(H34&lt;&gt;"",J34*K34,SUMIFS(L35:L$9844,$F35:$F$9844,"*"&amp;F34&amp;"*",$H35:$H$9844,"&lt;&gt;"))</f>
        <v>0</v>
      </c>
      <c r="M34" s="379" t="str">
        <f>IF(Tabela2[[#This Row],[UNID.]]&lt;&gt;"",IFERROR(VLOOKUP(Tabela2[[#This Row],[AGRUPADOR]],Lucratividade!$D$4:$O$129,6,0),0),"")</f>
        <v/>
      </c>
      <c r="N34" s="379">
        <f>IF(H34&lt;&gt;"",J34*M34*I34,SUMIFS(N35:N$9844,$F35:$F$9844,"*"&amp;F34&amp;"*",$H35:$H$9844,"&lt;&gt;"))</f>
        <v>0</v>
      </c>
      <c r="O34" s="162" t="str">
        <f>IFERROR((-Tabela2[[#This Row],[CUSTO TOTAL]]+Tabela2[[#This Row],[VENDA TOTAL]])/Tabela2[[#This Row],[VENDA TOTAL]]-PARAMETROS!$C$19,"")</f>
        <v/>
      </c>
      <c r="AA34" s="218">
        <f>SUM(Plan_Orc[[#This Row],[01/jan]:[01/dez]])</f>
        <v>0</v>
      </c>
      <c r="AB34" s="114"/>
      <c r="AC34" s="114"/>
      <c r="AD34" s="114"/>
      <c r="AE34" s="114"/>
      <c r="AF34" s="114"/>
      <c r="AG34" s="114"/>
      <c r="AH34" s="114"/>
      <c r="AI34" s="114"/>
      <c r="AJ34" s="114"/>
      <c r="AK34" s="114"/>
      <c r="AL34" s="114"/>
      <c r="AM34" s="114"/>
    </row>
    <row r="35" spans="2:39" ht="25.2" customHeight="1" x14ac:dyDescent="0.3">
      <c r="B35" s="13" t="str">
        <f t="shared" si="0"/>
        <v/>
      </c>
      <c r="C35" s="18"/>
      <c r="D35" s="19" t="str">
        <f>IF(Tabela2[[#This Row],[AGRUPADOR]]&lt;&gt;"",VLOOKUP(Tabela2[[#This Row],[AGRUPADOR]],Tabela1[],2,0),"")</f>
        <v/>
      </c>
      <c r="E35" s="19" t="str">
        <f>IF(Tabela2[[#This Row],[AGRUPADOR]]&lt;&gt;"",VLOOKUP(Tabela2[[#This Row],[AGRUPADOR]],Tabela1[],4,0),"")</f>
        <v/>
      </c>
      <c r="F35" s="14"/>
      <c r="G35" s="6"/>
      <c r="H35" s="6"/>
      <c r="I35" s="25"/>
      <c r="J35" s="7"/>
      <c r="K35" s="15" t="str">
        <f>IF(Tabela2[[#This Row],[UNID.]]&lt;&gt;"",S35*(1+$R$2),"")</f>
        <v/>
      </c>
      <c r="L35" s="379">
        <f>IF(H35&lt;&gt;"",J35*K35,SUMIFS(L36:L$9844,$F36:$F$9844,"*"&amp;F35&amp;"*",$H36:$H$9844,"&lt;&gt;"))</f>
        <v>0</v>
      </c>
      <c r="M35" s="379" t="str">
        <f>IF(Tabela2[[#This Row],[UNID.]]&lt;&gt;"",IFERROR(VLOOKUP(Tabela2[[#This Row],[AGRUPADOR]],Lucratividade!$D$4:$O$129,6,0),0),"")</f>
        <v/>
      </c>
      <c r="N35" s="379">
        <f>IF(H35&lt;&gt;"",J35*M35*I35,SUMIFS(N36:N$9844,$F36:$F$9844,"*"&amp;F35&amp;"*",$H36:$H$9844,"&lt;&gt;"))</f>
        <v>0</v>
      </c>
      <c r="O35" s="162" t="str">
        <f>IFERROR((-Tabela2[[#This Row],[CUSTO TOTAL]]+Tabela2[[#This Row],[VENDA TOTAL]])/Tabela2[[#This Row],[VENDA TOTAL]]-PARAMETROS!$C$19,"")</f>
        <v/>
      </c>
      <c r="AA35" s="219">
        <f>SUM(Plan_Orc[[#This Row],[01/jan]:[01/dez]])</f>
        <v>0</v>
      </c>
      <c r="AB35" s="114"/>
      <c r="AC35" s="114"/>
      <c r="AD35" s="114"/>
      <c r="AE35" s="114"/>
      <c r="AF35" s="114"/>
      <c r="AG35" s="114"/>
      <c r="AH35" s="114"/>
      <c r="AI35" s="114"/>
      <c r="AJ35" s="114"/>
      <c r="AK35" s="114"/>
      <c r="AL35" s="114"/>
      <c r="AM35" s="114"/>
    </row>
    <row r="36" spans="2:39" ht="25.2" customHeight="1" x14ac:dyDescent="0.3">
      <c r="B36" s="13" t="str">
        <f t="shared" si="0"/>
        <v/>
      </c>
      <c r="C36" s="18"/>
      <c r="D36" s="19" t="str">
        <f>IF(Tabela2[[#This Row],[AGRUPADOR]]&lt;&gt;"",VLOOKUP(Tabela2[[#This Row],[AGRUPADOR]],Tabela1[],2,0),"")</f>
        <v/>
      </c>
      <c r="E36" s="19" t="str">
        <f>IF(Tabela2[[#This Row],[AGRUPADOR]]&lt;&gt;"",VLOOKUP(Tabela2[[#This Row],[AGRUPADOR]],Tabela1[],4,0),"")</f>
        <v/>
      </c>
      <c r="F36" s="14"/>
      <c r="G36" s="6"/>
      <c r="H36" s="6"/>
      <c r="I36" s="25"/>
      <c r="J36" s="7"/>
      <c r="K36" s="15" t="str">
        <f>IF(Tabela2[[#This Row],[UNID.]]&lt;&gt;"",S36*(1+$R$2),"")</f>
        <v/>
      </c>
      <c r="L36" s="379">
        <f>IF(H36&lt;&gt;"",J36*K36,SUMIFS(L37:L$9844,$F37:$F$9844,"*"&amp;F36&amp;"*",$H37:$H$9844,"&lt;&gt;"))</f>
        <v>0</v>
      </c>
      <c r="M36" s="379" t="str">
        <f>IF(Tabela2[[#This Row],[UNID.]]&lt;&gt;"",IFERROR(VLOOKUP(Tabela2[[#This Row],[AGRUPADOR]],Lucratividade!$D$4:$O$129,6,0),0),"")</f>
        <v/>
      </c>
      <c r="N36" s="379">
        <f>IF(H36&lt;&gt;"",J36*M36*I36,SUMIFS(N37:N$9844,$F37:$F$9844,"*"&amp;F36&amp;"*",$H37:$H$9844,"&lt;&gt;"))</f>
        <v>0</v>
      </c>
      <c r="O36" s="162" t="str">
        <f>IFERROR((-Tabela2[[#This Row],[CUSTO TOTAL]]+Tabela2[[#This Row],[VENDA TOTAL]])/Tabela2[[#This Row],[VENDA TOTAL]]-PARAMETROS!$C$19,"")</f>
        <v/>
      </c>
      <c r="AA36" s="219">
        <f>SUM(Plan_Orc[[#This Row],[01/jan]:[01/dez]])</f>
        <v>0</v>
      </c>
      <c r="AB36" s="114"/>
      <c r="AC36" s="114"/>
      <c r="AD36" s="114"/>
      <c r="AE36" s="114"/>
      <c r="AF36" s="114"/>
      <c r="AG36" s="114"/>
      <c r="AH36" s="114"/>
      <c r="AI36" s="114"/>
      <c r="AJ36" s="114"/>
      <c r="AK36" s="114"/>
      <c r="AL36" s="114"/>
      <c r="AM36" s="114"/>
    </row>
    <row r="37" spans="2:39" ht="25.2" customHeight="1" x14ac:dyDescent="0.3">
      <c r="B37" s="13" t="str">
        <f t="shared" si="0"/>
        <v/>
      </c>
      <c r="C37" s="18"/>
      <c r="D37" s="19" t="str">
        <f>IF(Tabela2[[#This Row],[AGRUPADOR]]&lt;&gt;"",VLOOKUP(Tabela2[[#This Row],[AGRUPADOR]],Tabela1[],2,0),"")</f>
        <v/>
      </c>
      <c r="E37" s="19" t="str">
        <f>IF(Tabela2[[#This Row],[AGRUPADOR]]&lt;&gt;"",VLOOKUP(Tabela2[[#This Row],[AGRUPADOR]],Tabela1[],4,0),"")</f>
        <v/>
      </c>
      <c r="F37" s="14"/>
      <c r="G37" s="6"/>
      <c r="H37" s="6"/>
      <c r="I37" s="25"/>
      <c r="J37" s="7"/>
      <c r="K37" s="15" t="str">
        <f>IF(Tabela2[[#This Row],[UNID.]]&lt;&gt;"",S37*(1+$R$2),"")</f>
        <v/>
      </c>
      <c r="L37" s="379">
        <f>IF(H37&lt;&gt;"",J37*K37,SUMIFS(L38:L$9844,$F38:$F$9844,"*"&amp;F37&amp;"*",$H38:$H$9844,"&lt;&gt;"))</f>
        <v>0</v>
      </c>
      <c r="M37" s="379" t="str">
        <f>IF(Tabela2[[#This Row],[UNID.]]&lt;&gt;"",IFERROR(VLOOKUP(Tabela2[[#This Row],[AGRUPADOR]],Lucratividade!$D$4:$O$129,6,0),0),"")</f>
        <v/>
      </c>
      <c r="N37" s="379">
        <f>IF(H37&lt;&gt;"",J37*M37*I37,SUMIFS(N38:N$9844,$F38:$F$9844,"*"&amp;F37&amp;"*",$H38:$H$9844,"&lt;&gt;"))</f>
        <v>0</v>
      </c>
      <c r="O37" s="162" t="str">
        <f>IFERROR((-Tabela2[[#This Row],[CUSTO TOTAL]]+Tabela2[[#This Row],[VENDA TOTAL]])/Tabela2[[#This Row],[VENDA TOTAL]]-PARAMETROS!$C$19,"")</f>
        <v/>
      </c>
      <c r="AA37" s="219">
        <f>SUM(Plan_Orc[[#This Row],[01/jan]:[01/dez]])</f>
        <v>0</v>
      </c>
      <c r="AB37" s="114"/>
      <c r="AC37" s="114"/>
      <c r="AD37" s="114"/>
      <c r="AE37" s="114"/>
      <c r="AF37" s="114"/>
      <c r="AG37" s="114"/>
      <c r="AH37" s="114"/>
      <c r="AI37" s="114"/>
      <c r="AJ37" s="114"/>
      <c r="AK37" s="114"/>
      <c r="AL37" s="114"/>
      <c r="AM37" s="114"/>
    </row>
    <row r="38" spans="2:39" ht="25.2" customHeight="1" x14ac:dyDescent="0.3">
      <c r="B38" s="13" t="str">
        <f t="shared" si="0"/>
        <v/>
      </c>
      <c r="C38" s="18"/>
      <c r="D38" s="19" t="str">
        <f>IF(Tabela2[[#This Row],[AGRUPADOR]]&lt;&gt;"",VLOOKUP(Tabela2[[#This Row],[AGRUPADOR]],Tabela1[],2,0),"")</f>
        <v/>
      </c>
      <c r="E38" s="19" t="str">
        <f>IF(Tabela2[[#This Row],[AGRUPADOR]]&lt;&gt;"",VLOOKUP(Tabela2[[#This Row],[AGRUPADOR]],Tabela1[],4,0),"")</f>
        <v/>
      </c>
      <c r="F38" s="14"/>
      <c r="G38" s="6"/>
      <c r="H38" s="6"/>
      <c r="I38" s="25"/>
      <c r="J38" s="7"/>
      <c r="K38" s="15" t="str">
        <f>IF(Tabela2[[#This Row],[UNID.]]&lt;&gt;"",S38*(1+$R$2),"")</f>
        <v/>
      </c>
      <c r="L38" s="379">
        <f>IF(H38&lt;&gt;"",J38*K38,SUMIFS(L39:L$9844,$F39:$F$9844,"*"&amp;F38&amp;"*",$H39:$H$9844,"&lt;&gt;"))</f>
        <v>0</v>
      </c>
      <c r="M38" s="379" t="str">
        <f>IF(Tabela2[[#This Row],[UNID.]]&lt;&gt;"",IFERROR(VLOOKUP(Tabela2[[#This Row],[AGRUPADOR]],Lucratividade!$D$4:$O$129,6,0),0),"")</f>
        <v/>
      </c>
      <c r="N38" s="379">
        <f>IF(H38&lt;&gt;"",J38*M38*I38,SUMIFS(N39:N$9844,$F39:$F$9844,"*"&amp;F38&amp;"*",$H39:$H$9844,"&lt;&gt;"))</f>
        <v>0</v>
      </c>
      <c r="O38" s="162" t="str">
        <f>IFERROR((-Tabela2[[#This Row],[CUSTO TOTAL]]+Tabela2[[#This Row],[VENDA TOTAL]])/Tabela2[[#This Row],[VENDA TOTAL]]-PARAMETROS!$C$19,"")</f>
        <v/>
      </c>
      <c r="AA38" s="219">
        <f>SUM(Plan_Orc[[#This Row],[01/jan]:[01/dez]])</f>
        <v>0</v>
      </c>
      <c r="AB38" s="215"/>
      <c r="AC38" s="215"/>
      <c r="AD38" s="215"/>
      <c r="AE38" s="215"/>
      <c r="AF38" s="215"/>
      <c r="AG38" s="215"/>
      <c r="AH38" s="215"/>
      <c r="AI38" s="215"/>
      <c r="AJ38" s="215"/>
      <c r="AK38" s="215"/>
      <c r="AL38" s="215"/>
      <c r="AM38" s="215"/>
    </row>
    <row r="39" spans="2:39" ht="25.2" customHeight="1" x14ac:dyDescent="0.3">
      <c r="B39" s="13" t="str">
        <f t="shared" si="0"/>
        <v/>
      </c>
      <c r="C39" s="18"/>
      <c r="D39" s="19" t="str">
        <f>IF(Tabela2[[#This Row],[AGRUPADOR]]&lt;&gt;"",VLOOKUP(Tabela2[[#This Row],[AGRUPADOR]],Tabela1[],2,0),"")</f>
        <v/>
      </c>
      <c r="E39" s="19" t="str">
        <f>IF(Tabela2[[#This Row],[AGRUPADOR]]&lt;&gt;"",VLOOKUP(Tabela2[[#This Row],[AGRUPADOR]],Tabela1[],4,0),"")</f>
        <v/>
      </c>
      <c r="F39" s="14"/>
      <c r="G39" s="6"/>
      <c r="H39" s="6"/>
      <c r="I39" s="25"/>
      <c r="J39" s="7"/>
      <c r="K39" s="15" t="str">
        <f>IF(Tabela2[[#This Row],[UNID.]]&lt;&gt;"",S39*(1+$R$2),"")</f>
        <v/>
      </c>
      <c r="L39" s="379">
        <f>IF(H39&lt;&gt;"",J39*K39,SUMIFS(L40:L$9844,$F40:$F$9844,"*"&amp;F39&amp;"*",$H40:$H$9844,"&lt;&gt;"))</f>
        <v>0</v>
      </c>
      <c r="M39" s="379" t="str">
        <f>IF(Tabela2[[#This Row],[UNID.]]&lt;&gt;"",IFERROR(VLOOKUP(Tabela2[[#This Row],[AGRUPADOR]],Lucratividade!$D$4:$O$129,6,0),0),"")</f>
        <v/>
      </c>
      <c r="N39" s="379">
        <f>IF(H39&lt;&gt;"",J39*M39*I39,SUMIFS(N40:N$9844,$F40:$F$9844,"*"&amp;F39&amp;"*",$H40:$H$9844,"&lt;&gt;"))</f>
        <v>0</v>
      </c>
      <c r="O39" s="162" t="str">
        <f>IFERROR((-Tabela2[[#This Row],[CUSTO TOTAL]]+Tabela2[[#This Row],[VENDA TOTAL]])/Tabela2[[#This Row],[VENDA TOTAL]]-PARAMETROS!$C$19,"")</f>
        <v/>
      </c>
      <c r="AA39" s="219">
        <f>SUM(Plan_Orc[[#This Row],[01/jan]:[01/dez]])</f>
        <v>0</v>
      </c>
      <c r="AB39" s="215"/>
      <c r="AC39" s="215"/>
      <c r="AD39" s="215"/>
      <c r="AE39" s="215"/>
      <c r="AF39" s="215"/>
      <c r="AG39" s="215"/>
      <c r="AH39" s="215"/>
      <c r="AI39" s="215"/>
      <c r="AJ39" s="215"/>
      <c r="AK39" s="215"/>
      <c r="AL39" s="215"/>
      <c r="AM39" s="215"/>
    </row>
    <row r="40" spans="2:39" ht="25.2" customHeight="1" x14ac:dyDescent="0.3">
      <c r="B40" s="13" t="str">
        <f t="shared" si="0"/>
        <v/>
      </c>
      <c r="C40" s="18"/>
      <c r="D40" s="19" t="str">
        <f>IF(Tabela2[[#This Row],[AGRUPADOR]]&lt;&gt;"",VLOOKUP(Tabela2[[#This Row],[AGRUPADOR]],Tabela1[],2,0),"")</f>
        <v/>
      </c>
      <c r="E40" s="19" t="str">
        <f>IF(Tabela2[[#This Row],[AGRUPADOR]]&lt;&gt;"",VLOOKUP(Tabela2[[#This Row],[AGRUPADOR]],Tabela1[],4,0),"")</f>
        <v/>
      </c>
      <c r="F40" s="14"/>
      <c r="G40" s="6"/>
      <c r="H40" s="6"/>
      <c r="I40" s="25"/>
      <c r="J40" s="7"/>
      <c r="K40" s="15" t="str">
        <f>IF(Tabela2[[#This Row],[UNID.]]&lt;&gt;"",S40*(1+$R$2),"")</f>
        <v/>
      </c>
      <c r="L40" s="379">
        <f>IF(H40&lt;&gt;"",J40*K40,SUMIFS(L41:L$9844,$F41:$F$9844,"*"&amp;F40&amp;"*",$H41:$H$9844,"&lt;&gt;"))</f>
        <v>0</v>
      </c>
      <c r="M40" s="379" t="str">
        <f>IF(Tabela2[[#This Row],[UNID.]]&lt;&gt;"",IFERROR(VLOOKUP(Tabela2[[#This Row],[AGRUPADOR]],Lucratividade!$D$4:$O$129,6,0),0),"")</f>
        <v/>
      </c>
      <c r="N40" s="379">
        <f>IF(H40&lt;&gt;"",J40*M40*I40,SUMIFS(N41:N$9844,$F41:$F$9844,"*"&amp;F40&amp;"*",$H41:$H$9844,"&lt;&gt;"))</f>
        <v>0</v>
      </c>
      <c r="O40" s="162" t="str">
        <f>IFERROR((-Tabela2[[#This Row],[CUSTO TOTAL]]+Tabela2[[#This Row],[VENDA TOTAL]])/Tabela2[[#This Row],[VENDA TOTAL]]-PARAMETROS!$C$19,"")</f>
        <v/>
      </c>
      <c r="AA40" s="219">
        <f>SUM(Plan_Orc[[#This Row],[01/jan]:[01/dez]])</f>
        <v>0</v>
      </c>
      <c r="AB40" s="113"/>
      <c r="AC40" s="113"/>
      <c r="AD40" s="113"/>
      <c r="AE40" s="113"/>
      <c r="AF40" s="113"/>
      <c r="AG40" s="113"/>
      <c r="AH40" s="113"/>
      <c r="AI40" s="113"/>
      <c r="AJ40" s="113"/>
      <c r="AK40" s="113"/>
      <c r="AL40" s="113"/>
      <c r="AM40" s="113"/>
    </row>
    <row r="41" spans="2:39" ht="25.2" customHeight="1" x14ac:dyDescent="0.3">
      <c r="B41" s="13" t="str">
        <f t="shared" si="0"/>
        <v/>
      </c>
      <c r="C41" s="18"/>
      <c r="D41" s="19" t="str">
        <f>IF(Tabela2[[#This Row],[AGRUPADOR]]&lt;&gt;"",VLOOKUP(Tabela2[[#This Row],[AGRUPADOR]],Tabela1[],2,0),"")</f>
        <v/>
      </c>
      <c r="E41" s="19" t="str">
        <f>IF(Tabela2[[#This Row],[AGRUPADOR]]&lt;&gt;"",VLOOKUP(Tabela2[[#This Row],[AGRUPADOR]],Tabela1[],4,0),"")</f>
        <v/>
      </c>
      <c r="F41" s="14"/>
      <c r="G41" s="6"/>
      <c r="H41" s="6"/>
      <c r="I41" s="25"/>
      <c r="J41" s="7"/>
      <c r="K41" s="15" t="str">
        <f>IF(Tabela2[[#This Row],[UNID.]]&lt;&gt;"",S41*(1+$R$2),"")</f>
        <v/>
      </c>
      <c r="L41" s="379">
        <f>IF(H41&lt;&gt;"",J41*K41,SUMIFS(L42:L$9844,$F42:$F$9844,"*"&amp;F41&amp;"*",$H42:$H$9844,"&lt;&gt;"))</f>
        <v>0</v>
      </c>
      <c r="M41" s="379" t="str">
        <f>IF(Tabela2[[#This Row],[UNID.]]&lt;&gt;"",IFERROR(VLOOKUP(Tabela2[[#This Row],[AGRUPADOR]],Lucratividade!$D$4:$O$129,6,0),0),"")</f>
        <v/>
      </c>
      <c r="N41" s="379">
        <f>IF(H41&lt;&gt;"",J41*M41*I41,SUMIFS(N42:N$9844,$F42:$F$9844,"*"&amp;F41&amp;"*",$H42:$H$9844,"&lt;&gt;"))</f>
        <v>0</v>
      </c>
      <c r="O41" s="162" t="str">
        <f>IFERROR((-Tabela2[[#This Row],[CUSTO TOTAL]]+Tabela2[[#This Row],[VENDA TOTAL]])/Tabela2[[#This Row],[VENDA TOTAL]]-PARAMETROS!$C$19,"")</f>
        <v/>
      </c>
      <c r="R41" s="316"/>
      <c r="AA41" s="219">
        <f>SUM(Plan_Orc[[#This Row],[01/jan]:[01/dez]])</f>
        <v>0</v>
      </c>
      <c r="AB41" s="114"/>
      <c r="AC41" s="114"/>
      <c r="AD41" s="114"/>
      <c r="AE41" s="114"/>
      <c r="AF41" s="114"/>
      <c r="AG41" s="114"/>
      <c r="AH41" s="114"/>
      <c r="AI41" s="114"/>
      <c r="AJ41" s="114"/>
      <c r="AK41" s="114"/>
      <c r="AL41" s="114"/>
      <c r="AM41" s="114"/>
    </row>
    <row r="42" spans="2:39" ht="25.2" customHeight="1" x14ac:dyDescent="0.3">
      <c r="B42" s="13" t="str">
        <f t="shared" si="0"/>
        <v/>
      </c>
      <c r="C42" s="18"/>
      <c r="D42" s="19" t="str">
        <f>IF(Tabela2[[#This Row],[AGRUPADOR]]&lt;&gt;"",VLOOKUP(Tabela2[[#This Row],[AGRUPADOR]],Tabela1[],2,0),"")</f>
        <v/>
      </c>
      <c r="E42" s="19" t="str">
        <f>IF(Tabela2[[#This Row],[AGRUPADOR]]&lt;&gt;"",VLOOKUP(Tabela2[[#This Row],[AGRUPADOR]],Tabela1[],4,0),"")</f>
        <v/>
      </c>
      <c r="F42" s="14"/>
      <c r="G42" s="6"/>
      <c r="H42" s="6"/>
      <c r="I42" s="25"/>
      <c r="J42" s="7"/>
      <c r="K42" s="15" t="str">
        <f>IF(Tabela2[[#This Row],[UNID.]]&lt;&gt;"",S42*(1+$R$2),"")</f>
        <v/>
      </c>
      <c r="L42" s="379">
        <f>IF(H42&lt;&gt;"",J42*K42,SUMIFS(L43:L$9844,$F43:$F$9844,"*"&amp;F42&amp;"*",$H43:$H$9844,"&lt;&gt;"))</f>
        <v>0</v>
      </c>
      <c r="M42" s="379" t="str">
        <f>IF(Tabela2[[#This Row],[UNID.]]&lt;&gt;"",IFERROR(VLOOKUP(Tabela2[[#This Row],[AGRUPADOR]],Lucratividade!$D$4:$O$129,6,0),0),"")</f>
        <v/>
      </c>
      <c r="N42" s="379">
        <f>IF(H42&lt;&gt;"",J42*M42*I42,SUMIFS(N43:N$9844,$F43:$F$9844,"*"&amp;F42&amp;"*",$H43:$H$9844,"&lt;&gt;"))</f>
        <v>0</v>
      </c>
      <c r="O42" s="162" t="str">
        <f>IFERROR((-Tabela2[[#This Row],[CUSTO TOTAL]]+Tabela2[[#This Row],[VENDA TOTAL]])/Tabela2[[#This Row],[VENDA TOTAL]]-PARAMETROS!$C$19,"")</f>
        <v/>
      </c>
      <c r="AA42" s="219">
        <f>SUM(Plan_Orc[[#This Row],[01/jan]:[01/dez]])</f>
        <v>0</v>
      </c>
      <c r="AB42" s="114"/>
      <c r="AC42" s="114"/>
      <c r="AD42" s="114"/>
      <c r="AE42" s="114"/>
      <c r="AF42" s="114"/>
      <c r="AG42" s="114"/>
      <c r="AH42" s="114"/>
      <c r="AI42" s="114"/>
      <c r="AJ42" s="114"/>
      <c r="AK42" s="114"/>
      <c r="AL42" s="114"/>
      <c r="AM42" s="114"/>
    </row>
    <row r="43" spans="2:39" ht="25.2" customHeight="1" x14ac:dyDescent="0.3">
      <c r="B43" s="13" t="str">
        <f t="shared" si="0"/>
        <v/>
      </c>
      <c r="C43" s="18"/>
      <c r="D43" s="19" t="str">
        <f>IF(Tabela2[[#This Row],[AGRUPADOR]]&lt;&gt;"",VLOOKUP(Tabela2[[#This Row],[AGRUPADOR]],Tabela1[],2,0),"")</f>
        <v/>
      </c>
      <c r="E43" s="19" t="str">
        <f>IF(Tabela2[[#This Row],[AGRUPADOR]]&lt;&gt;"",VLOOKUP(Tabela2[[#This Row],[AGRUPADOR]],Tabela1[],4,0),"")</f>
        <v/>
      </c>
      <c r="F43" s="14"/>
      <c r="G43" s="6"/>
      <c r="H43" s="6"/>
      <c r="I43" s="25"/>
      <c r="J43" s="7"/>
      <c r="K43" s="15" t="str">
        <f>IF(Tabela2[[#This Row],[UNID.]]&lt;&gt;"",S43*(1+$R$2),"")</f>
        <v/>
      </c>
      <c r="L43" s="379">
        <f>IF(H43&lt;&gt;"",J43*K43,SUMIFS(L44:L$9844,$F44:$F$9844,"*"&amp;F43&amp;"*",$H44:$H$9844,"&lt;&gt;"))</f>
        <v>0</v>
      </c>
      <c r="M43" s="379" t="str">
        <f>IF(Tabela2[[#This Row],[UNID.]]&lt;&gt;"",IFERROR(VLOOKUP(Tabela2[[#This Row],[AGRUPADOR]],Lucratividade!$D$4:$O$129,6,0),0),"")</f>
        <v/>
      </c>
      <c r="N43" s="379">
        <f>IF(H43&lt;&gt;"",J43*M43*I43,SUMIFS(N44:N$9844,$F44:$F$9844,"*"&amp;F43&amp;"*",$H44:$H$9844,"&lt;&gt;"))</f>
        <v>0</v>
      </c>
      <c r="O43" s="162" t="str">
        <f>IFERROR((-Tabela2[[#This Row],[CUSTO TOTAL]]+Tabela2[[#This Row],[VENDA TOTAL]])/Tabela2[[#This Row],[VENDA TOTAL]]-PARAMETROS!$C$19,"")</f>
        <v/>
      </c>
      <c r="AA43" s="219">
        <f>SUM(Plan_Orc[[#This Row],[01/jan]:[01/dez]])</f>
        <v>0</v>
      </c>
      <c r="AB43" s="114"/>
      <c r="AC43" s="114"/>
      <c r="AD43" s="114"/>
      <c r="AE43" s="114"/>
      <c r="AF43" s="114"/>
      <c r="AG43" s="114"/>
      <c r="AH43" s="114"/>
      <c r="AI43" s="114"/>
      <c r="AJ43" s="114"/>
      <c r="AK43" s="114"/>
      <c r="AL43" s="114"/>
      <c r="AM43" s="114"/>
    </row>
    <row r="44" spans="2:39" ht="25.2" customHeight="1" x14ac:dyDescent="0.3">
      <c r="B44" s="13" t="str">
        <f t="shared" si="0"/>
        <v/>
      </c>
      <c r="C44" s="18"/>
      <c r="D44" s="19" t="str">
        <f>IF(Tabela2[[#This Row],[AGRUPADOR]]&lt;&gt;"",VLOOKUP(Tabela2[[#This Row],[AGRUPADOR]],Tabela1[],2,0),"")</f>
        <v/>
      </c>
      <c r="E44" s="19" t="str">
        <f>IF(Tabela2[[#This Row],[AGRUPADOR]]&lt;&gt;"",VLOOKUP(Tabela2[[#This Row],[AGRUPADOR]],Tabela1[],4,0),"")</f>
        <v/>
      </c>
      <c r="F44" s="14"/>
      <c r="G44" s="6"/>
      <c r="H44" s="6"/>
      <c r="I44" s="25"/>
      <c r="J44" s="7"/>
      <c r="K44" s="15" t="str">
        <f>IF(Tabela2[[#This Row],[UNID.]]&lt;&gt;"",S44*(1+$R$2),"")</f>
        <v/>
      </c>
      <c r="L44" s="379">
        <f>IF(H44&lt;&gt;"",J44*K44,SUMIFS(L45:L$9844,$F45:$F$9844,"*"&amp;F44&amp;"*",$H45:$H$9844,"&lt;&gt;"))</f>
        <v>0</v>
      </c>
      <c r="M44" s="379" t="str">
        <f>IF(Tabela2[[#This Row],[UNID.]]&lt;&gt;"",IFERROR(VLOOKUP(Tabela2[[#This Row],[AGRUPADOR]],Lucratividade!$D$4:$O$129,6,0),0),"")</f>
        <v/>
      </c>
      <c r="N44" s="379">
        <f>IF(H44&lt;&gt;"",J44*M44*I44,SUMIFS(N45:N$9844,$F45:$F$9844,"*"&amp;F44&amp;"*",$H45:$H$9844,"&lt;&gt;"))</f>
        <v>0</v>
      </c>
      <c r="O44" s="162" t="str">
        <f>IFERROR((-Tabela2[[#This Row],[CUSTO TOTAL]]+Tabela2[[#This Row],[VENDA TOTAL]])/Tabela2[[#This Row],[VENDA TOTAL]]-PARAMETROS!$C$19,"")</f>
        <v/>
      </c>
      <c r="AA44" s="219">
        <f>SUM(Plan_Orc[[#This Row],[01/jan]:[01/dez]])</f>
        <v>0</v>
      </c>
      <c r="AB44" s="114"/>
      <c r="AC44" s="114"/>
      <c r="AD44" s="114"/>
      <c r="AE44" s="114"/>
      <c r="AF44" s="114"/>
      <c r="AG44" s="114"/>
      <c r="AH44" s="114"/>
      <c r="AI44" s="114"/>
      <c r="AJ44" s="114"/>
      <c r="AK44" s="114"/>
      <c r="AL44" s="114"/>
      <c r="AM44" s="114"/>
    </row>
    <row r="45" spans="2:39" ht="25.2" customHeight="1" x14ac:dyDescent="0.3">
      <c r="B45" s="13" t="str">
        <f t="shared" si="0"/>
        <v/>
      </c>
      <c r="C45" s="18"/>
      <c r="D45" s="19" t="str">
        <f>IF(Tabela2[[#This Row],[AGRUPADOR]]&lt;&gt;"",VLOOKUP(Tabela2[[#This Row],[AGRUPADOR]],Tabela1[],2,0),"")</f>
        <v/>
      </c>
      <c r="E45" s="19" t="str">
        <f>IF(Tabela2[[#This Row],[AGRUPADOR]]&lt;&gt;"",VLOOKUP(Tabela2[[#This Row],[AGRUPADOR]],Tabela1[],4,0),"")</f>
        <v/>
      </c>
      <c r="F45" s="14"/>
      <c r="G45" s="6"/>
      <c r="H45" s="6"/>
      <c r="I45" s="25"/>
      <c r="J45" s="7"/>
      <c r="K45" s="15" t="str">
        <f>IF(Tabela2[[#This Row],[UNID.]]&lt;&gt;"",S45*(1+$R$2),"")</f>
        <v/>
      </c>
      <c r="L45" s="379">
        <f>IF(H45&lt;&gt;"",J45*K45,SUMIFS(L46:L$9844,$F46:$F$9844,"*"&amp;F45&amp;"*",$H46:$H$9844,"&lt;&gt;"))</f>
        <v>0</v>
      </c>
      <c r="M45" s="379" t="str">
        <f>IF(Tabela2[[#This Row],[UNID.]]&lt;&gt;"",IFERROR(VLOOKUP(Tabela2[[#This Row],[AGRUPADOR]],Lucratividade!$D$4:$O$129,6,0),0),"")</f>
        <v/>
      </c>
      <c r="N45" s="379">
        <f>IF(H45&lt;&gt;"",J45*M45*I45,SUMIFS(N46:N$9844,$F46:$F$9844,"*"&amp;F45&amp;"*",$H46:$H$9844,"&lt;&gt;"))</f>
        <v>0</v>
      </c>
      <c r="O45" s="162" t="str">
        <f>IFERROR((-Tabela2[[#This Row],[CUSTO TOTAL]]+Tabela2[[#This Row],[VENDA TOTAL]])/Tabela2[[#This Row],[VENDA TOTAL]]-PARAMETROS!$C$19,"")</f>
        <v/>
      </c>
      <c r="AA45" s="219">
        <f>SUM(Plan_Orc[[#This Row],[01/jan]:[01/dez]])</f>
        <v>0</v>
      </c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  <c r="AL45" s="114"/>
      <c r="AM45" s="114"/>
    </row>
    <row r="46" spans="2:39" ht="25.2" customHeight="1" x14ac:dyDescent="0.3">
      <c r="B46" s="13" t="str">
        <f t="shared" si="0"/>
        <v/>
      </c>
      <c r="C46" s="18"/>
      <c r="D46" s="19" t="str">
        <f>IF(Tabela2[[#This Row],[AGRUPADOR]]&lt;&gt;"",VLOOKUP(Tabela2[[#This Row],[AGRUPADOR]],Tabela1[],2,0),"")</f>
        <v/>
      </c>
      <c r="E46" s="19" t="str">
        <f>IF(Tabela2[[#This Row],[AGRUPADOR]]&lt;&gt;"",VLOOKUP(Tabela2[[#This Row],[AGRUPADOR]],Tabela1[],4,0),"")</f>
        <v/>
      </c>
      <c r="F46" s="14"/>
      <c r="G46" s="6"/>
      <c r="H46" s="6"/>
      <c r="I46" s="25"/>
      <c r="J46" s="7"/>
      <c r="K46" s="15" t="str">
        <f>IF(Tabela2[[#This Row],[UNID.]]&lt;&gt;"",S46*(1+$R$2),"")</f>
        <v/>
      </c>
      <c r="L46" s="379">
        <f>IF(H46&lt;&gt;"",J46*K46,SUMIFS(L47:L$9844,$F47:$F$9844,"*"&amp;F46&amp;"*",$H47:$H$9844,"&lt;&gt;"))</f>
        <v>0</v>
      </c>
      <c r="M46" s="379" t="str">
        <f>IF(Tabela2[[#This Row],[UNID.]]&lt;&gt;"",IFERROR(VLOOKUP(Tabela2[[#This Row],[AGRUPADOR]],Lucratividade!$D$4:$O$129,6,0),0),"")</f>
        <v/>
      </c>
      <c r="N46" s="379">
        <f>IF(H46&lt;&gt;"",J46*M46*I46,SUMIFS(N47:N$9844,$F47:$F$9844,"*"&amp;F46&amp;"*",$H47:$H$9844,"&lt;&gt;"))</f>
        <v>0</v>
      </c>
      <c r="O46" s="162" t="str">
        <f>IFERROR((-Tabela2[[#This Row],[CUSTO TOTAL]]+Tabela2[[#This Row],[VENDA TOTAL]])/Tabela2[[#This Row],[VENDA TOTAL]]-PARAMETROS!$C$19,"")</f>
        <v/>
      </c>
      <c r="AA46" s="218">
        <f>SUM(Plan_Orc[[#This Row],[01/jan]:[01/dez]])</f>
        <v>0</v>
      </c>
      <c r="AB46" s="114"/>
      <c r="AC46" s="114"/>
      <c r="AD46" s="114"/>
      <c r="AE46" s="114"/>
      <c r="AF46" s="114"/>
      <c r="AG46" s="114"/>
      <c r="AH46" s="114"/>
      <c r="AI46" s="114"/>
      <c r="AJ46" s="114"/>
      <c r="AK46" s="114"/>
      <c r="AL46" s="114"/>
      <c r="AM46" s="114"/>
    </row>
    <row r="47" spans="2:39" ht="25.2" customHeight="1" x14ac:dyDescent="0.3">
      <c r="B47" s="13" t="str">
        <f t="shared" si="0"/>
        <v/>
      </c>
      <c r="C47" s="18"/>
      <c r="D47" s="19" t="str">
        <f>IF(Tabela2[[#This Row],[AGRUPADOR]]&lt;&gt;"",VLOOKUP(Tabela2[[#This Row],[AGRUPADOR]],Tabela1[],2,0),"")</f>
        <v/>
      </c>
      <c r="E47" s="19" t="str">
        <f>IF(Tabela2[[#This Row],[AGRUPADOR]]&lt;&gt;"",VLOOKUP(Tabela2[[#This Row],[AGRUPADOR]],Tabela1[],4,0),"")</f>
        <v/>
      </c>
      <c r="F47" s="14"/>
      <c r="G47" s="6"/>
      <c r="H47" s="6"/>
      <c r="I47" s="25"/>
      <c r="J47" s="7"/>
      <c r="K47" s="15" t="str">
        <f>IF(Tabela2[[#This Row],[UNID.]]&lt;&gt;"",S47*(1+$R$2),"")</f>
        <v/>
      </c>
      <c r="L47" s="379">
        <f>IF(H47&lt;&gt;"",J47*K47,SUMIFS(L48:L$9844,$F48:$F$9844,"*"&amp;F47&amp;"*",$H48:$H$9844,"&lt;&gt;"))</f>
        <v>0</v>
      </c>
      <c r="M47" s="379" t="str">
        <f>IF(Tabela2[[#This Row],[UNID.]]&lt;&gt;"",IFERROR(VLOOKUP(Tabela2[[#This Row],[AGRUPADOR]],Lucratividade!$D$4:$O$129,6,0),0),"")</f>
        <v/>
      </c>
      <c r="N47" s="379">
        <f>IF(H47&lt;&gt;"",J47*M47*I47,SUMIFS(N48:N$9844,$F48:$F$9844,"*"&amp;F47&amp;"*",$H48:$H$9844,"&lt;&gt;"))</f>
        <v>0</v>
      </c>
      <c r="O47" s="162" t="str">
        <f>IFERROR((-Tabela2[[#This Row],[CUSTO TOTAL]]+Tabela2[[#This Row],[VENDA TOTAL]])/Tabela2[[#This Row],[VENDA TOTAL]]-PARAMETROS!$C$19,"")</f>
        <v/>
      </c>
      <c r="AA47" s="219">
        <f>SUM(Plan_Orc[[#This Row],[01/jan]:[01/dez]])</f>
        <v>0</v>
      </c>
      <c r="AB47" s="114"/>
      <c r="AC47" s="114"/>
      <c r="AD47" s="114"/>
      <c r="AE47" s="114"/>
      <c r="AF47" s="114"/>
      <c r="AG47" s="114"/>
      <c r="AH47" s="114"/>
      <c r="AI47" s="114"/>
      <c r="AJ47" s="114"/>
      <c r="AK47" s="114"/>
      <c r="AL47" s="114"/>
      <c r="AM47" s="114"/>
    </row>
    <row r="48" spans="2:39" ht="25.2" customHeight="1" x14ac:dyDescent="0.3">
      <c r="B48" s="13" t="str">
        <f t="shared" si="0"/>
        <v/>
      </c>
      <c r="C48" s="18"/>
      <c r="D48" s="19" t="str">
        <f>IF(Tabela2[[#This Row],[AGRUPADOR]]&lt;&gt;"",VLOOKUP(Tabela2[[#This Row],[AGRUPADOR]],Tabela1[],2,0),"")</f>
        <v/>
      </c>
      <c r="E48" s="19" t="str">
        <f>IF(Tabela2[[#This Row],[AGRUPADOR]]&lt;&gt;"",VLOOKUP(Tabela2[[#This Row],[AGRUPADOR]],Tabela1[],4,0),"")</f>
        <v/>
      </c>
      <c r="F48" s="14"/>
      <c r="G48" s="6"/>
      <c r="H48" s="6"/>
      <c r="I48" s="25"/>
      <c r="J48" s="7"/>
      <c r="K48" s="15" t="str">
        <f>IF(Tabela2[[#This Row],[UNID.]]&lt;&gt;"",S48*(1+$R$2),"")</f>
        <v/>
      </c>
      <c r="L48" s="379">
        <f>IF(H48&lt;&gt;"",J48*K48,SUMIFS(L49:L$9844,$F49:$F$9844,"*"&amp;F48&amp;"*",$H49:$H$9844,"&lt;&gt;"))</f>
        <v>0</v>
      </c>
      <c r="M48" s="379" t="str">
        <f>IF(Tabela2[[#This Row],[UNID.]]&lt;&gt;"",IFERROR(VLOOKUP(Tabela2[[#This Row],[AGRUPADOR]],Lucratividade!$D$4:$O$129,6,0),0),"")</f>
        <v/>
      </c>
      <c r="N48" s="379">
        <f>IF(H48&lt;&gt;"",J48*M48*I48,SUMIFS(N49:N$9844,$F49:$F$9844,"*"&amp;F48&amp;"*",$H49:$H$9844,"&lt;&gt;"))</f>
        <v>0</v>
      </c>
      <c r="O48" s="162" t="str">
        <f>IFERROR((-Tabela2[[#This Row],[CUSTO TOTAL]]+Tabela2[[#This Row],[VENDA TOTAL]])/Tabela2[[#This Row],[VENDA TOTAL]]-PARAMETROS!$C$19,"")</f>
        <v/>
      </c>
      <c r="AA48" s="219">
        <f>SUM(Plan_Orc[[#This Row],[01/jan]:[01/dez]])</f>
        <v>0</v>
      </c>
      <c r="AB48" s="114"/>
      <c r="AC48" s="114"/>
      <c r="AD48" s="114"/>
      <c r="AE48" s="114"/>
      <c r="AF48" s="114"/>
      <c r="AG48" s="114"/>
      <c r="AH48" s="114"/>
      <c r="AI48" s="114"/>
      <c r="AJ48" s="114"/>
      <c r="AK48" s="114"/>
      <c r="AL48" s="114"/>
      <c r="AM48" s="114"/>
    </row>
    <row r="49" spans="2:39" ht="25.2" customHeight="1" x14ac:dyDescent="0.3">
      <c r="B49" s="13" t="str">
        <f t="shared" si="0"/>
        <v/>
      </c>
      <c r="C49" s="18"/>
      <c r="D49" s="19" t="str">
        <f>IF(Tabela2[[#This Row],[AGRUPADOR]]&lt;&gt;"",VLOOKUP(Tabela2[[#This Row],[AGRUPADOR]],Tabela1[],2,0),"")</f>
        <v/>
      </c>
      <c r="E49" s="19" t="str">
        <f>IF(Tabela2[[#This Row],[AGRUPADOR]]&lt;&gt;"",VLOOKUP(Tabela2[[#This Row],[AGRUPADOR]],Tabela1[],4,0),"")</f>
        <v/>
      </c>
      <c r="F49" s="14"/>
      <c r="G49" s="6"/>
      <c r="H49" s="6"/>
      <c r="I49" s="25"/>
      <c r="J49" s="7"/>
      <c r="K49" s="15" t="str">
        <f>IF(Tabela2[[#This Row],[UNID.]]&lt;&gt;"",S49*(1+$R$2),"")</f>
        <v/>
      </c>
      <c r="L49" s="379">
        <f>IF(H49&lt;&gt;"",J49*K49,SUMIFS(L50:L$9844,$F50:$F$9844,"*"&amp;F49&amp;"*",$H50:$H$9844,"&lt;&gt;"))</f>
        <v>0</v>
      </c>
      <c r="M49" s="379" t="str">
        <f>IF(Tabela2[[#This Row],[UNID.]]&lt;&gt;"",IFERROR(VLOOKUP(Tabela2[[#This Row],[AGRUPADOR]],Lucratividade!$D$4:$O$129,6,0),0),"")</f>
        <v/>
      </c>
      <c r="N49" s="379">
        <f>IF(H49&lt;&gt;"",J49*M49*I49,SUMIFS(N50:N$9844,$F50:$F$9844,"*"&amp;F49&amp;"*",$H50:$H$9844,"&lt;&gt;"))</f>
        <v>0</v>
      </c>
      <c r="O49" s="162" t="str">
        <f>IFERROR((-Tabela2[[#This Row],[CUSTO TOTAL]]+Tabela2[[#This Row],[VENDA TOTAL]])/Tabela2[[#This Row],[VENDA TOTAL]]-PARAMETROS!$C$19,"")</f>
        <v/>
      </c>
      <c r="AA49" s="219">
        <f>SUM(Plan_Orc[[#This Row],[01/jan]:[01/dez]])</f>
        <v>0</v>
      </c>
      <c r="AB49" s="114"/>
      <c r="AC49" s="114"/>
      <c r="AD49" s="114"/>
      <c r="AE49" s="114"/>
      <c r="AF49" s="114"/>
      <c r="AG49" s="114"/>
      <c r="AH49" s="114"/>
      <c r="AI49" s="114"/>
      <c r="AJ49" s="114"/>
      <c r="AK49" s="114"/>
      <c r="AL49" s="114"/>
      <c r="AM49" s="114"/>
    </row>
    <row r="50" spans="2:39" ht="25.2" customHeight="1" x14ac:dyDescent="0.3">
      <c r="B50" s="13" t="str">
        <f t="shared" si="0"/>
        <v/>
      </c>
      <c r="C50" s="18"/>
      <c r="D50" s="19" t="str">
        <f>IF(Tabela2[[#This Row],[AGRUPADOR]]&lt;&gt;"",VLOOKUP(Tabela2[[#This Row],[AGRUPADOR]],Tabela1[],2,0),"")</f>
        <v/>
      </c>
      <c r="E50" s="19" t="str">
        <f>IF(Tabela2[[#This Row],[AGRUPADOR]]&lt;&gt;"",VLOOKUP(Tabela2[[#This Row],[AGRUPADOR]],Tabela1[],4,0),"")</f>
        <v/>
      </c>
      <c r="F50" s="14"/>
      <c r="G50" s="6"/>
      <c r="H50" s="6"/>
      <c r="I50" s="25"/>
      <c r="J50" s="7"/>
      <c r="K50" s="15" t="str">
        <f>IF(Tabela2[[#This Row],[UNID.]]&lt;&gt;"",S50*(1+$R$2),"")</f>
        <v/>
      </c>
      <c r="L50" s="379">
        <f>IF(H50&lt;&gt;"",J50*K50,SUMIFS(L51:L$9844,$F51:$F$9844,"*"&amp;F50&amp;"*",$H51:$H$9844,"&lt;&gt;"))</f>
        <v>0</v>
      </c>
      <c r="M50" s="379" t="str">
        <f>IF(Tabela2[[#This Row],[UNID.]]&lt;&gt;"",IFERROR(VLOOKUP(Tabela2[[#This Row],[AGRUPADOR]],Lucratividade!$D$4:$O$129,6,0),0),"")</f>
        <v/>
      </c>
      <c r="N50" s="379">
        <f>IF(H50&lt;&gt;"",J50*M50*I50,SUMIFS(N51:N$9844,$F51:$F$9844,"*"&amp;F50&amp;"*",$H51:$H$9844,"&lt;&gt;"))</f>
        <v>0</v>
      </c>
      <c r="O50" s="162" t="str">
        <f>IFERROR((-Tabela2[[#This Row],[CUSTO TOTAL]]+Tabela2[[#This Row],[VENDA TOTAL]])/Tabela2[[#This Row],[VENDA TOTAL]]-PARAMETROS!$C$19,"")</f>
        <v/>
      </c>
      <c r="AA50" s="219">
        <f>SUM(Plan_Orc[[#This Row],[01/jan]:[01/dez]])</f>
        <v>0</v>
      </c>
      <c r="AB50" s="114"/>
      <c r="AC50" s="114"/>
      <c r="AD50" s="114"/>
      <c r="AE50" s="114"/>
      <c r="AF50" s="114"/>
      <c r="AG50" s="114"/>
      <c r="AH50" s="114"/>
      <c r="AI50" s="114"/>
      <c r="AJ50" s="114"/>
      <c r="AK50" s="114"/>
      <c r="AL50" s="114"/>
      <c r="AM50" s="114"/>
    </row>
    <row r="51" spans="2:39" ht="25.2" customHeight="1" x14ac:dyDescent="0.3">
      <c r="B51" s="13" t="str">
        <f t="shared" si="0"/>
        <v/>
      </c>
      <c r="C51" s="18"/>
      <c r="D51" s="19" t="str">
        <f>IF(Tabela2[[#This Row],[AGRUPADOR]]&lt;&gt;"",VLOOKUP(Tabela2[[#This Row],[AGRUPADOR]],Tabela1[],2,0),"")</f>
        <v/>
      </c>
      <c r="E51" s="19" t="str">
        <f>IF(Tabela2[[#This Row],[AGRUPADOR]]&lt;&gt;"",VLOOKUP(Tabela2[[#This Row],[AGRUPADOR]],Tabela1[],4,0),"")</f>
        <v/>
      </c>
      <c r="F51" s="14"/>
      <c r="G51" s="6"/>
      <c r="H51" s="6"/>
      <c r="I51" s="25"/>
      <c r="J51" s="7"/>
      <c r="K51" s="15" t="str">
        <f>IF(Tabela2[[#This Row],[UNID.]]&lt;&gt;"",S51*(1+$R$2),"")</f>
        <v/>
      </c>
      <c r="L51" s="379">
        <f>IF(H51&lt;&gt;"",J51*K51,SUMIFS(L52:L$9844,$F52:$F$9844,"*"&amp;F51&amp;"*",$H52:$H$9844,"&lt;&gt;"))</f>
        <v>0</v>
      </c>
      <c r="M51" s="379" t="str">
        <f>IF(Tabela2[[#This Row],[UNID.]]&lt;&gt;"",IFERROR(VLOOKUP(Tabela2[[#This Row],[AGRUPADOR]],Lucratividade!$D$4:$O$129,6,0),0),"")</f>
        <v/>
      </c>
      <c r="N51" s="379">
        <f>IF(H51&lt;&gt;"",J51*M51*I51,SUMIFS(N52:N$9844,$F52:$F$9844,"*"&amp;F51&amp;"*",$H52:$H$9844,"&lt;&gt;"))</f>
        <v>0</v>
      </c>
      <c r="O51" s="162" t="str">
        <f>IFERROR((-Tabela2[[#This Row],[CUSTO TOTAL]]+Tabela2[[#This Row],[VENDA TOTAL]])/Tabela2[[#This Row],[VENDA TOTAL]]-PARAMETROS!$C$19,"")</f>
        <v/>
      </c>
      <c r="AA51" s="219">
        <f>SUM(Plan_Orc[[#This Row],[01/jan]:[01/dez]])</f>
        <v>0</v>
      </c>
      <c r="AB51" s="114"/>
      <c r="AC51" s="114"/>
      <c r="AD51" s="114"/>
      <c r="AE51" s="114"/>
      <c r="AF51" s="114"/>
      <c r="AG51" s="114"/>
      <c r="AH51" s="114"/>
      <c r="AI51" s="114"/>
      <c r="AJ51" s="114"/>
      <c r="AK51" s="114"/>
      <c r="AL51" s="114"/>
      <c r="AM51" s="114"/>
    </row>
    <row r="52" spans="2:39" ht="25.2" customHeight="1" x14ac:dyDescent="0.3">
      <c r="B52" s="13" t="str">
        <f t="shared" si="0"/>
        <v/>
      </c>
      <c r="C52" s="18"/>
      <c r="D52" s="19" t="str">
        <f>IF(Tabela2[[#This Row],[AGRUPADOR]]&lt;&gt;"",VLOOKUP(Tabela2[[#This Row],[AGRUPADOR]],Tabela1[],2,0),"")</f>
        <v/>
      </c>
      <c r="E52" s="19" t="str">
        <f>IF(Tabela2[[#This Row],[AGRUPADOR]]&lt;&gt;"",VLOOKUP(Tabela2[[#This Row],[AGRUPADOR]],Tabela1[],4,0),"")</f>
        <v/>
      </c>
      <c r="F52" s="14"/>
      <c r="G52" s="6"/>
      <c r="H52" s="6"/>
      <c r="I52" s="25"/>
      <c r="J52" s="7"/>
      <c r="K52" s="15" t="str">
        <f>IF(Tabela2[[#This Row],[UNID.]]&lt;&gt;"",S52*(1+$R$2),"")</f>
        <v/>
      </c>
      <c r="L52" s="379">
        <f>IF(H52&lt;&gt;"",J52*K52,SUMIFS(L53:L$9844,$F53:$F$9844,"*"&amp;F52&amp;"*",$H53:$H$9844,"&lt;&gt;"))</f>
        <v>0</v>
      </c>
      <c r="M52" s="379" t="str">
        <f>IF(Tabela2[[#This Row],[UNID.]]&lt;&gt;"",IFERROR(VLOOKUP(Tabela2[[#This Row],[AGRUPADOR]],Lucratividade!$D$4:$O$129,6,0),0),"")</f>
        <v/>
      </c>
      <c r="N52" s="379">
        <f>IF(H52&lt;&gt;"",J52*M52*I52,SUMIFS(N53:N$9844,$F53:$F$9844,"*"&amp;F52&amp;"*",$H53:$H$9844,"&lt;&gt;"))</f>
        <v>0</v>
      </c>
      <c r="O52" s="162" t="str">
        <f>IFERROR((-Tabela2[[#This Row],[CUSTO TOTAL]]+Tabela2[[#This Row],[VENDA TOTAL]])/Tabela2[[#This Row],[VENDA TOTAL]]-PARAMETROS!$C$19,"")</f>
        <v/>
      </c>
      <c r="AA52" s="219">
        <f>SUM(Plan_Orc[[#This Row],[01/jan]:[01/dez]])</f>
        <v>0</v>
      </c>
      <c r="AB52" s="113"/>
      <c r="AC52" s="113"/>
      <c r="AD52" s="113"/>
      <c r="AE52" s="113"/>
      <c r="AF52" s="113"/>
      <c r="AG52" s="113"/>
      <c r="AH52" s="113"/>
      <c r="AI52" s="113"/>
      <c r="AJ52" s="113"/>
      <c r="AK52" s="113"/>
      <c r="AL52" s="113"/>
      <c r="AM52" s="113"/>
    </row>
    <row r="53" spans="2:39" ht="25.2" customHeight="1" x14ac:dyDescent="0.3">
      <c r="B53" s="13" t="str">
        <f t="shared" si="0"/>
        <v/>
      </c>
      <c r="C53" s="18"/>
      <c r="D53" s="19" t="str">
        <f>IF(Tabela2[[#This Row],[AGRUPADOR]]&lt;&gt;"",VLOOKUP(Tabela2[[#This Row],[AGRUPADOR]],Tabela1[],2,0),"")</f>
        <v/>
      </c>
      <c r="E53" s="19" t="str">
        <f>IF(Tabela2[[#This Row],[AGRUPADOR]]&lt;&gt;"",VLOOKUP(Tabela2[[#This Row],[AGRUPADOR]],Tabela1[],4,0),"")</f>
        <v/>
      </c>
      <c r="F53" s="14"/>
      <c r="G53" s="6"/>
      <c r="H53" s="6"/>
      <c r="I53" s="25"/>
      <c r="J53" s="7"/>
      <c r="K53" s="15" t="str">
        <f>IF(Tabela2[[#This Row],[UNID.]]&lt;&gt;"",S53*(1+$R$2),"")</f>
        <v/>
      </c>
      <c r="L53" s="379">
        <f>IF(H53&lt;&gt;"",J53*K53,SUMIFS(L54:L$9844,$F54:$F$9844,"*"&amp;F53&amp;"*",$H54:$H$9844,"&lt;&gt;"))</f>
        <v>0</v>
      </c>
      <c r="M53" s="379" t="str">
        <f>IF(Tabela2[[#This Row],[UNID.]]&lt;&gt;"",IFERROR(VLOOKUP(Tabela2[[#This Row],[AGRUPADOR]],Lucratividade!$D$4:$O$129,6,0),0),"")</f>
        <v/>
      </c>
      <c r="N53" s="379">
        <f>IF(H53&lt;&gt;"",J53*M53*I53,SUMIFS(N54:N$9844,$F54:$F$9844,"*"&amp;F53&amp;"*",$H54:$H$9844,"&lt;&gt;"))</f>
        <v>0</v>
      </c>
      <c r="O53" s="162" t="str">
        <f>IFERROR((-Tabela2[[#This Row],[CUSTO TOTAL]]+Tabela2[[#This Row],[VENDA TOTAL]])/Tabela2[[#This Row],[VENDA TOTAL]]-PARAMETROS!$C$19,"")</f>
        <v/>
      </c>
      <c r="AA53" s="219">
        <f>SUM(Plan_Orc[[#This Row],[01/jan]:[01/dez]])</f>
        <v>0</v>
      </c>
      <c r="AB53" s="114"/>
      <c r="AC53" s="114"/>
      <c r="AD53" s="114"/>
      <c r="AE53" s="114"/>
      <c r="AF53" s="114"/>
      <c r="AG53" s="114"/>
      <c r="AH53" s="114"/>
      <c r="AI53" s="114"/>
      <c r="AJ53" s="114"/>
      <c r="AK53" s="114"/>
      <c r="AL53" s="114"/>
      <c r="AM53" s="114"/>
    </row>
    <row r="54" spans="2:39" ht="25.2" customHeight="1" x14ac:dyDescent="0.3">
      <c r="B54" s="13" t="str">
        <f t="shared" si="0"/>
        <v/>
      </c>
      <c r="C54" s="18"/>
      <c r="D54" s="19" t="str">
        <f>IF(Tabela2[[#This Row],[AGRUPADOR]]&lt;&gt;"",VLOOKUP(Tabela2[[#This Row],[AGRUPADOR]],Tabela1[],2,0),"")</f>
        <v/>
      </c>
      <c r="E54" s="19" t="str">
        <f>IF(Tabela2[[#This Row],[AGRUPADOR]]&lt;&gt;"",VLOOKUP(Tabela2[[#This Row],[AGRUPADOR]],Tabela1[],4,0),"")</f>
        <v/>
      </c>
      <c r="F54" s="14"/>
      <c r="G54" s="6"/>
      <c r="H54" s="6"/>
      <c r="I54" s="25"/>
      <c r="J54" s="7"/>
      <c r="K54" s="15" t="str">
        <f>IF(Tabela2[[#This Row],[UNID.]]&lt;&gt;"",S54*(1+$R$2),"")</f>
        <v/>
      </c>
      <c r="L54" s="379">
        <f>IF(H54&lt;&gt;"",J54*K54,SUMIFS(L55:L$9844,$F55:$F$9844,"*"&amp;F54&amp;"*",$H55:$H$9844,"&lt;&gt;"))</f>
        <v>0</v>
      </c>
      <c r="M54" s="379" t="str">
        <f>IF(Tabela2[[#This Row],[UNID.]]&lt;&gt;"",IFERROR(VLOOKUP(Tabela2[[#This Row],[AGRUPADOR]],Lucratividade!$D$4:$O$129,6,0),0),"")</f>
        <v/>
      </c>
      <c r="N54" s="379">
        <f>IF(H54&lt;&gt;"",J54*M54*I54,SUMIFS(N55:N$9844,$F55:$F$9844,"*"&amp;F54&amp;"*",$H55:$H$9844,"&lt;&gt;"))</f>
        <v>0</v>
      </c>
      <c r="O54" s="162" t="str">
        <f>IFERROR((-Tabela2[[#This Row],[CUSTO TOTAL]]+Tabela2[[#This Row],[VENDA TOTAL]])/Tabela2[[#This Row],[VENDA TOTAL]]-PARAMETROS!$C$19,"")</f>
        <v/>
      </c>
      <c r="AA54" s="219">
        <f>SUM(Plan_Orc[[#This Row],[01/jan]:[01/dez]])</f>
        <v>0</v>
      </c>
      <c r="AB54" s="114"/>
      <c r="AC54" s="114"/>
      <c r="AD54" s="114"/>
      <c r="AE54" s="114"/>
      <c r="AF54" s="114"/>
      <c r="AG54" s="114"/>
      <c r="AH54" s="114"/>
      <c r="AI54" s="114"/>
      <c r="AJ54" s="114"/>
      <c r="AK54" s="114"/>
      <c r="AL54" s="114"/>
      <c r="AM54" s="114"/>
    </row>
    <row r="55" spans="2:39" ht="25.2" customHeight="1" x14ac:dyDescent="0.3">
      <c r="B55" s="13" t="str">
        <f t="shared" si="0"/>
        <v/>
      </c>
      <c r="C55" s="18"/>
      <c r="D55" s="19" t="str">
        <f>IF(Tabela2[[#This Row],[AGRUPADOR]]&lt;&gt;"",VLOOKUP(Tabela2[[#This Row],[AGRUPADOR]],Tabela1[],2,0),"")</f>
        <v/>
      </c>
      <c r="E55" s="19" t="str">
        <f>IF(Tabela2[[#This Row],[AGRUPADOR]]&lt;&gt;"",VLOOKUP(Tabela2[[#This Row],[AGRUPADOR]],Tabela1[],4,0),"")</f>
        <v/>
      </c>
      <c r="F55" s="14"/>
      <c r="G55" s="6"/>
      <c r="H55" s="6"/>
      <c r="I55" s="25"/>
      <c r="J55" s="7"/>
      <c r="K55" s="15" t="str">
        <f>IF(Tabela2[[#This Row],[UNID.]]&lt;&gt;"",S55*(1+$R$2),"")</f>
        <v/>
      </c>
      <c r="L55" s="379">
        <f>IF(H55&lt;&gt;"",J55*K55,SUMIFS(L56:L$9844,$F56:$F$9844,"*"&amp;F55&amp;"*",$H56:$H$9844,"&lt;&gt;"))</f>
        <v>0</v>
      </c>
      <c r="M55" s="379" t="str">
        <f>IF(Tabela2[[#This Row],[UNID.]]&lt;&gt;"",IFERROR(VLOOKUP(Tabela2[[#This Row],[AGRUPADOR]],Lucratividade!$D$4:$O$129,6,0),0),"")</f>
        <v/>
      </c>
      <c r="N55" s="379">
        <f>IF(H55&lt;&gt;"",J55*M55*I55,SUMIFS(N56:N$9844,$F56:$F$9844,"*"&amp;F55&amp;"*",$H56:$H$9844,"&lt;&gt;"))</f>
        <v>0</v>
      </c>
      <c r="O55" s="162" t="str">
        <f>IFERROR((-Tabela2[[#This Row],[CUSTO TOTAL]]+Tabela2[[#This Row],[VENDA TOTAL]])/Tabela2[[#This Row],[VENDA TOTAL]]-PARAMETROS!$C$19,"")</f>
        <v/>
      </c>
      <c r="AA55" s="219">
        <f>SUM(Plan_Orc[[#This Row],[01/jan]:[01/dez]])</f>
        <v>0</v>
      </c>
      <c r="AB55" s="114"/>
      <c r="AC55" s="114"/>
      <c r="AD55" s="114"/>
      <c r="AE55" s="114"/>
      <c r="AF55" s="114"/>
      <c r="AG55" s="114"/>
      <c r="AH55" s="114"/>
      <c r="AI55" s="114"/>
      <c r="AJ55" s="114"/>
      <c r="AK55" s="114"/>
      <c r="AL55" s="114"/>
      <c r="AM55" s="114"/>
    </row>
    <row r="56" spans="2:39" ht="25.2" customHeight="1" x14ac:dyDescent="0.3">
      <c r="B56" s="13" t="str">
        <f t="shared" si="0"/>
        <v/>
      </c>
      <c r="C56" s="18"/>
      <c r="D56" s="19" t="str">
        <f>IF(Tabela2[[#This Row],[AGRUPADOR]]&lt;&gt;"",VLOOKUP(Tabela2[[#This Row],[AGRUPADOR]],Tabela1[],2,0),"")</f>
        <v/>
      </c>
      <c r="E56" s="19" t="str">
        <f>IF(Tabela2[[#This Row],[AGRUPADOR]]&lt;&gt;"",VLOOKUP(Tabela2[[#This Row],[AGRUPADOR]],Tabela1[],4,0),"")</f>
        <v/>
      </c>
      <c r="F56" s="14"/>
      <c r="G56" s="6"/>
      <c r="H56" s="6"/>
      <c r="I56" s="25"/>
      <c r="J56" s="7"/>
      <c r="K56" s="15" t="str">
        <f>IF(Tabela2[[#This Row],[UNID.]]&lt;&gt;"",S56*(1+$R$2),"")</f>
        <v/>
      </c>
      <c r="L56" s="379">
        <f>IF(H56&lt;&gt;"",J56*K56,SUMIFS(L57:L$9844,$F57:$F$9844,"*"&amp;F56&amp;"*",$H57:$H$9844,"&lt;&gt;"))</f>
        <v>0</v>
      </c>
      <c r="M56" s="379" t="str">
        <f>IF(Tabela2[[#This Row],[UNID.]]&lt;&gt;"",IFERROR(VLOOKUP(Tabela2[[#This Row],[AGRUPADOR]],Lucratividade!$D$4:$O$129,6,0),0),"")</f>
        <v/>
      </c>
      <c r="N56" s="379">
        <f>IF(H56&lt;&gt;"",J56*M56*I56,SUMIFS(N57:N$9844,$F57:$F$9844,"*"&amp;F56&amp;"*",$H57:$H$9844,"&lt;&gt;"))</f>
        <v>0</v>
      </c>
      <c r="O56" s="162" t="str">
        <f>IFERROR((-Tabela2[[#This Row],[CUSTO TOTAL]]+Tabela2[[#This Row],[VENDA TOTAL]])/Tabela2[[#This Row],[VENDA TOTAL]]-PARAMETROS!$C$19,"")</f>
        <v/>
      </c>
      <c r="AA56" s="219">
        <f>SUM(Plan_Orc[[#This Row],[01/jan]:[01/dez]])</f>
        <v>0</v>
      </c>
      <c r="AB56" s="114"/>
      <c r="AC56" s="114"/>
      <c r="AD56" s="114"/>
      <c r="AE56" s="114"/>
      <c r="AF56" s="114"/>
      <c r="AG56" s="114"/>
      <c r="AH56" s="114"/>
      <c r="AI56" s="114"/>
      <c r="AJ56" s="114"/>
      <c r="AK56" s="114"/>
      <c r="AL56" s="114"/>
      <c r="AM56" s="114"/>
    </row>
    <row r="57" spans="2:39" ht="25.2" customHeight="1" x14ac:dyDescent="0.3">
      <c r="B57" s="13" t="str">
        <f t="shared" si="0"/>
        <v/>
      </c>
      <c r="C57" s="18"/>
      <c r="D57" s="19" t="str">
        <f>IF(Tabela2[[#This Row],[AGRUPADOR]]&lt;&gt;"",VLOOKUP(Tabela2[[#This Row],[AGRUPADOR]],Tabela1[],2,0),"")</f>
        <v/>
      </c>
      <c r="E57" s="19" t="str">
        <f>IF(Tabela2[[#This Row],[AGRUPADOR]]&lt;&gt;"",VLOOKUP(Tabela2[[#This Row],[AGRUPADOR]],Tabela1[],4,0),"")</f>
        <v/>
      </c>
      <c r="F57" s="14"/>
      <c r="G57" s="6"/>
      <c r="H57" s="6"/>
      <c r="I57" s="25"/>
      <c r="J57" s="7"/>
      <c r="K57" s="15" t="str">
        <f>IF(Tabela2[[#This Row],[UNID.]]&lt;&gt;"",S57*(1+$R$2),"")</f>
        <v/>
      </c>
      <c r="L57" s="379">
        <f>IF(H57&lt;&gt;"",J57*K57,SUMIFS(L58:L$9844,$F58:$F$9844,"*"&amp;F57&amp;"*",$H58:$H$9844,"&lt;&gt;"))</f>
        <v>0</v>
      </c>
      <c r="M57" s="379" t="str">
        <f>IF(Tabela2[[#This Row],[UNID.]]&lt;&gt;"",IFERROR(VLOOKUP(Tabela2[[#This Row],[AGRUPADOR]],Lucratividade!$D$4:$O$129,6,0),0),"")</f>
        <v/>
      </c>
      <c r="N57" s="379">
        <f>IF(H57&lt;&gt;"",J57*M57*I57,SUMIFS(N58:N$9844,$F58:$F$9844,"*"&amp;F57&amp;"*",$H58:$H$9844,"&lt;&gt;"))</f>
        <v>0</v>
      </c>
      <c r="O57" s="162" t="str">
        <f>IFERROR((-Tabela2[[#This Row],[CUSTO TOTAL]]+Tabela2[[#This Row],[VENDA TOTAL]])/Tabela2[[#This Row],[VENDA TOTAL]]-PARAMETROS!$C$19,"")</f>
        <v/>
      </c>
      <c r="AA57" s="219">
        <f>SUM(Plan_Orc[[#This Row],[01/jan]:[01/dez]])</f>
        <v>0</v>
      </c>
      <c r="AB57" s="114"/>
      <c r="AC57" s="114"/>
      <c r="AD57" s="114"/>
      <c r="AE57" s="114"/>
      <c r="AF57" s="114"/>
      <c r="AG57" s="114"/>
      <c r="AH57" s="114"/>
      <c r="AI57" s="114"/>
      <c r="AJ57" s="114"/>
      <c r="AK57" s="114"/>
      <c r="AL57" s="114"/>
      <c r="AM57" s="114"/>
    </row>
    <row r="58" spans="2:39" ht="25.2" customHeight="1" x14ac:dyDescent="0.3">
      <c r="B58" s="13" t="str">
        <f t="shared" si="0"/>
        <v/>
      </c>
      <c r="C58" s="18"/>
      <c r="D58" s="19" t="str">
        <f>IF(Tabela2[[#This Row],[AGRUPADOR]]&lt;&gt;"",VLOOKUP(Tabela2[[#This Row],[AGRUPADOR]],Tabela1[],2,0),"")</f>
        <v/>
      </c>
      <c r="E58" s="19" t="str">
        <f>IF(Tabela2[[#This Row],[AGRUPADOR]]&lt;&gt;"",VLOOKUP(Tabela2[[#This Row],[AGRUPADOR]],Tabela1[],4,0),"")</f>
        <v/>
      </c>
      <c r="F58" s="14"/>
      <c r="G58" s="6"/>
      <c r="H58" s="6"/>
      <c r="I58" s="25"/>
      <c r="J58" s="7"/>
      <c r="K58" s="15" t="str">
        <f>IF(Tabela2[[#This Row],[UNID.]]&lt;&gt;"",S58*(1+$R$2),"")</f>
        <v/>
      </c>
      <c r="L58" s="379">
        <f>IF(H58&lt;&gt;"",J58*K58,SUMIFS(L59:L$9844,$F59:$F$9844,"*"&amp;F58&amp;"*",$H59:$H$9844,"&lt;&gt;"))</f>
        <v>0</v>
      </c>
      <c r="M58" s="379" t="str">
        <f>IF(Tabela2[[#This Row],[UNID.]]&lt;&gt;"",IFERROR(VLOOKUP(Tabela2[[#This Row],[AGRUPADOR]],Lucratividade!$D$4:$O$129,6,0),0),"")</f>
        <v/>
      </c>
      <c r="N58" s="379">
        <f>IF(H58&lt;&gt;"",J58*M58*I58,SUMIFS(N59:N$9844,$F59:$F$9844,"*"&amp;F58&amp;"*",$H59:$H$9844,"&lt;&gt;"))</f>
        <v>0</v>
      </c>
      <c r="O58" s="162" t="str">
        <f>IFERROR((-Tabela2[[#This Row],[CUSTO TOTAL]]+Tabela2[[#This Row],[VENDA TOTAL]])/Tabela2[[#This Row],[VENDA TOTAL]]-PARAMETROS!$C$19,"")</f>
        <v/>
      </c>
      <c r="AA58" s="219">
        <f>SUM(Plan_Orc[[#This Row],[01/jan]:[01/dez]])</f>
        <v>0</v>
      </c>
      <c r="AB58" s="114"/>
      <c r="AC58" s="114"/>
      <c r="AD58" s="114"/>
      <c r="AE58" s="114"/>
      <c r="AF58" s="114"/>
      <c r="AG58" s="114"/>
      <c r="AH58" s="114"/>
      <c r="AI58" s="114"/>
      <c r="AJ58" s="114"/>
      <c r="AK58" s="114"/>
      <c r="AL58" s="114"/>
      <c r="AM58" s="114"/>
    </row>
    <row r="59" spans="2:39" ht="25.2" customHeight="1" x14ac:dyDescent="0.3">
      <c r="B59" s="13" t="str">
        <f t="shared" si="0"/>
        <v/>
      </c>
      <c r="C59" s="18"/>
      <c r="D59" s="19" t="str">
        <f>IF(Tabela2[[#This Row],[AGRUPADOR]]&lt;&gt;"",VLOOKUP(Tabela2[[#This Row],[AGRUPADOR]],Tabela1[],2,0),"")</f>
        <v/>
      </c>
      <c r="E59" s="19" t="str">
        <f>IF(Tabela2[[#This Row],[AGRUPADOR]]&lt;&gt;"",VLOOKUP(Tabela2[[#This Row],[AGRUPADOR]],Tabela1[],4,0),"")</f>
        <v/>
      </c>
      <c r="F59" s="14"/>
      <c r="G59" s="6"/>
      <c r="H59" s="6"/>
      <c r="I59" s="25"/>
      <c r="J59" s="7"/>
      <c r="K59" s="15" t="str">
        <f>IF(Tabela2[[#This Row],[UNID.]]&lt;&gt;"",S59*(1+$R$2),"")</f>
        <v/>
      </c>
      <c r="L59" s="379">
        <f>IF(H59&lt;&gt;"",J59*K59,SUMIFS(L60:L$9844,$F60:$F$9844,"*"&amp;F59&amp;"*",$H60:$H$9844,"&lt;&gt;"))</f>
        <v>0</v>
      </c>
      <c r="M59" s="379" t="str">
        <f>IF(Tabela2[[#This Row],[UNID.]]&lt;&gt;"",IFERROR(VLOOKUP(Tabela2[[#This Row],[AGRUPADOR]],Lucratividade!$D$4:$O$129,6,0),0),"")</f>
        <v/>
      </c>
      <c r="N59" s="379">
        <f>IF(H59&lt;&gt;"",J59*M59*I59,SUMIFS(N60:N$9844,$F60:$F$9844,"*"&amp;F59&amp;"*",$H60:$H$9844,"&lt;&gt;"))</f>
        <v>0</v>
      </c>
      <c r="O59" s="162" t="str">
        <f>IFERROR((-Tabela2[[#This Row],[CUSTO TOTAL]]+Tabela2[[#This Row],[VENDA TOTAL]])/Tabela2[[#This Row],[VENDA TOTAL]]-PARAMETROS!$C$19,"")</f>
        <v/>
      </c>
      <c r="AA59" s="219">
        <f>SUM(Plan_Orc[[#This Row],[01/jan]:[01/dez]])</f>
        <v>0</v>
      </c>
      <c r="AB59" s="114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</row>
    <row r="60" spans="2:39" ht="25.2" customHeight="1" x14ac:dyDescent="0.3">
      <c r="B60" s="13" t="str">
        <f t="shared" si="0"/>
        <v/>
      </c>
      <c r="C60" s="18"/>
      <c r="D60" s="19" t="str">
        <f>IF(Tabela2[[#This Row],[AGRUPADOR]]&lt;&gt;"",VLOOKUP(Tabela2[[#This Row],[AGRUPADOR]],Tabela1[],2,0),"")</f>
        <v/>
      </c>
      <c r="E60" s="19" t="str">
        <f>IF(Tabela2[[#This Row],[AGRUPADOR]]&lt;&gt;"",VLOOKUP(Tabela2[[#This Row],[AGRUPADOR]],Tabela1[],4,0),"")</f>
        <v/>
      </c>
      <c r="F60" s="14"/>
      <c r="G60" s="6"/>
      <c r="H60" s="6"/>
      <c r="I60" s="25"/>
      <c r="J60" s="7"/>
      <c r="K60" s="15" t="str">
        <f>IF(Tabela2[[#This Row],[UNID.]]&lt;&gt;"",S60*(1+$R$2),"")</f>
        <v/>
      </c>
      <c r="L60" s="379">
        <f>IF(H60&lt;&gt;"",J60*K60,SUMIFS(L61:L$9844,$F61:$F$9844,"*"&amp;F60&amp;"*",$H61:$H$9844,"&lt;&gt;"))</f>
        <v>0</v>
      </c>
      <c r="M60" s="379" t="str">
        <f>IF(Tabela2[[#This Row],[UNID.]]&lt;&gt;"",IFERROR(VLOOKUP(Tabela2[[#This Row],[AGRUPADOR]],Lucratividade!$D$4:$O$129,6,0),0),"")</f>
        <v/>
      </c>
      <c r="N60" s="379">
        <f>IF(H60&lt;&gt;"",J60*M60*I60,SUMIFS(N61:N$9844,$F61:$F$9844,"*"&amp;F60&amp;"*",$H61:$H$9844,"&lt;&gt;"))</f>
        <v>0</v>
      </c>
      <c r="O60" s="162" t="str">
        <f>IFERROR((-Tabela2[[#This Row],[CUSTO TOTAL]]+Tabela2[[#This Row],[VENDA TOTAL]])/Tabela2[[#This Row],[VENDA TOTAL]]-PARAMETROS!$C$19,"")</f>
        <v/>
      </c>
      <c r="AA60" s="219">
        <f>SUM(Plan_Orc[[#This Row],[01/jan]:[01/dez]])</f>
        <v>0</v>
      </c>
      <c r="AB60" s="114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</row>
    <row r="61" spans="2:39" ht="25.2" customHeight="1" x14ac:dyDescent="0.3">
      <c r="B61" s="13" t="str">
        <f t="shared" si="0"/>
        <v/>
      </c>
      <c r="C61" s="18"/>
      <c r="D61" s="19" t="str">
        <f>IF(Tabela2[[#This Row],[AGRUPADOR]]&lt;&gt;"",VLOOKUP(Tabela2[[#This Row],[AGRUPADOR]],Tabela1[],2,0),"")</f>
        <v/>
      </c>
      <c r="E61" s="19" t="str">
        <f>IF(Tabela2[[#This Row],[AGRUPADOR]]&lt;&gt;"",VLOOKUP(Tabela2[[#This Row],[AGRUPADOR]],Tabela1[],4,0),"")</f>
        <v/>
      </c>
      <c r="F61" s="14"/>
      <c r="G61" s="6"/>
      <c r="H61" s="6"/>
      <c r="I61" s="25"/>
      <c r="J61" s="7"/>
      <c r="K61" s="15" t="str">
        <f>IF(Tabela2[[#This Row],[UNID.]]&lt;&gt;"",S61*(1+$R$2),"")</f>
        <v/>
      </c>
      <c r="L61" s="379">
        <f>IF(H61&lt;&gt;"",J61*K61,SUMIFS(L62:L$9844,$F62:$F$9844,"*"&amp;F61&amp;"*",$H62:$H$9844,"&lt;&gt;"))</f>
        <v>0</v>
      </c>
      <c r="M61" s="379" t="str">
        <f>IF(Tabela2[[#This Row],[UNID.]]&lt;&gt;"",IFERROR(VLOOKUP(Tabela2[[#This Row],[AGRUPADOR]],Lucratividade!$D$4:$O$129,6,0),0),"")</f>
        <v/>
      </c>
      <c r="N61" s="379">
        <f>IF(H61&lt;&gt;"",J61*M61*I61,SUMIFS(N62:N$9844,$F62:$F$9844,"*"&amp;F61&amp;"*",$H62:$H$9844,"&lt;&gt;"))</f>
        <v>0</v>
      </c>
      <c r="O61" s="162" t="str">
        <f>IFERROR((-Tabela2[[#This Row],[CUSTO TOTAL]]+Tabela2[[#This Row],[VENDA TOTAL]])/Tabela2[[#This Row],[VENDA TOTAL]]-PARAMETROS!$C$19,"")</f>
        <v/>
      </c>
      <c r="AA61" s="219">
        <f>SUM(Plan_Orc[[#This Row],[01/jan]:[01/dez]])</f>
        <v>0</v>
      </c>
      <c r="AB61" s="114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</row>
    <row r="62" spans="2:39" ht="25.2" customHeight="1" x14ac:dyDescent="0.3">
      <c r="B62" s="13" t="str">
        <f t="shared" si="0"/>
        <v/>
      </c>
      <c r="C62" s="18"/>
      <c r="D62" s="19" t="str">
        <f>IF(Tabela2[[#This Row],[AGRUPADOR]]&lt;&gt;"",VLOOKUP(Tabela2[[#This Row],[AGRUPADOR]],Tabela1[],2,0),"")</f>
        <v/>
      </c>
      <c r="E62" s="19" t="str">
        <f>IF(Tabela2[[#This Row],[AGRUPADOR]]&lt;&gt;"",VLOOKUP(Tabela2[[#This Row],[AGRUPADOR]],Tabela1[],4,0),"")</f>
        <v/>
      </c>
      <c r="F62" s="14"/>
      <c r="G62" s="6"/>
      <c r="H62" s="6"/>
      <c r="I62" s="25"/>
      <c r="J62" s="7"/>
      <c r="K62" s="15" t="str">
        <f>IF(Tabela2[[#This Row],[UNID.]]&lt;&gt;"",S62*(1+$R$2),"")</f>
        <v/>
      </c>
      <c r="L62" s="379">
        <f>IF(H62&lt;&gt;"",J62*K62,SUMIFS(L63:L$9844,$F63:$F$9844,"*"&amp;F62&amp;"*",$H63:$H$9844,"&lt;&gt;"))</f>
        <v>0</v>
      </c>
      <c r="M62" s="379" t="str">
        <f>IF(Tabela2[[#This Row],[UNID.]]&lt;&gt;"",IFERROR(VLOOKUP(Tabela2[[#This Row],[AGRUPADOR]],Lucratividade!$D$4:$O$129,6,0),0),"")</f>
        <v/>
      </c>
      <c r="N62" s="379">
        <f>IF(H62&lt;&gt;"",J62*M62*I62,SUMIFS(N63:N$9844,$F63:$F$9844,"*"&amp;F62&amp;"*",$H63:$H$9844,"&lt;&gt;"))</f>
        <v>0</v>
      </c>
      <c r="O62" s="162" t="str">
        <f>IFERROR((-Tabela2[[#This Row],[CUSTO TOTAL]]+Tabela2[[#This Row],[VENDA TOTAL]])/Tabela2[[#This Row],[VENDA TOTAL]]-PARAMETROS!$C$19,"")</f>
        <v/>
      </c>
      <c r="AA62" s="219">
        <f>SUM(Plan_Orc[[#This Row],[01/jan]:[01/dez]])</f>
        <v>0</v>
      </c>
      <c r="AB62" s="114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</row>
    <row r="63" spans="2:39" ht="25.2" customHeight="1" x14ac:dyDescent="0.3">
      <c r="B63" s="13" t="str">
        <f t="shared" si="0"/>
        <v/>
      </c>
      <c r="C63" s="18"/>
      <c r="D63" s="19" t="str">
        <f>IF(Tabela2[[#This Row],[AGRUPADOR]]&lt;&gt;"",VLOOKUP(Tabela2[[#This Row],[AGRUPADOR]],Tabela1[],2,0),"")</f>
        <v/>
      </c>
      <c r="E63" s="19" t="str">
        <f>IF(Tabela2[[#This Row],[AGRUPADOR]]&lt;&gt;"",VLOOKUP(Tabela2[[#This Row],[AGRUPADOR]],Tabela1[],4,0),"")</f>
        <v/>
      </c>
      <c r="F63" s="14"/>
      <c r="G63" s="6"/>
      <c r="H63" s="6"/>
      <c r="I63" s="25"/>
      <c r="J63" s="7"/>
      <c r="K63" s="15" t="str">
        <f>IF(Tabela2[[#This Row],[UNID.]]&lt;&gt;"",S63*(1+$R$2),"")</f>
        <v/>
      </c>
      <c r="L63" s="379">
        <f>IF(H63&lt;&gt;"",J63*K63,SUMIFS(L64:L$9844,$F64:$F$9844,"*"&amp;F63&amp;"*",$H64:$H$9844,"&lt;&gt;"))</f>
        <v>0</v>
      </c>
      <c r="M63" s="379" t="str">
        <f>IF(Tabela2[[#This Row],[UNID.]]&lt;&gt;"",IFERROR(VLOOKUP(Tabela2[[#This Row],[AGRUPADOR]],Lucratividade!$D$4:$O$129,6,0),0),"")</f>
        <v/>
      </c>
      <c r="N63" s="379">
        <f>IF(H63&lt;&gt;"",J63*M63*I63,SUMIFS(N64:N$9844,$F64:$F$9844,"*"&amp;F63&amp;"*",$H64:$H$9844,"&lt;&gt;"))</f>
        <v>0</v>
      </c>
      <c r="O63" s="162" t="str">
        <f>IFERROR((-Tabela2[[#This Row],[CUSTO TOTAL]]+Tabela2[[#This Row],[VENDA TOTAL]])/Tabela2[[#This Row],[VENDA TOTAL]]-PARAMETROS!$C$19,"")</f>
        <v/>
      </c>
      <c r="AA63" s="219">
        <f>SUM(Plan_Orc[[#This Row],[01/jan]:[01/dez]])</f>
        <v>0</v>
      </c>
      <c r="AB63" s="114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</row>
    <row r="64" spans="2:39" ht="25.2" customHeight="1" x14ac:dyDescent="0.3">
      <c r="B64" s="13" t="str">
        <f t="shared" si="0"/>
        <v/>
      </c>
      <c r="C64" s="18"/>
      <c r="D64" s="19" t="str">
        <f>IF(Tabela2[[#This Row],[AGRUPADOR]]&lt;&gt;"",VLOOKUP(Tabela2[[#This Row],[AGRUPADOR]],Tabela1[],2,0),"")</f>
        <v/>
      </c>
      <c r="E64" s="19" t="str">
        <f>IF(Tabela2[[#This Row],[AGRUPADOR]]&lt;&gt;"",VLOOKUP(Tabela2[[#This Row],[AGRUPADOR]],Tabela1[],4,0),"")</f>
        <v/>
      </c>
      <c r="F64" s="14"/>
      <c r="G64" s="6"/>
      <c r="H64" s="6"/>
      <c r="I64" s="25"/>
      <c r="J64" s="7"/>
      <c r="K64" s="15" t="str">
        <f>IF(Tabela2[[#This Row],[UNID.]]&lt;&gt;"",S64*(1+$R$2),"")</f>
        <v/>
      </c>
      <c r="L64" s="379">
        <f>IF(H64&lt;&gt;"",J64*K64,SUMIFS(L65:L$9844,$F65:$F$9844,"*"&amp;F64&amp;"*",$H65:$H$9844,"&lt;&gt;"))</f>
        <v>0</v>
      </c>
      <c r="M64" s="379" t="str">
        <f>IF(Tabela2[[#This Row],[UNID.]]&lt;&gt;"",IFERROR(VLOOKUP(Tabela2[[#This Row],[AGRUPADOR]],Lucratividade!$D$4:$O$129,6,0),0),"")</f>
        <v/>
      </c>
      <c r="N64" s="379">
        <f>IF(H64&lt;&gt;"",J64*M64*I64,SUMIFS(N65:N$9844,$F65:$F$9844,"*"&amp;F64&amp;"*",$H65:$H$9844,"&lt;&gt;"))</f>
        <v>0</v>
      </c>
      <c r="O64" s="162" t="str">
        <f>IFERROR((-Tabela2[[#This Row],[CUSTO TOTAL]]+Tabela2[[#This Row],[VENDA TOTAL]])/Tabela2[[#This Row],[VENDA TOTAL]]-PARAMETROS!$C$19,"")</f>
        <v/>
      </c>
      <c r="AA64" s="219">
        <f>SUM(Plan_Orc[[#This Row],[01/jan]:[01/dez]])</f>
        <v>0</v>
      </c>
      <c r="AB64" s="114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</row>
    <row r="65" spans="2:39" ht="25.2" customHeight="1" x14ac:dyDescent="0.3">
      <c r="B65" s="13" t="str">
        <f t="shared" si="0"/>
        <v/>
      </c>
      <c r="C65" s="18"/>
      <c r="D65" s="19" t="str">
        <f>IF(Tabela2[[#This Row],[AGRUPADOR]]&lt;&gt;"",VLOOKUP(Tabela2[[#This Row],[AGRUPADOR]],Tabela1[],2,0),"")</f>
        <v/>
      </c>
      <c r="E65" s="19" t="str">
        <f>IF(Tabela2[[#This Row],[AGRUPADOR]]&lt;&gt;"",VLOOKUP(Tabela2[[#This Row],[AGRUPADOR]],Tabela1[],4,0),"")</f>
        <v/>
      </c>
      <c r="F65" s="14"/>
      <c r="G65" s="6"/>
      <c r="H65" s="6"/>
      <c r="I65" s="25"/>
      <c r="J65" s="7"/>
      <c r="K65" s="15" t="str">
        <f>IF(Tabela2[[#This Row],[UNID.]]&lt;&gt;"",S65*(1+$R$2),"")</f>
        <v/>
      </c>
      <c r="L65" s="379">
        <f>IF(H65&lt;&gt;"",J65*K65,SUMIFS(L66:L$9844,$F66:$F$9844,"*"&amp;F65&amp;"*",$H66:$H$9844,"&lt;&gt;"))</f>
        <v>0</v>
      </c>
      <c r="M65" s="379" t="str">
        <f>IF(Tabela2[[#This Row],[UNID.]]&lt;&gt;"",IFERROR(VLOOKUP(Tabela2[[#This Row],[AGRUPADOR]],Lucratividade!$D$4:$O$129,6,0),0),"")</f>
        <v/>
      </c>
      <c r="N65" s="379">
        <f>IF(H65&lt;&gt;"",J65*M65*I65,SUMIFS(N66:N$9844,$F66:$F$9844,"*"&amp;F65&amp;"*",$H66:$H$9844,"&lt;&gt;"))</f>
        <v>0</v>
      </c>
      <c r="O65" s="162" t="str">
        <f>IFERROR((-Tabela2[[#This Row],[CUSTO TOTAL]]+Tabela2[[#This Row],[VENDA TOTAL]])/Tabela2[[#This Row],[VENDA TOTAL]]-PARAMETROS!$C$19,"")</f>
        <v/>
      </c>
      <c r="AA65" s="218">
        <f>SUM(Plan_Orc[[#This Row],[01/jan]:[01/dez]])</f>
        <v>0</v>
      </c>
      <c r="AB65" s="114"/>
      <c r="AC65" s="114"/>
      <c r="AD65" s="114"/>
      <c r="AE65" s="114"/>
      <c r="AF65" s="114"/>
      <c r="AG65" s="114"/>
      <c r="AH65" s="114"/>
      <c r="AI65" s="114"/>
      <c r="AJ65" s="114"/>
      <c r="AK65" s="114"/>
      <c r="AL65" s="114"/>
      <c r="AM65" s="114"/>
    </row>
    <row r="66" spans="2:39" ht="25.2" customHeight="1" x14ac:dyDescent="0.3">
      <c r="B66" s="13" t="str">
        <f t="shared" si="0"/>
        <v/>
      </c>
      <c r="C66" s="18"/>
      <c r="D66" s="19" t="str">
        <f>IF(Tabela2[[#This Row],[AGRUPADOR]]&lt;&gt;"",VLOOKUP(Tabela2[[#This Row],[AGRUPADOR]],Tabela1[],2,0),"")</f>
        <v/>
      </c>
      <c r="E66" s="19" t="str">
        <f>IF(Tabela2[[#This Row],[AGRUPADOR]]&lt;&gt;"",VLOOKUP(Tabela2[[#This Row],[AGRUPADOR]],Tabela1[],4,0),"")</f>
        <v/>
      </c>
      <c r="F66" s="14"/>
      <c r="G66" s="6"/>
      <c r="H66" s="6"/>
      <c r="I66" s="25"/>
      <c r="J66" s="7"/>
      <c r="K66" s="15" t="str">
        <f>IF(Tabela2[[#This Row],[UNID.]]&lt;&gt;"",S66*(1+$R$2),"")</f>
        <v/>
      </c>
      <c r="L66" s="379">
        <f>IF(H66&lt;&gt;"",J66*K66,SUMIFS(L67:L$9844,$F67:$F$9844,"*"&amp;F66&amp;"*",$H67:$H$9844,"&lt;&gt;"))</f>
        <v>0</v>
      </c>
      <c r="M66" s="379" t="str">
        <f>IF(Tabela2[[#This Row],[UNID.]]&lt;&gt;"",IFERROR(VLOOKUP(Tabela2[[#This Row],[AGRUPADOR]],Lucratividade!$D$4:$O$129,6,0),0),"")</f>
        <v/>
      </c>
      <c r="N66" s="379">
        <f>IF(H66&lt;&gt;"",J66*M66*I66,SUMIFS(N67:N$9844,$F67:$F$9844,"*"&amp;F66&amp;"*",$H67:$H$9844,"&lt;&gt;"))</f>
        <v>0</v>
      </c>
      <c r="O66" s="162" t="str">
        <f>IFERROR((-Tabela2[[#This Row],[CUSTO TOTAL]]+Tabela2[[#This Row],[VENDA TOTAL]])/Tabela2[[#This Row],[VENDA TOTAL]]-PARAMETROS!$C$19,"")</f>
        <v/>
      </c>
      <c r="AA66" s="219">
        <f>SUM(Plan_Orc[[#This Row],[01/jan]:[01/dez]])</f>
        <v>0</v>
      </c>
      <c r="AB66" s="114"/>
      <c r="AC66" s="114"/>
      <c r="AD66" s="114"/>
      <c r="AE66" s="114"/>
      <c r="AF66" s="114"/>
      <c r="AG66" s="114"/>
      <c r="AH66" s="114"/>
      <c r="AI66" s="114"/>
      <c r="AJ66" s="114"/>
      <c r="AK66" s="114"/>
      <c r="AL66" s="114"/>
      <c r="AM66" s="114"/>
    </row>
    <row r="67" spans="2:39" ht="25.2" customHeight="1" x14ac:dyDescent="0.3">
      <c r="B67" s="13" t="str">
        <f t="shared" si="0"/>
        <v/>
      </c>
      <c r="C67" s="18"/>
      <c r="D67" s="19" t="str">
        <f>IF(Tabela2[[#This Row],[AGRUPADOR]]&lt;&gt;"",VLOOKUP(Tabela2[[#This Row],[AGRUPADOR]],Tabela1[],2,0),"")</f>
        <v/>
      </c>
      <c r="E67" s="19" t="str">
        <f>IF(Tabela2[[#This Row],[AGRUPADOR]]&lt;&gt;"",VLOOKUP(Tabela2[[#This Row],[AGRUPADOR]],Tabela1[],4,0),"")</f>
        <v/>
      </c>
      <c r="F67" s="14"/>
      <c r="G67" s="6"/>
      <c r="H67" s="6"/>
      <c r="I67" s="25"/>
      <c r="J67" s="7"/>
      <c r="K67" s="15" t="str">
        <f>IF(Tabela2[[#This Row],[UNID.]]&lt;&gt;"",S67*(1+$R$2),"")</f>
        <v/>
      </c>
      <c r="L67" s="379">
        <f>IF(H67&lt;&gt;"",J67*K67,SUMIFS(L68:L$9844,$F68:$F$9844,"*"&amp;F67&amp;"*",$H68:$H$9844,"&lt;&gt;"))</f>
        <v>0</v>
      </c>
      <c r="M67" s="379" t="str">
        <f>IF(Tabela2[[#This Row],[UNID.]]&lt;&gt;"",IFERROR(VLOOKUP(Tabela2[[#This Row],[AGRUPADOR]],Lucratividade!$D$4:$O$129,6,0),0),"")</f>
        <v/>
      </c>
      <c r="N67" s="379">
        <f>IF(H67&lt;&gt;"",J67*M67*I67,SUMIFS(N68:N$9844,$F68:$F$9844,"*"&amp;F67&amp;"*",$H68:$H$9844,"&lt;&gt;"))</f>
        <v>0</v>
      </c>
      <c r="O67" s="162" t="str">
        <f>IFERROR((-Tabela2[[#This Row],[CUSTO TOTAL]]+Tabela2[[#This Row],[VENDA TOTAL]])/Tabela2[[#This Row],[VENDA TOTAL]]-PARAMETROS!$C$19,"")</f>
        <v/>
      </c>
      <c r="AA67" s="219">
        <f>SUM(Plan_Orc[[#This Row],[01/jan]:[01/dez]])</f>
        <v>0</v>
      </c>
      <c r="AB67" s="114"/>
      <c r="AC67" s="114"/>
      <c r="AD67" s="114"/>
      <c r="AE67" s="114"/>
      <c r="AF67" s="114"/>
      <c r="AG67" s="114"/>
      <c r="AH67" s="114"/>
      <c r="AI67" s="114"/>
      <c r="AJ67" s="114"/>
      <c r="AK67" s="114"/>
      <c r="AL67" s="114"/>
      <c r="AM67" s="114"/>
    </row>
    <row r="68" spans="2:39" ht="25.2" customHeight="1" x14ac:dyDescent="0.3">
      <c r="B68" s="13" t="str">
        <f t="shared" ref="B68:B131" si="4">IF(LEN(F68)=3,1,"")</f>
        <v/>
      </c>
      <c r="C68" s="18"/>
      <c r="D68" s="19" t="str">
        <f>IF(Tabela2[[#This Row],[AGRUPADOR]]&lt;&gt;"",VLOOKUP(Tabela2[[#This Row],[AGRUPADOR]],Tabela1[],2,0),"")</f>
        <v/>
      </c>
      <c r="E68" s="19" t="str">
        <f>IF(Tabela2[[#This Row],[AGRUPADOR]]&lt;&gt;"",VLOOKUP(Tabela2[[#This Row],[AGRUPADOR]],Tabela1[],4,0),"")</f>
        <v/>
      </c>
      <c r="F68" s="14"/>
      <c r="G68" s="6"/>
      <c r="H68" s="6"/>
      <c r="I68" s="25"/>
      <c r="J68" s="7"/>
      <c r="K68" s="15" t="str">
        <f>IF(Tabela2[[#This Row],[UNID.]]&lt;&gt;"",S68*(1+$R$2),"")</f>
        <v/>
      </c>
      <c r="L68" s="379">
        <f>IF(H68&lt;&gt;"",J68*K68,SUMIFS(L69:L$9844,$F69:$F$9844,"*"&amp;F68&amp;"*",$H69:$H$9844,"&lt;&gt;"))</f>
        <v>0</v>
      </c>
      <c r="M68" s="379" t="str">
        <f>IF(Tabela2[[#This Row],[UNID.]]&lt;&gt;"",IFERROR(VLOOKUP(Tabela2[[#This Row],[AGRUPADOR]],Lucratividade!$D$4:$O$129,6,0),0),"")</f>
        <v/>
      </c>
      <c r="N68" s="379">
        <f>IF(H68&lt;&gt;"",J68*M68*I68,SUMIFS(N69:N$9844,$F69:$F$9844,"*"&amp;F68&amp;"*",$H69:$H$9844,"&lt;&gt;"))</f>
        <v>0</v>
      </c>
      <c r="O68" s="162" t="str">
        <f>IFERROR((-Tabela2[[#This Row],[CUSTO TOTAL]]+Tabela2[[#This Row],[VENDA TOTAL]])/Tabela2[[#This Row],[VENDA TOTAL]]-PARAMETROS!$C$19,"")</f>
        <v/>
      </c>
      <c r="AA68" s="219">
        <f>SUM(Plan_Orc[[#This Row],[01/jan]:[01/dez]])</f>
        <v>0</v>
      </c>
      <c r="AB68" s="114"/>
      <c r="AC68" s="114"/>
      <c r="AD68" s="114"/>
      <c r="AE68" s="114"/>
      <c r="AF68" s="114"/>
      <c r="AG68" s="114"/>
      <c r="AH68" s="114"/>
      <c r="AI68" s="114"/>
      <c r="AJ68" s="114"/>
      <c r="AK68" s="114"/>
      <c r="AL68" s="114"/>
      <c r="AM68" s="114"/>
    </row>
    <row r="69" spans="2:39" ht="25.2" customHeight="1" x14ac:dyDescent="0.3">
      <c r="B69" s="13" t="str">
        <f t="shared" si="4"/>
        <v/>
      </c>
      <c r="C69" s="18"/>
      <c r="D69" s="19" t="str">
        <f>IF(Tabela2[[#This Row],[AGRUPADOR]]&lt;&gt;"",VLOOKUP(Tabela2[[#This Row],[AGRUPADOR]],Tabela1[],2,0),"")</f>
        <v/>
      </c>
      <c r="E69" s="19" t="str">
        <f>IF(Tabela2[[#This Row],[AGRUPADOR]]&lt;&gt;"",VLOOKUP(Tabela2[[#This Row],[AGRUPADOR]],Tabela1[],4,0),"")</f>
        <v/>
      </c>
      <c r="F69" s="14"/>
      <c r="G69" s="6"/>
      <c r="H69" s="6"/>
      <c r="I69" s="25"/>
      <c r="J69" s="7"/>
      <c r="K69" s="15" t="str">
        <f>IF(Tabela2[[#This Row],[UNID.]]&lt;&gt;"",S69*(1+$R$2),"")</f>
        <v/>
      </c>
      <c r="L69" s="379">
        <f>IF(H69&lt;&gt;"",J69*K69,SUMIFS(L70:L$9844,$F70:$F$9844,"*"&amp;F69&amp;"*",$H70:$H$9844,"&lt;&gt;"))</f>
        <v>0</v>
      </c>
      <c r="M69" s="379" t="str">
        <f>IF(Tabela2[[#This Row],[UNID.]]&lt;&gt;"",IFERROR(VLOOKUP(Tabela2[[#This Row],[AGRUPADOR]],Lucratividade!$D$4:$O$129,6,0),0),"")</f>
        <v/>
      </c>
      <c r="N69" s="379">
        <f>IF(H69&lt;&gt;"",J69*M69*I69,SUMIFS(N70:N$9844,$F70:$F$9844,"*"&amp;F69&amp;"*",$H70:$H$9844,"&lt;&gt;"))</f>
        <v>0</v>
      </c>
      <c r="O69" s="162" t="str">
        <f>IFERROR((-Tabela2[[#This Row],[CUSTO TOTAL]]+Tabela2[[#This Row],[VENDA TOTAL]])/Tabela2[[#This Row],[VENDA TOTAL]]-PARAMETROS!$C$19,"")</f>
        <v/>
      </c>
      <c r="AA69" s="219">
        <f>SUM(Plan_Orc[[#This Row],[01/jan]:[01/dez]])</f>
        <v>0</v>
      </c>
      <c r="AB69" s="114"/>
      <c r="AC69" s="114"/>
      <c r="AD69" s="114"/>
      <c r="AE69" s="114"/>
      <c r="AF69" s="114"/>
      <c r="AG69" s="114"/>
      <c r="AH69" s="114"/>
      <c r="AI69" s="114"/>
      <c r="AJ69" s="114"/>
      <c r="AK69" s="114"/>
      <c r="AL69" s="114"/>
      <c r="AM69" s="114"/>
    </row>
    <row r="70" spans="2:39" ht="25.2" customHeight="1" x14ac:dyDescent="0.3">
      <c r="B70" s="13" t="str">
        <f t="shared" si="4"/>
        <v/>
      </c>
      <c r="C70" s="18"/>
      <c r="D70" s="19" t="str">
        <f>IF(Tabela2[[#This Row],[AGRUPADOR]]&lt;&gt;"",VLOOKUP(Tabela2[[#This Row],[AGRUPADOR]],Tabela1[],2,0),"")</f>
        <v/>
      </c>
      <c r="E70" s="19" t="str">
        <f>IF(Tabela2[[#This Row],[AGRUPADOR]]&lt;&gt;"",VLOOKUP(Tabela2[[#This Row],[AGRUPADOR]],Tabela1[],4,0),"")</f>
        <v/>
      </c>
      <c r="F70" s="14"/>
      <c r="G70" s="6"/>
      <c r="H70" s="6"/>
      <c r="I70" s="25"/>
      <c r="J70" s="7"/>
      <c r="K70" s="15" t="str">
        <f>IF(Tabela2[[#This Row],[UNID.]]&lt;&gt;"",S70*(1+$R$2),"")</f>
        <v/>
      </c>
      <c r="L70" s="379">
        <f>IF(H70&lt;&gt;"",J70*K70,SUMIFS(L71:L$9844,$F71:$F$9844,"*"&amp;F70&amp;"*",$H71:$H$9844,"&lt;&gt;"))</f>
        <v>0</v>
      </c>
      <c r="M70" s="379" t="str">
        <f>IF(Tabela2[[#This Row],[UNID.]]&lt;&gt;"",IFERROR(VLOOKUP(Tabela2[[#This Row],[AGRUPADOR]],Lucratividade!$D$4:$O$129,6,0),0),"")</f>
        <v/>
      </c>
      <c r="N70" s="379">
        <f>IF(H70&lt;&gt;"",J70*M70*I70,SUMIFS(N71:N$9844,$F71:$F$9844,"*"&amp;F70&amp;"*",$H71:$H$9844,"&lt;&gt;"))</f>
        <v>0</v>
      </c>
      <c r="O70" s="162" t="str">
        <f>IFERROR((-Tabela2[[#This Row],[CUSTO TOTAL]]+Tabela2[[#This Row],[VENDA TOTAL]])/Tabela2[[#This Row],[VENDA TOTAL]]-PARAMETROS!$C$19,"")</f>
        <v/>
      </c>
      <c r="AA70" s="219">
        <f>SUM(Plan_Orc[[#This Row],[01/jan]:[01/dez]])</f>
        <v>0</v>
      </c>
      <c r="AB70" s="114"/>
      <c r="AC70" s="114"/>
      <c r="AD70" s="114"/>
      <c r="AE70" s="114"/>
      <c r="AF70" s="114"/>
      <c r="AG70" s="114"/>
      <c r="AH70" s="114"/>
      <c r="AI70" s="114"/>
      <c r="AJ70" s="114"/>
      <c r="AK70" s="114"/>
      <c r="AL70" s="114"/>
      <c r="AM70" s="114"/>
    </row>
    <row r="71" spans="2:39" ht="25.2" customHeight="1" x14ac:dyDescent="0.3">
      <c r="B71" s="13" t="str">
        <f t="shared" si="4"/>
        <v/>
      </c>
      <c r="C71" s="18"/>
      <c r="D71" s="19" t="str">
        <f>IF(Tabela2[[#This Row],[AGRUPADOR]]&lt;&gt;"",VLOOKUP(Tabela2[[#This Row],[AGRUPADOR]],Tabela1[],2,0),"")</f>
        <v/>
      </c>
      <c r="E71" s="19" t="str">
        <f>IF(Tabela2[[#This Row],[AGRUPADOR]]&lt;&gt;"",VLOOKUP(Tabela2[[#This Row],[AGRUPADOR]],Tabela1[],4,0),"")</f>
        <v/>
      </c>
      <c r="F71" s="14"/>
      <c r="G71" s="6"/>
      <c r="H71" s="6"/>
      <c r="I71" s="25"/>
      <c r="J71" s="7"/>
      <c r="K71" s="15" t="str">
        <f>IF(Tabela2[[#This Row],[UNID.]]&lt;&gt;"",S71*(1+$R$2),"")</f>
        <v/>
      </c>
      <c r="L71" s="379">
        <f>IF(H71&lt;&gt;"",J71*K71,SUMIFS(L72:L$9844,$F72:$F$9844,"*"&amp;F71&amp;"*",$H72:$H$9844,"&lt;&gt;"))</f>
        <v>0</v>
      </c>
      <c r="M71" s="379" t="str">
        <f>IF(Tabela2[[#This Row],[UNID.]]&lt;&gt;"",IFERROR(VLOOKUP(Tabela2[[#This Row],[AGRUPADOR]],Lucratividade!$D$4:$O$129,6,0),0),"")</f>
        <v/>
      </c>
      <c r="N71" s="379">
        <f>IF(H71&lt;&gt;"",J71*M71*I71,SUMIFS(N72:N$9844,$F72:$F$9844,"*"&amp;F71&amp;"*",$H72:$H$9844,"&lt;&gt;"))</f>
        <v>0</v>
      </c>
      <c r="O71" s="162" t="str">
        <f>IFERROR((-Tabela2[[#This Row],[CUSTO TOTAL]]+Tabela2[[#This Row],[VENDA TOTAL]])/Tabela2[[#This Row],[VENDA TOTAL]]-PARAMETROS!$C$19,"")</f>
        <v/>
      </c>
      <c r="AA71" s="219">
        <f>SUM(Plan_Orc[[#This Row],[01/jan]:[01/dez]])</f>
        <v>0</v>
      </c>
      <c r="AB71" s="114"/>
      <c r="AC71" s="114"/>
      <c r="AD71" s="114"/>
      <c r="AE71" s="114"/>
      <c r="AF71" s="114"/>
      <c r="AG71" s="114"/>
      <c r="AH71" s="114"/>
      <c r="AI71" s="114"/>
      <c r="AJ71" s="114"/>
      <c r="AK71" s="114"/>
      <c r="AL71" s="114"/>
      <c r="AM71" s="114"/>
    </row>
    <row r="72" spans="2:39" ht="25.2" customHeight="1" x14ac:dyDescent="0.3">
      <c r="B72" s="13" t="str">
        <f t="shared" si="4"/>
        <v/>
      </c>
      <c r="C72" s="18"/>
      <c r="D72" s="19" t="str">
        <f>IF(Tabela2[[#This Row],[AGRUPADOR]]&lt;&gt;"",VLOOKUP(Tabela2[[#This Row],[AGRUPADOR]],Tabela1[],2,0),"")</f>
        <v/>
      </c>
      <c r="E72" s="19" t="str">
        <f>IF(Tabela2[[#This Row],[AGRUPADOR]]&lt;&gt;"",VLOOKUP(Tabela2[[#This Row],[AGRUPADOR]],Tabela1[],4,0),"")</f>
        <v/>
      </c>
      <c r="F72" s="14"/>
      <c r="G72" s="6"/>
      <c r="H72" s="6"/>
      <c r="I72" s="25"/>
      <c r="J72" s="7"/>
      <c r="K72" s="15" t="str">
        <f>IF(Tabela2[[#This Row],[UNID.]]&lt;&gt;"",S72*(1+$R$2),"")</f>
        <v/>
      </c>
      <c r="L72" s="379">
        <f>IF(H72&lt;&gt;"",J72*K72,SUMIFS(L73:L$9844,$F73:$F$9844,"*"&amp;F72&amp;"*",$H73:$H$9844,"&lt;&gt;"))</f>
        <v>0</v>
      </c>
      <c r="M72" s="379" t="str">
        <f>IF(Tabela2[[#This Row],[UNID.]]&lt;&gt;"",IFERROR(VLOOKUP(Tabela2[[#This Row],[AGRUPADOR]],Lucratividade!$D$4:$O$129,6,0),0),"")</f>
        <v/>
      </c>
      <c r="N72" s="379">
        <f>IF(H72&lt;&gt;"",J72*M72*I72,SUMIFS(N73:N$9844,$F73:$F$9844,"*"&amp;F72&amp;"*",$H73:$H$9844,"&lt;&gt;"))</f>
        <v>0</v>
      </c>
      <c r="O72" s="162" t="str">
        <f>IFERROR((-Tabela2[[#This Row],[CUSTO TOTAL]]+Tabela2[[#This Row],[VENDA TOTAL]])/Tabela2[[#This Row],[VENDA TOTAL]]-PARAMETROS!$C$19,"")</f>
        <v/>
      </c>
      <c r="AA72" s="219">
        <f>SUM(Plan_Orc[[#This Row],[01/jan]:[01/dez]])</f>
        <v>0</v>
      </c>
      <c r="AB72" s="113"/>
      <c r="AC72" s="113"/>
      <c r="AD72" s="113"/>
      <c r="AE72" s="113"/>
      <c r="AF72" s="113"/>
      <c r="AG72" s="113"/>
      <c r="AH72" s="113"/>
      <c r="AI72" s="113"/>
      <c r="AJ72" s="113"/>
      <c r="AK72" s="113"/>
      <c r="AL72" s="113"/>
      <c r="AM72" s="113"/>
    </row>
    <row r="73" spans="2:39" ht="25.2" customHeight="1" x14ac:dyDescent="0.3">
      <c r="B73" s="13" t="str">
        <f t="shared" si="4"/>
        <v/>
      </c>
      <c r="C73" s="18"/>
      <c r="D73" s="19" t="str">
        <f>IF(Tabela2[[#This Row],[AGRUPADOR]]&lt;&gt;"",VLOOKUP(Tabela2[[#This Row],[AGRUPADOR]],Tabela1[],2,0),"")</f>
        <v/>
      </c>
      <c r="E73" s="19" t="str">
        <f>IF(Tabela2[[#This Row],[AGRUPADOR]]&lt;&gt;"",VLOOKUP(Tabela2[[#This Row],[AGRUPADOR]],Tabela1[],4,0),"")</f>
        <v/>
      </c>
      <c r="F73" s="14"/>
      <c r="G73" s="6"/>
      <c r="H73" s="6"/>
      <c r="I73" s="25"/>
      <c r="J73" s="7"/>
      <c r="K73" s="15" t="str">
        <f>IF(Tabela2[[#This Row],[UNID.]]&lt;&gt;"",S73*(1+$R$2),"")</f>
        <v/>
      </c>
      <c r="L73" s="379">
        <f>IF(H73&lt;&gt;"",J73*K73,SUMIFS(L74:L$9844,$F74:$F$9844,"*"&amp;F73&amp;"*",$H74:$H$9844,"&lt;&gt;"))</f>
        <v>0</v>
      </c>
      <c r="M73" s="379" t="str">
        <f>IF(Tabela2[[#This Row],[UNID.]]&lt;&gt;"",IFERROR(VLOOKUP(Tabela2[[#This Row],[AGRUPADOR]],Lucratividade!$D$4:$O$129,6,0),0),"")</f>
        <v/>
      </c>
      <c r="N73" s="379">
        <f>IF(H73&lt;&gt;"",J73*M73*I73,SUMIFS(N74:N$9844,$F74:$F$9844,"*"&amp;F73&amp;"*",$H74:$H$9844,"&lt;&gt;"))</f>
        <v>0</v>
      </c>
      <c r="O73" s="162" t="str">
        <f>IFERROR((-Tabela2[[#This Row],[CUSTO TOTAL]]+Tabela2[[#This Row],[VENDA TOTAL]])/Tabela2[[#This Row],[VENDA TOTAL]]-PARAMETROS!$C$19,"")</f>
        <v/>
      </c>
      <c r="AA73" s="219">
        <f>SUM(Plan_Orc[[#This Row],[01/jan]:[01/dez]])</f>
        <v>0</v>
      </c>
      <c r="AB73" s="114"/>
      <c r="AC73" s="114"/>
      <c r="AD73" s="114"/>
      <c r="AE73" s="114"/>
      <c r="AF73" s="114"/>
      <c r="AG73" s="114"/>
      <c r="AH73" s="114"/>
      <c r="AI73" s="114"/>
      <c r="AJ73" s="114"/>
      <c r="AK73" s="114"/>
      <c r="AL73" s="114"/>
      <c r="AM73" s="114"/>
    </row>
    <row r="74" spans="2:39" ht="25.2" customHeight="1" x14ac:dyDescent="0.3">
      <c r="B74" s="13" t="str">
        <f t="shared" si="4"/>
        <v/>
      </c>
      <c r="C74" s="18"/>
      <c r="D74" s="19" t="str">
        <f>IF(Tabela2[[#This Row],[AGRUPADOR]]&lt;&gt;"",VLOOKUP(Tabela2[[#This Row],[AGRUPADOR]],Tabela1[],2,0),"")</f>
        <v/>
      </c>
      <c r="E74" s="19" t="str">
        <f>IF(Tabela2[[#This Row],[AGRUPADOR]]&lt;&gt;"",VLOOKUP(Tabela2[[#This Row],[AGRUPADOR]],Tabela1[],4,0),"")</f>
        <v/>
      </c>
      <c r="F74" s="14"/>
      <c r="G74" s="6"/>
      <c r="H74" s="6"/>
      <c r="I74" s="25"/>
      <c r="J74" s="7"/>
      <c r="K74" s="15" t="str">
        <f>IF(Tabela2[[#This Row],[UNID.]]&lt;&gt;"",S74*(1+$R$2),"")</f>
        <v/>
      </c>
      <c r="L74" s="379">
        <f>IF(H74&lt;&gt;"",J74*K74,SUMIFS(L75:L$9844,$F75:$F$9844,"*"&amp;F74&amp;"*",$H75:$H$9844,"&lt;&gt;"))</f>
        <v>0</v>
      </c>
      <c r="M74" s="379" t="str">
        <f>IF(Tabela2[[#This Row],[UNID.]]&lt;&gt;"",IFERROR(VLOOKUP(Tabela2[[#This Row],[AGRUPADOR]],Lucratividade!$D$4:$O$129,6,0),0),"")</f>
        <v/>
      </c>
      <c r="N74" s="379">
        <f>IF(H74&lt;&gt;"",J74*M74*I74,SUMIFS(N75:N$9844,$F75:$F$9844,"*"&amp;F74&amp;"*",$H75:$H$9844,"&lt;&gt;"))</f>
        <v>0</v>
      </c>
      <c r="O74" s="162" t="str">
        <f>IFERROR((-Tabela2[[#This Row],[CUSTO TOTAL]]+Tabela2[[#This Row],[VENDA TOTAL]])/Tabela2[[#This Row],[VENDA TOTAL]]-PARAMETROS!$C$19,"")</f>
        <v/>
      </c>
      <c r="AA74" s="219">
        <f>SUM(Plan_Orc[[#This Row],[01/jan]:[01/dez]])</f>
        <v>0</v>
      </c>
      <c r="AB74" s="114"/>
      <c r="AC74" s="114"/>
      <c r="AD74" s="114"/>
      <c r="AE74" s="114"/>
      <c r="AF74" s="114"/>
      <c r="AG74" s="114"/>
      <c r="AH74" s="114"/>
      <c r="AI74" s="114"/>
      <c r="AJ74" s="114"/>
      <c r="AK74" s="114"/>
      <c r="AL74" s="114"/>
      <c r="AM74" s="114"/>
    </row>
    <row r="75" spans="2:39" ht="25.2" customHeight="1" x14ac:dyDescent="0.3">
      <c r="B75" s="13" t="str">
        <f t="shared" si="4"/>
        <v/>
      </c>
      <c r="C75" s="18"/>
      <c r="D75" s="19" t="str">
        <f>IF(Tabela2[[#This Row],[AGRUPADOR]]&lt;&gt;"",VLOOKUP(Tabela2[[#This Row],[AGRUPADOR]],Tabela1[],2,0),"")</f>
        <v/>
      </c>
      <c r="E75" s="19" t="str">
        <f>IF(Tabela2[[#This Row],[AGRUPADOR]]&lt;&gt;"",VLOOKUP(Tabela2[[#This Row],[AGRUPADOR]],Tabela1[],4,0),"")</f>
        <v/>
      </c>
      <c r="F75" s="14"/>
      <c r="G75" s="6"/>
      <c r="H75" s="6"/>
      <c r="I75" s="25"/>
      <c r="J75" s="7"/>
      <c r="K75" s="15" t="str">
        <f>IF(Tabela2[[#This Row],[UNID.]]&lt;&gt;"",S75*(1+$R$2),"")</f>
        <v/>
      </c>
      <c r="L75" s="379">
        <f>IF(H75&lt;&gt;"",J75*K75,SUMIFS(L76:L$9844,$F76:$F$9844,"*"&amp;F75&amp;"*",$H76:$H$9844,"&lt;&gt;"))</f>
        <v>0</v>
      </c>
      <c r="M75" s="379" t="str">
        <f>IF(Tabela2[[#This Row],[UNID.]]&lt;&gt;"",IFERROR(VLOOKUP(Tabela2[[#This Row],[AGRUPADOR]],Lucratividade!$D$4:$O$129,6,0),0),"")</f>
        <v/>
      </c>
      <c r="N75" s="379">
        <f>IF(H75&lt;&gt;"",J75*M75*I75,SUMIFS(N76:N$9844,$F76:$F$9844,"*"&amp;F75&amp;"*",$H76:$H$9844,"&lt;&gt;"))</f>
        <v>0</v>
      </c>
      <c r="O75" s="162" t="str">
        <f>IFERROR((-Tabela2[[#This Row],[CUSTO TOTAL]]+Tabela2[[#This Row],[VENDA TOTAL]])/Tabela2[[#This Row],[VENDA TOTAL]]-PARAMETROS!$C$19,"")</f>
        <v/>
      </c>
      <c r="AA75" s="219">
        <f>SUM(Plan_Orc[[#This Row],[01/jan]:[01/dez]])</f>
        <v>0</v>
      </c>
      <c r="AB75" s="114"/>
      <c r="AC75" s="114"/>
      <c r="AD75" s="114"/>
      <c r="AE75" s="114"/>
      <c r="AF75" s="114"/>
      <c r="AG75" s="114"/>
      <c r="AH75" s="114"/>
      <c r="AI75" s="114"/>
      <c r="AJ75" s="114"/>
      <c r="AK75" s="114"/>
      <c r="AL75" s="114"/>
      <c r="AM75" s="114"/>
    </row>
    <row r="76" spans="2:39" ht="25.2" customHeight="1" x14ac:dyDescent="0.3">
      <c r="B76" s="13" t="str">
        <f t="shared" si="4"/>
        <v/>
      </c>
      <c r="C76" s="18"/>
      <c r="D76" s="19" t="str">
        <f>IF(Tabela2[[#This Row],[AGRUPADOR]]&lt;&gt;"",VLOOKUP(Tabela2[[#This Row],[AGRUPADOR]],Tabela1[],2,0),"")</f>
        <v/>
      </c>
      <c r="E76" s="19" t="str">
        <f>IF(Tabela2[[#This Row],[AGRUPADOR]]&lt;&gt;"",VLOOKUP(Tabela2[[#This Row],[AGRUPADOR]],Tabela1[],4,0),"")</f>
        <v/>
      </c>
      <c r="F76" s="14"/>
      <c r="G76" s="6"/>
      <c r="H76" s="6"/>
      <c r="I76" s="25"/>
      <c r="J76" s="7"/>
      <c r="K76" s="15" t="str">
        <f>IF(Tabela2[[#This Row],[UNID.]]&lt;&gt;"",S76*(1+$R$2),"")</f>
        <v/>
      </c>
      <c r="L76" s="379">
        <f>IF(H76&lt;&gt;"",J76*K76,SUMIFS(L77:L$9844,$F77:$F$9844,"*"&amp;F76&amp;"*",$H77:$H$9844,"&lt;&gt;"))</f>
        <v>0</v>
      </c>
      <c r="M76" s="379" t="str">
        <f>IF(Tabela2[[#This Row],[UNID.]]&lt;&gt;"",IFERROR(VLOOKUP(Tabela2[[#This Row],[AGRUPADOR]],Lucratividade!$D$4:$O$129,6,0),0),"")</f>
        <v/>
      </c>
      <c r="N76" s="379">
        <f>IF(H76&lt;&gt;"",J76*M76*I76,SUMIFS(N77:N$9844,$F77:$F$9844,"*"&amp;F76&amp;"*",$H77:$H$9844,"&lt;&gt;"))</f>
        <v>0</v>
      </c>
      <c r="O76" s="162" t="str">
        <f>IFERROR((-Tabela2[[#This Row],[CUSTO TOTAL]]+Tabela2[[#This Row],[VENDA TOTAL]])/Tabela2[[#This Row],[VENDA TOTAL]]-PARAMETROS!$C$19,"")</f>
        <v/>
      </c>
      <c r="AA76" s="219">
        <f>SUM(Plan_Orc[[#This Row],[01/jan]:[01/dez]])</f>
        <v>0</v>
      </c>
      <c r="AB76" s="114"/>
      <c r="AC76" s="114"/>
      <c r="AD76" s="114"/>
      <c r="AE76" s="114"/>
      <c r="AF76" s="114"/>
      <c r="AG76" s="114"/>
      <c r="AH76" s="114"/>
      <c r="AI76" s="114"/>
      <c r="AJ76" s="114"/>
      <c r="AK76" s="114"/>
      <c r="AL76" s="114"/>
      <c r="AM76" s="114"/>
    </row>
    <row r="77" spans="2:39" ht="25.2" customHeight="1" x14ac:dyDescent="0.3">
      <c r="B77" s="13" t="str">
        <f t="shared" si="4"/>
        <v/>
      </c>
      <c r="C77" s="18"/>
      <c r="D77" s="19" t="str">
        <f>IF(Tabela2[[#This Row],[AGRUPADOR]]&lt;&gt;"",VLOOKUP(Tabela2[[#This Row],[AGRUPADOR]],Tabela1[],2,0),"")</f>
        <v/>
      </c>
      <c r="E77" s="19" t="str">
        <f>IF(Tabela2[[#This Row],[AGRUPADOR]]&lt;&gt;"",VLOOKUP(Tabela2[[#This Row],[AGRUPADOR]],Tabela1[],4,0),"")</f>
        <v/>
      </c>
      <c r="F77" s="14"/>
      <c r="G77" s="6"/>
      <c r="H77" s="6"/>
      <c r="I77" s="25"/>
      <c r="J77" s="7"/>
      <c r="K77" s="15" t="str">
        <f>IF(Tabela2[[#This Row],[UNID.]]&lt;&gt;"",S77*(1+$R$2),"")</f>
        <v/>
      </c>
      <c r="L77" s="379">
        <f>IF(H77&lt;&gt;"",J77*K77,SUMIFS(L78:L$9844,$F78:$F$9844,"*"&amp;F77&amp;"*",$H78:$H$9844,"&lt;&gt;"))</f>
        <v>0</v>
      </c>
      <c r="M77" s="379" t="str">
        <f>IF(Tabela2[[#This Row],[UNID.]]&lt;&gt;"",IFERROR(VLOOKUP(Tabela2[[#This Row],[AGRUPADOR]],Lucratividade!$D$4:$O$129,6,0),0),"")</f>
        <v/>
      </c>
      <c r="N77" s="379">
        <f>IF(H77&lt;&gt;"",J77*M77*I77,SUMIFS(N78:N$9844,$F78:$F$9844,"*"&amp;F77&amp;"*",$H78:$H$9844,"&lt;&gt;"))</f>
        <v>0</v>
      </c>
      <c r="O77" s="162" t="str">
        <f>IFERROR((-Tabela2[[#This Row],[CUSTO TOTAL]]+Tabela2[[#This Row],[VENDA TOTAL]])/Tabela2[[#This Row],[VENDA TOTAL]]-PARAMETROS!$C$19,"")</f>
        <v/>
      </c>
      <c r="AA77" s="219">
        <f>SUM(Plan_Orc[[#This Row],[01/jan]:[01/dez]])</f>
        <v>0</v>
      </c>
      <c r="AB77" s="114"/>
      <c r="AC77" s="114"/>
      <c r="AD77" s="114"/>
      <c r="AE77" s="114"/>
      <c r="AF77" s="114"/>
      <c r="AG77" s="114"/>
      <c r="AH77" s="114"/>
      <c r="AI77" s="114"/>
      <c r="AJ77" s="114"/>
      <c r="AK77" s="114"/>
      <c r="AL77" s="114"/>
      <c r="AM77" s="114"/>
    </row>
    <row r="78" spans="2:39" ht="25.2" customHeight="1" x14ac:dyDescent="0.3">
      <c r="B78" s="13" t="str">
        <f t="shared" si="4"/>
        <v/>
      </c>
      <c r="C78" s="18"/>
      <c r="D78" s="19" t="str">
        <f>IF(Tabela2[[#This Row],[AGRUPADOR]]&lt;&gt;"",VLOOKUP(Tabela2[[#This Row],[AGRUPADOR]],Tabela1[],2,0),"")</f>
        <v/>
      </c>
      <c r="E78" s="19" t="str">
        <f>IF(Tabela2[[#This Row],[AGRUPADOR]]&lt;&gt;"",VLOOKUP(Tabela2[[#This Row],[AGRUPADOR]],Tabela1[],4,0),"")</f>
        <v/>
      </c>
      <c r="F78" s="14"/>
      <c r="G78" s="6"/>
      <c r="H78" s="6"/>
      <c r="I78" s="25"/>
      <c r="J78" s="7"/>
      <c r="K78" s="15" t="str">
        <f>IF(Tabela2[[#This Row],[UNID.]]&lt;&gt;"",S78*(1+$R$2),"")</f>
        <v/>
      </c>
      <c r="L78" s="379">
        <f>IF(H78&lt;&gt;"",J78*K78,SUMIFS(L79:L$9844,$F79:$F$9844,"*"&amp;F78&amp;"*",$H79:$H$9844,"&lt;&gt;"))</f>
        <v>0</v>
      </c>
      <c r="M78" s="379" t="str">
        <f>IF(Tabela2[[#This Row],[UNID.]]&lt;&gt;"",IFERROR(VLOOKUP(Tabela2[[#This Row],[AGRUPADOR]],Lucratividade!$D$4:$O$129,6,0),0),"")</f>
        <v/>
      </c>
      <c r="N78" s="379">
        <f>IF(H78&lt;&gt;"",J78*M78*I78,SUMIFS(N79:N$9844,$F79:$F$9844,"*"&amp;F78&amp;"*",$H79:$H$9844,"&lt;&gt;"))</f>
        <v>0</v>
      </c>
      <c r="O78" s="162" t="str">
        <f>IFERROR((-Tabela2[[#This Row],[CUSTO TOTAL]]+Tabela2[[#This Row],[VENDA TOTAL]])/Tabela2[[#This Row],[VENDA TOTAL]]-PARAMETROS!$C$19,"")</f>
        <v/>
      </c>
      <c r="AA78" s="219">
        <f>SUM(Plan_Orc[[#This Row],[01/jan]:[01/dez]])</f>
        <v>0</v>
      </c>
      <c r="AB78" s="114"/>
      <c r="AC78" s="114"/>
      <c r="AD78" s="114"/>
      <c r="AE78" s="114"/>
      <c r="AF78" s="114"/>
      <c r="AG78" s="114"/>
      <c r="AH78" s="114"/>
      <c r="AI78" s="114"/>
      <c r="AJ78" s="114"/>
      <c r="AK78" s="114"/>
      <c r="AL78" s="114"/>
      <c r="AM78" s="114"/>
    </row>
    <row r="79" spans="2:39" ht="25.2" customHeight="1" x14ac:dyDescent="0.3">
      <c r="B79" s="13" t="str">
        <f t="shared" si="4"/>
        <v/>
      </c>
      <c r="C79" s="18"/>
      <c r="D79" s="19" t="str">
        <f>IF(Tabela2[[#This Row],[AGRUPADOR]]&lt;&gt;"",VLOOKUP(Tabela2[[#This Row],[AGRUPADOR]],Tabela1[],2,0),"")</f>
        <v/>
      </c>
      <c r="E79" s="19" t="str">
        <f>IF(Tabela2[[#This Row],[AGRUPADOR]]&lt;&gt;"",VLOOKUP(Tabela2[[#This Row],[AGRUPADOR]],Tabela1[],4,0),"")</f>
        <v/>
      </c>
      <c r="F79" s="14"/>
      <c r="G79" s="6"/>
      <c r="H79" s="6"/>
      <c r="I79" s="25"/>
      <c r="J79" s="7"/>
      <c r="K79" s="15" t="str">
        <f>IF(Tabela2[[#This Row],[UNID.]]&lt;&gt;"",S79*(1+$R$2),"")</f>
        <v/>
      </c>
      <c r="L79" s="379">
        <f>IF(H79&lt;&gt;"",J79*K79,SUMIFS(L80:L$9844,$F80:$F$9844,"*"&amp;F79&amp;"*",$H80:$H$9844,"&lt;&gt;"))</f>
        <v>0</v>
      </c>
      <c r="M79" s="379" t="str">
        <f>IF(Tabela2[[#This Row],[UNID.]]&lt;&gt;"",IFERROR(VLOOKUP(Tabela2[[#This Row],[AGRUPADOR]],Lucratividade!$D$4:$O$129,6,0),0),"")</f>
        <v/>
      </c>
      <c r="N79" s="379">
        <f>IF(H79&lt;&gt;"",J79*M79*I79,SUMIFS(N80:N$9844,$F80:$F$9844,"*"&amp;F79&amp;"*",$H80:$H$9844,"&lt;&gt;"))</f>
        <v>0</v>
      </c>
      <c r="O79" s="162" t="str">
        <f>IFERROR((-Tabela2[[#This Row],[CUSTO TOTAL]]+Tabela2[[#This Row],[VENDA TOTAL]])/Tabela2[[#This Row],[VENDA TOTAL]]-PARAMETROS!$C$19,"")</f>
        <v/>
      </c>
      <c r="AA79" s="219">
        <f>SUM(Plan_Orc[[#This Row],[01/jan]:[01/dez]])</f>
        <v>0</v>
      </c>
      <c r="AB79" s="114"/>
      <c r="AC79" s="114"/>
      <c r="AD79" s="114"/>
      <c r="AE79" s="114"/>
      <c r="AF79" s="114"/>
      <c r="AG79" s="114"/>
      <c r="AH79" s="114"/>
      <c r="AI79" s="114"/>
      <c r="AJ79" s="114"/>
      <c r="AK79" s="114"/>
      <c r="AL79" s="114"/>
      <c r="AM79" s="114"/>
    </row>
    <row r="80" spans="2:39" ht="25.2" customHeight="1" x14ac:dyDescent="0.3">
      <c r="B80" s="13" t="str">
        <f t="shared" si="4"/>
        <v/>
      </c>
      <c r="C80" s="18"/>
      <c r="D80" s="19" t="str">
        <f>IF(Tabela2[[#This Row],[AGRUPADOR]]&lt;&gt;"",VLOOKUP(Tabela2[[#This Row],[AGRUPADOR]],Tabela1[],2,0),"")</f>
        <v/>
      </c>
      <c r="E80" s="19" t="str">
        <f>IF(Tabela2[[#This Row],[AGRUPADOR]]&lt;&gt;"",VLOOKUP(Tabela2[[#This Row],[AGRUPADOR]],Tabela1[],4,0),"")</f>
        <v/>
      </c>
      <c r="F80" s="14"/>
      <c r="G80" s="6"/>
      <c r="H80" s="6"/>
      <c r="I80" s="25"/>
      <c r="J80" s="7"/>
      <c r="K80" s="15" t="str">
        <f>IF(Tabela2[[#This Row],[UNID.]]&lt;&gt;"",S80*(1+$R$2),"")</f>
        <v/>
      </c>
      <c r="L80" s="379">
        <f>IF(H80&lt;&gt;"",J80*K80,SUMIFS(L81:L$9844,$F81:$F$9844,"*"&amp;F80&amp;"*",$H81:$H$9844,"&lt;&gt;"))</f>
        <v>0</v>
      </c>
      <c r="M80" s="379" t="str">
        <f>IF(Tabela2[[#This Row],[UNID.]]&lt;&gt;"",IFERROR(VLOOKUP(Tabela2[[#This Row],[AGRUPADOR]],Lucratividade!$D$4:$O$129,6,0),0),"")</f>
        <v/>
      </c>
      <c r="N80" s="379">
        <f>IF(H80&lt;&gt;"",J80*M80*I80,SUMIFS(N81:N$9844,$F81:$F$9844,"*"&amp;F80&amp;"*",$H81:$H$9844,"&lt;&gt;"))</f>
        <v>0</v>
      </c>
      <c r="O80" s="162" t="str">
        <f>IFERROR((-Tabela2[[#This Row],[CUSTO TOTAL]]+Tabela2[[#This Row],[VENDA TOTAL]])/Tabela2[[#This Row],[VENDA TOTAL]]-PARAMETROS!$C$19,"")</f>
        <v/>
      </c>
      <c r="AA80" s="219">
        <f>SUM(Plan_Orc[[#This Row],[01/jan]:[01/dez]])</f>
        <v>0</v>
      </c>
      <c r="AB80" s="114"/>
      <c r="AC80" s="114"/>
      <c r="AD80" s="114"/>
      <c r="AE80" s="114"/>
      <c r="AF80" s="114"/>
      <c r="AG80" s="114"/>
      <c r="AH80" s="114"/>
      <c r="AI80" s="114"/>
      <c r="AJ80" s="114"/>
      <c r="AK80" s="114"/>
      <c r="AL80" s="114"/>
      <c r="AM80" s="114"/>
    </row>
    <row r="81" spans="2:39" ht="25.2" customHeight="1" x14ac:dyDescent="0.3">
      <c r="B81" s="13" t="str">
        <f t="shared" si="4"/>
        <v/>
      </c>
      <c r="C81" s="18"/>
      <c r="D81" s="19" t="str">
        <f>IF(Tabela2[[#This Row],[AGRUPADOR]]&lt;&gt;"",VLOOKUP(Tabela2[[#This Row],[AGRUPADOR]],Tabela1[],2,0),"")</f>
        <v/>
      </c>
      <c r="E81" s="19" t="str">
        <f>IF(Tabela2[[#This Row],[AGRUPADOR]]&lt;&gt;"",VLOOKUP(Tabela2[[#This Row],[AGRUPADOR]],Tabela1[],4,0),"")</f>
        <v/>
      </c>
      <c r="F81" s="14"/>
      <c r="G81" s="6"/>
      <c r="H81" s="6"/>
      <c r="I81" s="25"/>
      <c r="J81" s="7"/>
      <c r="K81" s="15" t="str">
        <f>IF(Tabela2[[#This Row],[UNID.]]&lt;&gt;"",S81*(1+$R$2),"")</f>
        <v/>
      </c>
      <c r="L81" s="379">
        <f>IF(H81&lt;&gt;"",J81*K81,SUMIFS(L82:L$9844,$F82:$F$9844,"*"&amp;F81&amp;"*",$H82:$H$9844,"&lt;&gt;"))</f>
        <v>0</v>
      </c>
      <c r="M81" s="379" t="str">
        <f>IF(Tabela2[[#This Row],[UNID.]]&lt;&gt;"",IFERROR(VLOOKUP(Tabela2[[#This Row],[AGRUPADOR]],Lucratividade!$D$4:$O$129,6,0),0),"")</f>
        <v/>
      </c>
      <c r="N81" s="379">
        <f>IF(H81&lt;&gt;"",J81*M81*I81,SUMIFS(N82:N$9844,$F82:$F$9844,"*"&amp;F81&amp;"*",$H82:$H$9844,"&lt;&gt;"))</f>
        <v>0</v>
      </c>
      <c r="O81" s="162" t="str">
        <f>IFERROR((-Tabela2[[#This Row],[CUSTO TOTAL]]+Tabela2[[#This Row],[VENDA TOTAL]])/Tabela2[[#This Row],[VENDA TOTAL]]-PARAMETROS!$C$19,"")</f>
        <v/>
      </c>
      <c r="AA81" s="219">
        <f>SUM(Plan_Orc[[#This Row],[01/jan]:[01/dez]])</f>
        <v>0</v>
      </c>
      <c r="AB81" s="114"/>
      <c r="AC81" s="114"/>
      <c r="AD81" s="114"/>
      <c r="AE81" s="114"/>
      <c r="AF81" s="114"/>
      <c r="AG81" s="114"/>
      <c r="AH81" s="114"/>
      <c r="AI81" s="114"/>
      <c r="AJ81" s="114"/>
      <c r="AK81" s="114"/>
      <c r="AL81" s="114"/>
      <c r="AM81" s="114"/>
    </row>
    <row r="82" spans="2:39" ht="25.2" customHeight="1" x14ac:dyDescent="0.3">
      <c r="B82" s="13" t="str">
        <f t="shared" si="4"/>
        <v/>
      </c>
      <c r="C82" s="18"/>
      <c r="D82" s="19" t="str">
        <f>IF(Tabela2[[#This Row],[AGRUPADOR]]&lt;&gt;"",VLOOKUP(Tabela2[[#This Row],[AGRUPADOR]],Tabela1[],2,0),"")</f>
        <v/>
      </c>
      <c r="E82" s="19" t="str">
        <f>IF(Tabela2[[#This Row],[AGRUPADOR]]&lt;&gt;"",VLOOKUP(Tabela2[[#This Row],[AGRUPADOR]],Tabela1[],4,0),"")</f>
        <v/>
      </c>
      <c r="F82" s="14"/>
      <c r="G82" s="6"/>
      <c r="H82" s="6"/>
      <c r="I82" s="25"/>
      <c r="J82" s="7"/>
      <c r="K82" s="15" t="str">
        <f>IF(Tabela2[[#This Row],[UNID.]]&lt;&gt;"",S82*(1+$R$2),"")</f>
        <v/>
      </c>
      <c r="L82" s="379">
        <f>IF(H82&lt;&gt;"",J82*K82,SUMIFS(L83:L$9844,$F83:$F$9844,"*"&amp;F82&amp;"*",$H83:$H$9844,"&lt;&gt;"))</f>
        <v>0</v>
      </c>
      <c r="M82" s="379" t="str">
        <f>IF(Tabela2[[#This Row],[UNID.]]&lt;&gt;"",IFERROR(VLOOKUP(Tabela2[[#This Row],[AGRUPADOR]],Lucratividade!$D$4:$O$129,6,0),0),"")</f>
        <v/>
      </c>
      <c r="N82" s="379">
        <f>IF(H82&lt;&gt;"",J82*M82*I82,SUMIFS(N83:N$9844,$F83:$F$9844,"*"&amp;F82&amp;"*",$H83:$H$9844,"&lt;&gt;"))</f>
        <v>0</v>
      </c>
      <c r="O82" s="162" t="str">
        <f>IFERROR((-Tabela2[[#This Row],[CUSTO TOTAL]]+Tabela2[[#This Row],[VENDA TOTAL]])/Tabela2[[#This Row],[VENDA TOTAL]]-PARAMETROS!$C$19,"")</f>
        <v/>
      </c>
      <c r="AA82" s="219">
        <f>SUM(Plan_Orc[[#This Row],[01/jan]:[01/dez]])</f>
        <v>0</v>
      </c>
      <c r="AB82" s="114"/>
      <c r="AC82" s="114"/>
      <c r="AD82" s="114"/>
      <c r="AE82" s="114"/>
      <c r="AF82" s="114"/>
      <c r="AG82" s="114"/>
      <c r="AH82" s="114"/>
      <c r="AI82" s="114"/>
      <c r="AJ82" s="114"/>
      <c r="AK82" s="114"/>
      <c r="AL82" s="114"/>
      <c r="AM82" s="114"/>
    </row>
    <row r="83" spans="2:39" ht="25.2" customHeight="1" x14ac:dyDescent="0.3">
      <c r="B83" s="13" t="str">
        <f t="shared" si="4"/>
        <v/>
      </c>
      <c r="C83" s="18"/>
      <c r="D83" s="19" t="str">
        <f>IF(Tabela2[[#This Row],[AGRUPADOR]]&lt;&gt;"",VLOOKUP(Tabela2[[#This Row],[AGRUPADOR]],Tabela1[],2,0),"")</f>
        <v/>
      </c>
      <c r="E83" s="19" t="str">
        <f>IF(Tabela2[[#This Row],[AGRUPADOR]]&lt;&gt;"",VLOOKUP(Tabela2[[#This Row],[AGRUPADOR]],Tabela1[],4,0),"")</f>
        <v/>
      </c>
      <c r="F83" s="14"/>
      <c r="G83" s="6"/>
      <c r="H83" s="6"/>
      <c r="I83" s="25"/>
      <c r="J83" s="7"/>
      <c r="K83" s="15" t="str">
        <f>IF(Tabela2[[#This Row],[UNID.]]&lt;&gt;"",S83*(1+$R$2),"")</f>
        <v/>
      </c>
      <c r="L83" s="379">
        <f>IF(H83&lt;&gt;"",J83*K83,SUMIFS(L84:L$9844,$F84:$F$9844,"*"&amp;F83&amp;"*",$H84:$H$9844,"&lt;&gt;"))</f>
        <v>0</v>
      </c>
      <c r="M83" s="379" t="str">
        <f>IF(Tabela2[[#This Row],[UNID.]]&lt;&gt;"",IFERROR(VLOOKUP(Tabela2[[#This Row],[AGRUPADOR]],Lucratividade!$D$4:$O$129,6,0),0),"")</f>
        <v/>
      </c>
      <c r="N83" s="379">
        <f>IF(H83&lt;&gt;"",J83*M83*I83,SUMIFS(N84:N$9844,$F84:$F$9844,"*"&amp;F83&amp;"*",$H84:$H$9844,"&lt;&gt;"))</f>
        <v>0</v>
      </c>
      <c r="O83" s="162" t="str">
        <f>IFERROR((-Tabela2[[#This Row],[CUSTO TOTAL]]+Tabela2[[#This Row],[VENDA TOTAL]])/Tabela2[[#This Row],[VENDA TOTAL]]-PARAMETROS!$C$19,"")</f>
        <v/>
      </c>
      <c r="AA83" s="219">
        <f>SUM(Plan_Orc[[#This Row],[01/jan]:[01/dez]])</f>
        <v>0</v>
      </c>
      <c r="AB83" s="114"/>
      <c r="AC83" s="114"/>
      <c r="AD83" s="114"/>
      <c r="AE83" s="114"/>
      <c r="AF83" s="114"/>
      <c r="AG83" s="114"/>
      <c r="AH83" s="114"/>
      <c r="AI83" s="114"/>
      <c r="AJ83" s="114"/>
      <c r="AK83" s="114"/>
      <c r="AL83" s="114"/>
      <c r="AM83" s="114"/>
    </row>
    <row r="84" spans="2:39" ht="25.2" customHeight="1" x14ac:dyDescent="0.3">
      <c r="B84" s="13" t="str">
        <f t="shared" si="4"/>
        <v/>
      </c>
      <c r="C84" s="18"/>
      <c r="D84" s="19" t="str">
        <f>IF(Tabela2[[#This Row],[AGRUPADOR]]&lt;&gt;"",VLOOKUP(Tabela2[[#This Row],[AGRUPADOR]],Tabela1[],2,0),"")</f>
        <v/>
      </c>
      <c r="E84" s="19" t="str">
        <f>IF(Tabela2[[#This Row],[AGRUPADOR]]&lt;&gt;"",VLOOKUP(Tabela2[[#This Row],[AGRUPADOR]],Tabela1[],4,0),"")</f>
        <v/>
      </c>
      <c r="F84" s="14"/>
      <c r="G84" s="6"/>
      <c r="H84" s="6"/>
      <c r="I84" s="25"/>
      <c r="J84" s="7"/>
      <c r="K84" s="15" t="str">
        <f>IF(Tabela2[[#This Row],[UNID.]]&lt;&gt;"",S84*(1+$R$2),"")</f>
        <v/>
      </c>
      <c r="L84" s="379">
        <f>IF(H84&lt;&gt;"",J84*K84,SUMIFS(L85:L$9844,$F85:$F$9844,"*"&amp;F84&amp;"*",$H85:$H$9844,"&lt;&gt;"))</f>
        <v>0</v>
      </c>
      <c r="M84" s="379" t="str">
        <f>IF(Tabela2[[#This Row],[UNID.]]&lt;&gt;"",IFERROR(VLOOKUP(Tabela2[[#This Row],[AGRUPADOR]],Lucratividade!$D$4:$O$129,6,0),0),"")</f>
        <v/>
      </c>
      <c r="N84" s="379">
        <f>IF(H84&lt;&gt;"",J84*M84*I84,SUMIFS(N85:N$9844,$F85:$F$9844,"*"&amp;F84&amp;"*",$H85:$H$9844,"&lt;&gt;"))</f>
        <v>0</v>
      </c>
      <c r="O84" s="162" t="str">
        <f>IFERROR((-Tabela2[[#This Row],[CUSTO TOTAL]]+Tabela2[[#This Row],[VENDA TOTAL]])/Tabela2[[#This Row],[VENDA TOTAL]]-PARAMETROS!$C$19,"")</f>
        <v/>
      </c>
      <c r="AA84" s="219">
        <f>SUM(Plan_Orc[[#This Row],[01/jan]:[01/dez]])</f>
        <v>0</v>
      </c>
      <c r="AB84" s="114"/>
      <c r="AC84" s="114"/>
      <c r="AD84" s="114"/>
      <c r="AE84" s="114"/>
      <c r="AF84" s="114"/>
      <c r="AG84" s="114"/>
      <c r="AH84" s="114"/>
      <c r="AI84" s="114"/>
      <c r="AJ84" s="114"/>
      <c r="AK84" s="114"/>
      <c r="AL84" s="114"/>
      <c r="AM84" s="114"/>
    </row>
    <row r="85" spans="2:39" ht="25.2" customHeight="1" x14ac:dyDescent="0.3">
      <c r="B85" s="13" t="str">
        <f t="shared" si="4"/>
        <v/>
      </c>
      <c r="C85" s="18"/>
      <c r="D85" s="19" t="str">
        <f>IF(Tabela2[[#This Row],[AGRUPADOR]]&lt;&gt;"",VLOOKUP(Tabela2[[#This Row],[AGRUPADOR]],Tabela1[],2,0),"")</f>
        <v/>
      </c>
      <c r="E85" s="19" t="str">
        <f>IF(Tabela2[[#This Row],[AGRUPADOR]]&lt;&gt;"",VLOOKUP(Tabela2[[#This Row],[AGRUPADOR]],Tabela1[],4,0),"")</f>
        <v/>
      </c>
      <c r="F85" s="14"/>
      <c r="G85" s="6"/>
      <c r="H85" s="6"/>
      <c r="I85" s="25"/>
      <c r="J85" s="7"/>
      <c r="K85" s="15" t="str">
        <f>IF(Tabela2[[#This Row],[UNID.]]&lt;&gt;"",S85*(1+$R$2),"")</f>
        <v/>
      </c>
      <c r="L85" s="379">
        <f>IF(H85&lt;&gt;"",J85*K85,SUMIFS(L86:L$9844,$F86:$F$9844,"*"&amp;F85&amp;"*",$H86:$H$9844,"&lt;&gt;"))</f>
        <v>0</v>
      </c>
      <c r="M85" s="379" t="str">
        <f>IF(Tabela2[[#This Row],[UNID.]]&lt;&gt;"",IFERROR(VLOOKUP(Tabela2[[#This Row],[AGRUPADOR]],Lucratividade!$D$4:$O$129,6,0),0),"")</f>
        <v/>
      </c>
      <c r="N85" s="379">
        <f>IF(H85&lt;&gt;"",J85*M85*I85,SUMIFS(N86:N$9844,$F86:$F$9844,"*"&amp;F85&amp;"*",$H86:$H$9844,"&lt;&gt;"))</f>
        <v>0</v>
      </c>
      <c r="O85" s="162" t="str">
        <f>IFERROR((-Tabela2[[#This Row],[CUSTO TOTAL]]+Tabela2[[#This Row],[VENDA TOTAL]])/Tabela2[[#This Row],[VENDA TOTAL]]-PARAMETROS!$C$19,"")</f>
        <v/>
      </c>
      <c r="AA85" s="219">
        <f>SUM(Plan_Orc[[#This Row],[01/jan]:[01/dez]])</f>
        <v>0</v>
      </c>
      <c r="AB85" s="114"/>
      <c r="AC85" s="114"/>
      <c r="AD85" s="114"/>
      <c r="AE85" s="114"/>
      <c r="AF85" s="114"/>
      <c r="AG85" s="114"/>
      <c r="AH85" s="114"/>
      <c r="AI85" s="114"/>
      <c r="AJ85" s="114"/>
      <c r="AK85" s="114"/>
      <c r="AL85" s="114"/>
      <c r="AM85" s="114"/>
    </row>
    <row r="86" spans="2:39" ht="25.2" customHeight="1" x14ac:dyDescent="0.3">
      <c r="B86" s="13" t="str">
        <f t="shared" si="4"/>
        <v/>
      </c>
      <c r="C86" s="18"/>
      <c r="D86" s="19" t="str">
        <f>IF(Tabela2[[#This Row],[AGRUPADOR]]&lt;&gt;"",VLOOKUP(Tabela2[[#This Row],[AGRUPADOR]],Tabela1[],2,0),"")</f>
        <v/>
      </c>
      <c r="E86" s="19" t="str">
        <f>IF(Tabela2[[#This Row],[AGRUPADOR]]&lt;&gt;"",VLOOKUP(Tabela2[[#This Row],[AGRUPADOR]],Tabela1[],4,0),"")</f>
        <v/>
      </c>
      <c r="F86" s="14"/>
      <c r="G86" s="6"/>
      <c r="H86" s="6"/>
      <c r="I86" s="25"/>
      <c r="J86" s="7"/>
      <c r="K86" s="15" t="str">
        <f>IF(Tabela2[[#This Row],[UNID.]]&lt;&gt;"",S86*(1+$R$2),"")</f>
        <v/>
      </c>
      <c r="L86" s="379">
        <f>IF(H86&lt;&gt;"",J86*K86,SUMIFS(L87:L$9844,$F87:$F$9844,"*"&amp;F86&amp;"*",$H87:$H$9844,"&lt;&gt;"))</f>
        <v>0</v>
      </c>
      <c r="M86" s="379" t="str">
        <f>IF(Tabela2[[#This Row],[UNID.]]&lt;&gt;"",IFERROR(VLOOKUP(Tabela2[[#This Row],[AGRUPADOR]],Lucratividade!$D$4:$O$129,6,0),0),"")</f>
        <v/>
      </c>
      <c r="N86" s="379">
        <f>IF(H86&lt;&gt;"",J86*M86*I86,SUMIFS(N87:N$9844,$F87:$F$9844,"*"&amp;F86&amp;"*",$H87:$H$9844,"&lt;&gt;"))</f>
        <v>0</v>
      </c>
      <c r="O86" s="162" t="str">
        <f>IFERROR((-Tabela2[[#This Row],[CUSTO TOTAL]]+Tabela2[[#This Row],[VENDA TOTAL]])/Tabela2[[#This Row],[VENDA TOTAL]]-PARAMETROS!$C$19,"")</f>
        <v/>
      </c>
      <c r="AA86" s="219">
        <f>SUM(Plan_Orc[[#This Row],[01/jan]:[01/dez]])</f>
        <v>0</v>
      </c>
      <c r="AB86" s="114"/>
      <c r="AC86" s="114"/>
      <c r="AD86" s="114"/>
      <c r="AE86" s="114"/>
      <c r="AF86" s="114"/>
      <c r="AG86" s="114"/>
      <c r="AH86" s="114"/>
      <c r="AI86" s="114"/>
      <c r="AJ86" s="114"/>
      <c r="AK86" s="114"/>
      <c r="AL86" s="114"/>
      <c r="AM86" s="114"/>
    </row>
    <row r="87" spans="2:39" ht="25.2" customHeight="1" x14ac:dyDescent="0.3">
      <c r="B87" s="13" t="str">
        <f t="shared" si="4"/>
        <v/>
      </c>
      <c r="C87" s="18"/>
      <c r="D87" s="19" t="str">
        <f>IF(Tabela2[[#This Row],[AGRUPADOR]]&lt;&gt;"",VLOOKUP(Tabela2[[#This Row],[AGRUPADOR]],Tabela1[],2,0),"")</f>
        <v/>
      </c>
      <c r="E87" s="19" t="str">
        <f>IF(Tabela2[[#This Row],[AGRUPADOR]]&lt;&gt;"",VLOOKUP(Tabela2[[#This Row],[AGRUPADOR]],Tabela1[],4,0),"")</f>
        <v/>
      </c>
      <c r="F87" s="14"/>
      <c r="G87" s="6"/>
      <c r="H87" s="6"/>
      <c r="I87" s="25"/>
      <c r="J87" s="7"/>
      <c r="K87" s="15" t="str">
        <f>IF(Tabela2[[#This Row],[UNID.]]&lt;&gt;"",S87*(1+$R$2),"")</f>
        <v/>
      </c>
      <c r="L87" s="379">
        <f>IF(H87&lt;&gt;"",J87*K87,SUMIFS(L88:L$9844,$F88:$F$9844,"*"&amp;F87&amp;"*",$H88:$H$9844,"&lt;&gt;"))</f>
        <v>0</v>
      </c>
      <c r="M87" s="379" t="str">
        <f>IF(Tabela2[[#This Row],[UNID.]]&lt;&gt;"",IFERROR(VLOOKUP(Tabela2[[#This Row],[AGRUPADOR]],Lucratividade!$D$4:$O$129,6,0),0),"")</f>
        <v/>
      </c>
      <c r="N87" s="379">
        <f>IF(H87&lt;&gt;"",J87*M87*I87,SUMIFS(N88:N$9844,$F88:$F$9844,"*"&amp;F87&amp;"*",$H88:$H$9844,"&lt;&gt;"))</f>
        <v>0</v>
      </c>
      <c r="O87" s="162" t="str">
        <f>IFERROR((-Tabela2[[#This Row],[CUSTO TOTAL]]+Tabela2[[#This Row],[VENDA TOTAL]])/Tabela2[[#This Row],[VENDA TOTAL]]-PARAMETROS!$C$19,"")</f>
        <v/>
      </c>
      <c r="AA87" s="219">
        <f>SUM(Plan_Orc[[#This Row],[01/jan]:[01/dez]])</f>
        <v>0</v>
      </c>
      <c r="AB87" s="114"/>
      <c r="AC87" s="114"/>
      <c r="AD87" s="114"/>
      <c r="AE87" s="114"/>
      <c r="AF87" s="114"/>
      <c r="AG87" s="114"/>
      <c r="AH87" s="114"/>
      <c r="AI87" s="114"/>
      <c r="AJ87" s="114"/>
      <c r="AK87" s="114"/>
      <c r="AL87" s="114"/>
      <c r="AM87" s="114"/>
    </row>
    <row r="88" spans="2:39" ht="25.2" customHeight="1" x14ac:dyDescent="0.3">
      <c r="B88" s="13" t="str">
        <f t="shared" si="4"/>
        <v/>
      </c>
      <c r="C88" s="18"/>
      <c r="D88" s="19" t="str">
        <f>IF(Tabela2[[#This Row],[AGRUPADOR]]&lt;&gt;"",VLOOKUP(Tabela2[[#This Row],[AGRUPADOR]],Tabela1[],2,0),"")</f>
        <v/>
      </c>
      <c r="E88" s="19" t="str">
        <f>IF(Tabela2[[#This Row],[AGRUPADOR]]&lt;&gt;"",VLOOKUP(Tabela2[[#This Row],[AGRUPADOR]],Tabela1[],4,0),"")</f>
        <v/>
      </c>
      <c r="F88" s="14"/>
      <c r="G88" s="6"/>
      <c r="H88" s="6"/>
      <c r="I88" s="25"/>
      <c r="J88" s="7"/>
      <c r="K88" s="15" t="str">
        <f>IF(Tabela2[[#This Row],[UNID.]]&lt;&gt;"",S88*(1+$R$2),"")</f>
        <v/>
      </c>
      <c r="L88" s="379">
        <f>IF(H88&lt;&gt;"",J88*K88,SUMIFS(L89:L$9844,$F89:$F$9844,"*"&amp;F88&amp;"*",$H89:$H$9844,"&lt;&gt;"))</f>
        <v>0</v>
      </c>
      <c r="M88" s="379" t="str">
        <f>IF(Tabela2[[#This Row],[UNID.]]&lt;&gt;"",IFERROR(VLOOKUP(Tabela2[[#This Row],[AGRUPADOR]],Lucratividade!$D$4:$O$129,6,0),0),"")</f>
        <v/>
      </c>
      <c r="N88" s="379">
        <f>IF(H88&lt;&gt;"",J88*M88*I88,SUMIFS(N89:N$9844,$F89:$F$9844,"*"&amp;F88&amp;"*",$H89:$H$9844,"&lt;&gt;"))</f>
        <v>0</v>
      </c>
      <c r="O88" s="162" t="str">
        <f>IFERROR((-Tabela2[[#This Row],[CUSTO TOTAL]]+Tabela2[[#This Row],[VENDA TOTAL]])/Tabela2[[#This Row],[VENDA TOTAL]]-PARAMETROS!$C$19,"")</f>
        <v/>
      </c>
      <c r="AA88" s="219">
        <f>SUM(Plan_Orc[[#This Row],[01/jan]:[01/dez]])</f>
        <v>0</v>
      </c>
      <c r="AB88" s="114"/>
      <c r="AC88" s="114"/>
      <c r="AD88" s="114"/>
      <c r="AE88" s="114"/>
      <c r="AF88" s="114"/>
      <c r="AG88" s="114"/>
      <c r="AH88" s="114"/>
      <c r="AI88" s="114"/>
      <c r="AJ88" s="114"/>
      <c r="AK88" s="114"/>
      <c r="AL88" s="114"/>
      <c r="AM88" s="114"/>
    </row>
    <row r="89" spans="2:39" ht="25.2" customHeight="1" x14ac:dyDescent="0.3">
      <c r="B89" s="13" t="str">
        <f t="shared" si="4"/>
        <v/>
      </c>
      <c r="C89" s="18"/>
      <c r="D89" s="19" t="str">
        <f>IF(Tabela2[[#This Row],[AGRUPADOR]]&lt;&gt;"",VLOOKUP(Tabela2[[#This Row],[AGRUPADOR]],Tabela1[],2,0),"")</f>
        <v/>
      </c>
      <c r="E89" s="19" t="str">
        <f>IF(Tabela2[[#This Row],[AGRUPADOR]]&lt;&gt;"",VLOOKUP(Tabela2[[#This Row],[AGRUPADOR]],Tabela1[],4,0),"")</f>
        <v/>
      </c>
      <c r="F89" s="14"/>
      <c r="G89" s="6"/>
      <c r="H89" s="6"/>
      <c r="I89" s="25"/>
      <c r="J89" s="7"/>
      <c r="K89" s="15" t="str">
        <f>IF(Tabela2[[#This Row],[UNID.]]&lt;&gt;"",S89*(1+$R$2),"")</f>
        <v/>
      </c>
      <c r="L89" s="379">
        <f>IF(H89&lt;&gt;"",J89*K89,SUMIFS(L90:L$9844,$F90:$F$9844,"*"&amp;F89&amp;"*",$H90:$H$9844,"&lt;&gt;"))</f>
        <v>0</v>
      </c>
      <c r="M89" s="379" t="str">
        <f>IF(Tabela2[[#This Row],[UNID.]]&lt;&gt;"",IFERROR(VLOOKUP(Tabela2[[#This Row],[AGRUPADOR]],Lucratividade!$D$4:$O$129,6,0),0),"")</f>
        <v/>
      </c>
      <c r="N89" s="379">
        <f>IF(H89&lt;&gt;"",J89*M89*I89,SUMIFS(N90:N$9844,$F90:$F$9844,"*"&amp;F89&amp;"*",$H90:$H$9844,"&lt;&gt;"))</f>
        <v>0</v>
      </c>
      <c r="O89" s="162" t="str">
        <f>IFERROR((-Tabela2[[#This Row],[CUSTO TOTAL]]+Tabela2[[#This Row],[VENDA TOTAL]])/Tabela2[[#This Row],[VENDA TOTAL]]-PARAMETROS!$C$19,"")</f>
        <v/>
      </c>
      <c r="AA89" s="219">
        <f>SUM(Plan_Orc[[#This Row],[01/jan]:[01/dez]])</f>
        <v>0</v>
      </c>
      <c r="AB89" s="114"/>
      <c r="AC89" s="114"/>
      <c r="AD89" s="114"/>
      <c r="AE89" s="114"/>
      <c r="AF89" s="114"/>
      <c r="AG89" s="114"/>
      <c r="AH89" s="114"/>
      <c r="AI89" s="114"/>
      <c r="AJ89" s="114"/>
      <c r="AK89" s="114"/>
      <c r="AL89" s="114"/>
      <c r="AM89" s="114"/>
    </row>
    <row r="90" spans="2:39" ht="25.2" customHeight="1" x14ac:dyDescent="0.3">
      <c r="B90" s="13" t="str">
        <f t="shared" si="4"/>
        <v/>
      </c>
      <c r="C90" s="18"/>
      <c r="D90" s="19" t="str">
        <f>IF(Tabela2[[#This Row],[AGRUPADOR]]&lt;&gt;"",VLOOKUP(Tabela2[[#This Row],[AGRUPADOR]],Tabela1[],2,0),"")</f>
        <v/>
      </c>
      <c r="E90" s="19" t="str">
        <f>IF(Tabela2[[#This Row],[AGRUPADOR]]&lt;&gt;"",VLOOKUP(Tabela2[[#This Row],[AGRUPADOR]],Tabela1[],4,0),"")</f>
        <v/>
      </c>
      <c r="F90" s="14"/>
      <c r="G90" s="6"/>
      <c r="H90" s="6"/>
      <c r="I90" s="25"/>
      <c r="J90" s="7"/>
      <c r="K90" s="15" t="str">
        <f>IF(Tabela2[[#This Row],[UNID.]]&lt;&gt;"",S90*(1+$R$2),"")</f>
        <v/>
      </c>
      <c r="L90" s="379">
        <f>IF(H90&lt;&gt;"",J90*K90,SUMIFS(L91:L$9844,$F91:$F$9844,"*"&amp;F90&amp;"*",$H91:$H$9844,"&lt;&gt;"))</f>
        <v>0</v>
      </c>
      <c r="M90" s="379" t="str">
        <f>IF(Tabela2[[#This Row],[UNID.]]&lt;&gt;"",IFERROR(VLOOKUP(Tabela2[[#This Row],[AGRUPADOR]],Lucratividade!$D$4:$O$129,6,0),0),"")</f>
        <v/>
      </c>
      <c r="N90" s="379">
        <f>IF(H90&lt;&gt;"",J90*M90*I90,SUMIFS(N91:N$9844,$F91:$F$9844,"*"&amp;F90&amp;"*",$H91:$H$9844,"&lt;&gt;"))</f>
        <v>0</v>
      </c>
      <c r="O90" s="162" t="str">
        <f>IFERROR((-Tabela2[[#This Row],[CUSTO TOTAL]]+Tabela2[[#This Row],[VENDA TOTAL]])/Tabela2[[#This Row],[VENDA TOTAL]]-PARAMETROS!$C$19,"")</f>
        <v/>
      </c>
      <c r="AA90" s="219">
        <f>SUM(Plan_Orc[[#This Row],[01/jan]:[01/dez]])</f>
        <v>0</v>
      </c>
      <c r="AB90" s="114"/>
      <c r="AC90" s="114"/>
      <c r="AD90" s="114"/>
      <c r="AE90" s="114"/>
      <c r="AF90" s="114"/>
      <c r="AG90" s="114"/>
      <c r="AH90" s="114"/>
      <c r="AI90" s="114"/>
      <c r="AJ90" s="114"/>
      <c r="AK90" s="114"/>
      <c r="AL90" s="114"/>
      <c r="AM90" s="114"/>
    </row>
    <row r="91" spans="2:39" ht="25.2" customHeight="1" x14ac:dyDescent="0.3">
      <c r="B91" s="13" t="str">
        <f t="shared" si="4"/>
        <v/>
      </c>
      <c r="C91" s="18"/>
      <c r="D91" s="19" t="str">
        <f>IF(Tabela2[[#This Row],[AGRUPADOR]]&lt;&gt;"",VLOOKUP(Tabela2[[#This Row],[AGRUPADOR]],Tabela1[],2,0),"")</f>
        <v/>
      </c>
      <c r="E91" s="19" t="str">
        <f>IF(Tabela2[[#This Row],[AGRUPADOR]]&lt;&gt;"",VLOOKUP(Tabela2[[#This Row],[AGRUPADOR]],Tabela1[],4,0),"")</f>
        <v/>
      </c>
      <c r="F91" s="14"/>
      <c r="G91" s="6"/>
      <c r="H91" s="6"/>
      <c r="I91" s="25"/>
      <c r="J91" s="7"/>
      <c r="K91" s="15" t="str">
        <f>IF(Tabela2[[#This Row],[UNID.]]&lt;&gt;"",S91*(1+$R$2),"")</f>
        <v/>
      </c>
      <c r="L91" s="379">
        <f>IF(H91&lt;&gt;"",J91*K91,SUMIFS(L92:L$9844,$F92:$F$9844,"*"&amp;F91&amp;"*",$H92:$H$9844,"&lt;&gt;"))</f>
        <v>0</v>
      </c>
      <c r="M91" s="379" t="str">
        <f>IF(Tabela2[[#This Row],[UNID.]]&lt;&gt;"",IFERROR(VLOOKUP(Tabela2[[#This Row],[AGRUPADOR]],Lucratividade!$D$4:$O$129,6,0),0),"")</f>
        <v/>
      </c>
      <c r="N91" s="379">
        <f>IF(H91&lt;&gt;"",J91*M91*I91,SUMIFS(N92:N$9844,$F92:$F$9844,"*"&amp;F91&amp;"*",$H92:$H$9844,"&lt;&gt;"))</f>
        <v>0</v>
      </c>
      <c r="O91" s="162" t="str">
        <f>IFERROR((-Tabela2[[#This Row],[CUSTO TOTAL]]+Tabela2[[#This Row],[VENDA TOTAL]])/Tabela2[[#This Row],[VENDA TOTAL]]-PARAMETROS!$C$19,"")</f>
        <v/>
      </c>
      <c r="AA91" s="218">
        <f>SUM(Plan_Orc[[#This Row],[01/jan]:[01/dez]])</f>
        <v>0</v>
      </c>
      <c r="AB91" s="114"/>
      <c r="AC91" s="114"/>
      <c r="AD91" s="114"/>
      <c r="AE91" s="114"/>
      <c r="AF91" s="114"/>
      <c r="AG91" s="114"/>
      <c r="AH91" s="114"/>
      <c r="AI91" s="114"/>
      <c r="AJ91" s="114"/>
      <c r="AK91" s="114"/>
      <c r="AL91" s="114"/>
      <c r="AM91" s="114"/>
    </row>
    <row r="92" spans="2:39" ht="25.2" customHeight="1" x14ac:dyDescent="0.3">
      <c r="B92" s="13" t="str">
        <f t="shared" si="4"/>
        <v/>
      </c>
      <c r="C92" s="18"/>
      <c r="D92" s="19" t="str">
        <f>IF(Tabela2[[#This Row],[AGRUPADOR]]&lt;&gt;"",VLOOKUP(Tabela2[[#This Row],[AGRUPADOR]],Tabela1[],2,0),"")</f>
        <v/>
      </c>
      <c r="E92" s="19" t="str">
        <f>IF(Tabela2[[#This Row],[AGRUPADOR]]&lt;&gt;"",VLOOKUP(Tabela2[[#This Row],[AGRUPADOR]],Tabela1[],4,0),"")</f>
        <v/>
      </c>
      <c r="F92" s="14"/>
      <c r="G92" s="6"/>
      <c r="H92" s="6"/>
      <c r="I92" s="25"/>
      <c r="J92" s="7"/>
      <c r="K92" s="15" t="str">
        <f>IF(Tabela2[[#This Row],[UNID.]]&lt;&gt;"",S92*(1+$R$2),"")</f>
        <v/>
      </c>
      <c r="L92" s="379">
        <f>IF(H92&lt;&gt;"",J92*K92,SUMIFS(L93:L$9844,$F93:$F$9844,"*"&amp;F92&amp;"*",$H93:$H$9844,"&lt;&gt;"))</f>
        <v>0</v>
      </c>
      <c r="M92" s="379" t="str">
        <f>IF(Tabela2[[#This Row],[UNID.]]&lt;&gt;"",IFERROR(VLOOKUP(Tabela2[[#This Row],[AGRUPADOR]],Lucratividade!$D$4:$O$129,6,0),0),"")</f>
        <v/>
      </c>
      <c r="N92" s="379">
        <f>IF(H92&lt;&gt;"",J92*M92*I92,SUMIFS(N93:N$9844,$F93:$F$9844,"*"&amp;F92&amp;"*",$H93:$H$9844,"&lt;&gt;"))</f>
        <v>0</v>
      </c>
      <c r="O92" s="162" t="str">
        <f>IFERROR((-Tabela2[[#This Row],[CUSTO TOTAL]]+Tabela2[[#This Row],[VENDA TOTAL]])/Tabela2[[#This Row],[VENDA TOTAL]]-PARAMETROS!$C$19,"")</f>
        <v/>
      </c>
      <c r="AA92" s="219">
        <f>SUM(Plan_Orc[[#This Row],[01/jan]:[01/dez]])</f>
        <v>0</v>
      </c>
      <c r="AB92" s="114"/>
      <c r="AC92" s="114"/>
      <c r="AD92" s="114"/>
      <c r="AE92" s="114"/>
      <c r="AF92" s="114"/>
      <c r="AG92" s="114"/>
      <c r="AH92" s="114"/>
      <c r="AI92" s="114"/>
      <c r="AJ92" s="114"/>
      <c r="AK92" s="114"/>
      <c r="AL92" s="114"/>
      <c r="AM92" s="114"/>
    </row>
    <row r="93" spans="2:39" ht="25.2" customHeight="1" x14ac:dyDescent="0.3">
      <c r="B93" s="13" t="str">
        <f t="shared" si="4"/>
        <v/>
      </c>
      <c r="C93" s="18"/>
      <c r="D93" s="19" t="str">
        <f>IF(Tabela2[[#This Row],[AGRUPADOR]]&lt;&gt;"",VLOOKUP(Tabela2[[#This Row],[AGRUPADOR]],Tabela1[],2,0),"")</f>
        <v/>
      </c>
      <c r="E93" s="19" t="str">
        <f>IF(Tabela2[[#This Row],[AGRUPADOR]]&lt;&gt;"",VLOOKUP(Tabela2[[#This Row],[AGRUPADOR]],Tabela1[],4,0),"")</f>
        <v/>
      </c>
      <c r="F93" s="14"/>
      <c r="G93" s="6"/>
      <c r="H93" s="6"/>
      <c r="I93" s="25"/>
      <c r="J93" s="7"/>
      <c r="K93" s="15" t="str">
        <f>IF(Tabela2[[#This Row],[UNID.]]&lt;&gt;"",S93*(1+$R$2),"")</f>
        <v/>
      </c>
      <c r="L93" s="379">
        <f>IF(H93&lt;&gt;"",J93*K93,SUMIFS(L94:L$9844,$F94:$F$9844,"*"&amp;F93&amp;"*",$H94:$H$9844,"&lt;&gt;"))</f>
        <v>0</v>
      </c>
      <c r="M93" s="379" t="str">
        <f>IF(Tabela2[[#This Row],[UNID.]]&lt;&gt;"",IFERROR(VLOOKUP(Tabela2[[#This Row],[AGRUPADOR]],Lucratividade!$D$4:$O$129,6,0),0),"")</f>
        <v/>
      </c>
      <c r="N93" s="379">
        <f>IF(H93&lt;&gt;"",J93*M93*I93,SUMIFS(N94:N$9844,$F94:$F$9844,"*"&amp;F93&amp;"*",$H94:$H$9844,"&lt;&gt;"))</f>
        <v>0</v>
      </c>
      <c r="O93" s="162" t="str">
        <f>IFERROR((-Tabela2[[#This Row],[CUSTO TOTAL]]+Tabela2[[#This Row],[VENDA TOTAL]])/Tabela2[[#This Row],[VENDA TOTAL]]-PARAMETROS!$C$19,"")</f>
        <v/>
      </c>
      <c r="AA93" s="219">
        <f>SUM(Plan_Orc[[#This Row],[01/jan]:[01/dez]])</f>
        <v>0</v>
      </c>
      <c r="AB93" s="114"/>
      <c r="AC93" s="114"/>
      <c r="AD93" s="114"/>
      <c r="AE93" s="114"/>
      <c r="AF93" s="114"/>
      <c r="AG93" s="114"/>
      <c r="AH93" s="114"/>
      <c r="AI93" s="114"/>
      <c r="AJ93" s="114"/>
      <c r="AK93" s="114"/>
      <c r="AL93" s="114"/>
      <c r="AM93" s="114"/>
    </row>
    <row r="94" spans="2:39" ht="25.2" customHeight="1" x14ac:dyDescent="0.3">
      <c r="B94" s="13" t="str">
        <f t="shared" si="4"/>
        <v/>
      </c>
      <c r="C94" s="18"/>
      <c r="D94" s="19" t="str">
        <f>IF(Tabela2[[#This Row],[AGRUPADOR]]&lt;&gt;"",VLOOKUP(Tabela2[[#This Row],[AGRUPADOR]],Tabela1[],2,0),"")</f>
        <v/>
      </c>
      <c r="E94" s="19" t="str">
        <f>IF(Tabela2[[#This Row],[AGRUPADOR]]&lt;&gt;"",VLOOKUP(Tabela2[[#This Row],[AGRUPADOR]],Tabela1[],4,0),"")</f>
        <v/>
      </c>
      <c r="F94" s="14"/>
      <c r="G94" s="6"/>
      <c r="H94" s="6"/>
      <c r="I94" s="25"/>
      <c r="J94" s="7"/>
      <c r="K94" s="15" t="str">
        <f>IF(Tabela2[[#This Row],[UNID.]]&lt;&gt;"",S94*(1+$R$2),"")</f>
        <v/>
      </c>
      <c r="L94" s="379">
        <f>IF(H94&lt;&gt;"",J94*K94,SUMIFS(L95:L$9844,$F95:$F$9844,"*"&amp;F94&amp;"*",$H95:$H$9844,"&lt;&gt;"))</f>
        <v>0</v>
      </c>
      <c r="M94" s="379" t="str">
        <f>IF(Tabela2[[#This Row],[UNID.]]&lt;&gt;"",IFERROR(VLOOKUP(Tabela2[[#This Row],[AGRUPADOR]],Lucratividade!$D$4:$O$129,6,0),0),"")</f>
        <v/>
      </c>
      <c r="N94" s="379">
        <f>IF(H94&lt;&gt;"",J94*M94*I94,SUMIFS(N95:N$9844,$F95:$F$9844,"*"&amp;F94&amp;"*",$H95:$H$9844,"&lt;&gt;"))</f>
        <v>0</v>
      </c>
      <c r="O94" s="162" t="str">
        <f>IFERROR((-Tabela2[[#This Row],[CUSTO TOTAL]]+Tabela2[[#This Row],[VENDA TOTAL]])/Tabela2[[#This Row],[VENDA TOTAL]]-PARAMETROS!$C$19,"")</f>
        <v/>
      </c>
      <c r="AA94" s="219">
        <f>SUM(Plan_Orc[[#This Row],[01/jan]:[01/dez]])</f>
        <v>0</v>
      </c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</row>
    <row r="95" spans="2:39" ht="25.2" customHeight="1" x14ac:dyDescent="0.3">
      <c r="B95" s="13" t="str">
        <f t="shared" si="4"/>
        <v/>
      </c>
      <c r="C95" s="18"/>
      <c r="D95" s="19" t="str">
        <f>IF(Tabela2[[#This Row],[AGRUPADOR]]&lt;&gt;"",VLOOKUP(Tabela2[[#This Row],[AGRUPADOR]],Tabela1[],2,0),"")</f>
        <v/>
      </c>
      <c r="E95" s="19" t="str">
        <f>IF(Tabela2[[#This Row],[AGRUPADOR]]&lt;&gt;"",VLOOKUP(Tabela2[[#This Row],[AGRUPADOR]],Tabela1[],4,0),"")</f>
        <v/>
      </c>
      <c r="F95" s="14"/>
      <c r="G95" s="6"/>
      <c r="H95" s="6"/>
      <c r="I95" s="25"/>
      <c r="J95" s="7"/>
      <c r="K95" s="15" t="str">
        <f>IF(Tabela2[[#This Row],[UNID.]]&lt;&gt;"",S95*(1+$R$2),"")</f>
        <v/>
      </c>
      <c r="L95" s="379">
        <f>IF(H95&lt;&gt;"",J95*K95,SUMIFS(L96:L$9844,$F96:$F$9844,"*"&amp;F95&amp;"*",$H96:$H$9844,"&lt;&gt;"))</f>
        <v>0</v>
      </c>
      <c r="M95" s="379" t="str">
        <f>IF(Tabela2[[#This Row],[UNID.]]&lt;&gt;"",IFERROR(VLOOKUP(Tabela2[[#This Row],[AGRUPADOR]],Lucratividade!$D$4:$O$129,6,0),0),"")</f>
        <v/>
      </c>
      <c r="N95" s="379">
        <f>IF(H95&lt;&gt;"",J95*M95*I95,SUMIFS(N96:N$9844,$F96:$F$9844,"*"&amp;F95&amp;"*",$H96:$H$9844,"&lt;&gt;"))</f>
        <v>0</v>
      </c>
      <c r="O95" s="162" t="str">
        <f>IFERROR((-Tabela2[[#This Row],[CUSTO TOTAL]]+Tabela2[[#This Row],[VENDA TOTAL]])/Tabela2[[#This Row],[VENDA TOTAL]]-PARAMETROS!$C$19,"")</f>
        <v/>
      </c>
      <c r="AA95" s="219">
        <f>SUM(Plan_Orc[[#This Row],[01/jan]:[01/dez]])</f>
        <v>0</v>
      </c>
      <c r="AB95" s="114"/>
      <c r="AC95" s="114"/>
      <c r="AD95" s="114"/>
      <c r="AE95" s="114"/>
      <c r="AF95" s="114"/>
      <c r="AG95" s="114"/>
      <c r="AH95" s="114"/>
      <c r="AI95" s="114"/>
      <c r="AJ95" s="114"/>
      <c r="AK95" s="114"/>
      <c r="AL95" s="114"/>
      <c r="AM95" s="114"/>
    </row>
    <row r="96" spans="2:39" ht="25.2" customHeight="1" x14ac:dyDescent="0.3">
      <c r="B96" s="13" t="str">
        <f t="shared" si="4"/>
        <v/>
      </c>
      <c r="C96" s="18"/>
      <c r="D96" s="19" t="str">
        <f>IF(Tabela2[[#This Row],[AGRUPADOR]]&lt;&gt;"",VLOOKUP(Tabela2[[#This Row],[AGRUPADOR]],Tabela1[],2,0),"")</f>
        <v/>
      </c>
      <c r="E96" s="19" t="str">
        <f>IF(Tabela2[[#This Row],[AGRUPADOR]]&lt;&gt;"",VLOOKUP(Tabela2[[#This Row],[AGRUPADOR]],Tabela1[],4,0),"")</f>
        <v/>
      </c>
      <c r="F96" s="14"/>
      <c r="G96" s="6"/>
      <c r="H96" s="6"/>
      <c r="I96" s="25"/>
      <c r="J96" s="7"/>
      <c r="K96" s="15" t="str">
        <f>IF(Tabela2[[#This Row],[UNID.]]&lt;&gt;"",S96*(1+$R$2),"")</f>
        <v/>
      </c>
      <c r="L96" s="379">
        <f>IF(H96&lt;&gt;"",J96*K96,SUMIFS(L97:L$9844,$F97:$F$9844,"*"&amp;F96&amp;"*",$H97:$H$9844,"&lt;&gt;"))</f>
        <v>0</v>
      </c>
      <c r="M96" s="379" t="str">
        <f>IF(Tabela2[[#This Row],[UNID.]]&lt;&gt;"",IFERROR(VLOOKUP(Tabela2[[#This Row],[AGRUPADOR]],Lucratividade!$D$4:$O$129,6,0),0),"")</f>
        <v/>
      </c>
      <c r="N96" s="379">
        <f>IF(H96&lt;&gt;"",J96*M96*I96,SUMIFS(N97:N$9844,$F97:$F$9844,"*"&amp;F96&amp;"*",$H97:$H$9844,"&lt;&gt;"))</f>
        <v>0</v>
      </c>
      <c r="O96" s="162" t="str">
        <f>IFERROR((-Tabela2[[#This Row],[CUSTO TOTAL]]+Tabela2[[#This Row],[VENDA TOTAL]])/Tabela2[[#This Row],[VENDA TOTAL]]-PARAMETROS!$C$19,"")</f>
        <v/>
      </c>
      <c r="AA96" s="219">
        <f>SUM(Plan_Orc[[#This Row],[01/jan]:[01/dez]])</f>
        <v>0</v>
      </c>
      <c r="AB96" s="114"/>
      <c r="AC96" s="114"/>
      <c r="AD96" s="114"/>
      <c r="AE96" s="114"/>
      <c r="AF96" s="114"/>
      <c r="AG96" s="114"/>
      <c r="AH96" s="114"/>
      <c r="AI96" s="114"/>
      <c r="AJ96" s="114"/>
      <c r="AK96" s="114"/>
      <c r="AL96" s="114"/>
      <c r="AM96" s="114"/>
    </row>
    <row r="97" spans="2:39" ht="25.2" customHeight="1" x14ac:dyDescent="0.3">
      <c r="B97" s="13" t="str">
        <f t="shared" si="4"/>
        <v/>
      </c>
      <c r="C97" s="18"/>
      <c r="D97" s="19" t="str">
        <f>IF(Tabela2[[#This Row],[AGRUPADOR]]&lt;&gt;"",VLOOKUP(Tabela2[[#This Row],[AGRUPADOR]],Tabela1[],2,0),"")</f>
        <v/>
      </c>
      <c r="E97" s="19" t="str">
        <f>IF(Tabela2[[#This Row],[AGRUPADOR]]&lt;&gt;"",VLOOKUP(Tabela2[[#This Row],[AGRUPADOR]],Tabela1[],4,0),"")</f>
        <v/>
      </c>
      <c r="F97" s="14"/>
      <c r="G97" s="6"/>
      <c r="H97" s="6"/>
      <c r="I97" s="25"/>
      <c r="J97" s="7"/>
      <c r="K97" s="15" t="str">
        <f>IF(Tabela2[[#This Row],[UNID.]]&lt;&gt;"",S97*(1+$R$2),"")</f>
        <v/>
      </c>
      <c r="L97" s="379">
        <f>IF(H97&lt;&gt;"",J97*K97,SUMIFS(L98:L$9844,$F98:$F$9844,"*"&amp;F97&amp;"*",$H98:$H$9844,"&lt;&gt;"))</f>
        <v>0</v>
      </c>
      <c r="M97" s="379" t="str">
        <f>IF(Tabela2[[#This Row],[UNID.]]&lt;&gt;"",IFERROR(VLOOKUP(Tabela2[[#This Row],[AGRUPADOR]],Lucratividade!$D$4:$O$129,6,0),0),"")</f>
        <v/>
      </c>
      <c r="N97" s="379">
        <f>IF(H97&lt;&gt;"",J97*M97*I97,SUMIFS(N98:N$9844,$F98:$F$9844,"*"&amp;F97&amp;"*",$H98:$H$9844,"&lt;&gt;"))</f>
        <v>0</v>
      </c>
      <c r="O97" s="162" t="str">
        <f>IFERROR((-Tabela2[[#This Row],[CUSTO TOTAL]]+Tabela2[[#This Row],[VENDA TOTAL]])/Tabela2[[#This Row],[VENDA TOTAL]]-PARAMETROS!$C$19,"")</f>
        <v/>
      </c>
      <c r="AA97" s="219">
        <f>SUM(Plan_Orc[[#This Row],[01/jan]:[01/dez]])</f>
        <v>0</v>
      </c>
      <c r="AB97" s="114"/>
      <c r="AC97" s="114"/>
      <c r="AD97" s="114"/>
      <c r="AE97" s="114"/>
      <c r="AF97" s="114"/>
      <c r="AG97" s="114"/>
      <c r="AH97" s="114"/>
      <c r="AI97" s="114"/>
      <c r="AJ97" s="114"/>
      <c r="AK97" s="114"/>
      <c r="AL97" s="114"/>
      <c r="AM97" s="114"/>
    </row>
    <row r="98" spans="2:39" ht="25.2" customHeight="1" x14ac:dyDescent="0.3">
      <c r="B98" s="13" t="str">
        <f t="shared" si="4"/>
        <v/>
      </c>
      <c r="C98" s="18"/>
      <c r="D98" s="19" t="str">
        <f>IF(Tabela2[[#This Row],[AGRUPADOR]]&lt;&gt;"",VLOOKUP(Tabela2[[#This Row],[AGRUPADOR]],Tabela1[],2,0),"")</f>
        <v/>
      </c>
      <c r="E98" s="19" t="str">
        <f>IF(Tabela2[[#This Row],[AGRUPADOR]]&lt;&gt;"",VLOOKUP(Tabela2[[#This Row],[AGRUPADOR]],Tabela1[],4,0),"")</f>
        <v/>
      </c>
      <c r="F98" s="14"/>
      <c r="G98" s="6"/>
      <c r="H98" s="6"/>
      <c r="I98" s="25"/>
      <c r="J98" s="7"/>
      <c r="K98" s="15" t="str">
        <f>IF(Tabela2[[#This Row],[UNID.]]&lt;&gt;"",S98*(1+$R$2),"")</f>
        <v/>
      </c>
      <c r="L98" s="379">
        <f>IF(H98&lt;&gt;"",J98*K98,SUMIFS(L99:L$9844,$F99:$F$9844,"*"&amp;F98&amp;"*",$H99:$H$9844,"&lt;&gt;"))</f>
        <v>0</v>
      </c>
      <c r="M98" s="379" t="str">
        <f>IF(Tabela2[[#This Row],[UNID.]]&lt;&gt;"",IFERROR(VLOOKUP(Tabela2[[#This Row],[AGRUPADOR]],Lucratividade!$D$4:$O$129,6,0),0),"")</f>
        <v/>
      </c>
      <c r="N98" s="379">
        <f>IF(H98&lt;&gt;"",J98*M98*I98,SUMIFS(N99:N$9844,$F99:$F$9844,"*"&amp;F98&amp;"*",$H99:$H$9844,"&lt;&gt;"))</f>
        <v>0</v>
      </c>
      <c r="O98" s="162" t="str">
        <f>IFERROR((-Tabela2[[#This Row],[CUSTO TOTAL]]+Tabela2[[#This Row],[VENDA TOTAL]])/Tabela2[[#This Row],[VENDA TOTAL]]-PARAMETROS!$C$19,"")</f>
        <v/>
      </c>
      <c r="AA98" s="219">
        <f>SUM(Plan_Orc[[#This Row],[01/jan]:[01/dez]])</f>
        <v>0</v>
      </c>
      <c r="AB98" s="114"/>
      <c r="AC98" s="114"/>
      <c r="AD98" s="114"/>
      <c r="AE98" s="114"/>
      <c r="AF98" s="114"/>
      <c r="AG98" s="114"/>
      <c r="AH98" s="114"/>
      <c r="AI98" s="114"/>
      <c r="AJ98" s="114"/>
      <c r="AK98" s="114"/>
      <c r="AL98" s="114"/>
      <c r="AM98" s="114"/>
    </row>
    <row r="99" spans="2:39" ht="25.2" customHeight="1" x14ac:dyDescent="0.3">
      <c r="B99" s="13" t="str">
        <f t="shared" si="4"/>
        <v/>
      </c>
      <c r="C99" s="18"/>
      <c r="D99" s="19" t="str">
        <f>IF(Tabela2[[#This Row],[AGRUPADOR]]&lt;&gt;"",VLOOKUP(Tabela2[[#This Row],[AGRUPADOR]],Tabela1[],2,0),"")</f>
        <v/>
      </c>
      <c r="E99" s="19" t="str">
        <f>IF(Tabela2[[#This Row],[AGRUPADOR]]&lt;&gt;"",VLOOKUP(Tabela2[[#This Row],[AGRUPADOR]],Tabela1[],4,0),"")</f>
        <v/>
      </c>
      <c r="F99" s="14"/>
      <c r="G99" s="6"/>
      <c r="H99" s="6"/>
      <c r="I99" s="25"/>
      <c r="J99" s="7"/>
      <c r="K99" s="15" t="str">
        <f>IF(Tabela2[[#This Row],[UNID.]]&lt;&gt;"",S99*(1+$R$2),"")</f>
        <v/>
      </c>
      <c r="L99" s="379">
        <f>IF(H99&lt;&gt;"",J99*K99,SUMIFS(L100:L$9844,$F100:$F$9844,"*"&amp;F99&amp;"*",$H100:$H$9844,"&lt;&gt;"))</f>
        <v>0</v>
      </c>
      <c r="M99" s="379" t="str">
        <f>IF(Tabela2[[#This Row],[UNID.]]&lt;&gt;"",IFERROR(VLOOKUP(Tabela2[[#This Row],[AGRUPADOR]],Lucratividade!$D$4:$O$129,6,0),0),"")</f>
        <v/>
      </c>
      <c r="N99" s="379">
        <f>IF(H99&lt;&gt;"",J99*M99*I99,SUMIFS(N100:N$9844,$F100:$F$9844,"*"&amp;F99&amp;"*",$H100:$H$9844,"&lt;&gt;"))</f>
        <v>0</v>
      </c>
      <c r="O99" s="162" t="str">
        <f>IFERROR((-Tabela2[[#This Row],[CUSTO TOTAL]]+Tabela2[[#This Row],[VENDA TOTAL]])/Tabela2[[#This Row],[VENDA TOTAL]]-PARAMETROS!$C$19,"")</f>
        <v/>
      </c>
      <c r="AA99" s="219">
        <f>SUM(Plan_Orc[[#This Row],[01/jan]:[01/dez]])</f>
        <v>0</v>
      </c>
      <c r="AB99" s="114"/>
      <c r="AC99" s="114"/>
      <c r="AD99" s="114"/>
      <c r="AE99" s="114"/>
      <c r="AF99" s="114"/>
      <c r="AG99" s="114"/>
      <c r="AH99" s="114"/>
      <c r="AI99" s="114"/>
      <c r="AJ99" s="114"/>
      <c r="AK99" s="114"/>
      <c r="AL99" s="114"/>
      <c r="AM99" s="114"/>
    </row>
    <row r="100" spans="2:39" ht="25.2" customHeight="1" x14ac:dyDescent="0.3">
      <c r="B100" s="13" t="str">
        <f t="shared" si="4"/>
        <v/>
      </c>
      <c r="C100" s="18"/>
      <c r="D100" s="19" t="str">
        <f>IF(Tabela2[[#This Row],[AGRUPADOR]]&lt;&gt;"",VLOOKUP(Tabela2[[#This Row],[AGRUPADOR]],Tabela1[],2,0),"")</f>
        <v/>
      </c>
      <c r="E100" s="19" t="str">
        <f>IF(Tabela2[[#This Row],[AGRUPADOR]]&lt;&gt;"",VLOOKUP(Tabela2[[#This Row],[AGRUPADOR]],Tabela1[],4,0),"")</f>
        <v/>
      </c>
      <c r="F100" s="14"/>
      <c r="G100" s="6"/>
      <c r="H100" s="6"/>
      <c r="I100" s="25"/>
      <c r="J100" s="7"/>
      <c r="K100" s="15" t="str">
        <f>IF(Tabela2[[#This Row],[UNID.]]&lt;&gt;"",S100*(1+$R$2),"")</f>
        <v/>
      </c>
      <c r="L100" s="379">
        <f>IF(H100&lt;&gt;"",J100*K100,SUMIFS(L101:L$9844,$F101:$F$9844,"*"&amp;F100&amp;"*",$H101:$H$9844,"&lt;&gt;"))</f>
        <v>0</v>
      </c>
      <c r="M100" s="379" t="str">
        <f>IF(Tabela2[[#This Row],[UNID.]]&lt;&gt;"",IFERROR(VLOOKUP(Tabela2[[#This Row],[AGRUPADOR]],Lucratividade!$D$4:$O$129,6,0),0),"")</f>
        <v/>
      </c>
      <c r="N100" s="379">
        <f>IF(H100&lt;&gt;"",J100*M100*I100,SUMIFS(N101:N$9844,$F101:$F$9844,"*"&amp;F100&amp;"*",$H101:$H$9844,"&lt;&gt;"))</f>
        <v>0</v>
      </c>
      <c r="O100" s="162" t="str">
        <f>IFERROR((-Tabela2[[#This Row],[CUSTO TOTAL]]+Tabela2[[#This Row],[VENDA TOTAL]])/Tabela2[[#This Row],[VENDA TOTAL]]-PARAMETROS!$C$19,"")</f>
        <v/>
      </c>
      <c r="AA100" s="219">
        <f>SUM(Plan_Orc[[#This Row],[01/jan]:[01/dez]])</f>
        <v>0</v>
      </c>
      <c r="AB100" s="113"/>
      <c r="AC100" s="113"/>
      <c r="AD100" s="113"/>
      <c r="AE100" s="113"/>
      <c r="AF100" s="113"/>
      <c r="AG100" s="113"/>
      <c r="AH100" s="113"/>
      <c r="AI100" s="113"/>
      <c r="AJ100" s="113"/>
      <c r="AK100" s="113"/>
      <c r="AL100" s="113"/>
      <c r="AM100" s="113"/>
    </row>
    <row r="101" spans="2:39" ht="25.2" customHeight="1" x14ac:dyDescent="0.3">
      <c r="B101" s="13" t="str">
        <f t="shared" si="4"/>
        <v/>
      </c>
      <c r="C101" s="18"/>
      <c r="D101" s="19" t="str">
        <f>IF(Tabela2[[#This Row],[AGRUPADOR]]&lt;&gt;"",VLOOKUP(Tabela2[[#This Row],[AGRUPADOR]],Tabela1[],2,0),"")</f>
        <v/>
      </c>
      <c r="E101" s="19" t="str">
        <f>IF(Tabela2[[#This Row],[AGRUPADOR]]&lt;&gt;"",VLOOKUP(Tabela2[[#This Row],[AGRUPADOR]],Tabela1[],4,0),"")</f>
        <v/>
      </c>
      <c r="F101" s="14"/>
      <c r="G101" s="6"/>
      <c r="H101" s="6"/>
      <c r="I101" s="25"/>
      <c r="J101" s="7"/>
      <c r="K101" s="15" t="str">
        <f>IF(Tabela2[[#This Row],[UNID.]]&lt;&gt;"",S101*(1+$R$2),"")</f>
        <v/>
      </c>
      <c r="L101" s="379">
        <f>IF(H101&lt;&gt;"",J101*K101,SUMIFS(L102:L$9844,$F102:$F$9844,"*"&amp;F101&amp;"*",$H102:$H$9844,"&lt;&gt;"))</f>
        <v>0</v>
      </c>
      <c r="M101" s="379" t="str">
        <f>IF(Tabela2[[#This Row],[UNID.]]&lt;&gt;"",IFERROR(VLOOKUP(Tabela2[[#This Row],[AGRUPADOR]],Lucratividade!$D$4:$O$129,6,0),0),"")</f>
        <v/>
      </c>
      <c r="N101" s="379">
        <f>IF(H101&lt;&gt;"",J101*M101*I101,SUMIFS(N102:N$9844,$F102:$F$9844,"*"&amp;F101&amp;"*",$H102:$H$9844,"&lt;&gt;"))</f>
        <v>0</v>
      </c>
      <c r="O101" s="162" t="str">
        <f>IFERROR((-Tabela2[[#This Row],[CUSTO TOTAL]]+Tabela2[[#This Row],[VENDA TOTAL]])/Tabela2[[#This Row],[VENDA TOTAL]]-PARAMETROS!$C$19,"")</f>
        <v/>
      </c>
      <c r="AA101" s="219">
        <f>SUM(Plan_Orc[[#This Row],[01/jan]:[01/dez]])</f>
        <v>0</v>
      </c>
      <c r="AB101" s="114"/>
      <c r="AC101" s="114"/>
      <c r="AD101" s="114"/>
      <c r="AE101" s="114"/>
      <c r="AF101" s="114"/>
      <c r="AG101" s="114"/>
      <c r="AH101" s="114"/>
      <c r="AI101" s="114"/>
      <c r="AJ101" s="114"/>
      <c r="AK101" s="114"/>
      <c r="AL101" s="114"/>
      <c r="AM101" s="114"/>
    </row>
    <row r="102" spans="2:39" ht="25.2" customHeight="1" x14ac:dyDescent="0.3">
      <c r="B102" s="13" t="str">
        <f t="shared" si="4"/>
        <v/>
      </c>
      <c r="C102" s="18"/>
      <c r="D102" s="19" t="str">
        <f>IF(Tabela2[[#This Row],[AGRUPADOR]]&lt;&gt;"",VLOOKUP(Tabela2[[#This Row],[AGRUPADOR]],Tabela1[],2,0),"")</f>
        <v/>
      </c>
      <c r="E102" s="19" t="str">
        <f>IF(Tabela2[[#This Row],[AGRUPADOR]]&lt;&gt;"",VLOOKUP(Tabela2[[#This Row],[AGRUPADOR]],Tabela1[],4,0),"")</f>
        <v/>
      </c>
      <c r="F102" s="14"/>
      <c r="G102" s="6"/>
      <c r="H102" s="6"/>
      <c r="I102" s="25"/>
      <c r="J102" s="7"/>
      <c r="K102" s="15" t="str">
        <f>IF(Tabela2[[#This Row],[UNID.]]&lt;&gt;"",S102*(1+$R$2),"")</f>
        <v/>
      </c>
      <c r="L102" s="379">
        <f>IF(H102&lt;&gt;"",J102*K102,SUMIFS(L103:L$9844,$F103:$F$9844,"*"&amp;F102&amp;"*",$H103:$H$9844,"&lt;&gt;"))</f>
        <v>0</v>
      </c>
      <c r="M102" s="379" t="str">
        <f>IF(Tabela2[[#This Row],[UNID.]]&lt;&gt;"",IFERROR(VLOOKUP(Tabela2[[#This Row],[AGRUPADOR]],Lucratividade!$D$4:$O$129,6,0),0),"")</f>
        <v/>
      </c>
      <c r="N102" s="379">
        <f>IF(H102&lt;&gt;"",J102*M102*I102,SUMIFS(N103:N$9844,$F103:$F$9844,"*"&amp;F102&amp;"*",$H103:$H$9844,"&lt;&gt;"))</f>
        <v>0</v>
      </c>
      <c r="O102" s="162" t="str">
        <f>IFERROR((-Tabela2[[#This Row],[CUSTO TOTAL]]+Tabela2[[#This Row],[VENDA TOTAL]])/Tabela2[[#This Row],[VENDA TOTAL]]-PARAMETROS!$C$19,"")</f>
        <v/>
      </c>
      <c r="AA102" s="219">
        <f>SUM(Plan_Orc[[#This Row],[01/jan]:[01/dez]])</f>
        <v>0</v>
      </c>
      <c r="AB102" s="114"/>
      <c r="AC102" s="114"/>
      <c r="AD102" s="114"/>
      <c r="AE102" s="114"/>
      <c r="AF102" s="114"/>
      <c r="AG102" s="114"/>
      <c r="AH102" s="114"/>
      <c r="AI102" s="114"/>
      <c r="AJ102" s="114"/>
      <c r="AK102" s="114"/>
      <c r="AL102" s="114"/>
      <c r="AM102" s="114"/>
    </row>
    <row r="103" spans="2:39" ht="25.2" customHeight="1" x14ac:dyDescent="0.3">
      <c r="B103" s="13" t="str">
        <f t="shared" si="4"/>
        <v/>
      </c>
      <c r="C103" s="18"/>
      <c r="D103" s="19" t="str">
        <f>IF(Tabela2[[#This Row],[AGRUPADOR]]&lt;&gt;"",VLOOKUP(Tabela2[[#This Row],[AGRUPADOR]],Tabela1[],2,0),"")</f>
        <v/>
      </c>
      <c r="E103" s="19" t="str">
        <f>IF(Tabela2[[#This Row],[AGRUPADOR]]&lt;&gt;"",VLOOKUP(Tabela2[[#This Row],[AGRUPADOR]],Tabela1[],4,0),"")</f>
        <v/>
      </c>
      <c r="F103" s="14"/>
      <c r="G103" s="6"/>
      <c r="H103" s="6"/>
      <c r="I103" s="25"/>
      <c r="J103" s="7"/>
      <c r="K103" s="15" t="str">
        <f>IF(Tabela2[[#This Row],[UNID.]]&lt;&gt;"",S103*(1+$R$2),"")</f>
        <v/>
      </c>
      <c r="L103" s="379">
        <f>IF(H103&lt;&gt;"",J103*K103,SUMIFS(L104:L$9844,$F104:$F$9844,"*"&amp;F103&amp;"*",$H104:$H$9844,"&lt;&gt;"))</f>
        <v>0</v>
      </c>
      <c r="M103" s="379" t="str">
        <f>IF(Tabela2[[#This Row],[UNID.]]&lt;&gt;"",IFERROR(VLOOKUP(Tabela2[[#This Row],[AGRUPADOR]],Lucratividade!$D$4:$O$129,6,0),0),"")</f>
        <v/>
      </c>
      <c r="N103" s="379">
        <f>IF(H103&lt;&gt;"",J103*M103*I103,SUMIFS(N104:N$9844,$F104:$F$9844,"*"&amp;F103&amp;"*",$H104:$H$9844,"&lt;&gt;"))</f>
        <v>0</v>
      </c>
      <c r="O103" s="162" t="str">
        <f>IFERROR((-Tabela2[[#This Row],[CUSTO TOTAL]]+Tabela2[[#This Row],[VENDA TOTAL]])/Tabela2[[#This Row],[VENDA TOTAL]]-PARAMETROS!$C$19,"")</f>
        <v/>
      </c>
      <c r="AA103" s="219">
        <f>SUM(Plan_Orc[[#This Row],[01/jan]:[01/dez]])</f>
        <v>0</v>
      </c>
      <c r="AB103" s="114"/>
      <c r="AC103" s="114"/>
      <c r="AD103" s="114"/>
      <c r="AE103" s="114"/>
      <c r="AF103" s="114"/>
      <c r="AG103" s="114"/>
      <c r="AH103" s="114"/>
      <c r="AI103" s="114"/>
      <c r="AJ103" s="114"/>
      <c r="AK103" s="114"/>
      <c r="AL103" s="114"/>
      <c r="AM103" s="114"/>
    </row>
    <row r="104" spans="2:39" ht="25.2" customHeight="1" x14ac:dyDescent="0.3">
      <c r="B104" s="13" t="str">
        <f t="shared" si="4"/>
        <v/>
      </c>
      <c r="C104" s="18"/>
      <c r="D104" s="19" t="str">
        <f>IF(Tabela2[[#This Row],[AGRUPADOR]]&lt;&gt;"",VLOOKUP(Tabela2[[#This Row],[AGRUPADOR]],Tabela1[],2,0),"")</f>
        <v/>
      </c>
      <c r="E104" s="19" t="str">
        <f>IF(Tabela2[[#This Row],[AGRUPADOR]]&lt;&gt;"",VLOOKUP(Tabela2[[#This Row],[AGRUPADOR]],Tabela1[],4,0),"")</f>
        <v/>
      </c>
      <c r="F104" s="14"/>
      <c r="G104" s="6"/>
      <c r="H104" s="6"/>
      <c r="I104" s="25"/>
      <c r="J104" s="7"/>
      <c r="K104" s="15" t="str">
        <f>IF(Tabela2[[#This Row],[UNID.]]&lt;&gt;"",S104*(1+$R$2),"")</f>
        <v/>
      </c>
      <c r="L104" s="379">
        <f>IF(H104&lt;&gt;"",J104*K104,SUMIFS(L105:L$9844,$F105:$F$9844,"*"&amp;F104&amp;"*",$H105:$H$9844,"&lt;&gt;"))</f>
        <v>0</v>
      </c>
      <c r="M104" s="379" t="str">
        <f>IF(Tabela2[[#This Row],[UNID.]]&lt;&gt;"",IFERROR(VLOOKUP(Tabela2[[#This Row],[AGRUPADOR]],Lucratividade!$D$4:$O$129,6,0),0),"")</f>
        <v/>
      </c>
      <c r="N104" s="379">
        <f>IF(H104&lt;&gt;"",J104*M104*I104,SUMIFS(N105:N$9844,$F105:$F$9844,"*"&amp;F104&amp;"*",$H105:$H$9844,"&lt;&gt;"))</f>
        <v>0</v>
      </c>
      <c r="O104" s="162" t="str">
        <f>IFERROR((-Tabela2[[#This Row],[CUSTO TOTAL]]+Tabela2[[#This Row],[VENDA TOTAL]])/Tabela2[[#This Row],[VENDA TOTAL]]-PARAMETROS!$C$19,"")</f>
        <v/>
      </c>
      <c r="AA104" s="219">
        <f>SUM(Plan_Orc[[#This Row],[01/jan]:[01/dez]])</f>
        <v>0</v>
      </c>
      <c r="AB104" s="114"/>
      <c r="AC104" s="114"/>
      <c r="AD104" s="114"/>
      <c r="AE104" s="114"/>
      <c r="AF104" s="114"/>
      <c r="AG104" s="114"/>
      <c r="AH104" s="114"/>
      <c r="AI104" s="114"/>
      <c r="AJ104" s="114"/>
      <c r="AK104" s="114"/>
      <c r="AL104" s="114"/>
      <c r="AM104" s="114"/>
    </row>
    <row r="105" spans="2:39" ht="25.2" customHeight="1" x14ac:dyDescent="0.3">
      <c r="B105" s="13" t="str">
        <f t="shared" si="4"/>
        <v/>
      </c>
      <c r="C105" s="18"/>
      <c r="D105" s="19" t="str">
        <f>IF(Tabela2[[#This Row],[AGRUPADOR]]&lt;&gt;"",VLOOKUP(Tabela2[[#This Row],[AGRUPADOR]],Tabela1[],2,0),"")</f>
        <v/>
      </c>
      <c r="E105" s="19" t="str">
        <f>IF(Tabela2[[#This Row],[AGRUPADOR]]&lt;&gt;"",VLOOKUP(Tabela2[[#This Row],[AGRUPADOR]],Tabela1[],4,0),"")</f>
        <v/>
      </c>
      <c r="F105" s="14"/>
      <c r="G105" s="6"/>
      <c r="H105" s="6"/>
      <c r="I105" s="25"/>
      <c r="J105" s="7"/>
      <c r="K105" s="15" t="str">
        <f>IF(Tabela2[[#This Row],[UNID.]]&lt;&gt;"",S105*(1+$R$2),"")</f>
        <v/>
      </c>
      <c r="L105" s="379">
        <f>IF(H105&lt;&gt;"",J105*K105,SUMIFS(L106:L$9844,$F106:$F$9844,"*"&amp;F105&amp;"*",$H106:$H$9844,"&lt;&gt;"))</f>
        <v>0</v>
      </c>
      <c r="M105" s="379" t="str">
        <f>IF(Tabela2[[#This Row],[UNID.]]&lt;&gt;"",IFERROR(VLOOKUP(Tabela2[[#This Row],[AGRUPADOR]],Lucratividade!$D$4:$O$129,6,0),0),"")</f>
        <v/>
      </c>
      <c r="N105" s="379">
        <f>IF(H105&lt;&gt;"",J105*M105*I105,SUMIFS(N106:N$9844,$F106:$F$9844,"*"&amp;F105&amp;"*",$H106:$H$9844,"&lt;&gt;"))</f>
        <v>0</v>
      </c>
      <c r="O105" s="162" t="str">
        <f>IFERROR((-Tabela2[[#This Row],[CUSTO TOTAL]]+Tabela2[[#This Row],[VENDA TOTAL]])/Tabela2[[#This Row],[VENDA TOTAL]]-PARAMETROS!$C$19,"")</f>
        <v/>
      </c>
      <c r="AA105" s="219">
        <f>SUM(Plan_Orc[[#This Row],[01/jan]:[01/dez]])</f>
        <v>0</v>
      </c>
      <c r="AB105" s="114"/>
      <c r="AC105" s="114"/>
      <c r="AD105" s="114"/>
      <c r="AE105" s="114"/>
      <c r="AF105" s="114"/>
      <c r="AG105" s="114"/>
      <c r="AH105" s="114"/>
      <c r="AI105" s="114"/>
      <c r="AJ105" s="114"/>
      <c r="AK105" s="114"/>
      <c r="AL105" s="114"/>
      <c r="AM105" s="114"/>
    </row>
    <row r="106" spans="2:39" ht="25.2" customHeight="1" x14ac:dyDescent="0.3">
      <c r="B106" s="13" t="str">
        <f t="shared" si="4"/>
        <v/>
      </c>
      <c r="C106" s="18"/>
      <c r="D106" s="19" t="str">
        <f>IF(Tabela2[[#This Row],[AGRUPADOR]]&lt;&gt;"",VLOOKUP(Tabela2[[#This Row],[AGRUPADOR]],Tabela1[],2,0),"")</f>
        <v/>
      </c>
      <c r="E106" s="19" t="str">
        <f>IF(Tabela2[[#This Row],[AGRUPADOR]]&lt;&gt;"",VLOOKUP(Tabela2[[#This Row],[AGRUPADOR]],Tabela1[],4,0),"")</f>
        <v/>
      </c>
      <c r="F106" s="14"/>
      <c r="G106" s="6"/>
      <c r="H106" s="6"/>
      <c r="I106" s="25"/>
      <c r="J106" s="7"/>
      <c r="K106" s="15" t="str">
        <f>IF(Tabela2[[#This Row],[UNID.]]&lt;&gt;"",S106*(1+$R$2),"")</f>
        <v/>
      </c>
      <c r="L106" s="379">
        <f>IF(H106&lt;&gt;"",J106*K106,SUMIFS(L107:L$9844,$F107:$F$9844,"*"&amp;F106&amp;"*",$H107:$H$9844,"&lt;&gt;"))</f>
        <v>0</v>
      </c>
      <c r="M106" s="379" t="str">
        <f>IF(Tabela2[[#This Row],[UNID.]]&lt;&gt;"",IFERROR(VLOOKUP(Tabela2[[#This Row],[AGRUPADOR]],Lucratividade!$D$4:$O$129,6,0),0),"")</f>
        <v/>
      </c>
      <c r="N106" s="379">
        <f>IF(H106&lt;&gt;"",J106*M106*I106,SUMIFS(N107:N$9844,$F107:$F$9844,"*"&amp;F106&amp;"*",$H107:$H$9844,"&lt;&gt;"))</f>
        <v>0</v>
      </c>
      <c r="O106" s="162" t="str">
        <f>IFERROR((-Tabela2[[#This Row],[CUSTO TOTAL]]+Tabela2[[#This Row],[VENDA TOTAL]])/Tabela2[[#This Row],[VENDA TOTAL]]-PARAMETROS!$C$19,"")</f>
        <v/>
      </c>
      <c r="AA106" s="219">
        <f>SUM(Plan_Orc[[#This Row],[01/jan]:[01/dez]])</f>
        <v>0</v>
      </c>
      <c r="AB106" s="114"/>
      <c r="AC106" s="114"/>
      <c r="AD106" s="114"/>
      <c r="AE106" s="114"/>
      <c r="AF106" s="114"/>
      <c r="AG106" s="114"/>
      <c r="AH106" s="114"/>
      <c r="AI106" s="114"/>
      <c r="AJ106" s="114"/>
      <c r="AK106" s="114"/>
      <c r="AL106" s="114"/>
      <c r="AM106" s="114"/>
    </row>
    <row r="107" spans="2:39" ht="25.2" customHeight="1" x14ac:dyDescent="0.3">
      <c r="B107" s="13" t="str">
        <f t="shared" si="4"/>
        <v/>
      </c>
      <c r="C107" s="18"/>
      <c r="D107" s="19" t="str">
        <f>IF(Tabela2[[#This Row],[AGRUPADOR]]&lt;&gt;"",VLOOKUP(Tabela2[[#This Row],[AGRUPADOR]],Tabela1[],2,0),"")</f>
        <v/>
      </c>
      <c r="E107" s="19" t="str">
        <f>IF(Tabela2[[#This Row],[AGRUPADOR]]&lt;&gt;"",VLOOKUP(Tabela2[[#This Row],[AGRUPADOR]],Tabela1[],4,0),"")</f>
        <v/>
      </c>
      <c r="F107" s="14"/>
      <c r="G107" s="6"/>
      <c r="H107" s="6"/>
      <c r="I107" s="25"/>
      <c r="J107" s="7"/>
      <c r="K107" s="15" t="str">
        <f>IF(Tabela2[[#This Row],[UNID.]]&lt;&gt;"",S107*(1+$R$2),"")</f>
        <v/>
      </c>
      <c r="L107" s="379">
        <f>IF(H107&lt;&gt;"",J107*K107,SUMIFS(L108:L$9844,$F108:$F$9844,"*"&amp;F107&amp;"*",$H108:$H$9844,"&lt;&gt;"))</f>
        <v>0</v>
      </c>
      <c r="M107" s="379" t="str">
        <f>IF(Tabela2[[#This Row],[UNID.]]&lt;&gt;"",IFERROR(VLOOKUP(Tabela2[[#This Row],[AGRUPADOR]],Lucratividade!$D$4:$O$129,6,0),0),"")</f>
        <v/>
      </c>
      <c r="N107" s="379">
        <f>IF(H107&lt;&gt;"",J107*M107*I107,SUMIFS(N108:N$9844,$F108:$F$9844,"*"&amp;F107&amp;"*",$H108:$H$9844,"&lt;&gt;"))</f>
        <v>0</v>
      </c>
      <c r="O107" s="162" t="str">
        <f>IFERROR((-Tabela2[[#This Row],[CUSTO TOTAL]]+Tabela2[[#This Row],[VENDA TOTAL]])/Tabela2[[#This Row],[VENDA TOTAL]]-PARAMETROS!$C$19,"")</f>
        <v/>
      </c>
      <c r="AA107" s="219">
        <f>SUM(Plan_Orc[[#This Row],[01/jan]:[01/dez]])</f>
        <v>0</v>
      </c>
      <c r="AB107" s="114"/>
      <c r="AC107" s="114"/>
      <c r="AD107" s="114"/>
      <c r="AE107" s="114"/>
      <c r="AF107" s="114"/>
      <c r="AG107" s="114"/>
      <c r="AH107" s="114"/>
      <c r="AI107" s="114"/>
      <c r="AJ107" s="114"/>
      <c r="AK107" s="114"/>
      <c r="AL107" s="114"/>
      <c r="AM107" s="114"/>
    </row>
    <row r="108" spans="2:39" ht="25.2" customHeight="1" x14ac:dyDescent="0.3">
      <c r="B108" s="13" t="str">
        <f t="shared" si="4"/>
        <v/>
      </c>
      <c r="C108" s="18"/>
      <c r="D108" s="19" t="str">
        <f>IF(Tabela2[[#This Row],[AGRUPADOR]]&lt;&gt;"",VLOOKUP(Tabela2[[#This Row],[AGRUPADOR]],Tabela1[],2,0),"")</f>
        <v/>
      </c>
      <c r="E108" s="19" t="str">
        <f>IF(Tabela2[[#This Row],[AGRUPADOR]]&lt;&gt;"",VLOOKUP(Tabela2[[#This Row],[AGRUPADOR]],Tabela1[],4,0),"")</f>
        <v/>
      </c>
      <c r="F108" s="14"/>
      <c r="G108" s="6"/>
      <c r="H108" s="6"/>
      <c r="I108" s="25"/>
      <c r="J108" s="7"/>
      <c r="K108" s="15" t="str">
        <f>IF(Tabela2[[#This Row],[UNID.]]&lt;&gt;"",S108*(1+$R$2),"")</f>
        <v/>
      </c>
      <c r="L108" s="379">
        <f>IF(H108&lt;&gt;"",J108*K108,SUMIFS(L109:L$9844,$F109:$F$9844,"*"&amp;F108&amp;"*",$H109:$H$9844,"&lt;&gt;"))</f>
        <v>0</v>
      </c>
      <c r="M108" s="379" t="str">
        <f>IF(Tabela2[[#This Row],[UNID.]]&lt;&gt;"",IFERROR(VLOOKUP(Tabela2[[#This Row],[AGRUPADOR]],Lucratividade!$D$4:$O$129,6,0),0),"")</f>
        <v/>
      </c>
      <c r="N108" s="379">
        <f>IF(H108&lt;&gt;"",J108*M108*I108,SUMIFS(N109:N$9844,$F109:$F$9844,"*"&amp;F108&amp;"*",$H109:$H$9844,"&lt;&gt;"))</f>
        <v>0</v>
      </c>
      <c r="O108" s="162" t="str">
        <f>IFERROR((-Tabela2[[#This Row],[CUSTO TOTAL]]+Tabela2[[#This Row],[VENDA TOTAL]])/Tabela2[[#This Row],[VENDA TOTAL]]-PARAMETROS!$C$19,"")</f>
        <v/>
      </c>
      <c r="AA108" s="219">
        <f>SUM(Plan_Orc[[#This Row],[01/jan]:[01/dez]])</f>
        <v>0</v>
      </c>
      <c r="AB108" s="114"/>
      <c r="AC108" s="114"/>
      <c r="AD108" s="114"/>
      <c r="AE108" s="114"/>
      <c r="AF108" s="114"/>
      <c r="AG108" s="114"/>
      <c r="AH108" s="114"/>
      <c r="AI108" s="114"/>
      <c r="AJ108" s="114"/>
      <c r="AK108" s="114"/>
      <c r="AL108" s="114"/>
      <c r="AM108" s="114"/>
    </row>
    <row r="109" spans="2:39" ht="25.2" customHeight="1" x14ac:dyDescent="0.3">
      <c r="B109" s="13" t="str">
        <f t="shared" si="4"/>
        <v/>
      </c>
      <c r="C109" s="18"/>
      <c r="D109" s="19" t="str">
        <f>IF(Tabela2[[#This Row],[AGRUPADOR]]&lt;&gt;"",VLOOKUP(Tabela2[[#This Row],[AGRUPADOR]],Tabela1[],2,0),"")</f>
        <v/>
      </c>
      <c r="E109" s="19" t="str">
        <f>IF(Tabela2[[#This Row],[AGRUPADOR]]&lt;&gt;"",VLOOKUP(Tabela2[[#This Row],[AGRUPADOR]],Tabela1[],4,0),"")</f>
        <v/>
      </c>
      <c r="F109" s="14"/>
      <c r="G109" s="6"/>
      <c r="H109" s="6"/>
      <c r="I109" s="25"/>
      <c r="J109" s="7"/>
      <c r="K109" s="15" t="str">
        <f>IF(Tabela2[[#This Row],[UNID.]]&lt;&gt;"",S109*(1+$R$2),"")</f>
        <v/>
      </c>
      <c r="L109" s="379">
        <f>IF(H109&lt;&gt;"",J109*K109,SUMIFS(L110:L$9844,$F110:$F$9844,"*"&amp;F109&amp;"*",$H110:$H$9844,"&lt;&gt;"))</f>
        <v>0</v>
      </c>
      <c r="M109" s="379" t="str">
        <f>IF(Tabela2[[#This Row],[UNID.]]&lt;&gt;"",IFERROR(VLOOKUP(Tabela2[[#This Row],[AGRUPADOR]],Lucratividade!$D$4:$O$129,6,0),0),"")</f>
        <v/>
      </c>
      <c r="N109" s="379">
        <f>IF(H109&lt;&gt;"",J109*M109*I109,SUMIFS(N110:N$9844,$F110:$F$9844,"*"&amp;F109&amp;"*",$H110:$H$9844,"&lt;&gt;"))</f>
        <v>0</v>
      </c>
      <c r="O109" s="162" t="str">
        <f>IFERROR((-Tabela2[[#This Row],[CUSTO TOTAL]]+Tabela2[[#This Row],[VENDA TOTAL]])/Tabela2[[#This Row],[VENDA TOTAL]]-PARAMETROS!$C$19,"")</f>
        <v/>
      </c>
      <c r="AA109" s="218">
        <f>SUM(Plan_Orc[[#This Row],[01/jan]:[01/dez]])</f>
        <v>0</v>
      </c>
      <c r="AB109" s="114"/>
      <c r="AC109" s="114"/>
      <c r="AD109" s="114"/>
      <c r="AE109" s="114"/>
      <c r="AF109" s="114"/>
      <c r="AG109" s="114"/>
      <c r="AH109" s="114"/>
      <c r="AI109" s="114"/>
      <c r="AJ109" s="114"/>
      <c r="AK109" s="114"/>
      <c r="AL109" s="114"/>
      <c r="AM109" s="114"/>
    </row>
    <row r="110" spans="2:39" ht="25.2" customHeight="1" x14ac:dyDescent="0.3">
      <c r="B110" s="13" t="str">
        <f t="shared" si="4"/>
        <v/>
      </c>
      <c r="C110" s="18"/>
      <c r="D110" s="19" t="str">
        <f>IF(Tabela2[[#This Row],[AGRUPADOR]]&lt;&gt;"",VLOOKUP(Tabela2[[#This Row],[AGRUPADOR]],Tabela1[],2,0),"")</f>
        <v/>
      </c>
      <c r="E110" s="19" t="str">
        <f>IF(Tabela2[[#This Row],[AGRUPADOR]]&lt;&gt;"",VLOOKUP(Tabela2[[#This Row],[AGRUPADOR]],Tabela1[],4,0),"")</f>
        <v/>
      </c>
      <c r="F110" s="14"/>
      <c r="G110" s="6"/>
      <c r="H110" s="6"/>
      <c r="I110" s="25"/>
      <c r="J110" s="7"/>
      <c r="K110" s="15" t="str">
        <f>IF(Tabela2[[#This Row],[UNID.]]&lt;&gt;"",S110*(1+$R$2),"")</f>
        <v/>
      </c>
      <c r="L110" s="379">
        <f>IF(H110&lt;&gt;"",J110*K110,SUMIFS(L111:L$9844,$F111:$F$9844,"*"&amp;F110&amp;"*",$H111:$H$9844,"&lt;&gt;"))</f>
        <v>0</v>
      </c>
      <c r="M110" s="379" t="str">
        <f>IF(Tabela2[[#This Row],[UNID.]]&lt;&gt;"",IFERROR(VLOOKUP(Tabela2[[#This Row],[AGRUPADOR]],Lucratividade!$D$4:$O$129,6,0),0),"")</f>
        <v/>
      </c>
      <c r="N110" s="379">
        <f>IF(H110&lt;&gt;"",J110*M110*I110,SUMIFS(N111:N$9844,$F111:$F$9844,"*"&amp;F110&amp;"*",$H111:$H$9844,"&lt;&gt;"))</f>
        <v>0</v>
      </c>
      <c r="O110" s="162" t="str">
        <f>IFERROR((-Tabela2[[#This Row],[CUSTO TOTAL]]+Tabela2[[#This Row],[VENDA TOTAL]])/Tabela2[[#This Row],[VENDA TOTAL]]-PARAMETROS!$C$19,"")</f>
        <v/>
      </c>
      <c r="AA110" s="219">
        <f>SUM(Plan_Orc[[#This Row],[01/jan]:[01/dez]])</f>
        <v>0</v>
      </c>
      <c r="AB110" s="114"/>
      <c r="AC110" s="114"/>
      <c r="AD110" s="114"/>
      <c r="AE110" s="114"/>
      <c r="AF110" s="114"/>
      <c r="AG110" s="114"/>
      <c r="AH110" s="114"/>
      <c r="AI110" s="114"/>
      <c r="AJ110" s="114"/>
      <c r="AK110" s="114"/>
      <c r="AL110" s="114"/>
      <c r="AM110" s="114"/>
    </row>
    <row r="111" spans="2:39" ht="25.2" customHeight="1" x14ac:dyDescent="0.3">
      <c r="B111" s="13" t="str">
        <f t="shared" si="4"/>
        <v/>
      </c>
      <c r="C111" s="18"/>
      <c r="D111" s="19" t="str">
        <f>IF(Tabela2[[#This Row],[AGRUPADOR]]&lt;&gt;"",VLOOKUP(Tabela2[[#This Row],[AGRUPADOR]],Tabela1[],2,0),"")</f>
        <v/>
      </c>
      <c r="E111" s="19" t="str">
        <f>IF(Tabela2[[#This Row],[AGRUPADOR]]&lt;&gt;"",VLOOKUP(Tabela2[[#This Row],[AGRUPADOR]],Tabela1[],4,0),"")</f>
        <v/>
      </c>
      <c r="F111" s="14"/>
      <c r="G111" s="6"/>
      <c r="H111" s="6"/>
      <c r="I111" s="25"/>
      <c r="J111" s="7"/>
      <c r="K111" s="15" t="str">
        <f>IF(Tabela2[[#This Row],[UNID.]]&lt;&gt;"",S111*(1+$R$2),"")</f>
        <v/>
      </c>
      <c r="L111" s="379">
        <f>IF(H111&lt;&gt;"",J111*K111,SUMIFS(L112:L$9844,$F112:$F$9844,"*"&amp;F111&amp;"*",$H112:$H$9844,"&lt;&gt;"))</f>
        <v>0</v>
      </c>
      <c r="M111" s="379" t="str">
        <f>IF(Tabela2[[#This Row],[UNID.]]&lt;&gt;"",IFERROR(VLOOKUP(Tabela2[[#This Row],[AGRUPADOR]],Lucratividade!$D$4:$O$129,6,0),0),"")</f>
        <v/>
      </c>
      <c r="N111" s="379">
        <f>IF(H111&lt;&gt;"",J111*M111*I111,SUMIFS(N112:N$9844,$F112:$F$9844,"*"&amp;F111&amp;"*",$H112:$H$9844,"&lt;&gt;"))</f>
        <v>0</v>
      </c>
      <c r="O111" s="162" t="str">
        <f>IFERROR((-Tabela2[[#This Row],[CUSTO TOTAL]]+Tabela2[[#This Row],[VENDA TOTAL]])/Tabela2[[#This Row],[VENDA TOTAL]]-PARAMETROS!$C$19,"")</f>
        <v/>
      </c>
      <c r="AA111" s="220">
        <f>SUM(Plan_Orc[[#This Row],[01/jan]:[01/dez]])</f>
        <v>0</v>
      </c>
      <c r="AB111" s="114"/>
      <c r="AC111" s="114"/>
      <c r="AD111" s="114"/>
      <c r="AE111" s="114"/>
      <c r="AF111" s="114"/>
      <c r="AG111" s="114"/>
      <c r="AH111" s="114"/>
      <c r="AI111" s="114"/>
      <c r="AJ111" s="114"/>
      <c r="AK111" s="114"/>
      <c r="AL111" s="114"/>
      <c r="AM111" s="114"/>
    </row>
    <row r="112" spans="2:39" ht="25.2" customHeight="1" x14ac:dyDescent="0.3">
      <c r="B112" s="13" t="str">
        <f t="shared" si="4"/>
        <v/>
      </c>
      <c r="C112" s="18"/>
      <c r="D112" s="19" t="str">
        <f>IF(Tabela2[[#This Row],[AGRUPADOR]]&lt;&gt;"",VLOOKUP(Tabela2[[#This Row],[AGRUPADOR]],Tabela1[],2,0),"")</f>
        <v/>
      </c>
      <c r="E112" s="19" t="str">
        <f>IF(Tabela2[[#This Row],[AGRUPADOR]]&lt;&gt;"",VLOOKUP(Tabela2[[#This Row],[AGRUPADOR]],Tabela1[],4,0),"")</f>
        <v/>
      </c>
      <c r="F112" s="14"/>
      <c r="G112" s="6"/>
      <c r="H112" s="6"/>
      <c r="I112" s="25"/>
      <c r="J112" s="7"/>
      <c r="K112" s="15" t="str">
        <f>IF(Tabela2[[#This Row],[UNID.]]&lt;&gt;"",S112*(1+$R$2),"")</f>
        <v/>
      </c>
      <c r="L112" s="379">
        <f>IF(H112&lt;&gt;"",J112*K112,SUMIFS(L113:L$9844,$F113:$F$9844,"*"&amp;F112&amp;"*",$H113:$H$9844,"&lt;&gt;"))</f>
        <v>0</v>
      </c>
      <c r="M112" s="379" t="str">
        <f>IF(Tabela2[[#This Row],[UNID.]]&lt;&gt;"",IFERROR(VLOOKUP(Tabela2[[#This Row],[AGRUPADOR]],Lucratividade!$D$4:$O$129,6,0),0),"")</f>
        <v/>
      </c>
      <c r="N112" s="379">
        <f>IF(H112&lt;&gt;"",J112*M112*I112,SUMIFS(N113:N$9844,$F113:$F$9844,"*"&amp;F112&amp;"*",$H113:$H$9844,"&lt;&gt;"))</f>
        <v>0</v>
      </c>
      <c r="O112" s="162" t="str">
        <f>IFERROR((-Tabela2[[#This Row],[CUSTO TOTAL]]+Tabela2[[#This Row],[VENDA TOTAL]])/Tabela2[[#This Row],[VENDA TOTAL]]-PARAMETROS!$C$19,"")</f>
        <v/>
      </c>
      <c r="AA112" s="311">
        <f>SUM(Plan_Orc[[#This Row],[01/jan]:[01/dez]])</f>
        <v>0</v>
      </c>
      <c r="AB112" s="312"/>
      <c r="AC112" s="312"/>
      <c r="AD112" s="312"/>
      <c r="AE112" s="312"/>
      <c r="AF112" s="312"/>
      <c r="AG112" s="312"/>
      <c r="AH112" s="312"/>
      <c r="AI112" s="312"/>
      <c r="AJ112" s="312"/>
      <c r="AK112" s="312"/>
      <c r="AL112" s="312"/>
      <c r="AM112" s="312"/>
    </row>
    <row r="113" spans="2:39" ht="25.2" customHeight="1" x14ac:dyDescent="0.3">
      <c r="B113" s="13" t="str">
        <f t="shared" si="4"/>
        <v/>
      </c>
      <c r="C113" s="18"/>
      <c r="D113" s="19" t="str">
        <f>IF(Tabela2[[#This Row],[AGRUPADOR]]&lt;&gt;"",VLOOKUP(Tabela2[[#This Row],[AGRUPADOR]],Tabela1[],2,0),"")</f>
        <v/>
      </c>
      <c r="E113" s="19" t="str">
        <f>IF(Tabela2[[#This Row],[AGRUPADOR]]&lt;&gt;"",VLOOKUP(Tabela2[[#This Row],[AGRUPADOR]],Tabela1[],4,0),"")</f>
        <v/>
      </c>
      <c r="F113" s="14"/>
      <c r="G113" s="6"/>
      <c r="H113" s="6"/>
      <c r="I113" s="25"/>
      <c r="J113" s="7"/>
      <c r="K113" s="15" t="str">
        <f>IF(Tabela2[[#This Row],[UNID.]]&lt;&gt;"",S113*(1+$R$2),"")</f>
        <v/>
      </c>
      <c r="L113" s="379">
        <f>IF(H113&lt;&gt;"",J113*K113,SUMIFS(L114:L$9844,$F114:$F$9844,"*"&amp;F113&amp;"*",$H114:$H$9844,"&lt;&gt;"))</f>
        <v>0</v>
      </c>
      <c r="M113" s="379" t="str">
        <f>IF(Tabela2[[#This Row],[UNID.]]&lt;&gt;"",IFERROR(VLOOKUP(Tabela2[[#This Row],[AGRUPADOR]],Lucratividade!$D$4:$O$129,6,0),0),"")</f>
        <v/>
      </c>
      <c r="N113" s="379">
        <f>IF(H113&lt;&gt;"",J113*M113*I113,SUMIFS(N114:N$9844,$F114:$F$9844,"*"&amp;F113&amp;"*",$H114:$H$9844,"&lt;&gt;"))</f>
        <v>0</v>
      </c>
      <c r="O113" s="162" t="str">
        <f>IFERROR((-Tabela2[[#This Row],[CUSTO TOTAL]]+Tabela2[[#This Row],[VENDA TOTAL]])/Tabela2[[#This Row],[VENDA TOTAL]]-PARAMETROS!$C$19,"")</f>
        <v/>
      </c>
      <c r="AA113" s="220">
        <f>SUM(Plan_Orc[[#This Row],[01/jan]:[01/dez]])</f>
        <v>0</v>
      </c>
      <c r="AB113" s="114"/>
      <c r="AC113" s="114"/>
      <c r="AD113" s="114"/>
      <c r="AE113" s="114"/>
      <c r="AF113" s="114"/>
      <c r="AG113" s="114"/>
      <c r="AH113" s="114"/>
      <c r="AI113" s="114"/>
      <c r="AJ113" s="114"/>
      <c r="AK113" s="114"/>
      <c r="AL113" s="114"/>
      <c r="AM113" s="114"/>
    </row>
    <row r="114" spans="2:39" ht="25.2" customHeight="1" x14ac:dyDescent="0.3">
      <c r="B114" s="13" t="str">
        <f t="shared" si="4"/>
        <v/>
      </c>
      <c r="C114" s="18"/>
      <c r="D114" s="19" t="str">
        <f>IF(Tabela2[[#This Row],[AGRUPADOR]]&lt;&gt;"",VLOOKUP(Tabela2[[#This Row],[AGRUPADOR]],Tabela1[],2,0),"")</f>
        <v/>
      </c>
      <c r="E114" s="19" t="str">
        <f>IF(Tabela2[[#This Row],[AGRUPADOR]]&lt;&gt;"",VLOOKUP(Tabela2[[#This Row],[AGRUPADOR]],Tabela1[],4,0),"")</f>
        <v/>
      </c>
      <c r="F114" s="14"/>
      <c r="G114" s="6"/>
      <c r="H114" s="6"/>
      <c r="I114" s="25"/>
      <c r="J114" s="7"/>
      <c r="K114" s="15" t="str">
        <f>IF(Tabela2[[#This Row],[UNID.]]&lt;&gt;"",S114*(1+$R$2),"")</f>
        <v/>
      </c>
      <c r="L114" s="379">
        <f>IF(H114&lt;&gt;"",J114*K114,SUMIFS(L115:L$9844,$F115:$F$9844,"*"&amp;F114&amp;"*",$H115:$H$9844,"&lt;&gt;"))</f>
        <v>0</v>
      </c>
      <c r="M114" s="379" t="str">
        <f>IF(Tabela2[[#This Row],[UNID.]]&lt;&gt;"",IFERROR(VLOOKUP(Tabela2[[#This Row],[AGRUPADOR]],Lucratividade!$D$4:$O$129,6,0),0),"")</f>
        <v/>
      </c>
      <c r="N114" s="379">
        <f>IF(H114&lt;&gt;"",J114*M114*I114,SUMIFS(N115:N$9844,$F115:$F$9844,"*"&amp;F114&amp;"*",$H115:$H$9844,"&lt;&gt;"))</f>
        <v>0</v>
      </c>
      <c r="O114" s="162" t="str">
        <f>IFERROR((-Tabela2[[#This Row],[CUSTO TOTAL]]+Tabela2[[#This Row],[VENDA TOTAL]])/Tabela2[[#This Row],[VENDA TOTAL]]-PARAMETROS!$C$19,"")</f>
        <v/>
      </c>
      <c r="AA114" s="221">
        <f>SUM(Plan_Orc[[#This Row],[01/jan]:[01/dez]])</f>
        <v>0</v>
      </c>
      <c r="AB114" s="114"/>
      <c r="AC114" s="114"/>
      <c r="AD114" s="114"/>
      <c r="AE114" s="114"/>
      <c r="AF114" s="114"/>
      <c r="AG114" s="114"/>
      <c r="AH114" s="114"/>
      <c r="AI114" s="114"/>
      <c r="AJ114" s="114"/>
      <c r="AK114" s="114"/>
      <c r="AL114" s="114"/>
      <c r="AM114" s="114"/>
    </row>
    <row r="115" spans="2:39" ht="25.2" customHeight="1" x14ac:dyDescent="0.3">
      <c r="B115" s="13" t="str">
        <f t="shared" si="4"/>
        <v/>
      </c>
      <c r="C115" s="18"/>
      <c r="D115" s="19" t="str">
        <f>IF(Tabela2[[#This Row],[AGRUPADOR]]&lt;&gt;"",VLOOKUP(Tabela2[[#This Row],[AGRUPADOR]],Tabela1[],2,0),"")</f>
        <v/>
      </c>
      <c r="E115" s="19" t="str">
        <f>IF(Tabela2[[#This Row],[AGRUPADOR]]&lt;&gt;"",VLOOKUP(Tabela2[[#This Row],[AGRUPADOR]],Tabela1[],4,0),"")</f>
        <v/>
      </c>
      <c r="F115" s="14"/>
      <c r="G115" s="6"/>
      <c r="H115" s="6"/>
      <c r="I115" s="25"/>
      <c r="J115" s="7"/>
      <c r="K115" s="15" t="str">
        <f>IF(Tabela2[[#This Row],[UNID.]]&lt;&gt;"",S115*(1+$R$2),"")</f>
        <v/>
      </c>
      <c r="L115" s="379">
        <f>IF(H115&lt;&gt;"",J115*K115,SUMIFS(L116:L$9844,$F116:$F$9844,"*"&amp;F115&amp;"*",$H116:$H$9844,"&lt;&gt;"))</f>
        <v>0</v>
      </c>
      <c r="M115" s="379" t="str">
        <f>IF(Tabela2[[#This Row],[UNID.]]&lt;&gt;"",IFERROR(VLOOKUP(Tabela2[[#This Row],[AGRUPADOR]],Lucratividade!$D$4:$O$129,6,0),0),"")</f>
        <v/>
      </c>
      <c r="N115" s="379">
        <f>IF(H115&lt;&gt;"",J115*M115*I115,SUMIFS(N116:N$9844,$F116:$F$9844,"*"&amp;F115&amp;"*",$H116:$H$9844,"&lt;&gt;"))</f>
        <v>0</v>
      </c>
      <c r="O115" s="162" t="str">
        <f>IFERROR((-Tabela2[[#This Row],[CUSTO TOTAL]]+Tabela2[[#This Row],[VENDA TOTAL]])/Tabela2[[#This Row],[VENDA TOTAL]]-PARAMETROS!$C$19,"")</f>
        <v/>
      </c>
      <c r="AA115" s="219">
        <f>SUM(Plan_Orc[[#This Row],[01/jan]:[01/dez]])</f>
        <v>0</v>
      </c>
      <c r="AB115" s="114"/>
      <c r="AC115" s="114"/>
      <c r="AD115" s="114"/>
      <c r="AE115" s="114"/>
      <c r="AF115" s="114"/>
      <c r="AG115" s="114"/>
      <c r="AH115" s="114"/>
      <c r="AI115" s="114"/>
      <c r="AJ115" s="114"/>
      <c r="AK115" s="114"/>
      <c r="AL115" s="114"/>
      <c r="AM115" s="114"/>
    </row>
    <row r="116" spans="2:39" ht="25.2" customHeight="1" x14ac:dyDescent="0.3">
      <c r="B116" s="13" t="str">
        <f t="shared" si="4"/>
        <v/>
      </c>
      <c r="C116" s="18"/>
      <c r="D116" s="19" t="str">
        <f>IF(Tabela2[[#This Row],[AGRUPADOR]]&lt;&gt;"",VLOOKUP(Tabela2[[#This Row],[AGRUPADOR]],Tabela1[],2,0),"")</f>
        <v/>
      </c>
      <c r="E116" s="19" t="str">
        <f>IF(Tabela2[[#This Row],[AGRUPADOR]]&lt;&gt;"",VLOOKUP(Tabela2[[#This Row],[AGRUPADOR]],Tabela1[],4,0),"")</f>
        <v/>
      </c>
      <c r="F116" s="14"/>
      <c r="G116" s="6"/>
      <c r="H116" s="6"/>
      <c r="I116" s="25"/>
      <c r="J116" s="7"/>
      <c r="K116" s="15" t="str">
        <f>IF(Tabela2[[#This Row],[UNID.]]&lt;&gt;"",S116*(1+$R$2),"")</f>
        <v/>
      </c>
      <c r="L116" s="379">
        <f>IF(H116&lt;&gt;"",J116*K116,SUMIFS(L117:L$9844,$F117:$F$9844,"*"&amp;F116&amp;"*",$H117:$H$9844,"&lt;&gt;"))</f>
        <v>0</v>
      </c>
      <c r="M116" s="379" t="str">
        <f>IF(Tabela2[[#This Row],[UNID.]]&lt;&gt;"",IFERROR(VLOOKUP(Tabela2[[#This Row],[AGRUPADOR]],Lucratividade!$D$4:$O$129,6,0),0),"")</f>
        <v/>
      </c>
      <c r="N116" s="379">
        <f>IF(H116&lt;&gt;"",J116*M116*I116,SUMIFS(N117:N$9844,$F117:$F$9844,"*"&amp;F116&amp;"*",$H117:$H$9844,"&lt;&gt;"))</f>
        <v>0</v>
      </c>
      <c r="O116" s="162" t="str">
        <f>IFERROR((-Tabela2[[#This Row],[CUSTO TOTAL]]+Tabela2[[#This Row],[VENDA TOTAL]])/Tabela2[[#This Row],[VENDA TOTAL]]-PARAMETROS!$C$19,"")</f>
        <v/>
      </c>
      <c r="AA116" s="219">
        <f>SUM(Plan_Orc[[#This Row],[01/jan]:[01/dez]])</f>
        <v>0</v>
      </c>
      <c r="AB116" s="114"/>
      <c r="AC116" s="114"/>
      <c r="AD116" s="114"/>
      <c r="AE116" s="114"/>
      <c r="AF116" s="114"/>
      <c r="AG116" s="114"/>
      <c r="AH116" s="114"/>
      <c r="AI116" s="114"/>
      <c r="AJ116" s="114"/>
      <c r="AK116" s="114"/>
      <c r="AL116" s="114"/>
      <c r="AM116" s="114"/>
    </row>
    <row r="117" spans="2:39" ht="25.2" customHeight="1" x14ac:dyDescent="0.3">
      <c r="B117" s="13" t="str">
        <f t="shared" si="4"/>
        <v/>
      </c>
      <c r="C117" s="18"/>
      <c r="D117" s="19" t="str">
        <f>IF(Tabela2[[#This Row],[AGRUPADOR]]&lt;&gt;"",VLOOKUP(Tabela2[[#This Row],[AGRUPADOR]],Tabela1[],2,0),"")</f>
        <v/>
      </c>
      <c r="E117" s="19" t="str">
        <f>IF(Tabela2[[#This Row],[AGRUPADOR]]&lt;&gt;"",VLOOKUP(Tabela2[[#This Row],[AGRUPADOR]],Tabela1[],4,0),"")</f>
        <v/>
      </c>
      <c r="F117" s="14"/>
      <c r="G117" s="6"/>
      <c r="H117" s="6"/>
      <c r="I117" s="25"/>
      <c r="J117" s="7"/>
      <c r="K117" s="15" t="str">
        <f>IF(Tabela2[[#This Row],[UNID.]]&lt;&gt;"",S117*(1+$R$2),"")</f>
        <v/>
      </c>
      <c r="L117" s="379">
        <f>IF(H117&lt;&gt;"",J117*K117,SUMIFS(L118:L$9844,$F118:$F$9844,"*"&amp;F117&amp;"*",$H118:$H$9844,"&lt;&gt;"))</f>
        <v>0</v>
      </c>
      <c r="M117" s="379" t="str">
        <f>IF(Tabela2[[#This Row],[UNID.]]&lt;&gt;"",IFERROR(VLOOKUP(Tabela2[[#This Row],[AGRUPADOR]],Lucratividade!$D$4:$O$129,6,0),0),"")</f>
        <v/>
      </c>
      <c r="N117" s="379">
        <f>IF(H117&lt;&gt;"",J117*M117*I117,SUMIFS(N118:N$9844,$F118:$F$9844,"*"&amp;F117&amp;"*",$H118:$H$9844,"&lt;&gt;"))</f>
        <v>0</v>
      </c>
      <c r="O117" s="162" t="str">
        <f>IFERROR((-Tabela2[[#This Row],[CUSTO TOTAL]]+Tabela2[[#This Row],[VENDA TOTAL]])/Tabela2[[#This Row],[VENDA TOTAL]]-PARAMETROS!$C$19,"")</f>
        <v/>
      </c>
      <c r="AA117" s="220">
        <f>SUM(Plan_Orc[[#This Row],[01/jan]:[01/dez]])</f>
        <v>0</v>
      </c>
      <c r="AB117" s="114"/>
      <c r="AC117" s="114"/>
      <c r="AD117" s="114"/>
      <c r="AE117" s="114"/>
      <c r="AF117" s="114"/>
      <c r="AG117" s="114"/>
      <c r="AH117" s="114"/>
      <c r="AI117" s="114"/>
      <c r="AJ117" s="114"/>
      <c r="AK117" s="114"/>
      <c r="AL117" s="114"/>
      <c r="AM117" s="114"/>
    </row>
    <row r="118" spans="2:39" ht="25.2" customHeight="1" x14ac:dyDescent="0.3">
      <c r="B118" s="13" t="str">
        <f t="shared" si="4"/>
        <v/>
      </c>
      <c r="C118" s="18"/>
      <c r="D118" s="19" t="str">
        <f>IF(Tabela2[[#This Row],[AGRUPADOR]]&lt;&gt;"",VLOOKUP(Tabela2[[#This Row],[AGRUPADOR]],Tabela1[],2,0),"")</f>
        <v/>
      </c>
      <c r="E118" s="19" t="str">
        <f>IF(Tabela2[[#This Row],[AGRUPADOR]]&lt;&gt;"",VLOOKUP(Tabela2[[#This Row],[AGRUPADOR]],Tabela1[],4,0),"")</f>
        <v/>
      </c>
      <c r="F118" s="14"/>
      <c r="G118" s="6"/>
      <c r="H118" s="6"/>
      <c r="I118" s="25"/>
      <c r="J118" s="7"/>
      <c r="K118" s="15" t="str">
        <f>IF(Tabela2[[#This Row],[UNID.]]&lt;&gt;"",S118*(1+$R$2),"")</f>
        <v/>
      </c>
      <c r="L118" s="379">
        <f>IF(H118&lt;&gt;"",J118*K118,SUMIFS(L119:L$9844,$F119:$F$9844,"*"&amp;F118&amp;"*",$H119:$H$9844,"&lt;&gt;"))</f>
        <v>0</v>
      </c>
      <c r="M118" s="379" t="str">
        <f>IF(Tabela2[[#This Row],[UNID.]]&lt;&gt;"",IFERROR(VLOOKUP(Tabela2[[#This Row],[AGRUPADOR]],Lucratividade!$D$4:$O$129,6,0),0),"")</f>
        <v/>
      </c>
      <c r="N118" s="379">
        <f>IF(H118&lt;&gt;"",J118*M118*I118,SUMIFS(N119:N$9844,$F119:$F$9844,"*"&amp;F118&amp;"*",$H119:$H$9844,"&lt;&gt;"))</f>
        <v>0</v>
      </c>
      <c r="O118" s="162" t="str">
        <f>IFERROR((-Tabela2[[#This Row],[CUSTO TOTAL]]+Tabela2[[#This Row],[VENDA TOTAL]])/Tabela2[[#This Row],[VENDA TOTAL]]-PARAMETROS!$C$19,"")</f>
        <v/>
      </c>
      <c r="AA118" s="218">
        <f>SUM(Plan_Orc[[#This Row],[01/jan]:[01/dez]])</f>
        <v>0</v>
      </c>
      <c r="AB118" s="114"/>
      <c r="AC118" s="114"/>
      <c r="AD118" s="114"/>
      <c r="AE118" s="114"/>
      <c r="AF118" s="114"/>
      <c r="AG118" s="114"/>
      <c r="AH118" s="114"/>
      <c r="AI118" s="114"/>
      <c r="AJ118" s="114"/>
      <c r="AK118" s="114"/>
      <c r="AL118" s="114"/>
      <c r="AM118" s="114"/>
    </row>
    <row r="119" spans="2:39" ht="25.2" customHeight="1" x14ac:dyDescent="0.3">
      <c r="B119" s="13" t="str">
        <f t="shared" si="4"/>
        <v/>
      </c>
      <c r="C119" s="18"/>
      <c r="D119" s="19" t="str">
        <f>IF(Tabela2[[#This Row],[AGRUPADOR]]&lt;&gt;"",VLOOKUP(Tabela2[[#This Row],[AGRUPADOR]],Tabela1[],2,0),"")</f>
        <v/>
      </c>
      <c r="E119" s="19" t="str">
        <f>IF(Tabela2[[#This Row],[AGRUPADOR]]&lt;&gt;"",VLOOKUP(Tabela2[[#This Row],[AGRUPADOR]],Tabela1[],4,0),"")</f>
        <v/>
      </c>
      <c r="F119" s="14"/>
      <c r="G119" s="6"/>
      <c r="H119" s="6"/>
      <c r="I119" s="25"/>
      <c r="J119" s="7"/>
      <c r="K119" s="15" t="str">
        <f>IF(Tabela2[[#This Row],[UNID.]]&lt;&gt;"",S119*(1+$R$2),"")</f>
        <v/>
      </c>
      <c r="L119" s="379">
        <f>IF(H119&lt;&gt;"",J119*K119,SUMIFS(L120:L$9844,$F120:$F$9844,"*"&amp;F119&amp;"*",$H120:$H$9844,"&lt;&gt;"))</f>
        <v>0</v>
      </c>
      <c r="M119" s="379" t="str">
        <f>IF(Tabela2[[#This Row],[UNID.]]&lt;&gt;"",IFERROR(VLOOKUP(Tabela2[[#This Row],[AGRUPADOR]],Lucratividade!$D$4:$O$129,6,0),0),"")</f>
        <v/>
      </c>
      <c r="N119" s="379">
        <f>IF(H119&lt;&gt;"",J119*M119*I119,SUMIFS(N120:N$9844,$F120:$F$9844,"*"&amp;F119&amp;"*",$H120:$H$9844,"&lt;&gt;"))</f>
        <v>0</v>
      </c>
      <c r="O119" s="162" t="str">
        <f>IFERROR((-Tabela2[[#This Row],[CUSTO TOTAL]]+Tabela2[[#This Row],[VENDA TOTAL]])/Tabela2[[#This Row],[VENDA TOTAL]]-PARAMETROS!$C$19,"")</f>
        <v/>
      </c>
      <c r="AA119" s="219">
        <f>SUM(Plan_Orc[[#This Row],[01/jan]:[01/dez]])</f>
        <v>0</v>
      </c>
      <c r="AB119" s="113"/>
      <c r="AC119" s="113"/>
      <c r="AD119" s="113"/>
      <c r="AE119" s="113"/>
      <c r="AF119" s="113"/>
      <c r="AG119" s="113"/>
      <c r="AH119" s="113"/>
      <c r="AI119" s="113"/>
      <c r="AJ119" s="113"/>
      <c r="AK119" s="113"/>
      <c r="AL119" s="113"/>
      <c r="AM119" s="113"/>
    </row>
    <row r="120" spans="2:39" ht="25.2" customHeight="1" x14ac:dyDescent="0.3">
      <c r="B120" s="13" t="str">
        <f t="shared" si="4"/>
        <v/>
      </c>
      <c r="C120" s="18"/>
      <c r="D120" s="19" t="str">
        <f>IF(Tabela2[[#This Row],[AGRUPADOR]]&lt;&gt;"",VLOOKUP(Tabela2[[#This Row],[AGRUPADOR]],Tabela1[],2,0),"")</f>
        <v/>
      </c>
      <c r="E120" s="19" t="str">
        <f>IF(Tabela2[[#This Row],[AGRUPADOR]]&lt;&gt;"",VLOOKUP(Tabela2[[#This Row],[AGRUPADOR]],Tabela1[],4,0),"")</f>
        <v/>
      </c>
      <c r="F120" s="14"/>
      <c r="G120" s="6"/>
      <c r="H120" s="6"/>
      <c r="I120" s="25"/>
      <c r="J120" s="7"/>
      <c r="K120" s="15" t="str">
        <f>IF(Tabela2[[#This Row],[UNID.]]&lt;&gt;"",S120*(1+$R$2),"")</f>
        <v/>
      </c>
      <c r="L120" s="379">
        <f>IF(H120&lt;&gt;"",J120*K120,SUMIFS(L121:L$9844,$F121:$F$9844,"*"&amp;F120&amp;"*",$H121:$H$9844,"&lt;&gt;"))</f>
        <v>0</v>
      </c>
      <c r="M120" s="379" t="str">
        <f>IF(Tabela2[[#This Row],[UNID.]]&lt;&gt;"",IFERROR(VLOOKUP(Tabela2[[#This Row],[AGRUPADOR]],Lucratividade!$D$4:$O$129,6,0),0),"")</f>
        <v/>
      </c>
      <c r="N120" s="379">
        <f>IF(H120&lt;&gt;"",J120*M120*I120,SUMIFS(N121:N$9844,$F121:$F$9844,"*"&amp;F120&amp;"*",$H121:$H$9844,"&lt;&gt;"))</f>
        <v>0</v>
      </c>
      <c r="O120" s="162" t="str">
        <f>IFERROR((-Tabela2[[#This Row],[CUSTO TOTAL]]+Tabela2[[#This Row],[VENDA TOTAL]])/Tabela2[[#This Row],[VENDA TOTAL]]-PARAMETROS!$C$19,"")</f>
        <v/>
      </c>
      <c r="AA120" s="222">
        <f>SUM(Plan_Orc[[#This Row],[01/jan]:[01/dez]])</f>
        <v>0</v>
      </c>
      <c r="AB120" s="114"/>
      <c r="AC120" s="114"/>
      <c r="AD120" s="114"/>
      <c r="AE120" s="114"/>
      <c r="AF120" s="114"/>
      <c r="AG120" s="114"/>
      <c r="AH120" s="114"/>
      <c r="AI120" s="114"/>
      <c r="AJ120" s="114"/>
      <c r="AK120" s="114"/>
      <c r="AL120" s="114"/>
      <c r="AM120" s="114"/>
    </row>
    <row r="121" spans="2:39" ht="25.2" customHeight="1" x14ac:dyDescent="0.3">
      <c r="B121" s="13" t="str">
        <f t="shared" si="4"/>
        <v/>
      </c>
      <c r="C121" s="18"/>
      <c r="D121" s="19" t="str">
        <f>IF(Tabela2[[#This Row],[AGRUPADOR]]&lt;&gt;"",VLOOKUP(Tabela2[[#This Row],[AGRUPADOR]],Tabela1[],2,0),"")</f>
        <v/>
      </c>
      <c r="E121" s="19" t="str">
        <f>IF(Tabela2[[#This Row],[AGRUPADOR]]&lt;&gt;"",VLOOKUP(Tabela2[[#This Row],[AGRUPADOR]],Tabela1[],4,0),"")</f>
        <v/>
      </c>
      <c r="F121" s="14"/>
      <c r="G121" s="6"/>
      <c r="H121" s="6"/>
      <c r="I121" s="25"/>
      <c r="J121" s="7"/>
      <c r="K121" s="15" t="str">
        <f>IF(Tabela2[[#This Row],[UNID.]]&lt;&gt;"",S121*(1+$R$2),"")</f>
        <v/>
      </c>
      <c r="L121" s="379">
        <f>IF(H121&lt;&gt;"",J121*K121,SUMIFS(L122:L$9844,$F122:$F$9844,"*"&amp;F121&amp;"*",$H122:$H$9844,"&lt;&gt;"))</f>
        <v>0</v>
      </c>
      <c r="M121" s="379" t="str">
        <f>IF(Tabela2[[#This Row],[UNID.]]&lt;&gt;"",IFERROR(VLOOKUP(Tabela2[[#This Row],[AGRUPADOR]],Lucratividade!$D$4:$O$129,6,0),0),"")</f>
        <v/>
      </c>
      <c r="N121" s="379">
        <f>IF(H121&lt;&gt;"",J121*M121*I121,SUMIFS(N122:N$9844,$F122:$F$9844,"*"&amp;F121&amp;"*",$H122:$H$9844,"&lt;&gt;"))</f>
        <v>0</v>
      </c>
      <c r="O121" s="162" t="str">
        <f>IFERROR((-Tabela2[[#This Row],[CUSTO TOTAL]]+Tabela2[[#This Row],[VENDA TOTAL]])/Tabela2[[#This Row],[VENDA TOTAL]]-PARAMETROS!$C$19,"")</f>
        <v/>
      </c>
      <c r="AA121" s="220">
        <f>SUM(Plan_Orc[[#This Row],[01/jan]:[01/dez]])</f>
        <v>0</v>
      </c>
      <c r="AB121" s="115"/>
      <c r="AC121" s="115"/>
      <c r="AD121" s="115"/>
      <c r="AE121" s="115"/>
      <c r="AF121" s="115"/>
      <c r="AG121" s="115"/>
      <c r="AH121" s="115"/>
      <c r="AI121" s="115"/>
      <c r="AJ121" s="115"/>
      <c r="AK121" s="115"/>
      <c r="AL121" s="115"/>
      <c r="AM121" s="115"/>
    </row>
    <row r="122" spans="2:39" ht="25.2" customHeight="1" x14ac:dyDescent="0.3">
      <c r="B122" s="13" t="str">
        <f t="shared" si="4"/>
        <v/>
      </c>
      <c r="C122" s="18"/>
      <c r="D122" s="19" t="str">
        <f>IF(Tabela2[[#This Row],[AGRUPADOR]]&lt;&gt;"",VLOOKUP(Tabela2[[#This Row],[AGRUPADOR]],Tabela1[],2,0),"")</f>
        <v/>
      </c>
      <c r="E122" s="19" t="str">
        <f>IF(Tabela2[[#This Row],[AGRUPADOR]]&lt;&gt;"",VLOOKUP(Tabela2[[#This Row],[AGRUPADOR]],Tabela1[],4,0),"")</f>
        <v/>
      </c>
      <c r="F122" s="14"/>
      <c r="G122" s="6"/>
      <c r="H122" s="6"/>
      <c r="I122" s="25">
        <v>0</v>
      </c>
      <c r="J122" s="7"/>
      <c r="K122" s="15" t="str">
        <f>IF(Tabela2[[#This Row],[UNID.]]&lt;&gt;"",S122*(1+$R$2),"")</f>
        <v/>
      </c>
      <c r="L122" s="379">
        <f>IF(H122&lt;&gt;"",J122*K122,SUMIFS(L123:L$9844,$F123:$F$9844,"*"&amp;F122&amp;"*",$H123:$H$9844,"&lt;&gt;"))</f>
        <v>0</v>
      </c>
      <c r="M122" s="379" t="str">
        <f>IF(Tabela2[[#This Row],[UNID.]]&lt;&gt;"",IFERROR(VLOOKUP(Tabela2[[#This Row],[AGRUPADOR]],Lucratividade!$D$4:$O$129,6,0),0),"")</f>
        <v/>
      </c>
      <c r="N122" s="379">
        <f>IF(H122&lt;&gt;"",J122*M122*I122,SUMIFS(N123:N$9844,$F123:$F$9844,"*"&amp;F122&amp;"*",$H123:$H$9844,"&lt;&gt;"))</f>
        <v>0</v>
      </c>
      <c r="O122" s="162" t="str">
        <f>IFERROR((-Tabela2[[#This Row],[CUSTO TOTAL]]+Tabela2[[#This Row],[VENDA TOTAL]])/Tabela2[[#This Row],[VENDA TOTAL]]-PARAMETROS!$C$19,"")</f>
        <v/>
      </c>
      <c r="AA122" s="219">
        <f>SUM(Plan_Orc[[#This Row],[01/jan]:[01/dez]])</f>
        <v>0</v>
      </c>
      <c r="AB122" s="114"/>
      <c r="AC122" s="114"/>
      <c r="AD122" s="114"/>
      <c r="AE122" s="114"/>
      <c r="AF122" s="114"/>
      <c r="AG122" s="114"/>
      <c r="AH122" s="114"/>
      <c r="AI122" s="114"/>
      <c r="AJ122" s="114"/>
      <c r="AK122" s="114"/>
      <c r="AL122" s="114"/>
      <c r="AM122" s="114"/>
    </row>
    <row r="123" spans="2:39" ht="25.2" customHeight="1" x14ac:dyDescent="0.3">
      <c r="B123" s="13" t="str">
        <f t="shared" si="4"/>
        <v/>
      </c>
      <c r="C123" s="18"/>
      <c r="D123" s="19" t="str">
        <f>IF(Tabela2[[#This Row],[AGRUPADOR]]&lt;&gt;"",VLOOKUP(Tabela2[[#This Row],[AGRUPADOR]],Tabela1[],2,0),"")</f>
        <v/>
      </c>
      <c r="E123" s="19" t="str">
        <f>IF(Tabela2[[#This Row],[AGRUPADOR]]&lt;&gt;"",VLOOKUP(Tabela2[[#This Row],[AGRUPADOR]],Tabela1[],4,0),"")</f>
        <v/>
      </c>
      <c r="F123" s="14"/>
      <c r="G123" s="6"/>
      <c r="H123" s="6"/>
      <c r="I123" s="25">
        <v>1</v>
      </c>
      <c r="J123" s="7"/>
      <c r="K123" s="15" t="str">
        <f>IF(Tabela2[[#This Row],[UNID.]]&lt;&gt;"",S123*(1+$R$2),"")</f>
        <v/>
      </c>
      <c r="L123" s="379">
        <f>IF(H123&lt;&gt;"",J123*K123,SUMIFS(L124:L$9844,$F124:$F$9844,"*"&amp;F123&amp;"*",$H124:$H$9844,"&lt;&gt;"))</f>
        <v>0</v>
      </c>
      <c r="M123" s="379" t="str">
        <f>IF(Tabela2[[#This Row],[UNID.]]&lt;&gt;"",IFERROR(VLOOKUP(Tabela2[[#This Row],[AGRUPADOR]],Lucratividade!$D$4:$O$129,6,0),0),"")</f>
        <v/>
      </c>
      <c r="N123" s="379">
        <f>IF(H123&lt;&gt;"",J123*M123*I123,SUMIFS(N124:N$9844,$F124:$F$9844,"*"&amp;F123&amp;"*",$H124:$H$9844,"&lt;&gt;"))</f>
        <v>0</v>
      </c>
      <c r="O123" s="162" t="str">
        <f>IFERROR((-Tabela2[[#This Row],[CUSTO TOTAL]]+Tabela2[[#This Row],[VENDA TOTAL]])/Tabela2[[#This Row],[VENDA TOTAL]]-PARAMETROS!$C$19,"")</f>
        <v/>
      </c>
      <c r="AA123" s="219">
        <f>SUM(Plan_Orc[[#This Row],[01/jan]:[01/dez]])</f>
        <v>0</v>
      </c>
      <c r="AB123" s="114"/>
      <c r="AC123" s="114"/>
      <c r="AD123" s="114"/>
      <c r="AE123" s="114"/>
      <c r="AF123" s="114"/>
      <c r="AG123" s="114"/>
      <c r="AH123" s="114"/>
      <c r="AI123" s="114"/>
      <c r="AJ123" s="114"/>
      <c r="AK123" s="114"/>
      <c r="AL123" s="114"/>
      <c r="AM123" s="114"/>
    </row>
    <row r="124" spans="2:39" ht="25.2" customHeight="1" x14ac:dyDescent="0.3">
      <c r="B124" s="13" t="str">
        <f t="shared" si="4"/>
        <v/>
      </c>
      <c r="C124" s="18"/>
      <c r="D124" s="19" t="str">
        <f>IF(Tabela2[[#This Row],[AGRUPADOR]]&lt;&gt;"",VLOOKUP(Tabela2[[#This Row],[AGRUPADOR]],Tabela1[],2,0),"")</f>
        <v/>
      </c>
      <c r="E124" s="19" t="str">
        <f>IF(Tabela2[[#This Row],[AGRUPADOR]]&lt;&gt;"",VLOOKUP(Tabela2[[#This Row],[AGRUPADOR]],Tabela1[],4,0),"")</f>
        <v/>
      </c>
      <c r="F124" s="14"/>
      <c r="G124" s="6"/>
      <c r="H124" s="6"/>
      <c r="I124" s="25">
        <v>0</v>
      </c>
      <c r="J124" s="7"/>
      <c r="K124" s="15" t="str">
        <f>IF(Tabela2[[#This Row],[UNID.]]&lt;&gt;"",S124*(1+$R$2),"")</f>
        <v/>
      </c>
      <c r="L124" s="379">
        <f>IF(H124&lt;&gt;"",J124*K124,SUMIFS(L125:L$9844,$F125:$F$9844,"*"&amp;F124&amp;"*",$H125:$H$9844,"&lt;&gt;"))</f>
        <v>0</v>
      </c>
      <c r="M124" s="379" t="str">
        <f>IF(Tabela2[[#This Row],[UNID.]]&lt;&gt;"",IFERROR(VLOOKUP(Tabela2[[#This Row],[AGRUPADOR]],Lucratividade!$D$4:$O$129,6,0),0),"")</f>
        <v/>
      </c>
      <c r="N124" s="379">
        <f>IF(H124&lt;&gt;"",J124*M124*I124,SUMIFS(N125:N$9844,$F125:$F$9844,"*"&amp;F124&amp;"*",$H125:$H$9844,"&lt;&gt;"))</f>
        <v>0</v>
      </c>
      <c r="O124" s="162" t="str">
        <f>IFERROR((-Tabela2[[#This Row],[CUSTO TOTAL]]+Tabela2[[#This Row],[VENDA TOTAL]])/Tabela2[[#This Row],[VENDA TOTAL]]-PARAMETROS!$C$19,"")</f>
        <v/>
      </c>
      <c r="AA124" s="219">
        <f>SUM(Plan_Orc[[#This Row],[01/jan]:[01/dez]])</f>
        <v>0</v>
      </c>
      <c r="AB124" s="114"/>
      <c r="AC124" s="114"/>
      <c r="AD124" s="114"/>
      <c r="AE124" s="114"/>
      <c r="AF124" s="114"/>
      <c r="AG124" s="114"/>
      <c r="AH124" s="114"/>
      <c r="AI124" s="114"/>
      <c r="AJ124" s="114"/>
      <c r="AK124" s="114"/>
      <c r="AL124" s="114"/>
      <c r="AM124" s="114"/>
    </row>
    <row r="125" spans="2:39" ht="25.2" customHeight="1" x14ac:dyDescent="0.3">
      <c r="B125" s="13" t="str">
        <f t="shared" si="4"/>
        <v/>
      </c>
      <c r="C125" s="18"/>
      <c r="D125" s="19" t="str">
        <f>IF(Tabela2[[#This Row],[AGRUPADOR]]&lt;&gt;"",VLOOKUP(Tabela2[[#This Row],[AGRUPADOR]],Tabela1[],2,0),"")</f>
        <v/>
      </c>
      <c r="E125" s="19" t="str">
        <f>IF(Tabela2[[#This Row],[AGRUPADOR]]&lt;&gt;"",VLOOKUP(Tabela2[[#This Row],[AGRUPADOR]],Tabela1[],4,0),"")</f>
        <v/>
      </c>
      <c r="F125" s="14"/>
      <c r="G125" s="6"/>
      <c r="H125" s="6"/>
      <c r="I125" s="25">
        <v>0</v>
      </c>
      <c r="J125" s="7"/>
      <c r="K125" s="15" t="str">
        <f>IF(Tabela2[[#This Row],[UNID.]]&lt;&gt;"",S125*(1+$R$2),"")</f>
        <v/>
      </c>
      <c r="L125" s="379">
        <f>IF(H125&lt;&gt;"",J125*K125,SUMIFS(L126:L$9844,$F126:$F$9844,"*"&amp;F125&amp;"*",$H126:$H$9844,"&lt;&gt;"))</f>
        <v>0</v>
      </c>
      <c r="M125" s="379" t="str">
        <f>IF(Tabela2[[#This Row],[UNID.]]&lt;&gt;"",IFERROR(VLOOKUP(Tabela2[[#This Row],[AGRUPADOR]],Lucratividade!$D$4:$O$129,6,0),0),"")</f>
        <v/>
      </c>
      <c r="N125" s="379">
        <f>IF(H125&lt;&gt;"",J125*M125*I125,SUMIFS(N126:N$9844,$F126:$F$9844,"*"&amp;F125&amp;"*",$H126:$H$9844,"&lt;&gt;"))</f>
        <v>0</v>
      </c>
      <c r="O125" s="162" t="str">
        <f>IFERROR((-Tabela2[[#This Row],[CUSTO TOTAL]]+Tabela2[[#This Row],[VENDA TOTAL]])/Tabela2[[#This Row],[VENDA TOTAL]]-PARAMETROS!$C$19,"")</f>
        <v/>
      </c>
      <c r="AA125" s="219">
        <f>SUM(Plan_Orc[[#This Row],[01/jan]:[01/dez]])</f>
        <v>0</v>
      </c>
      <c r="AB125" s="114"/>
      <c r="AC125" s="114"/>
      <c r="AD125" s="114"/>
      <c r="AE125" s="114"/>
      <c r="AF125" s="114"/>
      <c r="AG125" s="114"/>
      <c r="AH125" s="114"/>
      <c r="AI125" s="114"/>
      <c r="AJ125" s="114"/>
      <c r="AK125" s="114"/>
      <c r="AL125" s="114"/>
      <c r="AM125" s="114"/>
    </row>
    <row r="126" spans="2:39" ht="25.2" customHeight="1" x14ac:dyDescent="0.3">
      <c r="B126" s="13" t="str">
        <f>IF(LEN(F126)=3,1,"")</f>
        <v/>
      </c>
      <c r="C126" s="18"/>
      <c r="D126" s="19" t="str">
        <f>IF(Tabela2[[#This Row],[AGRUPADOR]]&lt;&gt;"",VLOOKUP(Tabela2[[#This Row],[AGRUPADOR]],Tabela1[],2,0),"")</f>
        <v/>
      </c>
      <c r="E126" s="19" t="str">
        <f>IF(Tabela2[[#This Row],[AGRUPADOR]]&lt;&gt;"",VLOOKUP(Tabela2[[#This Row],[AGRUPADOR]],Tabela1[],4,0),"")</f>
        <v/>
      </c>
      <c r="F126" s="14"/>
      <c r="G126" s="6"/>
      <c r="H126" s="6"/>
      <c r="I126" s="25">
        <v>1</v>
      </c>
      <c r="J126" s="7"/>
      <c r="K126" s="15" t="str">
        <f>IF(Tabela2[[#This Row],[UNID.]]&lt;&gt;"",S126*(1+$R$2),"")</f>
        <v/>
      </c>
      <c r="L126" s="379">
        <f>IF(H126&lt;&gt;"",J126*K126,SUMIFS(L127:L$9844,$F127:$F$9844,"*"&amp;F126&amp;"*",$H127:$H$9844,"&lt;&gt;"))</f>
        <v>0</v>
      </c>
      <c r="M126" s="379" t="str">
        <f>IF(Tabela2[[#This Row],[UNID.]]&lt;&gt;"",IFERROR(VLOOKUP(Tabela2[[#This Row],[AGRUPADOR]],Lucratividade!$D$4:$O$129,6,0),0),"")</f>
        <v/>
      </c>
      <c r="N126" s="379">
        <f>IF(H126&lt;&gt;"",J126*M126*I126,SUMIFS(N127:N$9844,$F127:$F$9844,"*"&amp;F126&amp;"*",$H127:$H$9844,"&lt;&gt;"))</f>
        <v>0</v>
      </c>
      <c r="O126" s="162" t="str">
        <f>IFERROR((-Tabela2[[#This Row],[CUSTO TOTAL]]+Tabela2[[#This Row],[VENDA TOTAL]])/Tabela2[[#This Row],[VENDA TOTAL]]-PARAMETROS!$C$19,"")</f>
        <v/>
      </c>
      <c r="AA126" s="220">
        <f>SUM(Plan_Orc[[#This Row],[01/jan]:[01/dez]])</f>
        <v>0</v>
      </c>
      <c r="AB126" s="115"/>
      <c r="AC126" s="115"/>
      <c r="AD126" s="115"/>
      <c r="AE126" s="115"/>
      <c r="AF126" s="115"/>
      <c r="AG126" s="115"/>
      <c r="AH126" s="115"/>
      <c r="AI126" s="115"/>
      <c r="AJ126" s="115"/>
      <c r="AK126" s="115"/>
      <c r="AL126" s="115"/>
      <c r="AM126" s="115"/>
    </row>
    <row r="127" spans="2:39" ht="25.2" customHeight="1" x14ac:dyDescent="0.3">
      <c r="B127" s="13" t="str">
        <f t="shared" si="4"/>
        <v/>
      </c>
      <c r="C127" s="18"/>
      <c r="D127" s="19" t="str">
        <f>IF(Tabela2[[#This Row],[AGRUPADOR]]&lt;&gt;"",VLOOKUP(Tabela2[[#This Row],[AGRUPADOR]],Tabela1[],2,0),"")</f>
        <v/>
      </c>
      <c r="E127" s="19" t="str">
        <f>IF(Tabela2[[#This Row],[AGRUPADOR]]&lt;&gt;"",VLOOKUP(Tabela2[[#This Row],[AGRUPADOR]],Tabela1[],4,0),"")</f>
        <v/>
      </c>
      <c r="F127" s="14"/>
      <c r="G127" s="6"/>
      <c r="H127" s="6"/>
      <c r="I127" s="25"/>
      <c r="J127" s="7"/>
      <c r="K127" s="15" t="str">
        <f>IF(Tabela2[[#This Row],[UNID.]]&lt;&gt;"",S127*(1+$R$2),"")</f>
        <v/>
      </c>
      <c r="L127" s="379">
        <f>IF(H127&lt;&gt;"",J127*K127,SUMIFS(L128:L$9844,$F128:$F$9844,"*"&amp;F127&amp;"*",$H128:$H$9844,"&lt;&gt;"))</f>
        <v>0</v>
      </c>
      <c r="M127" s="379" t="str">
        <f>IF(Tabela2[[#This Row],[UNID.]]&lt;&gt;"",IFERROR(VLOOKUP(Tabela2[[#This Row],[AGRUPADOR]],Lucratividade!$D$4:$O$129,6,0),0),"")</f>
        <v/>
      </c>
      <c r="N127" s="379">
        <f>IF(H127&lt;&gt;"",J127*M127*I127,SUMIFS(N128:N$9844,$F128:$F$9844,"*"&amp;F127&amp;"*",$H128:$H$9844,"&lt;&gt;"))</f>
        <v>0</v>
      </c>
      <c r="O127" s="162" t="str">
        <f>IFERROR((-Tabela2[[#This Row],[CUSTO TOTAL]]+Tabela2[[#This Row],[VENDA TOTAL]])/Tabela2[[#This Row],[VENDA TOTAL]]-PARAMETROS!$C$19,"")</f>
        <v/>
      </c>
      <c r="AA127" s="218">
        <f>SUM(Plan_Orc[[#This Row],[01/jan]:[01/dez]])</f>
        <v>0</v>
      </c>
      <c r="AB127" s="113"/>
      <c r="AC127" s="113"/>
      <c r="AD127" s="113"/>
      <c r="AE127" s="113"/>
      <c r="AF127" s="113"/>
      <c r="AG127" s="113"/>
      <c r="AH127" s="113"/>
      <c r="AI127" s="113"/>
      <c r="AJ127" s="113"/>
      <c r="AK127" s="113"/>
      <c r="AL127" s="113"/>
      <c r="AM127" s="113"/>
    </row>
    <row r="128" spans="2:39" ht="25.2" customHeight="1" x14ac:dyDescent="0.3">
      <c r="B128" s="13" t="str">
        <f t="shared" si="4"/>
        <v/>
      </c>
      <c r="C128" s="18"/>
      <c r="D128" s="19" t="str">
        <f>IF(Tabela2[[#This Row],[AGRUPADOR]]&lt;&gt;"",VLOOKUP(Tabela2[[#This Row],[AGRUPADOR]],Tabela1[],2,0),"")</f>
        <v/>
      </c>
      <c r="E128" s="19" t="str">
        <f>IF(Tabela2[[#This Row],[AGRUPADOR]]&lt;&gt;"",VLOOKUP(Tabela2[[#This Row],[AGRUPADOR]],Tabela1[],4,0),"")</f>
        <v/>
      </c>
      <c r="F128" s="14"/>
      <c r="G128" s="6"/>
      <c r="H128" s="6"/>
      <c r="I128" s="25">
        <v>1</v>
      </c>
      <c r="J128" s="7"/>
      <c r="K128" s="15" t="str">
        <f>IF(Tabela2[[#This Row],[UNID.]]&lt;&gt;"",S128*(1+$R$2),"")</f>
        <v/>
      </c>
      <c r="L128" s="379">
        <f>IF(H128&lt;&gt;"",J128*K128,SUMIFS(L129:L$9844,$F129:$F$9844,"*"&amp;F128&amp;"*",$H129:$H$9844,"&lt;&gt;"))</f>
        <v>0</v>
      </c>
      <c r="M128" s="379" t="str">
        <f>IF(Tabela2[[#This Row],[UNID.]]&lt;&gt;"",IFERROR(VLOOKUP(Tabela2[[#This Row],[AGRUPADOR]],Lucratividade!$D$4:$O$129,6,0),0),"")</f>
        <v/>
      </c>
      <c r="N128" s="379">
        <f>IF(H128&lt;&gt;"",J128*M128*I128,SUMIFS(N129:N$9844,$F129:$F$9844,"*"&amp;F128&amp;"*",$H129:$H$9844,"&lt;&gt;"))</f>
        <v>0</v>
      </c>
      <c r="O128" s="162" t="str">
        <f>IFERROR((-Tabela2[[#This Row],[CUSTO TOTAL]]+Tabela2[[#This Row],[VENDA TOTAL]])/Tabela2[[#This Row],[VENDA TOTAL]]-PARAMETROS!$C$19,"")</f>
        <v/>
      </c>
      <c r="AA128" s="219">
        <f>SUM(Plan_Orc[[#This Row],[01/jan]:[01/dez]])</f>
        <v>0</v>
      </c>
      <c r="AB128" s="114"/>
      <c r="AC128" s="114"/>
      <c r="AD128" s="114"/>
      <c r="AE128" s="114"/>
      <c r="AF128" s="114"/>
      <c r="AG128" s="114"/>
      <c r="AH128" s="114"/>
      <c r="AI128" s="114"/>
      <c r="AJ128" s="114"/>
      <c r="AK128" s="114"/>
      <c r="AL128" s="114"/>
      <c r="AM128" s="114"/>
    </row>
    <row r="129" spans="2:39" ht="25.2" customHeight="1" x14ac:dyDescent="0.3">
      <c r="B129" s="13" t="str">
        <f t="shared" si="4"/>
        <v/>
      </c>
      <c r="C129" s="18"/>
      <c r="D129" s="19" t="str">
        <f>IF(Tabela2[[#This Row],[AGRUPADOR]]&lt;&gt;"",VLOOKUP(Tabela2[[#This Row],[AGRUPADOR]],Tabela1[],2,0),"")</f>
        <v/>
      </c>
      <c r="E129" s="19" t="str">
        <f>IF(Tabela2[[#This Row],[AGRUPADOR]]&lt;&gt;"",VLOOKUP(Tabela2[[#This Row],[AGRUPADOR]],Tabela1[],4,0),"")</f>
        <v/>
      </c>
      <c r="F129" s="14"/>
      <c r="G129" s="6"/>
      <c r="H129" s="6"/>
      <c r="I129" s="25">
        <v>1</v>
      </c>
      <c r="J129" s="7"/>
      <c r="K129" s="15" t="str">
        <f>IF(Tabela2[[#This Row],[UNID.]]&lt;&gt;"",S129*(1+$R$2),"")</f>
        <v/>
      </c>
      <c r="L129" s="379">
        <f>IF(H129&lt;&gt;"",J129*K129,SUMIFS(L130:L$9844,$F130:$F$9844,"*"&amp;F129&amp;"*",$H130:$H$9844,"&lt;&gt;"))</f>
        <v>0</v>
      </c>
      <c r="M129" s="379" t="str">
        <f>IF(Tabela2[[#This Row],[UNID.]]&lt;&gt;"",IFERROR(VLOOKUP(Tabela2[[#This Row],[AGRUPADOR]],Lucratividade!$D$4:$O$129,6,0),0),"")</f>
        <v/>
      </c>
      <c r="N129" s="379">
        <f>IF(H129&lt;&gt;"",J129*M129*I129,SUMIFS(N130:N$9844,$F130:$F$9844,"*"&amp;F129&amp;"*",$H130:$H$9844,"&lt;&gt;"))</f>
        <v>0</v>
      </c>
      <c r="O129" s="162" t="str">
        <f>IFERROR((-Tabela2[[#This Row],[CUSTO TOTAL]]+Tabela2[[#This Row],[VENDA TOTAL]])/Tabela2[[#This Row],[VENDA TOTAL]]-PARAMETROS!$C$19,"")</f>
        <v/>
      </c>
      <c r="AA129" s="222">
        <f>SUM(Plan_Orc[[#This Row],[01/jan]:[01/dez]])</f>
        <v>0</v>
      </c>
      <c r="AB129" s="216"/>
      <c r="AC129" s="216"/>
      <c r="AD129" s="216"/>
      <c r="AE129" s="216"/>
      <c r="AF129" s="216"/>
      <c r="AG129" s="216"/>
      <c r="AH129" s="216"/>
      <c r="AI129" s="216"/>
      <c r="AJ129" s="216"/>
      <c r="AK129" s="216"/>
      <c r="AL129" s="216"/>
      <c r="AM129" s="216"/>
    </row>
    <row r="130" spans="2:39" ht="25.2" customHeight="1" x14ac:dyDescent="0.3">
      <c r="B130" s="13" t="str">
        <f t="shared" si="4"/>
        <v/>
      </c>
      <c r="C130" s="18"/>
      <c r="D130" s="19" t="str">
        <f>IF(Tabela2[[#This Row],[AGRUPADOR]]&lt;&gt;"",VLOOKUP(Tabela2[[#This Row],[AGRUPADOR]],Tabela1[],2,0),"")</f>
        <v/>
      </c>
      <c r="E130" s="19" t="str">
        <f>IF(Tabela2[[#This Row],[AGRUPADOR]]&lt;&gt;"",VLOOKUP(Tabela2[[#This Row],[AGRUPADOR]],Tabela1[],4,0),"")</f>
        <v/>
      </c>
      <c r="F130" s="14"/>
      <c r="G130" s="6"/>
      <c r="H130" s="6"/>
      <c r="I130" s="25"/>
      <c r="J130" s="7"/>
      <c r="K130" s="15" t="str">
        <f>IF(Tabela2[[#This Row],[UNID.]]&lt;&gt;"",S130*(1+$R$2),"")</f>
        <v/>
      </c>
      <c r="L130" s="379">
        <f>IF(H130&lt;&gt;"",J130*K130,SUMIFS(L131:L$9844,$F131:$F$9844,"*"&amp;F130&amp;"*",$H131:$H$9844,"&lt;&gt;"))</f>
        <v>0</v>
      </c>
      <c r="M130" s="379" t="str">
        <f>IF(Tabela2[[#This Row],[UNID.]]&lt;&gt;"",IFERROR(VLOOKUP(Tabela2[[#This Row],[AGRUPADOR]],Lucratividade!$D$4:$O$129,6,0),0),"")</f>
        <v/>
      </c>
      <c r="N130" s="379">
        <f>IF(H130&lt;&gt;"",J130*M130*I130,SUMIFS(N131:N$9844,$F131:$F$9844,"*"&amp;F130&amp;"*",$H131:$H$9844,"&lt;&gt;"))</f>
        <v>0</v>
      </c>
      <c r="O130" s="162" t="str">
        <f>IFERROR((-Tabela2[[#This Row],[CUSTO TOTAL]]+Tabela2[[#This Row],[VENDA TOTAL]])/Tabela2[[#This Row],[VENDA TOTAL]]-PARAMETROS!$C$19,"")</f>
        <v/>
      </c>
      <c r="AA130" s="223">
        <f>SUM(Plan_Orc[[#This Row],[01/jan]:[01/dez]])</f>
        <v>0</v>
      </c>
      <c r="AB130" s="114"/>
      <c r="AC130" s="114"/>
      <c r="AD130" s="114"/>
      <c r="AE130" s="114"/>
      <c r="AF130" s="114"/>
      <c r="AG130" s="114"/>
      <c r="AH130" s="114"/>
      <c r="AI130" s="114"/>
      <c r="AJ130" s="114"/>
      <c r="AK130" s="114"/>
      <c r="AL130" s="114"/>
      <c r="AM130" s="114"/>
    </row>
    <row r="131" spans="2:39" ht="25.2" customHeight="1" x14ac:dyDescent="0.3">
      <c r="B131" s="13" t="str">
        <f t="shared" si="4"/>
        <v/>
      </c>
      <c r="C131" s="18"/>
      <c r="D131" s="19" t="str">
        <f>IF(Tabela2[[#This Row],[AGRUPADOR]]&lt;&gt;"",VLOOKUP(Tabela2[[#This Row],[AGRUPADOR]],Tabela1[],2,0),"")</f>
        <v/>
      </c>
      <c r="E131" s="19" t="str">
        <f>IF(Tabela2[[#This Row],[AGRUPADOR]]&lt;&gt;"",VLOOKUP(Tabela2[[#This Row],[AGRUPADOR]],Tabela1[],4,0),"")</f>
        <v/>
      </c>
      <c r="F131" s="14"/>
      <c r="G131" s="6"/>
      <c r="H131" s="6"/>
      <c r="I131" s="25">
        <v>1</v>
      </c>
      <c r="J131" s="7"/>
      <c r="K131" s="15" t="str">
        <f>IF(Tabela2[[#This Row],[UNID.]]&lt;&gt;"",S131*(1+$R$2),"")</f>
        <v/>
      </c>
      <c r="L131" s="379">
        <f>IF(H131&lt;&gt;"",J131*K131,SUMIFS(L132:L$9844,$F132:$F$9844,"*"&amp;F131&amp;"*",$H132:$H$9844,"&lt;&gt;"))</f>
        <v>0</v>
      </c>
      <c r="M131" s="379" t="str">
        <f>IF(Tabela2[[#This Row],[UNID.]]&lt;&gt;"",IFERROR(VLOOKUP(Tabela2[[#This Row],[AGRUPADOR]],Lucratividade!$D$4:$O$129,6,0),0),"")</f>
        <v/>
      </c>
      <c r="N131" s="379">
        <f>IF(H131&lt;&gt;"",J131*M131*I131,SUMIFS(N132:N$9844,$F132:$F$9844,"*"&amp;F131&amp;"*",$H132:$H$9844,"&lt;&gt;"))</f>
        <v>0</v>
      </c>
      <c r="O131" s="162" t="str">
        <f>IFERROR((-Tabela2[[#This Row],[CUSTO TOTAL]]+Tabela2[[#This Row],[VENDA TOTAL]])/Tabela2[[#This Row],[VENDA TOTAL]]-PARAMETROS!$C$19,"")</f>
        <v/>
      </c>
      <c r="AA131" s="217">
        <f>SUM(Plan_Orc[[#This Row],[01/jan]:[01/dez]])</f>
        <v>0</v>
      </c>
      <c r="AB131" s="214"/>
      <c r="AC131" s="214"/>
      <c r="AD131" s="214"/>
      <c r="AE131" s="214"/>
      <c r="AF131" s="214"/>
      <c r="AG131" s="214"/>
      <c r="AH131" s="214"/>
      <c r="AI131" s="214"/>
      <c r="AJ131" s="214"/>
      <c r="AK131" s="214"/>
      <c r="AL131" s="214"/>
      <c r="AM131" s="214"/>
    </row>
    <row r="132" spans="2:39" ht="25.2" customHeight="1" x14ac:dyDescent="0.3">
      <c r="B132" s="13" t="str">
        <f t="shared" ref="B132:B195" si="5">IF(LEN(F132)=3,1,"")</f>
        <v/>
      </c>
      <c r="C132" s="18"/>
      <c r="D132" s="19" t="str">
        <f>IF(Tabela2[[#This Row],[AGRUPADOR]]&lt;&gt;"",VLOOKUP(Tabela2[[#This Row],[AGRUPADOR]],Tabela1[],2,0),"")</f>
        <v/>
      </c>
      <c r="E132" s="19" t="str">
        <f>IF(Tabela2[[#This Row],[AGRUPADOR]]&lt;&gt;"",VLOOKUP(Tabela2[[#This Row],[AGRUPADOR]],Tabela1[],4,0),"")</f>
        <v/>
      </c>
      <c r="F132" s="14"/>
      <c r="G132" s="6"/>
      <c r="H132" s="6"/>
      <c r="I132" s="25">
        <v>1</v>
      </c>
      <c r="J132" s="7"/>
      <c r="K132" s="15" t="str">
        <f>IF(Tabela2[[#This Row],[UNID.]]&lt;&gt;"",S132*(1+$R$2),"")</f>
        <v/>
      </c>
      <c r="L132" s="379">
        <f>IF(H132&lt;&gt;"",J132*K132,SUMIFS(L133:L$9844,$F133:$F$9844,"*"&amp;F132&amp;"*",$H133:$H$9844,"&lt;&gt;"))</f>
        <v>0</v>
      </c>
      <c r="M132" s="379" t="str">
        <f>IF(Tabela2[[#This Row],[UNID.]]&lt;&gt;"",IFERROR(VLOOKUP(Tabela2[[#This Row],[AGRUPADOR]],Lucratividade!$D$4:$O$129,6,0),0),"")</f>
        <v/>
      </c>
      <c r="N132" s="379">
        <f>IF(H132&lt;&gt;"",J132*M132*I132,SUMIFS(N133:N$9844,$F133:$F$9844,"*"&amp;F132&amp;"*",$H133:$H$9844,"&lt;&gt;"))</f>
        <v>0</v>
      </c>
      <c r="O132" s="162" t="str">
        <f>IFERROR((-Tabela2[[#This Row],[CUSTO TOTAL]]+Tabela2[[#This Row],[VENDA TOTAL]])/Tabela2[[#This Row],[VENDA TOTAL]]-PARAMETROS!$C$19,"")</f>
        <v/>
      </c>
      <c r="AA132" s="218">
        <f>SUM(Plan_Orc[[#This Row],[01/jan]:[01/dez]])</f>
        <v>0</v>
      </c>
      <c r="AB132" s="113"/>
      <c r="AC132" s="113"/>
      <c r="AD132" s="113"/>
      <c r="AE132" s="113"/>
      <c r="AF132" s="113"/>
      <c r="AG132" s="113"/>
      <c r="AH132" s="113"/>
      <c r="AI132" s="113"/>
      <c r="AJ132" s="113"/>
      <c r="AK132" s="113"/>
      <c r="AL132" s="113"/>
      <c r="AM132" s="113"/>
    </row>
    <row r="133" spans="2:39" ht="25.2" customHeight="1" x14ac:dyDescent="0.3">
      <c r="B133" s="13" t="str">
        <f t="shared" si="5"/>
        <v/>
      </c>
      <c r="C133" s="18"/>
      <c r="D133" s="19" t="str">
        <f>IF(Tabela2[[#This Row],[AGRUPADOR]]&lt;&gt;"",VLOOKUP(Tabela2[[#This Row],[AGRUPADOR]],Tabela1[],2,0),"")</f>
        <v/>
      </c>
      <c r="E133" s="19" t="str">
        <f>IF(Tabela2[[#This Row],[AGRUPADOR]]&lt;&gt;"",VLOOKUP(Tabela2[[#This Row],[AGRUPADOR]],Tabela1[],4,0),"")</f>
        <v/>
      </c>
      <c r="F133" s="14"/>
      <c r="G133" s="6"/>
      <c r="H133" s="6"/>
      <c r="I133" s="25"/>
      <c r="J133" s="7"/>
      <c r="K133" s="15" t="str">
        <f>IF(Tabela2[[#This Row],[UNID.]]&lt;&gt;"",S133*(1+$R$2),"")</f>
        <v/>
      </c>
      <c r="L133" s="379">
        <f>IF(H133&lt;&gt;"",J133*K133,SUMIFS(L134:L$9844,$F134:$F$9844,"*"&amp;F133&amp;"*",$H134:$H$9844,"&lt;&gt;"))</f>
        <v>0</v>
      </c>
      <c r="M133" s="379" t="str">
        <f>IF(Tabela2[[#This Row],[UNID.]]&lt;&gt;"",IFERROR(VLOOKUP(Tabela2[[#This Row],[AGRUPADOR]],Lucratividade!$D$4:$O$129,6,0),0),"")</f>
        <v/>
      </c>
      <c r="N133" s="379">
        <f>IF(H133&lt;&gt;"",J133*M133*I133,SUMIFS(N134:N$9844,$F134:$F$9844,"*"&amp;F133&amp;"*",$H134:$H$9844,"&lt;&gt;"))</f>
        <v>0</v>
      </c>
      <c r="O133" s="162" t="str">
        <f>IFERROR((-Tabela2[[#This Row],[CUSTO TOTAL]]+Tabela2[[#This Row],[VENDA TOTAL]])/Tabela2[[#This Row],[VENDA TOTAL]]-PARAMETROS!$C$19,"")</f>
        <v/>
      </c>
      <c r="AA133" s="219">
        <f>SUM(Plan_Orc[[#This Row],[01/jan]:[01/dez]])</f>
        <v>0</v>
      </c>
      <c r="AB133" s="114"/>
      <c r="AC133" s="114"/>
      <c r="AD133" s="114"/>
      <c r="AE133" s="114"/>
      <c r="AF133" s="114"/>
      <c r="AG133" s="114"/>
      <c r="AH133" s="114"/>
      <c r="AI133" s="114"/>
      <c r="AJ133" s="114"/>
      <c r="AK133" s="114"/>
      <c r="AL133" s="114"/>
      <c r="AM133" s="114"/>
    </row>
    <row r="134" spans="2:39" ht="25.2" customHeight="1" x14ac:dyDescent="0.3">
      <c r="B134" s="13" t="str">
        <f t="shared" si="5"/>
        <v/>
      </c>
      <c r="C134" s="18"/>
      <c r="D134" s="19" t="str">
        <f>IF(Tabela2[[#This Row],[AGRUPADOR]]&lt;&gt;"",VLOOKUP(Tabela2[[#This Row],[AGRUPADOR]],Tabela1[],2,0),"")</f>
        <v/>
      </c>
      <c r="E134" s="19" t="str">
        <f>IF(Tabela2[[#This Row],[AGRUPADOR]]&lt;&gt;"",VLOOKUP(Tabela2[[#This Row],[AGRUPADOR]],Tabela1[],4,0),"")</f>
        <v/>
      </c>
      <c r="F134" s="14"/>
      <c r="G134" s="6"/>
      <c r="H134" s="6"/>
      <c r="I134" s="25">
        <v>1</v>
      </c>
      <c r="J134" s="7"/>
      <c r="K134" s="15" t="str">
        <f>IF(Tabela2[[#This Row],[UNID.]]&lt;&gt;"",S134*(1+$R$2),"")</f>
        <v/>
      </c>
      <c r="L134" s="379">
        <f>IF(H134&lt;&gt;"",J134*K134,SUMIFS(L135:L$9844,$F135:$F$9844,"*"&amp;F134&amp;"*",$H135:$H$9844,"&lt;&gt;"))</f>
        <v>0</v>
      </c>
      <c r="M134" s="379" t="str">
        <f>IF(Tabela2[[#This Row],[UNID.]]&lt;&gt;"",IFERROR(VLOOKUP(Tabela2[[#This Row],[AGRUPADOR]],Lucratividade!$D$4:$O$129,6,0),0),"")</f>
        <v/>
      </c>
      <c r="N134" s="379">
        <f>IF(H134&lt;&gt;"",J134*M134*I134,SUMIFS(N135:N$9844,$F135:$F$9844,"*"&amp;F134&amp;"*",$H135:$H$9844,"&lt;&gt;"))</f>
        <v>0</v>
      </c>
      <c r="O134" s="162" t="str">
        <f>IFERROR((-Tabela2[[#This Row],[CUSTO TOTAL]]+Tabela2[[#This Row],[VENDA TOTAL]])/Tabela2[[#This Row],[VENDA TOTAL]]-PARAMETROS!$C$19,"")</f>
        <v/>
      </c>
      <c r="AA134" s="217">
        <f>SUM(Plan_Orc[[#This Row],[01/jan]:[01/dez]])</f>
        <v>0</v>
      </c>
      <c r="AB134" s="214"/>
      <c r="AC134" s="214"/>
      <c r="AD134" s="214"/>
      <c r="AE134" s="214"/>
      <c r="AF134" s="214"/>
      <c r="AG134" s="214"/>
      <c r="AH134" s="214"/>
      <c r="AI134" s="214"/>
      <c r="AJ134" s="214"/>
      <c r="AK134" s="214"/>
      <c r="AL134" s="214"/>
      <c r="AM134" s="214"/>
    </row>
    <row r="135" spans="2:39" ht="25.2" customHeight="1" x14ac:dyDescent="0.3">
      <c r="B135" s="13" t="str">
        <f t="shared" si="5"/>
        <v/>
      </c>
      <c r="C135" s="18"/>
      <c r="D135" s="19" t="str">
        <f>IF(Tabela2[[#This Row],[AGRUPADOR]]&lt;&gt;"",VLOOKUP(Tabela2[[#This Row],[AGRUPADOR]],Tabela1[],2,0),"")</f>
        <v/>
      </c>
      <c r="E135" s="19" t="str">
        <f>IF(Tabela2[[#This Row],[AGRUPADOR]]&lt;&gt;"",VLOOKUP(Tabela2[[#This Row],[AGRUPADOR]],Tabela1[],4,0),"")</f>
        <v/>
      </c>
      <c r="F135" s="14"/>
      <c r="G135" s="6"/>
      <c r="H135" s="6"/>
      <c r="I135" s="25"/>
      <c r="J135" s="7"/>
      <c r="K135" s="15" t="str">
        <f>IF(Tabela2[[#This Row],[UNID.]]&lt;&gt;"",S135*(1+$R$2),"")</f>
        <v/>
      </c>
      <c r="L135" s="379">
        <f>IF(H135&lt;&gt;"",J135*K135,SUMIFS(L136:L$9844,$F136:$F$9844,"*"&amp;F135&amp;"*",$H136:$H$9844,"&lt;&gt;"))</f>
        <v>0</v>
      </c>
      <c r="M135" s="379" t="str">
        <f>IF(Tabela2[[#This Row],[UNID.]]&lt;&gt;"",IFERROR(VLOOKUP(Tabela2[[#This Row],[AGRUPADOR]],Lucratividade!$D$4:$O$129,6,0),0),"")</f>
        <v/>
      </c>
      <c r="N135" s="379">
        <f>IF(H135&lt;&gt;"",J135*M135*I135,SUMIFS(N136:N$9844,$F136:$F$9844,"*"&amp;F135&amp;"*",$H136:$H$9844,"&lt;&gt;"))</f>
        <v>0</v>
      </c>
      <c r="O135" s="162" t="str">
        <f>IFERROR((-Tabela2[[#This Row],[CUSTO TOTAL]]+Tabela2[[#This Row],[VENDA TOTAL]])/Tabela2[[#This Row],[VENDA TOTAL]]-PARAMETROS!$C$19,"")</f>
        <v/>
      </c>
      <c r="AA135" s="218">
        <f>SUM(Plan_Orc[[#This Row],[01/jan]:[01/dez]])</f>
        <v>0</v>
      </c>
      <c r="AB135" s="113"/>
      <c r="AC135" s="113"/>
      <c r="AD135" s="113"/>
      <c r="AE135" s="113"/>
      <c r="AF135" s="113"/>
      <c r="AG135" s="113"/>
      <c r="AH135" s="113"/>
      <c r="AI135" s="113"/>
      <c r="AJ135" s="113"/>
      <c r="AK135" s="113"/>
      <c r="AL135" s="113"/>
      <c r="AM135" s="113"/>
    </row>
    <row r="136" spans="2:39" ht="25.2" customHeight="1" x14ac:dyDescent="0.3">
      <c r="B136" s="13" t="str">
        <f t="shared" si="5"/>
        <v/>
      </c>
      <c r="C136" s="18"/>
      <c r="D136" s="19" t="str">
        <f>IF(Tabela2[[#This Row],[AGRUPADOR]]&lt;&gt;"",VLOOKUP(Tabela2[[#This Row],[AGRUPADOR]],Tabela1[],2,0),"")</f>
        <v/>
      </c>
      <c r="E136" s="19" t="str">
        <f>IF(Tabela2[[#This Row],[AGRUPADOR]]&lt;&gt;"",VLOOKUP(Tabela2[[#This Row],[AGRUPADOR]],Tabela1[],4,0),"")</f>
        <v/>
      </c>
      <c r="F136" s="14"/>
      <c r="G136" s="6"/>
      <c r="H136" s="6"/>
      <c r="I136" s="25">
        <v>1</v>
      </c>
      <c r="J136" s="7"/>
      <c r="K136" s="15" t="str">
        <f>IF(Tabela2[[#This Row],[UNID.]]&lt;&gt;"",S136*(1+$R$2),"")</f>
        <v/>
      </c>
      <c r="L136" s="379">
        <f>IF(H136&lt;&gt;"",J136*K136,SUMIFS(L137:L$9844,$F137:$F$9844,"*"&amp;F136&amp;"*",$H137:$H$9844,"&lt;&gt;"))</f>
        <v>0</v>
      </c>
      <c r="M136" s="379" t="str">
        <f>IF(Tabela2[[#This Row],[UNID.]]&lt;&gt;"",IFERROR(VLOOKUP(Tabela2[[#This Row],[AGRUPADOR]],Lucratividade!$D$4:$O$129,6,0),0),"")</f>
        <v/>
      </c>
      <c r="N136" s="379">
        <f>IF(H136&lt;&gt;"",J136*M136*I136,SUMIFS(N137:N$9844,$F137:$F$9844,"*"&amp;F136&amp;"*",$H137:$H$9844,"&lt;&gt;"))</f>
        <v>0</v>
      </c>
      <c r="O136" s="162" t="str">
        <f>IFERROR((-Tabela2[[#This Row],[CUSTO TOTAL]]+Tabela2[[#This Row],[VENDA TOTAL]])/Tabela2[[#This Row],[VENDA TOTAL]]-PARAMETROS!$C$19,"")</f>
        <v/>
      </c>
      <c r="AA136" s="219">
        <f>SUM(Plan_Orc[[#This Row],[01/jan]:[01/dez]])</f>
        <v>0</v>
      </c>
      <c r="AB136" s="114"/>
      <c r="AC136" s="114"/>
      <c r="AD136" s="114"/>
      <c r="AE136" s="114"/>
      <c r="AF136" s="114"/>
      <c r="AG136" s="114"/>
      <c r="AH136" s="114"/>
      <c r="AI136" s="114"/>
      <c r="AJ136" s="114"/>
      <c r="AK136" s="114"/>
      <c r="AL136" s="114"/>
      <c r="AM136" s="114"/>
    </row>
    <row r="137" spans="2:39" ht="25.2" customHeight="1" x14ac:dyDescent="0.3">
      <c r="B137" s="13" t="str">
        <f t="shared" si="5"/>
        <v/>
      </c>
      <c r="C137" s="18"/>
      <c r="D137" s="19" t="str">
        <f>IF(Tabela2[[#This Row],[AGRUPADOR]]&lt;&gt;"",VLOOKUP(Tabela2[[#This Row],[AGRUPADOR]],Tabela1[],2,0),"")</f>
        <v/>
      </c>
      <c r="E137" s="19" t="str">
        <f>IF(Tabela2[[#This Row],[AGRUPADOR]]&lt;&gt;"",VLOOKUP(Tabela2[[#This Row],[AGRUPADOR]],Tabela1[],4,0),"")</f>
        <v/>
      </c>
      <c r="F137" s="14"/>
      <c r="G137" s="6"/>
      <c r="H137" s="6"/>
      <c r="I137" s="25">
        <v>1</v>
      </c>
      <c r="J137" s="7"/>
      <c r="K137" s="15" t="str">
        <f>IF(Tabela2[[#This Row],[UNID.]]&lt;&gt;"",S137*(1+$R$2),"")</f>
        <v/>
      </c>
      <c r="L137" s="379">
        <f>IF(H137&lt;&gt;"",J137*K137,SUMIFS(L138:L$9844,$F138:$F$9844,"*"&amp;F137&amp;"*",$H138:$H$9844,"&lt;&gt;"))</f>
        <v>0</v>
      </c>
      <c r="M137" s="379" t="str">
        <f>IF(Tabela2[[#This Row],[UNID.]]&lt;&gt;"",IFERROR(VLOOKUP(Tabela2[[#This Row],[AGRUPADOR]],Lucratividade!$D$4:$O$129,6,0),0),"")</f>
        <v/>
      </c>
      <c r="N137" s="379">
        <f>IF(H137&lt;&gt;"",J137*M137*I137,SUMIFS(N138:N$9844,$F138:$F$9844,"*"&amp;F137&amp;"*",$H138:$H$9844,"&lt;&gt;"))</f>
        <v>0</v>
      </c>
      <c r="O137" s="162" t="str">
        <f>IFERROR((-Tabela2[[#This Row],[CUSTO TOTAL]]+Tabela2[[#This Row],[VENDA TOTAL]])/Tabela2[[#This Row],[VENDA TOTAL]]-PARAMETROS!$C$19,"")</f>
        <v/>
      </c>
      <c r="AA137" s="219">
        <f>SUM(Plan_Orc[[#This Row],[01/jan]:[01/dez]])</f>
        <v>0</v>
      </c>
      <c r="AB137" s="114"/>
      <c r="AC137" s="114"/>
      <c r="AD137" s="114"/>
      <c r="AE137" s="114"/>
      <c r="AF137" s="114"/>
      <c r="AG137" s="114"/>
      <c r="AH137" s="114"/>
      <c r="AI137" s="114"/>
      <c r="AJ137" s="114"/>
      <c r="AK137" s="114"/>
      <c r="AL137" s="114"/>
      <c r="AM137" s="114"/>
    </row>
    <row r="138" spans="2:39" ht="25.2" customHeight="1" x14ac:dyDescent="0.3">
      <c r="B138" s="13" t="str">
        <f t="shared" si="5"/>
        <v/>
      </c>
      <c r="C138" s="18"/>
      <c r="D138" s="19" t="str">
        <f>IF(Tabela2[[#This Row],[AGRUPADOR]]&lt;&gt;"",VLOOKUP(Tabela2[[#This Row],[AGRUPADOR]],Tabela1[],2,0),"")</f>
        <v/>
      </c>
      <c r="E138" s="19" t="str">
        <f>IF(Tabela2[[#This Row],[AGRUPADOR]]&lt;&gt;"",VLOOKUP(Tabela2[[#This Row],[AGRUPADOR]],Tabela1[],4,0),"")</f>
        <v/>
      </c>
      <c r="F138" s="14"/>
      <c r="G138" s="6"/>
      <c r="H138" s="6"/>
      <c r="I138" s="25"/>
      <c r="J138" s="7"/>
      <c r="K138" s="15" t="str">
        <f>IF(Tabela2[[#This Row],[UNID.]]&lt;&gt;"",S138*(1+$R$2),"")</f>
        <v/>
      </c>
      <c r="L138" s="379">
        <f>IF(H138&lt;&gt;"",J138*K138,SUMIFS(L139:L$9844,$F139:$F$9844,"*"&amp;F138&amp;"*",$H139:$H$9844,"&lt;&gt;"))</f>
        <v>0</v>
      </c>
      <c r="M138" s="379" t="str">
        <f>IF(Tabela2[[#This Row],[UNID.]]&lt;&gt;"",IFERROR(VLOOKUP(Tabela2[[#This Row],[AGRUPADOR]],Lucratividade!$D$4:$O$129,6,0),0),"")</f>
        <v/>
      </c>
      <c r="N138" s="379">
        <f>IF(H138&lt;&gt;"",J138*M138*I138,SUMIFS(N139:N$9844,$F139:$F$9844,"*"&amp;F138&amp;"*",$H139:$H$9844,"&lt;&gt;"))</f>
        <v>0</v>
      </c>
      <c r="O138" s="162" t="str">
        <f>IFERROR((-Tabela2[[#This Row],[CUSTO TOTAL]]+Tabela2[[#This Row],[VENDA TOTAL]])/Tabela2[[#This Row],[VENDA TOTAL]]-PARAMETROS!$C$19,"")</f>
        <v/>
      </c>
      <c r="AA138" s="219">
        <f>SUM(Plan_Orc[[#This Row],[01/jan]:[01/dez]])</f>
        <v>0</v>
      </c>
      <c r="AB138" s="114"/>
      <c r="AC138" s="114"/>
      <c r="AD138" s="114"/>
      <c r="AE138" s="114"/>
      <c r="AF138" s="114"/>
      <c r="AG138" s="114"/>
      <c r="AH138" s="114"/>
      <c r="AI138" s="114"/>
      <c r="AJ138" s="114"/>
      <c r="AK138" s="114"/>
      <c r="AL138" s="114"/>
      <c r="AM138" s="114"/>
    </row>
    <row r="139" spans="2:39" ht="25.2" customHeight="1" x14ac:dyDescent="0.3">
      <c r="B139" s="13" t="str">
        <f t="shared" si="5"/>
        <v/>
      </c>
      <c r="C139" s="18"/>
      <c r="D139" s="19" t="str">
        <f>IF(Tabela2[[#This Row],[AGRUPADOR]]&lt;&gt;"",VLOOKUP(Tabela2[[#This Row],[AGRUPADOR]],Tabela1[],2,0),"")</f>
        <v/>
      </c>
      <c r="E139" s="19" t="str">
        <f>IF(Tabela2[[#This Row],[AGRUPADOR]]&lt;&gt;"",VLOOKUP(Tabela2[[#This Row],[AGRUPADOR]],Tabela1[],4,0),"")</f>
        <v/>
      </c>
      <c r="F139" s="14"/>
      <c r="G139" s="6"/>
      <c r="H139" s="6"/>
      <c r="I139" s="25">
        <v>1</v>
      </c>
      <c r="J139" s="7"/>
      <c r="K139" s="15" t="str">
        <f>IF(Tabela2[[#This Row],[UNID.]]&lt;&gt;"",S139*(1+$R$2),"")</f>
        <v/>
      </c>
      <c r="L139" s="379">
        <f>IF(H139&lt;&gt;"",J139*K139,SUMIFS(L140:L$9844,$F140:$F$9844,"*"&amp;F139&amp;"*",$H140:$H$9844,"&lt;&gt;"))</f>
        <v>0</v>
      </c>
      <c r="M139" s="379" t="str">
        <f>IF(Tabela2[[#This Row],[UNID.]]&lt;&gt;"",IFERROR(VLOOKUP(Tabela2[[#This Row],[AGRUPADOR]],Lucratividade!$D$4:$O$129,6,0),0),"")</f>
        <v/>
      </c>
      <c r="N139" s="379">
        <f>IF(H139&lt;&gt;"",J139*M139*I139,SUMIFS(N140:N$9844,$F140:$F$9844,"*"&amp;F139&amp;"*",$H140:$H$9844,"&lt;&gt;"))</f>
        <v>0</v>
      </c>
      <c r="O139" s="162" t="str">
        <f>IFERROR((-Tabela2[[#This Row],[CUSTO TOTAL]]+Tabela2[[#This Row],[VENDA TOTAL]])/Tabela2[[#This Row],[VENDA TOTAL]]-PARAMETROS!$C$19,"")</f>
        <v/>
      </c>
      <c r="AA139" s="219">
        <f>SUM(Plan_Orc[[#This Row],[01/jan]:[01/dez]])</f>
        <v>0</v>
      </c>
      <c r="AB139" s="114"/>
      <c r="AC139" s="114"/>
      <c r="AD139" s="114"/>
      <c r="AE139" s="114"/>
      <c r="AF139" s="114"/>
      <c r="AG139" s="114"/>
      <c r="AH139" s="114"/>
      <c r="AI139" s="114"/>
      <c r="AJ139" s="114"/>
      <c r="AK139" s="114"/>
      <c r="AL139" s="114"/>
      <c r="AM139" s="114"/>
    </row>
    <row r="140" spans="2:39" ht="25.2" customHeight="1" x14ac:dyDescent="0.3">
      <c r="B140" s="13" t="str">
        <f t="shared" si="5"/>
        <v/>
      </c>
      <c r="C140" s="18"/>
      <c r="D140" s="19" t="str">
        <f>IF(Tabela2[[#This Row],[AGRUPADOR]]&lt;&gt;"",VLOOKUP(Tabela2[[#This Row],[AGRUPADOR]],Tabela1[],2,0),"")</f>
        <v/>
      </c>
      <c r="E140" s="19" t="str">
        <f>IF(Tabela2[[#This Row],[AGRUPADOR]]&lt;&gt;"",VLOOKUP(Tabela2[[#This Row],[AGRUPADOR]],Tabela1[],4,0),"")</f>
        <v/>
      </c>
      <c r="F140" s="14"/>
      <c r="G140" s="6"/>
      <c r="H140" s="6"/>
      <c r="I140" s="25">
        <v>1</v>
      </c>
      <c r="J140" s="7"/>
      <c r="K140" s="15" t="str">
        <f>IF(Tabela2[[#This Row],[UNID.]]&lt;&gt;"",S140*(1+$R$2),"")</f>
        <v/>
      </c>
      <c r="L140" s="379">
        <f>IF(H140&lt;&gt;"",J140*K140,SUMIFS(L141:L$9844,$F141:$F$9844,"*"&amp;F140&amp;"*",$H141:$H$9844,"&lt;&gt;"))</f>
        <v>0</v>
      </c>
      <c r="M140" s="379" t="str">
        <f>IF(Tabela2[[#This Row],[UNID.]]&lt;&gt;"",IFERROR(VLOOKUP(Tabela2[[#This Row],[AGRUPADOR]],Lucratividade!$D$4:$O$129,6,0),0),"")</f>
        <v/>
      </c>
      <c r="N140" s="379">
        <f>IF(H140&lt;&gt;"",J140*M140*I140,SUMIFS(N141:N$9844,$F141:$F$9844,"*"&amp;F140&amp;"*",$H141:$H$9844,"&lt;&gt;"))</f>
        <v>0</v>
      </c>
      <c r="O140" s="162" t="str">
        <f>IFERROR((-Tabela2[[#This Row],[CUSTO TOTAL]]+Tabela2[[#This Row],[VENDA TOTAL]])/Tabela2[[#This Row],[VENDA TOTAL]]-PARAMETROS!$C$19,"")</f>
        <v/>
      </c>
      <c r="AA140" s="219">
        <f>SUM(Plan_Orc[[#This Row],[01/jan]:[01/dez]])</f>
        <v>0</v>
      </c>
      <c r="AB140" s="114"/>
      <c r="AC140" s="114"/>
      <c r="AD140" s="114"/>
      <c r="AE140" s="114"/>
      <c r="AF140" s="114"/>
      <c r="AG140" s="114"/>
      <c r="AH140" s="114"/>
      <c r="AI140" s="114"/>
      <c r="AJ140" s="114"/>
      <c r="AK140" s="114"/>
      <c r="AL140" s="114"/>
      <c r="AM140" s="114"/>
    </row>
    <row r="141" spans="2:39" ht="25.2" customHeight="1" x14ac:dyDescent="0.3">
      <c r="B141" s="13" t="str">
        <f t="shared" si="5"/>
        <v/>
      </c>
      <c r="C141" s="18"/>
      <c r="D141" s="19" t="str">
        <f>IF(Tabela2[[#This Row],[AGRUPADOR]]&lt;&gt;"",VLOOKUP(Tabela2[[#This Row],[AGRUPADOR]],Tabela1[],2,0),"")</f>
        <v/>
      </c>
      <c r="E141" s="19" t="str">
        <f>IF(Tabela2[[#This Row],[AGRUPADOR]]&lt;&gt;"",VLOOKUP(Tabela2[[#This Row],[AGRUPADOR]],Tabela1[],4,0),"")</f>
        <v/>
      </c>
      <c r="F141" s="14"/>
      <c r="G141" s="6"/>
      <c r="H141" s="6"/>
      <c r="I141" s="25"/>
      <c r="J141" s="7"/>
      <c r="K141" s="15" t="str">
        <f>IF(Tabela2[[#This Row],[UNID.]]&lt;&gt;"",S141*(1+$R$2),"")</f>
        <v/>
      </c>
      <c r="L141" s="379">
        <f>IF(H141&lt;&gt;"",J141*K141,SUMIFS(L142:L$9844,$F142:$F$9844,"*"&amp;F141&amp;"*",$H142:$H$9844,"&lt;&gt;"))</f>
        <v>0</v>
      </c>
      <c r="M141" s="379" t="str">
        <f>IF(Tabela2[[#This Row],[UNID.]]&lt;&gt;"",IFERROR(VLOOKUP(Tabela2[[#This Row],[AGRUPADOR]],Lucratividade!$D$4:$O$129,6,0),0),"")</f>
        <v/>
      </c>
      <c r="N141" s="379">
        <f>IF(H141&lt;&gt;"",J141*M141*I141,SUMIFS(N142:N$9844,$F142:$F$9844,"*"&amp;F141&amp;"*",$H142:$H$9844,"&lt;&gt;"))</f>
        <v>0</v>
      </c>
      <c r="O141" s="162" t="str">
        <f>IFERROR((-Tabela2[[#This Row],[CUSTO TOTAL]]+Tabela2[[#This Row],[VENDA TOTAL]])/Tabela2[[#This Row],[VENDA TOTAL]]-PARAMETROS!$C$19,"")</f>
        <v/>
      </c>
      <c r="AA141" s="219">
        <f>SUM(Plan_Orc[[#This Row],[01/jan]:[01/dez]])</f>
        <v>0</v>
      </c>
      <c r="AB141" s="114"/>
      <c r="AC141" s="114"/>
      <c r="AD141" s="114"/>
      <c r="AE141" s="114"/>
      <c r="AF141" s="114"/>
      <c r="AG141" s="114"/>
      <c r="AH141" s="114"/>
      <c r="AI141" s="114"/>
      <c r="AJ141" s="114"/>
      <c r="AK141" s="114"/>
      <c r="AL141" s="114"/>
      <c r="AM141" s="114"/>
    </row>
    <row r="142" spans="2:39" ht="25.2" customHeight="1" x14ac:dyDescent="0.3">
      <c r="B142" s="13" t="str">
        <f t="shared" si="5"/>
        <v/>
      </c>
      <c r="C142" s="18"/>
      <c r="D142" s="19" t="str">
        <f>IF(Tabela2[[#This Row],[AGRUPADOR]]&lt;&gt;"",VLOOKUP(Tabela2[[#This Row],[AGRUPADOR]],Tabela1[],2,0),"")</f>
        <v/>
      </c>
      <c r="E142" s="19" t="str">
        <f>IF(Tabela2[[#This Row],[AGRUPADOR]]&lt;&gt;"",VLOOKUP(Tabela2[[#This Row],[AGRUPADOR]],Tabela1[],4,0),"")</f>
        <v/>
      </c>
      <c r="F142" s="14"/>
      <c r="G142" s="6"/>
      <c r="H142" s="6"/>
      <c r="I142" s="25"/>
      <c r="J142" s="7"/>
      <c r="K142" s="15" t="str">
        <f>IF(Tabela2[[#This Row],[UNID.]]&lt;&gt;"",S142*(1+$R$2),"")</f>
        <v/>
      </c>
      <c r="L142" s="379">
        <f>IF(H142&lt;&gt;"",J142*K142,SUMIFS(L143:L$9844,$F143:$F$9844,"*"&amp;F142&amp;"*",$H143:$H$9844,"&lt;&gt;"))</f>
        <v>0</v>
      </c>
      <c r="M142" s="379" t="str">
        <f>IF(Tabela2[[#This Row],[UNID.]]&lt;&gt;"",IFERROR(VLOOKUP(Tabela2[[#This Row],[AGRUPADOR]],Lucratividade!$D$4:$O$129,6,0),0),"")</f>
        <v/>
      </c>
      <c r="N142" s="379">
        <f>IF(H142&lt;&gt;"",J142*M142*I142,SUMIFS(N143:N$9844,$F143:$F$9844,"*"&amp;F142&amp;"*",$H143:$H$9844,"&lt;&gt;"))</f>
        <v>0</v>
      </c>
      <c r="O142" s="162" t="str">
        <f>IFERROR((-Tabela2[[#This Row],[CUSTO TOTAL]]+Tabela2[[#This Row],[VENDA TOTAL]])/Tabela2[[#This Row],[VENDA TOTAL]]-PARAMETROS!$C$19,"")</f>
        <v/>
      </c>
      <c r="AA142" s="219">
        <f>SUM(Plan_Orc[[#This Row],[01/jan]:[01/dez]])</f>
        <v>0</v>
      </c>
      <c r="AB142" s="114"/>
      <c r="AC142" s="114"/>
      <c r="AD142" s="114"/>
      <c r="AE142" s="114"/>
      <c r="AF142" s="114"/>
      <c r="AG142" s="114"/>
      <c r="AH142" s="114"/>
      <c r="AI142" s="114"/>
      <c r="AJ142" s="114"/>
      <c r="AK142" s="114"/>
      <c r="AL142" s="114"/>
      <c r="AM142" s="114"/>
    </row>
    <row r="143" spans="2:39" ht="25.2" customHeight="1" x14ac:dyDescent="0.3">
      <c r="B143" s="13" t="str">
        <f t="shared" si="5"/>
        <v/>
      </c>
      <c r="C143" s="18"/>
      <c r="D143" s="19" t="str">
        <f>IF(Tabela2[[#This Row],[AGRUPADOR]]&lt;&gt;"",VLOOKUP(Tabela2[[#This Row],[AGRUPADOR]],Tabela1[],2,0),"")</f>
        <v/>
      </c>
      <c r="E143" s="19" t="str">
        <f>IF(Tabela2[[#This Row],[AGRUPADOR]]&lt;&gt;"",VLOOKUP(Tabela2[[#This Row],[AGRUPADOR]],Tabela1[],4,0),"")</f>
        <v/>
      </c>
      <c r="F143" s="14"/>
      <c r="G143" s="6"/>
      <c r="H143" s="6"/>
      <c r="I143" s="25"/>
      <c r="J143" s="7"/>
      <c r="K143" s="15" t="str">
        <f>IF(Tabela2[[#This Row],[UNID.]]&lt;&gt;"",S143*(1+$R$2),"")</f>
        <v/>
      </c>
      <c r="L143" s="379">
        <f>IF(H143&lt;&gt;"",J143*K143,SUMIFS(L144:L$9844,$F144:$F$9844,"*"&amp;F143&amp;"*",$H144:$H$9844,"&lt;&gt;"))</f>
        <v>0</v>
      </c>
      <c r="M143" s="379" t="str">
        <f>IF(Tabela2[[#This Row],[UNID.]]&lt;&gt;"",IFERROR(VLOOKUP(Tabela2[[#This Row],[AGRUPADOR]],Lucratividade!$D$4:$O$129,6,0),0),"")</f>
        <v/>
      </c>
      <c r="N143" s="379">
        <f>IF(H143&lt;&gt;"",J143*M143*I143,SUMIFS(N144:N$9844,$F144:$F$9844,"*"&amp;F143&amp;"*",$H144:$H$9844,"&lt;&gt;"))</f>
        <v>0</v>
      </c>
      <c r="O143" s="162" t="str">
        <f>IFERROR((-Tabela2[[#This Row],[CUSTO TOTAL]]+Tabela2[[#This Row],[VENDA TOTAL]])/Tabela2[[#This Row],[VENDA TOTAL]]-PARAMETROS!$C$19,"")</f>
        <v/>
      </c>
      <c r="AA143" s="219">
        <f>SUM(Plan_Orc[[#This Row],[01/jan]:[01/dez]])</f>
        <v>0</v>
      </c>
      <c r="AB143" s="114"/>
      <c r="AC143" s="114"/>
      <c r="AD143" s="114"/>
      <c r="AE143" s="114"/>
      <c r="AF143" s="114"/>
      <c r="AG143" s="114"/>
      <c r="AH143" s="114"/>
      <c r="AI143" s="114"/>
      <c r="AJ143" s="114"/>
      <c r="AK143" s="114"/>
      <c r="AL143" s="114"/>
      <c r="AM143" s="114"/>
    </row>
    <row r="144" spans="2:39" ht="25.2" customHeight="1" x14ac:dyDescent="0.3">
      <c r="B144" s="13" t="str">
        <f t="shared" si="5"/>
        <v/>
      </c>
      <c r="C144" s="18"/>
      <c r="D144" s="19" t="str">
        <f>IF(Tabela2[[#This Row],[AGRUPADOR]]&lt;&gt;"",VLOOKUP(Tabela2[[#This Row],[AGRUPADOR]],Tabela1[],2,0),"")</f>
        <v/>
      </c>
      <c r="E144" s="19" t="str">
        <f>IF(Tabela2[[#This Row],[AGRUPADOR]]&lt;&gt;"",VLOOKUP(Tabela2[[#This Row],[AGRUPADOR]],Tabela1[],4,0),"")</f>
        <v/>
      </c>
      <c r="F144" s="14"/>
      <c r="G144" s="6"/>
      <c r="H144" s="6"/>
      <c r="I144" s="25"/>
      <c r="J144" s="7"/>
      <c r="K144" s="15" t="str">
        <f>IF(Tabela2[[#This Row],[UNID.]]&lt;&gt;"",S144*(1+$R$2),"")</f>
        <v/>
      </c>
      <c r="L144" s="379">
        <f>IF(H144&lt;&gt;"",J144*K144,SUMIFS(L145:L$9844,$F145:$F$9844,"*"&amp;F144&amp;"*",$H145:$H$9844,"&lt;&gt;"))</f>
        <v>0</v>
      </c>
      <c r="M144" s="379" t="str">
        <f>IF(Tabela2[[#This Row],[UNID.]]&lt;&gt;"",IFERROR(VLOOKUP(Tabela2[[#This Row],[AGRUPADOR]],Lucratividade!$D$4:$O$129,6,0),0),"")</f>
        <v/>
      </c>
      <c r="N144" s="379">
        <f>IF(H144&lt;&gt;"",J144*M144*I144,SUMIFS(N145:N$9844,$F145:$F$9844,"*"&amp;F144&amp;"*",$H145:$H$9844,"&lt;&gt;"))</f>
        <v>0</v>
      </c>
      <c r="O144" s="162" t="str">
        <f>IFERROR((-Tabela2[[#This Row],[CUSTO TOTAL]]+Tabela2[[#This Row],[VENDA TOTAL]])/Tabela2[[#This Row],[VENDA TOTAL]]-PARAMETROS!$C$19,"")</f>
        <v/>
      </c>
      <c r="AA144" s="219">
        <f>SUM(Plan_Orc[[#This Row],[01/jan]:[01/dez]])</f>
        <v>0</v>
      </c>
      <c r="AB144" s="114"/>
      <c r="AC144" s="114"/>
      <c r="AD144" s="114"/>
      <c r="AE144" s="114"/>
      <c r="AF144" s="114"/>
      <c r="AG144" s="114"/>
      <c r="AH144" s="114"/>
      <c r="AI144" s="114"/>
      <c r="AJ144" s="114"/>
      <c r="AK144" s="114"/>
      <c r="AL144" s="114"/>
      <c r="AM144" s="114"/>
    </row>
    <row r="145" spans="2:39" ht="25.2" customHeight="1" x14ac:dyDescent="0.3">
      <c r="B145" s="13" t="str">
        <f t="shared" si="5"/>
        <v/>
      </c>
      <c r="C145" s="18"/>
      <c r="D145" s="19" t="str">
        <f>IF(Tabela2[[#This Row],[AGRUPADOR]]&lt;&gt;"",VLOOKUP(Tabela2[[#This Row],[AGRUPADOR]],Tabela1[],2,0),"")</f>
        <v/>
      </c>
      <c r="E145" s="19" t="str">
        <f>IF(Tabela2[[#This Row],[AGRUPADOR]]&lt;&gt;"",VLOOKUP(Tabela2[[#This Row],[AGRUPADOR]],Tabela1[],4,0),"")</f>
        <v/>
      </c>
      <c r="F145" s="14"/>
      <c r="G145" s="6"/>
      <c r="H145" s="6"/>
      <c r="I145" s="25"/>
      <c r="J145" s="7"/>
      <c r="K145" s="15" t="str">
        <f>IF(Tabela2[[#This Row],[UNID.]]&lt;&gt;"",S145*(1+$R$2),"")</f>
        <v/>
      </c>
      <c r="L145" s="379">
        <f>IF(H145&lt;&gt;"",J145*K145,SUMIFS(L146:L$9844,$F146:$F$9844,"*"&amp;F145&amp;"*",$H146:$H$9844,"&lt;&gt;"))</f>
        <v>0</v>
      </c>
      <c r="M145" s="379" t="str">
        <f>IF(Tabela2[[#This Row],[UNID.]]&lt;&gt;"",IFERROR(VLOOKUP(Tabela2[[#This Row],[AGRUPADOR]],Lucratividade!$D$4:$O$129,6,0),0),"")</f>
        <v/>
      </c>
      <c r="N145" s="379">
        <f>IF(H145&lt;&gt;"",J145*M145*I145,SUMIFS(N146:N$9844,$F146:$F$9844,"*"&amp;F145&amp;"*",$H146:$H$9844,"&lt;&gt;"))</f>
        <v>0</v>
      </c>
      <c r="O145" s="162" t="str">
        <f>IFERROR((-Tabela2[[#This Row],[CUSTO TOTAL]]+Tabela2[[#This Row],[VENDA TOTAL]])/Tabela2[[#This Row],[VENDA TOTAL]]-PARAMETROS!$C$19,"")</f>
        <v/>
      </c>
      <c r="AA145" s="219">
        <f>SUM(Plan_Orc[[#This Row],[01/jan]:[01/dez]])</f>
        <v>0</v>
      </c>
      <c r="AB145" s="114"/>
      <c r="AC145" s="114"/>
      <c r="AD145" s="114"/>
      <c r="AE145" s="114"/>
      <c r="AF145" s="114"/>
      <c r="AG145" s="114"/>
      <c r="AH145" s="114"/>
      <c r="AI145" s="114"/>
      <c r="AJ145" s="114"/>
      <c r="AK145" s="114"/>
      <c r="AL145" s="114"/>
      <c r="AM145" s="114"/>
    </row>
    <row r="146" spans="2:39" ht="25.2" customHeight="1" x14ac:dyDescent="0.3">
      <c r="B146" s="13" t="str">
        <f t="shared" si="5"/>
        <v/>
      </c>
      <c r="C146" s="18"/>
      <c r="D146" s="19" t="str">
        <f>IF(Tabela2[[#This Row],[AGRUPADOR]]&lt;&gt;"",VLOOKUP(Tabela2[[#This Row],[AGRUPADOR]],Tabela1[],2,0),"")</f>
        <v/>
      </c>
      <c r="E146" s="19" t="str">
        <f>IF(Tabela2[[#This Row],[AGRUPADOR]]&lt;&gt;"",VLOOKUP(Tabela2[[#This Row],[AGRUPADOR]],Tabela1[],4,0),"")</f>
        <v/>
      </c>
      <c r="F146" s="14"/>
      <c r="G146" s="6"/>
      <c r="H146" s="6"/>
      <c r="I146" s="25"/>
      <c r="J146" s="7"/>
      <c r="K146" s="15" t="str">
        <f>IF(Tabela2[[#This Row],[UNID.]]&lt;&gt;"",S146*(1+$R$2),"")</f>
        <v/>
      </c>
      <c r="L146" s="379">
        <f>IF(H146&lt;&gt;"",J146*K146,SUMIFS(L147:L$9844,$F147:$F$9844,"*"&amp;F146&amp;"*",$H147:$H$9844,"&lt;&gt;"))</f>
        <v>0</v>
      </c>
      <c r="M146" s="379" t="str">
        <f>IF(Tabela2[[#This Row],[UNID.]]&lt;&gt;"",IFERROR(VLOOKUP(Tabela2[[#This Row],[AGRUPADOR]],Lucratividade!$D$4:$O$129,6,0),0),"")</f>
        <v/>
      </c>
      <c r="N146" s="379">
        <f>IF(H146&lt;&gt;"",J146*M146*I146,SUMIFS(N147:N$9844,$F147:$F$9844,"*"&amp;F146&amp;"*",$H147:$H$9844,"&lt;&gt;"))</f>
        <v>0</v>
      </c>
      <c r="O146" s="162" t="str">
        <f>IFERROR((-Tabela2[[#This Row],[CUSTO TOTAL]]+Tabela2[[#This Row],[VENDA TOTAL]])/Tabela2[[#This Row],[VENDA TOTAL]]-PARAMETROS!$C$19,"")</f>
        <v/>
      </c>
      <c r="AA146" s="219">
        <f>SUM(Plan_Orc[[#This Row],[01/jan]:[01/dez]])</f>
        <v>0</v>
      </c>
      <c r="AB146" s="114"/>
      <c r="AC146" s="114"/>
      <c r="AD146" s="114"/>
      <c r="AE146" s="114"/>
      <c r="AF146" s="114"/>
      <c r="AG146" s="114"/>
      <c r="AH146" s="114"/>
      <c r="AI146" s="114"/>
      <c r="AJ146" s="114"/>
      <c r="AK146" s="114"/>
      <c r="AL146" s="114"/>
      <c r="AM146" s="114"/>
    </row>
    <row r="147" spans="2:39" ht="25.2" customHeight="1" x14ac:dyDescent="0.3">
      <c r="B147" s="13" t="str">
        <f t="shared" si="5"/>
        <v/>
      </c>
      <c r="C147" s="18"/>
      <c r="D147" s="19" t="str">
        <f>IF(Tabela2[[#This Row],[AGRUPADOR]]&lt;&gt;"",VLOOKUP(Tabela2[[#This Row],[AGRUPADOR]],Tabela1[],2,0),"")</f>
        <v/>
      </c>
      <c r="E147" s="19" t="str">
        <f>IF(Tabela2[[#This Row],[AGRUPADOR]]&lt;&gt;"",VLOOKUP(Tabela2[[#This Row],[AGRUPADOR]],Tabela1[],4,0),"")</f>
        <v/>
      </c>
      <c r="F147" s="14"/>
      <c r="G147" s="6"/>
      <c r="H147" s="6"/>
      <c r="I147" s="25"/>
      <c r="J147" s="7"/>
      <c r="K147" s="15" t="str">
        <f>IF(Tabela2[[#This Row],[UNID.]]&lt;&gt;"",S147*(1+$R$2),"")</f>
        <v/>
      </c>
      <c r="L147" s="379">
        <f>IF(H147&lt;&gt;"",J147*K147,SUMIFS(L148:L$9844,$F148:$F$9844,"*"&amp;F147&amp;"*",$H148:$H$9844,"&lt;&gt;"))</f>
        <v>0</v>
      </c>
      <c r="M147" s="379" t="str">
        <f>IF(Tabela2[[#This Row],[UNID.]]&lt;&gt;"",IFERROR(VLOOKUP(Tabela2[[#This Row],[AGRUPADOR]],Lucratividade!$D$4:$O$129,6,0),0),"")</f>
        <v/>
      </c>
      <c r="N147" s="379">
        <f>IF(H147&lt;&gt;"",J147*M147*I147,SUMIFS(N148:N$9844,$F148:$F$9844,"*"&amp;F147&amp;"*",$H148:$H$9844,"&lt;&gt;"))</f>
        <v>0</v>
      </c>
      <c r="O147" s="162" t="str">
        <f>IFERROR((-Tabela2[[#This Row],[CUSTO TOTAL]]+Tabela2[[#This Row],[VENDA TOTAL]])/Tabela2[[#This Row],[VENDA TOTAL]]-PARAMETROS!$C$19,"")</f>
        <v/>
      </c>
      <c r="AA147" s="219">
        <f>SUM(Plan_Orc[[#This Row],[01/jan]:[01/dez]])</f>
        <v>0</v>
      </c>
      <c r="AB147" s="114"/>
      <c r="AC147" s="114"/>
      <c r="AD147" s="114"/>
      <c r="AE147" s="114"/>
      <c r="AF147" s="114"/>
      <c r="AG147" s="114"/>
      <c r="AH147" s="114"/>
      <c r="AI147" s="114"/>
      <c r="AJ147" s="114"/>
      <c r="AK147" s="114"/>
      <c r="AL147" s="114"/>
      <c r="AM147" s="114"/>
    </row>
    <row r="148" spans="2:39" ht="25.2" customHeight="1" x14ac:dyDescent="0.3">
      <c r="B148" s="13" t="str">
        <f t="shared" si="5"/>
        <v/>
      </c>
      <c r="C148" s="18"/>
      <c r="D148" s="19" t="str">
        <f>IF(Tabela2[[#This Row],[AGRUPADOR]]&lt;&gt;"",VLOOKUP(Tabela2[[#This Row],[AGRUPADOR]],Tabela1[],2,0),"")</f>
        <v/>
      </c>
      <c r="E148" s="19" t="str">
        <f>IF(Tabela2[[#This Row],[AGRUPADOR]]&lt;&gt;"",VLOOKUP(Tabela2[[#This Row],[AGRUPADOR]],Tabela1[],4,0),"")</f>
        <v/>
      </c>
      <c r="F148" s="14"/>
      <c r="G148" s="6"/>
      <c r="H148" s="6"/>
      <c r="I148" s="25"/>
      <c r="J148" s="7"/>
      <c r="K148" s="15" t="str">
        <f>IF(Tabela2[[#This Row],[UNID.]]&lt;&gt;"",S148*(1+$R$2),"")</f>
        <v/>
      </c>
      <c r="L148" s="379">
        <f>IF(H148&lt;&gt;"",J148*K148,SUMIFS(L149:L$9844,$F149:$F$9844,"*"&amp;F148&amp;"*",$H149:$H$9844,"&lt;&gt;"))</f>
        <v>0</v>
      </c>
      <c r="M148" s="379" t="str">
        <f>IF(Tabela2[[#This Row],[UNID.]]&lt;&gt;"",IFERROR(VLOOKUP(Tabela2[[#This Row],[AGRUPADOR]],Lucratividade!$D$4:$O$129,6,0),0),"")</f>
        <v/>
      </c>
      <c r="N148" s="379">
        <f>IF(H148&lt;&gt;"",J148*M148*I148,SUMIFS(N149:N$9844,$F149:$F$9844,"*"&amp;F148&amp;"*",$H149:$H$9844,"&lt;&gt;"))</f>
        <v>0</v>
      </c>
      <c r="O148" s="162" t="str">
        <f>IFERROR((-Tabela2[[#This Row],[CUSTO TOTAL]]+Tabela2[[#This Row],[VENDA TOTAL]])/Tabela2[[#This Row],[VENDA TOTAL]]-PARAMETROS!$C$19,"")</f>
        <v/>
      </c>
      <c r="AA148" s="219">
        <f>SUM(Plan_Orc[[#This Row],[01/jan]:[01/dez]])</f>
        <v>0</v>
      </c>
      <c r="AB148" s="114"/>
      <c r="AC148" s="114"/>
      <c r="AD148" s="114"/>
      <c r="AE148" s="114"/>
      <c r="AF148" s="114"/>
      <c r="AG148" s="114"/>
      <c r="AH148" s="114"/>
      <c r="AI148" s="114"/>
      <c r="AJ148" s="114"/>
      <c r="AK148" s="114"/>
      <c r="AL148" s="114"/>
      <c r="AM148" s="114"/>
    </row>
    <row r="149" spans="2:39" ht="25.2" customHeight="1" x14ac:dyDescent="0.3">
      <c r="B149" s="13" t="str">
        <f t="shared" si="5"/>
        <v/>
      </c>
      <c r="C149" s="18"/>
      <c r="D149" s="19" t="str">
        <f>IF(Tabela2[[#This Row],[AGRUPADOR]]&lt;&gt;"",VLOOKUP(Tabela2[[#This Row],[AGRUPADOR]],Tabela1[],2,0),"")</f>
        <v/>
      </c>
      <c r="E149" s="19" t="str">
        <f>IF(Tabela2[[#This Row],[AGRUPADOR]]&lt;&gt;"",VLOOKUP(Tabela2[[#This Row],[AGRUPADOR]],Tabela1[],4,0),"")</f>
        <v/>
      </c>
      <c r="F149" s="14"/>
      <c r="G149" s="6"/>
      <c r="H149" s="6"/>
      <c r="I149" s="25"/>
      <c r="J149" s="7"/>
      <c r="K149" s="15" t="str">
        <f>IF(Tabela2[[#This Row],[UNID.]]&lt;&gt;"",S149*(1+$R$2),"")</f>
        <v/>
      </c>
      <c r="L149" s="379">
        <f>IF(H149&lt;&gt;"",J149*K149,SUMIFS(L150:L$9844,$F150:$F$9844,"*"&amp;F149&amp;"*",$H150:$H$9844,"&lt;&gt;"))</f>
        <v>0</v>
      </c>
      <c r="M149" s="379" t="str">
        <f>IF(Tabela2[[#This Row],[UNID.]]&lt;&gt;"",IFERROR(VLOOKUP(Tabela2[[#This Row],[AGRUPADOR]],Lucratividade!$D$4:$O$129,6,0),0),"")</f>
        <v/>
      </c>
      <c r="N149" s="379">
        <f>IF(H149&lt;&gt;"",J149*M149*I149,SUMIFS(N150:N$9844,$F150:$F$9844,"*"&amp;F149&amp;"*",$H150:$H$9844,"&lt;&gt;"))</f>
        <v>0</v>
      </c>
      <c r="O149" s="162" t="str">
        <f>IFERROR((-Tabela2[[#This Row],[CUSTO TOTAL]]+Tabela2[[#This Row],[VENDA TOTAL]])/Tabela2[[#This Row],[VENDA TOTAL]]-PARAMETROS!$C$19,"")</f>
        <v/>
      </c>
      <c r="AA149" s="219">
        <f>SUM(Plan_Orc[[#This Row],[01/jan]:[01/dez]])</f>
        <v>0</v>
      </c>
      <c r="AB149" s="114"/>
      <c r="AC149" s="114"/>
      <c r="AD149" s="114"/>
      <c r="AE149" s="114"/>
      <c r="AF149" s="114"/>
      <c r="AG149" s="114"/>
      <c r="AH149" s="114"/>
      <c r="AI149" s="114"/>
      <c r="AJ149" s="114"/>
      <c r="AK149" s="114"/>
      <c r="AL149" s="114"/>
      <c r="AM149" s="114"/>
    </row>
    <row r="150" spans="2:39" ht="25.2" customHeight="1" x14ac:dyDescent="0.3">
      <c r="B150" s="13" t="str">
        <f t="shared" si="5"/>
        <v/>
      </c>
      <c r="C150" s="18"/>
      <c r="D150" s="19" t="str">
        <f>IF(Tabela2[[#This Row],[AGRUPADOR]]&lt;&gt;"",VLOOKUP(Tabela2[[#This Row],[AGRUPADOR]],Tabela1[],2,0),"")</f>
        <v/>
      </c>
      <c r="E150" s="19" t="str">
        <f>IF(Tabela2[[#This Row],[AGRUPADOR]]&lt;&gt;"",VLOOKUP(Tabela2[[#This Row],[AGRUPADOR]],Tabela1[],4,0),"")</f>
        <v/>
      </c>
      <c r="F150" s="14"/>
      <c r="G150" s="6"/>
      <c r="H150" s="6"/>
      <c r="I150" s="25">
        <v>1</v>
      </c>
      <c r="J150" s="7"/>
      <c r="K150" s="15" t="str">
        <f>IF(Tabela2[[#This Row],[UNID.]]&lt;&gt;"",S150*(1+$R$2),"")</f>
        <v/>
      </c>
      <c r="L150" s="379">
        <f>IF(H150&lt;&gt;"",J150*K150,SUMIFS(L151:L$9844,$F151:$F$9844,"*"&amp;F150&amp;"*",$H151:$H$9844,"&lt;&gt;"))</f>
        <v>0</v>
      </c>
      <c r="M150" s="379" t="str">
        <f>IF(Tabela2[[#This Row],[UNID.]]&lt;&gt;"",IFERROR(VLOOKUP(Tabela2[[#This Row],[AGRUPADOR]],Lucratividade!$D$4:$O$129,6,0),0),"")</f>
        <v/>
      </c>
      <c r="N150" s="379">
        <f>IF(H150&lt;&gt;"",J150*M150*I150,SUMIFS(N151:N$9844,$F151:$F$9844,"*"&amp;F150&amp;"*",$H151:$H$9844,"&lt;&gt;"))</f>
        <v>0</v>
      </c>
      <c r="O150" s="162" t="str">
        <f>IFERROR((-Tabela2[[#This Row],[CUSTO TOTAL]]+Tabela2[[#This Row],[VENDA TOTAL]])/Tabela2[[#This Row],[VENDA TOTAL]]-PARAMETROS!$C$19,"")</f>
        <v/>
      </c>
      <c r="AA150" s="219">
        <f>SUM(Plan_Orc[[#This Row],[01/jan]:[01/dez]])</f>
        <v>0</v>
      </c>
      <c r="AB150" s="114"/>
      <c r="AC150" s="114"/>
      <c r="AD150" s="114"/>
      <c r="AE150" s="114"/>
      <c r="AF150" s="114"/>
      <c r="AG150" s="114"/>
      <c r="AH150" s="114"/>
      <c r="AI150" s="114"/>
      <c r="AJ150" s="114"/>
      <c r="AK150" s="114"/>
      <c r="AL150" s="114"/>
      <c r="AM150" s="114"/>
    </row>
    <row r="151" spans="2:39" ht="25.2" customHeight="1" x14ac:dyDescent="0.3">
      <c r="B151" s="13" t="str">
        <f t="shared" si="5"/>
        <v/>
      </c>
      <c r="C151" s="18"/>
      <c r="D151" s="19" t="str">
        <f>IF(Tabela2[[#This Row],[AGRUPADOR]]&lt;&gt;"",VLOOKUP(Tabela2[[#This Row],[AGRUPADOR]],Tabela1[],2,0),"")</f>
        <v/>
      </c>
      <c r="E151" s="19" t="str">
        <f>IF(Tabela2[[#This Row],[AGRUPADOR]]&lt;&gt;"",VLOOKUP(Tabela2[[#This Row],[AGRUPADOR]],Tabela1[],4,0),"")</f>
        <v/>
      </c>
      <c r="F151" s="14"/>
      <c r="G151" s="6"/>
      <c r="H151" s="6"/>
      <c r="I151" s="25">
        <v>1</v>
      </c>
      <c r="J151" s="7"/>
      <c r="K151" s="15" t="str">
        <f>IF(Tabela2[[#This Row],[UNID.]]&lt;&gt;"",S151*(1+$R$2),"")</f>
        <v/>
      </c>
      <c r="L151" s="379">
        <f>IF(H151&lt;&gt;"",J151*K151,SUMIFS(L152:L$9844,$F152:$F$9844,"*"&amp;F151&amp;"*",$H152:$H$9844,"&lt;&gt;"))</f>
        <v>0</v>
      </c>
      <c r="M151" s="379" t="str">
        <f>IF(Tabela2[[#This Row],[UNID.]]&lt;&gt;"",IFERROR(VLOOKUP(Tabela2[[#This Row],[AGRUPADOR]],Lucratividade!$D$4:$O$129,6,0),0),"")</f>
        <v/>
      </c>
      <c r="N151" s="379">
        <f>IF(H151&lt;&gt;"",J151*M151*I151,SUMIFS(N152:N$9844,$F152:$F$9844,"*"&amp;F151&amp;"*",$H152:$H$9844,"&lt;&gt;"))</f>
        <v>0</v>
      </c>
      <c r="O151" s="162" t="str">
        <f>IFERROR((-Tabela2[[#This Row],[CUSTO TOTAL]]+Tabela2[[#This Row],[VENDA TOTAL]])/Tabela2[[#This Row],[VENDA TOTAL]]-PARAMETROS!$C$19,"")</f>
        <v/>
      </c>
      <c r="AA151" s="219">
        <f>SUM(Plan_Orc[[#This Row],[01/jan]:[01/dez]])</f>
        <v>0</v>
      </c>
      <c r="AB151" s="114"/>
      <c r="AC151" s="114"/>
      <c r="AD151" s="114"/>
      <c r="AE151" s="114"/>
      <c r="AF151" s="114"/>
      <c r="AG151" s="114"/>
      <c r="AH151" s="114"/>
      <c r="AI151" s="114"/>
      <c r="AJ151" s="114"/>
      <c r="AK151" s="114"/>
      <c r="AL151" s="114"/>
      <c r="AM151" s="114"/>
    </row>
    <row r="152" spans="2:39" ht="25.2" customHeight="1" x14ac:dyDescent="0.3">
      <c r="B152" s="13" t="str">
        <f t="shared" si="5"/>
        <v/>
      </c>
      <c r="C152" s="18"/>
      <c r="D152" s="19" t="str">
        <f>IF(Tabela2[[#This Row],[AGRUPADOR]]&lt;&gt;"",VLOOKUP(Tabela2[[#This Row],[AGRUPADOR]],Tabela1[],2,0),"")</f>
        <v/>
      </c>
      <c r="E152" s="19" t="str">
        <f>IF(Tabela2[[#This Row],[AGRUPADOR]]&lt;&gt;"",VLOOKUP(Tabela2[[#This Row],[AGRUPADOR]],Tabela1[],4,0),"")</f>
        <v/>
      </c>
      <c r="F152" s="14"/>
      <c r="G152" s="6"/>
      <c r="H152" s="6"/>
      <c r="I152" s="25"/>
      <c r="J152" s="7"/>
      <c r="K152" s="15" t="str">
        <f>IF(Tabela2[[#This Row],[UNID.]]&lt;&gt;"",S152*(1+$R$2),"")</f>
        <v/>
      </c>
      <c r="L152" s="379">
        <f>IF(H152&lt;&gt;"",J152*K152,SUMIFS(L153:L$9844,$F153:$F$9844,"*"&amp;F152&amp;"*",$H153:$H$9844,"&lt;&gt;"))</f>
        <v>0</v>
      </c>
      <c r="M152" s="379" t="str">
        <f>IF(Tabela2[[#This Row],[UNID.]]&lt;&gt;"",IFERROR(VLOOKUP(Tabela2[[#This Row],[AGRUPADOR]],Lucratividade!$D$4:$O$129,6,0),0),"")</f>
        <v/>
      </c>
      <c r="N152" s="379">
        <f>IF(H152&lt;&gt;"",J152*M152*I152,SUMIFS(N153:N$9844,$F153:$F$9844,"*"&amp;F152&amp;"*",$H153:$H$9844,"&lt;&gt;"))</f>
        <v>0</v>
      </c>
      <c r="O152" s="162" t="str">
        <f>IFERROR((-Tabela2[[#This Row],[CUSTO TOTAL]]+Tabela2[[#This Row],[VENDA TOTAL]])/Tabela2[[#This Row],[VENDA TOTAL]]-PARAMETROS!$C$19,"")</f>
        <v/>
      </c>
      <c r="AA152" s="219">
        <f>SUM(Plan_Orc[[#This Row],[01/jan]:[01/dez]])</f>
        <v>0</v>
      </c>
      <c r="AB152" s="114"/>
      <c r="AC152" s="114"/>
      <c r="AD152" s="114"/>
      <c r="AE152" s="114"/>
      <c r="AF152" s="114"/>
      <c r="AG152" s="114"/>
      <c r="AH152" s="114"/>
      <c r="AI152" s="114"/>
      <c r="AJ152" s="114"/>
      <c r="AK152" s="114"/>
      <c r="AL152" s="114"/>
      <c r="AM152" s="114"/>
    </row>
    <row r="153" spans="2:39" ht="25.2" customHeight="1" x14ac:dyDescent="0.3">
      <c r="B153" s="13" t="str">
        <f t="shared" si="5"/>
        <v/>
      </c>
      <c r="C153" s="18"/>
      <c r="D153" s="19" t="str">
        <f>IF(Tabela2[[#This Row],[AGRUPADOR]]&lt;&gt;"",VLOOKUP(Tabela2[[#This Row],[AGRUPADOR]],Tabela1[],2,0),"")</f>
        <v/>
      </c>
      <c r="E153" s="19" t="str">
        <f>IF(Tabela2[[#This Row],[AGRUPADOR]]&lt;&gt;"",VLOOKUP(Tabela2[[#This Row],[AGRUPADOR]],Tabela1[],4,0),"")</f>
        <v/>
      </c>
      <c r="F153" s="14"/>
      <c r="G153" s="6"/>
      <c r="H153" s="6"/>
      <c r="I153" s="25">
        <v>1</v>
      </c>
      <c r="J153" s="7"/>
      <c r="K153" s="15" t="str">
        <f>IF(Tabela2[[#This Row],[UNID.]]&lt;&gt;"",S153*(1+$R$2),"")</f>
        <v/>
      </c>
      <c r="L153" s="379">
        <f>IF(H153&lt;&gt;"",J153*K153,SUMIFS(L154:L$9844,$F154:$F$9844,"*"&amp;F153&amp;"*",$H154:$H$9844,"&lt;&gt;"))</f>
        <v>0</v>
      </c>
      <c r="M153" s="379" t="str">
        <f>IF(Tabela2[[#This Row],[UNID.]]&lt;&gt;"",IFERROR(VLOOKUP(Tabela2[[#This Row],[AGRUPADOR]],Lucratividade!$D$4:$O$129,6,0),0),"")</f>
        <v/>
      </c>
      <c r="N153" s="379">
        <f>IF(H153&lt;&gt;"",J153*M153*I153,SUMIFS(N154:N$9844,$F154:$F$9844,"*"&amp;F153&amp;"*",$H154:$H$9844,"&lt;&gt;"))</f>
        <v>0</v>
      </c>
      <c r="O153" s="162" t="str">
        <f>IFERROR((-Tabela2[[#This Row],[CUSTO TOTAL]]+Tabela2[[#This Row],[VENDA TOTAL]])/Tabela2[[#This Row],[VENDA TOTAL]]-PARAMETROS!$C$19,"")</f>
        <v/>
      </c>
      <c r="AA153" s="219">
        <f>SUM(Plan_Orc[[#This Row],[01/jan]:[01/dez]])</f>
        <v>0</v>
      </c>
      <c r="AB153" s="114"/>
      <c r="AC153" s="114"/>
      <c r="AD153" s="114"/>
      <c r="AE153" s="114"/>
      <c r="AF153" s="114"/>
      <c r="AG153" s="114"/>
      <c r="AH153" s="114"/>
      <c r="AI153" s="114"/>
      <c r="AJ153" s="114"/>
      <c r="AK153" s="114"/>
      <c r="AL153" s="114"/>
      <c r="AM153" s="114"/>
    </row>
    <row r="154" spans="2:39" ht="25.2" customHeight="1" x14ac:dyDescent="0.3">
      <c r="B154" s="13" t="str">
        <f t="shared" si="5"/>
        <v/>
      </c>
      <c r="C154" s="18"/>
      <c r="D154" s="19" t="str">
        <f>IF(Tabela2[[#This Row],[AGRUPADOR]]&lt;&gt;"",VLOOKUP(Tabela2[[#This Row],[AGRUPADOR]],Tabela1[],2,0),"")</f>
        <v/>
      </c>
      <c r="E154" s="19" t="str">
        <f>IF(Tabela2[[#This Row],[AGRUPADOR]]&lt;&gt;"",VLOOKUP(Tabela2[[#This Row],[AGRUPADOR]],Tabela1[],4,0),"")</f>
        <v/>
      </c>
      <c r="F154" s="14"/>
      <c r="G154" s="6"/>
      <c r="H154" s="6"/>
      <c r="I154" s="25">
        <v>1</v>
      </c>
      <c r="J154" s="7"/>
      <c r="K154" s="15" t="str">
        <f>IF(Tabela2[[#This Row],[UNID.]]&lt;&gt;"",S154*(1+$R$2),"")</f>
        <v/>
      </c>
      <c r="L154" s="379">
        <f>IF(H154&lt;&gt;"",J154*K154,SUMIFS(L155:L$9844,$F155:$F$9844,"*"&amp;F154&amp;"*",$H155:$H$9844,"&lt;&gt;"))</f>
        <v>0</v>
      </c>
      <c r="M154" s="379" t="str">
        <f>IF(Tabela2[[#This Row],[UNID.]]&lt;&gt;"",IFERROR(VLOOKUP(Tabela2[[#This Row],[AGRUPADOR]],Lucratividade!$D$4:$O$129,6,0),0),"")</f>
        <v/>
      </c>
      <c r="N154" s="379">
        <f>IF(H154&lt;&gt;"",J154*M154*I154,SUMIFS(N155:N$9844,$F155:$F$9844,"*"&amp;F154&amp;"*",$H155:$H$9844,"&lt;&gt;"))</f>
        <v>0</v>
      </c>
      <c r="O154" s="162" t="str">
        <f>IFERROR((-Tabela2[[#This Row],[CUSTO TOTAL]]+Tabela2[[#This Row],[VENDA TOTAL]])/Tabela2[[#This Row],[VENDA TOTAL]]-PARAMETROS!$C$19,"")</f>
        <v/>
      </c>
      <c r="AA154" s="219">
        <f>SUM(Plan_Orc[[#This Row],[01/jan]:[01/dez]])</f>
        <v>0</v>
      </c>
      <c r="AB154" s="114"/>
      <c r="AC154" s="114"/>
      <c r="AD154" s="114"/>
      <c r="AE154" s="114"/>
      <c r="AF154" s="114"/>
      <c r="AG154" s="114"/>
      <c r="AH154" s="114"/>
      <c r="AI154" s="114"/>
      <c r="AJ154" s="114"/>
      <c r="AK154" s="114"/>
      <c r="AL154" s="114"/>
      <c r="AM154" s="114"/>
    </row>
    <row r="155" spans="2:39" ht="25.2" customHeight="1" x14ac:dyDescent="0.3">
      <c r="B155" s="13" t="str">
        <f t="shared" ref="B155:B156" si="6">IF(LEN(F155)=3,1,"")</f>
        <v/>
      </c>
      <c r="C155" s="18"/>
      <c r="D155" s="19" t="str">
        <f>IF(Tabela2[[#This Row],[AGRUPADOR]]&lt;&gt;"",VLOOKUP(Tabela2[[#This Row],[AGRUPADOR]],Tabela1[],2,0),"")</f>
        <v/>
      </c>
      <c r="E155" s="19" t="str">
        <f>IF(Tabela2[[#This Row],[AGRUPADOR]]&lt;&gt;"",VLOOKUP(Tabela2[[#This Row],[AGRUPADOR]],Tabela1[],4,0),"")</f>
        <v/>
      </c>
      <c r="F155" s="14"/>
      <c r="G155" s="6"/>
      <c r="H155" s="6"/>
      <c r="I155" s="25"/>
      <c r="J155" s="7"/>
      <c r="K155" s="15" t="str">
        <f>IF(Tabela2[[#This Row],[UNID.]]&lt;&gt;"",S155*(1+$R$2),"")</f>
        <v/>
      </c>
      <c r="L155" s="379">
        <f>IF(H155&lt;&gt;"",J155*K155,SUMIFS(L156:L$9844,$F156:$F$9844,"*"&amp;F155&amp;"*",$H156:$H$9844,"&lt;&gt;"))</f>
        <v>0</v>
      </c>
      <c r="M155" s="379" t="str">
        <f>IF(Tabela2[[#This Row],[UNID.]]&lt;&gt;"",IFERROR(VLOOKUP(Tabela2[[#This Row],[AGRUPADOR]],Lucratividade!$D$4:$O$129,6,0),0),"")</f>
        <v/>
      </c>
      <c r="N155" s="379">
        <f>IF(H155&lt;&gt;"",J155*M155*I155,SUMIFS(N156:N$9844,$F156:$F$9844,"*"&amp;F155&amp;"*",$H156:$H$9844,"&lt;&gt;"))</f>
        <v>0</v>
      </c>
      <c r="O155" s="162" t="str">
        <f>IFERROR((-Tabela2[[#This Row],[CUSTO TOTAL]]+Tabela2[[#This Row],[VENDA TOTAL]])/Tabela2[[#This Row],[VENDA TOTAL]]-PARAMETROS!$C$19,"")</f>
        <v/>
      </c>
      <c r="AA155" s="218">
        <f>SUM(Plan_Orc[[#This Row],[01/jan]:[01/dez]])</f>
        <v>0</v>
      </c>
      <c r="AB155" s="113"/>
      <c r="AC155" s="113"/>
      <c r="AD155" s="113"/>
      <c r="AE155" s="113"/>
      <c r="AF155" s="113"/>
      <c r="AG155" s="113"/>
      <c r="AH155" s="113"/>
      <c r="AI155" s="113"/>
      <c r="AJ155" s="113"/>
      <c r="AK155" s="113"/>
      <c r="AL155" s="113"/>
      <c r="AM155" s="113"/>
    </row>
    <row r="156" spans="2:39" ht="25.2" customHeight="1" x14ac:dyDescent="0.3">
      <c r="B156" s="13" t="str">
        <f t="shared" si="6"/>
        <v/>
      </c>
      <c r="C156" s="18"/>
      <c r="D156" s="19" t="str">
        <f>IF(Tabela2[[#This Row],[AGRUPADOR]]&lt;&gt;"",VLOOKUP(Tabela2[[#This Row],[AGRUPADOR]],Tabela1[],2,0),"")</f>
        <v/>
      </c>
      <c r="E156" s="19" t="str">
        <f>IF(Tabela2[[#This Row],[AGRUPADOR]]&lt;&gt;"",VLOOKUP(Tabela2[[#This Row],[AGRUPADOR]],Tabela1[],4,0),"")</f>
        <v/>
      </c>
      <c r="F156" s="14"/>
      <c r="G156" s="6"/>
      <c r="H156" s="6"/>
      <c r="I156" s="25">
        <v>0</v>
      </c>
      <c r="J156" s="7"/>
      <c r="K156" s="15" t="str">
        <f>IF(Tabela2[[#This Row],[UNID.]]&lt;&gt;"",S156*(1+$R$2),"")</f>
        <v/>
      </c>
      <c r="L156" s="379">
        <f>IF(H156&lt;&gt;"",J156*K156,SUMIFS(L157:L$9844,$F157:$F$9844,"*"&amp;F156&amp;"*",$H157:$H$9844,"&lt;&gt;"))</f>
        <v>0</v>
      </c>
      <c r="M156" s="379" t="str">
        <f>IF(Tabela2[[#This Row],[UNID.]]&lt;&gt;"",IFERROR(VLOOKUP(Tabela2[[#This Row],[AGRUPADOR]],Lucratividade!$D$4:$O$129,6,0),0),"")</f>
        <v/>
      </c>
      <c r="N156" s="379">
        <f>IF(H156&lt;&gt;"",J156*M156*I156,SUMIFS(N157:N$9844,$F157:$F$9844,"*"&amp;F156&amp;"*",$H157:$H$9844,"&lt;&gt;"))</f>
        <v>0</v>
      </c>
      <c r="O156" s="162" t="str">
        <f>IFERROR((-Tabela2[[#This Row],[CUSTO TOTAL]]+Tabela2[[#This Row],[VENDA TOTAL]])/Tabela2[[#This Row],[VENDA TOTAL]]-PARAMETROS!$C$19,"")</f>
        <v/>
      </c>
      <c r="AA156" s="221">
        <f>SUM(Plan_Orc[[#This Row],[01/jan]:[01/dez]])</f>
        <v>0</v>
      </c>
      <c r="AB156" s="114"/>
      <c r="AC156" s="114"/>
      <c r="AD156" s="114"/>
      <c r="AE156" s="114"/>
      <c r="AF156" s="114"/>
      <c r="AG156" s="114"/>
      <c r="AH156" s="114"/>
      <c r="AI156" s="114"/>
      <c r="AJ156" s="114"/>
      <c r="AK156" s="114"/>
      <c r="AL156" s="114"/>
      <c r="AM156" s="114"/>
    </row>
    <row r="157" spans="2:39" ht="25.2" customHeight="1" x14ac:dyDescent="0.3">
      <c r="B157" s="13"/>
      <c r="C157" s="18"/>
      <c r="F157" s="14"/>
      <c r="G157" s="6"/>
      <c r="H157" s="6"/>
      <c r="I157" s="25"/>
      <c r="J157" s="7"/>
      <c r="K157" s="15" t="str">
        <f>IF(Tabela2[[#This Row],[UNID.]]&lt;&gt;"",S157*(1+$R$2),"")</f>
        <v/>
      </c>
      <c r="L157" s="379">
        <f>IF(H157&lt;&gt;"",J157*K157,SUMIFS(L158:L$9844,$F158:$F$9844,"*"&amp;F157&amp;"*",$H158:$H$9844,"&lt;&gt;"))</f>
        <v>0</v>
      </c>
      <c r="M157" s="379" t="str">
        <f>IF(Tabela2[[#This Row],[UNID.]]&lt;&gt;"",IFERROR(VLOOKUP(Tabela2[[#This Row],[AGRUPADOR]],Lucratividade!$D$4:$O$129,6,0),0),"")</f>
        <v/>
      </c>
      <c r="N157" s="379">
        <f>IF(H157&lt;&gt;"",J157*M157*I157,SUMIFS(N158:N$9844,$F158:$F$9844,"*"&amp;F157&amp;"*",$H158:$H$9844,"&lt;&gt;"))</f>
        <v>0</v>
      </c>
      <c r="O157" s="162" t="str">
        <f>IFERROR((-Tabela2[[#This Row],[CUSTO TOTAL]]+Tabela2[[#This Row],[VENDA TOTAL]])/Tabela2[[#This Row],[VENDA TOTAL]]-PARAMETROS!$C$19,"")</f>
        <v/>
      </c>
      <c r="AA157" s="219">
        <f>SUM(Plan_Orc[[#This Row],[01/jan]:[01/dez]])</f>
        <v>0</v>
      </c>
      <c r="AB157" s="114"/>
      <c r="AC157" s="114"/>
      <c r="AD157" s="114"/>
      <c r="AE157" s="114"/>
      <c r="AF157" s="114"/>
      <c r="AG157" s="114"/>
      <c r="AH157" s="114"/>
      <c r="AI157" s="114"/>
      <c r="AJ157" s="114"/>
      <c r="AK157" s="114"/>
      <c r="AL157" s="114"/>
      <c r="AM157" s="114"/>
    </row>
    <row r="158" spans="2:39" ht="25.2" customHeight="1" x14ac:dyDescent="0.3">
      <c r="B158" s="13" t="str">
        <f t="shared" si="5"/>
        <v/>
      </c>
      <c r="C158" s="18"/>
      <c r="D158" s="19" t="str">
        <f>IF(Tabela2[[#This Row],[AGRUPADOR]]&lt;&gt;"",VLOOKUP(Tabela2[[#This Row],[AGRUPADOR]],Tabela1[],2,0),"")</f>
        <v/>
      </c>
      <c r="E158" s="19" t="str">
        <f>IF(Tabela2[[#This Row],[AGRUPADOR]]&lt;&gt;"",VLOOKUP(Tabela2[[#This Row],[AGRUPADOR]],Tabela1[],4,0),"")</f>
        <v/>
      </c>
      <c r="F158" s="14"/>
      <c r="G158" s="6"/>
      <c r="H158" s="6"/>
      <c r="I158" s="25"/>
      <c r="J158" s="7"/>
      <c r="K158" s="15" t="str">
        <f>IF(Tabela2[[#This Row],[UNID.]]&lt;&gt;"",S158*(1+$R$2),"")</f>
        <v/>
      </c>
      <c r="L158" s="379">
        <f>IF(H158&lt;&gt;"",J158*K158,SUMIFS(L159:L$9844,$F159:$F$9844,"*"&amp;F158&amp;"*",$H159:$H$9844,"&lt;&gt;"))</f>
        <v>0</v>
      </c>
      <c r="M158" s="379" t="str">
        <f>IF(Tabela2[[#This Row],[UNID.]]&lt;&gt;"",IFERROR(VLOOKUP(Tabela2[[#This Row],[AGRUPADOR]],Lucratividade!$D$4:$O$129,6,0),0),"")</f>
        <v/>
      </c>
      <c r="N158" s="379">
        <f>IF(H158&lt;&gt;"",J158*M158*I158,SUMIFS(N159:N$9844,$F159:$F$9844,"*"&amp;F158&amp;"*",$H159:$H$9844,"&lt;&gt;"))</f>
        <v>0</v>
      </c>
      <c r="O158" s="162" t="str">
        <f>IFERROR((-Tabela2[[#This Row],[CUSTO TOTAL]]+Tabela2[[#This Row],[VENDA TOTAL]])/Tabela2[[#This Row],[VENDA TOTAL]]-PARAMETROS!$C$19,"")</f>
        <v/>
      </c>
      <c r="AA158" s="218">
        <f>SUM(Plan_Orc[[#This Row],[01/jan]:[01/dez]])</f>
        <v>0</v>
      </c>
      <c r="AB158" s="113"/>
      <c r="AC158" s="113"/>
      <c r="AD158" s="113"/>
      <c r="AE158" s="113"/>
      <c r="AF158" s="113"/>
      <c r="AG158" s="113"/>
      <c r="AH158" s="113"/>
      <c r="AI158" s="113"/>
      <c r="AJ158" s="113"/>
      <c r="AK158" s="113"/>
      <c r="AL158" s="113"/>
      <c r="AM158" s="113"/>
    </row>
    <row r="159" spans="2:39" ht="25.2" customHeight="1" x14ac:dyDescent="0.3">
      <c r="B159" s="13" t="str">
        <f t="shared" si="5"/>
        <v/>
      </c>
      <c r="C159" s="18"/>
      <c r="D159" s="19" t="str">
        <f>IF(Tabela2[[#This Row],[AGRUPADOR]]&lt;&gt;"",VLOOKUP(Tabela2[[#This Row],[AGRUPADOR]],Tabela1[],2,0),"")</f>
        <v/>
      </c>
      <c r="E159" s="19" t="str">
        <f>IF(Tabela2[[#This Row],[AGRUPADOR]]&lt;&gt;"",VLOOKUP(Tabela2[[#This Row],[AGRUPADOR]],Tabela1[],4,0),"")</f>
        <v/>
      </c>
      <c r="F159" s="14"/>
      <c r="G159" s="6"/>
      <c r="H159" s="6"/>
      <c r="I159" s="25">
        <v>0</v>
      </c>
      <c r="J159" s="7"/>
      <c r="K159" s="15" t="str">
        <f>IF(Tabela2[[#This Row],[UNID.]]&lt;&gt;"",S159*(1+$R$2),"")</f>
        <v/>
      </c>
      <c r="L159" s="379">
        <f>IF(H159&lt;&gt;"",J159*K159,SUMIFS(L160:L$9844,$F160:$F$9844,"*"&amp;F159&amp;"*",$H160:$H$9844,"&lt;&gt;"))</f>
        <v>0</v>
      </c>
      <c r="M159" s="379" t="str">
        <f>IF(Tabela2[[#This Row],[UNID.]]&lt;&gt;"",IFERROR(VLOOKUP(Tabela2[[#This Row],[AGRUPADOR]],Lucratividade!$D$4:$O$129,6,0),0),"")</f>
        <v/>
      </c>
      <c r="N159" s="379">
        <f>IF(H159&lt;&gt;"",J159*M159*I159,SUMIFS(N160:N$9844,$F160:$F$9844,"*"&amp;F159&amp;"*",$H160:$H$9844,"&lt;&gt;"))</f>
        <v>0</v>
      </c>
      <c r="O159" s="162" t="str">
        <f>IFERROR((-Tabela2[[#This Row],[CUSTO TOTAL]]+Tabela2[[#This Row],[VENDA TOTAL]])/Tabela2[[#This Row],[VENDA TOTAL]]-PARAMETROS!$C$19,"")</f>
        <v/>
      </c>
      <c r="AA159" s="219">
        <f>SUM(Plan_Orc[[#This Row],[01/jan]:[01/dez]])</f>
        <v>0</v>
      </c>
      <c r="AB159" s="114"/>
      <c r="AC159" s="114"/>
      <c r="AD159" s="114"/>
      <c r="AE159" s="114"/>
      <c r="AF159" s="114"/>
      <c r="AG159" s="114"/>
      <c r="AH159" s="114"/>
      <c r="AI159" s="114"/>
      <c r="AJ159" s="114"/>
      <c r="AK159" s="114"/>
      <c r="AL159" s="114"/>
      <c r="AM159" s="114"/>
    </row>
    <row r="160" spans="2:39" ht="25.2" customHeight="1" x14ac:dyDescent="0.3">
      <c r="B160" s="13" t="str">
        <f t="shared" si="5"/>
        <v/>
      </c>
      <c r="C160" s="18"/>
      <c r="D160" s="19" t="str">
        <f>IF(Tabela2[[#This Row],[AGRUPADOR]]&lt;&gt;"",VLOOKUP(Tabela2[[#This Row],[AGRUPADOR]],Tabela1[],2,0),"")</f>
        <v/>
      </c>
      <c r="E160" s="19" t="str">
        <f>IF(Tabela2[[#This Row],[AGRUPADOR]]&lt;&gt;"",VLOOKUP(Tabela2[[#This Row],[AGRUPADOR]],Tabela1[],4,0),"")</f>
        <v/>
      </c>
      <c r="F160" s="14"/>
      <c r="G160" s="6"/>
      <c r="H160" s="6"/>
      <c r="I160" s="25"/>
      <c r="J160" s="7"/>
      <c r="K160" s="15" t="str">
        <f>IF(Tabela2[[#This Row],[UNID.]]&lt;&gt;"",S160*(1+$R$2),"")</f>
        <v/>
      </c>
      <c r="L160" s="379">
        <f>IF(H160&lt;&gt;"",J160*K160,SUMIFS(L161:L$9844,$F161:$F$9844,"*"&amp;F160&amp;"*",$H161:$H$9844,"&lt;&gt;"))</f>
        <v>0</v>
      </c>
      <c r="M160" s="379" t="str">
        <f>IF(Tabela2[[#This Row],[UNID.]]&lt;&gt;"",IFERROR(VLOOKUP(Tabela2[[#This Row],[AGRUPADOR]],Lucratividade!$D$4:$O$129,6,0),0),"")</f>
        <v/>
      </c>
      <c r="N160" s="379">
        <f>IF(H160&lt;&gt;"",J160*M160*I160,SUMIFS(N161:N$9844,$F161:$F$9844,"*"&amp;F160&amp;"*",$H161:$H$9844,"&lt;&gt;"))</f>
        <v>0</v>
      </c>
      <c r="O160" s="162" t="str">
        <f>IFERROR((-Tabela2[[#This Row],[CUSTO TOTAL]]+Tabela2[[#This Row],[VENDA TOTAL]])/Tabela2[[#This Row],[VENDA TOTAL]]-PARAMETROS!$C$19,"")</f>
        <v/>
      </c>
      <c r="AA160" s="218">
        <f>SUM(Plan_Orc[[#This Row],[01/jan]:[01/dez]])</f>
        <v>0</v>
      </c>
      <c r="AB160" s="113"/>
      <c r="AC160" s="113"/>
      <c r="AD160" s="113"/>
      <c r="AE160" s="113"/>
      <c r="AF160" s="113"/>
      <c r="AG160" s="113"/>
      <c r="AH160" s="113"/>
      <c r="AI160" s="113"/>
      <c r="AJ160" s="113"/>
      <c r="AK160" s="113"/>
      <c r="AL160" s="113"/>
      <c r="AM160" s="113"/>
    </row>
    <row r="161" spans="2:39" ht="25.2" customHeight="1" x14ac:dyDescent="0.3">
      <c r="B161" s="13" t="str">
        <f t="shared" si="5"/>
        <v/>
      </c>
      <c r="C161" s="18"/>
      <c r="D161" s="19" t="str">
        <f>IF(Tabela2[[#This Row],[AGRUPADOR]]&lt;&gt;"",VLOOKUP(Tabela2[[#This Row],[AGRUPADOR]],Tabela1[],2,0),"")</f>
        <v/>
      </c>
      <c r="E161" s="19" t="str">
        <f>IF(Tabela2[[#This Row],[AGRUPADOR]]&lt;&gt;"",VLOOKUP(Tabela2[[#This Row],[AGRUPADOR]],Tabela1[],4,0),"")</f>
        <v/>
      </c>
      <c r="F161" s="14"/>
      <c r="G161" s="6"/>
      <c r="H161" s="6"/>
      <c r="I161" s="25">
        <v>0</v>
      </c>
      <c r="J161" s="7"/>
      <c r="K161" s="15" t="str">
        <f>IF(Tabela2[[#This Row],[UNID.]]&lt;&gt;"",S161*(1+$R$2),"")</f>
        <v/>
      </c>
      <c r="L161" s="379">
        <f>IF(H161&lt;&gt;"",J161*K161,SUMIFS(L162:L$9844,$F162:$F$9844,"*"&amp;F161&amp;"*",$H162:$H$9844,"&lt;&gt;"))</f>
        <v>0</v>
      </c>
      <c r="M161" s="379" t="str">
        <f>IF(Tabela2[[#This Row],[UNID.]]&lt;&gt;"",IFERROR(VLOOKUP(Tabela2[[#This Row],[AGRUPADOR]],Lucratividade!$D$4:$O$129,6,0),0),"")</f>
        <v/>
      </c>
      <c r="N161" s="379">
        <f>IF(H161&lt;&gt;"",J161*M161*I161,SUMIFS(N162:N$9844,$F162:$F$9844,"*"&amp;F161&amp;"*",$H162:$H$9844,"&lt;&gt;"))</f>
        <v>0</v>
      </c>
      <c r="O161" s="162" t="str">
        <f>IFERROR((-Tabela2[[#This Row],[CUSTO TOTAL]]+Tabela2[[#This Row],[VENDA TOTAL]])/Tabela2[[#This Row],[VENDA TOTAL]]-PARAMETROS!$C$19,"")</f>
        <v/>
      </c>
      <c r="AA161" s="219">
        <f>SUM(Plan_Orc[[#This Row],[01/jan]:[01/dez]])</f>
        <v>0</v>
      </c>
      <c r="AB161" s="114"/>
      <c r="AC161" s="114"/>
      <c r="AD161" s="114"/>
      <c r="AE161" s="114"/>
      <c r="AF161" s="114"/>
      <c r="AG161" s="114"/>
      <c r="AH161" s="114"/>
      <c r="AI161" s="114"/>
      <c r="AJ161" s="114"/>
      <c r="AK161" s="114"/>
      <c r="AL161" s="114"/>
      <c r="AM161" s="114"/>
    </row>
    <row r="162" spans="2:39" ht="25.2" customHeight="1" x14ac:dyDescent="0.3">
      <c r="B162" s="13" t="str">
        <f t="shared" si="5"/>
        <v/>
      </c>
      <c r="C162" s="18"/>
      <c r="D162" s="19" t="str">
        <f>IF(Tabela2[[#This Row],[AGRUPADOR]]&lt;&gt;"",VLOOKUP(Tabela2[[#This Row],[AGRUPADOR]],Tabela1[],2,0),"")</f>
        <v/>
      </c>
      <c r="E162" s="19" t="str">
        <f>IF(Tabela2[[#This Row],[AGRUPADOR]]&lt;&gt;"",VLOOKUP(Tabela2[[#This Row],[AGRUPADOR]],Tabela1[],4,0),"")</f>
        <v/>
      </c>
      <c r="F162" s="14"/>
      <c r="G162" s="6"/>
      <c r="H162" s="6"/>
      <c r="I162" s="25"/>
      <c r="J162" s="7"/>
      <c r="K162" s="15" t="str">
        <f>IF(Tabela2[[#This Row],[UNID.]]&lt;&gt;"",S162*(1+$R$2),"")</f>
        <v/>
      </c>
      <c r="L162" s="379">
        <f>IF(H162&lt;&gt;"",J162*K162,SUMIFS(L163:L$9844,$F163:$F$9844,"*"&amp;F162&amp;"*",$H163:$H$9844,"&lt;&gt;"))</f>
        <v>0</v>
      </c>
      <c r="M162" s="379" t="str">
        <f>IF(Tabela2[[#This Row],[UNID.]]&lt;&gt;"",IFERROR(VLOOKUP(Tabela2[[#This Row],[AGRUPADOR]],Lucratividade!$D$4:$O$129,6,0),0),"")</f>
        <v/>
      </c>
      <c r="N162" s="379">
        <f>IF(H162&lt;&gt;"",J162*M162*I162,SUMIFS(N163:N$9844,$F163:$F$9844,"*"&amp;F162&amp;"*",$H163:$H$9844,"&lt;&gt;"))</f>
        <v>0</v>
      </c>
      <c r="O162" s="162" t="str">
        <f>IFERROR((-Tabela2[[#This Row],[CUSTO TOTAL]]+Tabela2[[#This Row],[VENDA TOTAL]])/Tabela2[[#This Row],[VENDA TOTAL]]-PARAMETROS!$C$19,"")</f>
        <v/>
      </c>
      <c r="AA162" s="218">
        <f>SUM(Plan_Orc[[#This Row],[01/jan]:[01/dez]])</f>
        <v>0</v>
      </c>
      <c r="AB162" s="113"/>
      <c r="AC162" s="113"/>
      <c r="AD162" s="113"/>
      <c r="AE162" s="113"/>
      <c r="AF162" s="113"/>
      <c r="AG162" s="113"/>
      <c r="AH162" s="113"/>
      <c r="AI162" s="113"/>
      <c r="AJ162" s="113"/>
      <c r="AK162" s="113"/>
      <c r="AL162" s="113"/>
      <c r="AM162" s="113"/>
    </row>
    <row r="163" spans="2:39" ht="25.2" customHeight="1" x14ac:dyDescent="0.3">
      <c r="B163" s="13" t="str">
        <f t="shared" si="5"/>
        <v/>
      </c>
      <c r="C163" s="18"/>
      <c r="D163" s="19" t="str">
        <f>IF(Tabela2[[#This Row],[AGRUPADOR]]&lt;&gt;"",VLOOKUP(Tabela2[[#This Row],[AGRUPADOR]],Tabela1[],2,0),"")</f>
        <v/>
      </c>
      <c r="E163" s="19" t="str">
        <f>IF(Tabela2[[#This Row],[AGRUPADOR]]&lt;&gt;"",VLOOKUP(Tabela2[[#This Row],[AGRUPADOR]],Tabela1[],4,0),"")</f>
        <v/>
      </c>
      <c r="F163" s="14"/>
      <c r="G163" s="6"/>
      <c r="H163" s="6"/>
      <c r="I163" s="25"/>
      <c r="J163" s="7"/>
      <c r="K163" s="15" t="str">
        <f>IF(Tabela2[[#This Row],[UNID.]]&lt;&gt;"",S163*(1+$R$2),"")</f>
        <v/>
      </c>
      <c r="L163" s="379">
        <f>IF(H163&lt;&gt;"",J163*K163,SUMIFS(L164:L$9844,$F164:$F$9844,"*"&amp;F163&amp;"*",$H164:$H$9844,"&lt;&gt;"))</f>
        <v>0</v>
      </c>
      <c r="M163" s="379" t="str">
        <f>IF(Tabela2[[#This Row],[UNID.]]&lt;&gt;"",IFERROR(VLOOKUP(Tabela2[[#This Row],[AGRUPADOR]],Lucratividade!$D$4:$O$129,6,0),0),"")</f>
        <v/>
      </c>
      <c r="N163" s="379">
        <f>IF(H163&lt;&gt;"",J163*M163*I163,SUMIFS(N164:N$9844,$F164:$F$9844,"*"&amp;F163&amp;"*",$H164:$H$9844,"&lt;&gt;"))</f>
        <v>0</v>
      </c>
      <c r="O163" s="162" t="str">
        <f>IFERROR((-Tabela2[[#This Row],[CUSTO TOTAL]]+Tabela2[[#This Row],[VENDA TOTAL]])/Tabela2[[#This Row],[VENDA TOTAL]]-PARAMETROS!$C$19,"")</f>
        <v/>
      </c>
      <c r="AA163" s="219">
        <f>SUM(Plan_Orc[[#This Row],[01/jan]:[01/dez]])</f>
        <v>0</v>
      </c>
      <c r="AB163" s="114"/>
      <c r="AC163" s="114"/>
      <c r="AD163" s="114"/>
      <c r="AE163" s="114"/>
      <c r="AF163" s="114"/>
      <c r="AG163" s="114"/>
      <c r="AH163" s="114"/>
      <c r="AI163" s="114"/>
      <c r="AJ163" s="114"/>
      <c r="AK163" s="114"/>
      <c r="AL163" s="114"/>
      <c r="AM163" s="114"/>
    </row>
    <row r="164" spans="2:39" ht="25.2" customHeight="1" x14ac:dyDescent="0.3">
      <c r="B164" s="13" t="str">
        <f t="shared" si="5"/>
        <v/>
      </c>
      <c r="C164" s="18"/>
      <c r="D164" s="19" t="str">
        <f>IF(Tabela2[[#This Row],[AGRUPADOR]]&lt;&gt;"",VLOOKUP(Tabela2[[#This Row],[AGRUPADOR]],Tabela1[],2,0),"")</f>
        <v/>
      </c>
      <c r="E164" s="19" t="str">
        <f>IF(Tabela2[[#This Row],[AGRUPADOR]]&lt;&gt;"",VLOOKUP(Tabela2[[#This Row],[AGRUPADOR]],Tabela1[],4,0),"")</f>
        <v/>
      </c>
      <c r="F164" s="14"/>
      <c r="G164" s="6"/>
      <c r="H164" s="6"/>
      <c r="I164" s="25"/>
      <c r="J164" s="7"/>
      <c r="K164" s="15" t="str">
        <f>IF(Tabela2[[#This Row],[UNID.]]&lt;&gt;"",S164*(1+$R$2),"")</f>
        <v/>
      </c>
      <c r="L164" s="379">
        <f>IF(H164&lt;&gt;"",J164*K164,SUMIFS(L165:L$9844,$F165:$F$9844,"*"&amp;F164&amp;"*",$H165:$H$9844,"&lt;&gt;"))</f>
        <v>0</v>
      </c>
      <c r="M164" s="379" t="str">
        <f>IF(Tabela2[[#This Row],[UNID.]]&lt;&gt;"",IFERROR(VLOOKUP(Tabela2[[#This Row],[AGRUPADOR]],Lucratividade!$D$4:$O$129,6,0),0),"")</f>
        <v/>
      </c>
      <c r="N164" s="379">
        <f>IF(H164&lt;&gt;"",J164*M164*I164,SUMIFS(N165:N$9844,$F165:$F$9844,"*"&amp;F164&amp;"*",$H165:$H$9844,"&lt;&gt;"))</f>
        <v>0</v>
      </c>
      <c r="O164" s="162" t="str">
        <f>IFERROR((-Tabela2[[#This Row],[CUSTO TOTAL]]+Tabela2[[#This Row],[VENDA TOTAL]])/Tabela2[[#This Row],[VENDA TOTAL]]-PARAMETROS!$C$19,"")</f>
        <v/>
      </c>
      <c r="AA164" s="218">
        <f>SUM(Plan_Orc[[#This Row],[01/jan]:[01/dez]])</f>
        <v>0</v>
      </c>
      <c r="AB164" s="113"/>
      <c r="AC164" s="113"/>
      <c r="AD164" s="113"/>
      <c r="AE164" s="113"/>
      <c r="AF164" s="113"/>
      <c r="AG164" s="113"/>
      <c r="AH164" s="113"/>
      <c r="AI164" s="113"/>
      <c r="AJ164" s="113"/>
      <c r="AK164" s="113"/>
      <c r="AL164" s="113"/>
      <c r="AM164" s="113"/>
    </row>
    <row r="165" spans="2:39" ht="25.2" customHeight="1" x14ac:dyDescent="0.3">
      <c r="B165" s="13" t="str">
        <f t="shared" si="5"/>
        <v/>
      </c>
      <c r="C165" s="18"/>
      <c r="D165" s="19" t="str">
        <f>IF(Tabela2[[#This Row],[AGRUPADOR]]&lt;&gt;"",VLOOKUP(Tabela2[[#This Row],[AGRUPADOR]],Tabela1[],2,0),"")</f>
        <v/>
      </c>
      <c r="E165" s="19" t="str">
        <f>IF(Tabela2[[#This Row],[AGRUPADOR]]&lt;&gt;"",VLOOKUP(Tabela2[[#This Row],[AGRUPADOR]],Tabela1[],4,0),"")</f>
        <v/>
      </c>
      <c r="F165" s="14"/>
      <c r="G165" s="6"/>
      <c r="H165" s="6"/>
      <c r="I165" s="25"/>
      <c r="J165" s="7"/>
      <c r="K165" s="15" t="str">
        <f>IF(Tabela2[[#This Row],[UNID.]]&lt;&gt;"",S165*(1+$R$2),"")</f>
        <v/>
      </c>
      <c r="L165" s="379">
        <f>IF(H165&lt;&gt;"",J165*K165,SUMIFS(L166:L$9844,$F166:$F$9844,"*"&amp;F165&amp;"*",$H166:$H$9844,"&lt;&gt;"))</f>
        <v>0</v>
      </c>
      <c r="M165" s="379" t="str">
        <f>IF(Tabela2[[#This Row],[UNID.]]&lt;&gt;"",IFERROR(VLOOKUP(Tabela2[[#This Row],[AGRUPADOR]],Lucratividade!$D$4:$O$129,6,0),0),"")</f>
        <v/>
      </c>
      <c r="N165" s="379">
        <f>IF(H165&lt;&gt;"",J165*M165*I165,SUMIFS(N166:N$9844,$F166:$F$9844,"*"&amp;F165&amp;"*",$H166:$H$9844,"&lt;&gt;"))</f>
        <v>0</v>
      </c>
      <c r="O165" s="162" t="str">
        <f>IFERROR((-Tabela2[[#This Row],[CUSTO TOTAL]]+Tabela2[[#This Row],[VENDA TOTAL]])/Tabela2[[#This Row],[VENDA TOTAL]]-PARAMETROS!$C$19,"")</f>
        <v/>
      </c>
      <c r="AA165" s="224">
        <f>SUM(Plan_Orc[[#This Row],[01/jan]:[01/dez]])</f>
        <v>0</v>
      </c>
      <c r="AB165" s="215"/>
      <c r="AC165" s="215"/>
      <c r="AD165" s="215"/>
      <c r="AE165" s="215"/>
      <c r="AF165" s="215"/>
      <c r="AG165" s="215"/>
      <c r="AH165" s="215"/>
      <c r="AI165" s="215"/>
      <c r="AJ165" s="215"/>
      <c r="AK165" s="215"/>
      <c r="AL165" s="215"/>
      <c r="AM165" s="215"/>
    </row>
    <row r="166" spans="2:39" ht="25.2" customHeight="1" x14ac:dyDescent="0.3">
      <c r="B166" s="13" t="str">
        <f t="shared" si="5"/>
        <v/>
      </c>
      <c r="C166" s="18"/>
      <c r="D166" s="19" t="str">
        <f>IF(Tabela2[[#This Row],[AGRUPADOR]]&lt;&gt;"",VLOOKUP(Tabela2[[#This Row],[AGRUPADOR]],Tabela1[],2,0),"")</f>
        <v/>
      </c>
      <c r="E166" s="19" t="str">
        <f>IF(Tabela2[[#This Row],[AGRUPADOR]]&lt;&gt;"",VLOOKUP(Tabela2[[#This Row],[AGRUPADOR]],Tabela1[],4,0),"")</f>
        <v/>
      </c>
      <c r="F166" s="14"/>
      <c r="G166" s="6"/>
      <c r="H166" s="6"/>
      <c r="I166" s="25"/>
      <c r="J166" s="7"/>
      <c r="K166" s="15"/>
      <c r="L166" s="379">
        <f>IF(H166&lt;&gt;"",J166*K166,SUMIFS(L167:L$9844,$F167:$F$9844,"*"&amp;F166&amp;"*",$H167:$H$9844,"&lt;&gt;"))</f>
        <v>0</v>
      </c>
      <c r="M166" s="379" t="str">
        <f>IF(Tabela2[[#This Row],[UNID.]]&lt;&gt;"",IFERROR(VLOOKUP(Tabela2[[#This Row],[AGRUPADOR]],Lucratividade!$D$4:$O$129,6,0),0),"")</f>
        <v/>
      </c>
      <c r="N166" s="379">
        <f>IF(H166&lt;&gt;"",J166*M166*I166,SUMIFS(N167:N$9844,$F167:$F$9844,"*"&amp;F166&amp;"*",$H167:$H$9844,"&lt;&gt;"))</f>
        <v>0</v>
      </c>
      <c r="O166" s="162" t="str">
        <f>IFERROR((-Tabela2[[#This Row],[CUSTO TOTAL]]+Tabela2[[#This Row],[VENDA TOTAL]])/Tabela2[[#This Row],[VENDA TOTAL]]-PARAMETROS!$C$19,"")</f>
        <v/>
      </c>
      <c r="AA166" s="218">
        <f>SUM(Plan_Orc[[#This Row],[01/jan]:[01/dez]])</f>
        <v>0</v>
      </c>
      <c r="AB166" s="113"/>
      <c r="AC166" s="113"/>
      <c r="AD166" s="113"/>
      <c r="AE166" s="113"/>
      <c r="AF166" s="113"/>
      <c r="AG166" s="113"/>
      <c r="AH166" s="113"/>
      <c r="AI166" s="113"/>
      <c r="AJ166" s="113"/>
      <c r="AK166" s="113"/>
      <c r="AL166" s="113"/>
      <c r="AM166" s="113"/>
    </row>
    <row r="167" spans="2:39" ht="25.2" customHeight="1" x14ac:dyDescent="0.3">
      <c r="B167" s="13" t="str">
        <f t="shared" si="5"/>
        <v/>
      </c>
      <c r="C167" s="18"/>
      <c r="D167" s="19" t="str">
        <f>IF(Tabela2[[#This Row],[AGRUPADOR]]&lt;&gt;"",VLOOKUP(Tabela2[[#This Row],[AGRUPADOR]],Tabela1[],2,0),"")</f>
        <v/>
      </c>
      <c r="E167" s="19" t="str">
        <f>IF(Tabela2[[#This Row],[AGRUPADOR]]&lt;&gt;"",VLOOKUP(Tabela2[[#This Row],[AGRUPADOR]],Tabela1[],4,0),"")</f>
        <v/>
      </c>
      <c r="F167" s="14"/>
      <c r="G167" s="6"/>
      <c r="H167" s="6"/>
      <c r="I167" s="25"/>
      <c r="J167" s="7"/>
      <c r="K167" s="15"/>
      <c r="L167" s="379">
        <f>IF(H167&lt;&gt;"",J167*K167,SUMIFS(L168:L$9844,$F168:$F$9844,"*"&amp;F167&amp;"*",$H168:$H$9844,"&lt;&gt;"))</f>
        <v>0</v>
      </c>
      <c r="M167" s="379" t="str">
        <f>IF(Tabela2[[#This Row],[UNID.]]&lt;&gt;"",IFERROR(VLOOKUP(Tabela2[[#This Row],[AGRUPADOR]],Lucratividade!$D$4:$O$129,6,0),0),"")</f>
        <v/>
      </c>
      <c r="N167" s="379">
        <f>IF(H167&lt;&gt;"",J167*M167*I167,SUMIFS(N168:N$9844,$F168:$F$9844,"*"&amp;F167&amp;"*",$H168:$H$9844,"&lt;&gt;"))</f>
        <v>0</v>
      </c>
      <c r="O167" s="162" t="str">
        <f>IFERROR((-Tabela2[[#This Row],[CUSTO TOTAL]]+Tabela2[[#This Row],[VENDA TOTAL]])/Tabela2[[#This Row],[VENDA TOTAL]]-PARAMETROS!$C$19,"")</f>
        <v/>
      </c>
      <c r="AA167" s="219">
        <f>SUM(Plan_Orc[[#This Row],[01/jan]:[01/dez]])</f>
        <v>0</v>
      </c>
      <c r="AB167" s="114"/>
      <c r="AC167" s="114"/>
      <c r="AD167" s="114"/>
      <c r="AE167" s="114"/>
      <c r="AF167" s="114"/>
      <c r="AG167" s="114"/>
      <c r="AH167" s="114"/>
      <c r="AI167" s="114"/>
      <c r="AJ167" s="114"/>
      <c r="AK167" s="114"/>
      <c r="AL167" s="114"/>
      <c r="AM167" s="114"/>
    </row>
    <row r="168" spans="2:39" ht="25.2" customHeight="1" x14ac:dyDescent="0.3">
      <c r="B168" s="13" t="str">
        <f t="shared" si="5"/>
        <v/>
      </c>
      <c r="C168" s="18"/>
      <c r="D168" s="19" t="str">
        <f>IF(Tabela2[[#This Row],[AGRUPADOR]]&lt;&gt;"",VLOOKUP(Tabela2[[#This Row],[AGRUPADOR]],Tabela1[],2,0),"")</f>
        <v/>
      </c>
      <c r="E168" s="19" t="str">
        <f>IF(Tabela2[[#This Row],[AGRUPADOR]]&lt;&gt;"",VLOOKUP(Tabela2[[#This Row],[AGRUPADOR]],Tabela1[],4,0),"")</f>
        <v/>
      </c>
      <c r="F168" s="14"/>
      <c r="G168" s="6"/>
      <c r="H168" s="6"/>
      <c r="I168" s="25"/>
      <c r="J168" s="7"/>
      <c r="K168" s="15"/>
      <c r="L168" s="379">
        <f>IF(H168&lt;&gt;"",J168*K168,SUMIFS(L169:L$9844,$F169:$F$9844,"*"&amp;F168&amp;"*",$H169:$H$9844,"&lt;&gt;"))</f>
        <v>0</v>
      </c>
      <c r="M168" s="379" t="str">
        <f>IF(Tabela2[[#This Row],[UNID.]]&lt;&gt;"",IFERROR(VLOOKUP(Tabela2[[#This Row],[AGRUPADOR]],Lucratividade!$D$4:$O$129,6,0),0),"")</f>
        <v/>
      </c>
      <c r="N168" s="379">
        <f>IF(H168&lt;&gt;"",J168*M168*I168,SUMIFS(N169:N$9844,$F169:$F$9844,"*"&amp;F168&amp;"*",$H169:$H$9844,"&lt;&gt;"))</f>
        <v>0</v>
      </c>
      <c r="O168" s="162" t="str">
        <f>IFERROR((-Tabela2[[#This Row],[CUSTO TOTAL]]+Tabela2[[#This Row],[VENDA TOTAL]])/Tabela2[[#This Row],[VENDA TOTAL]]-PARAMETROS!$C$19,"")</f>
        <v/>
      </c>
      <c r="AA168" s="219">
        <f>SUM(Plan_Orc[[#This Row],[01/jan]:[01/dez]])</f>
        <v>0</v>
      </c>
      <c r="AB168" s="114"/>
      <c r="AC168" s="114"/>
      <c r="AD168" s="114"/>
      <c r="AE168" s="114"/>
      <c r="AF168" s="114"/>
      <c r="AG168" s="114"/>
      <c r="AH168" s="114"/>
      <c r="AI168" s="114"/>
      <c r="AJ168" s="114"/>
      <c r="AK168" s="114"/>
      <c r="AL168" s="114"/>
      <c r="AM168" s="114"/>
    </row>
    <row r="169" spans="2:39" ht="25.2" customHeight="1" x14ac:dyDescent="0.3">
      <c r="B169" s="13" t="str">
        <f t="shared" si="5"/>
        <v/>
      </c>
      <c r="C169" s="18"/>
      <c r="D169" s="19" t="str">
        <f>IF(Tabela2[[#This Row],[AGRUPADOR]]&lt;&gt;"",VLOOKUP(Tabela2[[#This Row],[AGRUPADOR]],Tabela1[],2,0),"")</f>
        <v/>
      </c>
      <c r="E169" s="19" t="str">
        <f>IF(Tabela2[[#This Row],[AGRUPADOR]]&lt;&gt;"",VLOOKUP(Tabela2[[#This Row],[AGRUPADOR]],Tabela1[],4,0),"")</f>
        <v/>
      </c>
      <c r="F169" s="14"/>
      <c r="G169" s="6"/>
      <c r="H169" s="6"/>
      <c r="I169" s="25"/>
      <c r="J169" s="7"/>
      <c r="K169" s="15"/>
      <c r="L169" s="379">
        <f>IF(H169&lt;&gt;"",J169*K169,SUMIFS(L170:L$9844,$F170:$F$9844,"*"&amp;F169&amp;"*",$H170:$H$9844,"&lt;&gt;"))</f>
        <v>0</v>
      </c>
      <c r="M169" s="379" t="str">
        <f>IF(Tabela2[[#This Row],[UNID.]]&lt;&gt;"",IFERROR(VLOOKUP(Tabela2[[#This Row],[AGRUPADOR]],Lucratividade!$D$4:$O$129,6,0),0),"")</f>
        <v/>
      </c>
      <c r="N169" s="379">
        <f>IF(H169&lt;&gt;"",J169*M169*I169,SUMIFS(N170:N$9844,$F170:$F$9844,"*"&amp;F169&amp;"*",$H170:$H$9844,"&lt;&gt;"))</f>
        <v>0</v>
      </c>
      <c r="O169" s="162" t="str">
        <f>IFERROR((-Tabela2[[#This Row],[CUSTO TOTAL]]+Tabela2[[#This Row],[VENDA TOTAL]])/Tabela2[[#This Row],[VENDA TOTAL]]-PARAMETROS!$C$19,"")</f>
        <v/>
      </c>
      <c r="AA169" s="219">
        <f>SUM(Plan_Orc[[#This Row],[01/jan]:[01/dez]])</f>
        <v>0</v>
      </c>
      <c r="AB169" s="114"/>
      <c r="AC169" s="114"/>
      <c r="AD169" s="114"/>
      <c r="AE169" s="114"/>
      <c r="AF169" s="114"/>
      <c r="AG169" s="114"/>
      <c r="AH169" s="114"/>
      <c r="AI169" s="114"/>
      <c r="AJ169" s="114"/>
      <c r="AK169" s="114"/>
      <c r="AL169" s="114"/>
      <c r="AM169" s="114"/>
    </row>
    <row r="170" spans="2:39" ht="25.2" customHeight="1" x14ac:dyDescent="0.3">
      <c r="B170" s="13" t="str">
        <f t="shared" si="5"/>
        <v/>
      </c>
      <c r="C170" s="18"/>
      <c r="D170" s="19" t="str">
        <f>IF(Tabela2[[#This Row],[AGRUPADOR]]&lt;&gt;"",VLOOKUP(Tabela2[[#This Row],[AGRUPADOR]],Tabela1[],2,0),"")</f>
        <v/>
      </c>
      <c r="E170" s="19" t="str">
        <f>IF(Tabela2[[#This Row],[AGRUPADOR]]&lt;&gt;"",VLOOKUP(Tabela2[[#This Row],[AGRUPADOR]],Tabela1[],4,0),"")</f>
        <v/>
      </c>
      <c r="F170" s="14"/>
      <c r="G170" s="6"/>
      <c r="H170" s="6"/>
      <c r="I170" s="25"/>
      <c r="J170" s="7"/>
      <c r="K170" s="15"/>
      <c r="L170" s="379">
        <f>IF(H170&lt;&gt;"",J170*K170,SUMIFS(L171:L$9844,$F171:$F$9844,"*"&amp;F170&amp;"*",$H171:$H$9844,"&lt;&gt;"))</f>
        <v>0</v>
      </c>
      <c r="M170" s="379" t="str">
        <f>IF(Tabela2[[#This Row],[UNID.]]&lt;&gt;"",IFERROR(VLOOKUP(Tabela2[[#This Row],[AGRUPADOR]],Lucratividade!$D$4:$O$129,6,0),0),"")</f>
        <v/>
      </c>
      <c r="N170" s="379">
        <f>IF(H170&lt;&gt;"",J170*M170*I170,SUMIFS(N171:N$9844,$F171:$F$9844,"*"&amp;F170&amp;"*",$H171:$H$9844,"&lt;&gt;"))</f>
        <v>0</v>
      </c>
      <c r="O170" s="162" t="str">
        <f>IFERROR((-Tabela2[[#This Row],[CUSTO TOTAL]]+Tabela2[[#This Row],[VENDA TOTAL]])/Tabela2[[#This Row],[VENDA TOTAL]]-PARAMETROS!$C$19,"")</f>
        <v/>
      </c>
      <c r="AA170" s="219">
        <f>SUM(Plan_Orc[[#This Row],[01/jan]:[01/dez]])</f>
        <v>0</v>
      </c>
      <c r="AB170" s="114"/>
      <c r="AC170" s="114"/>
      <c r="AD170" s="114"/>
      <c r="AE170" s="114"/>
      <c r="AF170" s="114"/>
      <c r="AG170" s="114"/>
      <c r="AH170" s="114"/>
      <c r="AI170" s="114"/>
      <c r="AJ170" s="114"/>
      <c r="AK170" s="114"/>
      <c r="AL170" s="114"/>
      <c r="AM170" s="114"/>
    </row>
    <row r="171" spans="2:39" ht="25.2" customHeight="1" x14ac:dyDescent="0.3">
      <c r="B171" s="13" t="str">
        <f t="shared" si="5"/>
        <v/>
      </c>
      <c r="C171" s="18"/>
      <c r="D171" s="19" t="str">
        <f>IF(Tabela2[[#This Row],[AGRUPADOR]]&lt;&gt;"",VLOOKUP(Tabela2[[#This Row],[AGRUPADOR]],Tabela1[],2,0),"")</f>
        <v/>
      </c>
      <c r="E171" s="19" t="str">
        <f>IF(Tabela2[[#This Row],[AGRUPADOR]]&lt;&gt;"",VLOOKUP(Tabela2[[#This Row],[AGRUPADOR]],Tabela1[],4,0),"")</f>
        <v/>
      </c>
      <c r="F171" s="14"/>
      <c r="G171" s="6"/>
      <c r="H171" s="6"/>
      <c r="I171" s="25"/>
      <c r="J171" s="7"/>
      <c r="K171" s="15"/>
      <c r="L171" s="379">
        <f>IF(H171&lt;&gt;"",J171*K171,SUMIFS(L172:L$9844,$F172:$F$9844,"*"&amp;F171&amp;"*",$H172:$H$9844,"&lt;&gt;"))</f>
        <v>0</v>
      </c>
      <c r="M171" s="379" t="str">
        <f>IF(Tabela2[[#This Row],[UNID.]]&lt;&gt;"",IFERROR(VLOOKUP(Tabela2[[#This Row],[AGRUPADOR]],Lucratividade!$D$4:$O$129,6,0),0),"")</f>
        <v/>
      </c>
      <c r="N171" s="379">
        <f>IF(H171&lt;&gt;"",J171*M171*I171,SUMIFS(N172:N$9844,$F172:$F$9844,"*"&amp;F171&amp;"*",$H172:$H$9844,"&lt;&gt;"))</f>
        <v>0</v>
      </c>
      <c r="O171" s="162" t="str">
        <f>IFERROR((-Tabela2[[#This Row],[CUSTO TOTAL]]+Tabela2[[#This Row],[VENDA TOTAL]])/Tabela2[[#This Row],[VENDA TOTAL]]-PARAMETROS!$C$19,"")</f>
        <v/>
      </c>
      <c r="AA171" s="219">
        <f>SUM(Plan_Orc[[#This Row],[01/jan]:[01/dez]])</f>
        <v>0</v>
      </c>
      <c r="AB171" s="114"/>
      <c r="AC171" s="114"/>
      <c r="AD171" s="114"/>
      <c r="AE171" s="114"/>
      <c r="AF171" s="114"/>
      <c r="AG171" s="114"/>
      <c r="AH171" s="114"/>
      <c r="AI171" s="114"/>
      <c r="AJ171" s="114"/>
      <c r="AK171" s="114"/>
      <c r="AL171" s="114"/>
      <c r="AM171" s="114"/>
    </row>
    <row r="172" spans="2:39" ht="25.2" customHeight="1" x14ac:dyDescent="0.3">
      <c r="B172" s="13" t="str">
        <f t="shared" si="5"/>
        <v/>
      </c>
      <c r="C172" s="18"/>
      <c r="D172" s="19" t="str">
        <f>IF(Tabela2[[#This Row],[AGRUPADOR]]&lt;&gt;"",VLOOKUP(Tabela2[[#This Row],[AGRUPADOR]],Tabela1[],2,0),"")</f>
        <v/>
      </c>
      <c r="E172" s="19" t="str">
        <f>IF(Tabela2[[#This Row],[AGRUPADOR]]&lt;&gt;"",VLOOKUP(Tabela2[[#This Row],[AGRUPADOR]],Tabela1[],4,0),"")</f>
        <v/>
      </c>
      <c r="F172" s="14"/>
      <c r="G172" s="6"/>
      <c r="H172" s="6"/>
      <c r="I172" s="25"/>
      <c r="J172" s="7"/>
      <c r="K172" s="15"/>
      <c r="L172" s="379">
        <f>IF(H172&lt;&gt;"",J172*K172,SUMIFS(L173:L$9844,$F173:$F$9844,"*"&amp;F172&amp;"*",$H173:$H$9844,"&lt;&gt;"))</f>
        <v>0</v>
      </c>
      <c r="M172" s="379" t="str">
        <f>IF(Tabela2[[#This Row],[UNID.]]&lt;&gt;"",IFERROR(VLOOKUP(Tabela2[[#This Row],[AGRUPADOR]],Lucratividade!$D$4:$O$129,6,0),0),"")</f>
        <v/>
      </c>
      <c r="N172" s="379">
        <f>IF(H172&lt;&gt;"",J172*M172*I172,SUMIFS(N173:N$9844,$F173:$F$9844,"*"&amp;F172&amp;"*",$H173:$H$9844,"&lt;&gt;"))</f>
        <v>0</v>
      </c>
      <c r="O172" s="162" t="str">
        <f>IFERROR((-Tabela2[[#This Row],[CUSTO TOTAL]]+Tabela2[[#This Row],[VENDA TOTAL]])/Tabela2[[#This Row],[VENDA TOTAL]]-PARAMETROS!$C$19,"")</f>
        <v/>
      </c>
      <c r="AA172" s="219">
        <f>SUM(Plan_Orc[[#This Row],[01/jan]:[01/dez]])</f>
        <v>0</v>
      </c>
      <c r="AB172" s="114"/>
      <c r="AC172" s="114"/>
      <c r="AD172" s="114"/>
      <c r="AE172" s="114"/>
      <c r="AF172" s="114"/>
      <c r="AG172" s="114"/>
      <c r="AH172" s="114"/>
      <c r="AI172" s="114"/>
      <c r="AJ172" s="114"/>
      <c r="AK172" s="114"/>
      <c r="AL172" s="114"/>
      <c r="AM172" s="114"/>
    </row>
    <row r="173" spans="2:39" ht="25.2" customHeight="1" x14ac:dyDescent="0.3">
      <c r="B173" s="13" t="str">
        <f t="shared" si="5"/>
        <v/>
      </c>
      <c r="C173" s="18"/>
      <c r="D173" s="19" t="str">
        <f>IF(Tabela2[[#This Row],[AGRUPADOR]]&lt;&gt;"",VLOOKUP(Tabela2[[#This Row],[AGRUPADOR]],Tabela1[],2,0),"")</f>
        <v/>
      </c>
      <c r="E173" s="19" t="str">
        <f>IF(Tabela2[[#This Row],[AGRUPADOR]]&lt;&gt;"",VLOOKUP(Tabela2[[#This Row],[AGRUPADOR]],Tabela1[],4,0),"")</f>
        <v/>
      </c>
      <c r="F173" s="14"/>
      <c r="G173" s="6"/>
      <c r="H173" s="6"/>
      <c r="I173" s="25"/>
      <c r="J173" s="7"/>
      <c r="K173" s="15"/>
      <c r="L173" s="379">
        <f>IF(H173&lt;&gt;"",J173*K173,SUMIFS(L174:L$9844,$F174:$F$9844,"*"&amp;F173&amp;"*",$H174:$H$9844,"&lt;&gt;"))</f>
        <v>0</v>
      </c>
      <c r="M173" s="379" t="str">
        <f>IF(Tabela2[[#This Row],[UNID.]]&lt;&gt;"",IFERROR(VLOOKUP(Tabela2[[#This Row],[AGRUPADOR]],Lucratividade!$D$4:$O$129,6,0),0),"")</f>
        <v/>
      </c>
      <c r="N173" s="379">
        <f>IF(H173&lt;&gt;"",J173*M173*I173,SUMIFS(N174:N$9844,$F174:$F$9844,"*"&amp;F173&amp;"*",$H174:$H$9844,"&lt;&gt;"))</f>
        <v>0</v>
      </c>
      <c r="O173" s="162" t="str">
        <f>IFERROR((-Tabela2[[#This Row],[CUSTO TOTAL]]+Tabela2[[#This Row],[VENDA TOTAL]])/Tabela2[[#This Row],[VENDA TOTAL]]-PARAMETROS!$C$19,"")</f>
        <v/>
      </c>
      <c r="AA173" s="219">
        <f>SUM(Plan_Orc[[#This Row],[01/jan]:[01/dez]])</f>
        <v>0</v>
      </c>
      <c r="AB173" s="114"/>
      <c r="AC173" s="114"/>
      <c r="AD173" s="114"/>
      <c r="AE173" s="114"/>
      <c r="AF173" s="114"/>
      <c r="AG173" s="114"/>
      <c r="AH173" s="114"/>
      <c r="AI173" s="114"/>
      <c r="AJ173" s="114"/>
      <c r="AK173" s="114"/>
      <c r="AL173" s="114"/>
      <c r="AM173" s="114"/>
    </row>
    <row r="174" spans="2:39" ht="25.2" customHeight="1" x14ac:dyDescent="0.3">
      <c r="B174" s="13" t="str">
        <f t="shared" si="5"/>
        <v/>
      </c>
      <c r="C174" s="18"/>
      <c r="D174" s="19" t="str">
        <f>IF(Tabela2[[#This Row],[AGRUPADOR]]&lt;&gt;"",VLOOKUP(Tabela2[[#This Row],[AGRUPADOR]],Tabela1[],2,0),"")</f>
        <v/>
      </c>
      <c r="E174" s="19" t="str">
        <f>IF(Tabela2[[#This Row],[AGRUPADOR]]&lt;&gt;"",VLOOKUP(Tabela2[[#This Row],[AGRUPADOR]],Tabela1[],4,0),"")</f>
        <v/>
      </c>
      <c r="F174" s="14"/>
      <c r="G174" s="6"/>
      <c r="H174" s="6"/>
      <c r="I174" s="25"/>
      <c r="J174" s="7"/>
      <c r="K174" s="15"/>
      <c r="L174" s="379">
        <f>IF(H174&lt;&gt;"",J174*K174,SUMIFS(L175:L$9844,$F175:$F$9844,"*"&amp;F174&amp;"*",$H175:$H$9844,"&lt;&gt;"))</f>
        <v>0</v>
      </c>
      <c r="M174" s="379" t="str">
        <f>IF(Tabela2[[#This Row],[UNID.]]&lt;&gt;"",IFERROR(VLOOKUP(Tabela2[[#This Row],[AGRUPADOR]],Lucratividade!$D$4:$O$129,6,0),0),"")</f>
        <v/>
      </c>
      <c r="N174" s="379">
        <f>IF(H174&lt;&gt;"",J174*M174*I174,SUMIFS(N175:N$9844,$F175:$F$9844,"*"&amp;F174&amp;"*",$H175:$H$9844,"&lt;&gt;"))</f>
        <v>0</v>
      </c>
      <c r="O174" s="162" t="str">
        <f>IFERROR((-Tabela2[[#This Row],[CUSTO TOTAL]]+Tabela2[[#This Row],[VENDA TOTAL]])/Tabela2[[#This Row],[VENDA TOTAL]]-PARAMETROS!$C$19,"")</f>
        <v/>
      </c>
      <c r="AA174" s="219">
        <f>SUM(Plan_Orc[[#This Row],[01/jan]:[01/dez]])</f>
        <v>0</v>
      </c>
      <c r="AB174" s="114"/>
      <c r="AC174" s="114"/>
      <c r="AD174" s="114"/>
      <c r="AE174" s="114"/>
      <c r="AF174" s="114"/>
      <c r="AG174" s="114"/>
      <c r="AH174" s="114"/>
      <c r="AI174" s="114"/>
      <c r="AJ174" s="114"/>
      <c r="AK174" s="114"/>
      <c r="AL174" s="114"/>
      <c r="AM174" s="114"/>
    </row>
    <row r="175" spans="2:39" ht="25.2" customHeight="1" x14ac:dyDescent="0.3">
      <c r="B175" s="13" t="str">
        <f t="shared" si="5"/>
        <v/>
      </c>
      <c r="C175" s="18"/>
      <c r="D175" s="19" t="str">
        <f>IF(Tabela2[[#This Row],[AGRUPADOR]]&lt;&gt;"",VLOOKUP(Tabela2[[#This Row],[AGRUPADOR]],Tabela1[],2,0),"")</f>
        <v/>
      </c>
      <c r="E175" s="19" t="str">
        <f>IF(Tabela2[[#This Row],[AGRUPADOR]]&lt;&gt;"",VLOOKUP(Tabela2[[#This Row],[AGRUPADOR]],Tabela1[],4,0),"")</f>
        <v/>
      </c>
      <c r="F175" s="14"/>
      <c r="G175" s="6"/>
      <c r="H175" s="6"/>
      <c r="I175" s="25"/>
      <c r="J175" s="7"/>
      <c r="K175" s="15"/>
      <c r="L175" s="379">
        <f>IF(H175&lt;&gt;"",J175*K175,SUMIFS(L176:L$9844,$F176:$F$9844,"*"&amp;F175&amp;"*",$H176:$H$9844,"&lt;&gt;"))</f>
        <v>0</v>
      </c>
      <c r="M175" s="379" t="str">
        <f>IF(Tabela2[[#This Row],[UNID.]]&lt;&gt;"",IFERROR(VLOOKUP(Tabela2[[#This Row],[AGRUPADOR]],Lucratividade!$D$4:$O$129,6,0),0),"")</f>
        <v/>
      </c>
      <c r="N175" s="379">
        <f>IF(H175&lt;&gt;"",J175*M175*I175,SUMIFS(N176:N$9844,$F176:$F$9844,"*"&amp;F175&amp;"*",$H176:$H$9844,"&lt;&gt;"))</f>
        <v>0</v>
      </c>
      <c r="O175" s="162" t="str">
        <f>IFERROR((-Tabela2[[#This Row],[CUSTO TOTAL]]+Tabela2[[#This Row],[VENDA TOTAL]])/Tabela2[[#This Row],[VENDA TOTAL]]-PARAMETROS!$C$19,"")</f>
        <v/>
      </c>
      <c r="AA175" s="219">
        <f>SUM(Plan_Orc[[#This Row],[01/jan]:[01/dez]])</f>
        <v>0</v>
      </c>
      <c r="AB175" s="114"/>
      <c r="AC175" s="114"/>
      <c r="AD175" s="114"/>
      <c r="AE175" s="114"/>
      <c r="AF175" s="114"/>
      <c r="AG175" s="114"/>
      <c r="AH175" s="114"/>
      <c r="AI175" s="114"/>
      <c r="AJ175" s="114"/>
      <c r="AK175" s="114"/>
      <c r="AL175" s="114"/>
      <c r="AM175" s="114"/>
    </row>
    <row r="176" spans="2:39" ht="25.2" customHeight="1" x14ac:dyDescent="0.3">
      <c r="B176" s="13" t="str">
        <f t="shared" si="5"/>
        <v/>
      </c>
      <c r="C176" s="18"/>
      <c r="D176" s="19" t="str">
        <f>IF(Tabela2[[#This Row],[AGRUPADOR]]&lt;&gt;"",VLOOKUP(Tabela2[[#This Row],[AGRUPADOR]],Tabela1[],2,0),"")</f>
        <v/>
      </c>
      <c r="E176" s="19" t="str">
        <f>IF(Tabela2[[#This Row],[AGRUPADOR]]&lt;&gt;"",VLOOKUP(Tabela2[[#This Row],[AGRUPADOR]],Tabela1[],4,0),"")</f>
        <v/>
      </c>
      <c r="F176" s="14"/>
      <c r="G176" s="6"/>
      <c r="H176" s="6"/>
      <c r="I176" s="25"/>
      <c r="J176" s="7"/>
      <c r="K176" s="15"/>
      <c r="L176" s="379">
        <f>IF(H176&lt;&gt;"",J176*K176,SUMIFS(L177:L$9844,$F177:$F$9844,"*"&amp;F176&amp;"*",$H177:$H$9844,"&lt;&gt;"))</f>
        <v>0</v>
      </c>
      <c r="M176" s="379" t="str">
        <f>IF(Tabela2[[#This Row],[UNID.]]&lt;&gt;"",IFERROR(VLOOKUP(Tabela2[[#This Row],[AGRUPADOR]],Lucratividade!$D$4:$O$129,6,0),0),"")</f>
        <v/>
      </c>
      <c r="N176" s="379">
        <f>IF(H176&lt;&gt;"",J176*M176*I176,SUMIFS(N177:N$9844,$F177:$F$9844,"*"&amp;F176&amp;"*",$H177:$H$9844,"&lt;&gt;"))</f>
        <v>0</v>
      </c>
      <c r="O176" s="162" t="str">
        <f>IFERROR((-Tabela2[[#This Row],[CUSTO TOTAL]]+Tabela2[[#This Row],[VENDA TOTAL]])/Tabela2[[#This Row],[VENDA TOTAL]]-PARAMETROS!$C$19,"")</f>
        <v/>
      </c>
      <c r="AA176" s="219">
        <f>SUM(Plan_Orc[[#This Row],[01/jan]:[01/dez]])</f>
        <v>0</v>
      </c>
      <c r="AB176" s="114"/>
      <c r="AC176" s="114"/>
      <c r="AD176" s="114"/>
      <c r="AE176" s="114"/>
      <c r="AF176" s="114"/>
      <c r="AG176" s="114"/>
      <c r="AH176" s="114"/>
      <c r="AI176" s="114"/>
      <c r="AJ176" s="114"/>
      <c r="AK176" s="114"/>
      <c r="AL176" s="114"/>
      <c r="AM176" s="114"/>
    </row>
    <row r="177" spans="2:39" ht="25.2" customHeight="1" x14ac:dyDescent="0.3">
      <c r="B177" s="13" t="str">
        <f t="shared" si="5"/>
        <v/>
      </c>
      <c r="C177" s="18"/>
      <c r="D177" s="19" t="str">
        <f>IF(Tabela2[[#This Row],[AGRUPADOR]]&lt;&gt;"",VLOOKUP(Tabela2[[#This Row],[AGRUPADOR]],Tabela1[],2,0),"")</f>
        <v/>
      </c>
      <c r="E177" s="19" t="str">
        <f>IF(Tabela2[[#This Row],[AGRUPADOR]]&lt;&gt;"",VLOOKUP(Tabela2[[#This Row],[AGRUPADOR]],Tabela1[],4,0),"")</f>
        <v/>
      </c>
      <c r="F177" s="14"/>
      <c r="G177" s="6"/>
      <c r="H177" s="6"/>
      <c r="I177" s="25"/>
      <c r="J177" s="7"/>
      <c r="K177" s="15"/>
      <c r="L177" s="379">
        <f>IF(H177&lt;&gt;"",J177*K177,SUMIFS(L178:L$9844,$F178:$F$9844,"*"&amp;F177&amp;"*",$H178:$H$9844,"&lt;&gt;"))</f>
        <v>0</v>
      </c>
      <c r="M177" s="379" t="str">
        <f>IF(Tabela2[[#This Row],[UNID.]]&lt;&gt;"",IFERROR(VLOOKUP(Tabela2[[#This Row],[AGRUPADOR]],Lucratividade!$D$4:$O$129,6,0),0),"")</f>
        <v/>
      </c>
      <c r="N177" s="379">
        <f>IF(H177&lt;&gt;"",J177*M177*I177,SUMIFS(N178:N$9844,$F178:$F$9844,"*"&amp;F177&amp;"*",$H178:$H$9844,"&lt;&gt;"))</f>
        <v>0</v>
      </c>
      <c r="O177" s="162" t="str">
        <f>IFERROR((-Tabela2[[#This Row],[CUSTO TOTAL]]+Tabela2[[#This Row],[VENDA TOTAL]])/Tabela2[[#This Row],[VENDA TOTAL]]-PARAMETROS!$C$19,"")</f>
        <v/>
      </c>
      <c r="AA177" s="219">
        <f>SUM(Plan_Orc[[#This Row],[01/jan]:[01/dez]])</f>
        <v>0</v>
      </c>
      <c r="AB177" s="114"/>
      <c r="AC177" s="114"/>
      <c r="AD177" s="114"/>
      <c r="AE177" s="114"/>
      <c r="AF177" s="114"/>
      <c r="AG177" s="114"/>
      <c r="AH177" s="114"/>
      <c r="AI177" s="114"/>
      <c r="AJ177" s="114"/>
      <c r="AK177" s="114"/>
      <c r="AL177" s="114"/>
      <c r="AM177" s="114"/>
    </row>
    <row r="178" spans="2:39" ht="25.2" customHeight="1" x14ac:dyDescent="0.3">
      <c r="B178" s="13" t="str">
        <f t="shared" si="5"/>
        <v/>
      </c>
      <c r="C178" s="18"/>
      <c r="D178" s="19" t="str">
        <f>IF(Tabela2[[#This Row],[AGRUPADOR]]&lt;&gt;"",VLOOKUP(Tabela2[[#This Row],[AGRUPADOR]],Tabela1[],2,0),"")</f>
        <v/>
      </c>
      <c r="E178" s="19" t="str">
        <f>IF(Tabela2[[#This Row],[AGRUPADOR]]&lt;&gt;"",VLOOKUP(Tabela2[[#This Row],[AGRUPADOR]],Tabela1[],4,0),"")</f>
        <v/>
      </c>
      <c r="F178" s="14"/>
      <c r="G178" s="6"/>
      <c r="H178" s="6"/>
      <c r="I178" s="25"/>
      <c r="J178" s="7"/>
      <c r="K178" s="15"/>
      <c r="L178" s="379">
        <f>IF(H178&lt;&gt;"",J178*K178,SUMIFS(L179:L$9844,$F179:$F$9844,"*"&amp;F178&amp;"*",$H179:$H$9844,"&lt;&gt;"))</f>
        <v>0</v>
      </c>
      <c r="M178" s="379" t="str">
        <f>IF(Tabela2[[#This Row],[UNID.]]&lt;&gt;"",IFERROR(VLOOKUP(Tabela2[[#This Row],[AGRUPADOR]],Lucratividade!$D$4:$O$129,6,0),0),"")</f>
        <v/>
      </c>
      <c r="N178" s="379">
        <f>IF(H178&lt;&gt;"",J178*M178*I178,SUMIFS(N179:N$9844,$F179:$F$9844,"*"&amp;F178&amp;"*",$H179:$H$9844,"&lt;&gt;"))</f>
        <v>0</v>
      </c>
      <c r="O178" s="162" t="str">
        <f>IFERROR((-Tabela2[[#This Row],[CUSTO TOTAL]]+Tabela2[[#This Row],[VENDA TOTAL]])/Tabela2[[#This Row],[VENDA TOTAL]]-PARAMETROS!$C$19,"")</f>
        <v/>
      </c>
      <c r="AA178" s="218">
        <f>SUM(Plan_Orc[[#This Row],[01/jan]:[01/dez]])</f>
        <v>0</v>
      </c>
      <c r="AB178" s="113"/>
      <c r="AC178" s="113"/>
      <c r="AD178" s="113"/>
      <c r="AE178" s="113"/>
      <c r="AF178" s="113"/>
      <c r="AG178" s="113"/>
      <c r="AH178" s="113"/>
      <c r="AI178" s="113"/>
      <c r="AJ178" s="113"/>
      <c r="AK178" s="113"/>
      <c r="AL178" s="113"/>
      <c r="AM178" s="113"/>
    </row>
    <row r="179" spans="2:39" ht="25.2" customHeight="1" x14ac:dyDescent="0.3">
      <c r="B179" s="13" t="str">
        <f t="shared" si="5"/>
        <v/>
      </c>
      <c r="C179" s="18"/>
      <c r="D179" s="19" t="str">
        <f>IF(Tabela2[[#This Row],[AGRUPADOR]]&lt;&gt;"",VLOOKUP(Tabela2[[#This Row],[AGRUPADOR]],Tabela1[],2,0),"")</f>
        <v/>
      </c>
      <c r="E179" s="19" t="str">
        <f>IF(Tabela2[[#This Row],[AGRUPADOR]]&lt;&gt;"",VLOOKUP(Tabela2[[#This Row],[AGRUPADOR]],Tabela1[],4,0),"")</f>
        <v/>
      </c>
      <c r="F179" s="14"/>
      <c r="G179" s="6"/>
      <c r="H179" s="6"/>
      <c r="I179" s="25"/>
      <c r="J179" s="7"/>
      <c r="K179" s="15"/>
      <c r="L179" s="379">
        <f>IF(H179&lt;&gt;"",J179*K179,SUMIFS(L180:L$9844,$F180:$F$9844,"*"&amp;F179&amp;"*",$H180:$H$9844,"&lt;&gt;"))</f>
        <v>0</v>
      </c>
      <c r="M179" s="379" t="str">
        <f>IF(Tabela2[[#This Row],[UNID.]]&lt;&gt;"",IFERROR(VLOOKUP(Tabela2[[#This Row],[AGRUPADOR]],Lucratividade!$D$4:$O$129,6,0),0),"")</f>
        <v/>
      </c>
      <c r="N179" s="379">
        <f>IF(H179&lt;&gt;"",J179*M179*I179,SUMIFS(N180:N$9844,$F180:$F$9844,"*"&amp;F179&amp;"*",$H180:$H$9844,"&lt;&gt;"))</f>
        <v>0</v>
      </c>
      <c r="O179" s="162" t="str">
        <f>IFERROR((-Tabela2[[#This Row],[CUSTO TOTAL]]+Tabela2[[#This Row],[VENDA TOTAL]])/Tabela2[[#This Row],[VENDA TOTAL]]-PARAMETROS!$C$19,"")</f>
        <v/>
      </c>
      <c r="AA179" s="219">
        <f>SUM(Plan_Orc[[#This Row],[01/jan]:[01/dez]])</f>
        <v>0</v>
      </c>
      <c r="AB179" s="114"/>
      <c r="AC179" s="114"/>
      <c r="AD179" s="114"/>
      <c r="AE179" s="114"/>
      <c r="AF179" s="114"/>
      <c r="AG179" s="114"/>
      <c r="AH179" s="114"/>
      <c r="AI179" s="114"/>
      <c r="AJ179" s="114"/>
      <c r="AK179" s="114"/>
      <c r="AL179" s="114"/>
      <c r="AM179" s="114"/>
    </row>
    <row r="180" spans="2:39" ht="25.2" customHeight="1" x14ac:dyDescent="0.3">
      <c r="B180" s="13" t="str">
        <f t="shared" si="5"/>
        <v/>
      </c>
      <c r="C180" s="18"/>
      <c r="D180" s="19" t="str">
        <f>IF(Tabela2[[#This Row],[AGRUPADOR]]&lt;&gt;"",VLOOKUP(Tabela2[[#This Row],[AGRUPADOR]],Tabela1[],2,0),"")</f>
        <v/>
      </c>
      <c r="E180" s="19" t="str">
        <f>IF(Tabela2[[#This Row],[AGRUPADOR]]&lt;&gt;"",VLOOKUP(Tabela2[[#This Row],[AGRUPADOR]],Tabela1[],4,0),"")</f>
        <v/>
      </c>
      <c r="F180" s="14"/>
      <c r="G180" s="6"/>
      <c r="H180" s="6"/>
      <c r="I180" s="25"/>
      <c r="J180" s="7"/>
      <c r="K180" s="15"/>
      <c r="L180" s="379">
        <f>IF(H180&lt;&gt;"",J180*K180,SUMIFS(L181:L$9844,$F181:$F$9844,"*"&amp;F180&amp;"*",$H181:$H$9844,"&lt;&gt;"))</f>
        <v>0</v>
      </c>
      <c r="M180" s="379" t="str">
        <f>IF(Tabela2[[#This Row],[UNID.]]&lt;&gt;"",IFERROR(VLOOKUP(Tabela2[[#This Row],[AGRUPADOR]],Lucratividade!$D$4:$O$129,6,0),0),"")</f>
        <v/>
      </c>
      <c r="N180" s="379">
        <f>IF(H180&lt;&gt;"",J180*M180*I180,SUMIFS(N181:N$9844,$F181:$F$9844,"*"&amp;F180&amp;"*",$H181:$H$9844,"&lt;&gt;"))</f>
        <v>0</v>
      </c>
      <c r="O180" s="162" t="str">
        <f>IFERROR((-Tabela2[[#This Row],[CUSTO TOTAL]]+Tabela2[[#This Row],[VENDA TOTAL]])/Tabela2[[#This Row],[VENDA TOTAL]]-PARAMETROS!$C$19,"")</f>
        <v/>
      </c>
      <c r="AA180" s="219">
        <f>SUM(Plan_Orc[[#This Row],[01/jan]:[01/dez]])</f>
        <v>0</v>
      </c>
      <c r="AB180" s="114"/>
      <c r="AC180" s="114"/>
      <c r="AD180" s="114"/>
      <c r="AE180" s="114"/>
      <c r="AF180" s="114"/>
      <c r="AG180" s="114"/>
      <c r="AH180" s="114"/>
      <c r="AI180" s="114"/>
      <c r="AJ180" s="114"/>
      <c r="AK180" s="114"/>
      <c r="AL180" s="114"/>
      <c r="AM180" s="114"/>
    </row>
    <row r="181" spans="2:39" ht="25.2" customHeight="1" x14ac:dyDescent="0.3">
      <c r="B181" s="13" t="str">
        <f t="shared" si="5"/>
        <v/>
      </c>
      <c r="C181" s="18"/>
      <c r="D181" s="19" t="str">
        <f>IF(Tabela2[[#This Row],[AGRUPADOR]]&lt;&gt;"",VLOOKUP(Tabela2[[#This Row],[AGRUPADOR]],Tabela1[],2,0),"")</f>
        <v/>
      </c>
      <c r="E181" s="19" t="str">
        <f>IF(Tabela2[[#This Row],[AGRUPADOR]]&lt;&gt;"",VLOOKUP(Tabela2[[#This Row],[AGRUPADOR]],Tabela1[],4,0),"")</f>
        <v/>
      </c>
      <c r="F181" s="14"/>
      <c r="G181" s="6"/>
      <c r="H181" s="6"/>
      <c r="I181" s="25"/>
      <c r="J181" s="7"/>
      <c r="K181" s="15"/>
      <c r="L181" s="379">
        <f>IF(H181&lt;&gt;"",J181*K181,SUMIFS(L182:L$9844,$F182:$F$9844,"*"&amp;F181&amp;"*",$H182:$H$9844,"&lt;&gt;"))</f>
        <v>0</v>
      </c>
      <c r="M181" s="379" t="str">
        <f>IF(Tabela2[[#This Row],[UNID.]]&lt;&gt;"",IFERROR(VLOOKUP(Tabela2[[#This Row],[AGRUPADOR]],Lucratividade!$D$4:$O$129,6,0),0),"")</f>
        <v/>
      </c>
      <c r="N181" s="379">
        <f>IF(H181&lt;&gt;"",J181*M181*I181,SUMIFS(N182:N$9844,$F182:$F$9844,"*"&amp;F181&amp;"*",$H182:$H$9844,"&lt;&gt;"))</f>
        <v>0</v>
      </c>
      <c r="O181" s="162" t="str">
        <f>IFERROR((-Tabela2[[#This Row],[CUSTO TOTAL]]+Tabela2[[#This Row],[VENDA TOTAL]])/Tabela2[[#This Row],[VENDA TOTAL]]-PARAMETROS!$C$19,"")</f>
        <v/>
      </c>
      <c r="AA181" s="219">
        <f>SUM(Plan_Orc[[#This Row],[01/jan]:[01/dez]])</f>
        <v>0</v>
      </c>
      <c r="AB181" s="114"/>
      <c r="AC181" s="114"/>
      <c r="AD181" s="114"/>
      <c r="AE181" s="114"/>
      <c r="AF181" s="114"/>
      <c r="AG181" s="114"/>
      <c r="AH181" s="114"/>
      <c r="AI181" s="114"/>
      <c r="AJ181" s="114"/>
      <c r="AK181" s="114"/>
      <c r="AL181" s="114"/>
      <c r="AM181" s="114"/>
    </row>
    <row r="182" spans="2:39" ht="25.2" customHeight="1" x14ac:dyDescent="0.3">
      <c r="B182" s="13" t="str">
        <f t="shared" si="5"/>
        <v/>
      </c>
      <c r="C182" s="18"/>
      <c r="D182" s="19" t="str">
        <f>IF(Tabela2[[#This Row],[AGRUPADOR]]&lt;&gt;"",VLOOKUP(Tabela2[[#This Row],[AGRUPADOR]],Tabela1[],2,0),"")</f>
        <v/>
      </c>
      <c r="E182" s="19" t="str">
        <f>IF(Tabela2[[#This Row],[AGRUPADOR]]&lt;&gt;"",VLOOKUP(Tabela2[[#This Row],[AGRUPADOR]],Tabela1[],4,0),"")</f>
        <v/>
      </c>
      <c r="F182" s="14"/>
      <c r="G182" s="6"/>
      <c r="H182" s="6"/>
      <c r="I182" s="25"/>
      <c r="J182" s="7"/>
      <c r="K182" s="15"/>
      <c r="L182" s="379">
        <f>IF(H182&lt;&gt;"",J182*K182,SUMIFS(L183:L$9844,$F183:$F$9844,"*"&amp;F182&amp;"*",$H183:$H$9844,"&lt;&gt;"))</f>
        <v>0</v>
      </c>
      <c r="M182" s="379" t="str">
        <f>IF(Tabela2[[#This Row],[UNID.]]&lt;&gt;"",IFERROR(VLOOKUP(Tabela2[[#This Row],[AGRUPADOR]],Lucratividade!$D$4:$O$129,6,0),0),"")</f>
        <v/>
      </c>
      <c r="N182" s="379">
        <f>IF(H182&lt;&gt;"",J182*M182*I182,SUMIFS(N183:N$9844,$F183:$F$9844,"*"&amp;F182&amp;"*",$H183:$H$9844,"&lt;&gt;"))</f>
        <v>0</v>
      </c>
      <c r="O182" s="162" t="str">
        <f>IFERROR((-Tabela2[[#This Row],[CUSTO TOTAL]]+Tabela2[[#This Row],[VENDA TOTAL]])/Tabela2[[#This Row],[VENDA TOTAL]]-PARAMETROS!$C$19,"")</f>
        <v/>
      </c>
      <c r="AA182" s="219">
        <f>SUM(Plan_Orc[[#This Row],[01/jan]:[01/dez]])</f>
        <v>0</v>
      </c>
      <c r="AB182" s="114"/>
      <c r="AC182" s="114"/>
      <c r="AD182" s="114"/>
      <c r="AE182" s="114"/>
      <c r="AF182" s="114"/>
      <c r="AG182" s="114"/>
      <c r="AH182" s="114"/>
      <c r="AI182" s="114"/>
      <c r="AJ182" s="114"/>
      <c r="AK182" s="114"/>
      <c r="AL182" s="114"/>
      <c r="AM182" s="114"/>
    </row>
    <row r="183" spans="2:39" ht="25.2" customHeight="1" x14ac:dyDescent="0.3">
      <c r="B183" s="13" t="str">
        <f t="shared" si="5"/>
        <v/>
      </c>
      <c r="C183" s="18"/>
      <c r="D183" s="19" t="str">
        <f>IF(Tabela2[[#This Row],[AGRUPADOR]]&lt;&gt;"",VLOOKUP(Tabela2[[#This Row],[AGRUPADOR]],Tabela1[],2,0),"")</f>
        <v/>
      </c>
      <c r="E183" s="19" t="str">
        <f>IF(Tabela2[[#This Row],[AGRUPADOR]]&lt;&gt;"",VLOOKUP(Tabela2[[#This Row],[AGRUPADOR]],Tabela1[],4,0),"")</f>
        <v/>
      </c>
      <c r="F183" s="14"/>
      <c r="G183" s="6"/>
      <c r="H183" s="6"/>
      <c r="I183" s="25"/>
      <c r="J183" s="7"/>
      <c r="K183" s="15"/>
      <c r="L183" s="379">
        <f>IF(H183&lt;&gt;"",J183*K183,SUMIFS(L184:L$9844,$F184:$F$9844,"*"&amp;F183&amp;"*",$H184:$H$9844,"&lt;&gt;"))</f>
        <v>0</v>
      </c>
      <c r="M183" s="379" t="str">
        <f>IF(Tabela2[[#This Row],[UNID.]]&lt;&gt;"",IFERROR(VLOOKUP(Tabela2[[#This Row],[AGRUPADOR]],Lucratividade!$D$4:$O$129,6,0),0),"")</f>
        <v/>
      </c>
      <c r="N183" s="379">
        <f>IF(H183&lt;&gt;"",J183*M183*I183,SUMIFS(N184:N$9844,$F184:$F$9844,"*"&amp;F183&amp;"*",$H184:$H$9844,"&lt;&gt;"))</f>
        <v>0</v>
      </c>
      <c r="O183" s="162" t="str">
        <f>IFERROR((-Tabela2[[#This Row],[CUSTO TOTAL]]+Tabela2[[#This Row],[VENDA TOTAL]])/Tabela2[[#This Row],[VENDA TOTAL]]-PARAMETROS!$C$19,"")</f>
        <v/>
      </c>
      <c r="AA183" s="219">
        <f>SUM(Plan_Orc[[#This Row],[01/jan]:[01/dez]])</f>
        <v>0</v>
      </c>
      <c r="AB183" s="114"/>
      <c r="AC183" s="114"/>
      <c r="AD183" s="114"/>
      <c r="AE183" s="114"/>
      <c r="AF183" s="114"/>
      <c r="AG183" s="114"/>
      <c r="AH183" s="114"/>
      <c r="AI183" s="114"/>
      <c r="AJ183" s="114"/>
      <c r="AK183" s="114"/>
      <c r="AL183" s="114"/>
      <c r="AM183" s="114"/>
    </row>
    <row r="184" spans="2:39" ht="25.2" customHeight="1" x14ac:dyDescent="0.3">
      <c r="B184" s="13" t="str">
        <f t="shared" si="5"/>
        <v/>
      </c>
      <c r="C184" s="18"/>
      <c r="D184" s="19" t="str">
        <f>IF(Tabela2[[#This Row],[AGRUPADOR]]&lt;&gt;"",VLOOKUP(Tabela2[[#This Row],[AGRUPADOR]],Tabela1[],2,0),"")</f>
        <v/>
      </c>
      <c r="E184" s="19" t="str">
        <f>IF(Tabela2[[#This Row],[AGRUPADOR]]&lt;&gt;"",VLOOKUP(Tabela2[[#This Row],[AGRUPADOR]],Tabela1[],4,0),"")</f>
        <v/>
      </c>
      <c r="F184" s="14"/>
      <c r="G184" s="6"/>
      <c r="H184" s="6"/>
      <c r="I184" s="25"/>
      <c r="J184" s="7"/>
      <c r="K184" s="15"/>
      <c r="L184" s="379">
        <f>IF(H184&lt;&gt;"",J184*K184,SUMIFS(L185:L$9844,$F185:$F$9844,"*"&amp;F184&amp;"*",$H185:$H$9844,"&lt;&gt;"))</f>
        <v>0</v>
      </c>
      <c r="M184" s="379" t="str">
        <f>IF(Tabela2[[#This Row],[UNID.]]&lt;&gt;"",IFERROR(VLOOKUP(Tabela2[[#This Row],[AGRUPADOR]],Lucratividade!$D$4:$O$129,6,0),0),"")</f>
        <v/>
      </c>
      <c r="N184" s="379">
        <f>IF(H184&lt;&gt;"",J184*M184*I184,SUMIFS(N185:N$9844,$F185:$F$9844,"*"&amp;F184&amp;"*",$H185:$H$9844,"&lt;&gt;"))</f>
        <v>0</v>
      </c>
      <c r="O184" s="162" t="str">
        <f>IFERROR((-Tabela2[[#This Row],[CUSTO TOTAL]]+Tabela2[[#This Row],[VENDA TOTAL]])/Tabela2[[#This Row],[VENDA TOTAL]]-PARAMETROS!$C$19,"")</f>
        <v/>
      </c>
      <c r="AA184" s="219">
        <f>SUM(Plan_Orc[[#This Row],[01/jan]:[01/dez]])</f>
        <v>0</v>
      </c>
      <c r="AB184" s="114"/>
      <c r="AC184" s="114"/>
      <c r="AD184" s="114"/>
      <c r="AE184" s="114"/>
      <c r="AF184" s="114"/>
      <c r="AG184" s="114"/>
      <c r="AH184" s="114"/>
      <c r="AI184" s="114"/>
      <c r="AJ184" s="114"/>
      <c r="AK184" s="114"/>
      <c r="AL184" s="114"/>
      <c r="AM184" s="114"/>
    </row>
    <row r="185" spans="2:39" ht="25.2" customHeight="1" x14ac:dyDescent="0.3">
      <c r="B185" s="13" t="str">
        <f t="shared" si="5"/>
        <v/>
      </c>
      <c r="C185" s="18"/>
      <c r="D185" s="19" t="str">
        <f>IF(Tabela2[[#This Row],[AGRUPADOR]]&lt;&gt;"",VLOOKUP(Tabela2[[#This Row],[AGRUPADOR]],Tabela1[],2,0),"")</f>
        <v/>
      </c>
      <c r="E185" s="19" t="str">
        <f>IF(Tabela2[[#This Row],[AGRUPADOR]]&lt;&gt;"",VLOOKUP(Tabela2[[#This Row],[AGRUPADOR]],Tabela1[],4,0),"")</f>
        <v/>
      </c>
      <c r="F185" s="14"/>
      <c r="G185" s="6"/>
      <c r="H185" s="6"/>
      <c r="I185" s="25"/>
      <c r="J185" s="7"/>
      <c r="K185" s="15"/>
      <c r="L185" s="379">
        <f>IF(H185&lt;&gt;"",J185*K185,SUMIFS(L186:L$9844,$F186:$F$9844,"*"&amp;F185&amp;"*",$H186:$H$9844,"&lt;&gt;"))</f>
        <v>0</v>
      </c>
      <c r="M185" s="379" t="str">
        <f>IF(Tabela2[[#This Row],[UNID.]]&lt;&gt;"",IFERROR(VLOOKUP(Tabela2[[#This Row],[AGRUPADOR]],Lucratividade!$D$4:$O$129,6,0),0),"")</f>
        <v/>
      </c>
      <c r="N185" s="379">
        <f>IF(H185&lt;&gt;"",J185*M185*I185,SUMIFS(N186:N$9844,$F186:$F$9844,"*"&amp;F185&amp;"*",$H186:$H$9844,"&lt;&gt;"))</f>
        <v>0</v>
      </c>
      <c r="O185" s="162" t="str">
        <f>IFERROR((-Tabela2[[#This Row],[CUSTO TOTAL]]+Tabela2[[#This Row],[VENDA TOTAL]])/Tabela2[[#This Row],[VENDA TOTAL]]-PARAMETROS!$C$19,"")</f>
        <v/>
      </c>
      <c r="AA185" s="219">
        <f>SUM(Plan_Orc[[#This Row],[01/jan]:[01/dez]])</f>
        <v>0</v>
      </c>
      <c r="AB185" s="114"/>
      <c r="AC185" s="114"/>
      <c r="AD185" s="114"/>
      <c r="AE185" s="114"/>
      <c r="AF185" s="114"/>
      <c r="AG185" s="114"/>
      <c r="AH185" s="114"/>
      <c r="AI185" s="114"/>
      <c r="AJ185" s="114"/>
      <c r="AK185" s="114"/>
      <c r="AL185" s="114"/>
      <c r="AM185" s="114"/>
    </row>
    <row r="186" spans="2:39" ht="25.2" customHeight="1" x14ac:dyDescent="0.3">
      <c r="B186" s="13" t="str">
        <f t="shared" si="5"/>
        <v/>
      </c>
      <c r="C186" s="18"/>
      <c r="D186" s="19" t="str">
        <f>IF(Tabela2[[#This Row],[AGRUPADOR]]&lt;&gt;"",VLOOKUP(Tabela2[[#This Row],[AGRUPADOR]],Tabela1[],2,0),"")</f>
        <v/>
      </c>
      <c r="E186" s="19" t="str">
        <f>IF(Tabela2[[#This Row],[AGRUPADOR]]&lt;&gt;"",VLOOKUP(Tabela2[[#This Row],[AGRUPADOR]],Tabela1[],4,0),"")</f>
        <v/>
      </c>
      <c r="F186" s="14"/>
      <c r="G186" s="6"/>
      <c r="H186" s="6"/>
      <c r="I186" s="25"/>
      <c r="J186" s="7"/>
      <c r="K186" s="15"/>
      <c r="L186" s="379">
        <f>IF(H186&lt;&gt;"",J186*K186,SUMIFS(L187:L$9844,$F187:$F$9844,"*"&amp;F186&amp;"*",$H187:$H$9844,"&lt;&gt;"))</f>
        <v>0</v>
      </c>
      <c r="M186" s="379" t="str">
        <f>IF(Tabela2[[#This Row],[UNID.]]&lt;&gt;"",IFERROR(VLOOKUP(Tabela2[[#This Row],[AGRUPADOR]],Lucratividade!$D$4:$O$129,6,0),0),"")</f>
        <v/>
      </c>
      <c r="N186" s="379">
        <f>IF(H186&lt;&gt;"",J186*M186*I186,SUMIFS(N187:N$9844,$F187:$F$9844,"*"&amp;F186&amp;"*",$H187:$H$9844,"&lt;&gt;"))</f>
        <v>0</v>
      </c>
      <c r="O186" s="162" t="str">
        <f>IFERROR((-Tabela2[[#This Row],[CUSTO TOTAL]]+Tabela2[[#This Row],[VENDA TOTAL]])/Tabela2[[#This Row],[VENDA TOTAL]]-PARAMETROS!$C$19,"")</f>
        <v/>
      </c>
      <c r="AA186" s="219">
        <f>SUM(Plan_Orc[[#This Row],[01/jan]:[01/dez]])</f>
        <v>0</v>
      </c>
      <c r="AB186" s="114"/>
      <c r="AC186" s="114"/>
      <c r="AD186" s="114"/>
      <c r="AE186" s="114"/>
      <c r="AF186" s="114"/>
      <c r="AG186" s="114"/>
      <c r="AH186" s="114"/>
      <c r="AI186" s="114"/>
      <c r="AJ186" s="114"/>
      <c r="AK186" s="114"/>
      <c r="AL186" s="114"/>
      <c r="AM186" s="114"/>
    </row>
    <row r="187" spans="2:39" ht="25.2" customHeight="1" x14ac:dyDescent="0.3">
      <c r="B187" s="13" t="str">
        <f t="shared" si="5"/>
        <v/>
      </c>
      <c r="C187" s="18"/>
      <c r="D187" s="19" t="str">
        <f>IF(Tabela2[[#This Row],[AGRUPADOR]]&lt;&gt;"",VLOOKUP(Tabela2[[#This Row],[AGRUPADOR]],Tabela1[],2,0),"")</f>
        <v/>
      </c>
      <c r="E187" s="19" t="str">
        <f>IF(Tabela2[[#This Row],[AGRUPADOR]]&lt;&gt;"",VLOOKUP(Tabela2[[#This Row],[AGRUPADOR]],Tabela1[],4,0),"")</f>
        <v/>
      </c>
      <c r="F187" s="14"/>
      <c r="G187" s="6"/>
      <c r="H187" s="6"/>
      <c r="I187" s="25"/>
      <c r="J187" s="7"/>
      <c r="K187" s="15"/>
      <c r="L187" s="379">
        <f>IF(H187&lt;&gt;"",J187*K187,SUMIFS(L188:L$9844,$F188:$F$9844,"*"&amp;F187&amp;"*",$H188:$H$9844,"&lt;&gt;"))</f>
        <v>0</v>
      </c>
      <c r="M187" s="379" t="str">
        <f>IF(Tabela2[[#This Row],[UNID.]]&lt;&gt;"",IFERROR(VLOOKUP(Tabela2[[#This Row],[AGRUPADOR]],Lucratividade!$D$4:$O$129,6,0),0),"")</f>
        <v/>
      </c>
      <c r="N187" s="379">
        <f>IF(H187&lt;&gt;"",J187*M187*I187,SUMIFS(N188:N$9844,$F188:$F$9844,"*"&amp;F187&amp;"*",$H188:$H$9844,"&lt;&gt;"))</f>
        <v>0</v>
      </c>
      <c r="O187" s="162" t="str">
        <f>IFERROR((-Tabela2[[#This Row],[CUSTO TOTAL]]+Tabela2[[#This Row],[VENDA TOTAL]])/Tabela2[[#This Row],[VENDA TOTAL]]-PARAMETROS!$C$19,"")</f>
        <v/>
      </c>
      <c r="AA187" s="219">
        <f>SUM(Plan_Orc[[#This Row],[01/jan]:[01/dez]])</f>
        <v>0</v>
      </c>
      <c r="AB187" s="114"/>
      <c r="AC187" s="114"/>
      <c r="AD187" s="114"/>
      <c r="AE187" s="114"/>
      <c r="AF187" s="114"/>
      <c r="AG187" s="114"/>
      <c r="AH187" s="114"/>
      <c r="AI187" s="114"/>
      <c r="AJ187" s="114"/>
      <c r="AK187" s="114"/>
      <c r="AL187" s="114"/>
      <c r="AM187" s="114"/>
    </row>
    <row r="188" spans="2:39" ht="25.2" customHeight="1" x14ac:dyDescent="0.3">
      <c r="B188" s="13" t="str">
        <f t="shared" si="5"/>
        <v/>
      </c>
      <c r="C188" s="18"/>
      <c r="D188" s="19" t="str">
        <f>IF(Tabela2[[#This Row],[AGRUPADOR]]&lt;&gt;"",VLOOKUP(Tabela2[[#This Row],[AGRUPADOR]],Tabela1[],2,0),"")</f>
        <v/>
      </c>
      <c r="E188" s="19" t="str">
        <f>IF(Tabela2[[#This Row],[AGRUPADOR]]&lt;&gt;"",VLOOKUP(Tabela2[[#This Row],[AGRUPADOR]],Tabela1[],4,0),"")</f>
        <v/>
      </c>
      <c r="F188" s="14"/>
      <c r="G188" s="6"/>
      <c r="H188" s="6"/>
      <c r="I188" s="25"/>
      <c r="J188" s="7"/>
      <c r="K188" s="15"/>
      <c r="L188" s="379">
        <f>IF(H188&lt;&gt;"",J188*K188,SUMIFS(L189:L$9844,$F189:$F$9844,"*"&amp;F188&amp;"*",$H189:$H$9844,"&lt;&gt;"))</f>
        <v>0</v>
      </c>
      <c r="M188" s="379" t="str">
        <f>IF(Tabela2[[#This Row],[UNID.]]&lt;&gt;"",IFERROR(VLOOKUP(Tabela2[[#This Row],[AGRUPADOR]],Lucratividade!$D$4:$O$129,6,0),0),"")</f>
        <v/>
      </c>
      <c r="N188" s="379">
        <f>IF(H188&lt;&gt;"",J188*M188*I188,SUMIFS(N189:N$9844,$F189:$F$9844,"*"&amp;F188&amp;"*",$H189:$H$9844,"&lt;&gt;"))</f>
        <v>0</v>
      </c>
      <c r="O188" s="162" t="str">
        <f>IFERROR((-Tabela2[[#This Row],[CUSTO TOTAL]]+Tabela2[[#This Row],[VENDA TOTAL]])/Tabela2[[#This Row],[VENDA TOTAL]]-PARAMETROS!$C$19,"")</f>
        <v/>
      </c>
      <c r="AA188" s="219">
        <f>SUM(Plan_Orc[[#This Row],[01/jan]:[01/dez]])</f>
        <v>0</v>
      </c>
      <c r="AB188" s="114"/>
      <c r="AC188" s="114"/>
      <c r="AD188" s="114"/>
      <c r="AE188" s="114"/>
      <c r="AF188" s="114"/>
      <c r="AG188" s="114"/>
      <c r="AH188" s="114"/>
      <c r="AI188" s="114"/>
      <c r="AJ188" s="114"/>
      <c r="AK188" s="114"/>
      <c r="AL188" s="114"/>
      <c r="AM188" s="114"/>
    </row>
    <row r="189" spans="2:39" ht="25.2" customHeight="1" x14ac:dyDescent="0.3">
      <c r="B189" s="13" t="str">
        <f t="shared" si="5"/>
        <v/>
      </c>
      <c r="C189" s="18"/>
      <c r="D189" s="19" t="str">
        <f>IF(Tabela2[[#This Row],[AGRUPADOR]]&lt;&gt;"",VLOOKUP(Tabela2[[#This Row],[AGRUPADOR]],Tabela1[],2,0),"")</f>
        <v/>
      </c>
      <c r="E189" s="19" t="str">
        <f>IF(Tabela2[[#This Row],[AGRUPADOR]]&lt;&gt;"",VLOOKUP(Tabela2[[#This Row],[AGRUPADOR]],Tabela1[],4,0),"")</f>
        <v/>
      </c>
      <c r="F189" s="14"/>
      <c r="G189" s="6"/>
      <c r="H189" s="6"/>
      <c r="I189" s="25"/>
      <c r="J189" s="7"/>
      <c r="K189" s="15"/>
      <c r="L189" s="379">
        <f>IF(H189&lt;&gt;"",J189*K189,SUMIFS(L190:L$9844,$F190:$F$9844,"*"&amp;F189&amp;"*",$H190:$H$9844,"&lt;&gt;"))</f>
        <v>0</v>
      </c>
      <c r="M189" s="379" t="str">
        <f>IF(Tabela2[[#This Row],[UNID.]]&lt;&gt;"",IFERROR(VLOOKUP(Tabela2[[#This Row],[AGRUPADOR]],Lucratividade!$D$4:$O$129,6,0),0),"")</f>
        <v/>
      </c>
      <c r="N189" s="379">
        <f>IF(H189&lt;&gt;"",J189*M189*I189,SUMIFS(N190:N$9844,$F190:$F$9844,"*"&amp;F189&amp;"*",$H190:$H$9844,"&lt;&gt;"))</f>
        <v>0</v>
      </c>
      <c r="O189" s="162" t="str">
        <f>IFERROR((-Tabela2[[#This Row],[CUSTO TOTAL]]+Tabela2[[#This Row],[VENDA TOTAL]])/Tabela2[[#This Row],[VENDA TOTAL]]-PARAMETROS!$C$19,"")</f>
        <v/>
      </c>
      <c r="AA189" s="219">
        <f>SUM(Plan_Orc[[#This Row],[01/jan]:[01/dez]])</f>
        <v>0</v>
      </c>
      <c r="AB189" s="114"/>
      <c r="AC189" s="114"/>
      <c r="AD189" s="114"/>
      <c r="AE189" s="114"/>
      <c r="AF189" s="114"/>
      <c r="AG189" s="114"/>
      <c r="AH189" s="114"/>
      <c r="AI189" s="114"/>
      <c r="AJ189" s="114"/>
      <c r="AK189" s="114"/>
      <c r="AL189" s="114"/>
      <c r="AM189" s="114"/>
    </row>
    <row r="190" spans="2:39" ht="25.2" customHeight="1" x14ac:dyDescent="0.3">
      <c r="B190" s="13" t="str">
        <f t="shared" si="5"/>
        <v/>
      </c>
      <c r="C190" s="18"/>
      <c r="D190" s="19" t="str">
        <f>IF(Tabela2[[#This Row],[AGRUPADOR]]&lt;&gt;"",VLOOKUP(Tabela2[[#This Row],[AGRUPADOR]],Tabela1[],2,0),"")</f>
        <v/>
      </c>
      <c r="E190" s="19" t="str">
        <f>IF(Tabela2[[#This Row],[AGRUPADOR]]&lt;&gt;"",VLOOKUP(Tabela2[[#This Row],[AGRUPADOR]],Tabela1[],4,0),"")</f>
        <v/>
      </c>
      <c r="F190" s="14"/>
      <c r="G190" s="6"/>
      <c r="H190" s="6"/>
      <c r="I190" s="25"/>
      <c r="J190" s="7"/>
      <c r="K190" s="15"/>
      <c r="L190" s="379">
        <f>IF(H190&lt;&gt;"",J190*K190,SUMIFS(L191:L$9844,$F191:$F$9844,"*"&amp;F190&amp;"*",$H191:$H$9844,"&lt;&gt;"))</f>
        <v>0</v>
      </c>
      <c r="M190" s="379" t="str">
        <f>IF(Tabela2[[#This Row],[UNID.]]&lt;&gt;"",IFERROR(VLOOKUP(Tabela2[[#This Row],[AGRUPADOR]],Lucratividade!$D$4:$O$129,6,0),0),"")</f>
        <v/>
      </c>
      <c r="N190" s="379">
        <f>IF(H190&lt;&gt;"",J190*M190*I190,SUMIFS(N191:N$9844,$F191:$F$9844,"*"&amp;F190&amp;"*",$H191:$H$9844,"&lt;&gt;"))</f>
        <v>0</v>
      </c>
      <c r="O190" s="162" t="str">
        <f>IFERROR((-Tabela2[[#This Row],[CUSTO TOTAL]]+Tabela2[[#This Row],[VENDA TOTAL]])/Tabela2[[#This Row],[VENDA TOTAL]]-PARAMETROS!$C$19,"")</f>
        <v/>
      </c>
      <c r="AA190" s="219">
        <f>SUM(Plan_Orc[[#This Row],[01/jan]:[01/dez]])</f>
        <v>0</v>
      </c>
      <c r="AB190" s="114"/>
      <c r="AC190" s="114"/>
      <c r="AD190" s="114"/>
      <c r="AE190" s="114"/>
      <c r="AF190" s="114"/>
      <c r="AG190" s="114"/>
      <c r="AH190" s="114"/>
      <c r="AI190" s="114"/>
      <c r="AJ190" s="114"/>
      <c r="AK190" s="114"/>
      <c r="AL190" s="114"/>
      <c r="AM190" s="114"/>
    </row>
    <row r="191" spans="2:39" ht="25.2" customHeight="1" x14ac:dyDescent="0.3">
      <c r="B191" s="13" t="str">
        <f t="shared" si="5"/>
        <v/>
      </c>
      <c r="C191" s="18"/>
      <c r="D191" s="19" t="str">
        <f>IF(Tabela2[[#This Row],[AGRUPADOR]]&lt;&gt;"",VLOOKUP(Tabela2[[#This Row],[AGRUPADOR]],Tabela1[],2,0),"")</f>
        <v/>
      </c>
      <c r="E191" s="19" t="str">
        <f>IF(Tabela2[[#This Row],[AGRUPADOR]]&lt;&gt;"",VLOOKUP(Tabela2[[#This Row],[AGRUPADOR]],Tabela1[],4,0),"")</f>
        <v/>
      </c>
      <c r="F191" s="14"/>
      <c r="G191" s="6"/>
      <c r="H191" s="6"/>
      <c r="I191" s="25"/>
      <c r="J191" s="7"/>
      <c r="K191" s="15"/>
      <c r="L191" s="379">
        <f>IF(H191&lt;&gt;"",J191*K191,SUMIFS(L192:L$9844,$F192:$F$9844,"*"&amp;F191&amp;"*",$H192:$H$9844,"&lt;&gt;"))</f>
        <v>0</v>
      </c>
      <c r="M191" s="379" t="str">
        <f>IF(Tabela2[[#This Row],[UNID.]]&lt;&gt;"",IFERROR(VLOOKUP(Tabela2[[#This Row],[AGRUPADOR]],Lucratividade!$D$4:$O$129,6,0),0),"")</f>
        <v/>
      </c>
      <c r="N191" s="379">
        <f>IF(H191&lt;&gt;"",J191*M191*I191,SUMIFS(N192:N$9844,$F192:$F$9844,"*"&amp;F191&amp;"*",$H192:$H$9844,"&lt;&gt;"))</f>
        <v>0</v>
      </c>
      <c r="O191" s="162" t="str">
        <f>IFERROR((-Tabela2[[#This Row],[CUSTO TOTAL]]+Tabela2[[#This Row],[VENDA TOTAL]])/Tabela2[[#This Row],[VENDA TOTAL]]-PARAMETROS!$C$19,"")</f>
        <v/>
      </c>
      <c r="AA191" s="219">
        <f>SUM(Plan_Orc[[#This Row],[01/jan]:[01/dez]])</f>
        <v>0</v>
      </c>
      <c r="AB191" s="114"/>
      <c r="AC191" s="114"/>
      <c r="AD191" s="114"/>
      <c r="AE191" s="114"/>
      <c r="AF191" s="114"/>
      <c r="AG191" s="114"/>
      <c r="AH191" s="114"/>
      <c r="AI191" s="114"/>
      <c r="AJ191" s="114"/>
      <c r="AK191" s="114"/>
      <c r="AL191" s="114"/>
      <c r="AM191" s="114"/>
    </row>
    <row r="192" spans="2:39" ht="25.2" customHeight="1" x14ac:dyDescent="0.3">
      <c r="B192" s="13" t="str">
        <f t="shared" si="5"/>
        <v/>
      </c>
      <c r="C192" s="18"/>
      <c r="D192" s="19" t="str">
        <f>IF(Tabela2[[#This Row],[AGRUPADOR]]&lt;&gt;"",VLOOKUP(Tabela2[[#This Row],[AGRUPADOR]],Tabela1[],2,0),"")</f>
        <v/>
      </c>
      <c r="E192" s="19" t="str">
        <f>IF(Tabela2[[#This Row],[AGRUPADOR]]&lt;&gt;"",VLOOKUP(Tabela2[[#This Row],[AGRUPADOR]],Tabela1[],4,0),"")</f>
        <v/>
      </c>
      <c r="F192" s="14"/>
      <c r="G192" s="6"/>
      <c r="H192" s="6"/>
      <c r="I192" s="25"/>
      <c r="J192" s="7"/>
      <c r="K192" s="15"/>
      <c r="L192" s="379">
        <f>IF(H192&lt;&gt;"",J192*K192,SUMIFS(L193:L$9844,$F193:$F$9844,"*"&amp;F192&amp;"*",$H193:$H$9844,"&lt;&gt;"))</f>
        <v>0</v>
      </c>
      <c r="M192" s="379" t="str">
        <f>IF(Tabela2[[#This Row],[UNID.]]&lt;&gt;"",IFERROR(VLOOKUP(Tabela2[[#This Row],[AGRUPADOR]],Lucratividade!$D$4:$O$129,6,0),0),"")</f>
        <v/>
      </c>
      <c r="N192" s="379">
        <f>IF(H192&lt;&gt;"",J192*M192*I192,SUMIFS(N193:N$9844,$F193:$F$9844,"*"&amp;F192&amp;"*",$H193:$H$9844,"&lt;&gt;"))</f>
        <v>0</v>
      </c>
      <c r="O192" s="162" t="str">
        <f>IFERROR((-Tabela2[[#This Row],[CUSTO TOTAL]]+Tabela2[[#This Row],[VENDA TOTAL]])/Tabela2[[#This Row],[VENDA TOTAL]]-PARAMETROS!$C$19,"")</f>
        <v/>
      </c>
      <c r="AA192" s="219">
        <f>SUM(Plan_Orc[[#This Row],[01/jan]:[01/dez]])</f>
        <v>0</v>
      </c>
      <c r="AB192" s="114"/>
      <c r="AC192" s="114"/>
      <c r="AD192" s="114"/>
      <c r="AE192" s="114"/>
      <c r="AF192" s="114"/>
      <c r="AG192" s="114"/>
      <c r="AH192" s="114"/>
      <c r="AI192" s="114"/>
      <c r="AJ192" s="114"/>
      <c r="AK192" s="114"/>
      <c r="AL192" s="114"/>
      <c r="AM192" s="114"/>
    </row>
    <row r="193" spans="2:39" ht="25.2" customHeight="1" x14ac:dyDescent="0.3">
      <c r="B193" s="13" t="str">
        <f t="shared" si="5"/>
        <v/>
      </c>
      <c r="C193" s="18"/>
      <c r="D193" s="19" t="str">
        <f>IF(Tabela2[[#This Row],[AGRUPADOR]]&lt;&gt;"",VLOOKUP(Tabela2[[#This Row],[AGRUPADOR]],Tabela1[],2,0),"")</f>
        <v/>
      </c>
      <c r="E193" s="19" t="str">
        <f>IF(Tabela2[[#This Row],[AGRUPADOR]]&lt;&gt;"",VLOOKUP(Tabela2[[#This Row],[AGRUPADOR]],Tabela1[],4,0),"")</f>
        <v/>
      </c>
      <c r="F193" s="14"/>
      <c r="G193" s="6"/>
      <c r="H193" s="6"/>
      <c r="I193" s="25"/>
      <c r="J193" s="7"/>
      <c r="K193" s="15"/>
      <c r="L193" s="379">
        <f>IF(H193&lt;&gt;"",J193*K193,SUMIFS(L194:L$9844,$F194:$F$9844,"*"&amp;F193&amp;"*",$H194:$H$9844,"&lt;&gt;"))</f>
        <v>0</v>
      </c>
      <c r="M193" s="379" t="str">
        <f>IF(Tabela2[[#This Row],[UNID.]]&lt;&gt;"",IFERROR(VLOOKUP(Tabela2[[#This Row],[AGRUPADOR]],Lucratividade!$D$4:$O$129,6,0),0),"")</f>
        <v/>
      </c>
      <c r="N193" s="379">
        <f>IF(H193&lt;&gt;"",J193*M193*I193,SUMIFS(N194:N$9844,$F194:$F$9844,"*"&amp;F193&amp;"*",$H194:$H$9844,"&lt;&gt;"))</f>
        <v>0</v>
      </c>
      <c r="O193" s="162" t="str">
        <f>IFERROR((-Tabela2[[#This Row],[CUSTO TOTAL]]+Tabela2[[#This Row],[VENDA TOTAL]])/Tabela2[[#This Row],[VENDA TOTAL]]-PARAMETROS!$C$19,"")</f>
        <v/>
      </c>
      <c r="AA193" s="219">
        <f>SUM(Plan_Orc[[#This Row],[01/jan]:[01/dez]])</f>
        <v>0</v>
      </c>
      <c r="AB193" s="114"/>
      <c r="AC193" s="114"/>
      <c r="AD193" s="114"/>
      <c r="AE193" s="114"/>
      <c r="AF193" s="114"/>
      <c r="AG193" s="114"/>
      <c r="AH193" s="114"/>
      <c r="AI193" s="114"/>
      <c r="AJ193" s="114"/>
      <c r="AK193" s="114"/>
      <c r="AL193" s="114"/>
      <c r="AM193" s="114"/>
    </row>
    <row r="194" spans="2:39" ht="25.2" customHeight="1" x14ac:dyDescent="0.3">
      <c r="B194" s="13" t="str">
        <f t="shared" si="5"/>
        <v/>
      </c>
      <c r="C194" s="18"/>
      <c r="D194" s="19" t="str">
        <f>IF(Tabela2[[#This Row],[AGRUPADOR]]&lt;&gt;"",VLOOKUP(Tabela2[[#This Row],[AGRUPADOR]],Tabela1[],2,0),"")</f>
        <v/>
      </c>
      <c r="E194" s="19" t="str">
        <f>IF(Tabela2[[#This Row],[AGRUPADOR]]&lt;&gt;"",VLOOKUP(Tabela2[[#This Row],[AGRUPADOR]],Tabela1[],4,0),"")</f>
        <v/>
      </c>
      <c r="F194" s="14"/>
      <c r="G194" s="6"/>
      <c r="H194" s="6"/>
      <c r="I194" s="25"/>
      <c r="J194" s="7"/>
      <c r="K194" s="15"/>
      <c r="L194" s="379">
        <f>IF(H194&lt;&gt;"",J194*K194,SUMIFS(L195:L$9844,$F195:$F$9844,"*"&amp;F194&amp;"*",$H195:$H$9844,"&lt;&gt;"))</f>
        <v>0</v>
      </c>
      <c r="M194" s="379" t="str">
        <f>IF(Tabela2[[#This Row],[UNID.]]&lt;&gt;"",IFERROR(VLOOKUP(Tabela2[[#This Row],[AGRUPADOR]],Lucratividade!$D$4:$O$129,6,0),0),"")</f>
        <v/>
      </c>
      <c r="N194" s="379">
        <f>IF(H194&lt;&gt;"",J194*M194*I194,SUMIFS(N195:N$9844,$F195:$F$9844,"*"&amp;F194&amp;"*",$H195:$H$9844,"&lt;&gt;"))</f>
        <v>0</v>
      </c>
      <c r="O194" s="162" t="str">
        <f>IFERROR((-Tabela2[[#This Row],[CUSTO TOTAL]]+Tabela2[[#This Row],[VENDA TOTAL]])/Tabela2[[#This Row],[VENDA TOTAL]]-PARAMETROS!$C$19,"")</f>
        <v/>
      </c>
      <c r="AA194" s="219">
        <f>SUM(Plan_Orc[[#This Row],[01/jan]:[01/dez]])</f>
        <v>0</v>
      </c>
      <c r="AB194" s="114"/>
      <c r="AC194" s="114"/>
      <c r="AD194" s="114"/>
      <c r="AE194" s="114"/>
      <c r="AF194" s="114"/>
      <c r="AG194" s="114"/>
      <c r="AH194" s="114"/>
      <c r="AI194" s="114"/>
      <c r="AJ194" s="114"/>
      <c r="AK194" s="114"/>
      <c r="AL194" s="114"/>
      <c r="AM194" s="114"/>
    </row>
    <row r="195" spans="2:39" ht="25.2" customHeight="1" x14ac:dyDescent="0.3">
      <c r="B195" s="13" t="str">
        <f t="shared" si="5"/>
        <v/>
      </c>
      <c r="C195" s="18"/>
      <c r="D195" s="19" t="str">
        <f>IF(Tabela2[[#This Row],[AGRUPADOR]]&lt;&gt;"",VLOOKUP(Tabela2[[#This Row],[AGRUPADOR]],Tabela1[],2,0),"")</f>
        <v/>
      </c>
      <c r="E195" s="19" t="str">
        <f>IF(Tabela2[[#This Row],[AGRUPADOR]]&lt;&gt;"",VLOOKUP(Tabela2[[#This Row],[AGRUPADOR]],Tabela1[],4,0),"")</f>
        <v/>
      </c>
      <c r="F195" s="14"/>
      <c r="G195" s="6"/>
      <c r="H195" s="6"/>
      <c r="I195" s="25"/>
      <c r="J195" s="7"/>
      <c r="K195" s="15"/>
      <c r="L195" s="379">
        <f>IF(H195&lt;&gt;"",J195*K195,SUMIFS(L196:L$9844,$F196:$F$9844,"*"&amp;F195&amp;"*",$H196:$H$9844,"&lt;&gt;"))</f>
        <v>0</v>
      </c>
      <c r="M195" s="379" t="str">
        <f>IF(Tabela2[[#This Row],[UNID.]]&lt;&gt;"",IFERROR(VLOOKUP(Tabela2[[#This Row],[AGRUPADOR]],Lucratividade!$D$4:$O$129,6,0),0),"")</f>
        <v/>
      </c>
      <c r="N195" s="379">
        <f>IF(H195&lt;&gt;"",J195*M195*I195,SUMIFS(N196:N$9844,$F196:$F$9844,"*"&amp;F195&amp;"*",$H196:$H$9844,"&lt;&gt;"))</f>
        <v>0</v>
      </c>
      <c r="O195" s="162" t="str">
        <f>IFERROR((-Tabela2[[#This Row],[CUSTO TOTAL]]+Tabela2[[#This Row],[VENDA TOTAL]])/Tabela2[[#This Row],[VENDA TOTAL]]-PARAMETROS!$C$19,"")</f>
        <v/>
      </c>
      <c r="AA195" s="219">
        <f>SUM(Plan_Orc[[#This Row],[01/jan]:[01/dez]])</f>
        <v>0</v>
      </c>
      <c r="AB195" s="114"/>
      <c r="AC195" s="114"/>
      <c r="AD195" s="114"/>
      <c r="AE195" s="114"/>
      <c r="AF195" s="114"/>
      <c r="AG195" s="114"/>
      <c r="AH195" s="114"/>
      <c r="AI195" s="114"/>
      <c r="AJ195" s="114"/>
      <c r="AK195" s="114"/>
      <c r="AL195" s="114"/>
      <c r="AM195" s="114"/>
    </row>
    <row r="196" spans="2:39" ht="25.2" customHeight="1" x14ac:dyDescent="0.3">
      <c r="B196" s="13" t="str">
        <f t="shared" ref="B196:B259" si="7">IF(LEN(F196)=3,1,"")</f>
        <v/>
      </c>
      <c r="C196" s="18"/>
      <c r="D196" s="19" t="str">
        <f>IF(Tabela2[[#This Row],[AGRUPADOR]]&lt;&gt;"",VLOOKUP(Tabela2[[#This Row],[AGRUPADOR]],Tabela1[],2,0),"")</f>
        <v/>
      </c>
      <c r="E196" s="19" t="str">
        <f>IF(Tabela2[[#This Row],[AGRUPADOR]]&lt;&gt;"",VLOOKUP(Tabela2[[#This Row],[AGRUPADOR]],Tabela1[],4,0),"")</f>
        <v/>
      </c>
      <c r="F196" s="14"/>
      <c r="G196" s="6"/>
      <c r="H196" s="6"/>
      <c r="I196" s="25"/>
      <c r="J196" s="7"/>
      <c r="K196" s="15"/>
      <c r="L196" s="379">
        <f>IF(H196&lt;&gt;"",J196*K196,SUMIFS(L197:L$9844,$F197:$F$9844,"*"&amp;F196&amp;"*",$H197:$H$9844,"&lt;&gt;"))</f>
        <v>0</v>
      </c>
      <c r="M196" s="379" t="str">
        <f>IF(Tabela2[[#This Row],[UNID.]]&lt;&gt;"",IFERROR(VLOOKUP(Tabela2[[#This Row],[AGRUPADOR]],Lucratividade!$D$4:$O$129,6,0),0),"")</f>
        <v/>
      </c>
      <c r="N196" s="379">
        <f>IF(H196&lt;&gt;"",J196*M196*I196,SUMIFS(N197:N$9844,$F197:$F$9844,"*"&amp;F196&amp;"*",$H197:$H$9844,"&lt;&gt;"))</f>
        <v>0</v>
      </c>
      <c r="O196" s="162" t="str">
        <f>IFERROR((-Tabela2[[#This Row],[CUSTO TOTAL]]+Tabela2[[#This Row],[VENDA TOTAL]])/Tabela2[[#This Row],[VENDA TOTAL]]-PARAMETROS!$C$19,"")</f>
        <v/>
      </c>
      <c r="AA196" s="219">
        <f>SUM(Plan_Orc[[#This Row],[01/jan]:[01/dez]])</f>
        <v>0</v>
      </c>
      <c r="AB196" s="114"/>
      <c r="AC196" s="114"/>
      <c r="AD196" s="114"/>
      <c r="AE196" s="114"/>
      <c r="AF196" s="114"/>
      <c r="AG196" s="114"/>
      <c r="AH196" s="114"/>
      <c r="AI196" s="114"/>
      <c r="AJ196" s="114"/>
      <c r="AK196" s="114"/>
      <c r="AL196" s="114"/>
      <c r="AM196" s="114"/>
    </row>
    <row r="197" spans="2:39" ht="25.2" customHeight="1" x14ac:dyDescent="0.3">
      <c r="B197" s="13" t="str">
        <f t="shared" si="7"/>
        <v/>
      </c>
      <c r="C197" s="18"/>
      <c r="D197" s="19" t="str">
        <f>IF(Tabela2[[#This Row],[AGRUPADOR]]&lt;&gt;"",VLOOKUP(Tabela2[[#This Row],[AGRUPADOR]],Tabela1[],2,0),"")</f>
        <v/>
      </c>
      <c r="E197" s="19" t="str">
        <f>IF(Tabela2[[#This Row],[AGRUPADOR]]&lt;&gt;"",VLOOKUP(Tabela2[[#This Row],[AGRUPADOR]],Tabela1[],4,0),"")</f>
        <v/>
      </c>
      <c r="F197" s="14"/>
      <c r="G197" s="6"/>
      <c r="H197" s="6"/>
      <c r="I197" s="25"/>
      <c r="J197" s="7"/>
      <c r="K197" s="15"/>
      <c r="L197" s="379">
        <f>IF(H197&lt;&gt;"",J197*K197,SUMIFS(L198:L$9844,$F198:$F$9844,"*"&amp;F197&amp;"*",$H198:$H$9844,"&lt;&gt;"))</f>
        <v>0</v>
      </c>
      <c r="M197" s="379" t="str">
        <f>IF(Tabela2[[#This Row],[UNID.]]&lt;&gt;"",IFERROR(VLOOKUP(Tabela2[[#This Row],[AGRUPADOR]],Lucratividade!$D$4:$O$129,6,0),0),"")</f>
        <v/>
      </c>
      <c r="N197" s="379">
        <f>IF(H197&lt;&gt;"",J197*M197*I197,SUMIFS(N198:N$9844,$F198:$F$9844,"*"&amp;F197&amp;"*",$H198:$H$9844,"&lt;&gt;"))</f>
        <v>0</v>
      </c>
      <c r="O197" s="162" t="str">
        <f>IFERROR((-Tabela2[[#This Row],[CUSTO TOTAL]]+Tabela2[[#This Row],[VENDA TOTAL]])/Tabela2[[#This Row],[VENDA TOTAL]]-PARAMETROS!$C$19,"")</f>
        <v/>
      </c>
      <c r="AA197" s="219">
        <f>SUM(Plan_Orc[[#This Row],[01/jan]:[01/dez]])</f>
        <v>0</v>
      </c>
      <c r="AB197" s="114"/>
      <c r="AC197" s="114"/>
      <c r="AD197" s="114"/>
      <c r="AE197" s="114"/>
      <c r="AF197" s="114"/>
      <c r="AG197" s="114"/>
      <c r="AH197" s="114"/>
      <c r="AI197" s="114"/>
      <c r="AJ197" s="114"/>
      <c r="AK197" s="114"/>
      <c r="AL197" s="114"/>
      <c r="AM197" s="114"/>
    </row>
    <row r="198" spans="2:39" ht="25.2" customHeight="1" x14ac:dyDescent="0.3">
      <c r="B198" s="13" t="str">
        <f t="shared" si="7"/>
        <v/>
      </c>
      <c r="C198" s="18"/>
      <c r="D198" s="19" t="str">
        <f>IF(Tabela2[[#This Row],[AGRUPADOR]]&lt;&gt;"",VLOOKUP(Tabela2[[#This Row],[AGRUPADOR]],Tabela1[],2,0),"")</f>
        <v/>
      </c>
      <c r="E198" s="19" t="str">
        <f>IF(Tabela2[[#This Row],[AGRUPADOR]]&lt;&gt;"",VLOOKUP(Tabela2[[#This Row],[AGRUPADOR]],Tabela1[],4,0),"")</f>
        <v/>
      </c>
      <c r="F198" s="14"/>
      <c r="G198" s="6"/>
      <c r="H198" s="6"/>
      <c r="I198" s="25"/>
      <c r="J198" s="7"/>
      <c r="K198" s="15"/>
      <c r="L198" s="379">
        <f>IF(H198&lt;&gt;"",J198*K198,SUMIFS(L199:L$9844,$F199:$F$9844,"*"&amp;F198&amp;"*",$H199:$H$9844,"&lt;&gt;"))</f>
        <v>0</v>
      </c>
      <c r="M198" s="379" t="str">
        <f>IF(Tabela2[[#This Row],[UNID.]]&lt;&gt;"",IFERROR(VLOOKUP(Tabela2[[#This Row],[AGRUPADOR]],Lucratividade!$D$4:$O$129,6,0),0),"")</f>
        <v/>
      </c>
      <c r="N198" s="379">
        <f>IF(H198&lt;&gt;"",J198*M198*I198,SUMIFS(N199:N$9844,$F199:$F$9844,"*"&amp;F198&amp;"*",$H199:$H$9844,"&lt;&gt;"))</f>
        <v>0</v>
      </c>
      <c r="O198" s="162" t="str">
        <f>IFERROR((-Tabela2[[#This Row],[CUSTO TOTAL]]+Tabela2[[#This Row],[VENDA TOTAL]])/Tabela2[[#This Row],[VENDA TOTAL]]-PARAMETROS!$C$19,"")</f>
        <v/>
      </c>
      <c r="AA198" s="218">
        <f>SUM(Plan_Orc[[#This Row],[01/jan]:[01/dez]])</f>
        <v>0</v>
      </c>
      <c r="AB198" s="113"/>
      <c r="AC198" s="113"/>
      <c r="AD198" s="113"/>
      <c r="AE198" s="113"/>
      <c r="AF198" s="113"/>
      <c r="AG198" s="113"/>
      <c r="AH198" s="113"/>
      <c r="AI198" s="113"/>
      <c r="AJ198" s="113"/>
      <c r="AK198" s="113"/>
      <c r="AL198" s="113"/>
      <c r="AM198" s="113"/>
    </row>
    <row r="199" spans="2:39" ht="25.2" customHeight="1" x14ac:dyDescent="0.3">
      <c r="B199" s="13" t="str">
        <f t="shared" si="7"/>
        <v/>
      </c>
      <c r="C199" s="18"/>
      <c r="D199" s="19" t="str">
        <f>IF(Tabela2[[#This Row],[AGRUPADOR]]&lt;&gt;"",VLOOKUP(Tabela2[[#This Row],[AGRUPADOR]],Tabela1[],2,0),"")</f>
        <v/>
      </c>
      <c r="E199" s="19" t="str">
        <f>IF(Tabela2[[#This Row],[AGRUPADOR]]&lt;&gt;"",VLOOKUP(Tabela2[[#This Row],[AGRUPADOR]],Tabela1[],4,0),"")</f>
        <v/>
      </c>
      <c r="F199" s="14"/>
      <c r="G199" s="6"/>
      <c r="H199" s="6"/>
      <c r="I199" s="25"/>
      <c r="J199" s="7"/>
      <c r="K199" s="15"/>
      <c r="L199" s="379">
        <f>IF(H199&lt;&gt;"",J199*K199,SUMIFS(L200:L$9844,$F200:$F$9844,"*"&amp;F199&amp;"*",$H200:$H$9844,"&lt;&gt;"))</f>
        <v>0</v>
      </c>
      <c r="M199" s="379" t="str">
        <f>IF(Tabela2[[#This Row],[UNID.]]&lt;&gt;"",IFERROR(VLOOKUP(Tabela2[[#This Row],[AGRUPADOR]],Lucratividade!$D$4:$O$129,6,0),0),"")</f>
        <v/>
      </c>
      <c r="N199" s="379">
        <f>IF(H199&lt;&gt;"",J199*M199*I199,SUMIFS(N200:N$9844,$F200:$F$9844,"*"&amp;F199&amp;"*",$H200:$H$9844,"&lt;&gt;"))</f>
        <v>0</v>
      </c>
      <c r="O199" s="162" t="str">
        <f>IFERROR((-Tabela2[[#This Row],[CUSTO TOTAL]]+Tabela2[[#This Row],[VENDA TOTAL]])/Tabela2[[#This Row],[VENDA TOTAL]]-PARAMETROS!$C$19,"")</f>
        <v/>
      </c>
      <c r="AA199" s="219">
        <f>SUM(Plan_Orc[[#This Row],[01/jan]:[01/dez]])</f>
        <v>0</v>
      </c>
      <c r="AB199" s="114"/>
      <c r="AC199" s="114"/>
      <c r="AD199" s="114"/>
      <c r="AE199" s="114"/>
      <c r="AF199" s="114"/>
      <c r="AG199" s="114"/>
      <c r="AH199" s="114"/>
      <c r="AI199" s="114"/>
      <c r="AJ199" s="114"/>
      <c r="AK199" s="114"/>
      <c r="AL199" s="114"/>
      <c r="AM199" s="114"/>
    </row>
    <row r="200" spans="2:39" ht="25.2" customHeight="1" x14ac:dyDescent="0.3">
      <c r="B200" s="13" t="str">
        <f t="shared" si="7"/>
        <v/>
      </c>
      <c r="C200" s="18"/>
      <c r="D200" s="19" t="str">
        <f>IF(Tabela2[[#This Row],[AGRUPADOR]]&lt;&gt;"",VLOOKUP(Tabela2[[#This Row],[AGRUPADOR]],Tabela1[],2,0),"")</f>
        <v/>
      </c>
      <c r="E200" s="19" t="str">
        <f>IF(Tabela2[[#This Row],[AGRUPADOR]]&lt;&gt;"",VLOOKUP(Tabela2[[#This Row],[AGRUPADOR]],Tabela1[],4,0),"")</f>
        <v/>
      </c>
      <c r="F200" s="14"/>
      <c r="G200" s="6"/>
      <c r="H200" s="6"/>
      <c r="I200" s="25"/>
      <c r="J200" s="7"/>
      <c r="K200" s="15"/>
      <c r="L200" s="379">
        <f>IF(H200&lt;&gt;"",J200*K200,SUMIFS(L201:L$9844,$F201:$F$9844,"*"&amp;F200&amp;"*",$H201:$H$9844,"&lt;&gt;"))</f>
        <v>0</v>
      </c>
      <c r="M200" s="379" t="str">
        <f>IF(Tabela2[[#This Row],[UNID.]]&lt;&gt;"",IFERROR(VLOOKUP(Tabela2[[#This Row],[AGRUPADOR]],Lucratividade!$D$4:$O$129,6,0),0),"")</f>
        <v/>
      </c>
      <c r="N200" s="379">
        <f>IF(H200&lt;&gt;"",J200*M200*I200,SUMIFS(N201:N$9844,$F201:$F$9844,"*"&amp;F200&amp;"*",$H201:$H$9844,"&lt;&gt;"))</f>
        <v>0</v>
      </c>
      <c r="O200" s="162" t="str">
        <f>IFERROR((-Tabela2[[#This Row],[CUSTO TOTAL]]+Tabela2[[#This Row],[VENDA TOTAL]])/Tabela2[[#This Row],[VENDA TOTAL]]-PARAMETROS!$C$19,"")</f>
        <v/>
      </c>
      <c r="AA200" s="219">
        <f>SUM(Plan_Orc[[#This Row],[01/jan]:[01/dez]])</f>
        <v>0</v>
      </c>
      <c r="AB200" s="114"/>
      <c r="AC200" s="114"/>
      <c r="AD200" s="114"/>
      <c r="AE200" s="114"/>
      <c r="AF200" s="114"/>
      <c r="AG200" s="114"/>
      <c r="AH200" s="114"/>
      <c r="AI200" s="114"/>
      <c r="AJ200" s="114"/>
      <c r="AK200" s="114"/>
      <c r="AL200" s="114"/>
      <c r="AM200" s="114"/>
    </row>
    <row r="201" spans="2:39" ht="25.2" customHeight="1" x14ac:dyDescent="0.3">
      <c r="B201" s="13" t="str">
        <f t="shared" si="7"/>
        <v/>
      </c>
      <c r="C201" s="18"/>
      <c r="D201" s="19" t="str">
        <f>IF(Tabela2[[#This Row],[AGRUPADOR]]&lt;&gt;"",VLOOKUP(Tabela2[[#This Row],[AGRUPADOR]],Tabela1[],2,0),"")</f>
        <v/>
      </c>
      <c r="E201" s="19" t="str">
        <f>IF(Tabela2[[#This Row],[AGRUPADOR]]&lt;&gt;"",VLOOKUP(Tabela2[[#This Row],[AGRUPADOR]],Tabela1[],4,0),"")</f>
        <v/>
      </c>
      <c r="F201" s="14"/>
      <c r="G201" s="6"/>
      <c r="H201" s="6"/>
      <c r="I201" s="25"/>
      <c r="J201" s="7"/>
      <c r="K201" s="15"/>
      <c r="L201" s="379">
        <f>IF(H201&lt;&gt;"",J201*K201,SUMIFS(L202:L$9844,$F202:$F$9844,"*"&amp;F201&amp;"*",$H202:$H$9844,"&lt;&gt;"))</f>
        <v>0</v>
      </c>
      <c r="M201" s="379" t="str">
        <f>IF(Tabela2[[#This Row],[UNID.]]&lt;&gt;"",IFERROR(VLOOKUP(Tabela2[[#This Row],[AGRUPADOR]],Lucratividade!$D$4:$O$129,6,0),0),"")</f>
        <v/>
      </c>
      <c r="N201" s="379">
        <f>IF(H201&lt;&gt;"",J201*M201*I201,SUMIFS(N202:N$9844,$F202:$F$9844,"*"&amp;F201&amp;"*",$H202:$H$9844,"&lt;&gt;"))</f>
        <v>0</v>
      </c>
      <c r="O201" s="162" t="str">
        <f>IFERROR((-Tabela2[[#This Row],[CUSTO TOTAL]]+Tabela2[[#This Row],[VENDA TOTAL]])/Tabela2[[#This Row],[VENDA TOTAL]]-PARAMETROS!$C$19,"")</f>
        <v/>
      </c>
      <c r="AA201" s="219">
        <f>SUM(Plan_Orc[[#This Row],[01/jan]:[01/dez]])</f>
        <v>0</v>
      </c>
      <c r="AB201" s="114"/>
      <c r="AC201" s="114"/>
      <c r="AD201" s="114"/>
      <c r="AE201" s="114"/>
      <c r="AF201" s="114"/>
      <c r="AG201" s="114"/>
      <c r="AH201" s="114"/>
      <c r="AI201" s="114"/>
      <c r="AJ201" s="114"/>
      <c r="AK201" s="114"/>
      <c r="AL201" s="114"/>
      <c r="AM201" s="114"/>
    </row>
    <row r="202" spans="2:39" ht="25.2" customHeight="1" x14ac:dyDescent="0.3">
      <c r="B202" s="13" t="str">
        <f t="shared" si="7"/>
        <v/>
      </c>
      <c r="C202" s="18"/>
      <c r="D202" s="19" t="str">
        <f>IF(Tabela2[[#This Row],[AGRUPADOR]]&lt;&gt;"",VLOOKUP(Tabela2[[#This Row],[AGRUPADOR]],Tabela1[],2,0),"")</f>
        <v/>
      </c>
      <c r="E202" s="19" t="str">
        <f>IF(Tabela2[[#This Row],[AGRUPADOR]]&lt;&gt;"",VLOOKUP(Tabela2[[#This Row],[AGRUPADOR]],Tabela1[],4,0),"")</f>
        <v/>
      </c>
      <c r="F202" s="14"/>
      <c r="G202" s="6"/>
      <c r="H202" s="6"/>
      <c r="I202" s="25"/>
      <c r="J202" s="7"/>
      <c r="K202" s="15"/>
      <c r="L202" s="379">
        <f>IF(H202&lt;&gt;"",J202*K202,SUMIFS(L203:L$9844,$F203:$F$9844,"*"&amp;F202&amp;"*",$H203:$H$9844,"&lt;&gt;"))</f>
        <v>0</v>
      </c>
      <c r="M202" s="379" t="str">
        <f>IF(Tabela2[[#This Row],[UNID.]]&lt;&gt;"",IFERROR(VLOOKUP(Tabela2[[#This Row],[AGRUPADOR]],Lucratividade!$D$4:$O$129,6,0),0),"")</f>
        <v/>
      </c>
      <c r="N202" s="379">
        <f>IF(H202&lt;&gt;"",J202*M202*I202,SUMIFS(N203:N$9844,$F203:$F$9844,"*"&amp;F202&amp;"*",$H203:$H$9844,"&lt;&gt;"))</f>
        <v>0</v>
      </c>
      <c r="O202" s="162" t="str">
        <f>IFERROR((-Tabela2[[#This Row],[CUSTO TOTAL]]+Tabela2[[#This Row],[VENDA TOTAL]])/Tabela2[[#This Row],[VENDA TOTAL]]-PARAMETROS!$C$19,"")</f>
        <v/>
      </c>
      <c r="AA202" s="219">
        <f>SUM(Plan_Orc[[#This Row],[01/jan]:[01/dez]])</f>
        <v>0</v>
      </c>
      <c r="AB202" s="114"/>
      <c r="AC202" s="114"/>
      <c r="AD202" s="114"/>
      <c r="AE202" s="114"/>
      <c r="AF202" s="114"/>
      <c r="AG202" s="114"/>
      <c r="AH202" s="114"/>
      <c r="AI202" s="114"/>
      <c r="AJ202" s="114"/>
      <c r="AK202" s="114"/>
      <c r="AL202" s="114"/>
      <c r="AM202" s="114"/>
    </row>
    <row r="203" spans="2:39" ht="25.2" customHeight="1" x14ac:dyDescent="0.3">
      <c r="B203" s="13" t="str">
        <f t="shared" si="7"/>
        <v/>
      </c>
      <c r="C203" s="18"/>
      <c r="D203" s="19" t="str">
        <f>IF(Tabela2[[#This Row],[AGRUPADOR]]&lt;&gt;"",VLOOKUP(Tabela2[[#This Row],[AGRUPADOR]],Tabela1[],2,0),"")</f>
        <v/>
      </c>
      <c r="E203" s="19" t="str">
        <f>IF(Tabela2[[#This Row],[AGRUPADOR]]&lt;&gt;"",VLOOKUP(Tabela2[[#This Row],[AGRUPADOR]],Tabela1[],4,0),"")</f>
        <v/>
      </c>
      <c r="F203" s="14"/>
      <c r="G203" s="6"/>
      <c r="H203" s="6"/>
      <c r="I203" s="25"/>
      <c r="J203" s="7"/>
      <c r="K203" s="15"/>
      <c r="L203" s="379">
        <f>IF(H203&lt;&gt;"",J203*K203,SUMIFS(L204:L$9844,$F204:$F$9844,"*"&amp;F203&amp;"*",$H204:$H$9844,"&lt;&gt;"))</f>
        <v>0</v>
      </c>
      <c r="M203" s="379" t="str">
        <f>IF(Tabela2[[#This Row],[UNID.]]&lt;&gt;"",IFERROR(VLOOKUP(Tabela2[[#This Row],[AGRUPADOR]],Lucratividade!$D$4:$O$129,6,0),0),"")</f>
        <v/>
      </c>
      <c r="N203" s="379">
        <f>IF(H203&lt;&gt;"",J203*M203*I203,SUMIFS(N204:N$9844,$F204:$F$9844,"*"&amp;F203&amp;"*",$H204:$H$9844,"&lt;&gt;"))</f>
        <v>0</v>
      </c>
      <c r="O203" s="162" t="str">
        <f>IFERROR((-Tabela2[[#This Row],[CUSTO TOTAL]]+Tabela2[[#This Row],[VENDA TOTAL]])/Tabela2[[#This Row],[VENDA TOTAL]]-PARAMETROS!$C$19,"")</f>
        <v/>
      </c>
      <c r="AA203" s="219">
        <f>SUM(Plan_Orc[[#This Row],[01/jan]:[01/dez]])</f>
        <v>0</v>
      </c>
      <c r="AB203" s="114"/>
      <c r="AC203" s="114"/>
      <c r="AD203" s="114"/>
      <c r="AE203" s="114"/>
      <c r="AF203" s="114"/>
      <c r="AG203" s="114"/>
      <c r="AH203" s="114"/>
      <c r="AI203" s="114"/>
      <c r="AJ203" s="114"/>
      <c r="AK203" s="114"/>
      <c r="AL203" s="114"/>
      <c r="AM203" s="114"/>
    </row>
    <row r="204" spans="2:39" ht="25.2" customHeight="1" x14ac:dyDescent="0.3">
      <c r="B204" s="13" t="str">
        <f t="shared" si="7"/>
        <v/>
      </c>
      <c r="C204" s="18"/>
      <c r="D204" s="19" t="str">
        <f>IF(Tabela2[[#This Row],[AGRUPADOR]]&lt;&gt;"",VLOOKUP(Tabela2[[#This Row],[AGRUPADOR]],Tabela1[],2,0),"")</f>
        <v/>
      </c>
      <c r="E204" s="19" t="str">
        <f>IF(Tabela2[[#This Row],[AGRUPADOR]]&lt;&gt;"",VLOOKUP(Tabela2[[#This Row],[AGRUPADOR]],Tabela1[],4,0),"")</f>
        <v/>
      </c>
      <c r="F204" s="14"/>
      <c r="G204" s="6"/>
      <c r="H204" s="6"/>
      <c r="I204" s="25"/>
      <c r="J204" s="7"/>
      <c r="K204" s="15"/>
      <c r="L204" s="379">
        <f>IF(H204&lt;&gt;"",J204*K204,SUMIFS(L205:L$9844,$F205:$F$9844,"*"&amp;F204&amp;"*",$H205:$H$9844,"&lt;&gt;"))</f>
        <v>0</v>
      </c>
      <c r="M204" s="379" t="str">
        <f>IF(Tabela2[[#This Row],[UNID.]]&lt;&gt;"",IFERROR(VLOOKUP(Tabela2[[#This Row],[AGRUPADOR]],Lucratividade!$D$4:$O$129,6,0),0),"")</f>
        <v/>
      </c>
      <c r="N204" s="379">
        <f>IF(H204&lt;&gt;"",J204*M204*I204,SUMIFS(N205:N$9844,$F205:$F$9844,"*"&amp;F204&amp;"*",$H205:$H$9844,"&lt;&gt;"))</f>
        <v>0</v>
      </c>
      <c r="O204" s="162" t="str">
        <f>IFERROR((-Tabela2[[#This Row],[CUSTO TOTAL]]+Tabela2[[#This Row],[VENDA TOTAL]])/Tabela2[[#This Row],[VENDA TOTAL]]-PARAMETROS!$C$19,"")</f>
        <v/>
      </c>
      <c r="AA204" s="219">
        <f>SUM(Plan_Orc[[#This Row],[01/jan]:[01/dez]])</f>
        <v>0</v>
      </c>
      <c r="AB204" s="114"/>
      <c r="AC204" s="114"/>
      <c r="AD204" s="114"/>
      <c r="AE204" s="114"/>
      <c r="AF204" s="114"/>
      <c r="AG204" s="114"/>
      <c r="AH204" s="114"/>
      <c r="AI204" s="114"/>
      <c r="AJ204" s="114"/>
      <c r="AK204" s="114"/>
      <c r="AL204" s="114"/>
      <c r="AM204" s="114"/>
    </row>
    <row r="205" spans="2:39" ht="25.2" customHeight="1" x14ac:dyDescent="0.3">
      <c r="B205" s="13" t="str">
        <f t="shared" si="7"/>
        <v/>
      </c>
      <c r="C205" s="18"/>
      <c r="D205" s="19" t="str">
        <f>IF(Tabela2[[#This Row],[AGRUPADOR]]&lt;&gt;"",VLOOKUP(Tabela2[[#This Row],[AGRUPADOR]],Tabela1[],2,0),"")</f>
        <v/>
      </c>
      <c r="E205" s="19" t="str">
        <f>IF(Tabela2[[#This Row],[AGRUPADOR]]&lt;&gt;"",VLOOKUP(Tabela2[[#This Row],[AGRUPADOR]],Tabela1[],4,0),"")</f>
        <v/>
      </c>
      <c r="F205" s="14"/>
      <c r="G205" s="6"/>
      <c r="H205" s="6"/>
      <c r="I205" s="25"/>
      <c r="J205" s="7"/>
      <c r="K205" s="15"/>
      <c r="L205" s="379">
        <f>IF(H205&lt;&gt;"",J205*K205,SUMIFS(L206:L$9844,$F206:$F$9844,"*"&amp;F205&amp;"*",$H206:$H$9844,"&lt;&gt;"))</f>
        <v>0</v>
      </c>
      <c r="M205" s="379" t="str">
        <f>IF(Tabela2[[#This Row],[UNID.]]&lt;&gt;"",IFERROR(VLOOKUP(Tabela2[[#This Row],[AGRUPADOR]],Lucratividade!$D$4:$O$129,6,0),0),"")</f>
        <v/>
      </c>
      <c r="N205" s="379">
        <f>IF(H205&lt;&gt;"",J205*M205*I205,SUMIFS(N206:N$9844,$F206:$F$9844,"*"&amp;F205&amp;"*",$H206:$H$9844,"&lt;&gt;"))</f>
        <v>0</v>
      </c>
      <c r="O205" s="162" t="str">
        <f>IFERROR((-Tabela2[[#This Row],[CUSTO TOTAL]]+Tabela2[[#This Row],[VENDA TOTAL]])/Tabela2[[#This Row],[VENDA TOTAL]]-PARAMETROS!$C$19,"")</f>
        <v/>
      </c>
      <c r="AA205" s="219">
        <f>SUM(Plan_Orc[[#This Row],[01/jan]:[01/dez]])</f>
        <v>0</v>
      </c>
      <c r="AB205" s="114"/>
      <c r="AC205" s="114"/>
      <c r="AD205" s="114"/>
      <c r="AE205" s="114"/>
      <c r="AF205" s="114"/>
      <c r="AG205" s="114"/>
      <c r="AH205" s="114"/>
      <c r="AI205" s="114"/>
      <c r="AJ205" s="114"/>
      <c r="AK205" s="114"/>
      <c r="AL205" s="114"/>
      <c r="AM205" s="114"/>
    </row>
    <row r="206" spans="2:39" ht="25.2" customHeight="1" x14ac:dyDescent="0.3">
      <c r="B206" s="13" t="str">
        <f t="shared" si="7"/>
        <v/>
      </c>
      <c r="C206" s="18"/>
      <c r="D206" s="19" t="str">
        <f>IF(Tabela2[[#This Row],[AGRUPADOR]]&lt;&gt;"",VLOOKUP(Tabela2[[#This Row],[AGRUPADOR]],Tabela1[],2,0),"")</f>
        <v/>
      </c>
      <c r="E206" s="19" t="str">
        <f>IF(Tabela2[[#This Row],[AGRUPADOR]]&lt;&gt;"",VLOOKUP(Tabela2[[#This Row],[AGRUPADOR]],Tabela1[],4,0),"")</f>
        <v/>
      </c>
      <c r="F206" s="14"/>
      <c r="G206" s="6"/>
      <c r="H206" s="6"/>
      <c r="I206" s="25"/>
      <c r="J206" s="7"/>
      <c r="K206" s="15"/>
      <c r="L206" s="379">
        <f>IF(H206&lt;&gt;"",J206*K206,SUMIFS(L207:L$9844,$F207:$F$9844,"*"&amp;F206&amp;"*",$H207:$H$9844,"&lt;&gt;"))</f>
        <v>0</v>
      </c>
      <c r="M206" s="379" t="str">
        <f>IF(Tabela2[[#This Row],[UNID.]]&lt;&gt;"",IFERROR(VLOOKUP(Tabela2[[#This Row],[AGRUPADOR]],Lucratividade!$D$4:$O$129,6,0),0),"")</f>
        <v/>
      </c>
      <c r="N206" s="379">
        <f>IF(H206&lt;&gt;"",J206*M206*I206,SUMIFS(N207:N$9844,$F207:$F$9844,"*"&amp;F206&amp;"*",$H207:$H$9844,"&lt;&gt;"))</f>
        <v>0</v>
      </c>
      <c r="O206" s="162" t="str">
        <f>IFERROR((-Tabela2[[#This Row],[CUSTO TOTAL]]+Tabela2[[#This Row],[VENDA TOTAL]])/Tabela2[[#This Row],[VENDA TOTAL]]-PARAMETROS!$C$19,"")</f>
        <v/>
      </c>
      <c r="AA206" s="219">
        <f>SUM(Plan_Orc[[#This Row],[01/jan]:[01/dez]])</f>
        <v>0</v>
      </c>
      <c r="AB206" s="114"/>
      <c r="AC206" s="114"/>
      <c r="AD206" s="114"/>
      <c r="AE206" s="114"/>
      <c r="AF206" s="114"/>
      <c r="AG206" s="114"/>
      <c r="AH206" s="114"/>
      <c r="AI206" s="114"/>
      <c r="AJ206" s="114"/>
      <c r="AK206" s="114"/>
      <c r="AL206" s="114"/>
      <c r="AM206" s="114"/>
    </row>
    <row r="207" spans="2:39" ht="25.2" customHeight="1" x14ac:dyDescent="0.3">
      <c r="B207" s="13" t="str">
        <f t="shared" si="7"/>
        <v/>
      </c>
      <c r="C207" s="18"/>
      <c r="D207" s="19" t="str">
        <f>IF(Tabela2[[#This Row],[AGRUPADOR]]&lt;&gt;"",VLOOKUP(Tabela2[[#This Row],[AGRUPADOR]],Tabela1[],2,0),"")</f>
        <v/>
      </c>
      <c r="E207" s="19" t="str">
        <f>IF(Tabela2[[#This Row],[AGRUPADOR]]&lt;&gt;"",VLOOKUP(Tabela2[[#This Row],[AGRUPADOR]],Tabela1[],4,0),"")</f>
        <v/>
      </c>
      <c r="F207" s="14"/>
      <c r="G207" s="6"/>
      <c r="H207" s="6"/>
      <c r="I207" s="25"/>
      <c r="J207" s="7"/>
      <c r="K207" s="15"/>
      <c r="L207" s="379">
        <f>IF(H207&lt;&gt;"",J207*K207,SUMIFS(L208:L$9844,$F208:$F$9844,"*"&amp;F207&amp;"*",$H208:$H$9844,"&lt;&gt;"))</f>
        <v>0</v>
      </c>
      <c r="M207" s="379" t="str">
        <f>IF(Tabela2[[#This Row],[UNID.]]&lt;&gt;"",IFERROR(VLOOKUP(Tabela2[[#This Row],[AGRUPADOR]],Lucratividade!$D$4:$O$129,6,0),0),"")</f>
        <v/>
      </c>
      <c r="N207" s="379">
        <f>IF(H207&lt;&gt;"",J207*M207*I207,SUMIFS(N208:N$9844,$F208:$F$9844,"*"&amp;F207&amp;"*",$H208:$H$9844,"&lt;&gt;"))</f>
        <v>0</v>
      </c>
      <c r="O207" s="162" t="str">
        <f>IFERROR((-Tabela2[[#This Row],[CUSTO TOTAL]]+Tabela2[[#This Row],[VENDA TOTAL]])/Tabela2[[#This Row],[VENDA TOTAL]]-PARAMETROS!$C$19,"")</f>
        <v/>
      </c>
      <c r="AA207" s="219">
        <f>SUM(Plan_Orc[[#This Row],[01/jan]:[01/dez]])</f>
        <v>0</v>
      </c>
      <c r="AB207" s="114"/>
      <c r="AC207" s="114"/>
      <c r="AD207" s="114"/>
      <c r="AE207" s="114"/>
      <c r="AF207" s="114"/>
      <c r="AG207" s="114"/>
      <c r="AH207" s="114"/>
      <c r="AI207" s="114"/>
      <c r="AJ207" s="114"/>
      <c r="AK207" s="114"/>
      <c r="AL207" s="114"/>
      <c r="AM207" s="114"/>
    </row>
    <row r="208" spans="2:39" ht="25.2" customHeight="1" x14ac:dyDescent="0.3">
      <c r="B208" s="13" t="str">
        <f t="shared" si="7"/>
        <v/>
      </c>
      <c r="C208" s="18"/>
      <c r="D208" s="19" t="str">
        <f>IF(Tabela2[[#This Row],[AGRUPADOR]]&lt;&gt;"",VLOOKUP(Tabela2[[#This Row],[AGRUPADOR]],Tabela1[],2,0),"")</f>
        <v/>
      </c>
      <c r="E208" s="19" t="str">
        <f>IF(Tabela2[[#This Row],[AGRUPADOR]]&lt;&gt;"",VLOOKUP(Tabela2[[#This Row],[AGRUPADOR]],Tabela1[],4,0),"")</f>
        <v/>
      </c>
      <c r="F208" s="14"/>
      <c r="G208" s="6"/>
      <c r="H208" s="6"/>
      <c r="I208" s="25"/>
      <c r="J208" s="7"/>
      <c r="K208" s="15"/>
      <c r="L208" s="379">
        <f>IF(H208&lt;&gt;"",J208*K208,SUMIFS(L209:L$9844,$F209:$F$9844,"*"&amp;F208&amp;"*",$H209:$H$9844,"&lt;&gt;"))</f>
        <v>0</v>
      </c>
      <c r="M208" s="379" t="str">
        <f>IF(Tabela2[[#This Row],[UNID.]]&lt;&gt;"",IFERROR(VLOOKUP(Tabela2[[#This Row],[AGRUPADOR]],Lucratividade!$D$4:$O$129,6,0),0),"")</f>
        <v/>
      </c>
      <c r="N208" s="379">
        <f>IF(H208&lt;&gt;"",J208*M208*I208,SUMIFS(N209:N$9844,$F209:$F$9844,"*"&amp;F208&amp;"*",$H209:$H$9844,"&lt;&gt;"))</f>
        <v>0</v>
      </c>
      <c r="O208" s="162" t="str">
        <f>IFERROR((-Tabela2[[#This Row],[CUSTO TOTAL]]+Tabela2[[#This Row],[VENDA TOTAL]])/Tabela2[[#This Row],[VENDA TOTAL]]-PARAMETROS!$C$19,"")</f>
        <v/>
      </c>
      <c r="AA208" s="219">
        <f>SUM(Plan_Orc[[#This Row],[01/jan]:[01/dez]])</f>
        <v>0</v>
      </c>
      <c r="AB208" s="114"/>
      <c r="AC208" s="114"/>
      <c r="AD208" s="114"/>
      <c r="AE208" s="114"/>
      <c r="AF208" s="114"/>
      <c r="AG208" s="114"/>
      <c r="AH208" s="114"/>
      <c r="AI208" s="114"/>
      <c r="AJ208" s="114"/>
      <c r="AK208" s="114"/>
      <c r="AL208" s="114"/>
      <c r="AM208" s="114"/>
    </row>
    <row r="209" spans="2:39" ht="25.2" customHeight="1" x14ac:dyDescent="0.3">
      <c r="B209" s="13" t="str">
        <f t="shared" si="7"/>
        <v/>
      </c>
      <c r="C209" s="18"/>
      <c r="D209" s="19" t="str">
        <f>IF(Tabela2[[#This Row],[AGRUPADOR]]&lt;&gt;"",VLOOKUP(Tabela2[[#This Row],[AGRUPADOR]],Tabela1[],2,0),"")</f>
        <v/>
      </c>
      <c r="E209" s="19" t="str">
        <f>IF(Tabela2[[#This Row],[AGRUPADOR]]&lt;&gt;"",VLOOKUP(Tabela2[[#This Row],[AGRUPADOR]],Tabela1[],4,0),"")</f>
        <v/>
      </c>
      <c r="F209" s="14"/>
      <c r="G209" s="6"/>
      <c r="H209" s="6"/>
      <c r="I209" s="25"/>
      <c r="J209" s="7"/>
      <c r="K209" s="15"/>
      <c r="L209" s="379">
        <f>IF(H209&lt;&gt;"",J209*K209,SUMIFS(L210:L$9844,$F210:$F$9844,"*"&amp;F209&amp;"*",$H210:$H$9844,"&lt;&gt;"))</f>
        <v>0</v>
      </c>
      <c r="M209" s="379" t="str">
        <f>IF(Tabela2[[#This Row],[UNID.]]&lt;&gt;"",IFERROR(VLOOKUP(Tabela2[[#This Row],[AGRUPADOR]],Lucratividade!$D$4:$O$129,6,0),0),"")</f>
        <v/>
      </c>
      <c r="N209" s="379">
        <f>IF(H209&lt;&gt;"",J209*M209*I209,SUMIFS(N210:N$9844,$F210:$F$9844,"*"&amp;F209&amp;"*",$H210:$H$9844,"&lt;&gt;"))</f>
        <v>0</v>
      </c>
      <c r="O209" s="162" t="str">
        <f>IFERROR((-Tabela2[[#This Row],[CUSTO TOTAL]]+Tabela2[[#This Row],[VENDA TOTAL]])/Tabela2[[#This Row],[VENDA TOTAL]]-PARAMETROS!$C$19,"")</f>
        <v/>
      </c>
      <c r="AA209" s="219">
        <f>SUM(Plan_Orc[[#This Row],[01/jan]:[01/dez]])</f>
        <v>0</v>
      </c>
      <c r="AB209" s="114"/>
      <c r="AC209" s="114"/>
      <c r="AD209" s="114"/>
      <c r="AE209" s="114"/>
      <c r="AF209" s="114"/>
      <c r="AG209" s="114"/>
      <c r="AH209" s="114"/>
      <c r="AI209" s="114"/>
      <c r="AJ209" s="114"/>
      <c r="AK209" s="114"/>
      <c r="AL209" s="114"/>
      <c r="AM209" s="114"/>
    </row>
    <row r="210" spans="2:39" ht="25.2" customHeight="1" x14ac:dyDescent="0.3">
      <c r="B210" s="13" t="str">
        <f t="shared" si="7"/>
        <v/>
      </c>
      <c r="C210" s="18"/>
      <c r="D210" s="19" t="str">
        <f>IF(Tabela2[[#This Row],[AGRUPADOR]]&lt;&gt;"",VLOOKUP(Tabela2[[#This Row],[AGRUPADOR]],Tabela1[],2,0),"")</f>
        <v/>
      </c>
      <c r="E210" s="19" t="str">
        <f>IF(Tabela2[[#This Row],[AGRUPADOR]]&lt;&gt;"",VLOOKUP(Tabela2[[#This Row],[AGRUPADOR]],Tabela1[],4,0),"")</f>
        <v/>
      </c>
      <c r="F210" s="14"/>
      <c r="G210" s="6"/>
      <c r="H210" s="6"/>
      <c r="I210" s="25"/>
      <c r="J210" s="7"/>
      <c r="K210" s="15"/>
      <c r="L210" s="379">
        <f>IF(H210&lt;&gt;"",J210*K210,SUMIFS(L211:L$9844,$F211:$F$9844,"*"&amp;F210&amp;"*",$H211:$H$9844,"&lt;&gt;"))</f>
        <v>0</v>
      </c>
      <c r="M210" s="379" t="str">
        <f>IF(Tabela2[[#This Row],[UNID.]]&lt;&gt;"",IFERROR(VLOOKUP(Tabela2[[#This Row],[AGRUPADOR]],Lucratividade!$D$4:$O$129,6,0),0),"")</f>
        <v/>
      </c>
      <c r="N210" s="379">
        <f>IF(H210&lt;&gt;"",J210*M210*I210,SUMIFS(N211:N$9844,$F211:$F$9844,"*"&amp;F210&amp;"*",$H211:$H$9844,"&lt;&gt;"))</f>
        <v>0</v>
      </c>
      <c r="O210" s="162" t="str">
        <f>IFERROR((-Tabela2[[#This Row],[CUSTO TOTAL]]+Tabela2[[#This Row],[VENDA TOTAL]])/Tabela2[[#This Row],[VENDA TOTAL]]-PARAMETROS!$C$19,"")</f>
        <v/>
      </c>
      <c r="AA210" s="219">
        <f>SUM(Plan_Orc[[#This Row],[01/jan]:[01/dez]])</f>
        <v>0</v>
      </c>
      <c r="AB210" s="114"/>
      <c r="AC210" s="114"/>
      <c r="AD210" s="114"/>
      <c r="AE210" s="114"/>
      <c r="AF210" s="114"/>
      <c r="AG210" s="114"/>
      <c r="AH210" s="114"/>
      <c r="AI210" s="114"/>
      <c r="AJ210" s="114"/>
      <c r="AK210" s="114"/>
      <c r="AL210" s="114"/>
      <c r="AM210" s="114"/>
    </row>
    <row r="211" spans="2:39" ht="25.2" customHeight="1" x14ac:dyDescent="0.3">
      <c r="B211" s="13" t="str">
        <f t="shared" si="7"/>
        <v/>
      </c>
      <c r="C211" s="18"/>
      <c r="D211" s="19" t="str">
        <f>IF(Tabela2[[#This Row],[AGRUPADOR]]&lt;&gt;"",VLOOKUP(Tabela2[[#This Row],[AGRUPADOR]],Tabela1[],2,0),"")</f>
        <v/>
      </c>
      <c r="E211" s="19" t="str">
        <f>IF(Tabela2[[#This Row],[AGRUPADOR]]&lt;&gt;"",VLOOKUP(Tabela2[[#This Row],[AGRUPADOR]],Tabela1[],4,0),"")</f>
        <v/>
      </c>
      <c r="F211" s="14"/>
      <c r="G211" s="6"/>
      <c r="H211" s="6"/>
      <c r="I211" s="25"/>
      <c r="J211" s="7"/>
      <c r="K211" s="15"/>
      <c r="L211" s="379">
        <f>IF(H211&lt;&gt;"",J211*K211,SUMIFS(L212:L$9844,$F212:$F$9844,"*"&amp;F211&amp;"*",$H212:$H$9844,"&lt;&gt;"))</f>
        <v>0</v>
      </c>
      <c r="M211" s="379" t="str">
        <f>IF(Tabela2[[#This Row],[UNID.]]&lt;&gt;"",IFERROR(VLOOKUP(Tabela2[[#This Row],[AGRUPADOR]],Lucratividade!$D$4:$O$129,6,0),0),"")</f>
        <v/>
      </c>
      <c r="N211" s="379">
        <f>IF(H211&lt;&gt;"",J211*M211*I211,SUMIFS(N212:N$9844,$F212:$F$9844,"*"&amp;F211&amp;"*",$H212:$H$9844,"&lt;&gt;"))</f>
        <v>0</v>
      </c>
      <c r="O211" s="162" t="str">
        <f>IFERROR((-Tabela2[[#This Row],[CUSTO TOTAL]]+Tabela2[[#This Row],[VENDA TOTAL]])/Tabela2[[#This Row],[VENDA TOTAL]]-PARAMETROS!$C$19,"")</f>
        <v/>
      </c>
      <c r="AA211" s="219">
        <f>SUM(Plan_Orc[[#This Row],[01/jan]:[01/dez]])</f>
        <v>0</v>
      </c>
      <c r="AB211" s="114"/>
      <c r="AC211" s="114"/>
      <c r="AD211" s="114"/>
      <c r="AE211" s="114"/>
      <c r="AF211" s="114"/>
      <c r="AG211" s="114"/>
      <c r="AH211" s="114"/>
      <c r="AI211" s="114"/>
      <c r="AJ211" s="114"/>
      <c r="AK211" s="114"/>
      <c r="AL211" s="114"/>
      <c r="AM211" s="114"/>
    </row>
    <row r="212" spans="2:39" ht="25.2" customHeight="1" x14ac:dyDescent="0.3">
      <c r="B212" s="13" t="str">
        <f t="shared" si="7"/>
        <v/>
      </c>
      <c r="C212" s="18"/>
      <c r="D212" s="19" t="str">
        <f>IF(Tabela2[[#This Row],[AGRUPADOR]]&lt;&gt;"",VLOOKUP(Tabela2[[#This Row],[AGRUPADOR]],Tabela1[],2,0),"")</f>
        <v/>
      </c>
      <c r="E212" s="19" t="str">
        <f>IF(Tabela2[[#This Row],[AGRUPADOR]]&lt;&gt;"",VLOOKUP(Tabela2[[#This Row],[AGRUPADOR]],Tabela1[],4,0),"")</f>
        <v/>
      </c>
      <c r="F212" s="14"/>
      <c r="G212" s="6"/>
      <c r="H212" s="6"/>
      <c r="I212" s="25"/>
      <c r="J212" s="7"/>
      <c r="K212" s="15"/>
      <c r="L212" s="379">
        <f>IF(H212&lt;&gt;"",J212*K212,SUMIFS(L213:L$9844,$F213:$F$9844,"*"&amp;F212&amp;"*",$H213:$H$9844,"&lt;&gt;"))</f>
        <v>0</v>
      </c>
      <c r="M212" s="379" t="str">
        <f>IF(Tabela2[[#This Row],[UNID.]]&lt;&gt;"",IFERROR(VLOOKUP(Tabela2[[#This Row],[AGRUPADOR]],Lucratividade!$D$4:$O$129,6,0),0),"")</f>
        <v/>
      </c>
      <c r="N212" s="379">
        <f>IF(H212&lt;&gt;"",J212*M212*I212,SUMIFS(N213:N$9844,$F213:$F$9844,"*"&amp;F212&amp;"*",$H213:$H$9844,"&lt;&gt;"))</f>
        <v>0</v>
      </c>
      <c r="O212" s="162" t="str">
        <f>IFERROR((-Tabela2[[#This Row],[CUSTO TOTAL]]+Tabela2[[#This Row],[VENDA TOTAL]])/Tabela2[[#This Row],[VENDA TOTAL]]-PARAMETROS!$C$19,"")</f>
        <v/>
      </c>
      <c r="AA212" s="219">
        <f>SUM(Plan_Orc[[#This Row],[01/jan]:[01/dez]])</f>
        <v>0</v>
      </c>
      <c r="AB212" s="114"/>
      <c r="AC212" s="114"/>
      <c r="AD212" s="114"/>
      <c r="AE212" s="114"/>
      <c r="AF212" s="114"/>
      <c r="AG212" s="114"/>
      <c r="AH212" s="114"/>
      <c r="AI212" s="114"/>
      <c r="AJ212" s="114"/>
      <c r="AK212" s="114"/>
      <c r="AL212" s="114"/>
      <c r="AM212" s="114"/>
    </row>
    <row r="213" spans="2:39" ht="25.2" customHeight="1" x14ac:dyDescent="0.3">
      <c r="B213" s="13" t="str">
        <f t="shared" si="7"/>
        <v/>
      </c>
      <c r="C213" s="18"/>
      <c r="D213" s="19" t="str">
        <f>IF(Tabela2[[#This Row],[AGRUPADOR]]&lt;&gt;"",VLOOKUP(Tabela2[[#This Row],[AGRUPADOR]],Tabela1[],2,0),"")</f>
        <v/>
      </c>
      <c r="E213" s="19" t="str">
        <f>IF(Tabela2[[#This Row],[AGRUPADOR]]&lt;&gt;"",VLOOKUP(Tabela2[[#This Row],[AGRUPADOR]],Tabela1[],4,0),"")</f>
        <v/>
      </c>
      <c r="F213" s="14"/>
      <c r="G213" s="6"/>
      <c r="H213" s="6"/>
      <c r="I213" s="25"/>
      <c r="J213" s="7"/>
      <c r="K213" s="15"/>
      <c r="L213" s="379">
        <f>IF(H213&lt;&gt;"",J213*K213,SUMIFS(L214:L$9844,$F214:$F$9844,"*"&amp;F213&amp;"*",$H214:$H$9844,"&lt;&gt;"))</f>
        <v>0</v>
      </c>
      <c r="M213" s="379" t="str">
        <f>IF(Tabela2[[#This Row],[UNID.]]&lt;&gt;"",IFERROR(VLOOKUP(Tabela2[[#This Row],[AGRUPADOR]],Lucratividade!$D$4:$O$129,6,0),0),"")</f>
        <v/>
      </c>
      <c r="N213" s="379">
        <f>IF(H213&lt;&gt;"",J213*M213*I213,SUMIFS(N214:N$9844,$F214:$F$9844,"*"&amp;F213&amp;"*",$H214:$H$9844,"&lt;&gt;"))</f>
        <v>0</v>
      </c>
      <c r="O213" s="162" t="str">
        <f>IFERROR((-Tabela2[[#This Row],[CUSTO TOTAL]]+Tabela2[[#This Row],[VENDA TOTAL]])/Tabela2[[#This Row],[VENDA TOTAL]]-PARAMETROS!$C$19,"")</f>
        <v/>
      </c>
      <c r="AA213" s="219">
        <f>SUM(Plan_Orc[[#This Row],[01/jan]:[01/dez]])</f>
        <v>0</v>
      </c>
      <c r="AB213" s="114"/>
      <c r="AC213" s="114"/>
      <c r="AD213" s="114"/>
      <c r="AE213" s="114"/>
      <c r="AF213" s="114"/>
      <c r="AG213" s="114"/>
      <c r="AH213" s="114"/>
      <c r="AI213" s="114"/>
      <c r="AJ213" s="114"/>
      <c r="AK213" s="114"/>
      <c r="AL213" s="114"/>
      <c r="AM213" s="114"/>
    </row>
    <row r="214" spans="2:39" ht="25.2" customHeight="1" x14ac:dyDescent="0.3">
      <c r="B214" s="13" t="str">
        <f t="shared" si="7"/>
        <v/>
      </c>
      <c r="C214" s="18"/>
      <c r="D214" s="19" t="str">
        <f>IF(Tabela2[[#This Row],[AGRUPADOR]]&lt;&gt;"",VLOOKUP(Tabela2[[#This Row],[AGRUPADOR]],Tabela1[],2,0),"")</f>
        <v/>
      </c>
      <c r="E214" s="19" t="str">
        <f>IF(Tabela2[[#This Row],[AGRUPADOR]]&lt;&gt;"",VLOOKUP(Tabela2[[#This Row],[AGRUPADOR]],Tabela1[],4,0),"")</f>
        <v/>
      </c>
      <c r="F214" s="14"/>
      <c r="G214" s="6"/>
      <c r="H214" s="6"/>
      <c r="I214" s="25"/>
      <c r="J214" s="7"/>
      <c r="K214" s="15"/>
      <c r="L214" s="379">
        <f>IF(H214&lt;&gt;"",J214*K214,SUMIFS(L215:L$9844,$F215:$F$9844,"*"&amp;F214&amp;"*",$H215:$H$9844,"&lt;&gt;"))</f>
        <v>0</v>
      </c>
      <c r="M214" s="379" t="str">
        <f>IF(Tabela2[[#This Row],[UNID.]]&lt;&gt;"",IFERROR(VLOOKUP(Tabela2[[#This Row],[AGRUPADOR]],Lucratividade!$D$4:$O$129,6,0),0),"")</f>
        <v/>
      </c>
      <c r="N214" s="379">
        <f>IF(H214&lt;&gt;"",J214*M214*I214,SUMIFS(N215:N$9844,$F215:$F$9844,"*"&amp;F214&amp;"*",$H215:$H$9844,"&lt;&gt;"))</f>
        <v>0</v>
      </c>
      <c r="O214" s="162" t="str">
        <f>IFERROR((-Tabela2[[#This Row],[CUSTO TOTAL]]+Tabela2[[#This Row],[VENDA TOTAL]])/Tabela2[[#This Row],[VENDA TOTAL]]-PARAMETROS!$C$19,"")</f>
        <v/>
      </c>
      <c r="AA214" s="219">
        <f>SUM(Plan_Orc[[#This Row],[01/jan]:[01/dez]])</f>
        <v>0</v>
      </c>
      <c r="AB214" s="114"/>
      <c r="AC214" s="114"/>
      <c r="AD214" s="114"/>
      <c r="AE214" s="114"/>
      <c r="AF214" s="114"/>
      <c r="AG214" s="114"/>
      <c r="AH214" s="114"/>
      <c r="AI214" s="114"/>
      <c r="AJ214" s="114"/>
      <c r="AK214" s="114"/>
      <c r="AL214" s="114"/>
      <c r="AM214" s="114"/>
    </row>
    <row r="215" spans="2:39" ht="25.2" customHeight="1" x14ac:dyDescent="0.3">
      <c r="B215" s="13" t="str">
        <f t="shared" si="7"/>
        <v/>
      </c>
      <c r="C215" s="18"/>
      <c r="D215" s="19" t="str">
        <f>IF(Tabela2[[#This Row],[AGRUPADOR]]&lt;&gt;"",VLOOKUP(Tabela2[[#This Row],[AGRUPADOR]],Tabela1[],2,0),"")</f>
        <v/>
      </c>
      <c r="E215" s="19" t="str">
        <f>IF(Tabela2[[#This Row],[AGRUPADOR]]&lt;&gt;"",VLOOKUP(Tabela2[[#This Row],[AGRUPADOR]],Tabela1[],4,0),"")</f>
        <v/>
      </c>
      <c r="F215" s="14"/>
      <c r="G215" s="6"/>
      <c r="H215" s="6"/>
      <c r="I215" s="25"/>
      <c r="J215" s="7"/>
      <c r="K215" s="15"/>
      <c r="L215" s="379">
        <f>IF(H215&lt;&gt;"",J215*K215,SUMIFS(L216:L$9844,$F216:$F$9844,"*"&amp;F215&amp;"*",$H216:$H$9844,"&lt;&gt;"))</f>
        <v>0</v>
      </c>
      <c r="M215" s="379" t="str">
        <f>IF(Tabela2[[#This Row],[UNID.]]&lt;&gt;"",IFERROR(VLOOKUP(Tabela2[[#This Row],[AGRUPADOR]],Lucratividade!$D$4:$O$129,6,0),0),"")</f>
        <v/>
      </c>
      <c r="N215" s="379">
        <f>IF(H215&lt;&gt;"",J215*M215*I215,SUMIFS(N216:N$9844,$F216:$F$9844,"*"&amp;F215&amp;"*",$H216:$H$9844,"&lt;&gt;"))</f>
        <v>0</v>
      </c>
      <c r="O215" s="162" t="str">
        <f>IFERROR((-Tabela2[[#This Row],[CUSTO TOTAL]]+Tabela2[[#This Row],[VENDA TOTAL]])/Tabela2[[#This Row],[VENDA TOTAL]]-PARAMETROS!$C$19,"")</f>
        <v/>
      </c>
      <c r="AA215" s="219">
        <f>SUM(Plan_Orc[[#This Row],[01/jan]:[01/dez]])</f>
        <v>0</v>
      </c>
      <c r="AB215" s="114"/>
      <c r="AC215" s="114"/>
      <c r="AD215" s="114"/>
      <c r="AE215" s="114"/>
      <c r="AF215" s="114"/>
      <c r="AG215" s="114"/>
      <c r="AH215" s="114"/>
      <c r="AI215" s="114"/>
      <c r="AJ215" s="114"/>
      <c r="AK215" s="114"/>
      <c r="AL215" s="114"/>
      <c r="AM215" s="114"/>
    </row>
    <row r="216" spans="2:39" ht="25.2" customHeight="1" x14ac:dyDescent="0.3">
      <c r="B216" s="13" t="str">
        <f t="shared" si="7"/>
        <v/>
      </c>
      <c r="C216" s="18"/>
      <c r="D216" s="19" t="str">
        <f>IF(Tabela2[[#This Row],[AGRUPADOR]]&lt;&gt;"",VLOOKUP(Tabela2[[#This Row],[AGRUPADOR]],Tabela1[],2,0),"")</f>
        <v/>
      </c>
      <c r="E216" s="19" t="str">
        <f>IF(Tabela2[[#This Row],[AGRUPADOR]]&lt;&gt;"",VLOOKUP(Tabela2[[#This Row],[AGRUPADOR]],Tabela1[],4,0),"")</f>
        <v/>
      </c>
      <c r="F216" s="14"/>
      <c r="G216" s="6"/>
      <c r="H216" s="6"/>
      <c r="I216" s="25"/>
      <c r="J216" s="7"/>
      <c r="K216" s="15"/>
      <c r="L216" s="379">
        <f>IF(H216&lt;&gt;"",J216*K216,SUMIFS(L217:L$9844,$F217:$F$9844,"*"&amp;F216&amp;"*",$H217:$H$9844,"&lt;&gt;"))</f>
        <v>0</v>
      </c>
      <c r="M216" s="379" t="str">
        <f>IF(Tabela2[[#This Row],[UNID.]]&lt;&gt;"",IFERROR(VLOOKUP(Tabela2[[#This Row],[AGRUPADOR]],Lucratividade!$D$4:$O$129,6,0),0),"")</f>
        <v/>
      </c>
      <c r="N216" s="379">
        <f>IF(H216&lt;&gt;"",J216*M216*I216,SUMIFS(N217:N$9844,$F217:$F$9844,"*"&amp;F216&amp;"*",$H217:$H$9844,"&lt;&gt;"))</f>
        <v>0</v>
      </c>
      <c r="O216" s="162" t="str">
        <f>IFERROR((-Tabela2[[#This Row],[CUSTO TOTAL]]+Tabela2[[#This Row],[VENDA TOTAL]])/Tabela2[[#This Row],[VENDA TOTAL]]-PARAMETROS!$C$19,"")</f>
        <v/>
      </c>
      <c r="AA216" s="219">
        <f>SUM(Plan_Orc[[#This Row],[01/jan]:[01/dez]])</f>
        <v>0</v>
      </c>
      <c r="AB216" s="114"/>
      <c r="AC216" s="114"/>
      <c r="AD216" s="114"/>
      <c r="AE216" s="114"/>
      <c r="AF216" s="114"/>
      <c r="AG216" s="114"/>
      <c r="AH216" s="114"/>
      <c r="AI216" s="114"/>
      <c r="AJ216" s="114"/>
      <c r="AK216" s="114"/>
      <c r="AL216" s="114"/>
      <c r="AM216" s="114"/>
    </row>
    <row r="217" spans="2:39" ht="25.2" customHeight="1" x14ac:dyDescent="0.3">
      <c r="B217" s="13" t="str">
        <f t="shared" si="7"/>
        <v/>
      </c>
      <c r="C217" s="18"/>
      <c r="D217" s="19" t="str">
        <f>IF(Tabela2[[#This Row],[AGRUPADOR]]&lt;&gt;"",VLOOKUP(Tabela2[[#This Row],[AGRUPADOR]],Tabela1[],2,0),"")</f>
        <v/>
      </c>
      <c r="E217" s="19" t="str">
        <f>IF(Tabela2[[#This Row],[AGRUPADOR]]&lt;&gt;"",VLOOKUP(Tabela2[[#This Row],[AGRUPADOR]],Tabela1[],4,0),"")</f>
        <v/>
      </c>
      <c r="F217" s="14"/>
      <c r="G217" s="6"/>
      <c r="H217" s="6"/>
      <c r="I217" s="25"/>
      <c r="J217" s="7"/>
      <c r="K217" s="15"/>
      <c r="L217" s="379">
        <f>IF(H217&lt;&gt;"",J217*K217,SUMIFS(L218:L$9844,$F218:$F$9844,"*"&amp;F217&amp;"*",$H218:$H$9844,"&lt;&gt;"))</f>
        <v>0</v>
      </c>
      <c r="M217" s="379" t="str">
        <f>IF(Tabela2[[#This Row],[UNID.]]&lt;&gt;"",IFERROR(VLOOKUP(Tabela2[[#This Row],[AGRUPADOR]],Lucratividade!$D$4:$O$129,6,0),0),"")</f>
        <v/>
      </c>
      <c r="N217" s="379">
        <f>IF(H217&lt;&gt;"",J217*M217*I217,SUMIFS(N218:N$9844,$F218:$F$9844,"*"&amp;F217&amp;"*",$H218:$H$9844,"&lt;&gt;"))</f>
        <v>0</v>
      </c>
      <c r="O217" s="162" t="str">
        <f>IFERROR((-Tabela2[[#This Row],[CUSTO TOTAL]]+Tabela2[[#This Row],[VENDA TOTAL]])/Tabela2[[#This Row],[VENDA TOTAL]]-PARAMETROS!$C$19,"")</f>
        <v/>
      </c>
      <c r="AA217" s="219">
        <f>SUM(Plan_Orc[[#This Row],[01/jan]:[01/dez]])</f>
        <v>0</v>
      </c>
      <c r="AB217" s="114"/>
      <c r="AC217" s="114"/>
      <c r="AD217" s="114"/>
      <c r="AE217" s="114"/>
      <c r="AF217" s="114"/>
      <c r="AG217" s="114"/>
      <c r="AH217" s="114"/>
      <c r="AI217" s="114"/>
      <c r="AJ217" s="114"/>
      <c r="AK217" s="114"/>
      <c r="AL217" s="114"/>
      <c r="AM217" s="114"/>
    </row>
    <row r="218" spans="2:39" ht="25.2" customHeight="1" x14ac:dyDescent="0.3">
      <c r="B218" s="13" t="str">
        <f t="shared" si="7"/>
        <v/>
      </c>
      <c r="C218" s="18"/>
      <c r="D218" s="19" t="str">
        <f>IF(Tabela2[[#This Row],[AGRUPADOR]]&lt;&gt;"",VLOOKUP(Tabela2[[#This Row],[AGRUPADOR]],Tabela1[],2,0),"")</f>
        <v/>
      </c>
      <c r="E218" s="19" t="str">
        <f>IF(Tabela2[[#This Row],[AGRUPADOR]]&lt;&gt;"",VLOOKUP(Tabela2[[#This Row],[AGRUPADOR]],Tabela1[],4,0),"")</f>
        <v/>
      </c>
      <c r="F218" s="14"/>
      <c r="G218" s="6"/>
      <c r="H218" s="6"/>
      <c r="I218" s="25"/>
      <c r="J218" s="7"/>
      <c r="K218" s="15"/>
      <c r="L218" s="379">
        <f>IF(H218&lt;&gt;"",J218*K218,SUMIFS(L219:L$9844,$F219:$F$9844,"*"&amp;F218&amp;"*",$H219:$H$9844,"&lt;&gt;"))</f>
        <v>0</v>
      </c>
      <c r="M218" s="379" t="str">
        <f>IF(Tabela2[[#This Row],[UNID.]]&lt;&gt;"",IFERROR(VLOOKUP(Tabela2[[#This Row],[AGRUPADOR]],Lucratividade!$D$4:$O$129,6,0),0),"")</f>
        <v/>
      </c>
      <c r="N218" s="379">
        <f>IF(H218&lt;&gt;"",J218*M218*I218,SUMIFS(N219:N$9844,$F219:$F$9844,"*"&amp;F218&amp;"*",$H219:$H$9844,"&lt;&gt;"))</f>
        <v>0</v>
      </c>
      <c r="O218" s="162" t="str">
        <f>IFERROR((-Tabela2[[#This Row],[CUSTO TOTAL]]+Tabela2[[#This Row],[VENDA TOTAL]])/Tabela2[[#This Row],[VENDA TOTAL]]-PARAMETROS!$C$19,"")</f>
        <v/>
      </c>
      <c r="AA218" s="219">
        <f>SUM(Plan_Orc[[#This Row],[01/jan]:[01/dez]])</f>
        <v>0</v>
      </c>
      <c r="AB218" s="114"/>
      <c r="AC218" s="114"/>
      <c r="AD218" s="114"/>
      <c r="AE218" s="114"/>
      <c r="AF218" s="114"/>
      <c r="AG218" s="114"/>
      <c r="AH218" s="114"/>
      <c r="AI218" s="114"/>
      <c r="AJ218" s="114"/>
      <c r="AK218" s="114"/>
      <c r="AL218" s="114"/>
      <c r="AM218" s="114"/>
    </row>
    <row r="219" spans="2:39" ht="25.2" customHeight="1" x14ac:dyDescent="0.3">
      <c r="B219" s="13" t="str">
        <f t="shared" si="7"/>
        <v/>
      </c>
      <c r="C219" s="18"/>
      <c r="D219" s="19" t="str">
        <f>IF(Tabela2[[#This Row],[AGRUPADOR]]&lt;&gt;"",VLOOKUP(Tabela2[[#This Row],[AGRUPADOR]],Tabela1[],2,0),"")</f>
        <v/>
      </c>
      <c r="E219" s="19" t="str">
        <f>IF(Tabela2[[#This Row],[AGRUPADOR]]&lt;&gt;"",VLOOKUP(Tabela2[[#This Row],[AGRUPADOR]],Tabela1[],4,0),"")</f>
        <v/>
      </c>
      <c r="F219" s="14"/>
      <c r="G219" s="6"/>
      <c r="H219" s="6"/>
      <c r="I219" s="25"/>
      <c r="J219" s="7"/>
      <c r="K219" s="15"/>
      <c r="L219" s="379">
        <f>IF(H219&lt;&gt;"",J219*K219,SUMIFS(L220:L$9844,$F220:$F$9844,"*"&amp;F219&amp;"*",$H220:$H$9844,"&lt;&gt;"))</f>
        <v>0</v>
      </c>
      <c r="M219" s="379" t="str">
        <f>IF(Tabela2[[#This Row],[UNID.]]&lt;&gt;"",IFERROR(VLOOKUP(Tabela2[[#This Row],[AGRUPADOR]],Lucratividade!$D$4:$O$129,6,0),0),"")</f>
        <v/>
      </c>
      <c r="N219" s="379">
        <f>IF(H219&lt;&gt;"",J219*M219*I219,SUMIFS(N220:N$9844,$F220:$F$9844,"*"&amp;F219&amp;"*",$H220:$H$9844,"&lt;&gt;"))</f>
        <v>0</v>
      </c>
      <c r="O219" s="162" t="str">
        <f>IFERROR((-Tabela2[[#This Row],[CUSTO TOTAL]]+Tabela2[[#This Row],[VENDA TOTAL]])/Tabela2[[#This Row],[VENDA TOTAL]]-PARAMETROS!$C$19,"")</f>
        <v/>
      </c>
      <c r="AA219" s="219">
        <f>SUM(Plan_Orc[[#This Row],[01/jan]:[01/dez]])</f>
        <v>0</v>
      </c>
      <c r="AB219" s="114"/>
      <c r="AC219" s="114"/>
      <c r="AD219" s="114"/>
      <c r="AE219" s="114"/>
      <c r="AF219" s="114"/>
      <c r="AG219" s="114"/>
      <c r="AH219" s="114"/>
      <c r="AI219" s="114"/>
      <c r="AJ219" s="114"/>
      <c r="AK219" s="114"/>
      <c r="AL219" s="114"/>
      <c r="AM219" s="114"/>
    </row>
    <row r="220" spans="2:39" ht="25.2" customHeight="1" x14ac:dyDescent="0.3">
      <c r="B220" s="13" t="str">
        <f t="shared" si="7"/>
        <v/>
      </c>
      <c r="C220" s="18"/>
      <c r="D220" s="19" t="str">
        <f>IF(Tabela2[[#This Row],[AGRUPADOR]]&lt;&gt;"",VLOOKUP(Tabela2[[#This Row],[AGRUPADOR]],Tabela1[],2,0),"")</f>
        <v/>
      </c>
      <c r="E220" s="19" t="str">
        <f>IF(Tabela2[[#This Row],[AGRUPADOR]]&lt;&gt;"",VLOOKUP(Tabela2[[#This Row],[AGRUPADOR]],Tabela1[],4,0),"")</f>
        <v/>
      </c>
      <c r="F220" s="14"/>
      <c r="G220" s="6"/>
      <c r="H220" s="6"/>
      <c r="I220" s="25"/>
      <c r="J220" s="7"/>
      <c r="K220" s="15"/>
      <c r="L220" s="379">
        <f>IF(H220&lt;&gt;"",J220*K220,SUMIFS(L221:L$9844,$F221:$F$9844,"*"&amp;F220&amp;"*",$H221:$H$9844,"&lt;&gt;"))</f>
        <v>0</v>
      </c>
      <c r="M220" s="379" t="str">
        <f>IF(Tabela2[[#This Row],[UNID.]]&lt;&gt;"",IFERROR(VLOOKUP(Tabela2[[#This Row],[AGRUPADOR]],Lucratividade!$D$4:$O$129,6,0),0),"")</f>
        <v/>
      </c>
      <c r="N220" s="379">
        <f>IF(H220&lt;&gt;"",J220*M220*I220,SUMIFS(N221:N$9844,$F221:$F$9844,"*"&amp;F220&amp;"*",$H221:$H$9844,"&lt;&gt;"))</f>
        <v>0</v>
      </c>
      <c r="O220" s="162" t="str">
        <f>IFERROR((-Tabela2[[#This Row],[CUSTO TOTAL]]+Tabela2[[#This Row],[VENDA TOTAL]])/Tabela2[[#This Row],[VENDA TOTAL]]-PARAMETROS!$C$19,"")</f>
        <v/>
      </c>
      <c r="AA220" s="219">
        <f>SUM(Plan_Orc[[#This Row],[01/jan]:[01/dez]])</f>
        <v>0</v>
      </c>
      <c r="AB220" s="114"/>
      <c r="AC220" s="114"/>
      <c r="AD220" s="114"/>
      <c r="AE220" s="114"/>
      <c r="AF220" s="114"/>
      <c r="AG220" s="114"/>
      <c r="AH220" s="114"/>
      <c r="AI220" s="114"/>
      <c r="AJ220" s="114"/>
      <c r="AK220" s="114"/>
      <c r="AL220" s="114"/>
      <c r="AM220" s="114"/>
    </row>
    <row r="221" spans="2:39" ht="25.2" customHeight="1" x14ac:dyDescent="0.3">
      <c r="B221" s="13" t="str">
        <f t="shared" si="7"/>
        <v/>
      </c>
      <c r="C221" s="18"/>
      <c r="D221" s="19" t="str">
        <f>IF(Tabela2[[#This Row],[AGRUPADOR]]&lt;&gt;"",VLOOKUP(Tabela2[[#This Row],[AGRUPADOR]],Tabela1[],2,0),"")</f>
        <v/>
      </c>
      <c r="E221" s="19" t="str">
        <f>IF(Tabela2[[#This Row],[AGRUPADOR]]&lt;&gt;"",VLOOKUP(Tabela2[[#This Row],[AGRUPADOR]],Tabela1[],4,0),"")</f>
        <v/>
      </c>
      <c r="F221" s="14"/>
      <c r="G221" s="6"/>
      <c r="H221" s="6"/>
      <c r="I221" s="25"/>
      <c r="J221" s="7"/>
      <c r="K221" s="15"/>
      <c r="L221" s="379">
        <f>IF(H221&lt;&gt;"",J221*K221,SUMIFS(L222:L$9844,$F222:$F$9844,"*"&amp;F221&amp;"*",$H222:$H$9844,"&lt;&gt;"))</f>
        <v>0</v>
      </c>
      <c r="M221" s="379" t="str">
        <f>IF(Tabela2[[#This Row],[UNID.]]&lt;&gt;"",IFERROR(VLOOKUP(Tabela2[[#This Row],[AGRUPADOR]],Lucratividade!$D$4:$O$129,6,0),0),"")</f>
        <v/>
      </c>
      <c r="N221" s="379">
        <f>IF(H221&lt;&gt;"",J221*M221*I221,SUMIFS(N222:N$9844,$F222:$F$9844,"*"&amp;F221&amp;"*",$H222:$H$9844,"&lt;&gt;"))</f>
        <v>0</v>
      </c>
      <c r="O221" s="162" t="str">
        <f>IFERROR((-Tabela2[[#This Row],[CUSTO TOTAL]]+Tabela2[[#This Row],[VENDA TOTAL]])/Tabela2[[#This Row],[VENDA TOTAL]]-PARAMETROS!$C$19,"")</f>
        <v/>
      </c>
      <c r="AA221" s="219">
        <f>SUM(Plan_Orc[[#This Row],[01/jan]:[01/dez]])</f>
        <v>0</v>
      </c>
      <c r="AB221" s="114"/>
      <c r="AC221" s="114"/>
      <c r="AD221" s="114"/>
      <c r="AE221" s="114"/>
      <c r="AF221" s="114"/>
      <c r="AG221" s="114"/>
      <c r="AH221" s="114"/>
      <c r="AI221" s="114"/>
      <c r="AJ221" s="114"/>
      <c r="AK221" s="114"/>
      <c r="AL221" s="114"/>
      <c r="AM221" s="114"/>
    </row>
    <row r="222" spans="2:39" ht="25.2" customHeight="1" x14ac:dyDescent="0.3">
      <c r="B222" s="13" t="str">
        <f t="shared" si="7"/>
        <v/>
      </c>
      <c r="C222" s="18"/>
      <c r="D222" s="19" t="str">
        <f>IF(Tabela2[[#This Row],[AGRUPADOR]]&lt;&gt;"",VLOOKUP(Tabela2[[#This Row],[AGRUPADOR]],Tabela1[],2,0),"")</f>
        <v/>
      </c>
      <c r="E222" s="19" t="str">
        <f>IF(Tabela2[[#This Row],[AGRUPADOR]]&lt;&gt;"",VLOOKUP(Tabela2[[#This Row],[AGRUPADOR]],Tabela1[],4,0),"")</f>
        <v/>
      </c>
      <c r="F222" s="14"/>
      <c r="G222" s="6"/>
      <c r="H222" s="6"/>
      <c r="I222" s="25"/>
      <c r="J222" s="7"/>
      <c r="K222" s="15"/>
      <c r="L222" s="379">
        <f>IF(H222&lt;&gt;"",J222*K222,SUMIFS(L223:L$9844,$F223:$F$9844,"*"&amp;F222&amp;"*",$H223:$H$9844,"&lt;&gt;"))</f>
        <v>0</v>
      </c>
      <c r="M222" s="379" t="str">
        <f>IF(Tabela2[[#This Row],[UNID.]]&lt;&gt;"",IFERROR(VLOOKUP(Tabela2[[#This Row],[AGRUPADOR]],Lucratividade!$D$4:$O$129,6,0),0),"")</f>
        <v/>
      </c>
      <c r="N222" s="379">
        <f>IF(H222&lt;&gt;"",J222*M222*I222,SUMIFS(N223:N$9844,$F223:$F$9844,"*"&amp;F222&amp;"*",$H223:$H$9844,"&lt;&gt;"))</f>
        <v>0</v>
      </c>
      <c r="O222" s="162" t="str">
        <f>IFERROR((-Tabela2[[#This Row],[CUSTO TOTAL]]+Tabela2[[#This Row],[VENDA TOTAL]])/Tabela2[[#This Row],[VENDA TOTAL]]-PARAMETROS!$C$19,"")</f>
        <v/>
      </c>
      <c r="AA222" s="219">
        <f>SUM(Plan_Orc[[#This Row],[01/jan]:[01/dez]])</f>
        <v>0</v>
      </c>
      <c r="AB222" s="114"/>
      <c r="AC222" s="114"/>
      <c r="AD222" s="114"/>
      <c r="AE222" s="114"/>
      <c r="AF222" s="114"/>
      <c r="AG222" s="114"/>
      <c r="AH222" s="114"/>
      <c r="AI222" s="114"/>
      <c r="AJ222" s="114"/>
      <c r="AK222" s="114"/>
      <c r="AL222" s="114"/>
      <c r="AM222" s="114"/>
    </row>
    <row r="223" spans="2:39" ht="25.2" customHeight="1" x14ac:dyDescent="0.3">
      <c r="B223" s="13" t="str">
        <f t="shared" si="7"/>
        <v/>
      </c>
      <c r="C223" s="18"/>
      <c r="D223" s="19" t="str">
        <f>IF(Tabela2[[#This Row],[AGRUPADOR]]&lt;&gt;"",VLOOKUP(Tabela2[[#This Row],[AGRUPADOR]],Tabela1[],2,0),"")</f>
        <v/>
      </c>
      <c r="E223" s="19" t="str">
        <f>IF(Tabela2[[#This Row],[AGRUPADOR]]&lt;&gt;"",VLOOKUP(Tabela2[[#This Row],[AGRUPADOR]],Tabela1[],4,0),"")</f>
        <v/>
      </c>
      <c r="F223" s="14"/>
      <c r="G223" s="6"/>
      <c r="H223" s="6"/>
      <c r="I223" s="25"/>
      <c r="J223" s="7"/>
      <c r="K223" s="15"/>
      <c r="L223" s="379">
        <f>IF(H223&lt;&gt;"",J223*K223,SUMIFS(L224:L$9844,$F224:$F$9844,"*"&amp;F223&amp;"*",$H224:$H$9844,"&lt;&gt;"))</f>
        <v>0</v>
      </c>
      <c r="M223" s="379" t="str">
        <f>IF(Tabela2[[#This Row],[UNID.]]&lt;&gt;"",IFERROR(VLOOKUP(Tabela2[[#This Row],[AGRUPADOR]],Lucratividade!$D$4:$O$129,6,0),0),"")</f>
        <v/>
      </c>
      <c r="N223" s="379">
        <f>IF(H223&lt;&gt;"",J223*M223*I223,SUMIFS(N224:N$9844,$F224:$F$9844,"*"&amp;F223&amp;"*",$H224:$H$9844,"&lt;&gt;"))</f>
        <v>0</v>
      </c>
      <c r="O223" s="162" t="str">
        <f>IFERROR((-Tabela2[[#This Row],[CUSTO TOTAL]]+Tabela2[[#This Row],[VENDA TOTAL]])/Tabela2[[#This Row],[VENDA TOTAL]]-PARAMETROS!$C$19,"")</f>
        <v/>
      </c>
      <c r="AA223" s="219">
        <f>SUM(Plan_Orc[[#This Row],[01/jan]:[01/dez]])</f>
        <v>0</v>
      </c>
      <c r="AB223" s="114"/>
      <c r="AC223" s="114"/>
      <c r="AD223" s="114"/>
      <c r="AE223" s="114"/>
      <c r="AF223" s="114"/>
      <c r="AG223" s="114"/>
      <c r="AH223" s="114"/>
      <c r="AI223" s="114"/>
      <c r="AJ223" s="114"/>
      <c r="AK223" s="114"/>
      <c r="AL223" s="114"/>
      <c r="AM223" s="114"/>
    </row>
    <row r="224" spans="2:39" ht="25.2" customHeight="1" x14ac:dyDescent="0.3">
      <c r="B224" s="13" t="str">
        <f t="shared" si="7"/>
        <v/>
      </c>
      <c r="C224" s="18"/>
      <c r="D224" s="19" t="str">
        <f>IF(Tabela2[[#This Row],[AGRUPADOR]]&lt;&gt;"",VLOOKUP(Tabela2[[#This Row],[AGRUPADOR]],Tabela1[],2,0),"")</f>
        <v/>
      </c>
      <c r="E224" s="19" t="str">
        <f>IF(Tabela2[[#This Row],[AGRUPADOR]]&lt;&gt;"",VLOOKUP(Tabela2[[#This Row],[AGRUPADOR]],Tabela1[],4,0),"")</f>
        <v/>
      </c>
      <c r="F224" s="14"/>
      <c r="G224" s="6"/>
      <c r="H224" s="6"/>
      <c r="I224" s="25"/>
      <c r="J224" s="7"/>
      <c r="K224" s="15"/>
      <c r="L224" s="379">
        <f>IF(H224&lt;&gt;"",J224*K224,SUMIFS(L225:L$9844,$F225:$F$9844,"*"&amp;F224&amp;"*",$H225:$H$9844,"&lt;&gt;"))</f>
        <v>0</v>
      </c>
      <c r="M224" s="379" t="str">
        <f>IF(Tabela2[[#This Row],[UNID.]]&lt;&gt;"",IFERROR(VLOOKUP(Tabela2[[#This Row],[AGRUPADOR]],Lucratividade!$D$4:$O$129,6,0),0),"")</f>
        <v/>
      </c>
      <c r="N224" s="379">
        <f>IF(H224&lt;&gt;"",J224*M224*I224,SUMIFS(N225:N$9844,$F225:$F$9844,"*"&amp;F224&amp;"*",$H225:$H$9844,"&lt;&gt;"))</f>
        <v>0</v>
      </c>
      <c r="O224" s="162" t="str">
        <f>IFERROR((-Tabela2[[#This Row],[CUSTO TOTAL]]+Tabela2[[#This Row],[VENDA TOTAL]])/Tabela2[[#This Row],[VENDA TOTAL]]-PARAMETROS!$C$19,"")</f>
        <v/>
      </c>
      <c r="AA224" s="219">
        <f>SUM(Plan_Orc[[#This Row],[01/jan]:[01/dez]])</f>
        <v>0</v>
      </c>
      <c r="AB224" s="114"/>
      <c r="AC224" s="114"/>
      <c r="AD224" s="114"/>
      <c r="AE224" s="114"/>
      <c r="AF224" s="114"/>
      <c r="AG224" s="114"/>
      <c r="AH224" s="114"/>
      <c r="AI224" s="114"/>
      <c r="AJ224" s="114"/>
      <c r="AK224" s="114"/>
      <c r="AL224" s="114"/>
      <c r="AM224" s="114"/>
    </row>
    <row r="225" spans="2:39" ht="25.2" customHeight="1" x14ac:dyDescent="0.3">
      <c r="B225" s="13" t="str">
        <f t="shared" si="7"/>
        <v/>
      </c>
      <c r="C225" s="18"/>
      <c r="D225" s="19" t="str">
        <f>IF(Tabela2[[#This Row],[AGRUPADOR]]&lt;&gt;"",VLOOKUP(Tabela2[[#This Row],[AGRUPADOR]],Tabela1[],2,0),"")</f>
        <v/>
      </c>
      <c r="E225" s="19" t="str">
        <f>IF(Tabela2[[#This Row],[AGRUPADOR]]&lt;&gt;"",VLOOKUP(Tabela2[[#This Row],[AGRUPADOR]],Tabela1[],4,0),"")</f>
        <v/>
      </c>
      <c r="F225" s="14"/>
      <c r="G225" s="6"/>
      <c r="H225" s="6"/>
      <c r="I225" s="25"/>
      <c r="J225" s="7"/>
      <c r="K225" s="15"/>
      <c r="L225" s="379">
        <f>IF(H225&lt;&gt;"",J225*K225,SUMIFS(L226:L$9844,$F226:$F$9844,"*"&amp;F225&amp;"*",$H226:$H$9844,"&lt;&gt;"))</f>
        <v>0</v>
      </c>
      <c r="M225" s="379" t="str">
        <f>IF(Tabela2[[#This Row],[UNID.]]&lt;&gt;"",IFERROR(VLOOKUP(Tabela2[[#This Row],[AGRUPADOR]],Lucratividade!$D$4:$O$129,6,0),0),"")</f>
        <v/>
      </c>
      <c r="N225" s="379">
        <f>IF(H225&lt;&gt;"",J225*M225*I225,SUMIFS(N226:N$9844,$F226:$F$9844,"*"&amp;F225&amp;"*",$H226:$H$9844,"&lt;&gt;"))</f>
        <v>0</v>
      </c>
      <c r="O225" s="162" t="str">
        <f>IFERROR((-Tabela2[[#This Row],[CUSTO TOTAL]]+Tabela2[[#This Row],[VENDA TOTAL]])/Tabela2[[#This Row],[VENDA TOTAL]]-PARAMETROS!$C$19,"")</f>
        <v/>
      </c>
      <c r="AA225" s="219">
        <f>SUM(Plan_Orc[[#This Row],[01/jan]:[01/dez]])</f>
        <v>0</v>
      </c>
      <c r="AB225" s="114"/>
      <c r="AC225" s="114"/>
      <c r="AD225" s="114"/>
      <c r="AE225" s="114"/>
      <c r="AF225" s="114"/>
      <c r="AG225" s="114"/>
      <c r="AH225" s="114"/>
      <c r="AI225" s="114"/>
      <c r="AJ225" s="114"/>
      <c r="AK225" s="114"/>
      <c r="AL225" s="114"/>
      <c r="AM225" s="114"/>
    </row>
    <row r="226" spans="2:39" ht="25.2" customHeight="1" x14ac:dyDescent="0.3">
      <c r="B226" s="13" t="str">
        <f t="shared" si="7"/>
        <v/>
      </c>
      <c r="C226" s="18"/>
      <c r="D226" s="19" t="str">
        <f>IF(Tabela2[[#This Row],[AGRUPADOR]]&lt;&gt;"",VLOOKUP(Tabela2[[#This Row],[AGRUPADOR]],Tabela1[],2,0),"")</f>
        <v/>
      </c>
      <c r="E226" s="19" t="str">
        <f>IF(Tabela2[[#This Row],[AGRUPADOR]]&lt;&gt;"",VLOOKUP(Tabela2[[#This Row],[AGRUPADOR]],Tabela1[],4,0),"")</f>
        <v/>
      </c>
      <c r="F226" s="14"/>
      <c r="G226" s="6"/>
      <c r="H226" s="6"/>
      <c r="I226" s="25"/>
      <c r="J226" s="7"/>
      <c r="K226" s="15"/>
      <c r="L226" s="379">
        <f>IF(H226&lt;&gt;"",J226*K226,SUMIFS(L227:L$9844,$F227:$F$9844,"*"&amp;F226&amp;"*",$H227:$H$9844,"&lt;&gt;"))</f>
        <v>0</v>
      </c>
      <c r="M226" s="379" t="str">
        <f>IF(Tabela2[[#This Row],[UNID.]]&lt;&gt;"",IFERROR(VLOOKUP(Tabela2[[#This Row],[AGRUPADOR]],Lucratividade!$D$4:$O$129,6,0),0),"")</f>
        <v/>
      </c>
      <c r="N226" s="379">
        <f>IF(H226&lt;&gt;"",J226*M226*I226,SUMIFS(N227:N$9844,$F227:$F$9844,"*"&amp;F226&amp;"*",$H227:$H$9844,"&lt;&gt;"))</f>
        <v>0</v>
      </c>
      <c r="O226" s="162" t="str">
        <f>IFERROR((-Tabela2[[#This Row],[CUSTO TOTAL]]+Tabela2[[#This Row],[VENDA TOTAL]])/Tabela2[[#This Row],[VENDA TOTAL]]-PARAMETROS!$C$19,"")</f>
        <v/>
      </c>
      <c r="AA226" s="218">
        <f>SUM(Plan_Orc[[#This Row],[01/jan]:[01/dez]])</f>
        <v>0</v>
      </c>
      <c r="AB226" s="113"/>
      <c r="AC226" s="113"/>
      <c r="AD226" s="113"/>
      <c r="AE226" s="113"/>
      <c r="AF226" s="113"/>
      <c r="AG226" s="113"/>
      <c r="AH226" s="113"/>
      <c r="AI226" s="113"/>
      <c r="AJ226" s="113"/>
      <c r="AK226" s="113"/>
      <c r="AL226" s="113"/>
      <c r="AM226" s="113"/>
    </row>
    <row r="227" spans="2:39" ht="25.2" customHeight="1" x14ac:dyDescent="0.3">
      <c r="B227" s="13" t="str">
        <f t="shared" si="7"/>
        <v/>
      </c>
      <c r="C227" s="18"/>
      <c r="D227" s="19" t="str">
        <f>IF(Tabela2[[#This Row],[AGRUPADOR]]&lt;&gt;"",VLOOKUP(Tabela2[[#This Row],[AGRUPADOR]],Tabela1[],2,0),"")</f>
        <v/>
      </c>
      <c r="E227" s="19" t="str">
        <f>IF(Tabela2[[#This Row],[AGRUPADOR]]&lt;&gt;"",VLOOKUP(Tabela2[[#This Row],[AGRUPADOR]],Tabela1[],4,0),"")</f>
        <v/>
      </c>
      <c r="F227" s="14"/>
      <c r="G227" s="6"/>
      <c r="H227" s="6"/>
      <c r="I227" s="25"/>
      <c r="J227" s="7"/>
      <c r="K227" s="15"/>
      <c r="L227" s="379">
        <f>IF(H227&lt;&gt;"",J227*K227,SUMIFS(L228:L$9844,$F228:$F$9844,"*"&amp;F227&amp;"*",$H228:$H$9844,"&lt;&gt;"))</f>
        <v>0</v>
      </c>
      <c r="M227" s="379" t="str">
        <f>IF(Tabela2[[#This Row],[UNID.]]&lt;&gt;"",IFERROR(VLOOKUP(Tabela2[[#This Row],[AGRUPADOR]],Lucratividade!$D$4:$O$129,6,0),0),"")</f>
        <v/>
      </c>
      <c r="N227" s="379">
        <f>IF(H227&lt;&gt;"",J227*M227*I227,SUMIFS(N228:N$9844,$F228:$F$9844,"*"&amp;F227&amp;"*",$H228:$H$9844,"&lt;&gt;"))</f>
        <v>0</v>
      </c>
      <c r="O227" s="162" t="str">
        <f>IFERROR((-Tabela2[[#This Row],[CUSTO TOTAL]]+Tabela2[[#This Row],[VENDA TOTAL]])/Tabela2[[#This Row],[VENDA TOTAL]]-PARAMETROS!$C$19,"")</f>
        <v/>
      </c>
      <c r="AA227" s="219">
        <f>SUM(Plan_Orc[[#This Row],[01/jan]:[01/dez]])</f>
        <v>0</v>
      </c>
      <c r="AB227" s="114"/>
      <c r="AC227" s="114"/>
      <c r="AD227" s="114"/>
      <c r="AE227" s="114"/>
      <c r="AF227" s="114"/>
      <c r="AG227" s="114"/>
      <c r="AH227" s="114"/>
      <c r="AI227" s="114"/>
      <c r="AJ227" s="114"/>
      <c r="AK227" s="114"/>
      <c r="AL227" s="114"/>
      <c r="AM227" s="114"/>
    </row>
    <row r="228" spans="2:39" ht="25.2" customHeight="1" x14ac:dyDescent="0.3">
      <c r="B228" s="13" t="str">
        <f t="shared" si="7"/>
        <v/>
      </c>
      <c r="C228" s="18"/>
      <c r="D228" s="19" t="str">
        <f>IF(Tabela2[[#This Row],[AGRUPADOR]]&lt;&gt;"",VLOOKUP(Tabela2[[#This Row],[AGRUPADOR]],Tabela1[],2,0),"")</f>
        <v/>
      </c>
      <c r="E228" s="19" t="str">
        <f>IF(Tabela2[[#This Row],[AGRUPADOR]]&lt;&gt;"",VLOOKUP(Tabela2[[#This Row],[AGRUPADOR]],Tabela1[],4,0),"")</f>
        <v/>
      </c>
      <c r="F228" s="14"/>
      <c r="G228" s="6"/>
      <c r="H228" s="6"/>
      <c r="I228" s="25"/>
      <c r="J228" s="7"/>
      <c r="K228" s="15"/>
      <c r="L228" s="379">
        <f>IF(H228&lt;&gt;"",J228*K228,SUMIFS(L229:L$9844,$F229:$F$9844,"*"&amp;F228&amp;"*",$H229:$H$9844,"&lt;&gt;"))</f>
        <v>0</v>
      </c>
      <c r="M228" s="379" t="str">
        <f>IF(Tabela2[[#This Row],[UNID.]]&lt;&gt;"",IFERROR(VLOOKUP(Tabela2[[#This Row],[AGRUPADOR]],Lucratividade!$D$4:$O$129,6,0),0),"")</f>
        <v/>
      </c>
      <c r="N228" s="379">
        <f>IF(H228&lt;&gt;"",J228*M228*I228,SUMIFS(N229:N$9844,$F229:$F$9844,"*"&amp;F228&amp;"*",$H229:$H$9844,"&lt;&gt;"))</f>
        <v>0</v>
      </c>
      <c r="O228" s="162" t="str">
        <f>IFERROR((-Tabela2[[#This Row],[CUSTO TOTAL]]+Tabela2[[#This Row],[VENDA TOTAL]])/Tabela2[[#This Row],[VENDA TOTAL]]-PARAMETROS!$C$19,"")</f>
        <v/>
      </c>
      <c r="AA228" s="219">
        <f>SUM(Plan_Orc[[#This Row],[01/jan]:[01/dez]])</f>
        <v>0</v>
      </c>
      <c r="AB228" s="114"/>
      <c r="AC228" s="114"/>
      <c r="AD228" s="114"/>
      <c r="AE228" s="114"/>
      <c r="AF228" s="114"/>
      <c r="AG228" s="114"/>
      <c r="AH228" s="114"/>
      <c r="AI228" s="114"/>
      <c r="AJ228" s="114"/>
      <c r="AK228" s="114"/>
      <c r="AL228" s="114"/>
      <c r="AM228" s="114"/>
    </row>
    <row r="229" spans="2:39" ht="25.2" customHeight="1" x14ac:dyDescent="0.3">
      <c r="B229" s="13" t="str">
        <f t="shared" si="7"/>
        <v/>
      </c>
      <c r="C229" s="18"/>
      <c r="D229" s="19" t="str">
        <f>IF(Tabela2[[#This Row],[AGRUPADOR]]&lt;&gt;"",VLOOKUP(Tabela2[[#This Row],[AGRUPADOR]],Tabela1[],2,0),"")</f>
        <v/>
      </c>
      <c r="E229" s="19" t="str">
        <f>IF(Tabela2[[#This Row],[AGRUPADOR]]&lt;&gt;"",VLOOKUP(Tabela2[[#This Row],[AGRUPADOR]],Tabela1[],4,0),"")</f>
        <v/>
      </c>
      <c r="F229" s="14"/>
      <c r="G229" s="6"/>
      <c r="H229" s="6"/>
      <c r="I229" s="25"/>
      <c r="J229" s="7"/>
      <c r="K229" s="15"/>
      <c r="L229" s="379">
        <f>IF(H229&lt;&gt;"",J229*K229,SUMIFS(L230:L$9844,$F230:$F$9844,"*"&amp;F229&amp;"*",$H230:$H$9844,"&lt;&gt;"))</f>
        <v>0</v>
      </c>
      <c r="M229" s="379" t="str">
        <f>IF(Tabela2[[#This Row],[UNID.]]&lt;&gt;"",IFERROR(VLOOKUP(Tabela2[[#This Row],[AGRUPADOR]],Lucratividade!$D$4:$O$129,6,0),0),"")</f>
        <v/>
      </c>
      <c r="N229" s="379">
        <f>IF(H229&lt;&gt;"",J229*M229*I229,SUMIFS(N230:N$9844,$F230:$F$9844,"*"&amp;F229&amp;"*",$H230:$H$9844,"&lt;&gt;"))</f>
        <v>0</v>
      </c>
      <c r="O229" s="162" t="str">
        <f>IFERROR((-Tabela2[[#This Row],[CUSTO TOTAL]]+Tabela2[[#This Row],[VENDA TOTAL]])/Tabela2[[#This Row],[VENDA TOTAL]]-PARAMETROS!$C$19,"")</f>
        <v/>
      </c>
      <c r="AA229" s="219">
        <f>SUM(Plan_Orc[[#This Row],[01/jan]:[01/dez]])</f>
        <v>0</v>
      </c>
      <c r="AB229" s="114"/>
      <c r="AC229" s="114"/>
      <c r="AD229" s="114"/>
      <c r="AE229" s="114"/>
      <c r="AF229" s="114"/>
      <c r="AG229" s="114"/>
      <c r="AH229" s="114"/>
      <c r="AI229" s="114"/>
      <c r="AJ229" s="114"/>
      <c r="AK229" s="114"/>
      <c r="AL229" s="114"/>
      <c r="AM229" s="114"/>
    </row>
    <row r="230" spans="2:39" ht="25.2" customHeight="1" x14ac:dyDescent="0.3">
      <c r="B230" s="13" t="str">
        <f t="shared" si="7"/>
        <v/>
      </c>
      <c r="C230" s="18"/>
      <c r="D230" s="19" t="str">
        <f>IF(Tabela2[[#This Row],[AGRUPADOR]]&lt;&gt;"",VLOOKUP(Tabela2[[#This Row],[AGRUPADOR]],Tabela1[],2,0),"")</f>
        <v/>
      </c>
      <c r="E230" s="19" t="str">
        <f>IF(Tabela2[[#This Row],[AGRUPADOR]]&lt;&gt;"",VLOOKUP(Tabela2[[#This Row],[AGRUPADOR]],Tabela1[],4,0),"")</f>
        <v/>
      </c>
      <c r="F230" s="14"/>
      <c r="G230" s="6"/>
      <c r="H230" s="6"/>
      <c r="I230" s="25"/>
      <c r="J230" s="7"/>
      <c r="K230" s="15"/>
      <c r="L230" s="379">
        <f>IF(H230&lt;&gt;"",J230*K230,SUMIFS(L231:L$9844,$F231:$F$9844,"*"&amp;F230&amp;"*",$H231:$H$9844,"&lt;&gt;"))</f>
        <v>0</v>
      </c>
      <c r="M230" s="379" t="str">
        <f>IF(Tabela2[[#This Row],[UNID.]]&lt;&gt;"",IFERROR(VLOOKUP(Tabela2[[#This Row],[AGRUPADOR]],Lucratividade!$D$4:$O$129,6,0),0),"")</f>
        <v/>
      </c>
      <c r="N230" s="379">
        <f>IF(H230&lt;&gt;"",J230*M230*I230,SUMIFS(N231:N$9844,$F231:$F$9844,"*"&amp;F230&amp;"*",$H231:$H$9844,"&lt;&gt;"))</f>
        <v>0</v>
      </c>
      <c r="O230" s="162" t="str">
        <f>IFERROR((-Tabela2[[#This Row],[CUSTO TOTAL]]+Tabela2[[#This Row],[VENDA TOTAL]])/Tabela2[[#This Row],[VENDA TOTAL]]-PARAMETROS!$C$19,"")</f>
        <v/>
      </c>
      <c r="AA230" s="219">
        <f>SUM(Plan_Orc[[#This Row],[01/jan]:[01/dez]])</f>
        <v>0</v>
      </c>
      <c r="AB230" s="114"/>
      <c r="AC230" s="114"/>
      <c r="AD230" s="114"/>
      <c r="AE230" s="114"/>
      <c r="AF230" s="114"/>
      <c r="AG230" s="114"/>
      <c r="AH230" s="114"/>
      <c r="AI230" s="114"/>
      <c r="AJ230" s="114"/>
      <c r="AK230" s="114"/>
      <c r="AL230" s="114"/>
      <c r="AM230" s="114"/>
    </row>
    <row r="231" spans="2:39" ht="25.2" customHeight="1" x14ac:dyDescent="0.3">
      <c r="B231" s="13" t="str">
        <f t="shared" si="7"/>
        <v/>
      </c>
      <c r="C231" s="18"/>
      <c r="D231" s="19" t="str">
        <f>IF(Tabela2[[#This Row],[AGRUPADOR]]&lt;&gt;"",VLOOKUP(Tabela2[[#This Row],[AGRUPADOR]],Tabela1[],2,0),"")</f>
        <v/>
      </c>
      <c r="E231" s="19" t="str">
        <f>IF(Tabela2[[#This Row],[AGRUPADOR]]&lt;&gt;"",VLOOKUP(Tabela2[[#This Row],[AGRUPADOR]],Tabela1[],4,0),"")</f>
        <v/>
      </c>
      <c r="F231" s="14"/>
      <c r="G231" s="6"/>
      <c r="H231" s="6"/>
      <c r="I231" s="25"/>
      <c r="J231" s="7"/>
      <c r="K231" s="15"/>
      <c r="L231" s="379">
        <f>IF(H231&lt;&gt;"",J231*K231,SUMIFS(L232:L$9844,$F232:$F$9844,"*"&amp;F231&amp;"*",$H232:$H$9844,"&lt;&gt;"))</f>
        <v>0</v>
      </c>
      <c r="M231" s="379" t="str">
        <f>IF(Tabela2[[#This Row],[UNID.]]&lt;&gt;"",IFERROR(VLOOKUP(Tabela2[[#This Row],[AGRUPADOR]],Lucratividade!$D$4:$O$129,6,0),0),"")</f>
        <v/>
      </c>
      <c r="N231" s="379">
        <f>IF(H231&lt;&gt;"",J231*M231*I231,SUMIFS(N232:N$9844,$F232:$F$9844,"*"&amp;F231&amp;"*",$H232:$H$9844,"&lt;&gt;"))</f>
        <v>0</v>
      </c>
      <c r="O231" s="162" t="str">
        <f>IFERROR((-Tabela2[[#This Row],[CUSTO TOTAL]]+Tabela2[[#This Row],[VENDA TOTAL]])/Tabela2[[#This Row],[VENDA TOTAL]]-PARAMETROS!$C$19,"")</f>
        <v/>
      </c>
      <c r="AA231" s="219">
        <f>SUM(Plan_Orc[[#This Row],[01/jan]:[01/dez]])</f>
        <v>0</v>
      </c>
      <c r="AB231" s="114"/>
      <c r="AC231" s="114"/>
      <c r="AD231" s="114"/>
      <c r="AE231" s="114"/>
      <c r="AF231" s="114"/>
      <c r="AG231" s="114"/>
      <c r="AH231" s="114"/>
      <c r="AI231" s="114"/>
      <c r="AJ231" s="114"/>
      <c r="AK231" s="114"/>
      <c r="AL231" s="114"/>
      <c r="AM231" s="114"/>
    </row>
    <row r="232" spans="2:39" ht="25.2" customHeight="1" x14ac:dyDescent="0.3">
      <c r="B232" s="13" t="str">
        <f t="shared" si="7"/>
        <v/>
      </c>
      <c r="C232" s="18"/>
      <c r="D232" s="19" t="str">
        <f>IF(Tabela2[[#This Row],[AGRUPADOR]]&lt;&gt;"",VLOOKUP(Tabela2[[#This Row],[AGRUPADOR]],Tabela1[],2,0),"")</f>
        <v/>
      </c>
      <c r="E232" s="19" t="str">
        <f>IF(Tabela2[[#This Row],[AGRUPADOR]]&lt;&gt;"",VLOOKUP(Tabela2[[#This Row],[AGRUPADOR]],Tabela1[],4,0),"")</f>
        <v/>
      </c>
      <c r="F232" s="14"/>
      <c r="G232" s="6"/>
      <c r="H232" s="6"/>
      <c r="I232" s="25"/>
      <c r="J232" s="7"/>
      <c r="K232" s="15"/>
      <c r="L232" s="379">
        <f>IF(H232&lt;&gt;"",J232*K232,SUMIFS(L233:L$9844,$F233:$F$9844,"*"&amp;F232&amp;"*",$H233:$H$9844,"&lt;&gt;"))</f>
        <v>0</v>
      </c>
      <c r="M232" s="379" t="str">
        <f>IF(Tabela2[[#This Row],[UNID.]]&lt;&gt;"",IFERROR(VLOOKUP(Tabela2[[#This Row],[AGRUPADOR]],Lucratividade!$D$4:$O$129,6,0),0),"")</f>
        <v/>
      </c>
      <c r="N232" s="379">
        <f>IF(H232&lt;&gt;"",J232*M232*I232,SUMIFS(N233:N$9844,$F233:$F$9844,"*"&amp;F232&amp;"*",$H233:$H$9844,"&lt;&gt;"))</f>
        <v>0</v>
      </c>
      <c r="O232" s="162" t="str">
        <f>IFERROR((-Tabela2[[#This Row],[CUSTO TOTAL]]+Tabela2[[#This Row],[VENDA TOTAL]])/Tabela2[[#This Row],[VENDA TOTAL]]-PARAMETROS!$C$19,"")</f>
        <v/>
      </c>
      <c r="AA232" s="219">
        <f>SUM(Plan_Orc[[#This Row],[01/jan]:[01/dez]])</f>
        <v>0</v>
      </c>
      <c r="AB232" s="114"/>
      <c r="AC232" s="114"/>
      <c r="AD232" s="114"/>
      <c r="AE232" s="114"/>
      <c r="AF232" s="114"/>
      <c r="AG232" s="114"/>
      <c r="AH232" s="114"/>
      <c r="AI232" s="114"/>
      <c r="AJ232" s="114"/>
      <c r="AK232" s="114"/>
      <c r="AL232" s="114"/>
      <c r="AM232" s="114"/>
    </row>
    <row r="233" spans="2:39" ht="25.2" customHeight="1" x14ac:dyDescent="0.3">
      <c r="B233" s="13" t="str">
        <f t="shared" si="7"/>
        <v/>
      </c>
      <c r="C233" s="18"/>
      <c r="D233" s="19" t="str">
        <f>IF(Tabela2[[#This Row],[AGRUPADOR]]&lt;&gt;"",VLOOKUP(Tabela2[[#This Row],[AGRUPADOR]],Tabela1[],2,0),"")</f>
        <v/>
      </c>
      <c r="E233" s="19" t="str">
        <f>IF(Tabela2[[#This Row],[AGRUPADOR]]&lt;&gt;"",VLOOKUP(Tabela2[[#This Row],[AGRUPADOR]],Tabela1[],4,0),"")</f>
        <v/>
      </c>
      <c r="F233" s="14"/>
      <c r="G233" s="6"/>
      <c r="H233" s="6"/>
      <c r="I233" s="25"/>
      <c r="J233" s="7"/>
      <c r="K233" s="15"/>
      <c r="L233" s="379">
        <f>IF(H233&lt;&gt;"",J233*K233,SUMIFS(L234:L$9844,$F234:$F$9844,"*"&amp;F233&amp;"*",$H234:$H$9844,"&lt;&gt;"))</f>
        <v>0</v>
      </c>
      <c r="M233" s="379" t="str">
        <f>IF(Tabela2[[#This Row],[UNID.]]&lt;&gt;"",IFERROR(VLOOKUP(Tabela2[[#This Row],[AGRUPADOR]],Lucratividade!$D$4:$O$129,6,0),0),"")</f>
        <v/>
      </c>
      <c r="N233" s="379">
        <f>IF(H233&lt;&gt;"",J233*M233*I233,SUMIFS(N234:N$9844,$F234:$F$9844,"*"&amp;F233&amp;"*",$H234:$H$9844,"&lt;&gt;"))</f>
        <v>0</v>
      </c>
      <c r="O233" s="162" t="str">
        <f>IFERROR((-Tabela2[[#This Row],[CUSTO TOTAL]]+Tabela2[[#This Row],[VENDA TOTAL]])/Tabela2[[#This Row],[VENDA TOTAL]]-PARAMETROS!$C$19,"")</f>
        <v/>
      </c>
      <c r="AA233" s="219">
        <f>SUM(Plan_Orc[[#This Row],[01/jan]:[01/dez]])</f>
        <v>0</v>
      </c>
      <c r="AB233" s="114"/>
      <c r="AC233" s="114"/>
      <c r="AD233" s="114"/>
      <c r="AE233" s="114"/>
      <c r="AF233" s="114"/>
      <c r="AG233" s="114"/>
      <c r="AH233" s="114"/>
      <c r="AI233" s="114"/>
      <c r="AJ233" s="114"/>
      <c r="AK233" s="114"/>
      <c r="AL233" s="114"/>
      <c r="AM233" s="114"/>
    </row>
    <row r="234" spans="2:39" ht="25.2" customHeight="1" x14ac:dyDescent="0.3">
      <c r="B234" s="13" t="str">
        <f t="shared" si="7"/>
        <v/>
      </c>
      <c r="C234" s="18"/>
      <c r="D234" s="19" t="str">
        <f>IF(Tabela2[[#This Row],[AGRUPADOR]]&lt;&gt;"",VLOOKUP(Tabela2[[#This Row],[AGRUPADOR]],Tabela1[],2,0),"")</f>
        <v/>
      </c>
      <c r="E234" s="19" t="str">
        <f>IF(Tabela2[[#This Row],[AGRUPADOR]]&lt;&gt;"",VLOOKUP(Tabela2[[#This Row],[AGRUPADOR]],Tabela1[],4,0),"")</f>
        <v/>
      </c>
      <c r="F234" s="14"/>
      <c r="G234" s="6"/>
      <c r="H234" s="6"/>
      <c r="I234" s="25"/>
      <c r="J234" s="7"/>
      <c r="K234" s="15"/>
      <c r="L234" s="379">
        <f>IF(H234&lt;&gt;"",J234*K234,SUMIFS(L235:L$9844,$F235:$F$9844,"*"&amp;F234&amp;"*",$H235:$H$9844,"&lt;&gt;"))</f>
        <v>0</v>
      </c>
      <c r="M234" s="379" t="str">
        <f>IF(Tabela2[[#This Row],[UNID.]]&lt;&gt;"",IFERROR(VLOOKUP(Tabela2[[#This Row],[AGRUPADOR]],Lucratividade!$D$4:$O$129,6,0),0),"")</f>
        <v/>
      </c>
      <c r="N234" s="379">
        <f>IF(H234&lt;&gt;"",J234*M234*I234,SUMIFS(N235:N$9844,$F235:$F$9844,"*"&amp;F234&amp;"*",$H235:$H$9844,"&lt;&gt;"))</f>
        <v>0</v>
      </c>
      <c r="O234" s="162" t="str">
        <f>IFERROR((-Tabela2[[#This Row],[CUSTO TOTAL]]+Tabela2[[#This Row],[VENDA TOTAL]])/Tabela2[[#This Row],[VENDA TOTAL]]-PARAMETROS!$C$19,"")</f>
        <v/>
      </c>
      <c r="AA234" s="219">
        <f>SUM(Plan_Orc[[#This Row],[01/jan]:[01/dez]])</f>
        <v>0</v>
      </c>
      <c r="AB234" s="114"/>
      <c r="AC234" s="114"/>
      <c r="AD234" s="114"/>
      <c r="AE234" s="114"/>
      <c r="AF234" s="114"/>
      <c r="AG234" s="114"/>
      <c r="AH234" s="114"/>
      <c r="AI234" s="114"/>
      <c r="AJ234" s="114"/>
      <c r="AK234" s="114"/>
      <c r="AL234" s="114"/>
      <c r="AM234" s="114"/>
    </row>
    <row r="235" spans="2:39" ht="25.2" customHeight="1" x14ac:dyDescent="0.3">
      <c r="B235" s="13" t="str">
        <f t="shared" si="7"/>
        <v/>
      </c>
      <c r="C235" s="18"/>
      <c r="D235" s="19" t="str">
        <f>IF(Tabela2[[#This Row],[AGRUPADOR]]&lt;&gt;"",VLOOKUP(Tabela2[[#This Row],[AGRUPADOR]],Tabela1[],2,0),"")</f>
        <v/>
      </c>
      <c r="E235" s="19" t="str">
        <f>IF(Tabela2[[#This Row],[AGRUPADOR]]&lt;&gt;"",VLOOKUP(Tabela2[[#This Row],[AGRUPADOR]],Tabela1[],4,0),"")</f>
        <v/>
      </c>
      <c r="F235" s="14"/>
      <c r="G235" s="6"/>
      <c r="H235" s="6"/>
      <c r="I235" s="25"/>
      <c r="J235" s="7"/>
      <c r="K235" s="15"/>
      <c r="L235" s="379">
        <f>IF(H235&lt;&gt;"",J235*K235,SUMIFS(L236:L$9844,$F236:$F$9844,"*"&amp;F235&amp;"*",$H236:$H$9844,"&lt;&gt;"))</f>
        <v>0</v>
      </c>
      <c r="M235" s="379" t="str">
        <f>IF(Tabela2[[#This Row],[UNID.]]&lt;&gt;"",IFERROR(VLOOKUP(Tabela2[[#This Row],[AGRUPADOR]],Lucratividade!$D$4:$O$129,6,0),0),"")</f>
        <v/>
      </c>
      <c r="N235" s="379">
        <f>IF(H235&lt;&gt;"",J235*M235*I235,SUMIFS(N236:N$9844,$F236:$F$9844,"*"&amp;F235&amp;"*",$H236:$H$9844,"&lt;&gt;"))</f>
        <v>0</v>
      </c>
      <c r="O235" s="162" t="str">
        <f>IFERROR((-Tabela2[[#This Row],[CUSTO TOTAL]]+Tabela2[[#This Row],[VENDA TOTAL]])/Tabela2[[#This Row],[VENDA TOTAL]]-PARAMETROS!$C$19,"")</f>
        <v/>
      </c>
      <c r="AA235" s="219">
        <f>SUM(Plan_Orc[[#This Row],[01/jan]:[01/dez]])</f>
        <v>0</v>
      </c>
      <c r="AB235" s="114"/>
      <c r="AC235" s="114"/>
      <c r="AD235" s="114"/>
      <c r="AE235" s="114"/>
      <c r="AF235" s="114"/>
      <c r="AG235" s="114"/>
      <c r="AH235" s="114"/>
      <c r="AI235" s="114"/>
      <c r="AJ235" s="114"/>
      <c r="AK235" s="114"/>
      <c r="AL235" s="114"/>
      <c r="AM235" s="114"/>
    </row>
    <row r="236" spans="2:39" ht="25.2" customHeight="1" x14ac:dyDescent="0.3">
      <c r="B236" s="13" t="str">
        <f t="shared" si="7"/>
        <v/>
      </c>
      <c r="C236" s="18"/>
      <c r="D236" s="19" t="str">
        <f>IF(Tabela2[[#This Row],[AGRUPADOR]]&lt;&gt;"",VLOOKUP(Tabela2[[#This Row],[AGRUPADOR]],Tabela1[],2,0),"")</f>
        <v/>
      </c>
      <c r="E236" s="19" t="str">
        <f>IF(Tabela2[[#This Row],[AGRUPADOR]]&lt;&gt;"",VLOOKUP(Tabela2[[#This Row],[AGRUPADOR]],Tabela1[],4,0),"")</f>
        <v/>
      </c>
      <c r="F236" s="14"/>
      <c r="G236" s="6"/>
      <c r="H236" s="6"/>
      <c r="I236" s="25"/>
      <c r="J236" s="7"/>
      <c r="K236" s="15"/>
      <c r="L236" s="379">
        <f>IF(H236&lt;&gt;"",J236*K236,SUMIFS(L237:L$9844,$F237:$F$9844,"*"&amp;F236&amp;"*",$H237:$H$9844,"&lt;&gt;"))</f>
        <v>0</v>
      </c>
      <c r="M236" s="379" t="str">
        <f>IF(Tabela2[[#This Row],[UNID.]]&lt;&gt;"",IFERROR(VLOOKUP(Tabela2[[#This Row],[AGRUPADOR]],Lucratividade!$D$4:$O$129,6,0),0),"")</f>
        <v/>
      </c>
      <c r="N236" s="379">
        <f>IF(H236&lt;&gt;"",J236*M236*I236,SUMIFS(N237:N$9844,$F237:$F$9844,"*"&amp;F236&amp;"*",$H237:$H$9844,"&lt;&gt;"))</f>
        <v>0</v>
      </c>
      <c r="O236" s="162" t="str">
        <f>IFERROR((-Tabela2[[#This Row],[CUSTO TOTAL]]+Tabela2[[#This Row],[VENDA TOTAL]])/Tabela2[[#This Row],[VENDA TOTAL]]-PARAMETROS!$C$19,"")</f>
        <v/>
      </c>
      <c r="AA236" s="219">
        <f>SUM(Plan_Orc[[#This Row],[01/jan]:[01/dez]])</f>
        <v>0</v>
      </c>
      <c r="AB236" s="114"/>
      <c r="AC236" s="114"/>
      <c r="AD236" s="114"/>
      <c r="AE236" s="114"/>
      <c r="AF236" s="114"/>
      <c r="AG236" s="114"/>
      <c r="AH236" s="114"/>
      <c r="AI236" s="114"/>
      <c r="AJ236" s="114"/>
      <c r="AK236" s="114"/>
      <c r="AL236" s="114"/>
      <c r="AM236" s="114"/>
    </row>
    <row r="237" spans="2:39" ht="25.2" customHeight="1" x14ac:dyDescent="0.3">
      <c r="B237" s="13" t="str">
        <f t="shared" si="7"/>
        <v/>
      </c>
      <c r="C237" s="18"/>
      <c r="D237" s="19" t="str">
        <f>IF(Tabela2[[#This Row],[AGRUPADOR]]&lt;&gt;"",VLOOKUP(Tabela2[[#This Row],[AGRUPADOR]],Tabela1[],2,0),"")</f>
        <v/>
      </c>
      <c r="E237" s="19" t="str">
        <f>IF(Tabela2[[#This Row],[AGRUPADOR]]&lt;&gt;"",VLOOKUP(Tabela2[[#This Row],[AGRUPADOR]],Tabela1[],4,0),"")</f>
        <v/>
      </c>
      <c r="F237" s="14"/>
      <c r="G237" s="6"/>
      <c r="H237" s="6"/>
      <c r="I237" s="25"/>
      <c r="J237" s="7"/>
      <c r="K237" s="15"/>
      <c r="L237" s="379">
        <f>IF(H237&lt;&gt;"",J237*K237,SUMIFS(L238:L$9844,$F238:$F$9844,"*"&amp;F237&amp;"*",$H238:$H$9844,"&lt;&gt;"))</f>
        <v>0</v>
      </c>
      <c r="M237" s="379" t="str">
        <f>IF(Tabela2[[#This Row],[UNID.]]&lt;&gt;"",IFERROR(VLOOKUP(Tabela2[[#This Row],[AGRUPADOR]],Lucratividade!$D$4:$O$129,6,0),0),"")</f>
        <v/>
      </c>
      <c r="N237" s="379">
        <f>IF(H237&lt;&gt;"",J237*M237*I237,SUMIFS(N238:N$9844,$F238:$F$9844,"*"&amp;F237&amp;"*",$H238:$H$9844,"&lt;&gt;"))</f>
        <v>0</v>
      </c>
      <c r="O237" s="162" t="str">
        <f>IFERROR((-Tabela2[[#This Row],[CUSTO TOTAL]]+Tabela2[[#This Row],[VENDA TOTAL]])/Tabela2[[#This Row],[VENDA TOTAL]]-PARAMETROS!$C$19,"")</f>
        <v/>
      </c>
      <c r="AA237" s="219">
        <f>SUM(Plan_Orc[[#This Row],[01/jan]:[01/dez]])</f>
        <v>0</v>
      </c>
      <c r="AB237" s="114"/>
      <c r="AC237" s="114"/>
      <c r="AD237" s="114"/>
      <c r="AE237" s="114"/>
      <c r="AF237" s="114"/>
      <c r="AG237" s="114"/>
      <c r="AH237" s="114"/>
      <c r="AI237" s="114"/>
      <c r="AJ237" s="114"/>
      <c r="AK237" s="114"/>
      <c r="AL237" s="114"/>
      <c r="AM237" s="114"/>
    </row>
    <row r="238" spans="2:39" ht="25.2" customHeight="1" x14ac:dyDescent="0.3">
      <c r="B238" s="13" t="str">
        <f t="shared" si="7"/>
        <v/>
      </c>
      <c r="C238" s="18"/>
      <c r="D238" s="19" t="str">
        <f>IF(Tabela2[[#This Row],[AGRUPADOR]]&lt;&gt;"",VLOOKUP(Tabela2[[#This Row],[AGRUPADOR]],Tabela1[],2,0),"")</f>
        <v/>
      </c>
      <c r="E238" s="19" t="str">
        <f>IF(Tabela2[[#This Row],[AGRUPADOR]]&lt;&gt;"",VLOOKUP(Tabela2[[#This Row],[AGRUPADOR]],Tabela1[],4,0),"")</f>
        <v/>
      </c>
      <c r="F238" s="14"/>
      <c r="G238" s="6"/>
      <c r="H238" s="6"/>
      <c r="I238" s="25"/>
      <c r="J238" s="7"/>
      <c r="K238" s="15"/>
      <c r="L238" s="379">
        <f>IF(H238&lt;&gt;"",J238*K238,SUMIFS(L239:L$9844,$F239:$F$9844,"*"&amp;F238&amp;"*",$H239:$H$9844,"&lt;&gt;"))</f>
        <v>0</v>
      </c>
      <c r="M238" s="379" t="str">
        <f>IF(Tabela2[[#This Row],[UNID.]]&lt;&gt;"",IFERROR(VLOOKUP(Tabela2[[#This Row],[AGRUPADOR]],Lucratividade!$D$4:$O$129,6,0),0),"")</f>
        <v/>
      </c>
      <c r="N238" s="379">
        <f>IF(H238&lt;&gt;"",J238*M238*I238,SUMIFS(N239:N$9844,$F239:$F$9844,"*"&amp;F238&amp;"*",$H239:$H$9844,"&lt;&gt;"))</f>
        <v>0</v>
      </c>
      <c r="O238" s="162" t="str">
        <f>IFERROR((-Tabela2[[#This Row],[CUSTO TOTAL]]+Tabela2[[#This Row],[VENDA TOTAL]])/Tabela2[[#This Row],[VENDA TOTAL]]-PARAMETROS!$C$19,"")</f>
        <v/>
      </c>
      <c r="AA238" s="219">
        <f>SUM(Plan_Orc[[#This Row],[01/jan]:[01/dez]])</f>
        <v>0</v>
      </c>
      <c r="AB238" s="114"/>
      <c r="AC238" s="114"/>
      <c r="AD238" s="114"/>
      <c r="AE238" s="114"/>
      <c r="AF238" s="114"/>
      <c r="AG238" s="114"/>
      <c r="AH238" s="114"/>
      <c r="AI238" s="114"/>
      <c r="AJ238" s="114"/>
      <c r="AK238" s="114"/>
      <c r="AL238" s="114"/>
      <c r="AM238" s="114"/>
    </row>
    <row r="239" spans="2:39" ht="25.2" customHeight="1" x14ac:dyDescent="0.3">
      <c r="B239" s="13" t="str">
        <f t="shared" si="7"/>
        <v/>
      </c>
      <c r="C239" s="18"/>
      <c r="D239" s="19" t="str">
        <f>IF(Tabela2[[#This Row],[AGRUPADOR]]&lt;&gt;"",VLOOKUP(Tabela2[[#This Row],[AGRUPADOR]],Tabela1[],2,0),"")</f>
        <v/>
      </c>
      <c r="E239" s="19" t="str">
        <f>IF(Tabela2[[#This Row],[AGRUPADOR]]&lt;&gt;"",VLOOKUP(Tabela2[[#This Row],[AGRUPADOR]],Tabela1[],4,0),"")</f>
        <v/>
      </c>
      <c r="F239" s="14"/>
      <c r="G239" s="6"/>
      <c r="H239" s="6"/>
      <c r="I239" s="25"/>
      <c r="J239" s="7"/>
      <c r="K239" s="15"/>
      <c r="L239" s="379">
        <f>IF(H239&lt;&gt;"",J239*K239,SUMIFS(L240:L$9844,$F240:$F$9844,"*"&amp;F239&amp;"*",$H240:$H$9844,"&lt;&gt;"))</f>
        <v>0</v>
      </c>
      <c r="M239" s="379" t="str">
        <f>IF(Tabela2[[#This Row],[UNID.]]&lt;&gt;"",IFERROR(VLOOKUP(Tabela2[[#This Row],[AGRUPADOR]],Lucratividade!$D$4:$O$129,6,0),0),"")</f>
        <v/>
      </c>
      <c r="N239" s="379">
        <f>IF(H239&lt;&gt;"",J239*M239*I239,SUMIFS(N240:N$9844,$F240:$F$9844,"*"&amp;F239&amp;"*",$H240:$H$9844,"&lt;&gt;"))</f>
        <v>0</v>
      </c>
      <c r="O239" s="162" t="str">
        <f>IFERROR((-Tabela2[[#This Row],[CUSTO TOTAL]]+Tabela2[[#This Row],[VENDA TOTAL]])/Tabela2[[#This Row],[VENDA TOTAL]]-PARAMETROS!$C$19,"")</f>
        <v/>
      </c>
      <c r="AA239" s="219">
        <f>SUM(Plan_Orc[[#This Row],[01/jan]:[01/dez]])</f>
        <v>0</v>
      </c>
      <c r="AB239" s="114"/>
      <c r="AC239" s="114"/>
      <c r="AD239" s="114"/>
      <c r="AE239" s="114"/>
      <c r="AF239" s="114"/>
      <c r="AG239" s="114"/>
      <c r="AH239" s="114"/>
      <c r="AI239" s="114"/>
      <c r="AJ239" s="114"/>
      <c r="AK239" s="114"/>
      <c r="AL239" s="114"/>
      <c r="AM239" s="114"/>
    </row>
    <row r="240" spans="2:39" ht="25.2" customHeight="1" x14ac:dyDescent="0.3">
      <c r="B240" s="13" t="str">
        <f t="shared" si="7"/>
        <v/>
      </c>
      <c r="C240" s="18"/>
      <c r="D240" s="19" t="str">
        <f>IF(Tabela2[[#This Row],[AGRUPADOR]]&lt;&gt;"",VLOOKUP(Tabela2[[#This Row],[AGRUPADOR]],Tabela1[],2,0),"")</f>
        <v/>
      </c>
      <c r="E240" s="19" t="str">
        <f>IF(Tabela2[[#This Row],[AGRUPADOR]]&lt;&gt;"",VLOOKUP(Tabela2[[#This Row],[AGRUPADOR]],Tabela1[],4,0),"")</f>
        <v/>
      </c>
      <c r="F240" s="14"/>
      <c r="G240" s="6"/>
      <c r="H240" s="6"/>
      <c r="I240" s="25"/>
      <c r="J240" s="7"/>
      <c r="K240" s="15"/>
      <c r="L240" s="379">
        <f>IF(H240&lt;&gt;"",J240*K240,SUMIFS(L241:L$9844,$F241:$F$9844,"*"&amp;F240&amp;"*",$H241:$H$9844,"&lt;&gt;"))</f>
        <v>0</v>
      </c>
      <c r="M240" s="379" t="str">
        <f>IF(Tabela2[[#This Row],[UNID.]]&lt;&gt;"",IFERROR(VLOOKUP(Tabela2[[#This Row],[AGRUPADOR]],Lucratividade!$D$4:$O$129,6,0),0),"")</f>
        <v/>
      </c>
      <c r="N240" s="379">
        <f>IF(H240&lt;&gt;"",J240*M240*I240,SUMIFS(N241:N$9844,$F241:$F$9844,"*"&amp;F240&amp;"*",$H241:$H$9844,"&lt;&gt;"))</f>
        <v>0</v>
      </c>
      <c r="O240" s="162" t="str">
        <f>IFERROR((-Tabela2[[#This Row],[CUSTO TOTAL]]+Tabela2[[#This Row],[VENDA TOTAL]])/Tabela2[[#This Row],[VENDA TOTAL]]-PARAMETROS!$C$19,"")</f>
        <v/>
      </c>
      <c r="AA240" s="219">
        <f>SUM(Plan_Orc[[#This Row],[01/jan]:[01/dez]])</f>
        <v>0</v>
      </c>
      <c r="AB240" s="114"/>
      <c r="AC240" s="114"/>
      <c r="AD240" s="114"/>
      <c r="AE240" s="114"/>
      <c r="AF240" s="114"/>
      <c r="AG240" s="114"/>
      <c r="AH240" s="114"/>
      <c r="AI240" s="114"/>
      <c r="AJ240" s="114"/>
      <c r="AK240" s="114"/>
      <c r="AL240" s="114"/>
      <c r="AM240" s="114"/>
    </row>
    <row r="241" spans="2:39" ht="25.2" customHeight="1" x14ac:dyDescent="0.3">
      <c r="B241" s="13" t="str">
        <f t="shared" si="7"/>
        <v/>
      </c>
      <c r="C241" s="18"/>
      <c r="D241" s="19" t="str">
        <f>IF(Tabela2[[#This Row],[AGRUPADOR]]&lt;&gt;"",VLOOKUP(Tabela2[[#This Row],[AGRUPADOR]],Tabela1[],2,0),"")</f>
        <v/>
      </c>
      <c r="E241" s="19" t="str">
        <f>IF(Tabela2[[#This Row],[AGRUPADOR]]&lt;&gt;"",VLOOKUP(Tabela2[[#This Row],[AGRUPADOR]],Tabela1[],4,0),"")</f>
        <v/>
      </c>
      <c r="F241" s="14"/>
      <c r="G241" s="6"/>
      <c r="H241" s="6"/>
      <c r="I241" s="25"/>
      <c r="J241" s="7"/>
      <c r="K241" s="15"/>
      <c r="L241" s="379">
        <f>IF(H241&lt;&gt;"",J241*K241,SUMIFS(L242:L$9844,$F242:$F$9844,"*"&amp;F241&amp;"*",$H242:$H$9844,"&lt;&gt;"))</f>
        <v>0</v>
      </c>
      <c r="M241" s="379" t="str">
        <f>IF(Tabela2[[#This Row],[UNID.]]&lt;&gt;"",IFERROR(VLOOKUP(Tabela2[[#This Row],[AGRUPADOR]],Lucratividade!$D$4:$O$129,6,0),0),"")</f>
        <v/>
      </c>
      <c r="N241" s="379">
        <f>IF(H241&lt;&gt;"",J241*M241*I241,SUMIFS(N242:N$9844,$F242:$F$9844,"*"&amp;F241&amp;"*",$H242:$H$9844,"&lt;&gt;"))</f>
        <v>0</v>
      </c>
      <c r="O241" s="162" t="str">
        <f>IFERROR((-Tabela2[[#This Row],[CUSTO TOTAL]]+Tabela2[[#This Row],[VENDA TOTAL]])/Tabela2[[#This Row],[VENDA TOTAL]]-PARAMETROS!$C$19,"")</f>
        <v/>
      </c>
      <c r="AA241" s="219">
        <f>SUM(Plan_Orc[[#This Row],[01/jan]:[01/dez]])</f>
        <v>0</v>
      </c>
      <c r="AB241" s="114"/>
      <c r="AC241" s="114"/>
      <c r="AD241" s="114"/>
      <c r="AE241" s="114"/>
      <c r="AF241" s="114"/>
      <c r="AG241" s="114"/>
      <c r="AH241" s="114"/>
      <c r="AI241" s="114"/>
      <c r="AJ241" s="114"/>
      <c r="AK241" s="114"/>
      <c r="AL241" s="114"/>
      <c r="AM241" s="114"/>
    </row>
    <row r="242" spans="2:39" ht="25.2" customHeight="1" x14ac:dyDescent="0.3">
      <c r="B242" s="13" t="str">
        <f t="shared" si="7"/>
        <v/>
      </c>
      <c r="C242" s="18"/>
      <c r="D242" s="19" t="str">
        <f>IF(Tabela2[[#This Row],[AGRUPADOR]]&lt;&gt;"",VLOOKUP(Tabela2[[#This Row],[AGRUPADOR]],Tabela1[],2,0),"")</f>
        <v/>
      </c>
      <c r="E242" s="19" t="str">
        <f>IF(Tabela2[[#This Row],[AGRUPADOR]]&lt;&gt;"",VLOOKUP(Tabela2[[#This Row],[AGRUPADOR]],Tabela1[],4,0),"")</f>
        <v/>
      </c>
      <c r="F242" s="14"/>
      <c r="G242" s="6"/>
      <c r="H242" s="6"/>
      <c r="I242" s="25"/>
      <c r="J242" s="7"/>
      <c r="K242" s="15"/>
      <c r="L242" s="379">
        <f>IF(H242&lt;&gt;"",J242*K242,SUMIFS(L243:L$9844,$F243:$F$9844,"*"&amp;F242&amp;"*",$H243:$H$9844,"&lt;&gt;"))</f>
        <v>0</v>
      </c>
      <c r="M242" s="379" t="str">
        <f>IF(Tabela2[[#This Row],[UNID.]]&lt;&gt;"",IFERROR(VLOOKUP(Tabela2[[#This Row],[AGRUPADOR]],Lucratividade!$D$4:$O$129,6,0),0),"")</f>
        <v/>
      </c>
      <c r="N242" s="379">
        <f>IF(H242&lt;&gt;"",J242*M242*I242,SUMIFS(N243:N$9844,$F243:$F$9844,"*"&amp;F242&amp;"*",$H243:$H$9844,"&lt;&gt;"))</f>
        <v>0</v>
      </c>
      <c r="O242" s="162" t="str">
        <f>IFERROR((-Tabela2[[#This Row],[CUSTO TOTAL]]+Tabela2[[#This Row],[VENDA TOTAL]])/Tabela2[[#This Row],[VENDA TOTAL]]-PARAMETROS!$C$19,"")</f>
        <v/>
      </c>
      <c r="AA242" s="219">
        <f>SUM(Plan_Orc[[#This Row],[01/jan]:[01/dez]])</f>
        <v>0</v>
      </c>
      <c r="AB242" s="114"/>
      <c r="AC242" s="114"/>
      <c r="AD242" s="114"/>
      <c r="AE242" s="114"/>
      <c r="AF242" s="114"/>
      <c r="AG242" s="114"/>
      <c r="AH242" s="114"/>
      <c r="AI242" s="114"/>
      <c r="AJ242" s="114"/>
      <c r="AK242" s="114"/>
      <c r="AL242" s="114"/>
      <c r="AM242" s="114"/>
    </row>
    <row r="243" spans="2:39" ht="25.2" customHeight="1" x14ac:dyDescent="0.3">
      <c r="B243" s="13" t="str">
        <f t="shared" si="7"/>
        <v/>
      </c>
      <c r="C243" s="18"/>
      <c r="D243" s="19" t="str">
        <f>IF(Tabela2[[#This Row],[AGRUPADOR]]&lt;&gt;"",VLOOKUP(Tabela2[[#This Row],[AGRUPADOR]],Tabela1[],2,0),"")</f>
        <v/>
      </c>
      <c r="E243" s="19" t="str">
        <f>IF(Tabela2[[#This Row],[AGRUPADOR]]&lt;&gt;"",VLOOKUP(Tabela2[[#This Row],[AGRUPADOR]],Tabela1[],4,0),"")</f>
        <v/>
      </c>
      <c r="F243" s="14"/>
      <c r="G243" s="6"/>
      <c r="H243" s="6"/>
      <c r="I243" s="25"/>
      <c r="J243" s="7"/>
      <c r="K243" s="15"/>
      <c r="L243" s="379">
        <f>IF(H243&lt;&gt;"",J243*K243,SUMIFS(L244:L$9844,$F244:$F$9844,"*"&amp;F243&amp;"*",$H244:$H$9844,"&lt;&gt;"))</f>
        <v>0</v>
      </c>
      <c r="M243" s="379" t="str">
        <f>IF(Tabela2[[#This Row],[UNID.]]&lt;&gt;"",IFERROR(VLOOKUP(Tabela2[[#This Row],[AGRUPADOR]],Lucratividade!$D$4:$O$129,6,0),0),"")</f>
        <v/>
      </c>
      <c r="N243" s="379">
        <f>IF(H243&lt;&gt;"",J243*M243*I243,SUMIFS(N244:N$9844,$F244:$F$9844,"*"&amp;F243&amp;"*",$H244:$H$9844,"&lt;&gt;"))</f>
        <v>0</v>
      </c>
      <c r="O243" s="162" t="str">
        <f>IFERROR((-Tabela2[[#This Row],[CUSTO TOTAL]]+Tabela2[[#This Row],[VENDA TOTAL]])/Tabela2[[#This Row],[VENDA TOTAL]]-PARAMETROS!$C$19,"")</f>
        <v/>
      </c>
      <c r="AA243" s="219">
        <f>SUM(Plan_Orc[[#This Row],[01/jan]:[01/dez]])</f>
        <v>0</v>
      </c>
      <c r="AB243" s="114"/>
      <c r="AC243" s="114"/>
      <c r="AD243" s="114"/>
      <c r="AE243" s="114"/>
      <c r="AF243" s="114"/>
      <c r="AG243" s="114"/>
      <c r="AH243" s="114"/>
      <c r="AI243" s="114"/>
      <c r="AJ243" s="114"/>
      <c r="AK243" s="114"/>
      <c r="AL243" s="114"/>
      <c r="AM243" s="114"/>
    </row>
    <row r="244" spans="2:39" ht="25.2" customHeight="1" x14ac:dyDescent="0.3">
      <c r="B244" s="13" t="str">
        <f t="shared" si="7"/>
        <v/>
      </c>
      <c r="C244" s="18"/>
      <c r="D244" s="19" t="str">
        <f>IF(Tabela2[[#This Row],[AGRUPADOR]]&lt;&gt;"",VLOOKUP(Tabela2[[#This Row],[AGRUPADOR]],Tabela1[],2,0),"")</f>
        <v/>
      </c>
      <c r="E244" s="19" t="str">
        <f>IF(Tabela2[[#This Row],[AGRUPADOR]]&lt;&gt;"",VLOOKUP(Tabela2[[#This Row],[AGRUPADOR]],Tabela1[],4,0),"")</f>
        <v/>
      </c>
      <c r="F244" s="14"/>
      <c r="G244" s="6"/>
      <c r="H244" s="6"/>
      <c r="I244" s="25"/>
      <c r="J244" s="7"/>
      <c r="K244" s="15"/>
      <c r="L244" s="379">
        <f>IF(H244&lt;&gt;"",J244*K244,SUMIFS(L245:L$9844,$F245:$F$9844,"*"&amp;F244&amp;"*",$H245:$H$9844,"&lt;&gt;"))</f>
        <v>0</v>
      </c>
      <c r="M244" s="379" t="str">
        <f>IF(Tabela2[[#This Row],[UNID.]]&lt;&gt;"",IFERROR(VLOOKUP(Tabela2[[#This Row],[AGRUPADOR]],Lucratividade!$D$4:$O$129,6,0),0),"")</f>
        <v/>
      </c>
      <c r="N244" s="379">
        <f>IF(H244&lt;&gt;"",J244*M244*I244,SUMIFS(N245:N$9844,$F245:$F$9844,"*"&amp;F244&amp;"*",$H245:$H$9844,"&lt;&gt;"))</f>
        <v>0</v>
      </c>
      <c r="O244" s="162" t="str">
        <f>IFERROR((-Tabela2[[#This Row],[CUSTO TOTAL]]+Tabela2[[#This Row],[VENDA TOTAL]])/Tabela2[[#This Row],[VENDA TOTAL]]-PARAMETROS!$C$19,"")</f>
        <v/>
      </c>
      <c r="AA244" s="219">
        <f>SUM(Plan_Orc[[#This Row],[01/jan]:[01/dez]])</f>
        <v>0</v>
      </c>
      <c r="AB244" s="114"/>
      <c r="AC244" s="114"/>
      <c r="AD244" s="114"/>
      <c r="AE244" s="114"/>
      <c r="AF244" s="114"/>
      <c r="AG244" s="114"/>
      <c r="AH244" s="114"/>
      <c r="AI244" s="114"/>
      <c r="AJ244" s="114"/>
      <c r="AK244" s="114"/>
      <c r="AL244" s="114"/>
      <c r="AM244" s="114"/>
    </row>
    <row r="245" spans="2:39" ht="25.2" customHeight="1" x14ac:dyDescent="0.3">
      <c r="B245" s="13" t="str">
        <f t="shared" si="7"/>
        <v/>
      </c>
      <c r="C245" s="18"/>
      <c r="D245" s="19" t="str">
        <f>IF(Tabela2[[#This Row],[AGRUPADOR]]&lt;&gt;"",VLOOKUP(Tabela2[[#This Row],[AGRUPADOR]],Tabela1[],2,0),"")</f>
        <v/>
      </c>
      <c r="E245" s="19" t="str">
        <f>IF(Tabela2[[#This Row],[AGRUPADOR]]&lt;&gt;"",VLOOKUP(Tabela2[[#This Row],[AGRUPADOR]],Tabela1[],4,0),"")</f>
        <v/>
      </c>
      <c r="F245" s="14"/>
      <c r="G245" s="6"/>
      <c r="H245" s="6"/>
      <c r="I245" s="25"/>
      <c r="J245" s="7"/>
      <c r="K245" s="15"/>
      <c r="L245" s="379">
        <f>IF(H245&lt;&gt;"",J245*K245,SUMIFS(L246:L$9844,$F246:$F$9844,"*"&amp;F245&amp;"*",$H246:$H$9844,"&lt;&gt;"))</f>
        <v>0</v>
      </c>
      <c r="M245" s="379" t="str">
        <f>IF(Tabela2[[#This Row],[UNID.]]&lt;&gt;"",IFERROR(VLOOKUP(Tabela2[[#This Row],[AGRUPADOR]],Lucratividade!$D$4:$O$129,6,0),0),"")</f>
        <v/>
      </c>
      <c r="N245" s="379">
        <f>IF(H245&lt;&gt;"",J245*M245*I245,SUMIFS(N246:N$9844,$F246:$F$9844,"*"&amp;F245&amp;"*",$H246:$H$9844,"&lt;&gt;"))</f>
        <v>0</v>
      </c>
      <c r="O245" s="162" t="str">
        <f>IFERROR((-Tabela2[[#This Row],[CUSTO TOTAL]]+Tabela2[[#This Row],[VENDA TOTAL]])/Tabela2[[#This Row],[VENDA TOTAL]]-PARAMETROS!$C$19,"")</f>
        <v/>
      </c>
      <c r="AA245" s="218">
        <f>SUM(Plan_Orc[[#This Row],[01/jan]:[01/dez]])</f>
        <v>0</v>
      </c>
      <c r="AB245" s="113"/>
      <c r="AC245" s="113"/>
      <c r="AD245" s="113"/>
      <c r="AE245" s="113"/>
      <c r="AF245" s="113"/>
      <c r="AG245" s="113"/>
      <c r="AH245" s="113"/>
      <c r="AI245" s="113"/>
      <c r="AJ245" s="113"/>
      <c r="AK245" s="113"/>
      <c r="AL245" s="113"/>
      <c r="AM245" s="113"/>
    </row>
    <row r="246" spans="2:39" ht="25.2" customHeight="1" x14ac:dyDescent="0.3">
      <c r="B246" s="13" t="str">
        <f t="shared" si="7"/>
        <v/>
      </c>
      <c r="C246" s="18"/>
      <c r="D246" s="19" t="str">
        <f>IF(Tabela2[[#This Row],[AGRUPADOR]]&lt;&gt;"",VLOOKUP(Tabela2[[#This Row],[AGRUPADOR]],Tabela1[],2,0),"")</f>
        <v/>
      </c>
      <c r="E246" s="19" t="str">
        <f>IF(Tabela2[[#This Row],[AGRUPADOR]]&lt;&gt;"",VLOOKUP(Tabela2[[#This Row],[AGRUPADOR]],Tabela1[],4,0),"")</f>
        <v/>
      </c>
      <c r="F246" s="14"/>
      <c r="G246" s="6"/>
      <c r="H246" s="6"/>
      <c r="I246" s="25"/>
      <c r="J246" s="7"/>
      <c r="K246" s="15"/>
      <c r="L246" s="379">
        <f>IF(H246&lt;&gt;"",J246*K246,SUMIFS(L247:L$9844,$F247:$F$9844,"*"&amp;F246&amp;"*",$H247:$H$9844,"&lt;&gt;"))</f>
        <v>0</v>
      </c>
      <c r="M246" s="379" t="str">
        <f>IF(Tabela2[[#This Row],[UNID.]]&lt;&gt;"",IFERROR(VLOOKUP(Tabela2[[#This Row],[AGRUPADOR]],Lucratividade!$D$4:$O$129,6,0),0),"")</f>
        <v/>
      </c>
      <c r="N246" s="379">
        <f>IF(H246&lt;&gt;"",J246*M246*I246,SUMIFS(N247:N$9844,$F247:$F$9844,"*"&amp;F246&amp;"*",$H247:$H$9844,"&lt;&gt;"))</f>
        <v>0</v>
      </c>
      <c r="O246" s="162" t="str">
        <f>IFERROR((-Tabela2[[#This Row],[CUSTO TOTAL]]+Tabela2[[#This Row],[VENDA TOTAL]])/Tabela2[[#This Row],[VENDA TOTAL]]-PARAMETROS!$C$19,"")</f>
        <v/>
      </c>
      <c r="AA246" s="219">
        <f>SUM(Plan_Orc[[#This Row],[01/jan]:[01/dez]])</f>
        <v>0</v>
      </c>
      <c r="AB246" s="114"/>
      <c r="AC246" s="114"/>
      <c r="AD246" s="114"/>
      <c r="AE246" s="114"/>
      <c r="AF246" s="114"/>
      <c r="AG246" s="114"/>
      <c r="AH246" s="114"/>
      <c r="AI246" s="114"/>
      <c r="AJ246" s="114"/>
      <c r="AK246" s="114"/>
      <c r="AL246" s="114"/>
      <c r="AM246" s="114"/>
    </row>
    <row r="247" spans="2:39" ht="25.2" customHeight="1" x14ac:dyDescent="0.3">
      <c r="B247" s="13" t="str">
        <f t="shared" si="7"/>
        <v/>
      </c>
      <c r="C247" s="18"/>
      <c r="D247" s="19" t="str">
        <f>IF(Tabela2[[#This Row],[AGRUPADOR]]&lt;&gt;"",VLOOKUP(Tabela2[[#This Row],[AGRUPADOR]],Tabela1[],2,0),"")</f>
        <v/>
      </c>
      <c r="E247" s="19" t="str">
        <f>IF(Tabela2[[#This Row],[AGRUPADOR]]&lt;&gt;"",VLOOKUP(Tabela2[[#This Row],[AGRUPADOR]],Tabela1[],4,0),"")</f>
        <v/>
      </c>
      <c r="F247" s="14"/>
      <c r="G247" s="6"/>
      <c r="H247" s="6"/>
      <c r="I247" s="25"/>
      <c r="J247" s="7"/>
      <c r="K247" s="15"/>
      <c r="L247" s="379">
        <f>IF(H247&lt;&gt;"",J247*K247,SUMIFS(L248:L$9844,$F248:$F$9844,"*"&amp;F247&amp;"*",$H248:$H$9844,"&lt;&gt;"))</f>
        <v>0</v>
      </c>
      <c r="M247" s="379" t="str">
        <f>IF(Tabela2[[#This Row],[UNID.]]&lt;&gt;"",IFERROR(VLOOKUP(Tabela2[[#This Row],[AGRUPADOR]],Lucratividade!$D$4:$O$129,6,0),0),"")</f>
        <v/>
      </c>
      <c r="N247" s="379">
        <f>IF(H247&lt;&gt;"",J247*M247*I247,SUMIFS(N248:N$9844,$F248:$F$9844,"*"&amp;F247&amp;"*",$H248:$H$9844,"&lt;&gt;"))</f>
        <v>0</v>
      </c>
      <c r="O247" s="162" t="str">
        <f>IFERROR((-Tabela2[[#This Row],[CUSTO TOTAL]]+Tabela2[[#This Row],[VENDA TOTAL]])/Tabela2[[#This Row],[VENDA TOTAL]]-PARAMETROS!$C$19,"")</f>
        <v/>
      </c>
      <c r="AA247" s="220">
        <f>SUM(Plan_Orc[[#This Row],[01/jan]:[01/dez]])</f>
        <v>0</v>
      </c>
      <c r="AB247" s="115"/>
      <c r="AC247" s="115"/>
      <c r="AD247" s="115"/>
      <c r="AE247" s="115"/>
      <c r="AF247" s="115"/>
      <c r="AG247" s="115"/>
      <c r="AH247" s="115"/>
      <c r="AI247" s="115"/>
      <c r="AJ247" s="115"/>
      <c r="AK247" s="115"/>
      <c r="AL247" s="115"/>
      <c r="AM247" s="115"/>
    </row>
    <row r="248" spans="2:39" ht="25.2" customHeight="1" x14ac:dyDescent="0.3">
      <c r="B248" s="13" t="str">
        <f t="shared" si="7"/>
        <v/>
      </c>
      <c r="C248" s="18"/>
      <c r="D248" s="19" t="str">
        <f>IF(Tabela2[[#This Row],[AGRUPADOR]]&lt;&gt;"",VLOOKUP(Tabela2[[#This Row],[AGRUPADOR]],Tabela1[],2,0),"")</f>
        <v/>
      </c>
      <c r="E248" s="19" t="str">
        <f>IF(Tabela2[[#This Row],[AGRUPADOR]]&lt;&gt;"",VLOOKUP(Tabela2[[#This Row],[AGRUPADOR]],Tabela1[],4,0),"")</f>
        <v/>
      </c>
      <c r="F248" s="14"/>
      <c r="G248" s="6"/>
      <c r="H248" s="6"/>
      <c r="I248" s="25"/>
      <c r="J248" s="7"/>
      <c r="K248" s="15"/>
      <c r="L248" s="379">
        <f>IF(H248&lt;&gt;"",J248*K248,SUMIFS(L249:L$9844,$F249:$F$9844,"*"&amp;F248&amp;"*",$H249:$H$9844,"&lt;&gt;"))</f>
        <v>0</v>
      </c>
      <c r="M248" s="379" t="str">
        <f>IF(Tabela2[[#This Row],[UNID.]]&lt;&gt;"",IFERROR(VLOOKUP(Tabela2[[#This Row],[AGRUPADOR]],Lucratividade!$D$4:$O$129,6,0),0),"")</f>
        <v/>
      </c>
      <c r="N248" s="379">
        <f>IF(H248&lt;&gt;"",J248*M248*I248,SUMIFS(N249:N$9844,$F249:$F$9844,"*"&amp;F248&amp;"*",$H249:$H$9844,"&lt;&gt;"))</f>
        <v>0</v>
      </c>
      <c r="O248" s="162" t="str">
        <f>IFERROR((-Tabela2[[#This Row],[CUSTO TOTAL]]+Tabela2[[#This Row],[VENDA TOTAL]])/Tabela2[[#This Row],[VENDA TOTAL]]-PARAMETROS!$C$19,"")</f>
        <v/>
      </c>
      <c r="AA248" s="219">
        <f>SUM(Plan_Orc[[#This Row],[01/jan]:[01/dez]])</f>
        <v>0</v>
      </c>
      <c r="AB248" s="114"/>
      <c r="AC248" s="114"/>
      <c r="AD248" s="114"/>
      <c r="AE248" s="114"/>
      <c r="AF248" s="114"/>
      <c r="AG248" s="114"/>
      <c r="AH248" s="114"/>
      <c r="AI248" s="114"/>
      <c r="AJ248" s="114"/>
      <c r="AK248" s="114"/>
      <c r="AL248" s="114"/>
      <c r="AM248" s="114"/>
    </row>
    <row r="249" spans="2:39" ht="25.2" customHeight="1" x14ac:dyDescent="0.3">
      <c r="B249" s="13" t="str">
        <f t="shared" si="7"/>
        <v/>
      </c>
      <c r="C249" s="18"/>
      <c r="D249" s="19" t="str">
        <f>IF(Tabela2[[#This Row],[AGRUPADOR]]&lt;&gt;"",VLOOKUP(Tabela2[[#This Row],[AGRUPADOR]],Tabela1[],2,0),"")</f>
        <v/>
      </c>
      <c r="E249" s="19" t="str">
        <f>IF(Tabela2[[#This Row],[AGRUPADOR]]&lt;&gt;"",VLOOKUP(Tabela2[[#This Row],[AGRUPADOR]],Tabela1[],4,0),"")</f>
        <v/>
      </c>
      <c r="F249" s="14"/>
      <c r="G249" s="6"/>
      <c r="H249" s="6"/>
      <c r="I249" s="25"/>
      <c r="J249" s="7"/>
      <c r="K249" s="15"/>
      <c r="L249" s="379">
        <f>IF(H249&lt;&gt;"",J249*K249,SUMIFS(L250:L$9844,$F250:$F$9844,"*"&amp;F249&amp;"*",$H250:$H$9844,"&lt;&gt;"))</f>
        <v>0</v>
      </c>
      <c r="M249" s="379" t="str">
        <f>IF(Tabela2[[#This Row],[UNID.]]&lt;&gt;"",IFERROR(VLOOKUP(Tabela2[[#This Row],[AGRUPADOR]],Lucratividade!$D$4:$O$129,6,0),0),"")</f>
        <v/>
      </c>
      <c r="N249" s="379">
        <f>IF(H249&lt;&gt;"",J249*M249*I249,SUMIFS(N250:N$9844,$F250:$F$9844,"*"&amp;F249&amp;"*",$H250:$H$9844,"&lt;&gt;"))</f>
        <v>0</v>
      </c>
      <c r="O249" s="162" t="str">
        <f>IFERROR((-Tabela2[[#This Row],[CUSTO TOTAL]]+Tabela2[[#This Row],[VENDA TOTAL]])/Tabela2[[#This Row],[VENDA TOTAL]]-PARAMETROS!$C$19,"")</f>
        <v/>
      </c>
      <c r="AA249" s="219">
        <f>SUM(Plan_Orc[[#This Row],[01/jan]:[01/dez]])</f>
        <v>0</v>
      </c>
      <c r="AB249" s="114"/>
      <c r="AC249" s="114"/>
      <c r="AD249" s="114"/>
      <c r="AE249" s="114"/>
      <c r="AF249" s="114"/>
      <c r="AG249" s="114"/>
      <c r="AH249" s="114"/>
      <c r="AI249" s="114"/>
      <c r="AJ249" s="114"/>
      <c r="AK249" s="114"/>
      <c r="AL249" s="114"/>
      <c r="AM249" s="114"/>
    </row>
    <row r="250" spans="2:39" ht="25.2" customHeight="1" x14ac:dyDescent="0.3">
      <c r="B250" s="13" t="str">
        <f t="shared" si="7"/>
        <v/>
      </c>
      <c r="C250" s="18"/>
      <c r="D250" s="19" t="str">
        <f>IF(Tabela2[[#This Row],[AGRUPADOR]]&lt;&gt;"",VLOOKUP(Tabela2[[#This Row],[AGRUPADOR]],Tabela1[],2,0),"")</f>
        <v/>
      </c>
      <c r="E250" s="19" t="str">
        <f>IF(Tabela2[[#This Row],[AGRUPADOR]]&lt;&gt;"",VLOOKUP(Tabela2[[#This Row],[AGRUPADOR]],Tabela1[],4,0),"")</f>
        <v/>
      </c>
      <c r="F250" s="14"/>
      <c r="G250" s="6"/>
      <c r="H250" s="6"/>
      <c r="I250" s="25"/>
      <c r="J250" s="7"/>
      <c r="K250" s="15"/>
      <c r="L250" s="379">
        <f>IF(H250&lt;&gt;"",J250*K250,SUMIFS(L251:L$9844,$F251:$F$9844,"*"&amp;F250&amp;"*",$H251:$H$9844,"&lt;&gt;"))</f>
        <v>0</v>
      </c>
      <c r="M250" s="379" t="str">
        <f>IF(Tabela2[[#This Row],[UNID.]]&lt;&gt;"",IFERROR(VLOOKUP(Tabela2[[#This Row],[AGRUPADOR]],Lucratividade!$D$4:$O$129,6,0),0),"")</f>
        <v/>
      </c>
      <c r="N250" s="379">
        <f>IF(H250&lt;&gt;"",J250*M250*I250,SUMIFS(N251:N$9844,$F251:$F$9844,"*"&amp;F250&amp;"*",$H251:$H$9844,"&lt;&gt;"))</f>
        <v>0</v>
      </c>
      <c r="O250" s="162" t="str">
        <f>IFERROR((-Tabela2[[#This Row],[CUSTO TOTAL]]+Tabela2[[#This Row],[VENDA TOTAL]])/Tabela2[[#This Row],[VENDA TOTAL]]-PARAMETROS!$C$19,"")</f>
        <v/>
      </c>
      <c r="AA250" s="219">
        <f>SUM(Plan_Orc[[#This Row],[01/jan]:[01/dez]])</f>
        <v>0</v>
      </c>
      <c r="AB250" s="114"/>
      <c r="AC250" s="114"/>
      <c r="AD250" s="114"/>
      <c r="AE250" s="114"/>
      <c r="AF250" s="114"/>
      <c r="AG250" s="114"/>
      <c r="AH250" s="114"/>
      <c r="AI250" s="114"/>
      <c r="AJ250" s="114"/>
      <c r="AK250" s="114"/>
      <c r="AL250" s="114"/>
      <c r="AM250" s="114"/>
    </row>
    <row r="251" spans="2:39" ht="25.2" customHeight="1" x14ac:dyDescent="0.3">
      <c r="B251" s="13" t="str">
        <f t="shared" si="7"/>
        <v/>
      </c>
      <c r="C251" s="18"/>
      <c r="D251" s="19" t="str">
        <f>IF(Tabela2[[#This Row],[AGRUPADOR]]&lt;&gt;"",VLOOKUP(Tabela2[[#This Row],[AGRUPADOR]],Tabela1[],2,0),"")</f>
        <v/>
      </c>
      <c r="E251" s="19" t="str">
        <f>IF(Tabela2[[#This Row],[AGRUPADOR]]&lt;&gt;"",VLOOKUP(Tabela2[[#This Row],[AGRUPADOR]],Tabela1[],4,0),"")</f>
        <v/>
      </c>
      <c r="F251" s="14"/>
      <c r="G251" s="6"/>
      <c r="H251" s="6"/>
      <c r="I251" s="25"/>
      <c r="J251" s="7"/>
      <c r="K251" s="15"/>
      <c r="L251" s="379">
        <f>IF(H251&lt;&gt;"",J251*K251,SUMIFS(L252:L$9844,$F252:$F$9844,"*"&amp;F251&amp;"*",$H252:$H$9844,"&lt;&gt;"))</f>
        <v>0</v>
      </c>
      <c r="M251" s="379" t="str">
        <f>IF(Tabela2[[#This Row],[UNID.]]&lt;&gt;"",IFERROR(VLOOKUP(Tabela2[[#This Row],[AGRUPADOR]],Lucratividade!$D$4:$O$129,6,0),0),"")</f>
        <v/>
      </c>
      <c r="N251" s="379">
        <f>IF(H251&lt;&gt;"",J251*M251*I251,SUMIFS(N252:N$9844,$F252:$F$9844,"*"&amp;F251&amp;"*",$H252:$H$9844,"&lt;&gt;"))</f>
        <v>0</v>
      </c>
      <c r="O251" s="162" t="str">
        <f>IFERROR((-Tabela2[[#This Row],[CUSTO TOTAL]]+Tabela2[[#This Row],[VENDA TOTAL]])/Tabela2[[#This Row],[VENDA TOTAL]]-PARAMETROS!$C$19,"")</f>
        <v/>
      </c>
      <c r="AA251" s="219">
        <f>SUM(Plan_Orc[[#This Row],[01/jan]:[01/dez]])</f>
        <v>0</v>
      </c>
      <c r="AB251" s="114"/>
      <c r="AC251" s="114"/>
      <c r="AD251" s="114"/>
      <c r="AE251" s="114"/>
      <c r="AF251" s="114"/>
      <c r="AG251" s="114"/>
      <c r="AH251" s="114"/>
      <c r="AI251" s="114"/>
      <c r="AJ251" s="114"/>
      <c r="AK251" s="114"/>
      <c r="AL251" s="114"/>
      <c r="AM251" s="114"/>
    </row>
    <row r="252" spans="2:39" ht="25.2" customHeight="1" x14ac:dyDescent="0.3">
      <c r="B252" s="13" t="str">
        <f t="shared" si="7"/>
        <v/>
      </c>
      <c r="C252" s="18"/>
      <c r="D252" s="19" t="str">
        <f>IF(Tabela2[[#This Row],[AGRUPADOR]]&lt;&gt;"",VLOOKUP(Tabela2[[#This Row],[AGRUPADOR]],Tabela1[],2,0),"")</f>
        <v/>
      </c>
      <c r="E252" s="19" t="str">
        <f>IF(Tabela2[[#This Row],[AGRUPADOR]]&lt;&gt;"",VLOOKUP(Tabela2[[#This Row],[AGRUPADOR]],Tabela1[],4,0),"")</f>
        <v/>
      </c>
      <c r="F252" s="14"/>
      <c r="G252" s="6"/>
      <c r="H252" s="6"/>
      <c r="I252" s="25"/>
      <c r="J252" s="7"/>
      <c r="K252" s="15"/>
      <c r="L252" s="379">
        <f>IF(H252&lt;&gt;"",J252*K252,SUMIFS(L253:L$9844,$F253:$F$9844,"*"&amp;F252&amp;"*",$H253:$H$9844,"&lt;&gt;"))</f>
        <v>0</v>
      </c>
      <c r="M252" s="379" t="str">
        <f>IF(Tabela2[[#This Row],[UNID.]]&lt;&gt;"",IFERROR(VLOOKUP(Tabela2[[#This Row],[AGRUPADOR]],Lucratividade!$D$4:$O$129,6,0),0),"")</f>
        <v/>
      </c>
      <c r="N252" s="379">
        <f>IF(H252&lt;&gt;"",J252*M252*I252,SUMIFS(N253:N$9844,$F253:$F$9844,"*"&amp;F252&amp;"*",$H253:$H$9844,"&lt;&gt;"))</f>
        <v>0</v>
      </c>
      <c r="O252" s="162" t="str">
        <f>IFERROR((-Tabela2[[#This Row],[CUSTO TOTAL]]+Tabela2[[#This Row],[VENDA TOTAL]])/Tabela2[[#This Row],[VENDA TOTAL]]-PARAMETROS!$C$19,"")</f>
        <v/>
      </c>
      <c r="AA252" s="220">
        <f>SUM(Plan_Orc[[#This Row],[01/jan]:[01/dez]])</f>
        <v>0</v>
      </c>
      <c r="AB252" s="115"/>
      <c r="AC252" s="115"/>
      <c r="AD252" s="115"/>
      <c r="AE252" s="115"/>
      <c r="AF252" s="115"/>
      <c r="AG252" s="115"/>
      <c r="AH252" s="115"/>
      <c r="AI252" s="115"/>
      <c r="AJ252" s="115"/>
      <c r="AK252" s="115"/>
      <c r="AL252" s="115"/>
      <c r="AM252" s="115"/>
    </row>
    <row r="253" spans="2:39" ht="25.2" customHeight="1" x14ac:dyDescent="0.3">
      <c r="B253" s="13" t="str">
        <f t="shared" si="7"/>
        <v/>
      </c>
      <c r="C253" s="18"/>
      <c r="D253" s="19" t="str">
        <f>IF(Tabela2[[#This Row],[AGRUPADOR]]&lt;&gt;"",VLOOKUP(Tabela2[[#This Row],[AGRUPADOR]],Tabela1[],2,0),"")</f>
        <v/>
      </c>
      <c r="E253" s="19" t="str">
        <f>IF(Tabela2[[#This Row],[AGRUPADOR]]&lt;&gt;"",VLOOKUP(Tabela2[[#This Row],[AGRUPADOR]],Tabela1[],4,0),"")</f>
        <v/>
      </c>
      <c r="F253" s="14"/>
      <c r="G253" s="6"/>
      <c r="H253" s="6"/>
      <c r="I253" s="25"/>
      <c r="J253" s="7"/>
      <c r="K253" s="15"/>
      <c r="L253" s="379">
        <f>IF(H253&lt;&gt;"",J253*K253,SUMIFS(L254:L$9844,$F254:$F$9844,"*"&amp;F253&amp;"*",$H254:$H$9844,"&lt;&gt;"))</f>
        <v>0</v>
      </c>
      <c r="M253" s="379" t="str">
        <f>IF(Tabela2[[#This Row],[UNID.]]&lt;&gt;"",IFERROR(VLOOKUP(Tabela2[[#This Row],[AGRUPADOR]],Lucratividade!$D$4:$O$129,6,0),0),"")</f>
        <v/>
      </c>
      <c r="N253" s="379">
        <f>IF(H253&lt;&gt;"",J253*M253*I253,SUMIFS(N254:N$9844,$F254:$F$9844,"*"&amp;F253&amp;"*",$H254:$H$9844,"&lt;&gt;"))</f>
        <v>0</v>
      </c>
      <c r="O253" s="162" t="str">
        <f>IFERROR((-Tabela2[[#This Row],[CUSTO TOTAL]]+Tabela2[[#This Row],[VENDA TOTAL]])/Tabela2[[#This Row],[VENDA TOTAL]]-PARAMETROS!$C$19,"")</f>
        <v/>
      </c>
      <c r="AA253" s="218">
        <f>SUM(Plan_Orc[[#This Row],[01/jan]:[01/dez]])</f>
        <v>0</v>
      </c>
      <c r="AB253" s="113"/>
      <c r="AC253" s="113"/>
      <c r="AD253" s="113"/>
      <c r="AE253" s="113"/>
      <c r="AF253" s="113"/>
      <c r="AG253" s="113"/>
      <c r="AH253" s="113"/>
      <c r="AI253" s="113"/>
      <c r="AJ253" s="113"/>
      <c r="AK253" s="113"/>
      <c r="AL253" s="113"/>
      <c r="AM253" s="113"/>
    </row>
    <row r="254" spans="2:39" ht="25.2" customHeight="1" x14ac:dyDescent="0.3">
      <c r="B254" s="13" t="str">
        <f t="shared" si="7"/>
        <v/>
      </c>
      <c r="C254" s="18"/>
      <c r="D254" s="19" t="str">
        <f>IF(Tabela2[[#This Row],[AGRUPADOR]]&lt;&gt;"",VLOOKUP(Tabela2[[#This Row],[AGRUPADOR]],Tabela1[],2,0),"")</f>
        <v/>
      </c>
      <c r="E254" s="19" t="str">
        <f>IF(Tabela2[[#This Row],[AGRUPADOR]]&lt;&gt;"",VLOOKUP(Tabela2[[#This Row],[AGRUPADOR]],Tabela1[],4,0),"")</f>
        <v/>
      </c>
      <c r="F254" s="14"/>
      <c r="G254" s="6"/>
      <c r="H254" s="6"/>
      <c r="I254" s="25"/>
      <c r="J254" s="7"/>
      <c r="K254" s="15"/>
      <c r="L254" s="379">
        <f>IF(H254&lt;&gt;"",J254*K254,SUMIFS(L255:L$9844,$F255:$F$9844,"*"&amp;F254&amp;"*",$H255:$H$9844,"&lt;&gt;"))</f>
        <v>0</v>
      </c>
      <c r="M254" s="379" t="str">
        <f>IF(Tabela2[[#This Row],[UNID.]]&lt;&gt;"",IFERROR(VLOOKUP(Tabela2[[#This Row],[AGRUPADOR]],Lucratividade!$D$4:$O$129,6,0),0),"")</f>
        <v/>
      </c>
      <c r="N254" s="379">
        <f>IF(H254&lt;&gt;"",J254*M254*I254,SUMIFS(N255:N$9844,$F255:$F$9844,"*"&amp;F254&amp;"*",$H255:$H$9844,"&lt;&gt;"))</f>
        <v>0</v>
      </c>
      <c r="O254" s="162" t="str">
        <f>IFERROR((-Tabela2[[#This Row],[CUSTO TOTAL]]+Tabela2[[#This Row],[VENDA TOTAL]])/Tabela2[[#This Row],[VENDA TOTAL]]-PARAMETROS!$C$19,"")</f>
        <v/>
      </c>
      <c r="AA254" s="219">
        <f>SUM(Plan_Orc[[#This Row],[01/jan]:[01/dez]])</f>
        <v>0</v>
      </c>
      <c r="AB254" s="114"/>
      <c r="AC254" s="114"/>
      <c r="AD254" s="114"/>
      <c r="AE254" s="114"/>
      <c r="AF254" s="114"/>
      <c r="AG254" s="114"/>
      <c r="AH254" s="114"/>
      <c r="AI254" s="114"/>
      <c r="AJ254" s="114"/>
      <c r="AK254" s="114"/>
      <c r="AL254" s="114"/>
      <c r="AM254" s="114"/>
    </row>
    <row r="255" spans="2:39" ht="25.2" customHeight="1" x14ac:dyDescent="0.3">
      <c r="B255" s="13" t="str">
        <f t="shared" si="7"/>
        <v/>
      </c>
      <c r="C255" s="18"/>
      <c r="D255" s="19" t="str">
        <f>IF(Tabela2[[#This Row],[AGRUPADOR]]&lt;&gt;"",VLOOKUP(Tabela2[[#This Row],[AGRUPADOR]],Tabela1[],2,0),"")</f>
        <v/>
      </c>
      <c r="E255" s="19" t="str">
        <f>IF(Tabela2[[#This Row],[AGRUPADOR]]&lt;&gt;"",VLOOKUP(Tabela2[[#This Row],[AGRUPADOR]],Tabela1[],4,0),"")</f>
        <v/>
      </c>
      <c r="F255" s="14"/>
      <c r="G255" s="6"/>
      <c r="H255" s="6"/>
      <c r="I255" s="25"/>
      <c r="J255" s="7"/>
      <c r="K255" s="15"/>
      <c r="L255" s="379">
        <f>IF(H255&lt;&gt;"",J255*K255,SUMIFS(L256:L$9844,$F256:$F$9844,"*"&amp;F255&amp;"*",$H256:$H$9844,"&lt;&gt;"))</f>
        <v>0</v>
      </c>
      <c r="M255" s="379" t="str">
        <f>IF(Tabela2[[#This Row],[UNID.]]&lt;&gt;"",IFERROR(VLOOKUP(Tabela2[[#This Row],[AGRUPADOR]],Lucratividade!$D$4:$O$129,6,0),0),"")</f>
        <v/>
      </c>
      <c r="N255" s="379">
        <f>IF(H255&lt;&gt;"",J255*M255*I255,SUMIFS(N256:N$9844,$F256:$F$9844,"*"&amp;F255&amp;"*",$H256:$H$9844,"&lt;&gt;"))</f>
        <v>0</v>
      </c>
      <c r="O255" s="162" t="str">
        <f>IFERROR((-Tabela2[[#This Row],[CUSTO TOTAL]]+Tabela2[[#This Row],[VENDA TOTAL]])/Tabela2[[#This Row],[VENDA TOTAL]]-PARAMETROS!$C$19,"")</f>
        <v/>
      </c>
      <c r="AA255" s="222">
        <f>SUM(Plan_Orc[[#This Row],[01/jan]:[01/dez]])</f>
        <v>0</v>
      </c>
      <c r="AB255" s="216"/>
      <c r="AC255" s="216"/>
      <c r="AD255" s="216"/>
      <c r="AE255" s="216"/>
      <c r="AF255" s="216"/>
      <c r="AG255" s="216"/>
      <c r="AH255" s="216"/>
      <c r="AI255" s="216"/>
      <c r="AJ255" s="216"/>
      <c r="AK255" s="216"/>
      <c r="AL255" s="216"/>
      <c r="AM255" s="216"/>
    </row>
    <row r="256" spans="2:39" ht="25.2" customHeight="1" x14ac:dyDescent="0.3">
      <c r="B256" s="13" t="str">
        <f t="shared" si="7"/>
        <v/>
      </c>
      <c r="C256" s="18"/>
      <c r="D256" s="19" t="str">
        <f>IF(Tabela2[[#This Row],[AGRUPADOR]]&lt;&gt;"",VLOOKUP(Tabela2[[#This Row],[AGRUPADOR]],Tabela1[],2,0),"")</f>
        <v/>
      </c>
      <c r="E256" s="19" t="str">
        <f>IF(Tabela2[[#This Row],[AGRUPADOR]]&lt;&gt;"",VLOOKUP(Tabela2[[#This Row],[AGRUPADOR]],Tabela1[],4,0),"")</f>
        <v/>
      </c>
      <c r="F256" s="14"/>
      <c r="G256" s="6"/>
      <c r="H256" s="6"/>
      <c r="I256" s="25"/>
      <c r="J256" s="7"/>
      <c r="K256" s="15"/>
      <c r="L256" s="379">
        <f>IF(H256&lt;&gt;"",J256*K256,SUMIFS(L257:L$9844,$F257:$F$9844,"*"&amp;F256&amp;"*",$H257:$H$9844,"&lt;&gt;"))</f>
        <v>0</v>
      </c>
      <c r="M256" s="379" t="str">
        <f>IF(Tabela2[[#This Row],[UNID.]]&lt;&gt;"",IFERROR(VLOOKUP(Tabela2[[#This Row],[AGRUPADOR]],Lucratividade!$D$4:$O$129,6,0),0),"")</f>
        <v/>
      </c>
      <c r="N256" s="379">
        <f>IF(H256&lt;&gt;"",J256*M256*I256,SUMIFS(N257:N$9844,$F257:$F$9844,"*"&amp;F256&amp;"*",$H257:$H$9844,"&lt;&gt;"))</f>
        <v>0</v>
      </c>
      <c r="O256" s="162" t="str">
        <f>IFERROR((-Tabela2[[#This Row],[CUSTO TOTAL]]+Tabela2[[#This Row],[VENDA TOTAL]])/Tabela2[[#This Row],[VENDA TOTAL]]-PARAMETROS!$C$19,"")</f>
        <v/>
      </c>
      <c r="AA256" s="217">
        <f>SUM(Plan_Orc[[#This Row],[01/jan]:[01/dez]])</f>
        <v>0</v>
      </c>
      <c r="AB256" s="214"/>
      <c r="AC256" s="214"/>
      <c r="AD256" s="214"/>
      <c r="AE256" s="214"/>
      <c r="AF256" s="214"/>
      <c r="AG256" s="214"/>
      <c r="AH256" s="214"/>
      <c r="AI256" s="214"/>
      <c r="AJ256" s="214"/>
      <c r="AK256" s="214"/>
      <c r="AL256" s="214"/>
      <c r="AM256" s="214"/>
    </row>
    <row r="257" spans="2:39" ht="25.2" customHeight="1" x14ac:dyDescent="0.3">
      <c r="B257" s="13" t="str">
        <f t="shared" si="7"/>
        <v/>
      </c>
      <c r="C257" s="18"/>
      <c r="D257" s="19" t="str">
        <f>IF(Tabela2[[#This Row],[AGRUPADOR]]&lt;&gt;"",VLOOKUP(Tabela2[[#This Row],[AGRUPADOR]],Tabela1[],2,0),"")</f>
        <v/>
      </c>
      <c r="E257" s="19" t="str">
        <f>IF(Tabela2[[#This Row],[AGRUPADOR]]&lt;&gt;"",VLOOKUP(Tabela2[[#This Row],[AGRUPADOR]],Tabela1[],4,0),"")</f>
        <v/>
      </c>
      <c r="F257" s="14"/>
      <c r="G257" s="6"/>
      <c r="H257" s="6"/>
      <c r="I257" s="25"/>
      <c r="J257" s="7"/>
      <c r="K257" s="15"/>
      <c r="L257" s="379">
        <f>IF(H257&lt;&gt;"",J257*K257,SUMIFS(L258:L$9844,$F258:$F$9844,"*"&amp;F257&amp;"*",$H258:$H$9844,"&lt;&gt;"))</f>
        <v>0</v>
      </c>
      <c r="M257" s="379" t="str">
        <f>IF(Tabela2[[#This Row],[UNID.]]&lt;&gt;"",IFERROR(VLOOKUP(Tabela2[[#This Row],[AGRUPADOR]],Lucratividade!$D$4:$O$129,6,0),0),"")</f>
        <v/>
      </c>
      <c r="N257" s="379">
        <f>IF(H257&lt;&gt;"",J257*M257*I257,SUMIFS(N258:N$9844,$F258:$F$9844,"*"&amp;F257&amp;"*",$H258:$H$9844,"&lt;&gt;"))</f>
        <v>0</v>
      </c>
      <c r="O257" s="162" t="str">
        <f>IFERROR((-Tabela2[[#This Row],[CUSTO TOTAL]]+Tabela2[[#This Row],[VENDA TOTAL]])/Tabela2[[#This Row],[VENDA TOTAL]]-PARAMETROS!$C$19,"")</f>
        <v/>
      </c>
      <c r="AA257" s="218">
        <f>SUM(Plan_Orc[[#This Row],[01/jan]:[01/dez]])</f>
        <v>0</v>
      </c>
      <c r="AB257" s="113"/>
      <c r="AC257" s="113"/>
      <c r="AD257" s="113"/>
      <c r="AE257" s="113"/>
      <c r="AF257" s="113"/>
      <c r="AG257" s="113"/>
      <c r="AH257" s="113"/>
      <c r="AI257" s="113"/>
      <c r="AJ257" s="113"/>
      <c r="AK257" s="113"/>
      <c r="AL257" s="113"/>
      <c r="AM257" s="113"/>
    </row>
    <row r="258" spans="2:39" ht="25.2" customHeight="1" x14ac:dyDescent="0.3">
      <c r="B258" s="13" t="str">
        <f t="shared" si="7"/>
        <v/>
      </c>
      <c r="C258" s="18"/>
      <c r="D258" s="19" t="str">
        <f>IF(Tabela2[[#This Row],[AGRUPADOR]]&lt;&gt;"",VLOOKUP(Tabela2[[#This Row],[AGRUPADOR]],Tabela1[],2,0),"")</f>
        <v/>
      </c>
      <c r="E258" s="19" t="str">
        <f>IF(Tabela2[[#This Row],[AGRUPADOR]]&lt;&gt;"",VLOOKUP(Tabela2[[#This Row],[AGRUPADOR]],Tabela1[],4,0),"")</f>
        <v/>
      </c>
      <c r="F258" s="14"/>
      <c r="G258" s="6"/>
      <c r="H258" s="6"/>
      <c r="I258" s="25"/>
      <c r="J258" s="7"/>
      <c r="K258" s="15"/>
      <c r="L258" s="379">
        <f>IF(H258&lt;&gt;"",J258*K258,SUMIFS(L259:L$9844,$F259:$F$9844,"*"&amp;F258&amp;"*",$H259:$H$9844,"&lt;&gt;"))</f>
        <v>0</v>
      </c>
      <c r="M258" s="379" t="str">
        <f>IF(Tabela2[[#This Row],[UNID.]]&lt;&gt;"",IFERROR(VLOOKUP(Tabela2[[#This Row],[AGRUPADOR]],Lucratividade!$D$4:$O$129,6,0),0),"")</f>
        <v/>
      </c>
      <c r="N258" s="379">
        <f>IF(H258&lt;&gt;"",J258*M258*I258,SUMIFS(N259:N$9844,$F259:$F$9844,"*"&amp;F258&amp;"*",$H259:$H$9844,"&lt;&gt;"))</f>
        <v>0</v>
      </c>
      <c r="O258" s="162" t="str">
        <f>IFERROR((-Tabela2[[#This Row],[CUSTO TOTAL]]+Tabela2[[#This Row],[VENDA TOTAL]])/Tabela2[[#This Row],[VENDA TOTAL]]-PARAMETROS!$C$19,"")</f>
        <v/>
      </c>
      <c r="AA258" s="219">
        <f>SUM(Plan_Orc[[#This Row],[01/jan]:[01/dez]])</f>
        <v>0</v>
      </c>
      <c r="AB258" s="114"/>
      <c r="AC258" s="114"/>
      <c r="AD258" s="114"/>
      <c r="AE258" s="114"/>
      <c r="AF258" s="114"/>
      <c r="AG258" s="114"/>
      <c r="AH258" s="114"/>
      <c r="AI258" s="114"/>
      <c r="AJ258" s="114"/>
      <c r="AK258" s="114"/>
      <c r="AL258" s="114"/>
      <c r="AM258" s="114"/>
    </row>
    <row r="259" spans="2:39" ht="25.2" customHeight="1" x14ac:dyDescent="0.3">
      <c r="B259" s="13" t="str">
        <f t="shared" si="7"/>
        <v/>
      </c>
      <c r="C259" s="18"/>
      <c r="D259" s="19" t="str">
        <f>IF(Tabela2[[#This Row],[AGRUPADOR]]&lt;&gt;"",VLOOKUP(Tabela2[[#This Row],[AGRUPADOR]],Tabela1[],2,0),"")</f>
        <v/>
      </c>
      <c r="E259" s="19" t="str">
        <f>IF(Tabela2[[#This Row],[AGRUPADOR]]&lt;&gt;"",VLOOKUP(Tabela2[[#This Row],[AGRUPADOR]],Tabela1[],4,0),"")</f>
        <v/>
      </c>
      <c r="F259" s="14"/>
      <c r="G259" s="6"/>
      <c r="H259" s="6"/>
      <c r="I259" s="25"/>
      <c r="J259" s="7"/>
      <c r="K259" s="15"/>
      <c r="L259" s="379">
        <f>IF(H259&lt;&gt;"",J259*K259,SUMIFS(L260:L$9844,$F260:$F$9844,"*"&amp;F259&amp;"*",$H260:$H$9844,"&lt;&gt;"))</f>
        <v>0</v>
      </c>
      <c r="M259" s="379" t="str">
        <f>IF(Tabela2[[#This Row],[UNID.]]&lt;&gt;"",IFERROR(VLOOKUP(Tabela2[[#This Row],[AGRUPADOR]],Lucratividade!$D$4:$O$129,6,0),0),"")</f>
        <v/>
      </c>
      <c r="N259" s="379">
        <f>IF(H259&lt;&gt;"",J259*M259*I259,SUMIFS(N260:N$9844,$F260:$F$9844,"*"&amp;F259&amp;"*",$H260:$H$9844,"&lt;&gt;"))</f>
        <v>0</v>
      </c>
      <c r="O259" s="162" t="str">
        <f>IFERROR((-Tabela2[[#This Row],[CUSTO TOTAL]]+Tabela2[[#This Row],[VENDA TOTAL]])/Tabela2[[#This Row],[VENDA TOTAL]]-PARAMETROS!$C$19,"")</f>
        <v/>
      </c>
      <c r="AA259" s="217">
        <f>SUM(Plan_Orc[[#This Row],[01/jan]:[01/dez]])</f>
        <v>0</v>
      </c>
      <c r="AB259" s="214"/>
      <c r="AC259" s="214"/>
      <c r="AD259" s="214"/>
      <c r="AE259" s="214"/>
      <c r="AF259" s="214"/>
      <c r="AG259" s="214"/>
      <c r="AH259" s="214"/>
      <c r="AI259" s="214"/>
      <c r="AJ259" s="214"/>
      <c r="AK259" s="214"/>
      <c r="AL259" s="214"/>
      <c r="AM259" s="214"/>
    </row>
    <row r="260" spans="2:39" ht="25.2" customHeight="1" x14ac:dyDescent="0.3">
      <c r="B260" s="13" t="str">
        <f t="shared" ref="B260:B323" si="8">IF(LEN(F260)=3,1,"")</f>
        <v/>
      </c>
      <c r="C260" s="18"/>
      <c r="D260" s="19" t="str">
        <f>IF(Tabela2[[#This Row],[AGRUPADOR]]&lt;&gt;"",VLOOKUP(Tabela2[[#This Row],[AGRUPADOR]],Tabela1[],2,0),"")</f>
        <v/>
      </c>
      <c r="E260" s="19" t="str">
        <f>IF(Tabela2[[#This Row],[AGRUPADOR]]&lt;&gt;"",VLOOKUP(Tabela2[[#This Row],[AGRUPADOR]],Tabela1[],4,0),"")</f>
        <v/>
      </c>
      <c r="F260" s="14"/>
      <c r="G260" s="6"/>
      <c r="H260" s="6"/>
      <c r="I260" s="25"/>
      <c r="J260" s="7"/>
      <c r="K260" s="15"/>
      <c r="L260" s="379">
        <f>IF(H260&lt;&gt;"",J260*K260,SUMIFS(L261:L$9844,$F261:$F$9844,"*"&amp;F260&amp;"*",$H261:$H$9844,"&lt;&gt;"))</f>
        <v>0</v>
      </c>
      <c r="M260" s="379" t="str">
        <f>IF(Tabela2[[#This Row],[UNID.]]&lt;&gt;"",IFERROR(VLOOKUP(Tabela2[[#This Row],[AGRUPADOR]],Lucratividade!$D$4:$O$129,6,0),0),"")</f>
        <v/>
      </c>
      <c r="N260" s="379">
        <f>IF(H260&lt;&gt;"",J260*M260*I260,SUMIFS(N261:N$9844,$F261:$F$9844,"*"&amp;F260&amp;"*",$H261:$H$9844,"&lt;&gt;"))</f>
        <v>0</v>
      </c>
      <c r="O260" s="162" t="str">
        <f>IFERROR((-Tabela2[[#This Row],[CUSTO TOTAL]]+Tabela2[[#This Row],[VENDA TOTAL]])/Tabela2[[#This Row],[VENDA TOTAL]]-PARAMETROS!$C$19,"")</f>
        <v/>
      </c>
      <c r="AA260" s="218">
        <f>SUM(Plan_Orc[[#This Row],[01/jan]:[01/dez]])</f>
        <v>0</v>
      </c>
      <c r="AB260" s="113"/>
      <c r="AC260" s="113"/>
      <c r="AD260" s="113"/>
      <c r="AE260" s="113"/>
      <c r="AF260" s="113"/>
      <c r="AG260" s="113"/>
      <c r="AH260" s="113"/>
      <c r="AI260" s="113"/>
      <c r="AJ260" s="113"/>
      <c r="AK260" s="113"/>
      <c r="AL260" s="113"/>
      <c r="AM260" s="113"/>
    </row>
    <row r="261" spans="2:39" ht="25.2" customHeight="1" x14ac:dyDescent="0.3">
      <c r="B261" s="13" t="str">
        <f t="shared" si="8"/>
        <v/>
      </c>
      <c r="C261" s="18"/>
      <c r="D261" s="19" t="str">
        <f>IF(Tabela2[[#This Row],[AGRUPADOR]]&lt;&gt;"",VLOOKUP(Tabela2[[#This Row],[AGRUPADOR]],Tabela1[],2,0),"")</f>
        <v/>
      </c>
      <c r="E261" s="19" t="str">
        <f>IF(Tabela2[[#This Row],[AGRUPADOR]]&lt;&gt;"",VLOOKUP(Tabela2[[#This Row],[AGRUPADOR]],Tabela1[],4,0),"")</f>
        <v/>
      </c>
      <c r="F261" s="14"/>
      <c r="G261" s="6"/>
      <c r="H261" s="6"/>
      <c r="I261" s="25"/>
      <c r="J261" s="7"/>
      <c r="K261" s="15"/>
      <c r="L261" s="379">
        <f>IF(H261&lt;&gt;"",J261*K261,SUMIFS(L262:L$9844,$F262:$F$9844,"*"&amp;F261&amp;"*",$H262:$H$9844,"&lt;&gt;"))</f>
        <v>0</v>
      </c>
      <c r="M261" s="379" t="str">
        <f>IF(Tabela2[[#This Row],[UNID.]]&lt;&gt;"",IFERROR(VLOOKUP(Tabela2[[#This Row],[AGRUPADOR]],Lucratividade!$D$4:$O$129,6,0),0),"")</f>
        <v/>
      </c>
      <c r="N261" s="379">
        <f>IF(H261&lt;&gt;"",J261*M261*I261,SUMIFS(N262:N$9844,$F262:$F$9844,"*"&amp;F261&amp;"*",$H262:$H$9844,"&lt;&gt;"))</f>
        <v>0</v>
      </c>
      <c r="O261" s="162" t="str">
        <f>IFERROR((-Tabela2[[#This Row],[CUSTO TOTAL]]+Tabela2[[#This Row],[VENDA TOTAL]])/Tabela2[[#This Row],[VENDA TOTAL]]-PARAMETROS!$C$19,"")</f>
        <v/>
      </c>
      <c r="AA261" s="219">
        <f>SUM(Plan_Orc[[#This Row],[01/jan]:[01/dez]])</f>
        <v>0</v>
      </c>
      <c r="AB261" s="114"/>
      <c r="AC261" s="114"/>
      <c r="AD261" s="114"/>
      <c r="AE261" s="114"/>
      <c r="AF261" s="114"/>
      <c r="AG261" s="114"/>
      <c r="AH261" s="114"/>
      <c r="AI261" s="114"/>
      <c r="AJ261" s="114"/>
      <c r="AK261" s="114"/>
      <c r="AL261" s="114"/>
      <c r="AM261" s="114"/>
    </row>
    <row r="262" spans="2:39" ht="25.2" customHeight="1" x14ac:dyDescent="0.3">
      <c r="B262" s="13" t="str">
        <f t="shared" si="8"/>
        <v/>
      </c>
      <c r="C262" s="18"/>
      <c r="D262" s="19" t="str">
        <f>IF(Tabela2[[#This Row],[AGRUPADOR]]&lt;&gt;"",VLOOKUP(Tabela2[[#This Row],[AGRUPADOR]],Tabela1[],2,0),"")</f>
        <v/>
      </c>
      <c r="E262" s="19" t="str">
        <f>IF(Tabela2[[#This Row],[AGRUPADOR]]&lt;&gt;"",VLOOKUP(Tabela2[[#This Row],[AGRUPADOR]],Tabela1[],4,0),"")</f>
        <v/>
      </c>
      <c r="F262" s="14"/>
      <c r="G262" s="6"/>
      <c r="H262" s="6"/>
      <c r="I262" s="25"/>
      <c r="J262" s="7"/>
      <c r="K262" s="15"/>
      <c r="L262" s="379">
        <f>IF(H262&lt;&gt;"",J262*K262,SUMIFS(L263:L$9844,$F263:$F$9844,"*"&amp;F262&amp;"*",$H263:$H$9844,"&lt;&gt;"))</f>
        <v>0</v>
      </c>
      <c r="M262" s="379" t="str">
        <f>IF(Tabela2[[#This Row],[UNID.]]&lt;&gt;"",IFERROR(VLOOKUP(Tabela2[[#This Row],[AGRUPADOR]],Lucratividade!$D$4:$O$129,6,0),0),"")</f>
        <v/>
      </c>
      <c r="N262" s="379">
        <f>IF(H262&lt;&gt;"",J262*M262*I262,SUMIFS(N263:N$9844,$F263:$F$9844,"*"&amp;F262&amp;"*",$H263:$H$9844,"&lt;&gt;"))</f>
        <v>0</v>
      </c>
      <c r="O262" s="162" t="str">
        <f>IFERROR((-Tabela2[[#This Row],[CUSTO TOTAL]]+Tabela2[[#This Row],[VENDA TOTAL]])/Tabela2[[#This Row],[VENDA TOTAL]]-PARAMETROS!$C$19,"")</f>
        <v/>
      </c>
      <c r="AA262" s="219">
        <f>SUM(Plan_Orc[[#This Row],[01/jan]:[01/dez]])</f>
        <v>0</v>
      </c>
      <c r="AB262" s="114"/>
      <c r="AC262" s="114"/>
      <c r="AD262" s="114"/>
      <c r="AE262" s="114"/>
      <c r="AF262" s="114"/>
      <c r="AG262" s="114"/>
      <c r="AH262" s="114"/>
      <c r="AI262" s="114"/>
      <c r="AJ262" s="114"/>
      <c r="AK262" s="114"/>
      <c r="AL262" s="114"/>
      <c r="AM262" s="114"/>
    </row>
    <row r="263" spans="2:39" ht="25.2" customHeight="1" x14ac:dyDescent="0.3">
      <c r="B263" s="13" t="str">
        <f t="shared" si="8"/>
        <v/>
      </c>
      <c r="C263" s="18"/>
      <c r="D263" s="19" t="str">
        <f>IF(Tabela2[[#This Row],[AGRUPADOR]]&lt;&gt;"",VLOOKUP(Tabela2[[#This Row],[AGRUPADOR]],Tabela1[],2,0),"")</f>
        <v/>
      </c>
      <c r="E263" s="19" t="str">
        <f>IF(Tabela2[[#This Row],[AGRUPADOR]]&lt;&gt;"",VLOOKUP(Tabela2[[#This Row],[AGRUPADOR]],Tabela1[],4,0),"")</f>
        <v/>
      </c>
      <c r="F263" s="14"/>
      <c r="G263" s="6"/>
      <c r="H263" s="6"/>
      <c r="I263" s="25"/>
      <c r="J263" s="7"/>
      <c r="K263" s="15"/>
      <c r="L263" s="379">
        <f>IF(H263&lt;&gt;"",J263*K263,SUMIFS(L264:L$9844,$F264:$F$9844,"*"&amp;F263&amp;"*",$H264:$H$9844,"&lt;&gt;"))</f>
        <v>0</v>
      </c>
      <c r="M263" s="379" t="str">
        <f>IF(Tabela2[[#This Row],[UNID.]]&lt;&gt;"",IFERROR(VLOOKUP(Tabela2[[#This Row],[AGRUPADOR]],Lucratividade!$D$4:$O$129,6,0),0),"")</f>
        <v/>
      </c>
      <c r="N263" s="379">
        <f>IF(H263&lt;&gt;"",J263*M263*I263,SUMIFS(N264:N$9844,$F264:$F$9844,"*"&amp;F263&amp;"*",$H264:$H$9844,"&lt;&gt;"))</f>
        <v>0</v>
      </c>
      <c r="O263" s="162" t="str">
        <f>IFERROR((-Tabela2[[#This Row],[CUSTO TOTAL]]+Tabela2[[#This Row],[VENDA TOTAL]])/Tabela2[[#This Row],[VENDA TOTAL]]-PARAMETROS!$C$19,"")</f>
        <v/>
      </c>
      <c r="AA263" s="219">
        <f>SUM(Plan_Orc[[#This Row],[01/jan]:[01/dez]])</f>
        <v>0</v>
      </c>
      <c r="AB263" s="114"/>
      <c r="AC263" s="114"/>
      <c r="AD263" s="114"/>
      <c r="AE263" s="114"/>
      <c r="AF263" s="114"/>
      <c r="AG263" s="114"/>
      <c r="AH263" s="114"/>
      <c r="AI263" s="114"/>
      <c r="AJ263" s="114"/>
      <c r="AK263" s="114"/>
      <c r="AL263" s="114"/>
      <c r="AM263" s="114"/>
    </row>
    <row r="264" spans="2:39" ht="25.2" customHeight="1" x14ac:dyDescent="0.3">
      <c r="B264" s="13" t="str">
        <f t="shared" si="8"/>
        <v/>
      </c>
      <c r="C264" s="18"/>
      <c r="D264" s="19" t="str">
        <f>IF(Tabela2[[#This Row],[AGRUPADOR]]&lt;&gt;"",VLOOKUP(Tabela2[[#This Row],[AGRUPADOR]],Tabela1[],2,0),"")</f>
        <v/>
      </c>
      <c r="E264" s="19" t="str">
        <f>IF(Tabela2[[#This Row],[AGRUPADOR]]&lt;&gt;"",VLOOKUP(Tabela2[[#This Row],[AGRUPADOR]],Tabela1[],4,0),"")</f>
        <v/>
      </c>
      <c r="F264" s="14"/>
      <c r="G264" s="6"/>
      <c r="H264" s="6"/>
      <c r="I264" s="25"/>
      <c r="J264" s="7"/>
      <c r="K264" s="15"/>
      <c r="L264" s="379">
        <f>IF(H264&lt;&gt;"",J264*K264,SUMIFS(L265:L$9844,$F265:$F$9844,"*"&amp;F264&amp;"*",$H265:$H$9844,"&lt;&gt;"))</f>
        <v>0</v>
      </c>
      <c r="M264" s="379" t="str">
        <f>IF(Tabela2[[#This Row],[UNID.]]&lt;&gt;"",IFERROR(VLOOKUP(Tabela2[[#This Row],[AGRUPADOR]],Lucratividade!$D$4:$O$129,6,0),0),"")</f>
        <v/>
      </c>
      <c r="N264" s="379">
        <f>IF(H264&lt;&gt;"",J264*M264*I264,SUMIFS(N265:N$9844,$F265:$F$9844,"*"&amp;F264&amp;"*",$H265:$H$9844,"&lt;&gt;"))</f>
        <v>0</v>
      </c>
      <c r="O264" s="162" t="str">
        <f>IFERROR((-Tabela2[[#This Row],[CUSTO TOTAL]]+Tabela2[[#This Row],[VENDA TOTAL]])/Tabela2[[#This Row],[VENDA TOTAL]]-PARAMETROS!$C$19,"")</f>
        <v/>
      </c>
      <c r="AA264" s="219">
        <f>SUM(Plan_Orc[[#This Row],[01/jan]:[01/dez]])</f>
        <v>0</v>
      </c>
      <c r="AB264" s="114"/>
      <c r="AC264" s="114"/>
      <c r="AD264" s="114"/>
      <c r="AE264" s="114"/>
      <c r="AF264" s="114"/>
      <c r="AG264" s="114"/>
      <c r="AH264" s="114"/>
      <c r="AI264" s="114"/>
      <c r="AJ264" s="114"/>
      <c r="AK264" s="114"/>
      <c r="AL264" s="114"/>
      <c r="AM264" s="114"/>
    </row>
    <row r="265" spans="2:39" ht="25.2" customHeight="1" x14ac:dyDescent="0.3">
      <c r="B265" s="13" t="str">
        <f t="shared" si="8"/>
        <v/>
      </c>
      <c r="C265" s="18"/>
      <c r="D265" s="19" t="str">
        <f>IF(Tabela2[[#This Row],[AGRUPADOR]]&lt;&gt;"",VLOOKUP(Tabela2[[#This Row],[AGRUPADOR]],Tabela1[],2,0),"")</f>
        <v/>
      </c>
      <c r="E265" s="19" t="str">
        <f>IF(Tabela2[[#This Row],[AGRUPADOR]]&lt;&gt;"",VLOOKUP(Tabela2[[#This Row],[AGRUPADOR]],Tabela1[],4,0),"")</f>
        <v/>
      </c>
      <c r="F265" s="14"/>
      <c r="G265" s="6"/>
      <c r="H265" s="6"/>
      <c r="I265" s="25"/>
      <c r="J265" s="7"/>
      <c r="K265" s="15"/>
      <c r="L265" s="379">
        <f>IF(H265&lt;&gt;"",J265*K265,SUMIFS(L266:L$9844,$F266:$F$9844,"*"&amp;F265&amp;"*",$H266:$H$9844,"&lt;&gt;"))</f>
        <v>0</v>
      </c>
      <c r="M265" s="379" t="str">
        <f>IF(Tabela2[[#This Row],[UNID.]]&lt;&gt;"",IFERROR(VLOOKUP(Tabela2[[#This Row],[AGRUPADOR]],Lucratividade!$D$4:$O$129,6,0),0),"")</f>
        <v/>
      </c>
      <c r="N265" s="379">
        <f>IF(H265&lt;&gt;"",J265*M265*I265,SUMIFS(N266:N$9844,$F266:$F$9844,"*"&amp;F265&amp;"*",$H266:$H$9844,"&lt;&gt;"))</f>
        <v>0</v>
      </c>
      <c r="O265" s="162" t="str">
        <f>IFERROR((-Tabela2[[#This Row],[CUSTO TOTAL]]+Tabela2[[#This Row],[VENDA TOTAL]])/Tabela2[[#This Row],[VENDA TOTAL]]-PARAMETROS!$C$19,"")</f>
        <v/>
      </c>
      <c r="AA265" s="219">
        <f>SUM(Plan_Orc[[#This Row],[01/jan]:[01/dez]])</f>
        <v>0</v>
      </c>
      <c r="AB265" s="114"/>
      <c r="AC265" s="114"/>
      <c r="AD265" s="114"/>
      <c r="AE265" s="114"/>
      <c r="AF265" s="114"/>
      <c r="AG265" s="114"/>
      <c r="AH265" s="114"/>
      <c r="AI265" s="114"/>
      <c r="AJ265" s="114"/>
      <c r="AK265" s="114"/>
      <c r="AL265" s="114"/>
      <c r="AM265" s="114"/>
    </row>
    <row r="266" spans="2:39" ht="25.2" customHeight="1" x14ac:dyDescent="0.3">
      <c r="B266" s="13" t="str">
        <f t="shared" si="8"/>
        <v/>
      </c>
      <c r="C266" s="18"/>
      <c r="D266" s="19" t="str">
        <f>IF(Tabela2[[#This Row],[AGRUPADOR]]&lt;&gt;"",VLOOKUP(Tabela2[[#This Row],[AGRUPADOR]],Tabela1[],2,0),"")</f>
        <v/>
      </c>
      <c r="E266" s="19" t="str">
        <f>IF(Tabela2[[#This Row],[AGRUPADOR]]&lt;&gt;"",VLOOKUP(Tabela2[[#This Row],[AGRUPADOR]],Tabela1[],4,0),"")</f>
        <v/>
      </c>
      <c r="F266" s="14"/>
      <c r="G266" s="6"/>
      <c r="H266" s="6"/>
      <c r="I266" s="25"/>
      <c r="J266" s="7"/>
      <c r="K266" s="15"/>
      <c r="L266" s="379">
        <f>IF(H266&lt;&gt;"",J266*K266,SUMIFS(L267:L$9844,$F267:$F$9844,"*"&amp;F266&amp;"*",$H267:$H$9844,"&lt;&gt;"))</f>
        <v>0</v>
      </c>
      <c r="M266" s="379" t="str">
        <f>IF(Tabela2[[#This Row],[UNID.]]&lt;&gt;"",IFERROR(VLOOKUP(Tabela2[[#This Row],[AGRUPADOR]],Lucratividade!$D$4:$O$129,6,0),0),"")</f>
        <v/>
      </c>
      <c r="N266" s="379">
        <f>IF(H266&lt;&gt;"",J266*M266*I266,SUMIFS(N267:N$9844,$F267:$F$9844,"*"&amp;F266&amp;"*",$H267:$H$9844,"&lt;&gt;"))</f>
        <v>0</v>
      </c>
      <c r="O266" s="162" t="str">
        <f>IFERROR((-Tabela2[[#This Row],[CUSTO TOTAL]]+Tabela2[[#This Row],[VENDA TOTAL]])/Tabela2[[#This Row],[VENDA TOTAL]]-PARAMETROS!$C$19,"")</f>
        <v/>
      </c>
      <c r="AA266" s="219">
        <f>SUM(Plan_Orc[[#This Row],[01/jan]:[01/dez]])</f>
        <v>0</v>
      </c>
      <c r="AB266" s="114"/>
      <c r="AC266" s="114"/>
      <c r="AD266" s="114"/>
      <c r="AE266" s="114"/>
      <c r="AF266" s="114"/>
      <c r="AG266" s="114"/>
      <c r="AH266" s="114"/>
      <c r="AI266" s="114"/>
      <c r="AJ266" s="114"/>
      <c r="AK266" s="114"/>
      <c r="AL266" s="114"/>
      <c r="AM266" s="114"/>
    </row>
    <row r="267" spans="2:39" ht="25.2" customHeight="1" x14ac:dyDescent="0.3">
      <c r="B267" s="13" t="str">
        <f t="shared" si="8"/>
        <v/>
      </c>
      <c r="C267" s="18"/>
      <c r="D267" s="19" t="str">
        <f>IF(Tabela2[[#This Row],[AGRUPADOR]]&lt;&gt;"",VLOOKUP(Tabela2[[#This Row],[AGRUPADOR]],Tabela1[],2,0),"")</f>
        <v/>
      </c>
      <c r="E267" s="19" t="str">
        <f>IF(Tabela2[[#This Row],[AGRUPADOR]]&lt;&gt;"",VLOOKUP(Tabela2[[#This Row],[AGRUPADOR]],Tabela1[],4,0),"")</f>
        <v/>
      </c>
      <c r="F267" s="14"/>
      <c r="G267" s="6"/>
      <c r="H267" s="6"/>
      <c r="I267" s="25"/>
      <c r="J267" s="7"/>
      <c r="K267" s="15"/>
      <c r="L267" s="379">
        <f>IF(H267&lt;&gt;"",J267*K267,SUMIFS(L268:L$9844,$F268:$F$9844,"*"&amp;F267&amp;"*",$H268:$H$9844,"&lt;&gt;"))</f>
        <v>0</v>
      </c>
      <c r="M267" s="379" t="str">
        <f>IF(Tabela2[[#This Row],[UNID.]]&lt;&gt;"",IFERROR(VLOOKUP(Tabela2[[#This Row],[AGRUPADOR]],Lucratividade!$D$4:$O$129,6,0),0),"")</f>
        <v/>
      </c>
      <c r="N267" s="379">
        <f>IF(H267&lt;&gt;"",J267*M267*I267,SUMIFS(N268:N$9844,$F268:$F$9844,"*"&amp;F267&amp;"*",$H268:$H$9844,"&lt;&gt;"))</f>
        <v>0</v>
      </c>
      <c r="O267" s="162" t="str">
        <f>IFERROR((-Tabela2[[#This Row],[CUSTO TOTAL]]+Tabela2[[#This Row],[VENDA TOTAL]])/Tabela2[[#This Row],[VENDA TOTAL]]-PARAMETROS!$C$19,"")</f>
        <v/>
      </c>
      <c r="AA267" s="219">
        <f>SUM(Plan_Orc[[#This Row],[01/jan]:[01/dez]])</f>
        <v>0</v>
      </c>
      <c r="AB267" s="114"/>
      <c r="AC267" s="114"/>
      <c r="AD267" s="114"/>
      <c r="AE267" s="114"/>
      <c r="AF267" s="114"/>
      <c r="AG267" s="114"/>
      <c r="AH267" s="114"/>
      <c r="AI267" s="114"/>
      <c r="AJ267" s="114"/>
      <c r="AK267" s="114"/>
      <c r="AL267" s="114"/>
      <c r="AM267" s="114"/>
    </row>
    <row r="268" spans="2:39" ht="25.2" customHeight="1" x14ac:dyDescent="0.3">
      <c r="B268" s="13" t="str">
        <f t="shared" si="8"/>
        <v/>
      </c>
      <c r="C268" s="18"/>
      <c r="D268" s="19" t="str">
        <f>IF(Tabela2[[#This Row],[AGRUPADOR]]&lt;&gt;"",VLOOKUP(Tabela2[[#This Row],[AGRUPADOR]],Tabela1[],2,0),"")</f>
        <v/>
      </c>
      <c r="E268" s="19" t="str">
        <f>IF(Tabela2[[#This Row],[AGRUPADOR]]&lt;&gt;"",VLOOKUP(Tabela2[[#This Row],[AGRUPADOR]],Tabela1[],4,0),"")</f>
        <v/>
      </c>
      <c r="F268" s="14"/>
      <c r="G268" s="6"/>
      <c r="H268" s="6"/>
      <c r="I268" s="25"/>
      <c r="J268" s="7"/>
      <c r="K268" s="15"/>
      <c r="L268" s="379">
        <f>IF(H268&lt;&gt;"",J268*K268,SUMIFS(L269:L$9844,$F269:$F$9844,"*"&amp;F268&amp;"*",$H269:$H$9844,"&lt;&gt;"))</f>
        <v>0</v>
      </c>
      <c r="M268" s="379" t="str">
        <f>IF(Tabela2[[#This Row],[UNID.]]&lt;&gt;"",IFERROR(VLOOKUP(Tabela2[[#This Row],[AGRUPADOR]],Lucratividade!$D$4:$O$129,6,0),0),"")</f>
        <v/>
      </c>
      <c r="N268" s="379">
        <f>IF(H268&lt;&gt;"",J268*M268*I268,SUMIFS(N269:N$9844,$F269:$F$9844,"*"&amp;F268&amp;"*",$H269:$H$9844,"&lt;&gt;"))</f>
        <v>0</v>
      </c>
      <c r="O268" s="162" t="str">
        <f>IFERROR((-Tabela2[[#This Row],[CUSTO TOTAL]]+Tabela2[[#This Row],[VENDA TOTAL]])/Tabela2[[#This Row],[VENDA TOTAL]]-PARAMETROS!$C$19,"")</f>
        <v/>
      </c>
      <c r="AA268" s="219">
        <f>SUM(Plan_Orc[[#This Row],[01/jan]:[01/dez]])</f>
        <v>0</v>
      </c>
      <c r="AB268" s="114"/>
      <c r="AC268" s="114"/>
      <c r="AD268" s="114"/>
      <c r="AE268" s="114"/>
      <c r="AF268" s="114"/>
      <c r="AG268" s="114"/>
      <c r="AH268" s="114"/>
      <c r="AI268" s="114"/>
      <c r="AJ268" s="114"/>
      <c r="AK268" s="114"/>
      <c r="AL268" s="114"/>
      <c r="AM268" s="114"/>
    </row>
    <row r="269" spans="2:39" ht="25.2" customHeight="1" x14ac:dyDescent="0.3">
      <c r="B269" s="13" t="str">
        <f t="shared" si="8"/>
        <v/>
      </c>
      <c r="C269" s="18"/>
      <c r="D269" s="19" t="str">
        <f>IF(Tabela2[[#This Row],[AGRUPADOR]]&lt;&gt;"",VLOOKUP(Tabela2[[#This Row],[AGRUPADOR]],Tabela1[],2,0),"")</f>
        <v/>
      </c>
      <c r="E269" s="19" t="str">
        <f>IF(Tabela2[[#This Row],[AGRUPADOR]]&lt;&gt;"",VLOOKUP(Tabela2[[#This Row],[AGRUPADOR]],Tabela1[],4,0),"")</f>
        <v/>
      </c>
      <c r="F269" s="14"/>
      <c r="G269" s="6"/>
      <c r="H269" s="6"/>
      <c r="I269" s="25"/>
      <c r="J269" s="7"/>
      <c r="K269" s="15"/>
      <c r="L269" s="379">
        <f>IF(H269&lt;&gt;"",J269*K269,SUMIFS(L270:L$9844,$F270:$F$9844,"*"&amp;F269&amp;"*",$H270:$H$9844,"&lt;&gt;"))</f>
        <v>0</v>
      </c>
      <c r="M269" s="379" t="str">
        <f>IF(Tabela2[[#This Row],[UNID.]]&lt;&gt;"",IFERROR(VLOOKUP(Tabela2[[#This Row],[AGRUPADOR]],Lucratividade!$D$4:$O$129,6,0),0),"")</f>
        <v/>
      </c>
      <c r="N269" s="379">
        <f>IF(H269&lt;&gt;"",J269*M269*I269,SUMIFS(N270:N$9844,$F270:$F$9844,"*"&amp;F269&amp;"*",$H270:$H$9844,"&lt;&gt;"))</f>
        <v>0</v>
      </c>
      <c r="O269" s="162" t="str">
        <f>IFERROR((-Tabela2[[#This Row],[CUSTO TOTAL]]+Tabela2[[#This Row],[VENDA TOTAL]])/Tabela2[[#This Row],[VENDA TOTAL]]-PARAMETROS!$C$19,"")</f>
        <v/>
      </c>
      <c r="AA269" s="219">
        <f>SUM(Plan_Orc[[#This Row],[01/jan]:[01/dez]])</f>
        <v>0</v>
      </c>
      <c r="AB269" s="114"/>
      <c r="AC269" s="114"/>
      <c r="AD269" s="114"/>
      <c r="AE269" s="114"/>
      <c r="AF269" s="114"/>
      <c r="AG269" s="114"/>
      <c r="AH269" s="114"/>
      <c r="AI269" s="114"/>
      <c r="AJ269" s="114"/>
      <c r="AK269" s="114"/>
      <c r="AL269" s="114"/>
      <c r="AM269" s="114"/>
    </row>
    <row r="270" spans="2:39" ht="25.2" customHeight="1" x14ac:dyDescent="0.3">
      <c r="B270" s="13" t="str">
        <f t="shared" si="8"/>
        <v/>
      </c>
      <c r="C270" s="18"/>
      <c r="D270" s="19" t="str">
        <f>IF(Tabela2[[#This Row],[AGRUPADOR]]&lt;&gt;"",VLOOKUP(Tabela2[[#This Row],[AGRUPADOR]],Tabela1[],2,0),"")</f>
        <v/>
      </c>
      <c r="E270" s="19" t="str">
        <f>IF(Tabela2[[#This Row],[AGRUPADOR]]&lt;&gt;"",VLOOKUP(Tabela2[[#This Row],[AGRUPADOR]],Tabela1[],4,0),"")</f>
        <v/>
      </c>
      <c r="F270" s="14"/>
      <c r="G270" s="6"/>
      <c r="H270" s="6"/>
      <c r="I270" s="25"/>
      <c r="J270" s="7"/>
      <c r="K270" s="15"/>
      <c r="L270" s="379">
        <f>IF(H270&lt;&gt;"",J270*K270,SUMIFS(L271:L$9844,$F271:$F$9844,"*"&amp;F270&amp;"*",$H271:$H$9844,"&lt;&gt;"))</f>
        <v>0</v>
      </c>
      <c r="M270" s="379" t="str">
        <f>IF(Tabela2[[#This Row],[UNID.]]&lt;&gt;"",IFERROR(VLOOKUP(Tabela2[[#This Row],[AGRUPADOR]],Lucratividade!$D$4:$O$129,6,0),0),"")</f>
        <v/>
      </c>
      <c r="N270" s="379">
        <f>IF(H270&lt;&gt;"",J270*M270*I270,SUMIFS(N271:N$9844,$F271:$F$9844,"*"&amp;F270&amp;"*",$H271:$H$9844,"&lt;&gt;"))</f>
        <v>0</v>
      </c>
      <c r="O270" s="162" t="str">
        <f>IFERROR((-Tabela2[[#This Row],[CUSTO TOTAL]]+Tabela2[[#This Row],[VENDA TOTAL]])/Tabela2[[#This Row],[VENDA TOTAL]]-PARAMETROS!$C$19,"")</f>
        <v/>
      </c>
      <c r="AA270" s="219">
        <f>SUM(Plan_Orc[[#This Row],[01/jan]:[01/dez]])</f>
        <v>0</v>
      </c>
      <c r="AB270" s="114"/>
      <c r="AC270" s="114"/>
      <c r="AD270" s="114"/>
      <c r="AE270" s="114"/>
      <c r="AF270" s="114"/>
      <c r="AG270" s="114"/>
      <c r="AH270" s="114"/>
      <c r="AI270" s="114"/>
      <c r="AJ270" s="114"/>
      <c r="AK270" s="114"/>
      <c r="AL270" s="114"/>
      <c r="AM270" s="114"/>
    </row>
    <row r="271" spans="2:39" ht="25.2" customHeight="1" x14ac:dyDescent="0.3">
      <c r="B271" s="13" t="str">
        <f t="shared" si="8"/>
        <v/>
      </c>
      <c r="C271" s="18"/>
      <c r="D271" s="19" t="str">
        <f>IF(Tabela2[[#This Row],[AGRUPADOR]]&lt;&gt;"",VLOOKUP(Tabela2[[#This Row],[AGRUPADOR]],Tabela1[],2,0),"")</f>
        <v/>
      </c>
      <c r="E271" s="19" t="str">
        <f>IF(Tabela2[[#This Row],[AGRUPADOR]]&lt;&gt;"",VLOOKUP(Tabela2[[#This Row],[AGRUPADOR]],Tabela1[],4,0),"")</f>
        <v/>
      </c>
      <c r="F271" s="14"/>
      <c r="G271" s="6"/>
      <c r="H271" s="6"/>
      <c r="I271" s="25"/>
      <c r="J271" s="7"/>
      <c r="K271" s="15"/>
      <c r="L271" s="379">
        <f>IF(H271&lt;&gt;"",J271*K271,SUMIFS(L272:L$9844,$F272:$F$9844,"*"&amp;F271&amp;"*",$H272:$H$9844,"&lt;&gt;"))</f>
        <v>0</v>
      </c>
      <c r="M271" s="379" t="str">
        <f>IF(Tabela2[[#This Row],[UNID.]]&lt;&gt;"",IFERROR(VLOOKUP(Tabela2[[#This Row],[AGRUPADOR]],Lucratividade!$D$4:$O$129,6,0),0),"")</f>
        <v/>
      </c>
      <c r="N271" s="379">
        <f>IF(H271&lt;&gt;"",J271*M271*I271,SUMIFS(N272:N$9844,$F272:$F$9844,"*"&amp;F271&amp;"*",$H272:$H$9844,"&lt;&gt;"))</f>
        <v>0</v>
      </c>
      <c r="O271" s="162" t="str">
        <f>IFERROR((-Tabela2[[#This Row],[CUSTO TOTAL]]+Tabela2[[#This Row],[VENDA TOTAL]])/Tabela2[[#This Row],[VENDA TOTAL]]-PARAMETROS!$C$19,"")</f>
        <v/>
      </c>
      <c r="AA271" s="219">
        <f>SUM(Plan_Orc[[#This Row],[01/jan]:[01/dez]])</f>
        <v>0</v>
      </c>
      <c r="AB271" s="114"/>
      <c r="AC271" s="114"/>
      <c r="AD271" s="114"/>
      <c r="AE271" s="114"/>
      <c r="AF271" s="114"/>
      <c r="AG271" s="114"/>
      <c r="AH271" s="114"/>
      <c r="AI271" s="114"/>
      <c r="AJ271" s="114"/>
      <c r="AK271" s="114"/>
      <c r="AL271" s="114"/>
      <c r="AM271" s="114"/>
    </row>
    <row r="272" spans="2:39" ht="25.2" customHeight="1" x14ac:dyDescent="0.3">
      <c r="B272" s="13" t="str">
        <f t="shared" si="8"/>
        <v/>
      </c>
      <c r="C272" s="18"/>
      <c r="D272" s="19" t="str">
        <f>IF(Tabela2[[#This Row],[AGRUPADOR]]&lt;&gt;"",VLOOKUP(Tabela2[[#This Row],[AGRUPADOR]],Tabela1[],2,0),"")</f>
        <v/>
      </c>
      <c r="E272" s="19" t="str">
        <f>IF(Tabela2[[#This Row],[AGRUPADOR]]&lt;&gt;"",VLOOKUP(Tabela2[[#This Row],[AGRUPADOR]],Tabela1[],4,0),"")</f>
        <v/>
      </c>
      <c r="F272" s="14"/>
      <c r="G272" s="6"/>
      <c r="H272" s="6"/>
      <c r="I272" s="25"/>
      <c r="J272" s="7"/>
      <c r="K272" s="15"/>
      <c r="L272" s="379">
        <f>IF(H272&lt;&gt;"",J272*K272,SUMIFS(L273:L$9844,$F273:$F$9844,"*"&amp;F272&amp;"*",$H273:$H$9844,"&lt;&gt;"))</f>
        <v>0</v>
      </c>
      <c r="M272" s="379" t="str">
        <f>IF(Tabela2[[#This Row],[UNID.]]&lt;&gt;"",IFERROR(VLOOKUP(Tabela2[[#This Row],[AGRUPADOR]],Lucratividade!$D$4:$O$129,6,0),0),"")</f>
        <v/>
      </c>
      <c r="N272" s="379">
        <f>IF(H272&lt;&gt;"",J272*M272*I272,SUMIFS(N273:N$9844,$F273:$F$9844,"*"&amp;F272&amp;"*",$H273:$H$9844,"&lt;&gt;"))</f>
        <v>0</v>
      </c>
      <c r="O272" s="162" t="str">
        <f>IFERROR((-Tabela2[[#This Row],[CUSTO TOTAL]]+Tabela2[[#This Row],[VENDA TOTAL]])/Tabela2[[#This Row],[VENDA TOTAL]]-PARAMETROS!$C$19,"")</f>
        <v/>
      </c>
      <c r="AA272" s="219">
        <f>SUM(Plan_Orc[[#This Row],[01/jan]:[01/dez]])</f>
        <v>0</v>
      </c>
      <c r="AB272" s="114"/>
      <c r="AC272" s="114"/>
      <c r="AD272" s="114"/>
      <c r="AE272" s="114"/>
      <c r="AF272" s="114"/>
      <c r="AG272" s="114"/>
      <c r="AH272" s="114"/>
      <c r="AI272" s="114"/>
      <c r="AJ272" s="114"/>
      <c r="AK272" s="114"/>
      <c r="AL272" s="114"/>
      <c r="AM272" s="114"/>
    </row>
    <row r="273" spans="2:39" ht="25.2" customHeight="1" x14ac:dyDescent="0.3">
      <c r="B273" s="13" t="str">
        <f t="shared" si="8"/>
        <v/>
      </c>
      <c r="C273" s="18"/>
      <c r="D273" s="19" t="str">
        <f>IF(Tabela2[[#This Row],[AGRUPADOR]]&lt;&gt;"",VLOOKUP(Tabela2[[#This Row],[AGRUPADOR]],Tabela1[],2,0),"")</f>
        <v/>
      </c>
      <c r="E273" s="19" t="str">
        <f>IF(Tabela2[[#This Row],[AGRUPADOR]]&lt;&gt;"",VLOOKUP(Tabela2[[#This Row],[AGRUPADOR]],Tabela1[],4,0),"")</f>
        <v/>
      </c>
      <c r="F273" s="14"/>
      <c r="G273" s="6"/>
      <c r="H273" s="6"/>
      <c r="I273" s="25"/>
      <c r="J273" s="7"/>
      <c r="K273" s="15"/>
      <c r="L273" s="379">
        <f>IF(H273&lt;&gt;"",J273*K273,SUMIFS(L274:L$9844,$F274:$F$9844,"*"&amp;F273&amp;"*",$H274:$H$9844,"&lt;&gt;"))</f>
        <v>0</v>
      </c>
      <c r="M273" s="379" t="str">
        <f>IF(Tabela2[[#This Row],[UNID.]]&lt;&gt;"",IFERROR(VLOOKUP(Tabela2[[#This Row],[AGRUPADOR]],Lucratividade!$D$4:$O$129,6,0),0),"")</f>
        <v/>
      </c>
      <c r="N273" s="379">
        <f>IF(H273&lt;&gt;"",J273*M273*I273,SUMIFS(N274:N$9844,$F274:$F$9844,"*"&amp;F273&amp;"*",$H274:$H$9844,"&lt;&gt;"))</f>
        <v>0</v>
      </c>
      <c r="O273" s="162" t="str">
        <f>IFERROR((-Tabela2[[#This Row],[CUSTO TOTAL]]+Tabela2[[#This Row],[VENDA TOTAL]])/Tabela2[[#This Row],[VENDA TOTAL]]-PARAMETROS!$C$19,"")</f>
        <v/>
      </c>
      <c r="AA273" s="219">
        <f>SUM(Plan_Orc[[#This Row],[01/jan]:[01/dez]])</f>
        <v>0</v>
      </c>
      <c r="AB273" s="114"/>
      <c r="AC273" s="114"/>
      <c r="AD273" s="114"/>
      <c r="AE273" s="114"/>
      <c r="AF273" s="114"/>
      <c r="AG273" s="114"/>
      <c r="AH273" s="114"/>
      <c r="AI273" s="114"/>
      <c r="AJ273" s="114"/>
      <c r="AK273" s="114"/>
      <c r="AL273" s="114"/>
      <c r="AM273" s="114"/>
    </row>
    <row r="274" spans="2:39" ht="25.2" customHeight="1" x14ac:dyDescent="0.3">
      <c r="B274" s="13" t="str">
        <f t="shared" si="8"/>
        <v/>
      </c>
      <c r="C274" s="18"/>
      <c r="D274" s="19" t="str">
        <f>IF(Tabela2[[#This Row],[AGRUPADOR]]&lt;&gt;"",VLOOKUP(Tabela2[[#This Row],[AGRUPADOR]],Tabela1[],2,0),"")</f>
        <v/>
      </c>
      <c r="E274" s="19" t="str">
        <f>IF(Tabela2[[#This Row],[AGRUPADOR]]&lt;&gt;"",VLOOKUP(Tabela2[[#This Row],[AGRUPADOR]],Tabela1[],4,0),"")</f>
        <v/>
      </c>
      <c r="F274" s="14"/>
      <c r="G274" s="6"/>
      <c r="H274" s="6"/>
      <c r="I274" s="25"/>
      <c r="J274" s="7"/>
      <c r="K274" s="15"/>
      <c r="L274" s="379">
        <f>IF(H274&lt;&gt;"",J274*K274,SUMIFS(L275:L$9844,$F275:$F$9844,"*"&amp;F274&amp;"*",$H275:$H$9844,"&lt;&gt;"))</f>
        <v>0</v>
      </c>
      <c r="M274" s="379" t="str">
        <f>IF(Tabela2[[#This Row],[UNID.]]&lt;&gt;"",IFERROR(VLOOKUP(Tabela2[[#This Row],[AGRUPADOR]],Lucratividade!$D$4:$O$129,6,0),0),"")</f>
        <v/>
      </c>
      <c r="N274" s="379">
        <f>IF(H274&lt;&gt;"",J274*M274*I274,SUMIFS(N275:N$9844,$F275:$F$9844,"*"&amp;F274&amp;"*",$H275:$H$9844,"&lt;&gt;"))</f>
        <v>0</v>
      </c>
      <c r="O274" s="162" t="str">
        <f>IFERROR((-Tabela2[[#This Row],[CUSTO TOTAL]]+Tabela2[[#This Row],[VENDA TOTAL]])/Tabela2[[#This Row],[VENDA TOTAL]]-PARAMETROS!$C$19,"")</f>
        <v/>
      </c>
      <c r="AA274" s="219">
        <f>SUM(Plan_Orc[[#This Row],[01/jan]:[01/dez]])</f>
        <v>0</v>
      </c>
      <c r="AB274" s="114"/>
      <c r="AC274" s="114"/>
      <c r="AD274" s="114"/>
      <c r="AE274" s="114"/>
      <c r="AF274" s="114"/>
      <c r="AG274" s="114"/>
      <c r="AH274" s="114"/>
      <c r="AI274" s="114"/>
      <c r="AJ274" s="114"/>
      <c r="AK274" s="114"/>
      <c r="AL274" s="114"/>
      <c r="AM274" s="114"/>
    </row>
    <row r="275" spans="2:39" ht="25.2" customHeight="1" x14ac:dyDescent="0.3">
      <c r="B275" s="13" t="str">
        <f t="shared" si="8"/>
        <v/>
      </c>
      <c r="C275" s="18"/>
      <c r="D275" s="19" t="str">
        <f>IF(Tabela2[[#This Row],[AGRUPADOR]]&lt;&gt;"",VLOOKUP(Tabela2[[#This Row],[AGRUPADOR]],Tabela1[],2,0),"")</f>
        <v/>
      </c>
      <c r="E275" s="19" t="str">
        <f>IF(Tabela2[[#This Row],[AGRUPADOR]]&lt;&gt;"",VLOOKUP(Tabela2[[#This Row],[AGRUPADOR]],Tabela1[],4,0),"")</f>
        <v/>
      </c>
      <c r="F275" s="14"/>
      <c r="G275" s="6"/>
      <c r="H275" s="6"/>
      <c r="I275" s="25"/>
      <c r="J275" s="7"/>
      <c r="K275" s="15"/>
      <c r="L275" s="379">
        <f>IF(H275&lt;&gt;"",J275*K275,SUMIFS(L276:L$9844,$F276:$F$9844,"*"&amp;F275&amp;"*",$H276:$H$9844,"&lt;&gt;"))</f>
        <v>0</v>
      </c>
      <c r="M275" s="379" t="str">
        <f>IF(Tabela2[[#This Row],[UNID.]]&lt;&gt;"",IFERROR(VLOOKUP(Tabela2[[#This Row],[AGRUPADOR]],Lucratividade!$D$4:$O$129,6,0),0),"")</f>
        <v/>
      </c>
      <c r="N275" s="379">
        <f>IF(H275&lt;&gt;"",J275*M275*I275,SUMIFS(N276:N$9844,$F276:$F$9844,"*"&amp;F275&amp;"*",$H276:$H$9844,"&lt;&gt;"))</f>
        <v>0</v>
      </c>
      <c r="O275" s="162" t="str">
        <f>IFERROR((-Tabela2[[#This Row],[CUSTO TOTAL]]+Tabela2[[#This Row],[VENDA TOTAL]])/Tabela2[[#This Row],[VENDA TOTAL]]-PARAMETROS!$C$19,"")</f>
        <v/>
      </c>
      <c r="AA275" s="219">
        <f>SUM(Plan_Orc[[#This Row],[01/jan]:[01/dez]])</f>
        <v>0</v>
      </c>
      <c r="AB275" s="114"/>
      <c r="AC275" s="114"/>
      <c r="AD275" s="114"/>
      <c r="AE275" s="114"/>
      <c r="AF275" s="114"/>
      <c r="AG275" s="114"/>
      <c r="AH275" s="114"/>
      <c r="AI275" s="114"/>
      <c r="AJ275" s="114"/>
      <c r="AK275" s="114"/>
      <c r="AL275" s="114"/>
      <c r="AM275" s="114"/>
    </row>
    <row r="276" spans="2:39" ht="25.2" customHeight="1" x14ac:dyDescent="0.3">
      <c r="B276" s="13" t="str">
        <f t="shared" si="8"/>
        <v/>
      </c>
      <c r="C276" s="18"/>
      <c r="D276" s="19" t="str">
        <f>IF(Tabela2[[#This Row],[AGRUPADOR]]&lt;&gt;"",VLOOKUP(Tabela2[[#This Row],[AGRUPADOR]],Tabela1[],2,0),"")</f>
        <v/>
      </c>
      <c r="E276" s="19" t="str">
        <f>IF(Tabela2[[#This Row],[AGRUPADOR]]&lt;&gt;"",VLOOKUP(Tabela2[[#This Row],[AGRUPADOR]],Tabela1[],4,0),"")</f>
        <v/>
      </c>
      <c r="F276" s="14"/>
      <c r="G276" s="6"/>
      <c r="H276" s="6"/>
      <c r="I276" s="25"/>
      <c r="J276" s="7"/>
      <c r="K276" s="15"/>
      <c r="L276" s="379">
        <f>IF(H276&lt;&gt;"",J276*K276,SUMIFS(L277:L$9844,$F277:$F$9844,"*"&amp;F276&amp;"*",$H277:$H$9844,"&lt;&gt;"))</f>
        <v>0</v>
      </c>
      <c r="M276" s="379" t="str">
        <f>IF(Tabela2[[#This Row],[UNID.]]&lt;&gt;"",IFERROR(VLOOKUP(Tabela2[[#This Row],[AGRUPADOR]],Lucratividade!$D$4:$O$129,6,0),0),"")</f>
        <v/>
      </c>
      <c r="N276" s="379">
        <f>IF(H276&lt;&gt;"",J276*M276*I276,SUMIFS(N277:N$9844,$F277:$F$9844,"*"&amp;F276&amp;"*",$H277:$H$9844,"&lt;&gt;"))</f>
        <v>0</v>
      </c>
      <c r="O276" s="162" t="str">
        <f>IFERROR((-Tabela2[[#This Row],[CUSTO TOTAL]]+Tabela2[[#This Row],[VENDA TOTAL]])/Tabela2[[#This Row],[VENDA TOTAL]]-PARAMETROS!$C$19,"")</f>
        <v/>
      </c>
      <c r="AA276" s="219">
        <f>SUM(Plan_Orc[[#This Row],[01/jan]:[01/dez]])</f>
        <v>0</v>
      </c>
      <c r="AB276" s="114"/>
      <c r="AC276" s="114"/>
      <c r="AD276" s="114"/>
      <c r="AE276" s="114"/>
      <c r="AF276" s="114"/>
      <c r="AG276" s="114"/>
      <c r="AH276" s="114"/>
      <c r="AI276" s="114"/>
      <c r="AJ276" s="114"/>
      <c r="AK276" s="114"/>
      <c r="AL276" s="114"/>
      <c r="AM276" s="114"/>
    </row>
    <row r="277" spans="2:39" ht="25.2" customHeight="1" x14ac:dyDescent="0.3">
      <c r="B277" s="13" t="str">
        <f t="shared" si="8"/>
        <v/>
      </c>
      <c r="C277" s="18"/>
      <c r="D277" s="19" t="str">
        <f>IF(Tabela2[[#This Row],[AGRUPADOR]]&lt;&gt;"",VLOOKUP(Tabela2[[#This Row],[AGRUPADOR]],Tabela1[],2,0),"")</f>
        <v/>
      </c>
      <c r="E277" s="19" t="str">
        <f>IF(Tabela2[[#This Row],[AGRUPADOR]]&lt;&gt;"",VLOOKUP(Tabela2[[#This Row],[AGRUPADOR]],Tabela1[],4,0),"")</f>
        <v/>
      </c>
      <c r="F277" s="14"/>
      <c r="G277" s="6"/>
      <c r="H277" s="6"/>
      <c r="I277" s="25"/>
      <c r="J277" s="7"/>
      <c r="K277" s="15"/>
      <c r="L277" s="379">
        <f>IF(H277&lt;&gt;"",J277*K277,SUMIFS(L278:L$9844,$F278:$F$9844,"*"&amp;F277&amp;"*",$H278:$H$9844,"&lt;&gt;"))</f>
        <v>0</v>
      </c>
      <c r="M277" s="379" t="str">
        <f>IF(Tabela2[[#This Row],[UNID.]]&lt;&gt;"",IFERROR(VLOOKUP(Tabela2[[#This Row],[AGRUPADOR]],Lucratividade!$D$4:$O$129,6,0),0),"")</f>
        <v/>
      </c>
      <c r="N277" s="379">
        <f>IF(H277&lt;&gt;"",J277*M277*I277,SUMIFS(N278:N$9844,$F278:$F$9844,"*"&amp;F277&amp;"*",$H278:$H$9844,"&lt;&gt;"))</f>
        <v>0</v>
      </c>
      <c r="O277" s="162" t="str">
        <f>IFERROR((-Tabela2[[#This Row],[CUSTO TOTAL]]+Tabela2[[#This Row],[VENDA TOTAL]])/Tabela2[[#This Row],[VENDA TOTAL]]-PARAMETROS!$C$19,"")</f>
        <v/>
      </c>
      <c r="AA277" s="219">
        <f>SUM(Plan_Orc[[#This Row],[01/jan]:[01/dez]])</f>
        <v>0</v>
      </c>
      <c r="AB277" s="114"/>
      <c r="AC277" s="114"/>
      <c r="AD277" s="114"/>
      <c r="AE277" s="114"/>
      <c r="AF277" s="114"/>
      <c r="AG277" s="114"/>
      <c r="AH277" s="114"/>
      <c r="AI277" s="114"/>
      <c r="AJ277" s="114"/>
      <c r="AK277" s="114"/>
      <c r="AL277" s="114"/>
      <c r="AM277" s="114"/>
    </row>
    <row r="278" spans="2:39" ht="25.2" customHeight="1" x14ac:dyDescent="0.3">
      <c r="B278" s="13" t="str">
        <f t="shared" si="8"/>
        <v/>
      </c>
      <c r="C278" s="18"/>
      <c r="D278" s="19" t="str">
        <f>IF(Tabela2[[#This Row],[AGRUPADOR]]&lt;&gt;"",VLOOKUP(Tabela2[[#This Row],[AGRUPADOR]],Tabela1[],2,0),"")</f>
        <v/>
      </c>
      <c r="E278" s="19" t="str">
        <f>IF(Tabela2[[#This Row],[AGRUPADOR]]&lt;&gt;"",VLOOKUP(Tabela2[[#This Row],[AGRUPADOR]],Tabela1[],4,0),"")</f>
        <v/>
      </c>
      <c r="F278" s="14"/>
      <c r="G278" s="6"/>
      <c r="H278" s="6"/>
      <c r="I278" s="25"/>
      <c r="J278" s="7"/>
      <c r="K278" s="15"/>
      <c r="L278" s="379">
        <f>IF(H278&lt;&gt;"",J278*K278,SUMIFS(L279:L$9844,$F279:$F$9844,"*"&amp;F278&amp;"*",$H279:$H$9844,"&lt;&gt;"))</f>
        <v>0</v>
      </c>
      <c r="M278" s="379" t="str">
        <f>IF(Tabela2[[#This Row],[UNID.]]&lt;&gt;"",IFERROR(VLOOKUP(Tabela2[[#This Row],[AGRUPADOR]],Lucratividade!$D$4:$O$129,6,0),0),"")</f>
        <v/>
      </c>
      <c r="N278" s="379">
        <f>IF(H278&lt;&gt;"",J278*M278*I278,SUMIFS(N279:N$9844,$F279:$F$9844,"*"&amp;F278&amp;"*",$H279:$H$9844,"&lt;&gt;"))</f>
        <v>0</v>
      </c>
      <c r="O278" s="162" t="str">
        <f>IFERROR((-Tabela2[[#This Row],[CUSTO TOTAL]]+Tabela2[[#This Row],[VENDA TOTAL]])/Tabela2[[#This Row],[VENDA TOTAL]]-PARAMETROS!$C$19,"")</f>
        <v/>
      </c>
      <c r="AA278" s="219">
        <f>SUM(Plan_Orc[[#This Row],[01/jan]:[01/dez]])</f>
        <v>0</v>
      </c>
      <c r="AB278" s="114"/>
      <c r="AC278" s="114"/>
      <c r="AD278" s="114"/>
      <c r="AE278" s="114"/>
      <c r="AF278" s="114"/>
      <c r="AG278" s="114"/>
      <c r="AH278" s="114"/>
      <c r="AI278" s="114"/>
      <c r="AJ278" s="114"/>
      <c r="AK278" s="114"/>
      <c r="AL278" s="114"/>
      <c r="AM278" s="114"/>
    </row>
    <row r="279" spans="2:39" ht="25.2" customHeight="1" x14ac:dyDescent="0.3">
      <c r="B279" s="13" t="str">
        <f t="shared" si="8"/>
        <v/>
      </c>
      <c r="C279" s="18"/>
      <c r="D279" s="19" t="str">
        <f>IF(Tabela2[[#This Row],[AGRUPADOR]]&lt;&gt;"",VLOOKUP(Tabela2[[#This Row],[AGRUPADOR]],Tabela1[],2,0),"")</f>
        <v/>
      </c>
      <c r="E279" s="19" t="str">
        <f>IF(Tabela2[[#This Row],[AGRUPADOR]]&lt;&gt;"",VLOOKUP(Tabela2[[#This Row],[AGRUPADOR]],Tabela1[],4,0),"")</f>
        <v/>
      </c>
      <c r="F279" s="14"/>
      <c r="G279" s="6"/>
      <c r="H279" s="6"/>
      <c r="I279" s="25"/>
      <c r="J279" s="7"/>
      <c r="K279" s="15"/>
      <c r="L279" s="379">
        <f>IF(H279&lt;&gt;"",J279*K279,SUMIFS(L280:L$9844,$F280:$F$9844,"*"&amp;F279&amp;"*",$H280:$H$9844,"&lt;&gt;"))</f>
        <v>0</v>
      </c>
      <c r="M279" s="379" t="str">
        <f>IF(Tabela2[[#This Row],[UNID.]]&lt;&gt;"",IFERROR(VLOOKUP(Tabela2[[#This Row],[AGRUPADOR]],Lucratividade!$D$4:$O$129,6,0),0),"")</f>
        <v/>
      </c>
      <c r="N279" s="379">
        <f>IF(H279&lt;&gt;"",J279*M279*I279,SUMIFS(N280:N$9844,$F280:$F$9844,"*"&amp;F279&amp;"*",$H280:$H$9844,"&lt;&gt;"))</f>
        <v>0</v>
      </c>
      <c r="O279" s="162" t="str">
        <f>IFERROR((-Tabela2[[#This Row],[CUSTO TOTAL]]+Tabela2[[#This Row],[VENDA TOTAL]])/Tabela2[[#This Row],[VENDA TOTAL]]-PARAMETROS!$C$19,"")</f>
        <v/>
      </c>
      <c r="AA279" s="219">
        <f>SUM(Plan_Orc[[#This Row],[01/jan]:[01/dez]])</f>
        <v>0</v>
      </c>
      <c r="AB279" s="114"/>
      <c r="AC279" s="114"/>
      <c r="AD279" s="114"/>
      <c r="AE279" s="114"/>
      <c r="AF279" s="114"/>
      <c r="AG279" s="114"/>
      <c r="AH279" s="114"/>
      <c r="AI279" s="114"/>
      <c r="AJ279" s="114"/>
      <c r="AK279" s="114"/>
      <c r="AL279" s="114"/>
      <c r="AM279" s="114"/>
    </row>
    <row r="280" spans="2:39" ht="25.2" customHeight="1" x14ac:dyDescent="0.3">
      <c r="B280" s="13" t="str">
        <f t="shared" si="8"/>
        <v/>
      </c>
      <c r="C280" s="18"/>
      <c r="D280" s="19" t="str">
        <f>IF(Tabela2[[#This Row],[AGRUPADOR]]&lt;&gt;"",VLOOKUP(Tabela2[[#This Row],[AGRUPADOR]],Tabela1[],2,0),"")</f>
        <v/>
      </c>
      <c r="E280" s="19" t="str">
        <f>IF(Tabela2[[#This Row],[AGRUPADOR]]&lt;&gt;"",VLOOKUP(Tabela2[[#This Row],[AGRUPADOR]],Tabela1[],4,0),"")</f>
        <v/>
      </c>
      <c r="F280" s="14"/>
      <c r="G280" s="6"/>
      <c r="H280" s="6"/>
      <c r="I280" s="25"/>
      <c r="J280" s="7"/>
      <c r="K280" s="15"/>
      <c r="L280" s="379">
        <f>IF(H280&lt;&gt;"",J280*K280,SUMIFS(L281:L$9844,$F281:$F$9844,"*"&amp;F280&amp;"*",$H281:$H$9844,"&lt;&gt;"))</f>
        <v>0</v>
      </c>
      <c r="M280" s="379" t="str">
        <f>IF(Tabela2[[#This Row],[UNID.]]&lt;&gt;"",IFERROR(VLOOKUP(Tabela2[[#This Row],[AGRUPADOR]],Lucratividade!$D$4:$O$129,6,0),0),"")</f>
        <v/>
      </c>
      <c r="N280" s="379">
        <f>IF(H280&lt;&gt;"",J280*M280*I280,SUMIFS(N281:N$9844,$F281:$F$9844,"*"&amp;F280&amp;"*",$H281:$H$9844,"&lt;&gt;"))</f>
        <v>0</v>
      </c>
      <c r="O280" s="162" t="str">
        <f>IFERROR((-Tabela2[[#This Row],[CUSTO TOTAL]]+Tabela2[[#This Row],[VENDA TOTAL]])/Tabela2[[#This Row],[VENDA TOTAL]]-PARAMETROS!$C$19,"")</f>
        <v/>
      </c>
      <c r="AA280" s="218">
        <f>SUM(Plan_Orc[[#This Row],[01/jan]:[01/dez]])</f>
        <v>0</v>
      </c>
      <c r="AB280" s="113"/>
      <c r="AC280" s="113"/>
      <c r="AD280" s="113"/>
      <c r="AE280" s="113"/>
      <c r="AF280" s="113"/>
      <c r="AG280" s="113"/>
      <c r="AH280" s="113"/>
      <c r="AI280" s="113"/>
      <c r="AJ280" s="113"/>
      <c r="AK280" s="113"/>
      <c r="AL280" s="113"/>
      <c r="AM280" s="113"/>
    </row>
    <row r="281" spans="2:39" ht="25.2" customHeight="1" x14ac:dyDescent="0.3">
      <c r="B281" s="13" t="str">
        <f t="shared" si="8"/>
        <v/>
      </c>
      <c r="C281" s="18"/>
      <c r="D281" s="19" t="str">
        <f>IF(Tabela2[[#This Row],[AGRUPADOR]]&lt;&gt;"",VLOOKUP(Tabela2[[#This Row],[AGRUPADOR]],Tabela1[],2,0),"")</f>
        <v/>
      </c>
      <c r="E281" s="19" t="str">
        <f>IF(Tabela2[[#This Row],[AGRUPADOR]]&lt;&gt;"",VLOOKUP(Tabela2[[#This Row],[AGRUPADOR]],Tabela1[],4,0),"")</f>
        <v/>
      </c>
      <c r="F281" s="14"/>
      <c r="G281" s="6"/>
      <c r="H281" s="6"/>
      <c r="I281" s="25"/>
      <c r="J281" s="7"/>
      <c r="K281" s="15"/>
      <c r="L281" s="379">
        <f>IF(H281&lt;&gt;"",J281*K281,SUMIFS(L282:L$9844,$F282:$F$9844,"*"&amp;F281&amp;"*",$H282:$H$9844,"&lt;&gt;"))</f>
        <v>0</v>
      </c>
      <c r="M281" s="379" t="str">
        <f>IF(Tabela2[[#This Row],[UNID.]]&lt;&gt;"",IFERROR(VLOOKUP(Tabela2[[#This Row],[AGRUPADOR]],Lucratividade!$D$4:$O$129,6,0),0),"")</f>
        <v/>
      </c>
      <c r="N281" s="379">
        <f>IF(H281&lt;&gt;"",J281*M281*I281,SUMIFS(N282:N$9844,$F282:$F$9844,"*"&amp;F281&amp;"*",$H282:$H$9844,"&lt;&gt;"))</f>
        <v>0</v>
      </c>
      <c r="O281" s="162" t="str">
        <f>IFERROR((-Tabela2[[#This Row],[CUSTO TOTAL]]+Tabela2[[#This Row],[VENDA TOTAL]])/Tabela2[[#This Row],[VENDA TOTAL]]-PARAMETROS!$C$19,"")</f>
        <v/>
      </c>
      <c r="AA281" s="219">
        <f>SUM(Plan_Orc[[#This Row],[01/jan]:[01/dez]])</f>
        <v>0</v>
      </c>
      <c r="AB281" s="114"/>
      <c r="AC281" s="114"/>
      <c r="AD281" s="114"/>
      <c r="AE281" s="114"/>
      <c r="AF281" s="114"/>
      <c r="AG281" s="114"/>
      <c r="AH281" s="114"/>
      <c r="AI281" s="114"/>
      <c r="AJ281" s="114"/>
      <c r="AK281" s="114"/>
      <c r="AL281" s="114"/>
      <c r="AM281" s="114"/>
    </row>
    <row r="282" spans="2:39" ht="25.2" customHeight="1" x14ac:dyDescent="0.3">
      <c r="B282" s="13" t="str">
        <f t="shared" si="8"/>
        <v/>
      </c>
      <c r="C282" s="18"/>
      <c r="D282" s="19" t="str">
        <f>IF(Tabela2[[#This Row],[AGRUPADOR]]&lt;&gt;"",VLOOKUP(Tabela2[[#This Row],[AGRUPADOR]],Tabela1[],2,0),"")</f>
        <v/>
      </c>
      <c r="E282" s="19" t="str">
        <f>IF(Tabela2[[#This Row],[AGRUPADOR]]&lt;&gt;"",VLOOKUP(Tabela2[[#This Row],[AGRUPADOR]],Tabela1[],4,0),"")</f>
        <v/>
      </c>
      <c r="F282" s="14"/>
      <c r="G282" s="6"/>
      <c r="H282" s="6"/>
      <c r="I282" s="25"/>
      <c r="J282" s="7"/>
      <c r="K282" s="15"/>
      <c r="L282" s="379">
        <f>IF(H282&lt;&gt;"",J282*K282,SUMIFS(L283:L$9844,$F283:$F$9844,"*"&amp;F282&amp;"*",$H283:$H$9844,"&lt;&gt;"))</f>
        <v>0</v>
      </c>
      <c r="M282" s="379" t="str">
        <f>IF(Tabela2[[#This Row],[UNID.]]&lt;&gt;"",IFERROR(VLOOKUP(Tabela2[[#This Row],[AGRUPADOR]],Lucratividade!$D$4:$O$129,6,0),0),"")</f>
        <v/>
      </c>
      <c r="N282" s="379">
        <f>IF(H282&lt;&gt;"",J282*M282*I282,SUMIFS(N283:N$9844,$F283:$F$9844,"*"&amp;F282&amp;"*",$H283:$H$9844,"&lt;&gt;"))</f>
        <v>0</v>
      </c>
      <c r="O282" s="162" t="str">
        <f>IFERROR((-Tabela2[[#This Row],[CUSTO TOTAL]]+Tabela2[[#This Row],[VENDA TOTAL]])/Tabela2[[#This Row],[VENDA TOTAL]]-PARAMETROS!$C$19,"")</f>
        <v/>
      </c>
      <c r="AA282" s="219">
        <f>SUM(Plan_Orc[[#This Row],[01/jan]:[01/dez]])</f>
        <v>0</v>
      </c>
      <c r="AB282" s="114"/>
      <c r="AC282" s="114"/>
      <c r="AD282" s="114"/>
      <c r="AE282" s="114"/>
      <c r="AF282" s="114"/>
      <c r="AG282" s="114"/>
      <c r="AH282" s="114"/>
      <c r="AI282" s="114"/>
      <c r="AJ282" s="114"/>
      <c r="AK282" s="114"/>
      <c r="AL282" s="114"/>
      <c r="AM282" s="114"/>
    </row>
    <row r="283" spans="2:39" ht="25.2" customHeight="1" x14ac:dyDescent="0.3">
      <c r="B283" s="13" t="str">
        <f t="shared" si="8"/>
        <v/>
      </c>
      <c r="C283" s="18"/>
      <c r="D283" s="19" t="str">
        <f>IF(Tabela2[[#This Row],[AGRUPADOR]]&lt;&gt;"",VLOOKUP(Tabela2[[#This Row],[AGRUPADOR]],Tabela1[],2,0),"")</f>
        <v/>
      </c>
      <c r="E283" s="19" t="str">
        <f>IF(Tabela2[[#This Row],[AGRUPADOR]]&lt;&gt;"",VLOOKUP(Tabela2[[#This Row],[AGRUPADOR]],Tabela1[],4,0),"")</f>
        <v/>
      </c>
      <c r="F283" s="14"/>
      <c r="G283" s="6"/>
      <c r="H283" s="6"/>
      <c r="I283" s="25"/>
      <c r="J283" s="7"/>
      <c r="K283" s="15"/>
      <c r="L283" s="379">
        <f>IF(H283&lt;&gt;"",J283*K283,SUMIFS(L284:L$9844,$F284:$F$9844,"*"&amp;F283&amp;"*",$H284:$H$9844,"&lt;&gt;"))</f>
        <v>0</v>
      </c>
      <c r="M283" s="379" t="str">
        <f>IF(Tabela2[[#This Row],[UNID.]]&lt;&gt;"",IFERROR(VLOOKUP(Tabela2[[#This Row],[AGRUPADOR]],Lucratividade!$D$4:$O$129,6,0),0),"")</f>
        <v/>
      </c>
      <c r="N283" s="379">
        <f>IF(H283&lt;&gt;"",J283*M283*I283,SUMIFS(N284:N$9844,$F284:$F$9844,"*"&amp;F283&amp;"*",$H284:$H$9844,"&lt;&gt;"))</f>
        <v>0</v>
      </c>
      <c r="O283" s="162" t="str">
        <f>IFERROR((-Tabela2[[#This Row],[CUSTO TOTAL]]+Tabela2[[#This Row],[VENDA TOTAL]])/Tabela2[[#This Row],[VENDA TOTAL]]-PARAMETROS!$C$19,"")</f>
        <v/>
      </c>
      <c r="AA283" s="219">
        <f>SUM(Plan_Orc[[#This Row],[01/jan]:[01/dez]])</f>
        <v>0</v>
      </c>
      <c r="AB283" s="114"/>
      <c r="AC283" s="114"/>
      <c r="AD283" s="114"/>
      <c r="AE283" s="114"/>
      <c r="AF283" s="114"/>
      <c r="AG283" s="114"/>
      <c r="AH283" s="114"/>
      <c r="AI283" s="114"/>
      <c r="AJ283" s="114"/>
      <c r="AK283" s="114"/>
      <c r="AL283" s="114"/>
      <c r="AM283" s="114"/>
    </row>
    <row r="284" spans="2:39" ht="25.2" customHeight="1" x14ac:dyDescent="0.3">
      <c r="B284" s="13" t="str">
        <f t="shared" si="8"/>
        <v/>
      </c>
      <c r="C284" s="18"/>
      <c r="D284" s="19" t="str">
        <f>IF(Tabela2[[#This Row],[AGRUPADOR]]&lt;&gt;"",VLOOKUP(Tabela2[[#This Row],[AGRUPADOR]],Tabela1[],2,0),"")</f>
        <v/>
      </c>
      <c r="E284" s="19" t="str">
        <f>IF(Tabela2[[#This Row],[AGRUPADOR]]&lt;&gt;"",VLOOKUP(Tabela2[[#This Row],[AGRUPADOR]],Tabela1[],4,0),"")</f>
        <v/>
      </c>
      <c r="F284" s="14"/>
      <c r="G284" s="6"/>
      <c r="H284" s="6"/>
      <c r="I284" s="25"/>
      <c r="J284" s="7"/>
      <c r="K284" s="15"/>
      <c r="L284" s="379">
        <f>IF(H284&lt;&gt;"",J284*K284,SUMIFS(L285:L$9844,$F285:$F$9844,"*"&amp;F284&amp;"*",$H285:$H$9844,"&lt;&gt;"))</f>
        <v>0</v>
      </c>
      <c r="M284" s="379" t="str">
        <f>IF(Tabela2[[#This Row],[UNID.]]&lt;&gt;"",IFERROR(VLOOKUP(Tabela2[[#This Row],[AGRUPADOR]],Lucratividade!$D$4:$O$129,6,0),0),"")</f>
        <v/>
      </c>
      <c r="N284" s="379">
        <f>IF(H284&lt;&gt;"",J284*M284*I284,SUMIFS(N285:N$9844,$F285:$F$9844,"*"&amp;F284&amp;"*",$H285:$H$9844,"&lt;&gt;"))</f>
        <v>0</v>
      </c>
      <c r="O284" s="162" t="str">
        <f>IFERROR((-Tabela2[[#This Row],[CUSTO TOTAL]]+Tabela2[[#This Row],[VENDA TOTAL]])/Tabela2[[#This Row],[VENDA TOTAL]]-PARAMETROS!$C$19,"")</f>
        <v/>
      </c>
      <c r="AA284" s="219">
        <f>SUM(Plan_Orc[[#This Row],[01/jan]:[01/dez]])</f>
        <v>0</v>
      </c>
      <c r="AB284" s="114"/>
      <c r="AC284" s="114"/>
      <c r="AD284" s="114"/>
      <c r="AE284" s="114"/>
      <c r="AF284" s="114"/>
      <c r="AG284" s="114"/>
      <c r="AH284" s="114"/>
      <c r="AI284" s="114"/>
      <c r="AJ284" s="114"/>
      <c r="AK284" s="114"/>
      <c r="AL284" s="114"/>
      <c r="AM284" s="114"/>
    </row>
    <row r="285" spans="2:39" ht="25.2" customHeight="1" x14ac:dyDescent="0.3">
      <c r="B285" s="13" t="str">
        <f t="shared" si="8"/>
        <v/>
      </c>
      <c r="C285" s="18"/>
      <c r="D285" s="19" t="str">
        <f>IF(Tabela2[[#This Row],[AGRUPADOR]]&lt;&gt;"",VLOOKUP(Tabela2[[#This Row],[AGRUPADOR]],Tabela1[],2,0),"")</f>
        <v/>
      </c>
      <c r="E285" s="19" t="str">
        <f>IF(Tabela2[[#This Row],[AGRUPADOR]]&lt;&gt;"",VLOOKUP(Tabela2[[#This Row],[AGRUPADOR]],Tabela1[],4,0),"")</f>
        <v/>
      </c>
      <c r="F285" s="14"/>
      <c r="G285" s="6"/>
      <c r="H285" s="6"/>
      <c r="I285" s="25"/>
      <c r="J285" s="7"/>
      <c r="K285" s="15"/>
      <c r="L285" s="379">
        <f>IF(H285&lt;&gt;"",J285*K285,SUMIFS(L286:L$9844,$F286:$F$9844,"*"&amp;F285&amp;"*",$H286:$H$9844,"&lt;&gt;"))</f>
        <v>0</v>
      </c>
      <c r="M285" s="379" t="str">
        <f>IF(Tabela2[[#This Row],[UNID.]]&lt;&gt;"",IFERROR(VLOOKUP(Tabela2[[#This Row],[AGRUPADOR]],Lucratividade!$D$4:$O$129,6,0),0),"")</f>
        <v/>
      </c>
      <c r="N285" s="379">
        <f>IF(H285&lt;&gt;"",J285*M285*I285,SUMIFS(N286:N$9844,$F286:$F$9844,"*"&amp;F285&amp;"*",$H286:$H$9844,"&lt;&gt;"))</f>
        <v>0</v>
      </c>
      <c r="O285" s="162" t="str">
        <f>IFERROR((-Tabela2[[#This Row],[CUSTO TOTAL]]+Tabela2[[#This Row],[VENDA TOTAL]])/Tabela2[[#This Row],[VENDA TOTAL]]-PARAMETROS!$C$19,"")</f>
        <v/>
      </c>
      <c r="AA285" s="219">
        <f>SUM(Plan_Orc[[#This Row],[01/jan]:[01/dez]])</f>
        <v>0</v>
      </c>
      <c r="AB285" s="114"/>
      <c r="AC285" s="114"/>
      <c r="AD285" s="114"/>
      <c r="AE285" s="114"/>
      <c r="AF285" s="114"/>
      <c r="AG285" s="114"/>
      <c r="AH285" s="114"/>
      <c r="AI285" s="114"/>
      <c r="AJ285" s="114"/>
      <c r="AK285" s="114"/>
      <c r="AL285" s="114"/>
      <c r="AM285" s="114"/>
    </row>
    <row r="286" spans="2:39" ht="25.2" customHeight="1" x14ac:dyDescent="0.3">
      <c r="B286" s="13" t="str">
        <f t="shared" si="8"/>
        <v/>
      </c>
      <c r="C286" s="18"/>
      <c r="D286" s="19" t="str">
        <f>IF(Tabela2[[#This Row],[AGRUPADOR]]&lt;&gt;"",VLOOKUP(Tabela2[[#This Row],[AGRUPADOR]],Tabela1[],2,0),"")</f>
        <v/>
      </c>
      <c r="E286" s="19" t="str">
        <f>IF(Tabela2[[#This Row],[AGRUPADOR]]&lt;&gt;"",VLOOKUP(Tabela2[[#This Row],[AGRUPADOR]],Tabela1[],4,0),"")</f>
        <v/>
      </c>
      <c r="F286" s="14"/>
      <c r="G286" s="6"/>
      <c r="H286" s="6"/>
      <c r="I286" s="25"/>
      <c r="J286" s="7"/>
      <c r="K286" s="15"/>
      <c r="L286" s="379">
        <f>IF(H286&lt;&gt;"",J286*K286,SUMIFS(L287:L$9844,$F287:$F$9844,"*"&amp;F286&amp;"*",$H287:$H$9844,"&lt;&gt;"))</f>
        <v>0</v>
      </c>
      <c r="M286" s="379" t="str">
        <f>IF(Tabela2[[#This Row],[UNID.]]&lt;&gt;"",IFERROR(VLOOKUP(Tabela2[[#This Row],[AGRUPADOR]],Lucratividade!$D$4:$O$129,6,0),0),"")</f>
        <v/>
      </c>
      <c r="N286" s="379">
        <f>IF(H286&lt;&gt;"",J286*M286*I286,SUMIFS(N287:N$9844,$F287:$F$9844,"*"&amp;F286&amp;"*",$H287:$H$9844,"&lt;&gt;"))</f>
        <v>0</v>
      </c>
      <c r="O286" s="162" t="str">
        <f>IFERROR((-Tabela2[[#This Row],[CUSTO TOTAL]]+Tabela2[[#This Row],[VENDA TOTAL]])/Tabela2[[#This Row],[VENDA TOTAL]]-PARAMETROS!$C$19,"")</f>
        <v/>
      </c>
      <c r="AA286" s="219">
        <f>SUM(Plan_Orc[[#This Row],[01/jan]:[01/dez]])</f>
        <v>0</v>
      </c>
      <c r="AB286" s="114"/>
      <c r="AC286" s="114"/>
      <c r="AD286" s="114"/>
      <c r="AE286" s="114"/>
      <c r="AF286" s="114"/>
      <c r="AG286" s="114"/>
      <c r="AH286" s="114"/>
      <c r="AI286" s="114"/>
      <c r="AJ286" s="114"/>
      <c r="AK286" s="114"/>
      <c r="AL286" s="114"/>
      <c r="AM286" s="114"/>
    </row>
    <row r="287" spans="2:39" ht="25.2" customHeight="1" x14ac:dyDescent="0.3">
      <c r="B287" s="13" t="str">
        <f t="shared" si="8"/>
        <v/>
      </c>
      <c r="C287" s="18"/>
      <c r="D287" s="19" t="str">
        <f>IF(Tabela2[[#This Row],[AGRUPADOR]]&lt;&gt;"",VLOOKUP(Tabela2[[#This Row],[AGRUPADOR]],Tabela1[],2,0),"")</f>
        <v/>
      </c>
      <c r="E287" s="19" t="str">
        <f>IF(Tabela2[[#This Row],[AGRUPADOR]]&lt;&gt;"",VLOOKUP(Tabela2[[#This Row],[AGRUPADOR]],Tabela1[],4,0),"")</f>
        <v/>
      </c>
      <c r="F287" s="14"/>
      <c r="G287" s="6"/>
      <c r="H287" s="6"/>
      <c r="I287" s="25"/>
      <c r="J287" s="7"/>
      <c r="K287" s="15"/>
      <c r="L287" s="379">
        <f>IF(H287&lt;&gt;"",J287*K287,SUMIFS(L288:L$9844,$F288:$F$9844,"*"&amp;F287&amp;"*",$H288:$H$9844,"&lt;&gt;"))</f>
        <v>0</v>
      </c>
      <c r="M287" s="379" t="str">
        <f>IF(Tabela2[[#This Row],[UNID.]]&lt;&gt;"",IFERROR(VLOOKUP(Tabela2[[#This Row],[AGRUPADOR]],Lucratividade!$D$4:$O$129,6,0),0),"")</f>
        <v/>
      </c>
      <c r="N287" s="379">
        <f>IF(H287&lt;&gt;"",J287*M287*I287,SUMIFS(N288:N$9844,$F288:$F$9844,"*"&amp;F287&amp;"*",$H288:$H$9844,"&lt;&gt;"))</f>
        <v>0</v>
      </c>
      <c r="O287" s="162" t="str">
        <f>IFERROR((-Tabela2[[#This Row],[CUSTO TOTAL]]+Tabela2[[#This Row],[VENDA TOTAL]])/Tabela2[[#This Row],[VENDA TOTAL]]-PARAMETROS!$C$19,"")</f>
        <v/>
      </c>
      <c r="AA287" s="219">
        <f>SUM(Plan_Orc[[#This Row],[01/jan]:[01/dez]])</f>
        <v>0</v>
      </c>
      <c r="AB287" s="114"/>
      <c r="AC287" s="114"/>
      <c r="AD287" s="114"/>
      <c r="AE287" s="114"/>
      <c r="AF287" s="114"/>
      <c r="AG287" s="114"/>
      <c r="AH287" s="114"/>
      <c r="AI287" s="114"/>
      <c r="AJ287" s="114"/>
      <c r="AK287" s="114"/>
      <c r="AL287" s="114"/>
      <c r="AM287" s="114"/>
    </row>
    <row r="288" spans="2:39" ht="25.2" customHeight="1" x14ac:dyDescent="0.3">
      <c r="B288" s="13" t="str">
        <f t="shared" si="8"/>
        <v/>
      </c>
      <c r="C288" s="18"/>
      <c r="D288" s="19" t="str">
        <f>IF(Tabela2[[#This Row],[AGRUPADOR]]&lt;&gt;"",VLOOKUP(Tabela2[[#This Row],[AGRUPADOR]],Tabela1[],2,0),"")</f>
        <v/>
      </c>
      <c r="E288" s="19" t="str">
        <f>IF(Tabela2[[#This Row],[AGRUPADOR]]&lt;&gt;"",VLOOKUP(Tabela2[[#This Row],[AGRUPADOR]],Tabela1[],4,0),"")</f>
        <v/>
      </c>
      <c r="F288" s="14"/>
      <c r="G288" s="6"/>
      <c r="H288" s="6"/>
      <c r="I288" s="25"/>
      <c r="J288" s="7"/>
      <c r="K288" s="15"/>
      <c r="L288" s="379">
        <f>IF(H288&lt;&gt;"",J288*K288,SUMIFS(L289:L$9844,$F289:$F$9844,"*"&amp;F288&amp;"*",$H289:$H$9844,"&lt;&gt;"))</f>
        <v>0</v>
      </c>
      <c r="M288" s="379" t="str">
        <f>IF(Tabela2[[#This Row],[UNID.]]&lt;&gt;"",IFERROR(VLOOKUP(Tabela2[[#This Row],[AGRUPADOR]],Lucratividade!$D$4:$O$129,6,0),0),"")</f>
        <v/>
      </c>
      <c r="N288" s="379">
        <f>IF(H288&lt;&gt;"",J288*M288*I288,SUMIFS(N289:N$9844,$F289:$F$9844,"*"&amp;F288&amp;"*",$H289:$H$9844,"&lt;&gt;"))</f>
        <v>0</v>
      </c>
      <c r="O288" s="162" t="str">
        <f>IFERROR((-Tabela2[[#This Row],[CUSTO TOTAL]]+Tabela2[[#This Row],[VENDA TOTAL]])/Tabela2[[#This Row],[VENDA TOTAL]]-PARAMETROS!$C$19,"")</f>
        <v/>
      </c>
      <c r="AA288" s="219">
        <f>SUM(Plan_Orc[[#This Row],[01/jan]:[01/dez]])</f>
        <v>0</v>
      </c>
      <c r="AB288" s="114"/>
      <c r="AC288" s="114"/>
      <c r="AD288" s="114"/>
      <c r="AE288" s="114"/>
      <c r="AF288" s="114"/>
      <c r="AG288" s="114"/>
      <c r="AH288" s="114"/>
      <c r="AI288" s="114"/>
      <c r="AJ288" s="114"/>
      <c r="AK288" s="114"/>
      <c r="AL288" s="114"/>
      <c r="AM288" s="114"/>
    </row>
    <row r="289" spans="2:39" ht="25.2" customHeight="1" x14ac:dyDescent="0.3">
      <c r="B289" s="13" t="str">
        <f t="shared" si="8"/>
        <v/>
      </c>
      <c r="C289" s="18"/>
      <c r="D289" s="19" t="str">
        <f>IF(Tabela2[[#This Row],[AGRUPADOR]]&lt;&gt;"",VLOOKUP(Tabela2[[#This Row],[AGRUPADOR]],Tabela1[],2,0),"")</f>
        <v/>
      </c>
      <c r="E289" s="19" t="str">
        <f>IF(Tabela2[[#This Row],[AGRUPADOR]]&lt;&gt;"",VLOOKUP(Tabela2[[#This Row],[AGRUPADOR]],Tabela1[],4,0),"")</f>
        <v/>
      </c>
      <c r="F289" s="14"/>
      <c r="G289" s="6"/>
      <c r="H289" s="6"/>
      <c r="I289" s="25"/>
      <c r="J289" s="7"/>
      <c r="K289" s="15"/>
      <c r="L289" s="379">
        <f>IF(H289&lt;&gt;"",J289*K289,SUMIFS(L290:L$9844,$F290:$F$9844,"*"&amp;F289&amp;"*",$H290:$H$9844,"&lt;&gt;"))</f>
        <v>0</v>
      </c>
      <c r="M289" s="379" t="str">
        <f>IF(Tabela2[[#This Row],[UNID.]]&lt;&gt;"",IFERROR(VLOOKUP(Tabela2[[#This Row],[AGRUPADOR]],Lucratividade!$D$4:$O$129,6,0),0),"")</f>
        <v/>
      </c>
      <c r="N289" s="379">
        <f>IF(H289&lt;&gt;"",J289*M289*I289,SUMIFS(N290:N$9844,$F290:$F$9844,"*"&amp;F289&amp;"*",$H290:$H$9844,"&lt;&gt;"))</f>
        <v>0</v>
      </c>
      <c r="O289" s="162" t="str">
        <f>IFERROR((-Tabela2[[#This Row],[CUSTO TOTAL]]+Tabela2[[#This Row],[VENDA TOTAL]])/Tabela2[[#This Row],[VENDA TOTAL]]-PARAMETROS!$C$19,"")</f>
        <v/>
      </c>
      <c r="AA289" s="219">
        <f>SUM(Plan_Orc[[#This Row],[01/jan]:[01/dez]])</f>
        <v>0</v>
      </c>
      <c r="AB289" s="114"/>
      <c r="AC289" s="114"/>
      <c r="AD289" s="114"/>
      <c r="AE289" s="114"/>
      <c r="AF289" s="114"/>
      <c r="AG289" s="114"/>
      <c r="AH289" s="114"/>
      <c r="AI289" s="114"/>
      <c r="AJ289" s="114"/>
      <c r="AK289" s="114"/>
      <c r="AL289" s="114"/>
      <c r="AM289" s="114"/>
    </row>
    <row r="290" spans="2:39" ht="25.2" customHeight="1" x14ac:dyDescent="0.3">
      <c r="B290" s="13" t="str">
        <f t="shared" si="8"/>
        <v/>
      </c>
      <c r="C290" s="18"/>
      <c r="D290" s="19" t="str">
        <f>IF(Tabela2[[#This Row],[AGRUPADOR]]&lt;&gt;"",VLOOKUP(Tabela2[[#This Row],[AGRUPADOR]],Tabela1[],2,0),"")</f>
        <v/>
      </c>
      <c r="E290" s="19" t="str">
        <f>IF(Tabela2[[#This Row],[AGRUPADOR]]&lt;&gt;"",VLOOKUP(Tabela2[[#This Row],[AGRUPADOR]],Tabela1[],4,0),"")</f>
        <v/>
      </c>
      <c r="F290" s="14"/>
      <c r="G290" s="6"/>
      <c r="H290" s="6"/>
      <c r="I290" s="25"/>
      <c r="J290" s="7"/>
      <c r="K290" s="15"/>
      <c r="L290" s="379">
        <f>IF(H290&lt;&gt;"",J290*K290,SUMIFS(L291:L$9844,$F291:$F$9844,"*"&amp;F290&amp;"*",$H291:$H$9844,"&lt;&gt;"))</f>
        <v>0</v>
      </c>
      <c r="M290" s="379" t="str">
        <f>IF(Tabela2[[#This Row],[UNID.]]&lt;&gt;"",IFERROR(VLOOKUP(Tabela2[[#This Row],[AGRUPADOR]],Lucratividade!$D$4:$O$129,6,0),0),"")</f>
        <v/>
      </c>
      <c r="N290" s="379">
        <f>IF(H290&lt;&gt;"",J290*M290*I290,SUMIFS(N291:N$9844,$F291:$F$9844,"*"&amp;F290&amp;"*",$H291:$H$9844,"&lt;&gt;"))</f>
        <v>0</v>
      </c>
      <c r="O290" s="162" t="str">
        <f>IFERROR((-Tabela2[[#This Row],[CUSTO TOTAL]]+Tabela2[[#This Row],[VENDA TOTAL]])/Tabela2[[#This Row],[VENDA TOTAL]]-PARAMETROS!$C$19,"")</f>
        <v/>
      </c>
      <c r="AA290" s="224">
        <f>SUM(Plan_Orc[[#This Row],[01/jan]:[01/dez]])</f>
        <v>0</v>
      </c>
      <c r="AB290" s="215"/>
      <c r="AC290" s="215"/>
      <c r="AD290" s="215"/>
      <c r="AE290" s="215"/>
      <c r="AF290" s="215"/>
      <c r="AG290" s="215"/>
      <c r="AH290" s="215"/>
      <c r="AI290" s="215"/>
      <c r="AJ290" s="215"/>
      <c r="AK290" s="215"/>
      <c r="AL290" s="215"/>
      <c r="AM290" s="215"/>
    </row>
    <row r="291" spans="2:39" ht="25.2" customHeight="1" x14ac:dyDescent="0.3">
      <c r="B291" s="13" t="str">
        <f t="shared" si="8"/>
        <v/>
      </c>
      <c r="C291" s="18"/>
      <c r="D291" s="19" t="str">
        <f>IF(Tabela2[[#This Row],[AGRUPADOR]]&lt;&gt;"",VLOOKUP(Tabela2[[#This Row],[AGRUPADOR]],Tabela1[],2,0),"")</f>
        <v/>
      </c>
      <c r="E291" s="19" t="str">
        <f>IF(Tabela2[[#This Row],[AGRUPADOR]]&lt;&gt;"",VLOOKUP(Tabela2[[#This Row],[AGRUPADOR]],Tabela1[],4,0),"")</f>
        <v/>
      </c>
      <c r="F291" s="14"/>
      <c r="G291" s="6"/>
      <c r="H291" s="6"/>
      <c r="I291" s="25"/>
      <c r="J291" s="7"/>
      <c r="K291" s="15"/>
      <c r="L291" s="379">
        <f>IF(H291&lt;&gt;"",J291*K291,SUMIFS(L292:L$9844,$F292:$F$9844,"*"&amp;F291&amp;"*",$H292:$H$9844,"&lt;&gt;"))</f>
        <v>0</v>
      </c>
      <c r="M291" s="379" t="str">
        <f>IF(Tabela2[[#This Row],[UNID.]]&lt;&gt;"",IFERROR(VLOOKUP(Tabela2[[#This Row],[AGRUPADOR]],Lucratividade!$D$4:$O$129,6,0),0),"")</f>
        <v/>
      </c>
      <c r="N291" s="379">
        <f>IF(H291&lt;&gt;"",J291*M291*I291,SUMIFS(N292:N$9844,$F292:$F$9844,"*"&amp;F291&amp;"*",$H292:$H$9844,"&lt;&gt;"))</f>
        <v>0</v>
      </c>
      <c r="O291" s="162" t="str">
        <f>IFERROR((-Tabela2[[#This Row],[CUSTO TOTAL]]+Tabela2[[#This Row],[VENDA TOTAL]])/Tabela2[[#This Row],[VENDA TOTAL]]-PARAMETROS!$C$19,"")</f>
        <v/>
      </c>
      <c r="AA291" s="218">
        <f>SUM(Plan_Orc[[#This Row],[01/jan]:[01/dez]])</f>
        <v>0</v>
      </c>
      <c r="AB291" s="113"/>
      <c r="AC291" s="113"/>
      <c r="AD291" s="113"/>
      <c r="AE291" s="113"/>
      <c r="AF291" s="113"/>
      <c r="AG291" s="113"/>
      <c r="AH291" s="113"/>
      <c r="AI291" s="113"/>
      <c r="AJ291" s="113"/>
      <c r="AK291" s="113"/>
      <c r="AL291" s="113"/>
      <c r="AM291" s="113"/>
    </row>
    <row r="292" spans="2:39" ht="25.2" customHeight="1" x14ac:dyDescent="0.3">
      <c r="B292" s="13" t="str">
        <f t="shared" si="8"/>
        <v/>
      </c>
      <c r="C292" s="18"/>
      <c r="D292" s="19" t="str">
        <f>IF(Tabela2[[#This Row],[AGRUPADOR]]&lt;&gt;"",VLOOKUP(Tabela2[[#This Row],[AGRUPADOR]],Tabela1[],2,0),"")</f>
        <v/>
      </c>
      <c r="E292" s="19" t="str">
        <f>IF(Tabela2[[#This Row],[AGRUPADOR]]&lt;&gt;"",VLOOKUP(Tabela2[[#This Row],[AGRUPADOR]],Tabela1[],4,0),"")</f>
        <v/>
      </c>
      <c r="F292" s="14"/>
      <c r="G292" s="6"/>
      <c r="H292" s="6"/>
      <c r="I292" s="25"/>
      <c r="J292" s="7"/>
      <c r="K292" s="15"/>
      <c r="L292" s="379">
        <f>IF(H292&lt;&gt;"",J292*K292,SUMIFS(L293:L$9844,$F293:$F$9844,"*"&amp;F292&amp;"*",$H293:$H$9844,"&lt;&gt;"))</f>
        <v>0</v>
      </c>
      <c r="M292" s="379" t="str">
        <f>IF(Tabela2[[#This Row],[UNID.]]&lt;&gt;"",IFERROR(VLOOKUP(Tabela2[[#This Row],[AGRUPADOR]],Lucratividade!$D$4:$O$129,6,0),0),"")</f>
        <v/>
      </c>
      <c r="N292" s="379">
        <f>IF(H292&lt;&gt;"",J292*M292*I292,SUMIFS(N293:N$9844,$F293:$F$9844,"*"&amp;F292&amp;"*",$H293:$H$9844,"&lt;&gt;"))</f>
        <v>0</v>
      </c>
      <c r="O292" s="162" t="str">
        <f>IFERROR((-Tabela2[[#This Row],[CUSTO TOTAL]]+Tabela2[[#This Row],[VENDA TOTAL]])/Tabela2[[#This Row],[VENDA TOTAL]]-PARAMETROS!$C$19,"")</f>
        <v/>
      </c>
      <c r="AA292" s="219">
        <f>SUM(Plan_Orc[[#This Row],[01/jan]:[01/dez]])</f>
        <v>0</v>
      </c>
      <c r="AB292" s="114"/>
      <c r="AC292" s="114"/>
      <c r="AD292" s="114"/>
      <c r="AE292" s="114"/>
      <c r="AF292" s="114"/>
      <c r="AG292" s="114"/>
      <c r="AH292" s="114"/>
      <c r="AI292" s="114"/>
      <c r="AJ292" s="114"/>
      <c r="AK292" s="114"/>
      <c r="AL292" s="114"/>
      <c r="AM292" s="114"/>
    </row>
    <row r="293" spans="2:39" ht="25.2" customHeight="1" x14ac:dyDescent="0.3">
      <c r="B293" s="13" t="str">
        <f t="shared" si="8"/>
        <v/>
      </c>
      <c r="C293" s="18"/>
      <c r="D293" s="19" t="str">
        <f>IF(Tabela2[[#This Row],[AGRUPADOR]]&lt;&gt;"",VLOOKUP(Tabela2[[#This Row],[AGRUPADOR]],Tabela1[],2,0),"")</f>
        <v/>
      </c>
      <c r="E293" s="19" t="str">
        <f>IF(Tabela2[[#This Row],[AGRUPADOR]]&lt;&gt;"",VLOOKUP(Tabela2[[#This Row],[AGRUPADOR]],Tabela1[],4,0),"")</f>
        <v/>
      </c>
      <c r="F293" s="14"/>
      <c r="G293" s="6"/>
      <c r="H293" s="6"/>
      <c r="I293" s="25"/>
      <c r="J293" s="7"/>
      <c r="K293" s="15"/>
      <c r="L293" s="379">
        <f>IF(H293&lt;&gt;"",J293*K293,SUMIFS(L294:L$9844,$F294:$F$9844,"*"&amp;F293&amp;"*",$H294:$H$9844,"&lt;&gt;"))</f>
        <v>0</v>
      </c>
      <c r="M293" s="379" t="str">
        <f>IF(Tabela2[[#This Row],[UNID.]]&lt;&gt;"",IFERROR(VLOOKUP(Tabela2[[#This Row],[AGRUPADOR]],Lucratividade!$D$4:$O$129,6,0),0),"")</f>
        <v/>
      </c>
      <c r="N293" s="379">
        <f>IF(H293&lt;&gt;"",J293*M293*I293,SUMIFS(N294:N$9844,$F294:$F$9844,"*"&amp;F293&amp;"*",$H294:$H$9844,"&lt;&gt;"))</f>
        <v>0</v>
      </c>
      <c r="O293" s="162" t="str">
        <f>IFERROR((-Tabela2[[#This Row],[CUSTO TOTAL]]+Tabela2[[#This Row],[VENDA TOTAL]])/Tabela2[[#This Row],[VENDA TOTAL]]-PARAMETROS!$C$19,"")</f>
        <v/>
      </c>
      <c r="AA293" s="219">
        <f>SUM(Plan_Orc[[#This Row],[01/jan]:[01/dez]])</f>
        <v>0</v>
      </c>
      <c r="AB293" s="114"/>
      <c r="AC293" s="114"/>
      <c r="AD293" s="114"/>
      <c r="AE293" s="114"/>
      <c r="AF293" s="114"/>
      <c r="AG293" s="114"/>
      <c r="AH293" s="114"/>
      <c r="AI293" s="114"/>
      <c r="AJ293" s="114"/>
      <c r="AK293" s="114"/>
      <c r="AL293" s="114"/>
      <c r="AM293" s="114"/>
    </row>
    <row r="294" spans="2:39" ht="25.2" customHeight="1" x14ac:dyDescent="0.3">
      <c r="B294" s="13" t="str">
        <f t="shared" si="8"/>
        <v/>
      </c>
      <c r="C294" s="18"/>
      <c r="D294" s="19" t="str">
        <f>IF(Tabela2[[#This Row],[AGRUPADOR]]&lt;&gt;"",VLOOKUP(Tabela2[[#This Row],[AGRUPADOR]],Tabela1[],2,0),"")</f>
        <v/>
      </c>
      <c r="E294" s="19" t="str">
        <f>IF(Tabela2[[#This Row],[AGRUPADOR]]&lt;&gt;"",VLOOKUP(Tabela2[[#This Row],[AGRUPADOR]],Tabela1[],4,0),"")</f>
        <v/>
      </c>
      <c r="F294" s="14"/>
      <c r="G294" s="6"/>
      <c r="H294" s="6"/>
      <c r="I294" s="25"/>
      <c r="J294" s="7"/>
      <c r="K294" s="15"/>
      <c r="L294" s="379">
        <f>IF(H294&lt;&gt;"",J294*K294,SUMIFS(L295:L$9844,$F295:$F$9844,"*"&amp;F294&amp;"*",$H295:$H$9844,"&lt;&gt;"))</f>
        <v>0</v>
      </c>
      <c r="M294" s="379" t="str">
        <f>IF(Tabela2[[#This Row],[UNID.]]&lt;&gt;"",IFERROR(VLOOKUP(Tabela2[[#This Row],[AGRUPADOR]],Lucratividade!$D$4:$O$129,6,0),0),"")</f>
        <v/>
      </c>
      <c r="N294" s="379">
        <f>IF(H294&lt;&gt;"",J294*M294*I294,SUMIFS(N295:N$9844,$F295:$F$9844,"*"&amp;F294&amp;"*",$H295:$H$9844,"&lt;&gt;"))</f>
        <v>0</v>
      </c>
      <c r="O294" s="162" t="str">
        <f>IFERROR((-Tabela2[[#This Row],[CUSTO TOTAL]]+Tabela2[[#This Row],[VENDA TOTAL]])/Tabela2[[#This Row],[VENDA TOTAL]]-PARAMETROS!$C$19,"")</f>
        <v/>
      </c>
      <c r="AA294" s="219">
        <f>SUM(Plan_Orc[[#This Row],[01/jan]:[01/dez]])</f>
        <v>0</v>
      </c>
      <c r="AB294" s="114"/>
      <c r="AC294" s="114"/>
      <c r="AD294" s="114"/>
      <c r="AE294" s="114"/>
      <c r="AF294" s="114"/>
      <c r="AG294" s="114"/>
      <c r="AH294" s="114"/>
      <c r="AI294" s="114"/>
      <c r="AJ294" s="114"/>
      <c r="AK294" s="114"/>
      <c r="AL294" s="114"/>
      <c r="AM294" s="114"/>
    </row>
    <row r="295" spans="2:39" ht="25.2" customHeight="1" x14ac:dyDescent="0.3">
      <c r="B295" s="13" t="str">
        <f t="shared" si="8"/>
        <v/>
      </c>
      <c r="C295" s="18"/>
      <c r="D295" s="19" t="str">
        <f>IF(Tabela2[[#This Row],[AGRUPADOR]]&lt;&gt;"",VLOOKUP(Tabela2[[#This Row],[AGRUPADOR]],Tabela1[],2,0),"")</f>
        <v/>
      </c>
      <c r="E295" s="19" t="str">
        <f>IF(Tabela2[[#This Row],[AGRUPADOR]]&lt;&gt;"",VLOOKUP(Tabela2[[#This Row],[AGRUPADOR]],Tabela1[],4,0),"")</f>
        <v/>
      </c>
      <c r="F295" s="14"/>
      <c r="G295" s="6"/>
      <c r="H295" s="6"/>
      <c r="I295" s="25"/>
      <c r="J295" s="7"/>
      <c r="K295" s="15"/>
      <c r="L295" s="379">
        <f>IF(H295&lt;&gt;"",J295*K295,SUMIFS(L296:L$9844,$F296:$F$9844,"*"&amp;F295&amp;"*",$H296:$H$9844,"&lt;&gt;"))</f>
        <v>0</v>
      </c>
      <c r="M295" s="379" t="str">
        <f>IF(Tabela2[[#This Row],[UNID.]]&lt;&gt;"",IFERROR(VLOOKUP(Tabela2[[#This Row],[AGRUPADOR]],Lucratividade!$D$4:$O$129,6,0),0),"")</f>
        <v/>
      </c>
      <c r="N295" s="379">
        <f>IF(H295&lt;&gt;"",J295*M295*I295,SUMIFS(N296:N$9844,$F296:$F$9844,"*"&amp;F295&amp;"*",$H296:$H$9844,"&lt;&gt;"))</f>
        <v>0</v>
      </c>
      <c r="O295" s="162" t="str">
        <f>IFERROR((-Tabela2[[#This Row],[CUSTO TOTAL]]+Tabela2[[#This Row],[VENDA TOTAL]])/Tabela2[[#This Row],[VENDA TOTAL]]-PARAMETROS!$C$19,"")</f>
        <v/>
      </c>
      <c r="AA295" s="219">
        <f>SUM(Plan_Orc[[#This Row],[01/jan]:[01/dez]])</f>
        <v>0</v>
      </c>
      <c r="AB295" s="114"/>
      <c r="AC295" s="114"/>
      <c r="AD295" s="114"/>
      <c r="AE295" s="114"/>
      <c r="AF295" s="114"/>
      <c r="AG295" s="114"/>
      <c r="AH295" s="114"/>
      <c r="AI295" s="114"/>
      <c r="AJ295" s="114"/>
      <c r="AK295" s="114"/>
      <c r="AL295" s="114"/>
      <c r="AM295" s="114"/>
    </row>
    <row r="296" spans="2:39" ht="25.2" customHeight="1" x14ac:dyDescent="0.3">
      <c r="B296" s="13" t="str">
        <f t="shared" si="8"/>
        <v/>
      </c>
      <c r="C296" s="18"/>
      <c r="D296" s="19" t="str">
        <f>IF(Tabela2[[#This Row],[AGRUPADOR]]&lt;&gt;"",VLOOKUP(Tabela2[[#This Row],[AGRUPADOR]],Tabela1[],2,0),"")</f>
        <v/>
      </c>
      <c r="E296" s="19" t="str">
        <f>IF(Tabela2[[#This Row],[AGRUPADOR]]&lt;&gt;"",VLOOKUP(Tabela2[[#This Row],[AGRUPADOR]],Tabela1[],4,0),"")</f>
        <v/>
      </c>
      <c r="F296" s="14"/>
      <c r="G296" s="6"/>
      <c r="H296" s="6"/>
      <c r="I296" s="25"/>
      <c r="J296" s="7"/>
      <c r="K296" s="15"/>
      <c r="L296" s="379">
        <f>IF(H296&lt;&gt;"",J296*K296,SUMIFS(L297:L$9844,$F297:$F$9844,"*"&amp;F296&amp;"*",$H297:$H$9844,"&lt;&gt;"))</f>
        <v>0</v>
      </c>
      <c r="M296" s="379" t="str">
        <f>IF(Tabela2[[#This Row],[UNID.]]&lt;&gt;"",IFERROR(VLOOKUP(Tabela2[[#This Row],[AGRUPADOR]],Lucratividade!$D$4:$O$129,6,0),0),"")</f>
        <v/>
      </c>
      <c r="N296" s="379">
        <f>IF(H296&lt;&gt;"",J296*M296*I296,SUMIFS(N297:N$9844,$F297:$F$9844,"*"&amp;F296&amp;"*",$H297:$H$9844,"&lt;&gt;"))</f>
        <v>0</v>
      </c>
      <c r="O296" s="162" t="str">
        <f>IFERROR((-Tabela2[[#This Row],[CUSTO TOTAL]]+Tabela2[[#This Row],[VENDA TOTAL]])/Tabela2[[#This Row],[VENDA TOTAL]]-PARAMETROS!$C$19,"")</f>
        <v/>
      </c>
      <c r="AA296" s="219">
        <f>SUM(Plan_Orc[[#This Row],[01/jan]:[01/dez]])</f>
        <v>0</v>
      </c>
      <c r="AB296" s="114"/>
      <c r="AC296" s="114"/>
      <c r="AD296" s="114"/>
      <c r="AE296" s="114"/>
      <c r="AF296" s="114"/>
      <c r="AG296" s="114"/>
      <c r="AH296" s="114"/>
      <c r="AI296" s="114"/>
      <c r="AJ296" s="114"/>
      <c r="AK296" s="114"/>
      <c r="AL296" s="114"/>
      <c r="AM296" s="114"/>
    </row>
    <row r="297" spans="2:39" ht="25.2" customHeight="1" x14ac:dyDescent="0.3">
      <c r="B297" s="13" t="str">
        <f t="shared" si="8"/>
        <v/>
      </c>
      <c r="C297" s="18"/>
      <c r="D297" s="19" t="str">
        <f>IF(Tabela2[[#This Row],[AGRUPADOR]]&lt;&gt;"",VLOOKUP(Tabela2[[#This Row],[AGRUPADOR]],Tabela1[],2,0),"")</f>
        <v/>
      </c>
      <c r="E297" s="19" t="str">
        <f>IF(Tabela2[[#This Row],[AGRUPADOR]]&lt;&gt;"",VLOOKUP(Tabela2[[#This Row],[AGRUPADOR]],Tabela1[],4,0),"")</f>
        <v/>
      </c>
      <c r="F297" s="14"/>
      <c r="G297" s="6"/>
      <c r="H297" s="6"/>
      <c r="I297" s="25"/>
      <c r="J297" s="7"/>
      <c r="K297" s="15"/>
      <c r="L297" s="379">
        <f>IF(H297&lt;&gt;"",J297*K297,SUMIFS(L298:L$9844,$F298:$F$9844,"*"&amp;F297&amp;"*",$H298:$H$9844,"&lt;&gt;"))</f>
        <v>0</v>
      </c>
      <c r="M297" s="379" t="str">
        <f>IF(Tabela2[[#This Row],[UNID.]]&lt;&gt;"",IFERROR(VLOOKUP(Tabela2[[#This Row],[AGRUPADOR]],Lucratividade!$D$4:$O$129,6,0),0),"")</f>
        <v/>
      </c>
      <c r="N297" s="379">
        <f>IF(H297&lt;&gt;"",J297*M297*I297,SUMIFS(N298:N$9844,$F298:$F$9844,"*"&amp;F297&amp;"*",$H298:$H$9844,"&lt;&gt;"))</f>
        <v>0</v>
      </c>
      <c r="O297" s="162" t="str">
        <f>IFERROR((-Tabela2[[#This Row],[CUSTO TOTAL]]+Tabela2[[#This Row],[VENDA TOTAL]])/Tabela2[[#This Row],[VENDA TOTAL]]-PARAMETROS!$C$19,"")</f>
        <v/>
      </c>
      <c r="AA297" s="219">
        <f>SUM(Plan_Orc[[#This Row],[01/jan]:[01/dez]])</f>
        <v>0</v>
      </c>
      <c r="AB297" s="114"/>
      <c r="AC297" s="114"/>
      <c r="AD297" s="114"/>
      <c r="AE297" s="114"/>
      <c r="AF297" s="114"/>
      <c r="AG297" s="114"/>
      <c r="AH297" s="114"/>
      <c r="AI297" s="114"/>
      <c r="AJ297" s="114"/>
      <c r="AK297" s="114"/>
      <c r="AL297" s="114"/>
      <c r="AM297" s="114"/>
    </row>
    <row r="298" spans="2:39" ht="25.2" customHeight="1" x14ac:dyDescent="0.3">
      <c r="B298" s="13" t="str">
        <f t="shared" si="8"/>
        <v/>
      </c>
      <c r="C298" s="18"/>
      <c r="D298" s="19" t="str">
        <f>IF(Tabela2[[#This Row],[AGRUPADOR]]&lt;&gt;"",VLOOKUP(Tabela2[[#This Row],[AGRUPADOR]],Tabela1[],2,0),"")</f>
        <v/>
      </c>
      <c r="E298" s="19" t="str">
        <f>IF(Tabela2[[#This Row],[AGRUPADOR]]&lt;&gt;"",VLOOKUP(Tabela2[[#This Row],[AGRUPADOR]],Tabela1[],4,0),"")</f>
        <v/>
      </c>
      <c r="F298" s="14"/>
      <c r="G298" s="6"/>
      <c r="H298" s="6"/>
      <c r="I298" s="25"/>
      <c r="J298" s="7"/>
      <c r="K298" s="15"/>
      <c r="L298" s="379">
        <f>IF(H298&lt;&gt;"",J298*K298,SUMIFS(L299:L$9844,$F299:$F$9844,"*"&amp;F298&amp;"*",$H299:$H$9844,"&lt;&gt;"))</f>
        <v>0</v>
      </c>
      <c r="M298" s="379" t="str">
        <f>IF(Tabela2[[#This Row],[UNID.]]&lt;&gt;"",IFERROR(VLOOKUP(Tabela2[[#This Row],[AGRUPADOR]],Lucratividade!$D$4:$O$129,6,0),0),"")</f>
        <v/>
      </c>
      <c r="N298" s="379">
        <f>IF(H298&lt;&gt;"",J298*M298*I298,SUMIFS(N299:N$9844,$F299:$F$9844,"*"&amp;F298&amp;"*",$H299:$H$9844,"&lt;&gt;"))</f>
        <v>0</v>
      </c>
      <c r="O298" s="162" t="str">
        <f>IFERROR((-Tabela2[[#This Row],[CUSTO TOTAL]]+Tabela2[[#This Row],[VENDA TOTAL]])/Tabela2[[#This Row],[VENDA TOTAL]]-PARAMETROS!$C$19,"")</f>
        <v/>
      </c>
      <c r="AA298" s="219">
        <f>SUM(Plan_Orc[[#This Row],[01/jan]:[01/dez]])</f>
        <v>0</v>
      </c>
      <c r="AB298" s="114"/>
      <c r="AC298" s="114"/>
      <c r="AD298" s="114"/>
      <c r="AE298" s="114"/>
      <c r="AF298" s="114"/>
      <c r="AG298" s="114"/>
      <c r="AH298" s="114"/>
      <c r="AI298" s="114"/>
      <c r="AJ298" s="114"/>
      <c r="AK298" s="114"/>
      <c r="AL298" s="114"/>
      <c r="AM298" s="114"/>
    </row>
    <row r="299" spans="2:39" ht="25.2" customHeight="1" x14ac:dyDescent="0.3">
      <c r="B299" s="13" t="str">
        <f t="shared" si="8"/>
        <v/>
      </c>
      <c r="C299" s="18"/>
      <c r="D299" s="19" t="str">
        <f>IF(Tabela2[[#This Row],[AGRUPADOR]]&lt;&gt;"",VLOOKUP(Tabela2[[#This Row],[AGRUPADOR]],Tabela1[],2,0),"")</f>
        <v/>
      </c>
      <c r="E299" s="19" t="str">
        <f>IF(Tabela2[[#This Row],[AGRUPADOR]]&lt;&gt;"",VLOOKUP(Tabela2[[#This Row],[AGRUPADOR]],Tabela1[],4,0),"")</f>
        <v/>
      </c>
      <c r="F299" s="14"/>
      <c r="G299" s="6"/>
      <c r="H299" s="6"/>
      <c r="I299" s="25"/>
      <c r="J299" s="7"/>
      <c r="K299" s="15"/>
      <c r="L299" s="379">
        <f>IF(H299&lt;&gt;"",J299*K299,SUMIFS(L300:L$9844,$F300:$F$9844,"*"&amp;F299&amp;"*",$H300:$H$9844,"&lt;&gt;"))</f>
        <v>0</v>
      </c>
      <c r="M299" s="379" t="str">
        <f>IF(Tabela2[[#This Row],[UNID.]]&lt;&gt;"",IFERROR(VLOOKUP(Tabela2[[#This Row],[AGRUPADOR]],Lucratividade!$D$4:$O$129,6,0),0),"")</f>
        <v/>
      </c>
      <c r="N299" s="379">
        <f>IF(H299&lt;&gt;"",J299*M299*I299,SUMIFS(N300:N$9844,$F300:$F$9844,"*"&amp;F299&amp;"*",$H300:$H$9844,"&lt;&gt;"))</f>
        <v>0</v>
      </c>
      <c r="O299" s="162" t="str">
        <f>IFERROR((-Tabela2[[#This Row],[CUSTO TOTAL]]+Tabela2[[#This Row],[VENDA TOTAL]])/Tabela2[[#This Row],[VENDA TOTAL]]-PARAMETROS!$C$19,"")</f>
        <v/>
      </c>
      <c r="AA299" s="219">
        <f>SUM(Plan_Orc[[#This Row],[01/jan]:[01/dez]])</f>
        <v>0</v>
      </c>
      <c r="AB299" s="114"/>
      <c r="AC299" s="114"/>
      <c r="AD299" s="114"/>
      <c r="AE299" s="114"/>
      <c r="AF299" s="114"/>
      <c r="AG299" s="114"/>
      <c r="AH299" s="114"/>
      <c r="AI299" s="114"/>
      <c r="AJ299" s="114"/>
      <c r="AK299" s="114"/>
      <c r="AL299" s="114"/>
      <c r="AM299" s="114"/>
    </row>
    <row r="300" spans="2:39" ht="25.2" customHeight="1" x14ac:dyDescent="0.3">
      <c r="B300" s="13" t="str">
        <f t="shared" si="8"/>
        <v/>
      </c>
      <c r="C300" s="18"/>
      <c r="D300" s="19" t="str">
        <f>IF(Tabela2[[#This Row],[AGRUPADOR]]&lt;&gt;"",VLOOKUP(Tabela2[[#This Row],[AGRUPADOR]],Tabela1[],2,0),"")</f>
        <v/>
      </c>
      <c r="E300" s="19" t="str">
        <f>IF(Tabela2[[#This Row],[AGRUPADOR]]&lt;&gt;"",VLOOKUP(Tabela2[[#This Row],[AGRUPADOR]],Tabela1[],4,0),"")</f>
        <v/>
      </c>
      <c r="F300" s="14"/>
      <c r="G300" s="6"/>
      <c r="H300" s="6"/>
      <c r="I300" s="25"/>
      <c r="J300" s="7"/>
      <c r="K300" s="15"/>
      <c r="L300" s="379">
        <f>IF(H300&lt;&gt;"",J300*K300,SUMIFS(L301:L$9844,$F301:$F$9844,"*"&amp;F300&amp;"*",$H301:$H$9844,"&lt;&gt;"))</f>
        <v>0</v>
      </c>
      <c r="M300" s="379" t="str">
        <f>IF(Tabela2[[#This Row],[UNID.]]&lt;&gt;"",IFERROR(VLOOKUP(Tabela2[[#This Row],[AGRUPADOR]],Lucratividade!$D$4:$O$129,6,0),0),"")</f>
        <v/>
      </c>
      <c r="N300" s="379">
        <f>IF(H300&lt;&gt;"",J300*M300*I300,SUMIFS(N301:N$9844,$F301:$F$9844,"*"&amp;F300&amp;"*",$H301:$H$9844,"&lt;&gt;"))</f>
        <v>0</v>
      </c>
      <c r="O300" s="162" t="str">
        <f>IFERROR((-Tabela2[[#This Row],[CUSTO TOTAL]]+Tabela2[[#This Row],[VENDA TOTAL]])/Tabela2[[#This Row],[VENDA TOTAL]]-PARAMETROS!$C$19,"")</f>
        <v/>
      </c>
      <c r="AA300" s="219">
        <f>SUM(Plan_Orc[[#This Row],[01/jan]:[01/dez]])</f>
        <v>0</v>
      </c>
      <c r="AB300" s="114"/>
      <c r="AC300" s="114"/>
      <c r="AD300" s="114"/>
      <c r="AE300" s="114"/>
      <c r="AF300" s="114"/>
      <c r="AG300" s="114"/>
      <c r="AH300" s="114"/>
      <c r="AI300" s="114"/>
      <c r="AJ300" s="114"/>
      <c r="AK300" s="114"/>
      <c r="AL300" s="114"/>
      <c r="AM300" s="114"/>
    </row>
    <row r="301" spans="2:39" ht="25.2" customHeight="1" x14ac:dyDescent="0.3">
      <c r="B301" s="13" t="str">
        <f t="shared" si="8"/>
        <v/>
      </c>
      <c r="C301" s="18"/>
      <c r="D301" s="19" t="str">
        <f>IF(Tabela2[[#This Row],[AGRUPADOR]]&lt;&gt;"",VLOOKUP(Tabela2[[#This Row],[AGRUPADOR]],Tabela1[],2,0),"")</f>
        <v/>
      </c>
      <c r="E301" s="19" t="str">
        <f>IF(Tabela2[[#This Row],[AGRUPADOR]]&lt;&gt;"",VLOOKUP(Tabela2[[#This Row],[AGRUPADOR]],Tabela1[],4,0),"")</f>
        <v/>
      </c>
      <c r="F301" s="14"/>
      <c r="G301" s="6"/>
      <c r="H301" s="6"/>
      <c r="I301" s="25"/>
      <c r="J301" s="7"/>
      <c r="K301" s="15"/>
      <c r="L301" s="379">
        <f>IF(H301&lt;&gt;"",J301*K301,SUMIFS(L302:L$9844,$F302:$F$9844,"*"&amp;F301&amp;"*",$H302:$H$9844,"&lt;&gt;"))</f>
        <v>0</v>
      </c>
      <c r="M301" s="379" t="str">
        <f>IF(Tabela2[[#This Row],[UNID.]]&lt;&gt;"",IFERROR(VLOOKUP(Tabela2[[#This Row],[AGRUPADOR]],Lucratividade!$D$4:$O$129,6,0),0),"")</f>
        <v/>
      </c>
      <c r="N301" s="379">
        <f>IF(H301&lt;&gt;"",J301*M301*I301,SUMIFS(N302:N$9844,$F302:$F$9844,"*"&amp;F301&amp;"*",$H302:$H$9844,"&lt;&gt;"))</f>
        <v>0</v>
      </c>
      <c r="O301" s="162" t="str">
        <f>IFERROR((-Tabela2[[#This Row],[CUSTO TOTAL]]+Tabela2[[#This Row],[VENDA TOTAL]])/Tabela2[[#This Row],[VENDA TOTAL]]-PARAMETROS!$C$19,"")</f>
        <v/>
      </c>
      <c r="AA301" s="219">
        <f>SUM(Plan_Orc[[#This Row],[01/jan]:[01/dez]])</f>
        <v>0</v>
      </c>
      <c r="AB301" s="114"/>
      <c r="AC301" s="114"/>
      <c r="AD301" s="114"/>
      <c r="AE301" s="114"/>
      <c r="AF301" s="114"/>
      <c r="AG301" s="114"/>
      <c r="AH301" s="114"/>
      <c r="AI301" s="114"/>
      <c r="AJ301" s="114"/>
      <c r="AK301" s="114"/>
      <c r="AL301" s="114"/>
      <c r="AM301" s="114"/>
    </row>
    <row r="302" spans="2:39" ht="25.2" customHeight="1" x14ac:dyDescent="0.3">
      <c r="B302" s="13" t="str">
        <f t="shared" si="8"/>
        <v/>
      </c>
      <c r="C302" s="18"/>
      <c r="D302" s="19" t="str">
        <f>IF(Tabela2[[#This Row],[AGRUPADOR]]&lt;&gt;"",VLOOKUP(Tabela2[[#This Row],[AGRUPADOR]],Tabela1[],2,0),"")</f>
        <v/>
      </c>
      <c r="E302" s="19" t="str">
        <f>IF(Tabela2[[#This Row],[AGRUPADOR]]&lt;&gt;"",VLOOKUP(Tabela2[[#This Row],[AGRUPADOR]],Tabela1[],4,0),"")</f>
        <v/>
      </c>
      <c r="F302" s="14"/>
      <c r="G302" s="6"/>
      <c r="H302" s="6"/>
      <c r="I302" s="25"/>
      <c r="J302" s="7"/>
      <c r="K302" s="15"/>
      <c r="L302" s="379">
        <f>IF(H302&lt;&gt;"",J302*K302,SUMIFS(L303:L$9844,$F303:$F$9844,"*"&amp;F302&amp;"*",$H303:$H$9844,"&lt;&gt;"))</f>
        <v>0</v>
      </c>
      <c r="M302" s="379" t="str">
        <f>IF(Tabela2[[#This Row],[UNID.]]&lt;&gt;"",IFERROR(VLOOKUP(Tabela2[[#This Row],[AGRUPADOR]],Lucratividade!$D$4:$O$129,6,0),0),"")</f>
        <v/>
      </c>
      <c r="N302" s="379">
        <f>IF(H302&lt;&gt;"",J302*M302*I302,SUMIFS(N303:N$9844,$F303:$F$9844,"*"&amp;F302&amp;"*",$H303:$H$9844,"&lt;&gt;"))</f>
        <v>0</v>
      </c>
      <c r="O302" s="162" t="str">
        <f>IFERROR((-Tabela2[[#This Row],[CUSTO TOTAL]]+Tabela2[[#This Row],[VENDA TOTAL]])/Tabela2[[#This Row],[VENDA TOTAL]]-PARAMETROS!$C$19,"")</f>
        <v/>
      </c>
      <c r="AA302" s="219">
        <f>SUM(Plan_Orc[[#This Row],[01/jan]:[01/dez]])</f>
        <v>0</v>
      </c>
      <c r="AB302" s="114"/>
      <c r="AC302" s="114"/>
      <c r="AD302" s="114"/>
      <c r="AE302" s="114"/>
      <c r="AF302" s="114"/>
      <c r="AG302" s="114"/>
      <c r="AH302" s="114"/>
      <c r="AI302" s="114"/>
      <c r="AJ302" s="114"/>
      <c r="AK302" s="114"/>
      <c r="AL302" s="114"/>
      <c r="AM302" s="114"/>
    </row>
    <row r="303" spans="2:39" ht="25.2" customHeight="1" x14ac:dyDescent="0.3">
      <c r="B303" s="13" t="str">
        <f t="shared" si="8"/>
        <v/>
      </c>
      <c r="C303" s="18"/>
      <c r="D303" s="19" t="str">
        <f>IF(Tabela2[[#This Row],[AGRUPADOR]]&lt;&gt;"",VLOOKUP(Tabela2[[#This Row],[AGRUPADOR]],Tabela1[],2,0),"")</f>
        <v/>
      </c>
      <c r="E303" s="19" t="str">
        <f>IF(Tabela2[[#This Row],[AGRUPADOR]]&lt;&gt;"",VLOOKUP(Tabela2[[#This Row],[AGRUPADOR]],Tabela1[],4,0),"")</f>
        <v/>
      </c>
      <c r="F303" s="14"/>
      <c r="G303" s="6"/>
      <c r="H303" s="6"/>
      <c r="I303" s="25"/>
      <c r="J303" s="7"/>
      <c r="K303" s="15"/>
      <c r="L303" s="379">
        <f>IF(H303&lt;&gt;"",J303*K303,SUMIFS(L304:L$9844,$F304:$F$9844,"*"&amp;F303&amp;"*",$H304:$H$9844,"&lt;&gt;"))</f>
        <v>0</v>
      </c>
      <c r="M303" s="379" t="str">
        <f>IF(Tabela2[[#This Row],[UNID.]]&lt;&gt;"",IFERROR(VLOOKUP(Tabela2[[#This Row],[AGRUPADOR]],Lucratividade!$D$4:$O$129,6,0),0),"")</f>
        <v/>
      </c>
      <c r="N303" s="379">
        <f>IF(H303&lt;&gt;"",J303*M303*I303,SUMIFS(N304:N$9844,$F304:$F$9844,"*"&amp;F303&amp;"*",$H304:$H$9844,"&lt;&gt;"))</f>
        <v>0</v>
      </c>
      <c r="O303" s="162" t="str">
        <f>IFERROR((-Tabela2[[#This Row],[CUSTO TOTAL]]+Tabela2[[#This Row],[VENDA TOTAL]])/Tabela2[[#This Row],[VENDA TOTAL]]-PARAMETROS!$C$19,"")</f>
        <v/>
      </c>
      <c r="AA303" s="218">
        <f>SUM(Plan_Orc[[#This Row],[01/jan]:[01/dez]])</f>
        <v>0</v>
      </c>
      <c r="AB303" s="113"/>
      <c r="AC303" s="113"/>
      <c r="AD303" s="113"/>
      <c r="AE303" s="113"/>
      <c r="AF303" s="113"/>
      <c r="AG303" s="113"/>
      <c r="AH303" s="113"/>
      <c r="AI303" s="113"/>
      <c r="AJ303" s="113"/>
      <c r="AK303" s="113"/>
      <c r="AL303" s="113"/>
      <c r="AM303" s="113"/>
    </row>
    <row r="304" spans="2:39" ht="25.2" customHeight="1" x14ac:dyDescent="0.3">
      <c r="B304" s="13" t="str">
        <f t="shared" si="8"/>
        <v/>
      </c>
      <c r="C304" s="18"/>
      <c r="D304" s="19" t="str">
        <f>IF(Tabela2[[#This Row],[AGRUPADOR]]&lt;&gt;"",VLOOKUP(Tabela2[[#This Row],[AGRUPADOR]],Tabela1[],2,0),"")</f>
        <v/>
      </c>
      <c r="E304" s="19" t="str">
        <f>IF(Tabela2[[#This Row],[AGRUPADOR]]&lt;&gt;"",VLOOKUP(Tabela2[[#This Row],[AGRUPADOR]],Tabela1[],4,0),"")</f>
        <v/>
      </c>
      <c r="F304" s="14"/>
      <c r="G304" s="6"/>
      <c r="H304" s="6"/>
      <c r="I304" s="25"/>
      <c r="J304" s="7"/>
      <c r="K304" s="15"/>
      <c r="L304" s="379">
        <f>IF(H304&lt;&gt;"",J304*K304,SUMIFS(L305:L$9844,$F305:$F$9844,"*"&amp;F304&amp;"*",$H305:$H$9844,"&lt;&gt;"))</f>
        <v>0</v>
      </c>
      <c r="M304" s="379" t="str">
        <f>IF(Tabela2[[#This Row],[UNID.]]&lt;&gt;"",IFERROR(VLOOKUP(Tabela2[[#This Row],[AGRUPADOR]],Lucratividade!$D$4:$O$129,6,0),0),"")</f>
        <v/>
      </c>
      <c r="N304" s="379">
        <f>IF(H304&lt;&gt;"",J304*M304*I304,SUMIFS(N305:N$9844,$F305:$F$9844,"*"&amp;F304&amp;"*",$H305:$H$9844,"&lt;&gt;"))</f>
        <v>0</v>
      </c>
      <c r="O304" s="162" t="str">
        <f>IFERROR((-Tabela2[[#This Row],[CUSTO TOTAL]]+Tabela2[[#This Row],[VENDA TOTAL]])/Tabela2[[#This Row],[VENDA TOTAL]]-PARAMETROS!$C$19,"")</f>
        <v/>
      </c>
      <c r="AA304" s="219">
        <f>SUM(Plan_Orc[[#This Row],[01/jan]:[01/dez]])</f>
        <v>0</v>
      </c>
      <c r="AB304" s="114"/>
      <c r="AC304" s="114"/>
      <c r="AD304" s="114"/>
      <c r="AE304" s="114"/>
      <c r="AF304" s="114"/>
      <c r="AG304" s="114"/>
      <c r="AH304" s="114"/>
      <c r="AI304" s="114"/>
      <c r="AJ304" s="114"/>
      <c r="AK304" s="114"/>
      <c r="AL304" s="114"/>
      <c r="AM304" s="114"/>
    </row>
    <row r="305" spans="2:39" ht="25.2" customHeight="1" x14ac:dyDescent="0.3">
      <c r="B305" s="13" t="str">
        <f t="shared" si="8"/>
        <v/>
      </c>
      <c r="C305" s="18"/>
      <c r="D305" s="19" t="str">
        <f>IF(Tabela2[[#This Row],[AGRUPADOR]]&lt;&gt;"",VLOOKUP(Tabela2[[#This Row],[AGRUPADOR]],Tabela1[],2,0),"")</f>
        <v/>
      </c>
      <c r="E305" s="19" t="str">
        <f>IF(Tabela2[[#This Row],[AGRUPADOR]]&lt;&gt;"",VLOOKUP(Tabela2[[#This Row],[AGRUPADOR]],Tabela1[],4,0),"")</f>
        <v/>
      </c>
      <c r="F305" s="14"/>
      <c r="G305" s="6"/>
      <c r="H305" s="6"/>
      <c r="I305" s="25"/>
      <c r="J305" s="7"/>
      <c r="K305" s="15"/>
      <c r="L305" s="379">
        <f>IF(H305&lt;&gt;"",J305*K305,SUMIFS(L306:L$9844,$F306:$F$9844,"*"&amp;F305&amp;"*",$H306:$H$9844,"&lt;&gt;"))</f>
        <v>0</v>
      </c>
      <c r="M305" s="379" t="str">
        <f>IF(Tabela2[[#This Row],[UNID.]]&lt;&gt;"",IFERROR(VLOOKUP(Tabela2[[#This Row],[AGRUPADOR]],Lucratividade!$D$4:$O$129,6,0),0),"")</f>
        <v/>
      </c>
      <c r="N305" s="379">
        <f>IF(H305&lt;&gt;"",J305*M305*I305,SUMIFS(N306:N$9844,$F306:$F$9844,"*"&amp;F305&amp;"*",$H306:$H$9844,"&lt;&gt;"))</f>
        <v>0</v>
      </c>
      <c r="O305" s="162" t="str">
        <f>IFERROR((-Tabela2[[#This Row],[CUSTO TOTAL]]+Tabela2[[#This Row],[VENDA TOTAL]])/Tabela2[[#This Row],[VENDA TOTAL]]-PARAMETROS!$C$19,"")</f>
        <v/>
      </c>
      <c r="AA305" s="219">
        <f>SUM(Plan_Orc[[#This Row],[01/jan]:[01/dez]])</f>
        <v>0</v>
      </c>
      <c r="AB305" s="114"/>
      <c r="AC305" s="114"/>
      <c r="AD305" s="114"/>
      <c r="AE305" s="114"/>
      <c r="AF305" s="114"/>
      <c r="AG305" s="114"/>
      <c r="AH305" s="114"/>
      <c r="AI305" s="114"/>
      <c r="AJ305" s="114"/>
      <c r="AK305" s="114"/>
      <c r="AL305" s="114"/>
      <c r="AM305" s="114"/>
    </row>
    <row r="306" spans="2:39" ht="25.2" customHeight="1" x14ac:dyDescent="0.3">
      <c r="B306" s="13" t="str">
        <f t="shared" si="8"/>
        <v/>
      </c>
      <c r="C306" s="18"/>
      <c r="D306" s="19" t="str">
        <f>IF(Tabela2[[#This Row],[AGRUPADOR]]&lt;&gt;"",VLOOKUP(Tabela2[[#This Row],[AGRUPADOR]],Tabela1[],2,0),"")</f>
        <v/>
      </c>
      <c r="E306" s="19" t="str">
        <f>IF(Tabela2[[#This Row],[AGRUPADOR]]&lt;&gt;"",VLOOKUP(Tabela2[[#This Row],[AGRUPADOR]],Tabela1[],4,0),"")</f>
        <v/>
      </c>
      <c r="F306" s="14"/>
      <c r="G306" s="6"/>
      <c r="H306" s="6"/>
      <c r="I306" s="25"/>
      <c r="J306" s="7"/>
      <c r="K306" s="15"/>
      <c r="L306" s="379">
        <f>IF(H306&lt;&gt;"",J306*K306,SUMIFS(L307:L$9844,$F307:$F$9844,"*"&amp;F306&amp;"*",$H307:$H$9844,"&lt;&gt;"))</f>
        <v>0</v>
      </c>
      <c r="M306" s="379" t="str">
        <f>IF(Tabela2[[#This Row],[UNID.]]&lt;&gt;"",IFERROR(VLOOKUP(Tabela2[[#This Row],[AGRUPADOR]],Lucratividade!$D$4:$O$129,6,0),0),"")</f>
        <v/>
      </c>
      <c r="N306" s="379">
        <f>IF(H306&lt;&gt;"",J306*M306*I306,SUMIFS(N307:N$9844,$F307:$F$9844,"*"&amp;F306&amp;"*",$H307:$H$9844,"&lt;&gt;"))</f>
        <v>0</v>
      </c>
      <c r="O306" s="162" t="str">
        <f>IFERROR((-Tabela2[[#This Row],[CUSTO TOTAL]]+Tabela2[[#This Row],[VENDA TOTAL]])/Tabela2[[#This Row],[VENDA TOTAL]]-PARAMETROS!$C$19,"")</f>
        <v/>
      </c>
      <c r="AA306" s="219">
        <f>SUM(Plan_Orc[[#This Row],[01/jan]:[01/dez]])</f>
        <v>0</v>
      </c>
      <c r="AB306" s="114"/>
      <c r="AC306" s="114"/>
      <c r="AD306" s="114"/>
      <c r="AE306" s="114"/>
      <c r="AF306" s="114"/>
      <c r="AG306" s="114"/>
      <c r="AH306" s="114"/>
      <c r="AI306" s="114"/>
      <c r="AJ306" s="114"/>
      <c r="AK306" s="114"/>
      <c r="AL306" s="114"/>
      <c r="AM306" s="114"/>
    </row>
    <row r="307" spans="2:39" ht="25.2" customHeight="1" x14ac:dyDescent="0.3">
      <c r="B307" s="13" t="str">
        <f t="shared" si="8"/>
        <v/>
      </c>
      <c r="C307" s="18"/>
      <c r="D307" s="19" t="str">
        <f>IF(Tabela2[[#This Row],[AGRUPADOR]]&lt;&gt;"",VLOOKUP(Tabela2[[#This Row],[AGRUPADOR]],Tabela1[],2,0),"")</f>
        <v/>
      </c>
      <c r="E307" s="19" t="str">
        <f>IF(Tabela2[[#This Row],[AGRUPADOR]]&lt;&gt;"",VLOOKUP(Tabela2[[#This Row],[AGRUPADOR]],Tabela1[],4,0),"")</f>
        <v/>
      </c>
      <c r="F307" s="14"/>
      <c r="G307" s="6"/>
      <c r="H307" s="6"/>
      <c r="I307" s="25"/>
      <c r="J307" s="7"/>
      <c r="K307" s="15"/>
      <c r="L307" s="379">
        <f>IF(H307&lt;&gt;"",J307*K307,SUMIFS(L308:L$9844,$F308:$F$9844,"*"&amp;F307&amp;"*",$H308:$H$9844,"&lt;&gt;"))</f>
        <v>0</v>
      </c>
      <c r="M307" s="379" t="str">
        <f>IF(Tabela2[[#This Row],[UNID.]]&lt;&gt;"",IFERROR(VLOOKUP(Tabela2[[#This Row],[AGRUPADOR]],Lucratividade!$D$4:$O$129,6,0),0),"")</f>
        <v/>
      </c>
      <c r="N307" s="379">
        <f>IF(H307&lt;&gt;"",J307*M307*I307,SUMIFS(N308:N$9844,$F308:$F$9844,"*"&amp;F307&amp;"*",$H308:$H$9844,"&lt;&gt;"))</f>
        <v>0</v>
      </c>
      <c r="O307" s="162" t="str">
        <f>IFERROR((-Tabela2[[#This Row],[CUSTO TOTAL]]+Tabela2[[#This Row],[VENDA TOTAL]])/Tabela2[[#This Row],[VENDA TOTAL]]-PARAMETROS!$C$19,"")</f>
        <v/>
      </c>
      <c r="AA307" s="219">
        <f>SUM(Plan_Orc[[#This Row],[01/jan]:[01/dez]])</f>
        <v>0</v>
      </c>
      <c r="AB307" s="114"/>
      <c r="AC307" s="114"/>
      <c r="AD307" s="114"/>
      <c r="AE307" s="114"/>
      <c r="AF307" s="114"/>
      <c r="AG307" s="114"/>
      <c r="AH307" s="114"/>
      <c r="AI307" s="114"/>
      <c r="AJ307" s="114"/>
      <c r="AK307" s="114"/>
      <c r="AL307" s="114"/>
      <c r="AM307" s="114"/>
    </row>
    <row r="308" spans="2:39" ht="25.2" customHeight="1" x14ac:dyDescent="0.3">
      <c r="B308" s="13" t="str">
        <f t="shared" si="8"/>
        <v/>
      </c>
      <c r="C308" s="18"/>
      <c r="D308" s="19" t="str">
        <f>IF(Tabela2[[#This Row],[AGRUPADOR]]&lt;&gt;"",VLOOKUP(Tabela2[[#This Row],[AGRUPADOR]],Tabela1[],2,0),"")</f>
        <v/>
      </c>
      <c r="E308" s="19" t="str">
        <f>IF(Tabela2[[#This Row],[AGRUPADOR]]&lt;&gt;"",VLOOKUP(Tabela2[[#This Row],[AGRUPADOR]],Tabela1[],4,0),"")</f>
        <v/>
      </c>
      <c r="F308" s="14"/>
      <c r="G308" s="6"/>
      <c r="H308" s="6"/>
      <c r="I308" s="25"/>
      <c r="J308" s="7"/>
      <c r="K308" s="15"/>
      <c r="L308" s="379">
        <f>IF(H308&lt;&gt;"",J308*K308,SUMIFS(L309:L$9844,$F309:$F$9844,"*"&amp;F308&amp;"*",$H309:$H$9844,"&lt;&gt;"))</f>
        <v>0</v>
      </c>
      <c r="M308" s="379" t="str">
        <f>IF(Tabela2[[#This Row],[UNID.]]&lt;&gt;"",IFERROR(VLOOKUP(Tabela2[[#This Row],[AGRUPADOR]],Lucratividade!$D$4:$O$129,6,0),0),"")</f>
        <v/>
      </c>
      <c r="N308" s="379">
        <f>IF(H308&lt;&gt;"",J308*M308*I308,SUMIFS(N309:N$9844,$F309:$F$9844,"*"&amp;F308&amp;"*",$H309:$H$9844,"&lt;&gt;"))</f>
        <v>0</v>
      </c>
      <c r="O308" s="162" t="str">
        <f>IFERROR((-Tabela2[[#This Row],[CUSTO TOTAL]]+Tabela2[[#This Row],[VENDA TOTAL]])/Tabela2[[#This Row],[VENDA TOTAL]]-PARAMETROS!$C$19,"")</f>
        <v/>
      </c>
      <c r="AA308" s="219">
        <f>SUM(Plan_Orc[[#This Row],[01/jan]:[01/dez]])</f>
        <v>0</v>
      </c>
      <c r="AB308" s="114"/>
      <c r="AC308" s="114"/>
      <c r="AD308" s="114"/>
      <c r="AE308" s="114"/>
      <c r="AF308" s="114"/>
      <c r="AG308" s="114"/>
      <c r="AH308" s="114"/>
      <c r="AI308" s="114"/>
      <c r="AJ308" s="114"/>
      <c r="AK308" s="114"/>
      <c r="AL308" s="114"/>
      <c r="AM308" s="114"/>
    </row>
    <row r="309" spans="2:39" ht="25.2" customHeight="1" x14ac:dyDescent="0.3">
      <c r="B309" s="13" t="str">
        <f t="shared" si="8"/>
        <v/>
      </c>
      <c r="C309" s="18"/>
      <c r="D309" s="19" t="str">
        <f>IF(Tabela2[[#This Row],[AGRUPADOR]]&lt;&gt;"",VLOOKUP(Tabela2[[#This Row],[AGRUPADOR]],Tabela1[],2,0),"")</f>
        <v/>
      </c>
      <c r="E309" s="19" t="str">
        <f>IF(Tabela2[[#This Row],[AGRUPADOR]]&lt;&gt;"",VLOOKUP(Tabela2[[#This Row],[AGRUPADOR]],Tabela1[],4,0),"")</f>
        <v/>
      </c>
      <c r="F309" s="14"/>
      <c r="G309" s="6"/>
      <c r="H309" s="6"/>
      <c r="I309" s="25"/>
      <c r="J309" s="7"/>
      <c r="K309" s="15"/>
      <c r="L309" s="379">
        <f>IF(H309&lt;&gt;"",J309*K309,SUMIFS(L310:L$9844,$F310:$F$9844,"*"&amp;F309&amp;"*",$H310:$H$9844,"&lt;&gt;"))</f>
        <v>0</v>
      </c>
      <c r="M309" s="379" t="str">
        <f>IF(Tabela2[[#This Row],[UNID.]]&lt;&gt;"",IFERROR(VLOOKUP(Tabela2[[#This Row],[AGRUPADOR]],Lucratividade!$D$4:$O$129,6,0),0),"")</f>
        <v/>
      </c>
      <c r="N309" s="379">
        <f>IF(H309&lt;&gt;"",J309*M309*I309,SUMIFS(N310:N$9844,$F310:$F$9844,"*"&amp;F309&amp;"*",$H310:$H$9844,"&lt;&gt;"))</f>
        <v>0</v>
      </c>
      <c r="O309" s="162" t="str">
        <f>IFERROR((-Tabela2[[#This Row],[CUSTO TOTAL]]+Tabela2[[#This Row],[VENDA TOTAL]])/Tabela2[[#This Row],[VENDA TOTAL]]-PARAMETROS!$C$19,"")</f>
        <v/>
      </c>
      <c r="AA309" s="219">
        <f>SUM(Plan_Orc[[#This Row],[01/jan]:[01/dez]])</f>
        <v>0</v>
      </c>
      <c r="AB309" s="114"/>
      <c r="AC309" s="114"/>
      <c r="AD309" s="114"/>
      <c r="AE309" s="114"/>
      <c r="AF309" s="114"/>
      <c r="AG309" s="114"/>
      <c r="AH309" s="114"/>
      <c r="AI309" s="114"/>
      <c r="AJ309" s="114"/>
      <c r="AK309" s="114"/>
      <c r="AL309" s="114"/>
      <c r="AM309" s="114"/>
    </row>
    <row r="310" spans="2:39" ht="25.2" customHeight="1" x14ac:dyDescent="0.3">
      <c r="B310" s="13" t="str">
        <f t="shared" si="8"/>
        <v/>
      </c>
      <c r="C310" s="18"/>
      <c r="D310" s="19" t="str">
        <f>IF(Tabela2[[#This Row],[AGRUPADOR]]&lt;&gt;"",VLOOKUP(Tabela2[[#This Row],[AGRUPADOR]],Tabela1[],2,0),"")</f>
        <v/>
      </c>
      <c r="E310" s="19" t="str">
        <f>IF(Tabela2[[#This Row],[AGRUPADOR]]&lt;&gt;"",VLOOKUP(Tabela2[[#This Row],[AGRUPADOR]],Tabela1[],4,0),"")</f>
        <v/>
      </c>
      <c r="F310" s="14"/>
      <c r="G310" s="6"/>
      <c r="H310" s="6"/>
      <c r="I310" s="25"/>
      <c r="J310" s="7"/>
      <c r="K310" s="15"/>
      <c r="L310" s="379">
        <f>IF(H310&lt;&gt;"",J310*K310,SUMIFS(L311:L$9844,$F311:$F$9844,"*"&amp;F310&amp;"*",$H311:$H$9844,"&lt;&gt;"))</f>
        <v>0</v>
      </c>
      <c r="M310" s="379" t="str">
        <f>IF(Tabela2[[#This Row],[UNID.]]&lt;&gt;"",IFERROR(VLOOKUP(Tabela2[[#This Row],[AGRUPADOR]],Lucratividade!$D$4:$O$129,6,0),0),"")</f>
        <v/>
      </c>
      <c r="N310" s="379">
        <f>IF(H310&lt;&gt;"",J310*M310*I310,SUMIFS(N311:N$9844,$F311:$F$9844,"*"&amp;F310&amp;"*",$H311:$H$9844,"&lt;&gt;"))</f>
        <v>0</v>
      </c>
      <c r="O310" s="162" t="str">
        <f>IFERROR((-Tabela2[[#This Row],[CUSTO TOTAL]]+Tabela2[[#This Row],[VENDA TOTAL]])/Tabela2[[#This Row],[VENDA TOTAL]]-PARAMETROS!$C$19,"")</f>
        <v/>
      </c>
      <c r="AA310" s="219">
        <f>SUM(Plan_Orc[[#This Row],[01/jan]:[01/dez]])</f>
        <v>0</v>
      </c>
      <c r="AB310" s="114"/>
      <c r="AC310" s="114"/>
      <c r="AD310" s="114"/>
      <c r="AE310" s="114"/>
      <c r="AF310" s="114"/>
      <c r="AG310" s="114"/>
      <c r="AH310" s="114"/>
      <c r="AI310" s="114"/>
      <c r="AJ310" s="114"/>
      <c r="AK310" s="114"/>
      <c r="AL310" s="114"/>
      <c r="AM310" s="114"/>
    </row>
    <row r="311" spans="2:39" ht="25.2" customHeight="1" x14ac:dyDescent="0.3">
      <c r="B311" s="13" t="str">
        <f t="shared" si="8"/>
        <v/>
      </c>
      <c r="C311" s="18"/>
      <c r="D311" s="19" t="str">
        <f>IF(Tabela2[[#This Row],[AGRUPADOR]]&lt;&gt;"",VLOOKUP(Tabela2[[#This Row],[AGRUPADOR]],Tabela1[],2,0),"")</f>
        <v/>
      </c>
      <c r="E311" s="19" t="str">
        <f>IF(Tabela2[[#This Row],[AGRUPADOR]]&lt;&gt;"",VLOOKUP(Tabela2[[#This Row],[AGRUPADOR]],Tabela1[],4,0),"")</f>
        <v/>
      </c>
      <c r="F311" s="14"/>
      <c r="G311" s="6"/>
      <c r="H311" s="6"/>
      <c r="I311" s="25"/>
      <c r="J311" s="7"/>
      <c r="K311" s="15"/>
      <c r="L311" s="379">
        <f>IF(H311&lt;&gt;"",J311*K311,SUMIFS(L312:L$9844,$F312:$F$9844,"*"&amp;F311&amp;"*",$H312:$H$9844,"&lt;&gt;"))</f>
        <v>0</v>
      </c>
      <c r="M311" s="379" t="str">
        <f>IF(Tabela2[[#This Row],[UNID.]]&lt;&gt;"",IFERROR(VLOOKUP(Tabela2[[#This Row],[AGRUPADOR]],Lucratividade!$D$4:$O$129,6,0),0),"")</f>
        <v/>
      </c>
      <c r="N311" s="379">
        <f>IF(H311&lt;&gt;"",J311*M311*I311,SUMIFS(N312:N$9844,$F312:$F$9844,"*"&amp;F311&amp;"*",$H312:$H$9844,"&lt;&gt;"))</f>
        <v>0</v>
      </c>
      <c r="O311" s="162" t="str">
        <f>IFERROR((-Tabela2[[#This Row],[CUSTO TOTAL]]+Tabela2[[#This Row],[VENDA TOTAL]])/Tabela2[[#This Row],[VENDA TOTAL]]-PARAMETROS!$C$19,"")</f>
        <v/>
      </c>
      <c r="AA311" s="219">
        <f>SUM(Plan_Orc[[#This Row],[01/jan]:[01/dez]])</f>
        <v>0</v>
      </c>
      <c r="AB311" s="114"/>
      <c r="AC311" s="114"/>
      <c r="AD311" s="114"/>
      <c r="AE311" s="114"/>
      <c r="AF311" s="114"/>
      <c r="AG311" s="114"/>
      <c r="AH311" s="114"/>
      <c r="AI311" s="114"/>
      <c r="AJ311" s="114"/>
      <c r="AK311" s="114"/>
      <c r="AL311" s="114"/>
      <c r="AM311" s="114"/>
    </row>
    <row r="312" spans="2:39" ht="25.2" customHeight="1" x14ac:dyDescent="0.3">
      <c r="B312" s="13" t="str">
        <f t="shared" si="8"/>
        <v/>
      </c>
      <c r="C312" s="18"/>
      <c r="D312" s="19" t="str">
        <f>IF(Tabela2[[#This Row],[AGRUPADOR]]&lt;&gt;"",VLOOKUP(Tabela2[[#This Row],[AGRUPADOR]],Tabela1[],2,0),"")</f>
        <v/>
      </c>
      <c r="E312" s="19" t="str">
        <f>IF(Tabela2[[#This Row],[AGRUPADOR]]&lt;&gt;"",VLOOKUP(Tabela2[[#This Row],[AGRUPADOR]],Tabela1[],4,0),"")</f>
        <v/>
      </c>
      <c r="F312" s="14"/>
      <c r="G312" s="6"/>
      <c r="H312" s="6"/>
      <c r="I312" s="25"/>
      <c r="J312" s="7"/>
      <c r="K312" s="15"/>
      <c r="L312" s="379">
        <f>IF(H312&lt;&gt;"",J312*K312,SUMIFS(L313:L$9844,$F313:$F$9844,"*"&amp;F312&amp;"*",$H313:$H$9844,"&lt;&gt;"))</f>
        <v>0</v>
      </c>
      <c r="M312" s="379" t="str">
        <f>IF(Tabela2[[#This Row],[UNID.]]&lt;&gt;"",IFERROR(VLOOKUP(Tabela2[[#This Row],[AGRUPADOR]],Lucratividade!$D$4:$O$129,6,0),0),"")</f>
        <v/>
      </c>
      <c r="N312" s="379">
        <f>IF(H312&lt;&gt;"",J312*M312*I312,SUMIFS(N313:N$9844,$F313:$F$9844,"*"&amp;F312&amp;"*",$H313:$H$9844,"&lt;&gt;"))</f>
        <v>0</v>
      </c>
      <c r="O312" s="162" t="str">
        <f>IFERROR((-Tabela2[[#This Row],[CUSTO TOTAL]]+Tabela2[[#This Row],[VENDA TOTAL]])/Tabela2[[#This Row],[VENDA TOTAL]]-PARAMETROS!$C$19,"")</f>
        <v/>
      </c>
      <c r="AA312" s="219">
        <f>SUM(Plan_Orc[[#This Row],[01/jan]:[01/dez]])</f>
        <v>0</v>
      </c>
      <c r="AB312" s="114"/>
      <c r="AC312" s="114"/>
      <c r="AD312" s="114"/>
      <c r="AE312" s="114"/>
      <c r="AF312" s="114"/>
      <c r="AG312" s="114"/>
      <c r="AH312" s="114"/>
      <c r="AI312" s="114"/>
      <c r="AJ312" s="114"/>
      <c r="AK312" s="114"/>
      <c r="AL312" s="114"/>
      <c r="AM312" s="114"/>
    </row>
    <row r="313" spans="2:39" ht="25.2" customHeight="1" x14ac:dyDescent="0.3">
      <c r="B313" s="13" t="str">
        <f t="shared" si="8"/>
        <v/>
      </c>
      <c r="C313" s="18"/>
      <c r="D313" s="19" t="str">
        <f>IF(Tabela2[[#This Row],[AGRUPADOR]]&lt;&gt;"",VLOOKUP(Tabela2[[#This Row],[AGRUPADOR]],Tabela1[],2,0),"")</f>
        <v/>
      </c>
      <c r="E313" s="19" t="str">
        <f>IF(Tabela2[[#This Row],[AGRUPADOR]]&lt;&gt;"",VLOOKUP(Tabela2[[#This Row],[AGRUPADOR]],Tabela1[],4,0),"")</f>
        <v/>
      </c>
      <c r="F313" s="14"/>
      <c r="G313" s="6"/>
      <c r="H313" s="6"/>
      <c r="I313" s="25"/>
      <c r="J313" s="7"/>
      <c r="K313" s="15"/>
      <c r="L313" s="379">
        <f>IF(H313&lt;&gt;"",J313*K313,SUMIFS(L314:L$9844,$F314:$F$9844,"*"&amp;F313&amp;"*",$H314:$H$9844,"&lt;&gt;"))</f>
        <v>0</v>
      </c>
      <c r="M313" s="379" t="str">
        <f>IF(Tabela2[[#This Row],[UNID.]]&lt;&gt;"",IFERROR(VLOOKUP(Tabela2[[#This Row],[AGRUPADOR]],Lucratividade!$D$4:$O$129,6,0),0),"")</f>
        <v/>
      </c>
      <c r="N313" s="379">
        <f>IF(H313&lt;&gt;"",J313*M313*I313,SUMIFS(N314:N$9844,$F314:$F$9844,"*"&amp;F313&amp;"*",$H314:$H$9844,"&lt;&gt;"))</f>
        <v>0</v>
      </c>
      <c r="O313" s="162" t="str">
        <f>IFERROR((-Tabela2[[#This Row],[CUSTO TOTAL]]+Tabela2[[#This Row],[VENDA TOTAL]])/Tabela2[[#This Row],[VENDA TOTAL]]-PARAMETROS!$C$19,"")</f>
        <v/>
      </c>
      <c r="AA313" s="219">
        <f>SUM(Plan_Orc[[#This Row],[01/jan]:[01/dez]])</f>
        <v>0</v>
      </c>
      <c r="AB313" s="114"/>
      <c r="AC313" s="114"/>
      <c r="AD313" s="114"/>
      <c r="AE313" s="114"/>
      <c r="AF313" s="114"/>
      <c r="AG313" s="114"/>
      <c r="AH313" s="114"/>
      <c r="AI313" s="114"/>
      <c r="AJ313" s="114"/>
      <c r="AK313" s="114"/>
      <c r="AL313" s="114"/>
      <c r="AM313" s="114"/>
    </row>
    <row r="314" spans="2:39" ht="25.2" customHeight="1" x14ac:dyDescent="0.3">
      <c r="B314" s="13" t="str">
        <f t="shared" si="8"/>
        <v/>
      </c>
      <c r="C314" s="18"/>
      <c r="D314" s="19" t="str">
        <f>IF(Tabela2[[#This Row],[AGRUPADOR]]&lt;&gt;"",VLOOKUP(Tabela2[[#This Row],[AGRUPADOR]],Tabela1[],2,0),"")</f>
        <v/>
      </c>
      <c r="E314" s="19" t="str">
        <f>IF(Tabela2[[#This Row],[AGRUPADOR]]&lt;&gt;"",VLOOKUP(Tabela2[[#This Row],[AGRUPADOR]],Tabela1[],4,0),"")</f>
        <v/>
      </c>
      <c r="F314" s="14"/>
      <c r="G314" s="6"/>
      <c r="H314" s="6"/>
      <c r="I314" s="25"/>
      <c r="J314" s="7"/>
      <c r="K314" s="15"/>
      <c r="L314" s="379">
        <f>IF(H314&lt;&gt;"",J314*K314,SUMIFS(L315:L$9844,$F315:$F$9844,"*"&amp;F314&amp;"*",$H315:$H$9844,"&lt;&gt;"))</f>
        <v>0</v>
      </c>
      <c r="M314" s="379" t="str">
        <f>IF(Tabela2[[#This Row],[UNID.]]&lt;&gt;"",IFERROR(VLOOKUP(Tabela2[[#This Row],[AGRUPADOR]],Lucratividade!$D$4:$O$129,6,0),0),"")</f>
        <v/>
      </c>
      <c r="N314" s="379">
        <f>IF(H314&lt;&gt;"",J314*M314*I314,SUMIFS(N315:N$9844,$F315:$F$9844,"*"&amp;F314&amp;"*",$H315:$H$9844,"&lt;&gt;"))</f>
        <v>0</v>
      </c>
      <c r="O314" s="162" t="str">
        <f>IFERROR((-Tabela2[[#This Row],[CUSTO TOTAL]]+Tabela2[[#This Row],[VENDA TOTAL]])/Tabela2[[#This Row],[VENDA TOTAL]]-PARAMETROS!$C$19,"")</f>
        <v/>
      </c>
      <c r="AA314" s="219">
        <f>SUM(Plan_Orc[[#This Row],[01/jan]:[01/dez]])</f>
        <v>0</v>
      </c>
      <c r="AB314" s="114"/>
      <c r="AC314" s="114"/>
      <c r="AD314" s="114"/>
      <c r="AE314" s="114"/>
      <c r="AF314" s="114"/>
      <c r="AG314" s="114"/>
      <c r="AH314" s="114"/>
      <c r="AI314" s="114"/>
      <c r="AJ314" s="114"/>
      <c r="AK314" s="114"/>
      <c r="AL314" s="114"/>
      <c r="AM314" s="114"/>
    </row>
    <row r="315" spans="2:39" ht="25.2" customHeight="1" x14ac:dyDescent="0.3">
      <c r="B315" s="13" t="str">
        <f t="shared" si="8"/>
        <v/>
      </c>
      <c r="C315" s="18"/>
      <c r="D315" s="19" t="str">
        <f>IF(Tabela2[[#This Row],[AGRUPADOR]]&lt;&gt;"",VLOOKUP(Tabela2[[#This Row],[AGRUPADOR]],Tabela1[],2,0),"")</f>
        <v/>
      </c>
      <c r="E315" s="19" t="str">
        <f>IF(Tabela2[[#This Row],[AGRUPADOR]]&lt;&gt;"",VLOOKUP(Tabela2[[#This Row],[AGRUPADOR]],Tabela1[],4,0),"")</f>
        <v/>
      </c>
      <c r="F315" s="14"/>
      <c r="G315" s="6"/>
      <c r="H315" s="6"/>
      <c r="I315" s="25"/>
      <c r="J315" s="7"/>
      <c r="K315" s="15"/>
      <c r="L315" s="379">
        <f>IF(H315&lt;&gt;"",J315*K315,SUMIFS(L316:L$9844,$F316:$F$9844,"*"&amp;F315&amp;"*",$H316:$H$9844,"&lt;&gt;"))</f>
        <v>0</v>
      </c>
      <c r="M315" s="379" t="str">
        <f>IF(Tabela2[[#This Row],[UNID.]]&lt;&gt;"",IFERROR(VLOOKUP(Tabela2[[#This Row],[AGRUPADOR]],Lucratividade!$D$4:$O$129,6,0),0),"")</f>
        <v/>
      </c>
      <c r="N315" s="379">
        <f>IF(H315&lt;&gt;"",J315*M315*I315,SUMIFS(N316:N$9844,$F316:$F$9844,"*"&amp;F315&amp;"*",$H316:$H$9844,"&lt;&gt;"))</f>
        <v>0</v>
      </c>
      <c r="O315" s="162" t="str">
        <f>IFERROR((-Tabela2[[#This Row],[CUSTO TOTAL]]+Tabela2[[#This Row],[VENDA TOTAL]])/Tabela2[[#This Row],[VENDA TOTAL]]-PARAMETROS!$C$19,"")</f>
        <v/>
      </c>
      <c r="AA315" s="219">
        <f>SUM(Plan_Orc[[#This Row],[01/jan]:[01/dez]])</f>
        <v>0</v>
      </c>
      <c r="AB315" s="114"/>
      <c r="AC315" s="114"/>
      <c r="AD315" s="114"/>
      <c r="AE315" s="114"/>
      <c r="AF315" s="114"/>
      <c r="AG315" s="114"/>
      <c r="AH315" s="114"/>
      <c r="AI315" s="114"/>
      <c r="AJ315" s="114"/>
      <c r="AK315" s="114"/>
      <c r="AL315" s="114"/>
      <c r="AM315" s="114"/>
    </row>
    <row r="316" spans="2:39" ht="25.2" customHeight="1" x14ac:dyDescent="0.3">
      <c r="B316" s="13" t="str">
        <f t="shared" si="8"/>
        <v/>
      </c>
      <c r="C316" s="18"/>
      <c r="D316" s="19" t="str">
        <f>IF(Tabela2[[#This Row],[AGRUPADOR]]&lt;&gt;"",VLOOKUP(Tabela2[[#This Row],[AGRUPADOR]],Tabela1[],2,0),"")</f>
        <v/>
      </c>
      <c r="E316" s="19" t="str">
        <f>IF(Tabela2[[#This Row],[AGRUPADOR]]&lt;&gt;"",VLOOKUP(Tabela2[[#This Row],[AGRUPADOR]],Tabela1[],4,0),"")</f>
        <v/>
      </c>
      <c r="F316" s="14"/>
      <c r="G316" s="6"/>
      <c r="H316" s="6"/>
      <c r="I316" s="25"/>
      <c r="J316" s="7"/>
      <c r="K316" s="15"/>
      <c r="L316" s="379">
        <f>IF(H316&lt;&gt;"",J316*K316,SUMIFS(L317:L$9844,$F317:$F$9844,"*"&amp;F316&amp;"*",$H317:$H$9844,"&lt;&gt;"))</f>
        <v>0</v>
      </c>
      <c r="M316" s="379" t="str">
        <f>IF(Tabela2[[#This Row],[UNID.]]&lt;&gt;"",IFERROR(VLOOKUP(Tabela2[[#This Row],[AGRUPADOR]],Lucratividade!$D$4:$O$129,6,0),0),"")</f>
        <v/>
      </c>
      <c r="N316" s="379">
        <f>IF(H316&lt;&gt;"",J316*M316*I316,SUMIFS(N317:N$9844,$F317:$F$9844,"*"&amp;F316&amp;"*",$H317:$H$9844,"&lt;&gt;"))</f>
        <v>0</v>
      </c>
      <c r="O316" s="162" t="str">
        <f>IFERROR((-Tabela2[[#This Row],[CUSTO TOTAL]]+Tabela2[[#This Row],[VENDA TOTAL]])/Tabela2[[#This Row],[VENDA TOTAL]]-PARAMETROS!$C$19,"")</f>
        <v/>
      </c>
      <c r="AA316" s="219">
        <f>SUM(Plan_Orc[[#This Row],[01/jan]:[01/dez]])</f>
        <v>0</v>
      </c>
      <c r="AB316" s="114"/>
      <c r="AC316" s="114"/>
      <c r="AD316" s="114"/>
      <c r="AE316" s="114"/>
      <c r="AF316" s="114"/>
      <c r="AG316" s="114"/>
      <c r="AH316" s="114"/>
      <c r="AI316" s="114"/>
      <c r="AJ316" s="114"/>
      <c r="AK316" s="114"/>
      <c r="AL316" s="114"/>
      <c r="AM316" s="114"/>
    </row>
    <row r="317" spans="2:39" ht="25.2" customHeight="1" x14ac:dyDescent="0.3">
      <c r="B317" s="13" t="str">
        <f t="shared" si="8"/>
        <v/>
      </c>
      <c r="C317" s="18"/>
      <c r="D317" s="19" t="str">
        <f>IF(Tabela2[[#This Row],[AGRUPADOR]]&lt;&gt;"",VLOOKUP(Tabela2[[#This Row],[AGRUPADOR]],Tabela1[],2,0),"")</f>
        <v/>
      </c>
      <c r="E317" s="19" t="str">
        <f>IF(Tabela2[[#This Row],[AGRUPADOR]]&lt;&gt;"",VLOOKUP(Tabela2[[#This Row],[AGRUPADOR]],Tabela1[],4,0),"")</f>
        <v/>
      </c>
      <c r="F317" s="14"/>
      <c r="G317" s="6"/>
      <c r="H317" s="6"/>
      <c r="I317" s="25"/>
      <c r="J317" s="7"/>
      <c r="K317" s="15"/>
      <c r="L317" s="379">
        <f>IF(H317&lt;&gt;"",J317*K317,SUMIFS(L318:L$9844,$F318:$F$9844,"*"&amp;F317&amp;"*",$H318:$H$9844,"&lt;&gt;"))</f>
        <v>0</v>
      </c>
      <c r="M317" s="379" t="str">
        <f>IF(Tabela2[[#This Row],[UNID.]]&lt;&gt;"",IFERROR(VLOOKUP(Tabela2[[#This Row],[AGRUPADOR]],Lucratividade!$D$4:$O$129,6,0),0),"")</f>
        <v/>
      </c>
      <c r="N317" s="379">
        <f>IF(H317&lt;&gt;"",J317*M317*I317,SUMIFS(N318:N$9844,$F318:$F$9844,"*"&amp;F317&amp;"*",$H318:$H$9844,"&lt;&gt;"))</f>
        <v>0</v>
      </c>
      <c r="O317" s="162" t="str">
        <f>IFERROR((-Tabela2[[#This Row],[CUSTO TOTAL]]+Tabela2[[#This Row],[VENDA TOTAL]])/Tabela2[[#This Row],[VENDA TOTAL]]-PARAMETROS!$C$19,"")</f>
        <v/>
      </c>
      <c r="AA317" s="219">
        <f>SUM(Plan_Orc[[#This Row],[01/jan]:[01/dez]])</f>
        <v>0</v>
      </c>
      <c r="AB317" s="114"/>
      <c r="AC317" s="114"/>
      <c r="AD317" s="114"/>
      <c r="AE317" s="114"/>
      <c r="AF317" s="114"/>
      <c r="AG317" s="114"/>
      <c r="AH317" s="114"/>
      <c r="AI317" s="114"/>
      <c r="AJ317" s="114"/>
      <c r="AK317" s="114"/>
      <c r="AL317" s="114"/>
      <c r="AM317" s="114"/>
    </row>
    <row r="318" spans="2:39" ht="25.2" customHeight="1" x14ac:dyDescent="0.3">
      <c r="B318" s="13" t="str">
        <f t="shared" si="8"/>
        <v/>
      </c>
      <c r="C318" s="18"/>
      <c r="D318" s="19" t="str">
        <f>IF(Tabela2[[#This Row],[AGRUPADOR]]&lt;&gt;"",VLOOKUP(Tabela2[[#This Row],[AGRUPADOR]],Tabela1[],2,0),"")</f>
        <v/>
      </c>
      <c r="E318" s="19" t="str">
        <f>IF(Tabela2[[#This Row],[AGRUPADOR]]&lt;&gt;"",VLOOKUP(Tabela2[[#This Row],[AGRUPADOR]],Tabela1[],4,0),"")</f>
        <v/>
      </c>
      <c r="F318" s="14"/>
      <c r="G318" s="6"/>
      <c r="H318" s="6"/>
      <c r="I318" s="25"/>
      <c r="J318" s="7"/>
      <c r="K318" s="15"/>
      <c r="L318" s="379">
        <f>IF(H318&lt;&gt;"",J318*K318,SUMIFS(L319:L$9844,$F319:$F$9844,"*"&amp;F318&amp;"*",$H319:$H$9844,"&lt;&gt;"))</f>
        <v>0</v>
      </c>
      <c r="M318" s="379" t="str">
        <f>IF(Tabela2[[#This Row],[UNID.]]&lt;&gt;"",IFERROR(VLOOKUP(Tabela2[[#This Row],[AGRUPADOR]],Lucratividade!$D$4:$O$129,6,0),0),"")</f>
        <v/>
      </c>
      <c r="N318" s="379">
        <f>IF(H318&lt;&gt;"",J318*M318*I318,SUMIFS(N319:N$9844,$F319:$F$9844,"*"&amp;F318&amp;"*",$H319:$H$9844,"&lt;&gt;"))</f>
        <v>0</v>
      </c>
      <c r="O318" s="162" t="str">
        <f>IFERROR((-Tabela2[[#This Row],[CUSTO TOTAL]]+Tabela2[[#This Row],[VENDA TOTAL]])/Tabela2[[#This Row],[VENDA TOTAL]]-PARAMETROS!$C$19,"")</f>
        <v/>
      </c>
      <c r="AA318" s="219">
        <f>SUM(Plan_Orc[[#This Row],[01/jan]:[01/dez]])</f>
        <v>0</v>
      </c>
      <c r="AB318" s="114"/>
      <c r="AC318" s="114"/>
      <c r="AD318" s="114"/>
      <c r="AE318" s="114"/>
      <c r="AF318" s="114"/>
      <c r="AG318" s="114"/>
      <c r="AH318" s="114"/>
      <c r="AI318" s="114"/>
      <c r="AJ318" s="114"/>
      <c r="AK318" s="114"/>
      <c r="AL318" s="114"/>
      <c r="AM318" s="114"/>
    </row>
    <row r="319" spans="2:39" ht="25.2" customHeight="1" x14ac:dyDescent="0.3">
      <c r="B319" s="13" t="str">
        <f t="shared" si="8"/>
        <v/>
      </c>
      <c r="C319" s="18"/>
      <c r="D319" s="19" t="str">
        <f>IF(Tabela2[[#This Row],[AGRUPADOR]]&lt;&gt;"",VLOOKUP(Tabela2[[#This Row],[AGRUPADOR]],Tabela1[],2,0),"")</f>
        <v/>
      </c>
      <c r="E319" s="19" t="str">
        <f>IF(Tabela2[[#This Row],[AGRUPADOR]]&lt;&gt;"",VLOOKUP(Tabela2[[#This Row],[AGRUPADOR]],Tabela1[],4,0),"")</f>
        <v/>
      </c>
      <c r="F319" s="14"/>
      <c r="G319" s="6"/>
      <c r="H319" s="6"/>
      <c r="I319" s="25"/>
      <c r="J319" s="7"/>
      <c r="K319" s="15"/>
      <c r="L319" s="379">
        <f>IF(H319&lt;&gt;"",J319*K319,SUMIFS(L320:L$9844,$F320:$F$9844,"*"&amp;F319&amp;"*",$H320:$H$9844,"&lt;&gt;"))</f>
        <v>0</v>
      </c>
      <c r="M319" s="379" t="str">
        <f>IF(Tabela2[[#This Row],[UNID.]]&lt;&gt;"",IFERROR(VLOOKUP(Tabela2[[#This Row],[AGRUPADOR]],Lucratividade!$D$4:$O$129,6,0),0),"")</f>
        <v/>
      </c>
      <c r="N319" s="379">
        <f>IF(H319&lt;&gt;"",J319*M319*I319,SUMIFS(N320:N$9844,$F320:$F$9844,"*"&amp;F319&amp;"*",$H320:$H$9844,"&lt;&gt;"))</f>
        <v>0</v>
      </c>
      <c r="O319" s="162" t="str">
        <f>IFERROR((-Tabela2[[#This Row],[CUSTO TOTAL]]+Tabela2[[#This Row],[VENDA TOTAL]])/Tabela2[[#This Row],[VENDA TOTAL]]-PARAMETROS!$C$19,"")</f>
        <v/>
      </c>
      <c r="AA319" s="219">
        <f>SUM(Plan_Orc[[#This Row],[01/jan]:[01/dez]])</f>
        <v>0</v>
      </c>
      <c r="AB319" s="114"/>
      <c r="AC319" s="114"/>
      <c r="AD319" s="114"/>
      <c r="AE319" s="114"/>
      <c r="AF319" s="114"/>
      <c r="AG319" s="114"/>
      <c r="AH319" s="114"/>
      <c r="AI319" s="114"/>
      <c r="AJ319" s="114"/>
      <c r="AK319" s="114"/>
      <c r="AL319" s="114"/>
      <c r="AM319" s="114"/>
    </row>
    <row r="320" spans="2:39" ht="25.2" customHeight="1" x14ac:dyDescent="0.3">
      <c r="B320" s="13" t="str">
        <f t="shared" si="8"/>
        <v/>
      </c>
      <c r="C320" s="18"/>
      <c r="D320" s="19" t="str">
        <f>IF(Tabela2[[#This Row],[AGRUPADOR]]&lt;&gt;"",VLOOKUP(Tabela2[[#This Row],[AGRUPADOR]],Tabela1[],2,0),"")</f>
        <v/>
      </c>
      <c r="E320" s="19" t="str">
        <f>IF(Tabela2[[#This Row],[AGRUPADOR]]&lt;&gt;"",VLOOKUP(Tabela2[[#This Row],[AGRUPADOR]],Tabela1[],4,0),"")</f>
        <v/>
      </c>
      <c r="F320" s="14"/>
      <c r="G320" s="6"/>
      <c r="H320" s="6"/>
      <c r="I320" s="25"/>
      <c r="J320" s="7"/>
      <c r="K320" s="15"/>
      <c r="L320" s="379">
        <f>IF(H320&lt;&gt;"",J320*K320,SUMIFS(L321:L$9844,$F321:$F$9844,"*"&amp;F320&amp;"*",$H321:$H$9844,"&lt;&gt;"))</f>
        <v>0</v>
      </c>
      <c r="M320" s="379" t="str">
        <f>IF(Tabela2[[#This Row],[UNID.]]&lt;&gt;"",IFERROR(VLOOKUP(Tabela2[[#This Row],[AGRUPADOR]],Lucratividade!$D$4:$O$129,6,0),0),"")</f>
        <v/>
      </c>
      <c r="N320" s="379">
        <f>IF(H320&lt;&gt;"",J320*M320*I320,SUMIFS(N321:N$9844,$F321:$F$9844,"*"&amp;F320&amp;"*",$H321:$H$9844,"&lt;&gt;"))</f>
        <v>0</v>
      </c>
      <c r="O320" s="162" t="str">
        <f>IFERROR((-Tabela2[[#This Row],[CUSTO TOTAL]]+Tabela2[[#This Row],[VENDA TOTAL]])/Tabela2[[#This Row],[VENDA TOTAL]]-PARAMETROS!$C$19,"")</f>
        <v/>
      </c>
      <c r="AA320" s="219">
        <f>SUM(Plan_Orc[[#This Row],[01/jan]:[01/dez]])</f>
        <v>0</v>
      </c>
      <c r="AB320" s="114"/>
      <c r="AC320" s="114"/>
      <c r="AD320" s="114"/>
      <c r="AE320" s="114"/>
      <c r="AF320" s="114"/>
      <c r="AG320" s="114"/>
      <c r="AH320" s="114"/>
      <c r="AI320" s="114"/>
      <c r="AJ320" s="114"/>
      <c r="AK320" s="114"/>
      <c r="AL320" s="114"/>
      <c r="AM320" s="114"/>
    </row>
    <row r="321" spans="2:39" ht="25.2" customHeight="1" x14ac:dyDescent="0.3">
      <c r="B321" s="13" t="str">
        <f t="shared" si="8"/>
        <v/>
      </c>
      <c r="C321" s="18"/>
      <c r="D321" s="19" t="str">
        <f>IF(Tabela2[[#This Row],[AGRUPADOR]]&lt;&gt;"",VLOOKUP(Tabela2[[#This Row],[AGRUPADOR]],Tabela1[],2,0),"")</f>
        <v/>
      </c>
      <c r="E321" s="19" t="str">
        <f>IF(Tabela2[[#This Row],[AGRUPADOR]]&lt;&gt;"",VLOOKUP(Tabela2[[#This Row],[AGRUPADOR]],Tabela1[],4,0),"")</f>
        <v/>
      </c>
      <c r="F321" s="14"/>
      <c r="G321" s="6"/>
      <c r="H321" s="6"/>
      <c r="I321" s="25"/>
      <c r="J321" s="7"/>
      <c r="K321" s="15"/>
      <c r="L321" s="379">
        <f>IF(H321&lt;&gt;"",J321*K321,SUMIFS(L322:L$9844,$F322:$F$9844,"*"&amp;F321&amp;"*",$H322:$H$9844,"&lt;&gt;"))</f>
        <v>0</v>
      </c>
      <c r="M321" s="379" t="str">
        <f>IF(Tabela2[[#This Row],[UNID.]]&lt;&gt;"",IFERROR(VLOOKUP(Tabela2[[#This Row],[AGRUPADOR]],Lucratividade!$D$4:$O$129,6,0),0),"")</f>
        <v/>
      </c>
      <c r="N321" s="379">
        <f>IF(H321&lt;&gt;"",J321*M321*I321,SUMIFS(N322:N$9844,$F322:$F$9844,"*"&amp;F321&amp;"*",$H322:$H$9844,"&lt;&gt;"))</f>
        <v>0</v>
      </c>
      <c r="O321" s="162" t="str">
        <f>IFERROR((-Tabela2[[#This Row],[CUSTO TOTAL]]+Tabela2[[#This Row],[VENDA TOTAL]])/Tabela2[[#This Row],[VENDA TOTAL]]-PARAMETROS!$C$19,"")</f>
        <v/>
      </c>
      <c r="AA321" s="219">
        <f>SUM(Plan_Orc[[#This Row],[01/jan]:[01/dez]])</f>
        <v>0</v>
      </c>
      <c r="AB321" s="114"/>
      <c r="AC321" s="114"/>
      <c r="AD321" s="114"/>
      <c r="AE321" s="114"/>
      <c r="AF321" s="114"/>
      <c r="AG321" s="114"/>
      <c r="AH321" s="114"/>
      <c r="AI321" s="114"/>
      <c r="AJ321" s="114"/>
      <c r="AK321" s="114"/>
      <c r="AL321" s="114"/>
      <c r="AM321" s="114"/>
    </row>
    <row r="322" spans="2:39" ht="25.2" customHeight="1" x14ac:dyDescent="0.3">
      <c r="B322" s="13" t="str">
        <f t="shared" si="8"/>
        <v/>
      </c>
      <c r="C322" s="18"/>
      <c r="D322" s="19" t="str">
        <f>IF(Tabela2[[#This Row],[AGRUPADOR]]&lt;&gt;"",VLOOKUP(Tabela2[[#This Row],[AGRUPADOR]],Tabela1[],2,0),"")</f>
        <v/>
      </c>
      <c r="E322" s="19" t="str">
        <f>IF(Tabela2[[#This Row],[AGRUPADOR]]&lt;&gt;"",VLOOKUP(Tabela2[[#This Row],[AGRUPADOR]],Tabela1[],4,0),"")</f>
        <v/>
      </c>
      <c r="F322" s="14"/>
      <c r="G322" s="6"/>
      <c r="H322" s="6"/>
      <c r="I322" s="25"/>
      <c r="J322" s="7"/>
      <c r="K322" s="15"/>
      <c r="L322" s="379">
        <f>IF(H322&lt;&gt;"",J322*K322,SUMIFS(L323:L$9844,$F323:$F$9844,"*"&amp;F322&amp;"*",$H323:$H$9844,"&lt;&gt;"))</f>
        <v>0</v>
      </c>
      <c r="M322" s="379" t="str">
        <f>IF(Tabela2[[#This Row],[UNID.]]&lt;&gt;"",IFERROR(VLOOKUP(Tabela2[[#This Row],[AGRUPADOR]],Lucratividade!$D$4:$O$129,6,0),0),"")</f>
        <v/>
      </c>
      <c r="N322" s="379">
        <f>IF(H322&lt;&gt;"",J322*M322*I322,SUMIFS(N323:N$9844,$F323:$F$9844,"*"&amp;F322&amp;"*",$H323:$H$9844,"&lt;&gt;"))</f>
        <v>0</v>
      </c>
      <c r="O322" s="162" t="str">
        <f>IFERROR((-Tabela2[[#This Row],[CUSTO TOTAL]]+Tabela2[[#This Row],[VENDA TOTAL]])/Tabela2[[#This Row],[VENDA TOTAL]]-PARAMETROS!$C$19,"")</f>
        <v/>
      </c>
      <c r="AA322" s="219">
        <f>SUM(Plan_Orc[[#This Row],[01/jan]:[01/dez]])</f>
        <v>0</v>
      </c>
      <c r="AB322" s="114"/>
      <c r="AC322" s="114"/>
      <c r="AD322" s="114"/>
      <c r="AE322" s="114"/>
      <c r="AF322" s="114"/>
      <c r="AG322" s="114"/>
      <c r="AH322" s="114"/>
      <c r="AI322" s="114"/>
      <c r="AJ322" s="114"/>
      <c r="AK322" s="114"/>
      <c r="AL322" s="114"/>
      <c r="AM322" s="114"/>
    </row>
    <row r="323" spans="2:39" ht="25.2" customHeight="1" x14ac:dyDescent="0.3">
      <c r="B323" s="13" t="str">
        <f t="shared" si="8"/>
        <v/>
      </c>
      <c r="C323" s="18"/>
      <c r="D323" s="19" t="str">
        <f>IF(Tabela2[[#This Row],[AGRUPADOR]]&lt;&gt;"",VLOOKUP(Tabela2[[#This Row],[AGRUPADOR]],Tabela1[],2,0),"")</f>
        <v/>
      </c>
      <c r="E323" s="19" t="str">
        <f>IF(Tabela2[[#This Row],[AGRUPADOR]]&lt;&gt;"",VLOOKUP(Tabela2[[#This Row],[AGRUPADOR]],Tabela1[],4,0),"")</f>
        <v/>
      </c>
      <c r="F323" s="14"/>
      <c r="G323" s="6"/>
      <c r="H323" s="6"/>
      <c r="I323" s="25"/>
      <c r="J323" s="7"/>
      <c r="K323" s="15"/>
      <c r="L323" s="379">
        <f>IF(H323&lt;&gt;"",J323*K323,SUMIFS(L324:L$9844,$F324:$F$9844,"*"&amp;F323&amp;"*",$H324:$H$9844,"&lt;&gt;"))</f>
        <v>0</v>
      </c>
      <c r="M323" s="379" t="str">
        <f>IF(Tabela2[[#This Row],[UNID.]]&lt;&gt;"",IFERROR(VLOOKUP(Tabela2[[#This Row],[AGRUPADOR]],Lucratividade!$D$4:$O$129,6,0),0),"")</f>
        <v/>
      </c>
      <c r="N323" s="379">
        <f>IF(H323&lt;&gt;"",J323*M323*I323,SUMIFS(N324:N$9844,$F324:$F$9844,"*"&amp;F323&amp;"*",$H324:$H$9844,"&lt;&gt;"))</f>
        <v>0</v>
      </c>
      <c r="O323" s="162" t="str">
        <f>IFERROR((-Tabela2[[#This Row],[CUSTO TOTAL]]+Tabela2[[#This Row],[VENDA TOTAL]])/Tabela2[[#This Row],[VENDA TOTAL]]-PARAMETROS!$C$19,"")</f>
        <v/>
      </c>
      <c r="AA323" s="218">
        <f>SUM(Plan_Orc[[#This Row],[01/jan]:[01/dez]])</f>
        <v>0</v>
      </c>
      <c r="AB323" s="113"/>
      <c r="AC323" s="113"/>
      <c r="AD323" s="113"/>
      <c r="AE323" s="113"/>
      <c r="AF323" s="113"/>
      <c r="AG323" s="113"/>
      <c r="AH323" s="113"/>
      <c r="AI323" s="113"/>
      <c r="AJ323" s="113"/>
      <c r="AK323" s="113"/>
      <c r="AL323" s="113"/>
      <c r="AM323" s="113"/>
    </row>
    <row r="324" spans="2:39" ht="25.2" customHeight="1" x14ac:dyDescent="0.3">
      <c r="B324" s="13" t="str">
        <f t="shared" ref="B324:B387" si="9">IF(LEN(F324)=3,1,"")</f>
        <v/>
      </c>
      <c r="C324" s="18"/>
      <c r="D324" s="19" t="str">
        <f>IF(Tabela2[[#This Row],[AGRUPADOR]]&lt;&gt;"",VLOOKUP(Tabela2[[#This Row],[AGRUPADOR]],Tabela1[],2,0),"")</f>
        <v/>
      </c>
      <c r="E324" s="19" t="str">
        <f>IF(Tabela2[[#This Row],[AGRUPADOR]]&lt;&gt;"",VLOOKUP(Tabela2[[#This Row],[AGRUPADOR]],Tabela1[],4,0),"")</f>
        <v/>
      </c>
      <c r="F324" s="14"/>
      <c r="G324" s="6"/>
      <c r="H324" s="6"/>
      <c r="I324" s="25"/>
      <c r="J324" s="7"/>
      <c r="K324" s="15"/>
      <c r="L324" s="379">
        <f>IF(H324&lt;&gt;"",J324*K324,SUMIFS(L325:L$9844,$F325:$F$9844,"*"&amp;F324&amp;"*",$H325:$H$9844,"&lt;&gt;"))</f>
        <v>0</v>
      </c>
      <c r="M324" s="379" t="str">
        <f>IF(Tabela2[[#This Row],[UNID.]]&lt;&gt;"",IFERROR(VLOOKUP(Tabela2[[#This Row],[AGRUPADOR]],Lucratividade!$D$4:$O$129,6,0),0),"")</f>
        <v/>
      </c>
      <c r="N324" s="379">
        <f>IF(H324&lt;&gt;"",J324*M324*I324,SUMIFS(N325:N$9844,$F325:$F$9844,"*"&amp;F324&amp;"*",$H325:$H$9844,"&lt;&gt;"))</f>
        <v>0</v>
      </c>
      <c r="O324" s="162" t="str">
        <f>IFERROR((-Tabela2[[#This Row],[CUSTO TOTAL]]+Tabela2[[#This Row],[VENDA TOTAL]])/Tabela2[[#This Row],[VENDA TOTAL]]-PARAMETROS!$C$19,"")</f>
        <v/>
      </c>
      <c r="AA324" s="219">
        <f>SUM(Plan_Orc[[#This Row],[01/jan]:[01/dez]])</f>
        <v>0</v>
      </c>
      <c r="AB324" s="114"/>
      <c r="AC324" s="114"/>
      <c r="AD324" s="114"/>
      <c r="AE324" s="114"/>
      <c r="AF324" s="114"/>
      <c r="AG324" s="114"/>
      <c r="AH324" s="114"/>
      <c r="AI324" s="114"/>
      <c r="AJ324" s="114"/>
      <c r="AK324" s="114"/>
      <c r="AL324" s="114"/>
      <c r="AM324" s="114"/>
    </row>
    <row r="325" spans="2:39" ht="25.2" customHeight="1" x14ac:dyDescent="0.3">
      <c r="B325" s="13" t="str">
        <f t="shared" si="9"/>
        <v/>
      </c>
      <c r="C325" s="18"/>
      <c r="D325" s="19" t="str">
        <f>IF(Tabela2[[#This Row],[AGRUPADOR]]&lt;&gt;"",VLOOKUP(Tabela2[[#This Row],[AGRUPADOR]],Tabela1[],2,0),"")</f>
        <v/>
      </c>
      <c r="E325" s="19" t="str">
        <f>IF(Tabela2[[#This Row],[AGRUPADOR]]&lt;&gt;"",VLOOKUP(Tabela2[[#This Row],[AGRUPADOR]],Tabela1[],4,0),"")</f>
        <v/>
      </c>
      <c r="F325" s="14"/>
      <c r="G325" s="6"/>
      <c r="H325" s="6"/>
      <c r="I325" s="25"/>
      <c r="J325" s="7"/>
      <c r="K325" s="15"/>
      <c r="L325" s="379">
        <f>IF(H325&lt;&gt;"",J325*K325,SUMIFS(L326:L$9844,$F326:$F$9844,"*"&amp;F325&amp;"*",$H326:$H$9844,"&lt;&gt;"))</f>
        <v>0</v>
      </c>
      <c r="M325" s="379" t="str">
        <f>IF(Tabela2[[#This Row],[UNID.]]&lt;&gt;"",IFERROR(VLOOKUP(Tabela2[[#This Row],[AGRUPADOR]],Lucratividade!$D$4:$O$129,6,0),0),"")</f>
        <v/>
      </c>
      <c r="N325" s="379">
        <f>IF(H325&lt;&gt;"",J325*M325*I325,SUMIFS(N326:N$9844,$F326:$F$9844,"*"&amp;F325&amp;"*",$H326:$H$9844,"&lt;&gt;"))</f>
        <v>0</v>
      </c>
      <c r="O325" s="162" t="str">
        <f>IFERROR((-Tabela2[[#This Row],[CUSTO TOTAL]]+Tabela2[[#This Row],[VENDA TOTAL]])/Tabela2[[#This Row],[VENDA TOTAL]]-PARAMETROS!$C$19,"")</f>
        <v/>
      </c>
      <c r="AA325" s="219">
        <f>SUM(Plan_Orc[[#This Row],[01/jan]:[01/dez]])</f>
        <v>0</v>
      </c>
      <c r="AB325" s="114"/>
      <c r="AC325" s="114"/>
      <c r="AD325" s="114"/>
      <c r="AE325" s="114"/>
      <c r="AF325" s="114"/>
      <c r="AG325" s="114"/>
      <c r="AH325" s="114"/>
      <c r="AI325" s="114"/>
      <c r="AJ325" s="114"/>
      <c r="AK325" s="114"/>
      <c r="AL325" s="114"/>
      <c r="AM325" s="114"/>
    </row>
    <row r="326" spans="2:39" ht="25.2" customHeight="1" x14ac:dyDescent="0.3">
      <c r="B326" s="13" t="str">
        <f t="shared" si="9"/>
        <v/>
      </c>
      <c r="C326" s="18"/>
      <c r="D326" s="19" t="str">
        <f>IF(Tabela2[[#This Row],[AGRUPADOR]]&lt;&gt;"",VLOOKUP(Tabela2[[#This Row],[AGRUPADOR]],Tabela1[],2,0),"")</f>
        <v/>
      </c>
      <c r="E326" s="19" t="str">
        <f>IF(Tabela2[[#This Row],[AGRUPADOR]]&lt;&gt;"",VLOOKUP(Tabela2[[#This Row],[AGRUPADOR]],Tabela1[],4,0),"")</f>
        <v/>
      </c>
      <c r="F326" s="14"/>
      <c r="G326" s="6"/>
      <c r="H326" s="6"/>
      <c r="I326" s="25"/>
      <c r="J326" s="7"/>
      <c r="K326" s="15"/>
      <c r="L326" s="379">
        <f>IF(H326&lt;&gt;"",J326*K326,SUMIFS(L327:L$9844,$F327:$F$9844,"*"&amp;F326&amp;"*",$H327:$H$9844,"&lt;&gt;"))</f>
        <v>0</v>
      </c>
      <c r="M326" s="379" t="str">
        <f>IF(Tabela2[[#This Row],[UNID.]]&lt;&gt;"",IFERROR(VLOOKUP(Tabela2[[#This Row],[AGRUPADOR]],Lucratividade!$D$4:$O$129,6,0),0),"")</f>
        <v/>
      </c>
      <c r="N326" s="379">
        <f>IF(H326&lt;&gt;"",J326*M326*I326,SUMIFS(N327:N$9844,$F327:$F$9844,"*"&amp;F326&amp;"*",$H327:$H$9844,"&lt;&gt;"))</f>
        <v>0</v>
      </c>
      <c r="O326" s="162" t="str">
        <f>IFERROR((-Tabela2[[#This Row],[CUSTO TOTAL]]+Tabela2[[#This Row],[VENDA TOTAL]])/Tabela2[[#This Row],[VENDA TOTAL]]-PARAMETROS!$C$19,"")</f>
        <v/>
      </c>
      <c r="AA326" s="219">
        <f>SUM(Plan_Orc[[#This Row],[01/jan]:[01/dez]])</f>
        <v>0</v>
      </c>
      <c r="AB326" s="114"/>
      <c r="AC326" s="114"/>
      <c r="AD326" s="114"/>
      <c r="AE326" s="114"/>
      <c r="AF326" s="114"/>
      <c r="AG326" s="114"/>
      <c r="AH326" s="114"/>
      <c r="AI326" s="114"/>
      <c r="AJ326" s="114"/>
      <c r="AK326" s="114"/>
      <c r="AL326" s="114"/>
      <c r="AM326" s="114"/>
    </row>
    <row r="327" spans="2:39" ht="25.2" customHeight="1" x14ac:dyDescent="0.3">
      <c r="B327" s="13" t="str">
        <f t="shared" si="9"/>
        <v/>
      </c>
      <c r="C327" s="18"/>
      <c r="D327" s="19" t="str">
        <f>IF(Tabela2[[#This Row],[AGRUPADOR]]&lt;&gt;"",VLOOKUP(Tabela2[[#This Row],[AGRUPADOR]],Tabela1[],2,0),"")</f>
        <v/>
      </c>
      <c r="E327" s="19" t="str">
        <f>IF(Tabela2[[#This Row],[AGRUPADOR]]&lt;&gt;"",VLOOKUP(Tabela2[[#This Row],[AGRUPADOR]],Tabela1[],4,0),"")</f>
        <v/>
      </c>
      <c r="F327" s="14"/>
      <c r="G327" s="6"/>
      <c r="H327" s="6"/>
      <c r="I327" s="25"/>
      <c r="J327" s="7"/>
      <c r="K327" s="15"/>
      <c r="L327" s="379">
        <f>IF(H327&lt;&gt;"",J327*K327,SUMIFS(L328:L$9844,$F328:$F$9844,"*"&amp;F327&amp;"*",$H328:$H$9844,"&lt;&gt;"))</f>
        <v>0</v>
      </c>
      <c r="M327" s="379" t="str">
        <f>IF(Tabela2[[#This Row],[UNID.]]&lt;&gt;"",IFERROR(VLOOKUP(Tabela2[[#This Row],[AGRUPADOR]],Lucratividade!$D$4:$O$129,6,0),0),"")</f>
        <v/>
      </c>
      <c r="N327" s="379">
        <f>IF(H327&lt;&gt;"",J327*M327*I327,SUMIFS(N328:N$9844,$F328:$F$9844,"*"&amp;F327&amp;"*",$H328:$H$9844,"&lt;&gt;"))</f>
        <v>0</v>
      </c>
      <c r="O327" s="162" t="str">
        <f>IFERROR((-Tabela2[[#This Row],[CUSTO TOTAL]]+Tabela2[[#This Row],[VENDA TOTAL]])/Tabela2[[#This Row],[VENDA TOTAL]]-PARAMETROS!$C$19,"")</f>
        <v/>
      </c>
      <c r="AA327" s="219">
        <f>SUM(Plan_Orc[[#This Row],[01/jan]:[01/dez]])</f>
        <v>0</v>
      </c>
      <c r="AB327" s="114"/>
      <c r="AC327" s="114"/>
      <c r="AD327" s="114"/>
      <c r="AE327" s="114"/>
      <c r="AF327" s="114"/>
      <c r="AG327" s="114"/>
      <c r="AH327" s="114"/>
      <c r="AI327" s="114"/>
      <c r="AJ327" s="114"/>
      <c r="AK327" s="114"/>
      <c r="AL327" s="114"/>
      <c r="AM327" s="114"/>
    </row>
    <row r="328" spans="2:39" ht="25.2" customHeight="1" x14ac:dyDescent="0.3">
      <c r="B328" s="13" t="str">
        <f t="shared" si="9"/>
        <v/>
      </c>
      <c r="C328" s="18"/>
      <c r="D328" s="19" t="str">
        <f>IF(Tabela2[[#This Row],[AGRUPADOR]]&lt;&gt;"",VLOOKUP(Tabela2[[#This Row],[AGRUPADOR]],Tabela1[],2,0),"")</f>
        <v/>
      </c>
      <c r="E328" s="19" t="str">
        <f>IF(Tabela2[[#This Row],[AGRUPADOR]]&lt;&gt;"",VLOOKUP(Tabela2[[#This Row],[AGRUPADOR]],Tabela1[],4,0),"")</f>
        <v/>
      </c>
      <c r="F328" s="14"/>
      <c r="G328" s="6"/>
      <c r="H328" s="6"/>
      <c r="I328" s="25"/>
      <c r="J328" s="7"/>
      <c r="K328" s="15"/>
      <c r="L328" s="379">
        <f>IF(H328&lt;&gt;"",J328*K328,SUMIFS(L329:L$9844,$F329:$F$9844,"*"&amp;F328&amp;"*",$H329:$H$9844,"&lt;&gt;"))</f>
        <v>0</v>
      </c>
      <c r="M328" s="379" t="str">
        <f>IF(Tabela2[[#This Row],[UNID.]]&lt;&gt;"",IFERROR(VLOOKUP(Tabela2[[#This Row],[AGRUPADOR]],Lucratividade!$D$4:$O$129,6,0),0),"")</f>
        <v/>
      </c>
      <c r="N328" s="379">
        <f>IF(H328&lt;&gt;"",J328*M328*I328,SUMIFS(N329:N$9844,$F329:$F$9844,"*"&amp;F328&amp;"*",$H329:$H$9844,"&lt;&gt;"))</f>
        <v>0</v>
      </c>
      <c r="O328" s="162" t="str">
        <f>IFERROR((-Tabela2[[#This Row],[CUSTO TOTAL]]+Tabela2[[#This Row],[VENDA TOTAL]])/Tabela2[[#This Row],[VENDA TOTAL]]-PARAMETROS!$C$19,"")</f>
        <v/>
      </c>
      <c r="AA328" s="219">
        <f>SUM(Plan_Orc[[#This Row],[01/jan]:[01/dez]])</f>
        <v>0</v>
      </c>
      <c r="AB328" s="114"/>
      <c r="AC328" s="114"/>
      <c r="AD328" s="114"/>
      <c r="AE328" s="114"/>
      <c r="AF328" s="114"/>
      <c r="AG328" s="114"/>
      <c r="AH328" s="114"/>
      <c r="AI328" s="114"/>
      <c r="AJ328" s="114"/>
      <c r="AK328" s="114"/>
      <c r="AL328" s="114"/>
      <c r="AM328" s="114"/>
    </row>
    <row r="329" spans="2:39" ht="25.2" customHeight="1" x14ac:dyDescent="0.3">
      <c r="B329" s="13" t="str">
        <f t="shared" si="9"/>
        <v/>
      </c>
      <c r="C329" s="18"/>
      <c r="D329" s="19" t="str">
        <f>IF(Tabela2[[#This Row],[AGRUPADOR]]&lt;&gt;"",VLOOKUP(Tabela2[[#This Row],[AGRUPADOR]],Tabela1[],2,0),"")</f>
        <v/>
      </c>
      <c r="E329" s="19" t="str">
        <f>IF(Tabela2[[#This Row],[AGRUPADOR]]&lt;&gt;"",VLOOKUP(Tabela2[[#This Row],[AGRUPADOR]],Tabela1[],4,0),"")</f>
        <v/>
      </c>
      <c r="F329" s="14"/>
      <c r="G329" s="6"/>
      <c r="H329" s="6"/>
      <c r="I329" s="25"/>
      <c r="J329" s="7"/>
      <c r="K329" s="15"/>
      <c r="L329" s="379">
        <f>IF(H329&lt;&gt;"",J329*K329,SUMIFS(L330:L$9844,$F330:$F$9844,"*"&amp;F329&amp;"*",$H330:$H$9844,"&lt;&gt;"))</f>
        <v>0</v>
      </c>
      <c r="M329" s="379" t="str">
        <f>IF(Tabela2[[#This Row],[UNID.]]&lt;&gt;"",IFERROR(VLOOKUP(Tabela2[[#This Row],[AGRUPADOR]],Lucratividade!$D$4:$O$129,6,0),0),"")</f>
        <v/>
      </c>
      <c r="N329" s="379">
        <f>IF(H329&lt;&gt;"",J329*M329*I329,SUMIFS(N330:N$9844,$F330:$F$9844,"*"&amp;F329&amp;"*",$H330:$H$9844,"&lt;&gt;"))</f>
        <v>0</v>
      </c>
      <c r="O329" s="162" t="str">
        <f>IFERROR((-Tabela2[[#This Row],[CUSTO TOTAL]]+Tabela2[[#This Row],[VENDA TOTAL]])/Tabela2[[#This Row],[VENDA TOTAL]]-PARAMETROS!$C$19,"")</f>
        <v/>
      </c>
      <c r="AA329" s="219">
        <f>SUM(Plan_Orc[[#This Row],[01/jan]:[01/dez]])</f>
        <v>0</v>
      </c>
      <c r="AB329" s="114"/>
      <c r="AC329" s="114"/>
      <c r="AD329" s="114"/>
      <c r="AE329" s="114"/>
      <c r="AF329" s="114"/>
      <c r="AG329" s="114"/>
      <c r="AH329" s="114"/>
      <c r="AI329" s="114"/>
      <c r="AJ329" s="114"/>
      <c r="AK329" s="114"/>
      <c r="AL329" s="114"/>
      <c r="AM329" s="114"/>
    </row>
    <row r="330" spans="2:39" ht="25.2" customHeight="1" x14ac:dyDescent="0.3">
      <c r="B330" s="13" t="str">
        <f t="shared" si="9"/>
        <v/>
      </c>
      <c r="C330" s="18"/>
      <c r="D330" s="19" t="str">
        <f>IF(Tabela2[[#This Row],[AGRUPADOR]]&lt;&gt;"",VLOOKUP(Tabela2[[#This Row],[AGRUPADOR]],Tabela1[],2,0),"")</f>
        <v/>
      </c>
      <c r="E330" s="19" t="str">
        <f>IF(Tabela2[[#This Row],[AGRUPADOR]]&lt;&gt;"",VLOOKUP(Tabela2[[#This Row],[AGRUPADOR]],Tabela1[],4,0),"")</f>
        <v/>
      </c>
      <c r="F330" s="14"/>
      <c r="G330" s="6"/>
      <c r="H330" s="6"/>
      <c r="I330" s="25"/>
      <c r="J330" s="7"/>
      <c r="K330" s="15"/>
      <c r="L330" s="379">
        <f>IF(H330&lt;&gt;"",J330*K330,SUMIFS(L331:L$9844,$F331:$F$9844,"*"&amp;F330&amp;"*",$H331:$H$9844,"&lt;&gt;"))</f>
        <v>0</v>
      </c>
      <c r="M330" s="379" t="str">
        <f>IF(Tabela2[[#This Row],[UNID.]]&lt;&gt;"",IFERROR(VLOOKUP(Tabela2[[#This Row],[AGRUPADOR]],Lucratividade!$D$4:$O$129,6,0),0),"")</f>
        <v/>
      </c>
      <c r="N330" s="379">
        <f>IF(H330&lt;&gt;"",J330*M330*I330,SUMIFS(N331:N$9844,$F331:$F$9844,"*"&amp;F330&amp;"*",$H331:$H$9844,"&lt;&gt;"))</f>
        <v>0</v>
      </c>
      <c r="O330" s="162" t="str">
        <f>IFERROR((-Tabela2[[#This Row],[CUSTO TOTAL]]+Tabela2[[#This Row],[VENDA TOTAL]])/Tabela2[[#This Row],[VENDA TOTAL]]-PARAMETROS!$C$19,"")</f>
        <v/>
      </c>
      <c r="AA330" s="219">
        <f>SUM(Plan_Orc[[#This Row],[01/jan]:[01/dez]])</f>
        <v>0</v>
      </c>
      <c r="AB330" s="114"/>
      <c r="AC330" s="114"/>
      <c r="AD330" s="114"/>
      <c r="AE330" s="114"/>
      <c r="AF330" s="114"/>
      <c r="AG330" s="114"/>
      <c r="AH330" s="114"/>
      <c r="AI330" s="114"/>
      <c r="AJ330" s="114"/>
      <c r="AK330" s="114"/>
      <c r="AL330" s="114"/>
      <c r="AM330" s="114"/>
    </row>
    <row r="331" spans="2:39" ht="25.2" customHeight="1" x14ac:dyDescent="0.3">
      <c r="B331" s="13" t="str">
        <f t="shared" si="9"/>
        <v/>
      </c>
      <c r="C331" s="18"/>
      <c r="D331" s="19" t="str">
        <f>IF(Tabela2[[#This Row],[AGRUPADOR]]&lt;&gt;"",VLOOKUP(Tabela2[[#This Row],[AGRUPADOR]],Tabela1[],2,0),"")</f>
        <v/>
      </c>
      <c r="E331" s="19" t="str">
        <f>IF(Tabela2[[#This Row],[AGRUPADOR]]&lt;&gt;"",VLOOKUP(Tabela2[[#This Row],[AGRUPADOR]],Tabela1[],4,0),"")</f>
        <v/>
      </c>
      <c r="F331" s="14"/>
      <c r="G331" s="6"/>
      <c r="H331" s="6"/>
      <c r="I331" s="25"/>
      <c r="J331" s="7"/>
      <c r="K331" s="15"/>
      <c r="L331" s="379">
        <f>IF(H331&lt;&gt;"",J331*K331,SUMIFS(L332:L$9844,$F332:$F$9844,"*"&amp;F331&amp;"*",$H332:$H$9844,"&lt;&gt;"))</f>
        <v>0</v>
      </c>
      <c r="M331" s="379" t="str">
        <f>IF(Tabela2[[#This Row],[UNID.]]&lt;&gt;"",IFERROR(VLOOKUP(Tabela2[[#This Row],[AGRUPADOR]],Lucratividade!$D$4:$O$129,6,0),0),"")</f>
        <v/>
      </c>
      <c r="N331" s="379">
        <f>IF(H331&lt;&gt;"",J331*M331*I331,SUMIFS(N332:N$9844,$F332:$F$9844,"*"&amp;F331&amp;"*",$H332:$H$9844,"&lt;&gt;"))</f>
        <v>0</v>
      </c>
      <c r="O331" s="162" t="str">
        <f>IFERROR((-Tabela2[[#This Row],[CUSTO TOTAL]]+Tabela2[[#This Row],[VENDA TOTAL]])/Tabela2[[#This Row],[VENDA TOTAL]]-PARAMETROS!$C$19,"")</f>
        <v/>
      </c>
      <c r="AA331" s="219">
        <f>SUM(Plan_Orc[[#This Row],[01/jan]:[01/dez]])</f>
        <v>0</v>
      </c>
      <c r="AB331" s="114"/>
      <c r="AC331" s="114"/>
      <c r="AD331" s="114"/>
      <c r="AE331" s="114"/>
      <c r="AF331" s="114"/>
      <c r="AG331" s="114"/>
      <c r="AH331" s="114"/>
      <c r="AI331" s="114"/>
      <c r="AJ331" s="114"/>
      <c r="AK331" s="114"/>
      <c r="AL331" s="114"/>
      <c r="AM331" s="114"/>
    </row>
    <row r="332" spans="2:39" ht="25.2" customHeight="1" x14ac:dyDescent="0.3">
      <c r="B332" s="13" t="str">
        <f t="shared" si="9"/>
        <v/>
      </c>
      <c r="C332" s="18"/>
      <c r="D332" s="19" t="str">
        <f>IF(Tabela2[[#This Row],[AGRUPADOR]]&lt;&gt;"",VLOOKUP(Tabela2[[#This Row],[AGRUPADOR]],Tabela1[],2,0),"")</f>
        <v/>
      </c>
      <c r="E332" s="19" t="str">
        <f>IF(Tabela2[[#This Row],[AGRUPADOR]]&lt;&gt;"",VLOOKUP(Tabela2[[#This Row],[AGRUPADOR]],Tabela1[],4,0),"")</f>
        <v/>
      </c>
      <c r="F332" s="14"/>
      <c r="G332" s="6"/>
      <c r="H332" s="6"/>
      <c r="I332" s="25"/>
      <c r="J332" s="7"/>
      <c r="K332" s="15"/>
      <c r="L332" s="379">
        <f>IF(H332&lt;&gt;"",J332*K332,SUMIFS(L333:L$9844,$F333:$F$9844,"*"&amp;F332&amp;"*",$H333:$H$9844,"&lt;&gt;"))</f>
        <v>0</v>
      </c>
      <c r="M332" s="379" t="str">
        <f>IF(Tabela2[[#This Row],[UNID.]]&lt;&gt;"",IFERROR(VLOOKUP(Tabela2[[#This Row],[AGRUPADOR]],Lucratividade!$D$4:$O$129,6,0),0),"")</f>
        <v/>
      </c>
      <c r="N332" s="379">
        <f>IF(H332&lt;&gt;"",J332*M332*I332,SUMIFS(N333:N$9844,$F333:$F$9844,"*"&amp;F332&amp;"*",$H333:$H$9844,"&lt;&gt;"))</f>
        <v>0</v>
      </c>
      <c r="O332" s="162" t="str">
        <f>IFERROR((-Tabela2[[#This Row],[CUSTO TOTAL]]+Tabela2[[#This Row],[VENDA TOTAL]])/Tabela2[[#This Row],[VENDA TOTAL]]-PARAMETROS!$C$19,"")</f>
        <v/>
      </c>
      <c r="AA332" s="219">
        <f>SUM(Plan_Orc[[#This Row],[01/jan]:[01/dez]])</f>
        <v>0</v>
      </c>
      <c r="AB332" s="114"/>
      <c r="AC332" s="114"/>
      <c r="AD332" s="114"/>
      <c r="AE332" s="114"/>
      <c r="AF332" s="114"/>
      <c r="AG332" s="114"/>
      <c r="AH332" s="114"/>
      <c r="AI332" s="114"/>
      <c r="AJ332" s="114"/>
      <c r="AK332" s="114"/>
      <c r="AL332" s="114"/>
      <c r="AM332" s="114"/>
    </row>
    <row r="333" spans="2:39" ht="25.2" customHeight="1" x14ac:dyDescent="0.3">
      <c r="B333" s="13" t="str">
        <f t="shared" si="9"/>
        <v/>
      </c>
      <c r="C333" s="18"/>
      <c r="D333" s="19" t="str">
        <f>IF(Tabela2[[#This Row],[AGRUPADOR]]&lt;&gt;"",VLOOKUP(Tabela2[[#This Row],[AGRUPADOR]],Tabela1[],2,0),"")</f>
        <v/>
      </c>
      <c r="E333" s="19" t="str">
        <f>IF(Tabela2[[#This Row],[AGRUPADOR]]&lt;&gt;"",VLOOKUP(Tabela2[[#This Row],[AGRUPADOR]],Tabela1[],4,0),"")</f>
        <v/>
      </c>
      <c r="F333" s="14"/>
      <c r="G333" s="6"/>
      <c r="H333" s="6"/>
      <c r="I333" s="25"/>
      <c r="J333" s="7"/>
      <c r="K333" s="15"/>
      <c r="L333" s="379">
        <f>IF(H333&lt;&gt;"",J333*K333,SUMIFS(L334:L$9844,$F334:$F$9844,"*"&amp;F333&amp;"*",$H334:$H$9844,"&lt;&gt;"))</f>
        <v>0</v>
      </c>
      <c r="M333" s="379" t="str">
        <f>IF(Tabela2[[#This Row],[UNID.]]&lt;&gt;"",IFERROR(VLOOKUP(Tabela2[[#This Row],[AGRUPADOR]],Lucratividade!$D$4:$O$129,6,0),0),"")</f>
        <v/>
      </c>
      <c r="N333" s="379">
        <f>IF(H333&lt;&gt;"",J333*M333*I333,SUMIFS(N334:N$9844,$F334:$F$9844,"*"&amp;F333&amp;"*",$H334:$H$9844,"&lt;&gt;"))</f>
        <v>0</v>
      </c>
      <c r="O333" s="162" t="str">
        <f>IFERROR((-Tabela2[[#This Row],[CUSTO TOTAL]]+Tabela2[[#This Row],[VENDA TOTAL]])/Tabela2[[#This Row],[VENDA TOTAL]]-PARAMETROS!$C$19,"")</f>
        <v/>
      </c>
      <c r="AA333" s="219">
        <f>SUM(Plan_Orc[[#This Row],[01/jan]:[01/dez]])</f>
        <v>0</v>
      </c>
      <c r="AB333" s="114"/>
      <c r="AC333" s="114"/>
      <c r="AD333" s="114"/>
      <c r="AE333" s="114"/>
      <c r="AF333" s="114"/>
      <c r="AG333" s="114"/>
      <c r="AH333" s="114"/>
      <c r="AI333" s="114"/>
      <c r="AJ333" s="114"/>
      <c r="AK333" s="114"/>
      <c r="AL333" s="114"/>
      <c r="AM333" s="114"/>
    </row>
    <row r="334" spans="2:39" ht="25.2" customHeight="1" x14ac:dyDescent="0.3">
      <c r="B334" s="13" t="str">
        <f t="shared" si="9"/>
        <v/>
      </c>
      <c r="C334" s="18"/>
      <c r="D334" s="19" t="str">
        <f>IF(Tabela2[[#This Row],[AGRUPADOR]]&lt;&gt;"",VLOOKUP(Tabela2[[#This Row],[AGRUPADOR]],Tabela1[],2,0),"")</f>
        <v/>
      </c>
      <c r="E334" s="19" t="str">
        <f>IF(Tabela2[[#This Row],[AGRUPADOR]]&lt;&gt;"",VLOOKUP(Tabela2[[#This Row],[AGRUPADOR]],Tabela1[],4,0),"")</f>
        <v/>
      </c>
      <c r="F334" s="14"/>
      <c r="G334" s="6"/>
      <c r="H334" s="6"/>
      <c r="I334" s="25"/>
      <c r="J334" s="7"/>
      <c r="K334" s="15"/>
      <c r="L334" s="379">
        <f>IF(H334&lt;&gt;"",J334*K334,SUMIFS(L335:L$9844,$F335:$F$9844,"*"&amp;F334&amp;"*",$H335:$H$9844,"&lt;&gt;"))</f>
        <v>0</v>
      </c>
      <c r="M334" s="379" t="str">
        <f>IF(Tabela2[[#This Row],[UNID.]]&lt;&gt;"",IFERROR(VLOOKUP(Tabela2[[#This Row],[AGRUPADOR]],Lucratividade!$D$4:$O$129,6,0),0),"")</f>
        <v/>
      </c>
      <c r="N334" s="379">
        <f>IF(H334&lt;&gt;"",J334*M334*I334,SUMIFS(N335:N$9844,$F335:$F$9844,"*"&amp;F334&amp;"*",$H335:$H$9844,"&lt;&gt;"))</f>
        <v>0</v>
      </c>
      <c r="O334" s="162" t="str">
        <f>IFERROR((-Tabela2[[#This Row],[CUSTO TOTAL]]+Tabela2[[#This Row],[VENDA TOTAL]])/Tabela2[[#This Row],[VENDA TOTAL]]-PARAMETROS!$C$19,"")</f>
        <v/>
      </c>
      <c r="AA334" s="219">
        <f>SUM(Plan_Orc[[#This Row],[01/jan]:[01/dez]])</f>
        <v>0</v>
      </c>
      <c r="AB334" s="114"/>
      <c r="AC334" s="114"/>
      <c r="AD334" s="114"/>
      <c r="AE334" s="114"/>
      <c r="AF334" s="114"/>
      <c r="AG334" s="114"/>
      <c r="AH334" s="114"/>
      <c r="AI334" s="114"/>
      <c r="AJ334" s="114"/>
      <c r="AK334" s="114"/>
      <c r="AL334" s="114"/>
      <c r="AM334" s="114"/>
    </row>
    <row r="335" spans="2:39" ht="25.2" customHeight="1" x14ac:dyDescent="0.3">
      <c r="B335" s="13" t="str">
        <f t="shared" si="9"/>
        <v/>
      </c>
      <c r="C335" s="18"/>
      <c r="D335" s="19" t="str">
        <f>IF(Tabela2[[#This Row],[AGRUPADOR]]&lt;&gt;"",VLOOKUP(Tabela2[[#This Row],[AGRUPADOR]],Tabela1[],2,0),"")</f>
        <v/>
      </c>
      <c r="E335" s="19" t="str">
        <f>IF(Tabela2[[#This Row],[AGRUPADOR]]&lt;&gt;"",VLOOKUP(Tabela2[[#This Row],[AGRUPADOR]],Tabela1[],4,0),"")</f>
        <v/>
      </c>
      <c r="F335" s="14"/>
      <c r="G335" s="6"/>
      <c r="H335" s="6"/>
      <c r="I335" s="25"/>
      <c r="J335" s="7"/>
      <c r="K335" s="15"/>
      <c r="L335" s="379">
        <f>IF(H335&lt;&gt;"",J335*K335,SUMIFS(L336:L$9844,$F336:$F$9844,"*"&amp;F335&amp;"*",$H336:$H$9844,"&lt;&gt;"))</f>
        <v>0</v>
      </c>
      <c r="M335" s="379" t="str">
        <f>IF(Tabela2[[#This Row],[UNID.]]&lt;&gt;"",IFERROR(VLOOKUP(Tabela2[[#This Row],[AGRUPADOR]],Lucratividade!$D$4:$O$129,6,0),0),"")</f>
        <v/>
      </c>
      <c r="N335" s="379">
        <f>IF(H335&lt;&gt;"",J335*M335*I335,SUMIFS(N336:N$9844,$F336:$F$9844,"*"&amp;F335&amp;"*",$H336:$H$9844,"&lt;&gt;"))</f>
        <v>0</v>
      </c>
      <c r="O335" s="162" t="str">
        <f>IFERROR((-Tabela2[[#This Row],[CUSTO TOTAL]]+Tabela2[[#This Row],[VENDA TOTAL]])/Tabela2[[#This Row],[VENDA TOTAL]]-PARAMETROS!$C$19,"")</f>
        <v/>
      </c>
      <c r="AA335" s="219">
        <f>SUM(Plan_Orc[[#This Row],[01/jan]:[01/dez]])</f>
        <v>0</v>
      </c>
      <c r="AB335" s="114"/>
      <c r="AC335" s="114"/>
      <c r="AD335" s="114"/>
      <c r="AE335" s="114"/>
      <c r="AF335" s="114"/>
      <c r="AG335" s="114"/>
      <c r="AH335" s="114"/>
      <c r="AI335" s="114"/>
      <c r="AJ335" s="114"/>
      <c r="AK335" s="114"/>
      <c r="AL335" s="114"/>
      <c r="AM335" s="114"/>
    </row>
    <row r="336" spans="2:39" ht="25.2" customHeight="1" x14ac:dyDescent="0.3">
      <c r="B336" s="13" t="str">
        <f t="shared" si="9"/>
        <v/>
      </c>
      <c r="C336" s="18"/>
      <c r="D336" s="19" t="str">
        <f>IF(Tabela2[[#This Row],[AGRUPADOR]]&lt;&gt;"",VLOOKUP(Tabela2[[#This Row],[AGRUPADOR]],Tabela1[],2,0),"")</f>
        <v/>
      </c>
      <c r="E336" s="19" t="str">
        <f>IF(Tabela2[[#This Row],[AGRUPADOR]]&lt;&gt;"",VLOOKUP(Tabela2[[#This Row],[AGRUPADOR]],Tabela1[],4,0),"")</f>
        <v/>
      </c>
      <c r="F336" s="14"/>
      <c r="G336" s="6"/>
      <c r="H336" s="6"/>
      <c r="I336" s="25"/>
      <c r="J336" s="7"/>
      <c r="K336" s="15"/>
      <c r="L336" s="379">
        <f>IF(H336&lt;&gt;"",J336*K336,SUMIFS(L337:L$9844,$F337:$F$9844,"*"&amp;F336&amp;"*",$H337:$H$9844,"&lt;&gt;"))</f>
        <v>0</v>
      </c>
      <c r="M336" s="379" t="str">
        <f>IF(Tabela2[[#This Row],[UNID.]]&lt;&gt;"",IFERROR(VLOOKUP(Tabela2[[#This Row],[AGRUPADOR]],Lucratividade!$D$4:$O$129,6,0),0),"")</f>
        <v/>
      </c>
      <c r="N336" s="379">
        <f>IF(H336&lt;&gt;"",J336*M336*I336,SUMIFS(N337:N$9844,$F337:$F$9844,"*"&amp;F336&amp;"*",$H337:$H$9844,"&lt;&gt;"))</f>
        <v>0</v>
      </c>
      <c r="O336" s="162" t="str">
        <f>IFERROR((-Tabela2[[#This Row],[CUSTO TOTAL]]+Tabela2[[#This Row],[VENDA TOTAL]])/Tabela2[[#This Row],[VENDA TOTAL]]-PARAMETROS!$C$19,"")</f>
        <v/>
      </c>
      <c r="AA336" s="219">
        <f>SUM(Plan_Orc[[#This Row],[01/jan]:[01/dez]])</f>
        <v>0</v>
      </c>
      <c r="AB336" s="114"/>
      <c r="AC336" s="114"/>
      <c r="AD336" s="114"/>
      <c r="AE336" s="114"/>
      <c r="AF336" s="114"/>
      <c r="AG336" s="114"/>
      <c r="AH336" s="114"/>
      <c r="AI336" s="114"/>
      <c r="AJ336" s="114"/>
      <c r="AK336" s="114"/>
      <c r="AL336" s="114"/>
      <c r="AM336" s="114"/>
    </row>
    <row r="337" spans="2:39" ht="25.2" customHeight="1" x14ac:dyDescent="0.3">
      <c r="B337" s="13" t="str">
        <f t="shared" si="9"/>
        <v/>
      </c>
      <c r="C337" s="18"/>
      <c r="D337" s="19" t="str">
        <f>IF(Tabela2[[#This Row],[AGRUPADOR]]&lt;&gt;"",VLOOKUP(Tabela2[[#This Row],[AGRUPADOR]],Tabela1[],2,0),"")</f>
        <v/>
      </c>
      <c r="E337" s="19" t="str">
        <f>IF(Tabela2[[#This Row],[AGRUPADOR]]&lt;&gt;"",VLOOKUP(Tabela2[[#This Row],[AGRUPADOR]],Tabela1[],4,0),"")</f>
        <v/>
      </c>
      <c r="F337" s="14"/>
      <c r="G337" s="6"/>
      <c r="H337" s="6"/>
      <c r="I337" s="25"/>
      <c r="J337" s="7"/>
      <c r="K337" s="15"/>
      <c r="L337" s="379">
        <f>IF(H337&lt;&gt;"",J337*K337,SUMIFS(L338:L$9844,$F338:$F$9844,"*"&amp;F337&amp;"*",$H338:$H$9844,"&lt;&gt;"))</f>
        <v>0</v>
      </c>
      <c r="M337" s="379" t="str">
        <f>IF(Tabela2[[#This Row],[UNID.]]&lt;&gt;"",IFERROR(VLOOKUP(Tabela2[[#This Row],[AGRUPADOR]],Lucratividade!$D$4:$O$129,6,0),0),"")</f>
        <v/>
      </c>
      <c r="N337" s="379">
        <f>IF(H337&lt;&gt;"",J337*M337*I337,SUMIFS(N338:N$9844,$F338:$F$9844,"*"&amp;F337&amp;"*",$H338:$H$9844,"&lt;&gt;"))</f>
        <v>0</v>
      </c>
      <c r="O337" s="162" t="str">
        <f>IFERROR((-Tabela2[[#This Row],[CUSTO TOTAL]]+Tabela2[[#This Row],[VENDA TOTAL]])/Tabela2[[#This Row],[VENDA TOTAL]]-PARAMETROS!$C$19,"")</f>
        <v/>
      </c>
      <c r="AA337" s="219">
        <f>SUM(Plan_Orc[[#This Row],[01/jan]:[01/dez]])</f>
        <v>0</v>
      </c>
      <c r="AB337" s="114"/>
      <c r="AC337" s="114"/>
      <c r="AD337" s="114"/>
      <c r="AE337" s="114"/>
      <c r="AF337" s="114"/>
      <c r="AG337" s="114"/>
      <c r="AH337" s="114"/>
      <c r="AI337" s="114"/>
      <c r="AJ337" s="114"/>
      <c r="AK337" s="114"/>
      <c r="AL337" s="114"/>
      <c r="AM337" s="114"/>
    </row>
    <row r="338" spans="2:39" ht="25.2" customHeight="1" x14ac:dyDescent="0.3">
      <c r="B338" s="13" t="str">
        <f t="shared" si="9"/>
        <v/>
      </c>
      <c r="C338" s="18"/>
      <c r="D338" s="19" t="str">
        <f>IF(Tabela2[[#This Row],[AGRUPADOR]]&lt;&gt;"",VLOOKUP(Tabela2[[#This Row],[AGRUPADOR]],Tabela1[],2,0),"")</f>
        <v/>
      </c>
      <c r="E338" s="19" t="str">
        <f>IF(Tabela2[[#This Row],[AGRUPADOR]]&lt;&gt;"",VLOOKUP(Tabela2[[#This Row],[AGRUPADOR]],Tabela1[],4,0),"")</f>
        <v/>
      </c>
      <c r="F338" s="14"/>
      <c r="G338" s="6"/>
      <c r="H338" s="6"/>
      <c r="I338" s="25"/>
      <c r="J338" s="7"/>
      <c r="K338" s="15"/>
      <c r="L338" s="379">
        <f>IF(H338&lt;&gt;"",J338*K338,SUMIFS(L339:L$9844,$F339:$F$9844,"*"&amp;F338&amp;"*",$H339:$H$9844,"&lt;&gt;"))</f>
        <v>0</v>
      </c>
      <c r="M338" s="379" t="str">
        <f>IF(Tabela2[[#This Row],[UNID.]]&lt;&gt;"",IFERROR(VLOOKUP(Tabela2[[#This Row],[AGRUPADOR]],Lucratividade!$D$4:$O$129,6,0),0),"")</f>
        <v/>
      </c>
      <c r="N338" s="379">
        <f>IF(H338&lt;&gt;"",J338*M338*I338,SUMIFS(N339:N$9844,$F339:$F$9844,"*"&amp;F338&amp;"*",$H339:$H$9844,"&lt;&gt;"))</f>
        <v>0</v>
      </c>
      <c r="O338" s="162" t="str">
        <f>IFERROR((-Tabela2[[#This Row],[CUSTO TOTAL]]+Tabela2[[#This Row],[VENDA TOTAL]])/Tabela2[[#This Row],[VENDA TOTAL]]-PARAMETROS!$C$19,"")</f>
        <v/>
      </c>
      <c r="AA338" s="219">
        <f>SUM(Plan_Orc[[#This Row],[01/jan]:[01/dez]])</f>
        <v>0</v>
      </c>
      <c r="AB338" s="114"/>
      <c r="AC338" s="114"/>
      <c r="AD338" s="114"/>
      <c r="AE338" s="114"/>
      <c r="AF338" s="114"/>
      <c r="AG338" s="114"/>
      <c r="AH338" s="114"/>
      <c r="AI338" s="114"/>
      <c r="AJ338" s="114"/>
      <c r="AK338" s="114"/>
      <c r="AL338" s="114"/>
      <c r="AM338" s="114"/>
    </row>
    <row r="339" spans="2:39" ht="25.2" customHeight="1" x14ac:dyDescent="0.3">
      <c r="B339" s="13" t="str">
        <f t="shared" si="9"/>
        <v/>
      </c>
      <c r="C339" s="18"/>
      <c r="D339" s="19" t="str">
        <f>IF(Tabela2[[#This Row],[AGRUPADOR]]&lt;&gt;"",VLOOKUP(Tabela2[[#This Row],[AGRUPADOR]],Tabela1[],2,0),"")</f>
        <v/>
      </c>
      <c r="E339" s="19" t="str">
        <f>IF(Tabela2[[#This Row],[AGRUPADOR]]&lt;&gt;"",VLOOKUP(Tabela2[[#This Row],[AGRUPADOR]],Tabela1[],4,0),"")</f>
        <v/>
      </c>
      <c r="F339" s="14"/>
      <c r="G339" s="6"/>
      <c r="H339" s="6"/>
      <c r="I339" s="25"/>
      <c r="J339" s="7"/>
      <c r="K339" s="15"/>
      <c r="L339" s="379">
        <f>IF(H339&lt;&gt;"",J339*K339,SUMIFS(L340:L$9844,$F340:$F$9844,"*"&amp;F339&amp;"*",$H340:$H$9844,"&lt;&gt;"))</f>
        <v>0</v>
      </c>
      <c r="M339" s="379" t="str">
        <f>IF(Tabela2[[#This Row],[UNID.]]&lt;&gt;"",IFERROR(VLOOKUP(Tabela2[[#This Row],[AGRUPADOR]],Lucratividade!$D$4:$O$129,6,0),0),"")</f>
        <v/>
      </c>
      <c r="N339" s="379">
        <f>IF(H339&lt;&gt;"",J339*M339*I339,SUMIFS(N340:N$9844,$F340:$F$9844,"*"&amp;F339&amp;"*",$H340:$H$9844,"&lt;&gt;"))</f>
        <v>0</v>
      </c>
      <c r="O339" s="162" t="str">
        <f>IFERROR((-Tabela2[[#This Row],[CUSTO TOTAL]]+Tabela2[[#This Row],[VENDA TOTAL]])/Tabela2[[#This Row],[VENDA TOTAL]]-PARAMETROS!$C$19,"")</f>
        <v/>
      </c>
      <c r="AA339" s="219">
        <f>SUM(Plan_Orc[[#This Row],[01/jan]:[01/dez]])</f>
        <v>0</v>
      </c>
      <c r="AB339" s="114"/>
      <c r="AC339" s="114"/>
      <c r="AD339" s="114"/>
      <c r="AE339" s="114"/>
      <c r="AF339" s="114"/>
      <c r="AG339" s="114"/>
      <c r="AH339" s="114"/>
      <c r="AI339" s="114"/>
      <c r="AJ339" s="114"/>
      <c r="AK339" s="114"/>
      <c r="AL339" s="114"/>
      <c r="AM339" s="114"/>
    </row>
    <row r="340" spans="2:39" ht="25.2" customHeight="1" x14ac:dyDescent="0.3">
      <c r="B340" s="13" t="str">
        <f t="shared" si="9"/>
        <v/>
      </c>
      <c r="C340" s="18"/>
      <c r="D340" s="19" t="str">
        <f>IF(Tabela2[[#This Row],[AGRUPADOR]]&lt;&gt;"",VLOOKUP(Tabela2[[#This Row],[AGRUPADOR]],Tabela1[],2,0),"")</f>
        <v/>
      </c>
      <c r="E340" s="19" t="str">
        <f>IF(Tabela2[[#This Row],[AGRUPADOR]]&lt;&gt;"",VLOOKUP(Tabela2[[#This Row],[AGRUPADOR]],Tabela1[],4,0),"")</f>
        <v/>
      </c>
      <c r="F340" s="14"/>
      <c r="G340" s="6"/>
      <c r="H340" s="6"/>
      <c r="I340" s="25"/>
      <c r="J340" s="7"/>
      <c r="K340" s="15"/>
      <c r="L340" s="379">
        <f>IF(H340&lt;&gt;"",J340*K340,SUMIFS(L341:L$9844,$F341:$F$9844,"*"&amp;F340&amp;"*",$H341:$H$9844,"&lt;&gt;"))</f>
        <v>0</v>
      </c>
      <c r="M340" s="379" t="str">
        <f>IF(Tabela2[[#This Row],[UNID.]]&lt;&gt;"",IFERROR(VLOOKUP(Tabela2[[#This Row],[AGRUPADOR]],Lucratividade!$D$4:$O$129,6,0),0),"")</f>
        <v/>
      </c>
      <c r="N340" s="379">
        <f>IF(H340&lt;&gt;"",J340*M340*I340,SUMIFS(N341:N$9844,$F341:$F$9844,"*"&amp;F340&amp;"*",$H341:$H$9844,"&lt;&gt;"))</f>
        <v>0</v>
      </c>
      <c r="O340" s="162" t="str">
        <f>IFERROR((-Tabela2[[#This Row],[CUSTO TOTAL]]+Tabela2[[#This Row],[VENDA TOTAL]])/Tabela2[[#This Row],[VENDA TOTAL]]-PARAMETROS!$C$19,"")</f>
        <v/>
      </c>
      <c r="AA340" s="219">
        <f>SUM(Plan_Orc[[#This Row],[01/jan]:[01/dez]])</f>
        <v>0</v>
      </c>
      <c r="AB340" s="114"/>
      <c r="AC340" s="114"/>
      <c r="AD340" s="114"/>
      <c r="AE340" s="114"/>
      <c r="AF340" s="114"/>
      <c r="AG340" s="114"/>
      <c r="AH340" s="114"/>
      <c r="AI340" s="114"/>
      <c r="AJ340" s="114"/>
      <c r="AK340" s="114"/>
      <c r="AL340" s="114"/>
      <c r="AM340" s="114"/>
    </row>
    <row r="341" spans="2:39" ht="25.2" customHeight="1" x14ac:dyDescent="0.3">
      <c r="B341" s="13" t="str">
        <f t="shared" si="9"/>
        <v/>
      </c>
      <c r="C341" s="18"/>
      <c r="D341" s="19" t="str">
        <f>IF(Tabela2[[#This Row],[AGRUPADOR]]&lt;&gt;"",VLOOKUP(Tabela2[[#This Row],[AGRUPADOR]],Tabela1[],2,0),"")</f>
        <v/>
      </c>
      <c r="E341" s="19" t="str">
        <f>IF(Tabela2[[#This Row],[AGRUPADOR]]&lt;&gt;"",VLOOKUP(Tabela2[[#This Row],[AGRUPADOR]],Tabela1[],4,0),"")</f>
        <v/>
      </c>
      <c r="F341" s="14"/>
      <c r="G341" s="6"/>
      <c r="H341" s="6"/>
      <c r="I341" s="25"/>
      <c r="J341" s="7"/>
      <c r="K341" s="15"/>
      <c r="L341" s="379">
        <f>IF(H341&lt;&gt;"",J341*K341,SUMIFS(L342:L$9844,$F342:$F$9844,"*"&amp;F341&amp;"*",$H342:$H$9844,"&lt;&gt;"))</f>
        <v>0</v>
      </c>
      <c r="M341" s="379" t="str">
        <f>IF(Tabela2[[#This Row],[UNID.]]&lt;&gt;"",IFERROR(VLOOKUP(Tabela2[[#This Row],[AGRUPADOR]],Lucratividade!$D$4:$O$129,6,0),0),"")</f>
        <v/>
      </c>
      <c r="N341" s="379">
        <f>IF(H341&lt;&gt;"",J341*M341*I341,SUMIFS(N342:N$9844,$F342:$F$9844,"*"&amp;F341&amp;"*",$H342:$H$9844,"&lt;&gt;"))</f>
        <v>0</v>
      </c>
      <c r="O341" s="162" t="str">
        <f>IFERROR((-Tabela2[[#This Row],[CUSTO TOTAL]]+Tabela2[[#This Row],[VENDA TOTAL]])/Tabela2[[#This Row],[VENDA TOTAL]]-PARAMETROS!$C$19,"")</f>
        <v/>
      </c>
      <c r="AA341" s="219">
        <f>SUM(Plan_Orc[[#This Row],[01/jan]:[01/dez]])</f>
        <v>0</v>
      </c>
      <c r="AB341" s="114"/>
      <c r="AC341" s="114"/>
      <c r="AD341" s="114"/>
      <c r="AE341" s="114"/>
      <c r="AF341" s="114"/>
      <c r="AG341" s="114"/>
      <c r="AH341" s="114"/>
      <c r="AI341" s="114"/>
      <c r="AJ341" s="114"/>
      <c r="AK341" s="114"/>
      <c r="AL341" s="114"/>
      <c r="AM341" s="114"/>
    </row>
    <row r="342" spans="2:39" ht="25.2" customHeight="1" x14ac:dyDescent="0.3">
      <c r="B342" s="13" t="str">
        <f t="shared" si="9"/>
        <v/>
      </c>
      <c r="C342" s="18"/>
      <c r="D342" s="19" t="str">
        <f>IF(Tabela2[[#This Row],[AGRUPADOR]]&lt;&gt;"",VLOOKUP(Tabela2[[#This Row],[AGRUPADOR]],Tabela1[],2,0),"")</f>
        <v/>
      </c>
      <c r="E342" s="19" t="str">
        <f>IF(Tabela2[[#This Row],[AGRUPADOR]]&lt;&gt;"",VLOOKUP(Tabela2[[#This Row],[AGRUPADOR]],Tabela1[],4,0),"")</f>
        <v/>
      </c>
      <c r="F342" s="14"/>
      <c r="G342" s="6"/>
      <c r="H342" s="6"/>
      <c r="I342" s="25"/>
      <c r="J342" s="7"/>
      <c r="K342" s="15"/>
      <c r="L342" s="379">
        <f>IF(H342&lt;&gt;"",J342*K342,SUMIFS(L343:L$9844,$F343:$F$9844,"*"&amp;F342&amp;"*",$H343:$H$9844,"&lt;&gt;"))</f>
        <v>0</v>
      </c>
      <c r="M342" s="379" t="str">
        <f>IF(Tabela2[[#This Row],[UNID.]]&lt;&gt;"",IFERROR(VLOOKUP(Tabela2[[#This Row],[AGRUPADOR]],Lucratividade!$D$4:$O$129,6,0),0),"")</f>
        <v/>
      </c>
      <c r="N342" s="379">
        <f>IF(H342&lt;&gt;"",J342*M342*I342,SUMIFS(N343:N$9844,$F343:$F$9844,"*"&amp;F342&amp;"*",$H343:$H$9844,"&lt;&gt;"))</f>
        <v>0</v>
      </c>
      <c r="O342" s="162" t="str">
        <f>IFERROR((-Tabela2[[#This Row],[CUSTO TOTAL]]+Tabela2[[#This Row],[VENDA TOTAL]])/Tabela2[[#This Row],[VENDA TOTAL]]-PARAMETROS!$C$19,"")</f>
        <v/>
      </c>
      <c r="AA342" s="219">
        <f>SUM(Plan_Orc[[#This Row],[01/jan]:[01/dez]])</f>
        <v>0</v>
      </c>
      <c r="AB342" s="114"/>
      <c r="AC342" s="114"/>
      <c r="AD342" s="114"/>
      <c r="AE342" s="114"/>
      <c r="AF342" s="114"/>
      <c r="AG342" s="114"/>
      <c r="AH342" s="114"/>
      <c r="AI342" s="114"/>
      <c r="AJ342" s="114"/>
      <c r="AK342" s="114"/>
      <c r="AL342" s="114"/>
      <c r="AM342" s="114"/>
    </row>
    <row r="343" spans="2:39" ht="25.2" customHeight="1" x14ac:dyDescent="0.3">
      <c r="B343" s="13" t="str">
        <f t="shared" si="9"/>
        <v/>
      </c>
      <c r="C343" s="18"/>
      <c r="D343" s="19" t="str">
        <f>IF(Tabela2[[#This Row],[AGRUPADOR]]&lt;&gt;"",VLOOKUP(Tabela2[[#This Row],[AGRUPADOR]],Tabela1[],2,0),"")</f>
        <v/>
      </c>
      <c r="E343" s="19" t="str">
        <f>IF(Tabela2[[#This Row],[AGRUPADOR]]&lt;&gt;"",VLOOKUP(Tabela2[[#This Row],[AGRUPADOR]],Tabela1[],4,0),"")</f>
        <v/>
      </c>
      <c r="F343" s="14"/>
      <c r="G343" s="6"/>
      <c r="H343" s="6"/>
      <c r="I343" s="25"/>
      <c r="J343" s="7"/>
      <c r="K343" s="15"/>
      <c r="L343" s="379">
        <f>IF(H343&lt;&gt;"",J343*K343,SUMIFS(L344:L$9844,$F344:$F$9844,"*"&amp;F343&amp;"*",$H344:$H$9844,"&lt;&gt;"))</f>
        <v>0</v>
      </c>
      <c r="M343" s="379" t="str">
        <f>IF(Tabela2[[#This Row],[UNID.]]&lt;&gt;"",IFERROR(VLOOKUP(Tabela2[[#This Row],[AGRUPADOR]],Lucratividade!$D$4:$O$129,6,0),0),"")</f>
        <v/>
      </c>
      <c r="N343" s="379">
        <f>IF(H343&lt;&gt;"",J343*M343*I343,SUMIFS(N344:N$9844,$F344:$F$9844,"*"&amp;F343&amp;"*",$H344:$H$9844,"&lt;&gt;"))</f>
        <v>0</v>
      </c>
      <c r="O343" s="162" t="str">
        <f>IFERROR((-Tabela2[[#This Row],[CUSTO TOTAL]]+Tabela2[[#This Row],[VENDA TOTAL]])/Tabela2[[#This Row],[VENDA TOTAL]]-PARAMETROS!$C$19,"")</f>
        <v/>
      </c>
      <c r="AA343" s="219">
        <f>SUM(Plan_Orc[[#This Row],[01/jan]:[01/dez]])</f>
        <v>0</v>
      </c>
      <c r="AB343" s="114"/>
      <c r="AC343" s="114"/>
      <c r="AD343" s="114"/>
      <c r="AE343" s="114"/>
      <c r="AF343" s="114"/>
      <c r="AG343" s="114"/>
      <c r="AH343" s="114"/>
      <c r="AI343" s="114"/>
      <c r="AJ343" s="114"/>
      <c r="AK343" s="114"/>
      <c r="AL343" s="114"/>
      <c r="AM343" s="114"/>
    </row>
    <row r="344" spans="2:39" ht="25.2" customHeight="1" x14ac:dyDescent="0.3">
      <c r="B344" s="13" t="str">
        <f t="shared" si="9"/>
        <v/>
      </c>
      <c r="C344" s="18"/>
      <c r="D344" s="19" t="str">
        <f>IF(Tabela2[[#This Row],[AGRUPADOR]]&lt;&gt;"",VLOOKUP(Tabela2[[#This Row],[AGRUPADOR]],Tabela1[],2,0),"")</f>
        <v/>
      </c>
      <c r="E344" s="19" t="str">
        <f>IF(Tabela2[[#This Row],[AGRUPADOR]]&lt;&gt;"",VLOOKUP(Tabela2[[#This Row],[AGRUPADOR]],Tabela1[],4,0),"")</f>
        <v/>
      </c>
      <c r="F344" s="14"/>
      <c r="G344" s="6"/>
      <c r="H344" s="6"/>
      <c r="I344" s="25"/>
      <c r="J344" s="7"/>
      <c r="K344" s="15"/>
      <c r="L344" s="379">
        <f>IF(H344&lt;&gt;"",J344*K344,SUMIFS(L345:L$9844,$F345:$F$9844,"*"&amp;F344&amp;"*",$H345:$H$9844,"&lt;&gt;"))</f>
        <v>0</v>
      </c>
      <c r="M344" s="379" t="str">
        <f>IF(Tabela2[[#This Row],[UNID.]]&lt;&gt;"",IFERROR(VLOOKUP(Tabela2[[#This Row],[AGRUPADOR]],Lucratividade!$D$4:$O$129,6,0),0),"")</f>
        <v/>
      </c>
      <c r="N344" s="379">
        <f>IF(H344&lt;&gt;"",J344*M344*I344,SUMIFS(N345:N$9844,$F345:$F$9844,"*"&amp;F344&amp;"*",$H345:$H$9844,"&lt;&gt;"))</f>
        <v>0</v>
      </c>
      <c r="O344" s="162" t="str">
        <f>IFERROR((-Tabela2[[#This Row],[CUSTO TOTAL]]+Tabela2[[#This Row],[VENDA TOTAL]])/Tabela2[[#This Row],[VENDA TOTAL]]-PARAMETROS!$C$19,"")</f>
        <v/>
      </c>
      <c r="AA344" s="219">
        <f>SUM(Plan_Orc[[#This Row],[01/jan]:[01/dez]])</f>
        <v>0</v>
      </c>
      <c r="AB344" s="114"/>
      <c r="AC344" s="114"/>
      <c r="AD344" s="114"/>
      <c r="AE344" s="114"/>
      <c r="AF344" s="114"/>
      <c r="AG344" s="114"/>
      <c r="AH344" s="114"/>
      <c r="AI344" s="114"/>
      <c r="AJ344" s="114"/>
      <c r="AK344" s="114"/>
      <c r="AL344" s="114"/>
      <c r="AM344" s="114"/>
    </row>
    <row r="345" spans="2:39" ht="25.2" customHeight="1" x14ac:dyDescent="0.3">
      <c r="B345" s="13" t="str">
        <f t="shared" si="9"/>
        <v/>
      </c>
      <c r="C345" s="18"/>
      <c r="D345" s="19" t="str">
        <f>IF(Tabela2[[#This Row],[AGRUPADOR]]&lt;&gt;"",VLOOKUP(Tabela2[[#This Row],[AGRUPADOR]],Tabela1[],2,0),"")</f>
        <v/>
      </c>
      <c r="E345" s="19" t="str">
        <f>IF(Tabela2[[#This Row],[AGRUPADOR]]&lt;&gt;"",VLOOKUP(Tabela2[[#This Row],[AGRUPADOR]],Tabela1[],4,0),"")</f>
        <v/>
      </c>
      <c r="F345" s="14"/>
      <c r="G345" s="6"/>
      <c r="H345" s="6"/>
      <c r="I345" s="25"/>
      <c r="J345" s="7"/>
      <c r="K345" s="15"/>
      <c r="L345" s="379">
        <f>IF(H345&lt;&gt;"",J345*K345,SUMIFS(L346:L$9844,$F346:$F$9844,"*"&amp;F345&amp;"*",$H346:$H$9844,"&lt;&gt;"))</f>
        <v>0</v>
      </c>
      <c r="M345" s="379" t="str">
        <f>IF(Tabela2[[#This Row],[UNID.]]&lt;&gt;"",IFERROR(VLOOKUP(Tabela2[[#This Row],[AGRUPADOR]],Lucratividade!$D$4:$O$129,6,0),0),"")</f>
        <v/>
      </c>
      <c r="N345" s="379">
        <f>IF(H345&lt;&gt;"",J345*M345*I345,SUMIFS(N346:N$9844,$F346:$F$9844,"*"&amp;F345&amp;"*",$H346:$H$9844,"&lt;&gt;"))</f>
        <v>0</v>
      </c>
      <c r="O345" s="162" t="str">
        <f>IFERROR((-Tabela2[[#This Row],[CUSTO TOTAL]]+Tabela2[[#This Row],[VENDA TOTAL]])/Tabela2[[#This Row],[VENDA TOTAL]]-PARAMETROS!$C$19,"")</f>
        <v/>
      </c>
      <c r="AA345" s="219">
        <f>SUM(Plan_Orc[[#This Row],[01/jan]:[01/dez]])</f>
        <v>0</v>
      </c>
      <c r="AB345" s="114"/>
      <c r="AC345" s="114"/>
      <c r="AD345" s="114"/>
      <c r="AE345" s="114"/>
      <c r="AF345" s="114"/>
      <c r="AG345" s="114"/>
      <c r="AH345" s="114"/>
      <c r="AI345" s="114"/>
      <c r="AJ345" s="114"/>
      <c r="AK345" s="114"/>
      <c r="AL345" s="114"/>
      <c r="AM345" s="114"/>
    </row>
    <row r="346" spans="2:39" ht="25.2" customHeight="1" x14ac:dyDescent="0.3">
      <c r="B346" s="13" t="str">
        <f t="shared" si="9"/>
        <v/>
      </c>
      <c r="C346" s="18"/>
      <c r="D346" s="19" t="str">
        <f>IF(Tabela2[[#This Row],[AGRUPADOR]]&lt;&gt;"",VLOOKUP(Tabela2[[#This Row],[AGRUPADOR]],Tabela1[],2,0),"")</f>
        <v/>
      </c>
      <c r="E346" s="19" t="str">
        <f>IF(Tabela2[[#This Row],[AGRUPADOR]]&lt;&gt;"",VLOOKUP(Tabela2[[#This Row],[AGRUPADOR]],Tabela1[],4,0),"")</f>
        <v/>
      </c>
      <c r="F346" s="14"/>
      <c r="G346" s="6"/>
      <c r="H346" s="6"/>
      <c r="I346" s="25"/>
      <c r="J346" s="7"/>
      <c r="K346" s="15"/>
      <c r="L346" s="379">
        <f>IF(H346&lt;&gt;"",J346*K346,SUMIFS(L347:L$9844,$F347:$F$9844,"*"&amp;F346&amp;"*",$H347:$H$9844,"&lt;&gt;"))</f>
        <v>0</v>
      </c>
      <c r="M346" s="379" t="str">
        <f>IF(Tabela2[[#This Row],[UNID.]]&lt;&gt;"",IFERROR(VLOOKUP(Tabela2[[#This Row],[AGRUPADOR]],Lucratividade!$D$4:$O$129,6,0),0),"")</f>
        <v/>
      </c>
      <c r="N346" s="379">
        <f>IF(H346&lt;&gt;"",J346*M346*I346,SUMIFS(N347:N$9844,$F347:$F$9844,"*"&amp;F346&amp;"*",$H347:$H$9844,"&lt;&gt;"))</f>
        <v>0</v>
      </c>
      <c r="O346" s="162" t="str">
        <f>IFERROR((-Tabela2[[#This Row],[CUSTO TOTAL]]+Tabela2[[#This Row],[VENDA TOTAL]])/Tabela2[[#This Row],[VENDA TOTAL]]-PARAMETROS!$C$19,"")</f>
        <v/>
      </c>
      <c r="AA346" s="219">
        <f>SUM(Plan_Orc[[#This Row],[01/jan]:[01/dez]])</f>
        <v>0</v>
      </c>
      <c r="AB346" s="114"/>
      <c r="AC346" s="114"/>
      <c r="AD346" s="114"/>
      <c r="AE346" s="114"/>
      <c r="AF346" s="114"/>
      <c r="AG346" s="114"/>
      <c r="AH346" s="114"/>
      <c r="AI346" s="114"/>
      <c r="AJ346" s="114"/>
      <c r="AK346" s="114"/>
      <c r="AL346" s="114"/>
      <c r="AM346" s="114"/>
    </row>
    <row r="347" spans="2:39" ht="25.2" customHeight="1" x14ac:dyDescent="0.3">
      <c r="B347" s="13" t="str">
        <f t="shared" si="9"/>
        <v/>
      </c>
      <c r="C347" s="18"/>
      <c r="D347" s="19" t="str">
        <f>IF(Tabela2[[#This Row],[AGRUPADOR]]&lt;&gt;"",VLOOKUP(Tabela2[[#This Row],[AGRUPADOR]],Tabela1[],2,0),"")</f>
        <v/>
      </c>
      <c r="E347" s="19" t="str">
        <f>IF(Tabela2[[#This Row],[AGRUPADOR]]&lt;&gt;"",VLOOKUP(Tabela2[[#This Row],[AGRUPADOR]],Tabela1[],4,0),"")</f>
        <v/>
      </c>
      <c r="F347" s="14"/>
      <c r="G347" s="6"/>
      <c r="H347" s="6"/>
      <c r="I347" s="25"/>
      <c r="J347" s="7"/>
      <c r="K347" s="15"/>
      <c r="L347" s="379">
        <f>IF(H347&lt;&gt;"",J347*K347,SUMIFS(L348:L$9844,$F348:$F$9844,"*"&amp;F347&amp;"*",$H348:$H$9844,"&lt;&gt;"))</f>
        <v>0</v>
      </c>
      <c r="M347" s="379" t="str">
        <f>IF(Tabela2[[#This Row],[UNID.]]&lt;&gt;"",IFERROR(VLOOKUP(Tabela2[[#This Row],[AGRUPADOR]],Lucratividade!$D$4:$O$129,6,0),0),"")</f>
        <v/>
      </c>
      <c r="N347" s="379">
        <f>IF(H347&lt;&gt;"",J347*M347*I347,SUMIFS(N348:N$9844,$F348:$F$9844,"*"&amp;F347&amp;"*",$H348:$H$9844,"&lt;&gt;"))</f>
        <v>0</v>
      </c>
      <c r="O347" s="162" t="str">
        <f>IFERROR((-Tabela2[[#This Row],[CUSTO TOTAL]]+Tabela2[[#This Row],[VENDA TOTAL]])/Tabela2[[#This Row],[VENDA TOTAL]]-PARAMETROS!$C$19,"")</f>
        <v/>
      </c>
      <c r="AA347" s="219">
        <f>SUM(Plan_Orc[[#This Row],[01/jan]:[01/dez]])</f>
        <v>0</v>
      </c>
      <c r="AB347" s="114"/>
      <c r="AC347" s="114"/>
      <c r="AD347" s="114"/>
      <c r="AE347" s="114"/>
      <c r="AF347" s="114"/>
      <c r="AG347" s="114"/>
      <c r="AH347" s="114"/>
      <c r="AI347" s="114"/>
      <c r="AJ347" s="114"/>
      <c r="AK347" s="114"/>
      <c r="AL347" s="114"/>
      <c r="AM347" s="114"/>
    </row>
    <row r="348" spans="2:39" ht="25.2" customHeight="1" x14ac:dyDescent="0.3">
      <c r="B348" s="13" t="str">
        <f t="shared" si="9"/>
        <v/>
      </c>
      <c r="C348" s="18"/>
      <c r="D348" s="19" t="str">
        <f>IF(Tabela2[[#This Row],[AGRUPADOR]]&lt;&gt;"",VLOOKUP(Tabela2[[#This Row],[AGRUPADOR]],Tabela1[],2,0),"")</f>
        <v/>
      </c>
      <c r="E348" s="19" t="str">
        <f>IF(Tabela2[[#This Row],[AGRUPADOR]]&lt;&gt;"",VLOOKUP(Tabela2[[#This Row],[AGRUPADOR]],Tabela1[],4,0),"")</f>
        <v/>
      </c>
      <c r="F348" s="14"/>
      <c r="G348" s="6"/>
      <c r="H348" s="6"/>
      <c r="I348" s="25"/>
      <c r="J348" s="7"/>
      <c r="K348" s="15"/>
      <c r="L348" s="379">
        <f>IF(H348&lt;&gt;"",J348*K348,SUMIFS(L349:L$9844,$F349:$F$9844,"*"&amp;F348&amp;"*",$H349:$H$9844,"&lt;&gt;"))</f>
        <v>0</v>
      </c>
      <c r="M348" s="379" t="str">
        <f>IF(Tabela2[[#This Row],[UNID.]]&lt;&gt;"",IFERROR(VLOOKUP(Tabela2[[#This Row],[AGRUPADOR]],Lucratividade!$D$4:$O$129,6,0),0),"")</f>
        <v/>
      </c>
      <c r="N348" s="379">
        <f>IF(H348&lt;&gt;"",J348*M348*I348,SUMIFS(N349:N$9844,$F349:$F$9844,"*"&amp;F348&amp;"*",$H349:$H$9844,"&lt;&gt;"))</f>
        <v>0</v>
      </c>
      <c r="O348" s="162" t="str">
        <f>IFERROR((-Tabela2[[#This Row],[CUSTO TOTAL]]+Tabela2[[#This Row],[VENDA TOTAL]])/Tabela2[[#This Row],[VENDA TOTAL]]-PARAMETROS!$C$19,"")</f>
        <v/>
      </c>
      <c r="AA348" s="219">
        <f>SUM(Plan_Orc[[#This Row],[01/jan]:[01/dez]])</f>
        <v>0</v>
      </c>
      <c r="AB348" s="114"/>
      <c r="AC348" s="114"/>
      <c r="AD348" s="114"/>
      <c r="AE348" s="114"/>
      <c r="AF348" s="114"/>
      <c r="AG348" s="114"/>
      <c r="AH348" s="114"/>
      <c r="AI348" s="114"/>
      <c r="AJ348" s="114"/>
      <c r="AK348" s="114"/>
      <c r="AL348" s="114"/>
      <c r="AM348" s="114"/>
    </row>
    <row r="349" spans="2:39" ht="25.2" customHeight="1" x14ac:dyDescent="0.3">
      <c r="B349" s="13" t="str">
        <f t="shared" si="9"/>
        <v/>
      </c>
      <c r="C349" s="18"/>
      <c r="D349" s="19" t="str">
        <f>IF(Tabela2[[#This Row],[AGRUPADOR]]&lt;&gt;"",VLOOKUP(Tabela2[[#This Row],[AGRUPADOR]],Tabela1[],2,0),"")</f>
        <v/>
      </c>
      <c r="E349" s="19" t="str">
        <f>IF(Tabela2[[#This Row],[AGRUPADOR]]&lt;&gt;"",VLOOKUP(Tabela2[[#This Row],[AGRUPADOR]],Tabela1[],4,0),"")</f>
        <v/>
      </c>
      <c r="F349" s="14"/>
      <c r="G349" s="6"/>
      <c r="H349" s="6"/>
      <c r="I349" s="25"/>
      <c r="J349" s="7"/>
      <c r="K349" s="15"/>
      <c r="L349" s="379">
        <f>IF(H349&lt;&gt;"",J349*K349,SUMIFS(L350:L$9844,$F350:$F$9844,"*"&amp;F349&amp;"*",$H350:$H$9844,"&lt;&gt;"))</f>
        <v>0</v>
      </c>
      <c r="M349" s="379" t="str">
        <f>IF(Tabela2[[#This Row],[UNID.]]&lt;&gt;"",IFERROR(VLOOKUP(Tabela2[[#This Row],[AGRUPADOR]],Lucratividade!$D$4:$O$129,6,0),0),"")</f>
        <v/>
      </c>
      <c r="N349" s="379">
        <f>IF(H349&lt;&gt;"",J349*M349*I349,SUMIFS(N350:N$9844,$F350:$F$9844,"*"&amp;F349&amp;"*",$H350:$H$9844,"&lt;&gt;"))</f>
        <v>0</v>
      </c>
      <c r="O349" s="162" t="str">
        <f>IFERROR((-Tabela2[[#This Row],[CUSTO TOTAL]]+Tabela2[[#This Row],[VENDA TOTAL]])/Tabela2[[#This Row],[VENDA TOTAL]]-PARAMETROS!$C$19,"")</f>
        <v/>
      </c>
      <c r="AA349" s="219">
        <f>SUM(Plan_Orc[[#This Row],[01/jan]:[01/dez]])</f>
        <v>0</v>
      </c>
      <c r="AB349" s="114"/>
      <c r="AC349" s="114"/>
      <c r="AD349" s="114"/>
      <c r="AE349" s="114"/>
      <c r="AF349" s="114"/>
      <c r="AG349" s="114"/>
      <c r="AH349" s="114"/>
      <c r="AI349" s="114"/>
      <c r="AJ349" s="114"/>
      <c r="AK349" s="114"/>
      <c r="AL349" s="114"/>
      <c r="AM349" s="114"/>
    </row>
    <row r="350" spans="2:39" ht="25.2" customHeight="1" x14ac:dyDescent="0.3">
      <c r="B350" s="13" t="str">
        <f t="shared" si="9"/>
        <v/>
      </c>
      <c r="C350" s="18"/>
      <c r="D350" s="19" t="str">
        <f>IF(Tabela2[[#This Row],[AGRUPADOR]]&lt;&gt;"",VLOOKUP(Tabela2[[#This Row],[AGRUPADOR]],Tabela1[],2,0),"")</f>
        <v/>
      </c>
      <c r="E350" s="19" t="str">
        <f>IF(Tabela2[[#This Row],[AGRUPADOR]]&lt;&gt;"",VLOOKUP(Tabela2[[#This Row],[AGRUPADOR]],Tabela1[],4,0),"")</f>
        <v/>
      </c>
      <c r="F350" s="14"/>
      <c r="G350" s="6"/>
      <c r="H350" s="6"/>
      <c r="I350" s="25"/>
      <c r="J350" s="7"/>
      <c r="K350" s="15"/>
      <c r="L350" s="379">
        <f>IF(H350&lt;&gt;"",J350*K350,SUMIFS(L351:L$9844,$F351:$F$9844,"*"&amp;F350&amp;"*",$H351:$H$9844,"&lt;&gt;"))</f>
        <v>0</v>
      </c>
      <c r="M350" s="379" t="str">
        <f>IF(Tabela2[[#This Row],[UNID.]]&lt;&gt;"",IFERROR(VLOOKUP(Tabela2[[#This Row],[AGRUPADOR]],Lucratividade!$D$4:$O$129,6,0),0),"")</f>
        <v/>
      </c>
      <c r="N350" s="379">
        <f>IF(H350&lt;&gt;"",J350*M350*I350,SUMIFS(N351:N$9844,$F351:$F$9844,"*"&amp;F350&amp;"*",$H351:$H$9844,"&lt;&gt;"))</f>
        <v>0</v>
      </c>
      <c r="O350" s="162" t="str">
        <f>IFERROR((-Tabela2[[#This Row],[CUSTO TOTAL]]+Tabela2[[#This Row],[VENDA TOTAL]])/Tabela2[[#This Row],[VENDA TOTAL]]-PARAMETROS!$C$19,"")</f>
        <v/>
      </c>
      <c r="AA350" s="219">
        <f>SUM(Plan_Orc[[#This Row],[01/jan]:[01/dez]])</f>
        <v>0</v>
      </c>
      <c r="AB350" s="114"/>
      <c r="AC350" s="114"/>
      <c r="AD350" s="114"/>
      <c r="AE350" s="114"/>
      <c r="AF350" s="114"/>
      <c r="AG350" s="114"/>
      <c r="AH350" s="114"/>
      <c r="AI350" s="114"/>
      <c r="AJ350" s="114"/>
      <c r="AK350" s="114"/>
      <c r="AL350" s="114"/>
      <c r="AM350" s="114"/>
    </row>
    <row r="351" spans="2:39" ht="25.2" customHeight="1" x14ac:dyDescent="0.3">
      <c r="B351" s="13" t="str">
        <f t="shared" si="9"/>
        <v/>
      </c>
      <c r="C351" s="18"/>
      <c r="D351" s="19" t="str">
        <f>IF(Tabela2[[#This Row],[AGRUPADOR]]&lt;&gt;"",VLOOKUP(Tabela2[[#This Row],[AGRUPADOR]],Tabela1[],2,0),"")</f>
        <v/>
      </c>
      <c r="E351" s="19" t="str">
        <f>IF(Tabela2[[#This Row],[AGRUPADOR]]&lt;&gt;"",VLOOKUP(Tabela2[[#This Row],[AGRUPADOR]],Tabela1[],4,0),"")</f>
        <v/>
      </c>
      <c r="F351" s="14"/>
      <c r="G351" s="6"/>
      <c r="H351" s="6"/>
      <c r="I351" s="25"/>
      <c r="J351" s="7"/>
      <c r="K351" s="15"/>
      <c r="L351" s="379">
        <f>IF(H351&lt;&gt;"",J351*K351,SUMIFS(L352:L$9844,$F352:$F$9844,"*"&amp;F351&amp;"*",$H352:$H$9844,"&lt;&gt;"))</f>
        <v>0</v>
      </c>
      <c r="M351" s="379" t="str">
        <f>IF(Tabela2[[#This Row],[UNID.]]&lt;&gt;"",IFERROR(VLOOKUP(Tabela2[[#This Row],[AGRUPADOR]],Lucratividade!$D$4:$O$129,6,0),0),"")</f>
        <v/>
      </c>
      <c r="N351" s="379">
        <f>IF(H351&lt;&gt;"",J351*M351*I351,SUMIFS(N352:N$9844,$F352:$F$9844,"*"&amp;F351&amp;"*",$H352:$H$9844,"&lt;&gt;"))</f>
        <v>0</v>
      </c>
      <c r="O351" s="162" t="str">
        <f>IFERROR((-Tabela2[[#This Row],[CUSTO TOTAL]]+Tabela2[[#This Row],[VENDA TOTAL]])/Tabela2[[#This Row],[VENDA TOTAL]]-PARAMETROS!$C$19,"")</f>
        <v/>
      </c>
      <c r="AA351" s="218">
        <f>SUM(Plan_Orc[[#This Row],[01/jan]:[01/dez]])</f>
        <v>0</v>
      </c>
      <c r="AB351" s="113"/>
      <c r="AC351" s="113"/>
      <c r="AD351" s="113"/>
      <c r="AE351" s="113"/>
      <c r="AF351" s="113"/>
      <c r="AG351" s="113"/>
      <c r="AH351" s="113"/>
      <c r="AI351" s="113"/>
      <c r="AJ351" s="113"/>
      <c r="AK351" s="113"/>
      <c r="AL351" s="113"/>
      <c r="AM351" s="113"/>
    </row>
    <row r="352" spans="2:39" ht="25.2" customHeight="1" x14ac:dyDescent="0.3">
      <c r="B352" s="13" t="str">
        <f t="shared" si="9"/>
        <v/>
      </c>
      <c r="C352" s="18"/>
      <c r="D352" s="19" t="str">
        <f>IF(Tabela2[[#This Row],[AGRUPADOR]]&lt;&gt;"",VLOOKUP(Tabela2[[#This Row],[AGRUPADOR]],Tabela1[],2,0),"")</f>
        <v/>
      </c>
      <c r="E352" s="19" t="str">
        <f>IF(Tabela2[[#This Row],[AGRUPADOR]]&lt;&gt;"",VLOOKUP(Tabela2[[#This Row],[AGRUPADOR]],Tabela1[],4,0),"")</f>
        <v/>
      </c>
      <c r="F352" s="14"/>
      <c r="G352" s="6"/>
      <c r="H352" s="6"/>
      <c r="I352" s="25"/>
      <c r="J352" s="7"/>
      <c r="K352" s="15"/>
      <c r="L352" s="379">
        <f>IF(H352&lt;&gt;"",J352*K352,SUMIFS(L353:L$9844,$F353:$F$9844,"*"&amp;F352&amp;"*",$H353:$H$9844,"&lt;&gt;"))</f>
        <v>0</v>
      </c>
      <c r="M352" s="379" t="str">
        <f>IF(Tabela2[[#This Row],[UNID.]]&lt;&gt;"",IFERROR(VLOOKUP(Tabela2[[#This Row],[AGRUPADOR]],Lucratividade!$D$4:$O$129,6,0),0),"")</f>
        <v/>
      </c>
      <c r="N352" s="379">
        <f>IF(H352&lt;&gt;"",J352*M352*I352,SUMIFS(N353:N$9844,$F353:$F$9844,"*"&amp;F352&amp;"*",$H353:$H$9844,"&lt;&gt;"))</f>
        <v>0</v>
      </c>
      <c r="O352" s="162" t="str">
        <f>IFERROR((-Tabela2[[#This Row],[CUSTO TOTAL]]+Tabela2[[#This Row],[VENDA TOTAL]])/Tabela2[[#This Row],[VENDA TOTAL]]-PARAMETROS!$C$19,"")</f>
        <v/>
      </c>
      <c r="AA352" s="219">
        <f>SUM(Plan_Orc[[#This Row],[01/jan]:[01/dez]])</f>
        <v>0</v>
      </c>
      <c r="AB352" s="114"/>
      <c r="AC352" s="114"/>
      <c r="AD352" s="114"/>
      <c r="AE352" s="114"/>
      <c r="AF352" s="114"/>
      <c r="AG352" s="114"/>
      <c r="AH352" s="114"/>
      <c r="AI352" s="114"/>
      <c r="AJ352" s="114"/>
      <c r="AK352" s="114"/>
      <c r="AL352" s="114"/>
      <c r="AM352" s="114"/>
    </row>
    <row r="353" spans="2:39" ht="25.2" customHeight="1" x14ac:dyDescent="0.3">
      <c r="B353" s="13" t="str">
        <f t="shared" si="9"/>
        <v/>
      </c>
      <c r="C353" s="18"/>
      <c r="D353" s="19" t="str">
        <f>IF(Tabela2[[#This Row],[AGRUPADOR]]&lt;&gt;"",VLOOKUP(Tabela2[[#This Row],[AGRUPADOR]],Tabela1[],2,0),"")</f>
        <v/>
      </c>
      <c r="E353" s="19" t="str">
        <f>IF(Tabela2[[#This Row],[AGRUPADOR]]&lt;&gt;"",VLOOKUP(Tabela2[[#This Row],[AGRUPADOR]],Tabela1[],4,0),"")</f>
        <v/>
      </c>
      <c r="F353" s="14"/>
      <c r="G353" s="6"/>
      <c r="H353" s="6"/>
      <c r="I353" s="25"/>
      <c r="J353" s="7"/>
      <c r="K353" s="15"/>
      <c r="L353" s="379">
        <f>IF(H353&lt;&gt;"",J353*K353,SUMIFS(L354:L$9844,$F354:$F$9844,"*"&amp;F353&amp;"*",$H354:$H$9844,"&lt;&gt;"))</f>
        <v>0</v>
      </c>
      <c r="M353" s="379" t="str">
        <f>IF(Tabela2[[#This Row],[UNID.]]&lt;&gt;"",IFERROR(VLOOKUP(Tabela2[[#This Row],[AGRUPADOR]],Lucratividade!$D$4:$O$129,6,0),0),"")</f>
        <v/>
      </c>
      <c r="N353" s="379">
        <f>IF(H353&lt;&gt;"",J353*M353*I353,SUMIFS(N354:N$9844,$F354:$F$9844,"*"&amp;F353&amp;"*",$H354:$H$9844,"&lt;&gt;"))</f>
        <v>0</v>
      </c>
      <c r="O353" s="162" t="str">
        <f>IFERROR((-Tabela2[[#This Row],[CUSTO TOTAL]]+Tabela2[[#This Row],[VENDA TOTAL]])/Tabela2[[#This Row],[VENDA TOTAL]]-PARAMETROS!$C$19,"")</f>
        <v/>
      </c>
      <c r="AA353" s="219">
        <f>SUM(Plan_Orc[[#This Row],[01/jan]:[01/dez]])</f>
        <v>0</v>
      </c>
      <c r="AB353" s="114"/>
      <c r="AC353" s="114"/>
      <c r="AD353" s="114"/>
      <c r="AE353" s="114"/>
      <c r="AF353" s="114"/>
      <c r="AG353" s="114"/>
      <c r="AH353" s="114"/>
      <c r="AI353" s="114"/>
      <c r="AJ353" s="114"/>
      <c r="AK353" s="114"/>
      <c r="AL353" s="114"/>
      <c r="AM353" s="114"/>
    </row>
    <row r="354" spans="2:39" ht="25.2" customHeight="1" x14ac:dyDescent="0.3">
      <c r="B354" s="13" t="str">
        <f t="shared" si="9"/>
        <v/>
      </c>
      <c r="C354" s="18"/>
      <c r="D354" s="19" t="str">
        <f>IF(Tabela2[[#This Row],[AGRUPADOR]]&lt;&gt;"",VLOOKUP(Tabela2[[#This Row],[AGRUPADOR]],Tabela1[],2,0),"")</f>
        <v/>
      </c>
      <c r="E354" s="19" t="str">
        <f>IF(Tabela2[[#This Row],[AGRUPADOR]]&lt;&gt;"",VLOOKUP(Tabela2[[#This Row],[AGRUPADOR]],Tabela1[],4,0),"")</f>
        <v/>
      </c>
      <c r="F354" s="14"/>
      <c r="G354" s="6"/>
      <c r="H354" s="6"/>
      <c r="I354" s="25"/>
      <c r="J354" s="7"/>
      <c r="K354" s="15"/>
      <c r="L354" s="379">
        <f>IF(H354&lt;&gt;"",J354*K354,SUMIFS(L355:L$9844,$F355:$F$9844,"*"&amp;F354&amp;"*",$H355:$H$9844,"&lt;&gt;"))</f>
        <v>0</v>
      </c>
      <c r="M354" s="379" t="str">
        <f>IF(Tabela2[[#This Row],[UNID.]]&lt;&gt;"",IFERROR(VLOOKUP(Tabela2[[#This Row],[AGRUPADOR]],Lucratividade!$D$4:$O$129,6,0),0),"")</f>
        <v/>
      </c>
      <c r="N354" s="379">
        <f>IF(H354&lt;&gt;"",J354*M354*I354,SUMIFS(N355:N$9844,$F355:$F$9844,"*"&amp;F354&amp;"*",$H355:$H$9844,"&lt;&gt;"))</f>
        <v>0</v>
      </c>
      <c r="O354" s="162" t="str">
        <f>IFERROR((-Tabela2[[#This Row],[CUSTO TOTAL]]+Tabela2[[#This Row],[VENDA TOTAL]])/Tabela2[[#This Row],[VENDA TOTAL]]-PARAMETROS!$C$19,"")</f>
        <v/>
      </c>
      <c r="AA354" s="219">
        <f>SUM(Plan_Orc[[#This Row],[01/jan]:[01/dez]])</f>
        <v>0</v>
      </c>
      <c r="AB354" s="114"/>
      <c r="AC354" s="114"/>
      <c r="AD354" s="114"/>
      <c r="AE354" s="114"/>
      <c r="AF354" s="114"/>
      <c r="AG354" s="114"/>
      <c r="AH354" s="114"/>
      <c r="AI354" s="114"/>
      <c r="AJ354" s="114"/>
      <c r="AK354" s="114"/>
      <c r="AL354" s="114"/>
      <c r="AM354" s="114"/>
    </row>
    <row r="355" spans="2:39" ht="25.2" customHeight="1" x14ac:dyDescent="0.3">
      <c r="B355" s="13" t="str">
        <f t="shared" si="9"/>
        <v/>
      </c>
      <c r="C355" s="18"/>
      <c r="D355" s="19" t="str">
        <f>IF(Tabela2[[#This Row],[AGRUPADOR]]&lt;&gt;"",VLOOKUP(Tabela2[[#This Row],[AGRUPADOR]],Tabela1[],2,0),"")</f>
        <v/>
      </c>
      <c r="E355" s="19" t="str">
        <f>IF(Tabela2[[#This Row],[AGRUPADOR]]&lt;&gt;"",VLOOKUP(Tabela2[[#This Row],[AGRUPADOR]],Tabela1[],4,0),"")</f>
        <v/>
      </c>
      <c r="F355" s="14"/>
      <c r="G355" s="6"/>
      <c r="H355" s="6"/>
      <c r="I355" s="25"/>
      <c r="J355" s="7"/>
      <c r="K355" s="15"/>
      <c r="L355" s="379">
        <f>IF(H355&lt;&gt;"",J355*K355,SUMIFS(L356:L$9844,$F356:$F$9844,"*"&amp;F355&amp;"*",$H356:$H$9844,"&lt;&gt;"))</f>
        <v>0</v>
      </c>
      <c r="M355" s="379" t="str">
        <f>IF(Tabela2[[#This Row],[UNID.]]&lt;&gt;"",IFERROR(VLOOKUP(Tabela2[[#This Row],[AGRUPADOR]],Lucratividade!$D$4:$O$129,6,0),0),"")</f>
        <v/>
      </c>
      <c r="N355" s="379">
        <f>IF(H355&lt;&gt;"",J355*M355*I355,SUMIFS(N356:N$9844,$F356:$F$9844,"*"&amp;F355&amp;"*",$H356:$H$9844,"&lt;&gt;"))</f>
        <v>0</v>
      </c>
      <c r="O355" s="162" t="str">
        <f>IFERROR((-Tabela2[[#This Row],[CUSTO TOTAL]]+Tabela2[[#This Row],[VENDA TOTAL]])/Tabela2[[#This Row],[VENDA TOTAL]]-PARAMETROS!$C$19,"")</f>
        <v/>
      </c>
      <c r="AA355" s="219">
        <f>SUM(Plan_Orc[[#This Row],[01/jan]:[01/dez]])</f>
        <v>0</v>
      </c>
      <c r="AB355" s="114"/>
      <c r="AC355" s="114"/>
      <c r="AD355" s="114"/>
      <c r="AE355" s="114"/>
      <c r="AF355" s="114"/>
      <c r="AG355" s="114"/>
      <c r="AH355" s="114"/>
      <c r="AI355" s="114"/>
      <c r="AJ355" s="114"/>
      <c r="AK355" s="114"/>
      <c r="AL355" s="114"/>
      <c r="AM355" s="114"/>
    </row>
    <row r="356" spans="2:39" ht="25.2" customHeight="1" x14ac:dyDescent="0.3">
      <c r="B356" s="13" t="str">
        <f t="shared" si="9"/>
        <v/>
      </c>
      <c r="C356" s="18"/>
      <c r="D356" s="19" t="str">
        <f>IF(Tabela2[[#This Row],[AGRUPADOR]]&lt;&gt;"",VLOOKUP(Tabela2[[#This Row],[AGRUPADOR]],Tabela1[],2,0),"")</f>
        <v/>
      </c>
      <c r="E356" s="19" t="str">
        <f>IF(Tabela2[[#This Row],[AGRUPADOR]]&lt;&gt;"",VLOOKUP(Tabela2[[#This Row],[AGRUPADOR]],Tabela1[],4,0),"")</f>
        <v/>
      </c>
      <c r="F356" s="14"/>
      <c r="G356" s="6"/>
      <c r="H356" s="6"/>
      <c r="I356" s="25"/>
      <c r="J356" s="7"/>
      <c r="K356" s="15"/>
      <c r="L356" s="379">
        <f>IF(H356&lt;&gt;"",J356*K356,SUMIFS(L357:L$9844,$F357:$F$9844,"*"&amp;F356&amp;"*",$H357:$H$9844,"&lt;&gt;"))</f>
        <v>0</v>
      </c>
      <c r="M356" s="379" t="str">
        <f>IF(Tabela2[[#This Row],[UNID.]]&lt;&gt;"",IFERROR(VLOOKUP(Tabela2[[#This Row],[AGRUPADOR]],Lucratividade!$D$4:$O$129,6,0),0),"")</f>
        <v/>
      </c>
      <c r="N356" s="379">
        <f>IF(H356&lt;&gt;"",J356*M356*I356,SUMIFS(N357:N$9844,$F357:$F$9844,"*"&amp;F356&amp;"*",$H357:$H$9844,"&lt;&gt;"))</f>
        <v>0</v>
      </c>
      <c r="O356" s="162" t="str">
        <f>IFERROR((-Tabela2[[#This Row],[CUSTO TOTAL]]+Tabela2[[#This Row],[VENDA TOTAL]])/Tabela2[[#This Row],[VENDA TOTAL]]-PARAMETROS!$C$19,"")</f>
        <v/>
      </c>
      <c r="AA356" s="219">
        <f>SUM(Plan_Orc[[#This Row],[01/jan]:[01/dez]])</f>
        <v>0</v>
      </c>
      <c r="AB356" s="114"/>
      <c r="AC356" s="114"/>
      <c r="AD356" s="114"/>
      <c r="AE356" s="114"/>
      <c r="AF356" s="114"/>
      <c r="AG356" s="114"/>
      <c r="AH356" s="114"/>
      <c r="AI356" s="114"/>
      <c r="AJ356" s="114"/>
      <c r="AK356" s="114"/>
      <c r="AL356" s="114"/>
      <c r="AM356" s="114"/>
    </row>
    <row r="357" spans="2:39" ht="25.2" customHeight="1" x14ac:dyDescent="0.3">
      <c r="B357" s="13" t="str">
        <f t="shared" si="9"/>
        <v/>
      </c>
      <c r="C357" s="18"/>
      <c r="D357" s="19" t="str">
        <f>IF(Tabela2[[#This Row],[AGRUPADOR]]&lt;&gt;"",VLOOKUP(Tabela2[[#This Row],[AGRUPADOR]],Tabela1[],2,0),"")</f>
        <v/>
      </c>
      <c r="E357" s="19" t="str">
        <f>IF(Tabela2[[#This Row],[AGRUPADOR]]&lt;&gt;"",VLOOKUP(Tabela2[[#This Row],[AGRUPADOR]],Tabela1[],4,0),"")</f>
        <v/>
      </c>
      <c r="F357" s="14"/>
      <c r="G357" s="6"/>
      <c r="H357" s="6"/>
      <c r="I357" s="25"/>
      <c r="J357" s="7"/>
      <c r="K357" s="15"/>
      <c r="L357" s="379">
        <f>IF(H357&lt;&gt;"",J357*K357,SUMIFS(L358:L$9844,$F358:$F$9844,"*"&amp;F357&amp;"*",$H358:$H$9844,"&lt;&gt;"))</f>
        <v>0</v>
      </c>
      <c r="M357" s="379" t="str">
        <f>IF(Tabela2[[#This Row],[UNID.]]&lt;&gt;"",IFERROR(VLOOKUP(Tabela2[[#This Row],[AGRUPADOR]],Lucratividade!$D$4:$O$129,6,0),0),"")</f>
        <v/>
      </c>
      <c r="N357" s="379">
        <f>IF(H357&lt;&gt;"",J357*M357*I357,SUMIFS(N358:N$9844,$F358:$F$9844,"*"&amp;F357&amp;"*",$H358:$H$9844,"&lt;&gt;"))</f>
        <v>0</v>
      </c>
      <c r="O357" s="162" t="str">
        <f>IFERROR((-Tabela2[[#This Row],[CUSTO TOTAL]]+Tabela2[[#This Row],[VENDA TOTAL]])/Tabela2[[#This Row],[VENDA TOTAL]]-PARAMETROS!$C$19,"")</f>
        <v/>
      </c>
      <c r="AA357" s="219">
        <f>SUM(Plan_Orc[[#This Row],[01/jan]:[01/dez]])</f>
        <v>0</v>
      </c>
      <c r="AB357" s="114"/>
      <c r="AC357" s="114"/>
      <c r="AD357" s="114"/>
      <c r="AE357" s="114"/>
      <c r="AF357" s="114"/>
      <c r="AG357" s="114"/>
      <c r="AH357" s="114"/>
      <c r="AI357" s="114"/>
      <c r="AJ357" s="114"/>
      <c r="AK357" s="114"/>
      <c r="AL357" s="114"/>
      <c r="AM357" s="114"/>
    </row>
    <row r="358" spans="2:39" ht="25.2" customHeight="1" x14ac:dyDescent="0.3">
      <c r="B358" s="13" t="str">
        <f t="shared" si="9"/>
        <v/>
      </c>
      <c r="C358" s="18"/>
      <c r="D358" s="19" t="str">
        <f>IF(Tabela2[[#This Row],[AGRUPADOR]]&lt;&gt;"",VLOOKUP(Tabela2[[#This Row],[AGRUPADOR]],Tabela1[],2,0),"")</f>
        <v/>
      </c>
      <c r="E358" s="19" t="str">
        <f>IF(Tabela2[[#This Row],[AGRUPADOR]]&lt;&gt;"",VLOOKUP(Tabela2[[#This Row],[AGRUPADOR]],Tabela1[],4,0),"")</f>
        <v/>
      </c>
      <c r="F358" s="14"/>
      <c r="G358" s="6"/>
      <c r="H358" s="6"/>
      <c r="I358" s="25"/>
      <c r="J358" s="7"/>
      <c r="K358" s="15"/>
      <c r="L358" s="379">
        <f>IF(H358&lt;&gt;"",J358*K358,SUMIFS(L359:L$9844,$F359:$F$9844,"*"&amp;F358&amp;"*",$H359:$H$9844,"&lt;&gt;"))</f>
        <v>0</v>
      </c>
      <c r="M358" s="379" t="str">
        <f>IF(Tabela2[[#This Row],[UNID.]]&lt;&gt;"",IFERROR(VLOOKUP(Tabela2[[#This Row],[AGRUPADOR]],Lucratividade!$D$4:$O$129,6,0),0),"")</f>
        <v/>
      </c>
      <c r="N358" s="379">
        <f>IF(H358&lt;&gt;"",J358*M358*I358,SUMIFS(N359:N$9844,$F359:$F$9844,"*"&amp;F358&amp;"*",$H359:$H$9844,"&lt;&gt;"))</f>
        <v>0</v>
      </c>
      <c r="O358" s="162" t="str">
        <f>IFERROR((-Tabela2[[#This Row],[CUSTO TOTAL]]+Tabela2[[#This Row],[VENDA TOTAL]])/Tabela2[[#This Row],[VENDA TOTAL]]-PARAMETROS!$C$19,"")</f>
        <v/>
      </c>
      <c r="AA358" s="219">
        <f>SUM(Plan_Orc[[#This Row],[01/jan]:[01/dez]])</f>
        <v>0</v>
      </c>
      <c r="AB358" s="114"/>
      <c r="AC358" s="114"/>
      <c r="AD358" s="114"/>
      <c r="AE358" s="114"/>
      <c r="AF358" s="114"/>
      <c r="AG358" s="114"/>
      <c r="AH358" s="114"/>
      <c r="AI358" s="114"/>
      <c r="AJ358" s="114"/>
      <c r="AK358" s="114"/>
      <c r="AL358" s="114"/>
      <c r="AM358" s="114"/>
    </row>
    <row r="359" spans="2:39" ht="25.2" customHeight="1" x14ac:dyDescent="0.3">
      <c r="B359" s="13" t="str">
        <f t="shared" si="9"/>
        <v/>
      </c>
      <c r="C359" s="18"/>
      <c r="D359" s="19" t="str">
        <f>IF(Tabela2[[#This Row],[AGRUPADOR]]&lt;&gt;"",VLOOKUP(Tabela2[[#This Row],[AGRUPADOR]],Tabela1[],2,0),"")</f>
        <v/>
      </c>
      <c r="E359" s="19" t="str">
        <f>IF(Tabela2[[#This Row],[AGRUPADOR]]&lt;&gt;"",VLOOKUP(Tabela2[[#This Row],[AGRUPADOR]],Tabela1[],4,0),"")</f>
        <v/>
      </c>
      <c r="F359" s="14"/>
      <c r="G359" s="6"/>
      <c r="H359" s="6"/>
      <c r="I359" s="25"/>
      <c r="J359" s="7"/>
      <c r="K359" s="15"/>
      <c r="L359" s="379">
        <f>IF(H359&lt;&gt;"",J359*K359,SUMIFS(L360:L$9844,$F360:$F$9844,"*"&amp;F359&amp;"*",$H360:$H$9844,"&lt;&gt;"))</f>
        <v>0</v>
      </c>
      <c r="M359" s="379" t="str">
        <f>IF(Tabela2[[#This Row],[UNID.]]&lt;&gt;"",IFERROR(VLOOKUP(Tabela2[[#This Row],[AGRUPADOR]],Lucratividade!$D$4:$O$129,6,0),0),"")</f>
        <v/>
      </c>
      <c r="N359" s="379">
        <f>IF(H359&lt;&gt;"",J359*M359*I359,SUMIFS(N360:N$9844,$F360:$F$9844,"*"&amp;F359&amp;"*",$H360:$H$9844,"&lt;&gt;"))</f>
        <v>0</v>
      </c>
      <c r="O359" s="162" t="str">
        <f>IFERROR((-Tabela2[[#This Row],[CUSTO TOTAL]]+Tabela2[[#This Row],[VENDA TOTAL]])/Tabela2[[#This Row],[VENDA TOTAL]]-PARAMETROS!$C$19,"")</f>
        <v/>
      </c>
      <c r="AA359" s="219">
        <f>SUM(Plan_Orc[[#This Row],[01/jan]:[01/dez]])</f>
        <v>0</v>
      </c>
      <c r="AB359" s="114"/>
      <c r="AC359" s="114"/>
      <c r="AD359" s="114"/>
      <c r="AE359" s="114"/>
      <c r="AF359" s="114"/>
      <c r="AG359" s="114"/>
      <c r="AH359" s="114"/>
      <c r="AI359" s="114"/>
      <c r="AJ359" s="114"/>
      <c r="AK359" s="114"/>
      <c r="AL359" s="114"/>
      <c r="AM359" s="114"/>
    </row>
    <row r="360" spans="2:39" ht="25.2" customHeight="1" x14ac:dyDescent="0.3">
      <c r="B360" s="13" t="str">
        <f t="shared" si="9"/>
        <v/>
      </c>
      <c r="C360" s="18"/>
      <c r="D360" s="19" t="str">
        <f>IF(Tabela2[[#This Row],[AGRUPADOR]]&lt;&gt;"",VLOOKUP(Tabela2[[#This Row],[AGRUPADOR]],Tabela1[],2,0),"")</f>
        <v/>
      </c>
      <c r="E360" s="19" t="str">
        <f>IF(Tabela2[[#This Row],[AGRUPADOR]]&lt;&gt;"",VLOOKUP(Tabela2[[#This Row],[AGRUPADOR]],Tabela1[],4,0),"")</f>
        <v/>
      </c>
      <c r="F360" s="14"/>
      <c r="G360" s="6"/>
      <c r="H360" s="6"/>
      <c r="I360" s="25"/>
      <c r="J360" s="7"/>
      <c r="K360" s="15"/>
      <c r="L360" s="379">
        <f>IF(H360&lt;&gt;"",J360*K360,SUMIFS(L361:L$9844,$F361:$F$9844,"*"&amp;F360&amp;"*",$H361:$H$9844,"&lt;&gt;"))</f>
        <v>0</v>
      </c>
      <c r="M360" s="379" t="str">
        <f>IF(Tabela2[[#This Row],[UNID.]]&lt;&gt;"",IFERROR(VLOOKUP(Tabela2[[#This Row],[AGRUPADOR]],Lucratividade!$D$4:$O$129,6,0),0),"")</f>
        <v/>
      </c>
      <c r="N360" s="379">
        <f>IF(H360&lt;&gt;"",J360*M360*I360,SUMIFS(N361:N$9844,$F361:$F$9844,"*"&amp;F360&amp;"*",$H361:$H$9844,"&lt;&gt;"))</f>
        <v>0</v>
      </c>
      <c r="O360" s="162" t="str">
        <f>IFERROR((-Tabela2[[#This Row],[CUSTO TOTAL]]+Tabela2[[#This Row],[VENDA TOTAL]])/Tabela2[[#This Row],[VENDA TOTAL]]-PARAMETROS!$C$19,"")</f>
        <v/>
      </c>
      <c r="AA360" s="219">
        <f>SUM(Plan_Orc[[#This Row],[01/jan]:[01/dez]])</f>
        <v>0</v>
      </c>
      <c r="AB360" s="114"/>
      <c r="AC360" s="114"/>
      <c r="AD360" s="114"/>
      <c r="AE360" s="114"/>
      <c r="AF360" s="114"/>
      <c r="AG360" s="114"/>
      <c r="AH360" s="114"/>
      <c r="AI360" s="114"/>
      <c r="AJ360" s="114"/>
      <c r="AK360" s="114"/>
      <c r="AL360" s="114"/>
      <c r="AM360" s="114"/>
    </row>
    <row r="361" spans="2:39" ht="25.2" customHeight="1" x14ac:dyDescent="0.3">
      <c r="B361" s="13" t="str">
        <f t="shared" si="9"/>
        <v/>
      </c>
      <c r="C361" s="18"/>
      <c r="D361" s="19" t="str">
        <f>IF(Tabela2[[#This Row],[AGRUPADOR]]&lt;&gt;"",VLOOKUP(Tabela2[[#This Row],[AGRUPADOR]],Tabela1[],2,0),"")</f>
        <v/>
      </c>
      <c r="E361" s="19" t="str">
        <f>IF(Tabela2[[#This Row],[AGRUPADOR]]&lt;&gt;"",VLOOKUP(Tabela2[[#This Row],[AGRUPADOR]],Tabela1[],4,0),"")</f>
        <v/>
      </c>
      <c r="F361" s="14"/>
      <c r="G361" s="6"/>
      <c r="H361" s="6"/>
      <c r="I361" s="25"/>
      <c r="J361" s="7"/>
      <c r="K361" s="15"/>
      <c r="L361" s="379">
        <f>IF(H361&lt;&gt;"",J361*K361,SUMIFS(L362:L$9844,$F362:$F$9844,"*"&amp;F361&amp;"*",$H362:$H$9844,"&lt;&gt;"))</f>
        <v>0</v>
      </c>
      <c r="M361" s="379" t="str">
        <f>IF(Tabela2[[#This Row],[UNID.]]&lt;&gt;"",IFERROR(VLOOKUP(Tabela2[[#This Row],[AGRUPADOR]],Lucratividade!$D$4:$O$129,6,0),0),"")</f>
        <v/>
      </c>
      <c r="N361" s="379">
        <f>IF(H361&lt;&gt;"",J361*M361*I361,SUMIFS(N362:N$9844,$F362:$F$9844,"*"&amp;F361&amp;"*",$H362:$H$9844,"&lt;&gt;"))</f>
        <v>0</v>
      </c>
      <c r="O361" s="162" t="str">
        <f>IFERROR((-Tabela2[[#This Row],[CUSTO TOTAL]]+Tabela2[[#This Row],[VENDA TOTAL]])/Tabela2[[#This Row],[VENDA TOTAL]]-PARAMETROS!$C$19,"")</f>
        <v/>
      </c>
      <c r="AA361" s="219">
        <f>SUM(Plan_Orc[[#This Row],[01/jan]:[01/dez]])</f>
        <v>0</v>
      </c>
      <c r="AB361" s="114"/>
      <c r="AC361" s="114"/>
      <c r="AD361" s="114"/>
      <c r="AE361" s="114"/>
      <c r="AF361" s="114"/>
      <c r="AG361" s="114"/>
      <c r="AH361" s="114"/>
      <c r="AI361" s="114"/>
      <c r="AJ361" s="114"/>
      <c r="AK361" s="114"/>
      <c r="AL361" s="114"/>
      <c r="AM361" s="114"/>
    </row>
    <row r="362" spans="2:39" ht="25.2" customHeight="1" x14ac:dyDescent="0.3">
      <c r="B362" s="13" t="str">
        <f t="shared" si="9"/>
        <v/>
      </c>
      <c r="C362" s="18"/>
      <c r="D362" s="19" t="str">
        <f>IF(Tabela2[[#This Row],[AGRUPADOR]]&lt;&gt;"",VLOOKUP(Tabela2[[#This Row],[AGRUPADOR]],Tabela1[],2,0),"")</f>
        <v/>
      </c>
      <c r="E362" s="19" t="str">
        <f>IF(Tabela2[[#This Row],[AGRUPADOR]]&lt;&gt;"",VLOOKUP(Tabela2[[#This Row],[AGRUPADOR]],Tabela1[],4,0),"")</f>
        <v/>
      </c>
      <c r="F362" s="14"/>
      <c r="G362" s="6"/>
      <c r="H362" s="6"/>
      <c r="I362" s="25"/>
      <c r="J362" s="7"/>
      <c r="K362" s="15"/>
      <c r="L362" s="379">
        <f>IF(H362&lt;&gt;"",J362*K362,SUMIFS(L363:L$9844,$F363:$F$9844,"*"&amp;F362&amp;"*",$H363:$H$9844,"&lt;&gt;"))</f>
        <v>0</v>
      </c>
      <c r="M362" s="379" t="str">
        <f>IF(Tabela2[[#This Row],[UNID.]]&lt;&gt;"",IFERROR(VLOOKUP(Tabela2[[#This Row],[AGRUPADOR]],Lucratividade!$D$4:$O$129,6,0),0),"")</f>
        <v/>
      </c>
      <c r="N362" s="379">
        <f>IF(H362&lt;&gt;"",J362*M362*I362,SUMIFS(N363:N$9844,$F363:$F$9844,"*"&amp;F362&amp;"*",$H363:$H$9844,"&lt;&gt;"))</f>
        <v>0</v>
      </c>
      <c r="O362" s="162" t="str">
        <f>IFERROR((-Tabela2[[#This Row],[CUSTO TOTAL]]+Tabela2[[#This Row],[VENDA TOTAL]])/Tabela2[[#This Row],[VENDA TOTAL]]-PARAMETROS!$C$19,"")</f>
        <v/>
      </c>
      <c r="AA362" s="219">
        <f>SUM(Plan_Orc[[#This Row],[01/jan]:[01/dez]])</f>
        <v>0</v>
      </c>
      <c r="AB362" s="114"/>
      <c r="AC362" s="114"/>
      <c r="AD362" s="114"/>
      <c r="AE362" s="114"/>
      <c r="AF362" s="114"/>
      <c r="AG362" s="114"/>
      <c r="AH362" s="114"/>
      <c r="AI362" s="114"/>
      <c r="AJ362" s="114"/>
      <c r="AK362" s="114"/>
      <c r="AL362" s="114"/>
      <c r="AM362" s="114"/>
    </row>
    <row r="363" spans="2:39" ht="25.2" customHeight="1" x14ac:dyDescent="0.3">
      <c r="B363" s="13" t="str">
        <f t="shared" si="9"/>
        <v/>
      </c>
      <c r="C363" s="18"/>
      <c r="D363" s="19" t="str">
        <f>IF(Tabela2[[#This Row],[AGRUPADOR]]&lt;&gt;"",VLOOKUP(Tabela2[[#This Row],[AGRUPADOR]],Tabela1[],2,0),"")</f>
        <v/>
      </c>
      <c r="E363" s="19" t="str">
        <f>IF(Tabela2[[#This Row],[AGRUPADOR]]&lt;&gt;"",VLOOKUP(Tabela2[[#This Row],[AGRUPADOR]],Tabela1[],4,0),"")</f>
        <v/>
      </c>
      <c r="F363" s="14"/>
      <c r="G363" s="6"/>
      <c r="H363" s="6"/>
      <c r="I363" s="25"/>
      <c r="J363" s="7"/>
      <c r="K363" s="15"/>
      <c r="L363" s="379">
        <f>IF(H363&lt;&gt;"",J363*K363,SUMIFS(L364:L$9844,$F364:$F$9844,"*"&amp;F363&amp;"*",$H364:$H$9844,"&lt;&gt;"))</f>
        <v>0</v>
      </c>
      <c r="M363" s="379" t="str">
        <f>IF(Tabela2[[#This Row],[UNID.]]&lt;&gt;"",IFERROR(VLOOKUP(Tabela2[[#This Row],[AGRUPADOR]],Lucratividade!$D$4:$O$129,6,0),0),"")</f>
        <v/>
      </c>
      <c r="N363" s="379">
        <f>IF(H363&lt;&gt;"",J363*M363*I363,SUMIFS(N364:N$9844,$F364:$F$9844,"*"&amp;F363&amp;"*",$H364:$H$9844,"&lt;&gt;"))</f>
        <v>0</v>
      </c>
      <c r="O363" s="162" t="str">
        <f>IFERROR((-Tabela2[[#This Row],[CUSTO TOTAL]]+Tabela2[[#This Row],[VENDA TOTAL]])/Tabela2[[#This Row],[VENDA TOTAL]]-PARAMETROS!$C$19,"")</f>
        <v/>
      </c>
      <c r="AA363" s="219">
        <f>SUM(Plan_Orc[[#This Row],[01/jan]:[01/dez]])</f>
        <v>0</v>
      </c>
      <c r="AB363" s="114"/>
      <c r="AC363" s="114"/>
      <c r="AD363" s="114"/>
      <c r="AE363" s="114"/>
      <c r="AF363" s="114"/>
      <c r="AG363" s="114"/>
      <c r="AH363" s="114"/>
      <c r="AI363" s="114"/>
      <c r="AJ363" s="114"/>
      <c r="AK363" s="114"/>
      <c r="AL363" s="114"/>
      <c r="AM363" s="114"/>
    </row>
    <row r="364" spans="2:39" ht="25.2" customHeight="1" x14ac:dyDescent="0.3">
      <c r="B364" s="13" t="str">
        <f t="shared" si="9"/>
        <v/>
      </c>
      <c r="C364" s="18"/>
      <c r="D364" s="19" t="str">
        <f>IF(Tabela2[[#This Row],[AGRUPADOR]]&lt;&gt;"",VLOOKUP(Tabela2[[#This Row],[AGRUPADOR]],Tabela1[],2,0),"")</f>
        <v/>
      </c>
      <c r="E364" s="19" t="str">
        <f>IF(Tabela2[[#This Row],[AGRUPADOR]]&lt;&gt;"",VLOOKUP(Tabela2[[#This Row],[AGRUPADOR]],Tabela1[],4,0),"")</f>
        <v/>
      </c>
      <c r="F364" s="14"/>
      <c r="G364" s="6"/>
      <c r="H364" s="6"/>
      <c r="I364" s="25"/>
      <c r="J364" s="7"/>
      <c r="K364" s="15"/>
      <c r="L364" s="379">
        <f>IF(H364&lt;&gt;"",J364*K364,SUMIFS(L365:L$9844,$F365:$F$9844,"*"&amp;F364&amp;"*",$H365:$H$9844,"&lt;&gt;"))</f>
        <v>0</v>
      </c>
      <c r="M364" s="379" t="str">
        <f>IF(Tabela2[[#This Row],[UNID.]]&lt;&gt;"",IFERROR(VLOOKUP(Tabela2[[#This Row],[AGRUPADOR]],Lucratividade!$D$4:$O$129,6,0),0),"")</f>
        <v/>
      </c>
      <c r="N364" s="379">
        <f>IF(H364&lt;&gt;"",J364*M364*I364,SUMIFS(N365:N$9844,$F365:$F$9844,"*"&amp;F364&amp;"*",$H365:$H$9844,"&lt;&gt;"))</f>
        <v>0</v>
      </c>
      <c r="O364" s="162" t="str">
        <f>IFERROR((-Tabela2[[#This Row],[CUSTO TOTAL]]+Tabela2[[#This Row],[VENDA TOTAL]])/Tabela2[[#This Row],[VENDA TOTAL]]-PARAMETROS!$C$19,"")</f>
        <v/>
      </c>
      <c r="AA364" s="219">
        <f>SUM(Plan_Orc[[#This Row],[01/jan]:[01/dez]])</f>
        <v>0</v>
      </c>
      <c r="AB364" s="114"/>
      <c r="AC364" s="114"/>
      <c r="AD364" s="114"/>
      <c r="AE364" s="114"/>
      <c r="AF364" s="114"/>
      <c r="AG364" s="114"/>
      <c r="AH364" s="114"/>
      <c r="AI364" s="114"/>
      <c r="AJ364" s="114"/>
      <c r="AK364" s="114"/>
      <c r="AL364" s="114"/>
      <c r="AM364" s="114"/>
    </row>
    <row r="365" spans="2:39" ht="25.2" customHeight="1" x14ac:dyDescent="0.3">
      <c r="B365" s="13" t="str">
        <f t="shared" si="9"/>
        <v/>
      </c>
      <c r="C365" s="18"/>
      <c r="D365" s="19" t="str">
        <f>IF(Tabela2[[#This Row],[AGRUPADOR]]&lt;&gt;"",VLOOKUP(Tabela2[[#This Row],[AGRUPADOR]],Tabela1[],2,0),"")</f>
        <v/>
      </c>
      <c r="E365" s="19" t="str">
        <f>IF(Tabela2[[#This Row],[AGRUPADOR]]&lt;&gt;"",VLOOKUP(Tabela2[[#This Row],[AGRUPADOR]],Tabela1[],4,0),"")</f>
        <v/>
      </c>
      <c r="F365" s="14"/>
      <c r="G365" s="6"/>
      <c r="H365" s="6"/>
      <c r="I365" s="25"/>
      <c r="J365" s="7"/>
      <c r="K365" s="15"/>
      <c r="L365" s="379">
        <f>IF(H365&lt;&gt;"",J365*K365,SUMIFS(L366:L$9844,$F366:$F$9844,"*"&amp;F365&amp;"*",$H366:$H$9844,"&lt;&gt;"))</f>
        <v>0</v>
      </c>
      <c r="M365" s="379" t="str">
        <f>IF(Tabela2[[#This Row],[UNID.]]&lt;&gt;"",IFERROR(VLOOKUP(Tabela2[[#This Row],[AGRUPADOR]],Lucratividade!$D$4:$O$129,6,0),0),"")</f>
        <v/>
      </c>
      <c r="N365" s="379">
        <f>IF(H365&lt;&gt;"",J365*M365*I365,SUMIFS(N366:N$9844,$F366:$F$9844,"*"&amp;F365&amp;"*",$H366:$H$9844,"&lt;&gt;"))</f>
        <v>0</v>
      </c>
      <c r="O365" s="162" t="str">
        <f>IFERROR((-Tabela2[[#This Row],[CUSTO TOTAL]]+Tabela2[[#This Row],[VENDA TOTAL]])/Tabela2[[#This Row],[VENDA TOTAL]]-PARAMETROS!$C$19,"")</f>
        <v/>
      </c>
      <c r="AA365" s="219">
        <f>SUM(Plan_Orc[[#This Row],[01/jan]:[01/dez]])</f>
        <v>0</v>
      </c>
      <c r="AB365" s="114"/>
      <c r="AC365" s="114"/>
      <c r="AD365" s="114"/>
      <c r="AE365" s="114"/>
      <c r="AF365" s="114"/>
      <c r="AG365" s="114"/>
      <c r="AH365" s="114"/>
      <c r="AI365" s="114"/>
      <c r="AJ365" s="114"/>
      <c r="AK365" s="114"/>
      <c r="AL365" s="114"/>
      <c r="AM365" s="114"/>
    </row>
    <row r="366" spans="2:39" ht="25.2" customHeight="1" x14ac:dyDescent="0.3">
      <c r="B366" s="13" t="str">
        <f t="shared" si="9"/>
        <v/>
      </c>
      <c r="C366" s="18"/>
      <c r="D366" s="19" t="str">
        <f>IF(Tabela2[[#This Row],[AGRUPADOR]]&lt;&gt;"",VLOOKUP(Tabela2[[#This Row],[AGRUPADOR]],Tabela1[],2,0),"")</f>
        <v/>
      </c>
      <c r="E366" s="19" t="str">
        <f>IF(Tabela2[[#This Row],[AGRUPADOR]]&lt;&gt;"",VLOOKUP(Tabela2[[#This Row],[AGRUPADOR]],Tabela1[],4,0),"")</f>
        <v/>
      </c>
      <c r="F366" s="14"/>
      <c r="G366" s="6"/>
      <c r="H366" s="6"/>
      <c r="I366" s="25"/>
      <c r="J366" s="7"/>
      <c r="K366" s="15"/>
      <c r="L366" s="379">
        <f>IF(H366&lt;&gt;"",J366*K366,SUMIFS(L367:L$9844,$F367:$F$9844,"*"&amp;F366&amp;"*",$H367:$H$9844,"&lt;&gt;"))</f>
        <v>0</v>
      </c>
      <c r="M366" s="379" t="str">
        <f>IF(Tabela2[[#This Row],[UNID.]]&lt;&gt;"",IFERROR(VLOOKUP(Tabela2[[#This Row],[AGRUPADOR]],Lucratividade!$D$4:$O$129,6,0),0),"")</f>
        <v/>
      </c>
      <c r="N366" s="379">
        <f>IF(H366&lt;&gt;"",J366*M366*I366,SUMIFS(N367:N$9844,$F367:$F$9844,"*"&amp;F366&amp;"*",$H367:$H$9844,"&lt;&gt;"))</f>
        <v>0</v>
      </c>
      <c r="O366" s="162" t="str">
        <f>IFERROR((-Tabela2[[#This Row],[CUSTO TOTAL]]+Tabela2[[#This Row],[VENDA TOTAL]])/Tabela2[[#This Row],[VENDA TOTAL]]-PARAMETROS!$C$19,"")</f>
        <v/>
      </c>
      <c r="AA366" s="219">
        <f>SUM(Plan_Orc[[#This Row],[01/jan]:[01/dez]])</f>
        <v>0</v>
      </c>
      <c r="AB366" s="114"/>
      <c r="AC366" s="114"/>
      <c r="AD366" s="114"/>
      <c r="AE366" s="114"/>
      <c r="AF366" s="114"/>
      <c r="AG366" s="114"/>
      <c r="AH366" s="114"/>
      <c r="AI366" s="114"/>
      <c r="AJ366" s="114"/>
      <c r="AK366" s="114"/>
      <c r="AL366" s="114"/>
      <c r="AM366" s="114"/>
    </row>
    <row r="367" spans="2:39" ht="25.2" customHeight="1" x14ac:dyDescent="0.3">
      <c r="B367" s="13" t="str">
        <f t="shared" si="9"/>
        <v/>
      </c>
      <c r="C367" s="18"/>
      <c r="D367" s="19" t="str">
        <f>IF(Tabela2[[#This Row],[AGRUPADOR]]&lt;&gt;"",VLOOKUP(Tabela2[[#This Row],[AGRUPADOR]],Tabela1[],2,0),"")</f>
        <v/>
      </c>
      <c r="E367" s="19" t="str">
        <f>IF(Tabela2[[#This Row],[AGRUPADOR]]&lt;&gt;"",VLOOKUP(Tabela2[[#This Row],[AGRUPADOR]],Tabela1[],4,0),"")</f>
        <v/>
      </c>
      <c r="F367" s="14"/>
      <c r="G367" s="6"/>
      <c r="H367" s="6"/>
      <c r="I367" s="25"/>
      <c r="J367" s="7"/>
      <c r="K367" s="15"/>
      <c r="L367" s="379">
        <f>IF(H367&lt;&gt;"",J367*K367,SUMIFS(L368:L$9844,$F368:$F$9844,"*"&amp;F367&amp;"*",$H368:$H$9844,"&lt;&gt;"))</f>
        <v>0</v>
      </c>
      <c r="M367" s="379" t="str">
        <f>IF(Tabela2[[#This Row],[UNID.]]&lt;&gt;"",IFERROR(VLOOKUP(Tabela2[[#This Row],[AGRUPADOR]],Lucratividade!$D$4:$O$129,6,0),0),"")</f>
        <v/>
      </c>
      <c r="N367" s="379">
        <f>IF(H367&lt;&gt;"",J367*M367*I367,SUMIFS(N368:N$9844,$F368:$F$9844,"*"&amp;F367&amp;"*",$H368:$H$9844,"&lt;&gt;"))</f>
        <v>0</v>
      </c>
      <c r="O367" s="162" t="str">
        <f>IFERROR((-Tabela2[[#This Row],[CUSTO TOTAL]]+Tabela2[[#This Row],[VENDA TOTAL]])/Tabela2[[#This Row],[VENDA TOTAL]]-PARAMETROS!$C$19,"")</f>
        <v/>
      </c>
      <c r="AA367" s="219">
        <f>SUM(Plan_Orc[[#This Row],[01/jan]:[01/dez]])</f>
        <v>0</v>
      </c>
      <c r="AB367" s="114"/>
      <c r="AC367" s="114"/>
      <c r="AD367" s="114"/>
      <c r="AE367" s="114"/>
      <c r="AF367" s="114"/>
      <c r="AG367" s="114"/>
      <c r="AH367" s="114"/>
      <c r="AI367" s="114"/>
      <c r="AJ367" s="114"/>
      <c r="AK367" s="114"/>
      <c r="AL367" s="114"/>
      <c r="AM367" s="114"/>
    </row>
    <row r="368" spans="2:39" ht="25.2" customHeight="1" x14ac:dyDescent="0.3">
      <c r="B368" s="13" t="str">
        <f t="shared" si="9"/>
        <v/>
      </c>
      <c r="C368" s="18"/>
      <c r="D368" s="19" t="str">
        <f>IF(Tabela2[[#This Row],[AGRUPADOR]]&lt;&gt;"",VLOOKUP(Tabela2[[#This Row],[AGRUPADOR]],Tabela1[],2,0),"")</f>
        <v/>
      </c>
      <c r="E368" s="19" t="str">
        <f>IF(Tabela2[[#This Row],[AGRUPADOR]]&lt;&gt;"",VLOOKUP(Tabela2[[#This Row],[AGRUPADOR]],Tabela1[],4,0),"")</f>
        <v/>
      </c>
      <c r="F368" s="14"/>
      <c r="G368" s="6"/>
      <c r="H368" s="6"/>
      <c r="I368" s="25"/>
      <c r="J368" s="7"/>
      <c r="K368" s="15"/>
      <c r="L368" s="379">
        <f>IF(H368&lt;&gt;"",J368*K368,SUMIFS(L369:L$9844,$F369:$F$9844,"*"&amp;F368&amp;"*",$H369:$H$9844,"&lt;&gt;"))</f>
        <v>0</v>
      </c>
      <c r="M368" s="379" t="str">
        <f>IF(Tabela2[[#This Row],[UNID.]]&lt;&gt;"",IFERROR(VLOOKUP(Tabela2[[#This Row],[AGRUPADOR]],Lucratividade!$D$4:$O$129,6,0),0),"")</f>
        <v/>
      </c>
      <c r="N368" s="379">
        <f>IF(H368&lt;&gt;"",J368*M368*I368,SUMIFS(N369:N$9844,$F369:$F$9844,"*"&amp;F368&amp;"*",$H369:$H$9844,"&lt;&gt;"))</f>
        <v>0</v>
      </c>
      <c r="O368" s="162" t="str">
        <f>IFERROR((-Tabela2[[#This Row],[CUSTO TOTAL]]+Tabela2[[#This Row],[VENDA TOTAL]])/Tabela2[[#This Row],[VENDA TOTAL]]-PARAMETROS!$C$19,"")</f>
        <v/>
      </c>
      <c r="AA368" s="219">
        <f>SUM(Plan_Orc[[#This Row],[01/jan]:[01/dez]])</f>
        <v>0</v>
      </c>
      <c r="AB368" s="114"/>
      <c r="AC368" s="114"/>
      <c r="AD368" s="114"/>
      <c r="AE368" s="114"/>
      <c r="AF368" s="114"/>
      <c r="AG368" s="114"/>
      <c r="AH368" s="114"/>
      <c r="AI368" s="114"/>
      <c r="AJ368" s="114"/>
      <c r="AK368" s="114"/>
      <c r="AL368" s="114"/>
      <c r="AM368" s="114"/>
    </row>
    <row r="369" spans="2:39" ht="25.2" customHeight="1" x14ac:dyDescent="0.3">
      <c r="B369" s="13" t="str">
        <f t="shared" si="9"/>
        <v/>
      </c>
      <c r="C369" s="18"/>
      <c r="D369" s="19" t="str">
        <f>IF(Tabela2[[#This Row],[AGRUPADOR]]&lt;&gt;"",VLOOKUP(Tabela2[[#This Row],[AGRUPADOR]],Tabela1[],2,0),"")</f>
        <v/>
      </c>
      <c r="E369" s="19" t="str">
        <f>IF(Tabela2[[#This Row],[AGRUPADOR]]&lt;&gt;"",VLOOKUP(Tabela2[[#This Row],[AGRUPADOR]],Tabela1[],4,0),"")</f>
        <v/>
      </c>
      <c r="F369" s="14"/>
      <c r="G369" s="6"/>
      <c r="H369" s="6"/>
      <c r="I369" s="25"/>
      <c r="J369" s="7"/>
      <c r="K369" s="15"/>
      <c r="L369" s="379">
        <f>IF(H369&lt;&gt;"",J369*K369,SUMIFS(L370:L$9844,$F370:$F$9844,"*"&amp;F369&amp;"*",$H370:$H$9844,"&lt;&gt;"))</f>
        <v>0</v>
      </c>
      <c r="M369" s="379" t="str">
        <f>IF(Tabela2[[#This Row],[UNID.]]&lt;&gt;"",IFERROR(VLOOKUP(Tabela2[[#This Row],[AGRUPADOR]],Lucratividade!$D$4:$O$129,6,0),0),"")</f>
        <v/>
      </c>
      <c r="N369" s="379">
        <f>IF(H369&lt;&gt;"",J369*M369*I369,SUMIFS(N370:N$9844,$F370:$F$9844,"*"&amp;F369&amp;"*",$H370:$H$9844,"&lt;&gt;"))</f>
        <v>0</v>
      </c>
      <c r="O369" s="162" t="str">
        <f>IFERROR((-Tabela2[[#This Row],[CUSTO TOTAL]]+Tabela2[[#This Row],[VENDA TOTAL]])/Tabela2[[#This Row],[VENDA TOTAL]]-PARAMETROS!$C$19,"")</f>
        <v/>
      </c>
      <c r="AA369" s="219">
        <f>SUM(Plan_Orc[[#This Row],[01/jan]:[01/dez]])</f>
        <v>0</v>
      </c>
      <c r="AB369" s="114"/>
      <c r="AC369" s="114"/>
      <c r="AD369" s="114"/>
      <c r="AE369" s="114"/>
      <c r="AF369" s="114"/>
      <c r="AG369" s="114"/>
      <c r="AH369" s="114"/>
      <c r="AI369" s="114"/>
      <c r="AJ369" s="114"/>
      <c r="AK369" s="114"/>
      <c r="AL369" s="114"/>
      <c r="AM369" s="114"/>
    </row>
    <row r="370" spans="2:39" ht="25.2" customHeight="1" x14ac:dyDescent="0.3">
      <c r="B370" s="13" t="str">
        <f t="shared" si="9"/>
        <v/>
      </c>
      <c r="C370" s="18"/>
      <c r="D370" s="19" t="str">
        <f>IF(Tabela2[[#This Row],[AGRUPADOR]]&lt;&gt;"",VLOOKUP(Tabela2[[#This Row],[AGRUPADOR]],Tabela1[],2,0),"")</f>
        <v/>
      </c>
      <c r="E370" s="19" t="str">
        <f>IF(Tabela2[[#This Row],[AGRUPADOR]]&lt;&gt;"",VLOOKUP(Tabela2[[#This Row],[AGRUPADOR]],Tabela1[],4,0),"")</f>
        <v/>
      </c>
      <c r="F370" s="14"/>
      <c r="G370" s="6"/>
      <c r="H370" s="6"/>
      <c r="I370" s="25"/>
      <c r="J370" s="7"/>
      <c r="K370" s="15"/>
      <c r="L370" s="379">
        <f>IF(H370&lt;&gt;"",J370*K370,SUMIFS(L371:L$9844,$F371:$F$9844,"*"&amp;F370&amp;"*",$H371:$H$9844,"&lt;&gt;"))</f>
        <v>0</v>
      </c>
      <c r="M370" s="379" t="str">
        <f>IF(Tabela2[[#This Row],[UNID.]]&lt;&gt;"",IFERROR(VLOOKUP(Tabela2[[#This Row],[AGRUPADOR]],Lucratividade!$D$4:$O$129,6,0),0),"")</f>
        <v/>
      </c>
      <c r="N370" s="379">
        <f>IF(H370&lt;&gt;"",J370*M370*I370,SUMIFS(N371:N$9844,$F371:$F$9844,"*"&amp;F370&amp;"*",$H371:$H$9844,"&lt;&gt;"))</f>
        <v>0</v>
      </c>
      <c r="O370" s="162" t="str">
        <f>IFERROR((-Tabela2[[#This Row],[CUSTO TOTAL]]+Tabela2[[#This Row],[VENDA TOTAL]])/Tabela2[[#This Row],[VENDA TOTAL]]-PARAMETROS!$C$19,"")</f>
        <v/>
      </c>
      <c r="AA370" s="218">
        <f>SUM(Plan_Orc[[#This Row],[01/jan]:[01/dez]])</f>
        <v>0</v>
      </c>
      <c r="AB370" s="113"/>
      <c r="AC370" s="113"/>
      <c r="AD370" s="113"/>
      <c r="AE370" s="113"/>
      <c r="AF370" s="113"/>
      <c r="AG370" s="113"/>
      <c r="AH370" s="113"/>
      <c r="AI370" s="113"/>
      <c r="AJ370" s="113"/>
      <c r="AK370" s="113"/>
      <c r="AL370" s="113"/>
      <c r="AM370" s="113"/>
    </row>
    <row r="371" spans="2:39" ht="25.2" customHeight="1" x14ac:dyDescent="0.3">
      <c r="B371" s="13" t="str">
        <f t="shared" si="9"/>
        <v/>
      </c>
      <c r="C371" s="18"/>
      <c r="D371" s="19" t="str">
        <f>IF(Tabela2[[#This Row],[AGRUPADOR]]&lt;&gt;"",VLOOKUP(Tabela2[[#This Row],[AGRUPADOR]],Tabela1[],2,0),"")</f>
        <v/>
      </c>
      <c r="E371" s="19" t="str">
        <f>IF(Tabela2[[#This Row],[AGRUPADOR]]&lt;&gt;"",VLOOKUP(Tabela2[[#This Row],[AGRUPADOR]],Tabela1[],4,0),"")</f>
        <v/>
      </c>
      <c r="F371" s="14"/>
      <c r="G371" s="6"/>
      <c r="H371" s="6"/>
      <c r="I371" s="25"/>
      <c r="J371" s="7"/>
      <c r="K371" s="15"/>
      <c r="L371" s="379">
        <f>IF(H371&lt;&gt;"",J371*K371,SUMIFS(L372:L$9844,$F372:$F$9844,"*"&amp;F371&amp;"*",$H372:$H$9844,"&lt;&gt;"))</f>
        <v>0</v>
      </c>
      <c r="M371" s="379" t="str">
        <f>IF(Tabela2[[#This Row],[UNID.]]&lt;&gt;"",IFERROR(VLOOKUP(Tabela2[[#This Row],[AGRUPADOR]],Lucratividade!$D$4:$O$129,6,0),0),"")</f>
        <v/>
      </c>
      <c r="N371" s="379">
        <f>IF(H371&lt;&gt;"",J371*M371*I371,SUMIFS(N372:N$9844,$F372:$F$9844,"*"&amp;F371&amp;"*",$H372:$H$9844,"&lt;&gt;"))</f>
        <v>0</v>
      </c>
      <c r="O371" s="162" t="str">
        <f>IFERROR((-Tabela2[[#This Row],[CUSTO TOTAL]]+Tabela2[[#This Row],[VENDA TOTAL]])/Tabela2[[#This Row],[VENDA TOTAL]]-PARAMETROS!$C$19,"")</f>
        <v/>
      </c>
      <c r="AA371" s="219">
        <f>SUM(Plan_Orc[[#This Row],[01/jan]:[01/dez]])</f>
        <v>0</v>
      </c>
      <c r="AB371" s="114"/>
      <c r="AC371" s="114"/>
      <c r="AD371" s="114"/>
      <c r="AE371" s="114"/>
      <c r="AF371" s="114"/>
      <c r="AG371" s="114"/>
      <c r="AH371" s="114"/>
      <c r="AI371" s="114"/>
      <c r="AJ371" s="114"/>
      <c r="AK371" s="114"/>
      <c r="AL371" s="114"/>
      <c r="AM371" s="114"/>
    </row>
    <row r="372" spans="2:39" ht="25.2" customHeight="1" x14ac:dyDescent="0.3">
      <c r="B372" s="13" t="str">
        <f t="shared" si="9"/>
        <v/>
      </c>
      <c r="C372" s="18"/>
      <c r="D372" s="19" t="str">
        <f>IF(Tabela2[[#This Row],[AGRUPADOR]]&lt;&gt;"",VLOOKUP(Tabela2[[#This Row],[AGRUPADOR]],Tabela1[],2,0),"")</f>
        <v/>
      </c>
      <c r="E372" s="19" t="str">
        <f>IF(Tabela2[[#This Row],[AGRUPADOR]]&lt;&gt;"",VLOOKUP(Tabela2[[#This Row],[AGRUPADOR]],Tabela1[],4,0),"")</f>
        <v/>
      </c>
      <c r="F372" s="14"/>
      <c r="G372" s="6"/>
      <c r="H372" s="6"/>
      <c r="I372" s="25"/>
      <c r="J372" s="7"/>
      <c r="K372" s="15"/>
      <c r="L372" s="379">
        <f>IF(H372&lt;&gt;"",J372*K372,SUMIFS(L373:L$9844,$F373:$F$9844,"*"&amp;F372&amp;"*",$H373:$H$9844,"&lt;&gt;"))</f>
        <v>0</v>
      </c>
      <c r="M372" s="379" t="str">
        <f>IF(Tabela2[[#This Row],[UNID.]]&lt;&gt;"",IFERROR(VLOOKUP(Tabela2[[#This Row],[AGRUPADOR]],Lucratividade!$D$4:$O$129,6,0),0),"")</f>
        <v/>
      </c>
      <c r="N372" s="379">
        <f>IF(H372&lt;&gt;"",J372*M372*I372,SUMIFS(N373:N$9844,$F373:$F$9844,"*"&amp;F372&amp;"*",$H373:$H$9844,"&lt;&gt;"))</f>
        <v>0</v>
      </c>
      <c r="O372" s="162" t="str">
        <f>IFERROR((-Tabela2[[#This Row],[CUSTO TOTAL]]+Tabela2[[#This Row],[VENDA TOTAL]])/Tabela2[[#This Row],[VENDA TOTAL]]-PARAMETROS!$C$19,"")</f>
        <v/>
      </c>
      <c r="AA372" s="220">
        <f>SUM(Plan_Orc[[#This Row],[01/jan]:[01/dez]])</f>
        <v>0</v>
      </c>
      <c r="AB372" s="115"/>
      <c r="AC372" s="115"/>
      <c r="AD372" s="115"/>
      <c r="AE372" s="115"/>
      <c r="AF372" s="115"/>
      <c r="AG372" s="115"/>
      <c r="AH372" s="115"/>
      <c r="AI372" s="115"/>
      <c r="AJ372" s="115"/>
      <c r="AK372" s="115"/>
      <c r="AL372" s="115"/>
      <c r="AM372" s="115"/>
    </row>
    <row r="373" spans="2:39" ht="25.2" customHeight="1" x14ac:dyDescent="0.3">
      <c r="B373" s="13" t="str">
        <f t="shared" si="9"/>
        <v/>
      </c>
      <c r="C373" s="18"/>
      <c r="D373" s="19" t="str">
        <f>IF(Tabela2[[#This Row],[AGRUPADOR]]&lt;&gt;"",VLOOKUP(Tabela2[[#This Row],[AGRUPADOR]],Tabela1[],2,0),"")</f>
        <v/>
      </c>
      <c r="E373" s="19" t="str">
        <f>IF(Tabela2[[#This Row],[AGRUPADOR]]&lt;&gt;"",VLOOKUP(Tabela2[[#This Row],[AGRUPADOR]],Tabela1[],4,0),"")</f>
        <v/>
      </c>
      <c r="F373" s="14"/>
      <c r="G373" s="6"/>
      <c r="H373" s="6"/>
      <c r="I373" s="25"/>
      <c r="J373" s="7"/>
      <c r="K373" s="15"/>
      <c r="L373" s="379">
        <f>IF(H373&lt;&gt;"",J373*K373,SUMIFS(L374:L$9844,$F374:$F$9844,"*"&amp;F373&amp;"*",$H374:$H$9844,"&lt;&gt;"))</f>
        <v>0</v>
      </c>
      <c r="M373" s="379" t="str">
        <f>IF(Tabela2[[#This Row],[UNID.]]&lt;&gt;"",IFERROR(VLOOKUP(Tabela2[[#This Row],[AGRUPADOR]],Lucratividade!$D$4:$O$129,6,0),0),"")</f>
        <v/>
      </c>
      <c r="N373" s="379">
        <f>IF(H373&lt;&gt;"",J373*M373*I373,SUMIFS(N374:N$9844,$F374:$F$9844,"*"&amp;F373&amp;"*",$H374:$H$9844,"&lt;&gt;"))</f>
        <v>0</v>
      </c>
      <c r="O373" s="162" t="str">
        <f>IFERROR((-Tabela2[[#This Row],[CUSTO TOTAL]]+Tabela2[[#This Row],[VENDA TOTAL]])/Tabela2[[#This Row],[VENDA TOTAL]]-PARAMETROS!$C$19,"")</f>
        <v/>
      </c>
      <c r="AA373" s="219">
        <f>SUM(Plan_Orc[[#This Row],[01/jan]:[01/dez]])</f>
        <v>0</v>
      </c>
      <c r="AB373" s="114"/>
      <c r="AC373" s="114"/>
      <c r="AD373" s="114"/>
      <c r="AE373" s="114"/>
      <c r="AF373" s="114"/>
      <c r="AG373" s="114"/>
      <c r="AH373" s="114"/>
      <c r="AI373" s="114"/>
      <c r="AJ373" s="114"/>
      <c r="AK373" s="114"/>
      <c r="AL373" s="114"/>
      <c r="AM373" s="114"/>
    </row>
    <row r="374" spans="2:39" ht="25.2" customHeight="1" x14ac:dyDescent="0.3">
      <c r="B374" s="13" t="str">
        <f t="shared" si="9"/>
        <v/>
      </c>
      <c r="C374" s="18"/>
      <c r="D374" s="19" t="str">
        <f>IF(Tabela2[[#This Row],[AGRUPADOR]]&lt;&gt;"",VLOOKUP(Tabela2[[#This Row],[AGRUPADOR]],Tabela1[],2,0),"")</f>
        <v/>
      </c>
      <c r="E374" s="19" t="str">
        <f>IF(Tabela2[[#This Row],[AGRUPADOR]]&lt;&gt;"",VLOOKUP(Tabela2[[#This Row],[AGRUPADOR]],Tabela1[],4,0),"")</f>
        <v/>
      </c>
      <c r="F374" s="14"/>
      <c r="G374" s="6"/>
      <c r="H374" s="6"/>
      <c r="I374" s="25"/>
      <c r="J374" s="7"/>
      <c r="K374" s="15"/>
      <c r="L374" s="379">
        <f>IF(H374&lt;&gt;"",J374*K374,SUMIFS(L375:L$9844,$F375:$F$9844,"*"&amp;F374&amp;"*",$H375:$H$9844,"&lt;&gt;"))</f>
        <v>0</v>
      </c>
      <c r="M374" s="379" t="str">
        <f>IF(Tabela2[[#This Row],[UNID.]]&lt;&gt;"",IFERROR(VLOOKUP(Tabela2[[#This Row],[AGRUPADOR]],Lucratividade!$D$4:$O$129,6,0),0),"")</f>
        <v/>
      </c>
      <c r="N374" s="379">
        <f>IF(H374&lt;&gt;"",J374*M374*I374,SUMIFS(N375:N$9844,$F375:$F$9844,"*"&amp;F374&amp;"*",$H375:$H$9844,"&lt;&gt;"))</f>
        <v>0</v>
      </c>
      <c r="O374" s="162" t="str">
        <f>IFERROR((-Tabela2[[#This Row],[CUSTO TOTAL]]+Tabela2[[#This Row],[VENDA TOTAL]])/Tabela2[[#This Row],[VENDA TOTAL]]-PARAMETROS!$C$19,"")</f>
        <v/>
      </c>
      <c r="AA374" s="219">
        <f>SUM(Plan_Orc[[#This Row],[01/jan]:[01/dez]])</f>
        <v>0</v>
      </c>
      <c r="AB374" s="114"/>
      <c r="AC374" s="114"/>
      <c r="AD374" s="114"/>
      <c r="AE374" s="114"/>
      <c r="AF374" s="114"/>
      <c r="AG374" s="114"/>
      <c r="AH374" s="114"/>
      <c r="AI374" s="114"/>
      <c r="AJ374" s="114"/>
      <c r="AK374" s="114"/>
      <c r="AL374" s="114"/>
      <c r="AM374" s="114"/>
    </row>
    <row r="375" spans="2:39" ht="25.2" customHeight="1" x14ac:dyDescent="0.3">
      <c r="B375" s="13" t="str">
        <f t="shared" si="9"/>
        <v/>
      </c>
      <c r="C375" s="18"/>
      <c r="D375" s="19" t="str">
        <f>IF(Tabela2[[#This Row],[AGRUPADOR]]&lt;&gt;"",VLOOKUP(Tabela2[[#This Row],[AGRUPADOR]],Tabela1[],2,0),"")</f>
        <v/>
      </c>
      <c r="E375" s="19" t="str">
        <f>IF(Tabela2[[#This Row],[AGRUPADOR]]&lt;&gt;"",VLOOKUP(Tabela2[[#This Row],[AGRUPADOR]],Tabela1[],4,0),"")</f>
        <v/>
      </c>
      <c r="F375" s="14"/>
      <c r="G375" s="6"/>
      <c r="H375" s="6"/>
      <c r="I375" s="25"/>
      <c r="J375" s="7"/>
      <c r="K375" s="15"/>
      <c r="L375" s="379">
        <f>IF(H375&lt;&gt;"",J375*K375,SUMIFS(L376:L$9844,$F376:$F$9844,"*"&amp;F375&amp;"*",$H376:$H$9844,"&lt;&gt;"))</f>
        <v>0</v>
      </c>
      <c r="M375" s="379" t="str">
        <f>IF(Tabela2[[#This Row],[UNID.]]&lt;&gt;"",IFERROR(VLOOKUP(Tabela2[[#This Row],[AGRUPADOR]],Lucratividade!$D$4:$O$129,6,0),0),"")</f>
        <v/>
      </c>
      <c r="N375" s="379">
        <f>IF(H375&lt;&gt;"",J375*M375*I375,SUMIFS(N376:N$9844,$F376:$F$9844,"*"&amp;F375&amp;"*",$H376:$H$9844,"&lt;&gt;"))</f>
        <v>0</v>
      </c>
      <c r="O375" s="162" t="str">
        <f>IFERROR((-Tabela2[[#This Row],[CUSTO TOTAL]]+Tabela2[[#This Row],[VENDA TOTAL]])/Tabela2[[#This Row],[VENDA TOTAL]]-PARAMETROS!$C$19,"")</f>
        <v/>
      </c>
      <c r="AA375" s="219">
        <f>SUM(Plan_Orc[[#This Row],[01/jan]:[01/dez]])</f>
        <v>0</v>
      </c>
      <c r="AB375" s="114"/>
      <c r="AC375" s="114"/>
      <c r="AD375" s="114"/>
      <c r="AE375" s="114"/>
      <c r="AF375" s="114"/>
      <c r="AG375" s="114"/>
      <c r="AH375" s="114"/>
      <c r="AI375" s="114"/>
      <c r="AJ375" s="114"/>
      <c r="AK375" s="114"/>
      <c r="AL375" s="114"/>
      <c r="AM375" s="114"/>
    </row>
    <row r="376" spans="2:39" ht="25.2" customHeight="1" x14ac:dyDescent="0.3">
      <c r="B376" s="13" t="str">
        <f t="shared" si="9"/>
        <v/>
      </c>
      <c r="C376" s="18"/>
      <c r="D376" s="19" t="str">
        <f>IF(Tabela2[[#This Row],[AGRUPADOR]]&lt;&gt;"",VLOOKUP(Tabela2[[#This Row],[AGRUPADOR]],Tabela1[],2,0),"")</f>
        <v/>
      </c>
      <c r="E376" s="19" t="str">
        <f>IF(Tabela2[[#This Row],[AGRUPADOR]]&lt;&gt;"",VLOOKUP(Tabela2[[#This Row],[AGRUPADOR]],Tabela1[],4,0),"")</f>
        <v/>
      </c>
      <c r="F376" s="14"/>
      <c r="G376" s="6"/>
      <c r="H376" s="6"/>
      <c r="I376" s="25"/>
      <c r="J376" s="7"/>
      <c r="K376" s="15"/>
      <c r="L376" s="379">
        <f>IF(H376&lt;&gt;"",J376*K376,SUMIFS(L377:L$9844,$F377:$F$9844,"*"&amp;F376&amp;"*",$H377:$H$9844,"&lt;&gt;"))</f>
        <v>0</v>
      </c>
      <c r="M376" s="379" t="str">
        <f>IF(Tabela2[[#This Row],[UNID.]]&lt;&gt;"",IFERROR(VLOOKUP(Tabela2[[#This Row],[AGRUPADOR]],Lucratividade!$D$4:$O$129,6,0),0),"")</f>
        <v/>
      </c>
      <c r="N376" s="379">
        <f>IF(H376&lt;&gt;"",J376*M376*I376,SUMIFS(N377:N$9844,$F377:$F$9844,"*"&amp;F376&amp;"*",$H377:$H$9844,"&lt;&gt;"))</f>
        <v>0</v>
      </c>
      <c r="O376" s="162" t="str">
        <f>IFERROR((-Tabela2[[#This Row],[CUSTO TOTAL]]+Tabela2[[#This Row],[VENDA TOTAL]])/Tabela2[[#This Row],[VENDA TOTAL]]-PARAMETROS!$C$19,"")</f>
        <v/>
      </c>
      <c r="AA376" s="219">
        <f>SUM(Plan_Orc[[#This Row],[01/jan]:[01/dez]])</f>
        <v>0</v>
      </c>
      <c r="AB376" s="114"/>
      <c r="AC376" s="114"/>
      <c r="AD376" s="114"/>
      <c r="AE376" s="114"/>
      <c r="AF376" s="114"/>
      <c r="AG376" s="114"/>
      <c r="AH376" s="114"/>
      <c r="AI376" s="114"/>
      <c r="AJ376" s="114"/>
      <c r="AK376" s="114"/>
      <c r="AL376" s="114"/>
      <c r="AM376" s="114"/>
    </row>
    <row r="377" spans="2:39" ht="25.2" customHeight="1" x14ac:dyDescent="0.3">
      <c r="B377" s="13" t="str">
        <f t="shared" si="9"/>
        <v/>
      </c>
      <c r="C377" s="18"/>
      <c r="D377" s="19" t="str">
        <f>IF(Tabela2[[#This Row],[AGRUPADOR]]&lt;&gt;"",VLOOKUP(Tabela2[[#This Row],[AGRUPADOR]],Tabela1[],2,0),"")</f>
        <v/>
      </c>
      <c r="E377" s="19" t="str">
        <f>IF(Tabela2[[#This Row],[AGRUPADOR]]&lt;&gt;"",VLOOKUP(Tabela2[[#This Row],[AGRUPADOR]],Tabela1[],4,0),"")</f>
        <v/>
      </c>
      <c r="F377" s="14"/>
      <c r="G377" s="6"/>
      <c r="H377" s="6"/>
      <c r="I377" s="25"/>
      <c r="J377" s="7"/>
      <c r="K377" s="15"/>
      <c r="L377" s="379">
        <f>IF(H377&lt;&gt;"",J377*K377,SUMIFS(L378:L$9844,$F378:$F$9844,"*"&amp;F377&amp;"*",$H378:$H$9844,"&lt;&gt;"))</f>
        <v>0</v>
      </c>
      <c r="M377" s="379" t="str">
        <f>IF(Tabela2[[#This Row],[UNID.]]&lt;&gt;"",IFERROR(VLOOKUP(Tabela2[[#This Row],[AGRUPADOR]],Lucratividade!$D$4:$O$129,6,0),0),"")</f>
        <v/>
      </c>
      <c r="N377" s="379">
        <f>IF(H377&lt;&gt;"",J377*M377*I377,SUMIFS(N378:N$9844,$F378:$F$9844,"*"&amp;F377&amp;"*",$H378:$H$9844,"&lt;&gt;"))</f>
        <v>0</v>
      </c>
      <c r="O377" s="162" t="str">
        <f>IFERROR((-Tabela2[[#This Row],[CUSTO TOTAL]]+Tabela2[[#This Row],[VENDA TOTAL]])/Tabela2[[#This Row],[VENDA TOTAL]]-PARAMETROS!$C$19,"")</f>
        <v/>
      </c>
      <c r="AA377" s="220">
        <f>SUM(Plan_Orc[[#This Row],[01/jan]:[01/dez]])</f>
        <v>0</v>
      </c>
      <c r="AB377" s="115"/>
      <c r="AC377" s="115"/>
      <c r="AD377" s="115"/>
      <c r="AE377" s="115"/>
      <c r="AF377" s="115"/>
      <c r="AG377" s="115"/>
      <c r="AH377" s="115"/>
      <c r="AI377" s="115"/>
      <c r="AJ377" s="115"/>
      <c r="AK377" s="115"/>
      <c r="AL377" s="115"/>
      <c r="AM377" s="115"/>
    </row>
    <row r="378" spans="2:39" ht="25.2" customHeight="1" x14ac:dyDescent="0.3">
      <c r="B378" s="13" t="str">
        <f t="shared" si="9"/>
        <v/>
      </c>
      <c r="C378" s="18"/>
      <c r="D378" s="19" t="str">
        <f>IF(Tabela2[[#This Row],[AGRUPADOR]]&lt;&gt;"",VLOOKUP(Tabela2[[#This Row],[AGRUPADOR]],Tabela1[],2,0),"")</f>
        <v/>
      </c>
      <c r="E378" s="19" t="str">
        <f>IF(Tabela2[[#This Row],[AGRUPADOR]]&lt;&gt;"",VLOOKUP(Tabela2[[#This Row],[AGRUPADOR]],Tabela1[],4,0),"")</f>
        <v/>
      </c>
      <c r="F378" s="14"/>
      <c r="G378" s="6"/>
      <c r="H378" s="6"/>
      <c r="I378" s="25"/>
      <c r="J378" s="7"/>
      <c r="K378" s="15"/>
      <c r="L378" s="379">
        <f>IF(H378&lt;&gt;"",J378*K378,SUMIFS(L379:L$9844,$F379:$F$9844,"*"&amp;F378&amp;"*",$H379:$H$9844,"&lt;&gt;"))</f>
        <v>0</v>
      </c>
      <c r="M378" s="379" t="str">
        <f>IF(Tabela2[[#This Row],[UNID.]]&lt;&gt;"",IFERROR(VLOOKUP(Tabela2[[#This Row],[AGRUPADOR]],Lucratividade!$D$4:$O$129,6,0),0),"")</f>
        <v/>
      </c>
      <c r="N378" s="379">
        <f>IF(H378&lt;&gt;"",J378*M378*I378,SUMIFS(N379:N$9844,$F379:$F$9844,"*"&amp;F378&amp;"*",$H379:$H$9844,"&lt;&gt;"))</f>
        <v>0</v>
      </c>
      <c r="O378" s="162" t="str">
        <f>IFERROR((-Tabela2[[#This Row],[CUSTO TOTAL]]+Tabela2[[#This Row],[VENDA TOTAL]])/Tabela2[[#This Row],[VENDA TOTAL]]-PARAMETROS!$C$19,"")</f>
        <v/>
      </c>
      <c r="AA378" s="218">
        <f>SUM(Plan_Orc[[#This Row],[01/jan]:[01/dez]])</f>
        <v>0</v>
      </c>
      <c r="AB378" s="113"/>
      <c r="AC378" s="113"/>
      <c r="AD378" s="113"/>
      <c r="AE378" s="113"/>
      <c r="AF378" s="113"/>
      <c r="AG378" s="113"/>
      <c r="AH378" s="113"/>
      <c r="AI378" s="113"/>
      <c r="AJ378" s="113"/>
      <c r="AK378" s="113"/>
      <c r="AL378" s="113"/>
      <c r="AM378" s="113"/>
    </row>
    <row r="379" spans="2:39" ht="25.2" customHeight="1" x14ac:dyDescent="0.3">
      <c r="B379" s="13" t="str">
        <f t="shared" si="9"/>
        <v/>
      </c>
      <c r="C379" s="18"/>
      <c r="D379" s="19" t="str">
        <f>IF(Tabela2[[#This Row],[AGRUPADOR]]&lt;&gt;"",VLOOKUP(Tabela2[[#This Row],[AGRUPADOR]],Tabela1[],2,0),"")</f>
        <v/>
      </c>
      <c r="E379" s="19" t="str">
        <f>IF(Tabela2[[#This Row],[AGRUPADOR]]&lt;&gt;"",VLOOKUP(Tabela2[[#This Row],[AGRUPADOR]],Tabela1[],4,0),"")</f>
        <v/>
      </c>
      <c r="F379" s="14"/>
      <c r="G379" s="6"/>
      <c r="H379" s="6"/>
      <c r="I379" s="25"/>
      <c r="J379" s="7"/>
      <c r="K379" s="15"/>
      <c r="L379" s="379">
        <f>IF(H379&lt;&gt;"",J379*K379,SUMIFS(L380:L$9844,$F380:$F$9844,"*"&amp;F379&amp;"*",$H380:$H$9844,"&lt;&gt;"))</f>
        <v>0</v>
      </c>
      <c r="M379" s="379" t="str">
        <f>IF(Tabela2[[#This Row],[UNID.]]&lt;&gt;"",IFERROR(VLOOKUP(Tabela2[[#This Row],[AGRUPADOR]],Lucratividade!$D$4:$O$129,6,0),0),"")</f>
        <v/>
      </c>
      <c r="N379" s="379">
        <f>IF(H379&lt;&gt;"",J379*M379*I379,SUMIFS(N380:N$9844,$F380:$F$9844,"*"&amp;F379&amp;"*",$H380:$H$9844,"&lt;&gt;"))</f>
        <v>0</v>
      </c>
      <c r="O379" s="162" t="str">
        <f>IFERROR((-Tabela2[[#This Row],[CUSTO TOTAL]]+Tabela2[[#This Row],[VENDA TOTAL]])/Tabela2[[#This Row],[VENDA TOTAL]]-PARAMETROS!$C$19,"")</f>
        <v/>
      </c>
      <c r="AA379" s="219">
        <f>SUM(Plan_Orc[[#This Row],[01/jan]:[01/dez]])</f>
        <v>0</v>
      </c>
      <c r="AB379" s="114"/>
      <c r="AC379" s="114"/>
      <c r="AD379" s="114"/>
      <c r="AE379" s="114"/>
      <c r="AF379" s="114"/>
      <c r="AG379" s="114"/>
      <c r="AH379" s="114"/>
      <c r="AI379" s="114"/>
      <c r="AJ379" s="114"/>
      <c r="AK379" s="114"/>
      <c r="AL379" s="114"/>
      <c r="AM379" s="114"/>
    </row>
    <row r="380" spans="2:39" ht="25.2" customHeight="1" x14ac:dyDescent="0.3">
      <c r="B380" s="13" t="str">
        <f t="shared" si="9"/>
        <v/>
      </c>
      <c r="C380" s="18"/>
      <c r="D380" s="19" t="str">
        <f>IF(Tabela2[[#This Row],[AGRUPADOR]]&lt;&gt;"",VLOOKUP(Tabela2[[#This Row],[AGRUPADOR]],Tabela1[],2,0),"")</f>
        <v/>
      </c>
      <c r="E380" s="19" t="str">
        <f>IF(Tabela2[[#This Row],[AGRUPADOR]]&lt;&gt;"",VLOOKUP(Tabela2[[#This Row],[AGRUPADOR]],Tabela1[],4,0),"")</f>
        <v/>
      </c>
      <c r="F380" s="14"/>
      <c r="G380" s="6"/>
      <c r="H380" s="6"/>
      <c r="I380" s="25"/>
      <c r="J380" s="7"/>
      <c r="K380" s="15"/>
      <c r="L380" s="379">
        <f>IF(H380&lt;&gt;"",J380*K380,SUMIFS(L381:L$9844,$F381:$F$9844,"*"&amp;F380&amp;"*",$H381:$H$9844,"&lt;&gt;"))</f>
        <v>0</v>
      </c>
      <c r="M380" s="379" t="str">
        <f>IF(Tabela2[[#This Row],[UNID.]]&lt;&gt;"",IFERROR(VLOOKUP(Tabela2[[#This Row],[AGRUPADOR]],Lucratividade!$D$4:$O$129,6,0),0),"")</f>
        <v/>
      </c>
      <c r="N380" s="379">
        <f>IF(H380&lt;&gt;"",J380*M380*I380,SUMIFS(N381:N$9844,$F381:$F$9844,"*"&amp;F380&amp;"*",$H381:$H$9844,"&lt;&gt;"))</f>
        <v>0</v>
      </c>
      <c r="O380" s="162" t="str">
        <f>IFERROR((-Tabela2[[#This Row],[CUSTO TOTAL]]+Tabela2[[#This Row],[VENDA TOTAL]])/Tabela2[[#This Row],[VENDA TOTAL]]-PARAMETROS!$C$19,"")</f>
        <v/>
      </c>
      <c r="AA380" s="222">
        <f>SUM(Plan_Orc[[#This Row],[01/jan]:[01/dez]])</f>
        <v>0</v>
      </c>
      <c r="AB380" s="216"/>
      <c r="AC380" s="216"/>
      <c r="AD380" s="216"/>
      <c r="AE380" s="216"/>
      <c r="AF380" s="216"/>
      <c r="AG380" s="216"/>
      <c r="AH380" s="216"/>
      <c r="AI380" s="216"/>
      <c r="AJ380" s="216"/>
      <c r="AK380" s="216"/>
      <c r="AL380" s="216"/>
      <c r="AM380" s="216"/>
    </row>
    <row r="381" spans="2:39" ht="25.2" customHeight="1" x14ac:dyDescent="0.3">
      <c r="B381" s="13" t="str">
        <f t="shared" si="9"/>
        <v/>
      </c>
      <c r="C381" s="18"/>
      <c r="D381" s="19" t="str">
        <f>IF(Tabela2[[#This Row],[AGRUPADOR]]&lt;&gt;"",VLOOKUP(Tabela2[[#This Row],[AGRUPADOR]],Tabela1[],2,0),"")</f>
        <v/>
      </c>
      <c r="E381" s="19" t="str">
        <f>IF(Tabela2[[#This Row],[AGRUPADOR]]&lt;&gt;"",VLOOKUP(Tabela2[[#This Row],[AGRUPADOR]],Tabela1[],4,0),"")</f>
        <v/>
      </c>
      <c r="F381" s="14"/>
      <c r="G381" s="6"/>
      <c r="H381" s="6"/>
      <c r="I381" s="25"/>
      <c r="J381" s="7"/>
      <c r="K381" s="15"/>
      <c r="L381" s="379">
        <f>IF(H381&lt;&gt;"",J381*K381,SUMIFS(L382:L$9844,$F382:$F$9844,"*"&amp;F381&amp;"*",$H382:$H$9844,"&lt;&gt;"))</f>
        <v>0</v>
      </c>
      <c r="M381" s="379" t="str">
        <f>IF(Tabela2[[#This Row],[UNID.]]&lt;&gt;"",IFERROR(VLOOKUP(Tabela2[[#This Row],[AGRUPADOR]],Lucratividade!$D$4:$O$129,6,0),0),"")</f>
        <v/>
      </c>
      <c r="N381" s="379">
        <f>IF(H381&lt;&gt;"",J381*M381*I381,SUMIFS(N382:N$9844,$F382:$F$9844,"*"&amp;F381&amp;"*",$H382:$H$9844,"&lt;&gt;"))</f>
        <v>0</v>
      </c>
      <c r="O381" s="162" t="str">
        <f>IFERROR((-Tabela2[[#This Row],[CUSTO TOTAL]]+Tabela2[[#This Row],[VENDA TOTAL]])/Tabela2[[#This Row],[VENDA TOTAL]]-PARAMETROS!$C$19,"")</f>
        <v/>
      </c>
      <c r="AA381" s="217">
        <f>SUM(Plan_Orc[[#This Row],[01/jan]:[01/dez]])</f>
        <v>0</v>
      </c>
      <c r="AB381" s="214"/>
      <c r="AC381" s="214"/>
      <c r="AD381" s="214"/>
      <c r="AE381" s="214"/>
      <c r="AF381" s="214"/>
      <c r="AG381" s="214"/>
      <c r="AH381" s="214"/>
      <c r="AI381" s="214"/>
      <c r="AJ381" s="214"/>
      <c r="AK381" s="214"/>
      <c r="AL381" s="214"/>
      <c r="AM381" s="214"/>
    </row>
    <row r="382" spans="2:39" ht="25.2" customHeight="1" x14ac:dyDescent="0.3">
      <c r="B382" s="13" t="str">
        <f t="shared" si="9"/>
        <v/>
      </c>
      <c r="C382" s="18"/>
      <c r="D382" s="19" t="str">
        <f>IF(Tabela2[[#This Row],[AGRUPADOR]]&lt;&gt;"",VLOOKUP(Tabela2[[#This Row],[AGRUPADOR]],Tabela1[],2,0),"")</f>
        <v/>
      </c>
      <c r="E382" s="19" t="str">
        <f>IF(Tabela2[[#This Row],[AGRUPADOR]]&lt;&gt;"",VLOOKUP(Tabela2[[#This Row],[AGRUPADOR]],Tabela1[],4,0),"")</f>
        <v/>
      </c>
      <c r="F382" s="14"/>
      <c r="G382" s="6"/>
      <c r="H382" s="6"/>
      <c r="I382" s="25"/>
      <c r="J382" s="7"/>
      <c r="K382" s="15"/>
      <c r="L382" s="379">
        <f>IF(H382&lt;&gt;"",J382*K382,SUMIFS(L383:L$9844,$F383:$F$9844,"*"&amp;F382&amp;"*",$H383:$H$9844,"&lt;&gt;"))</f>
        <v>0</v>
      </c>
      <c r="M382" s="379" t="str">
        <f>IF(Tabela2[[#This Row],[UNID.]]&lt;&gt;"",IFERROR(VLOOKUP(Tabela2[[#This Row],[AGRUPADOR]],Lucratividade!$D$4:$O$129,6,0),0),"")</f>
        <v/>
      </c>
      <c r="N382" s="379">
        <f>IF(H382&lt;&gt;"",J382*M382*I382,SUMIFS(N383:N$9844,$F383:$F$9844,"*"&amp;F382&amp;"*",$H383:$H$9844,"&lt;&gt;"))</f>
        <v>0</v>
      </c>
      <c r="O382" s="162" t="str">
        <f>IFERROR((-Tabela2[[#This Row],[CUSTO TOTAL]]+Tabela2[[#This Row],[VENDA TOTAL]])/Tabela2[[#This Row],[VENDA TOTAL]]-PARAMETROS!$C$19,"")</f>
        <v/>
      </c>
      <c r="AA382" s="218">
        <f>SUM(Plan_Orc[[#This Row],[01/jan]:[01/dez]])</f>
        <v>0</v>
      </c>
      <c r="AB382" s="113"/>
      <c r="AC382" s="113"/>
      <c r="AD382" s="113"/>
      <c r="AE382" s="113"/>
      <c r="AF382" s="113"/>
      <c r="AG382" s="113"/>
      <c r="AH382" s="113"/>
      <c r="AI382" s="113"/>
      <c r="AJ382" s="113"/>
      <c r="AK382" s="113"/>
      <c r="AL382" s="113"/>
      <c r="AM382" s="113"/>
    </row>
    <row r="383" spans="2:39" ht="25.2" customHeight="1" x14ac:dyDescent="0.3">
      <c r="B383" s="13" t="str">
        <f t="shared" si="9"/>
        <v/>
      </c>
      <c r="C383" s="18"/>
      <c r="D383" s="19" t="str">
        <f>IF(Tabela2[[#This Row],[AGRUPADOR]]&lt;&gt;"",VLOOKUP(Tabela2[[#This Row],[AGRUPADOR]],Tabela1[],2,0),"")</f>
        <v/>
      </c>
      <c r="E383" s="19" t="str">
        <f>IF(Tabela2[[#This Row],[AGRUPADOR]]&lt;&gt;"",VLOOKUP(Tabela2[[#This Row],[AGRUPADOR]],Tabela1[],4,0),"")</f>
        <v/>
      </c>
      <c r="F383" s="14"/>
      <c r="G383" s="6"/>
      <c r="H383" s="6"/>
      <c r="I383" s="25"/>
      <c r="J383" s="7"/>
      <c r="K383" s="15"/>
      <c r="L383" s="379">
        <f>IF(H383&lt;&gt;"",J383*K383,SUMIFS(L384:L$9844,$F384:$F$9844,"*"&amp;F383&amp;"*",$H384:$H$9844,"&lt;&gt;"))</f>
        <v>0</v>
      </c>
      <c r="M383" s="379" t="str">
        <f>IF(Tabela2[[#This Row],[UNID.]]&lt;&gt;"",IFERROR(VLOOKUP(Tabela2[[#This Row],[AGRUPADOR]],Lucratividade!$D$4:$O$129,6,0),0),"")</f>
        <v/>
      </c>
      <c r="N383" s="379">
        <f>IF(H383&lt;&gt;"",J383*M383*I383,SUMIFS(N384:N$9844,$F384:$F$9844,"*"&amp;F383&amp;"*",$H384:$H$9844,"&lt;&gt;"))</f>
        <v>0</v>
      </c>
      <c r="O383" s="162" t="str">
        <f>IFERROR((-Tabela2[[#This Row],[CUSTO TOTAL]]+Tabela2[[#This Row],[VENDA TOTAL]])/Tabela2[[#This Row],[VENDA TOTAL]]-PARAMETROS!$C$19,"")</f>
        <v/>
      </c>
      <c r="AA383" s="219">
        <f>SUM(Plan_Orc[[#This Row],[01/jan]:[01/dez]])</f>
        <v>0</v>
      </c>
      <c r="AB383" s="114"/>
      <c r="AC383" s="114"/>
      <c r="AD383" s="114"/>
      <c r="AE383" s="114"/>
      <c r="AF383" s="114"/>
      <c r="AG383" s="114"/>
      <c r="AH383" s="114"/>
      <c r="AI383" s="114"/>
      <c r="AJ383" s="114"/>
      <c r="AK383" s="114"/>
      <c r="AL383" s="114"/>
      <c r="AM383" s="114"/>
    </row>
    <row r="384" spans="2:39" ht="25.2" customHeight="1" x14ac:dyDescent="0.3">
      <c r="B384" s="13" t="str">
        <f t="shared" si="9"/>
        <v/>
      </c>
      <c r="C384" s="18"/>
      <c r="D384" s="19" t="str">
        <f>IF(Tabela2[[#This Row],[AGRUPADOR]]&lt;&gt;"",VLOOKUP(Tabela2[[#This Row],[AGRUPADOR]],Tabela1[],2,0),"")</f>
        <v/>
      </c>
      <c r="E384" s="19" t="str">
        <f>IF(Tabela2[[#This Row],[AGRUPADOR]]&lt;&gt;"",VLOOKUP(Tabela2[[#This Row],[AGRUPADOR]],Tabela1[],4,0),"")</f>
        <v/>
      </c>
      <c r="F384" s="14"/>
      <c r="G384" s="6"/>
      <c r="H384" s="6"/>
      <c r="I384" s="25"/>
      <c r="J384" s="7"/>
      <c r="K384" s="15"/>
      <c r="L384" s="379">
        <f>IF(H384&lt;&gt;"",J384*K384,SUMIFS(L385:L$9844,$F385:$F$9844,"*"&amp;F384&amp;"*",$H385:$H$9844,"&lt;&gt;"))</f>
        <v>0</v>
      </c>
      <c r="M384" s="379" t="str">
        <f>IF(Tabela2[[#This Row],[UNID.]]&lt;&gt;"",IFERROR(VLOOKUP(Tabela2[[#This Row],[AGRUPADOR]],Lucratividade!$D$4:$O$129,6,0),0),"")</f>
        <v/>
      </c>
      <c r="N384" s="379">
        <f>IF(H384&lt;&gt;"",J384*M384*I384,SUMIFS(N385:N$9844,$F385:$F$9844,"*"&amp;F384&amp;"*",$H385:$H$9844,"&lt;&gt;"))</f>
        <v>0</v>
      </c>
      <c r="O384" s="162" t="str">
        <f>IFERROR((-Tabela2[[#This Row],[CUSTO TOTAL]]+Tabela2[[#This Row],[VENDA TOTAL]])/Tabela2[[#This Row],[VENDA TOTAL]]-PARAMETROS!$C$19,"")</f>
        <v/>
      </c>
      <c r="AA384" s="217">
        <f>SUM(Plan_Orc[[#This Row],[01/jan]:[01/dez]])</f>
        <v>0</v>
      </c>
      <c r="AB384" s="214"/>
      <c r="AC384" s="214"/>
      <c r="AD384" s="214"/>
      <c r="AE384" s="214"/>
      <c r="AF384" s="214"/>
      <c r="AG384" s="214"/>
      <c r="AH384" s="214"/>
      <c r="AI384" s="214"/>
      <c r="AJ384" s="214"/>
      <c r="AK384" s="214"/>
      <c r="AL384" s="214"/>
      <c r="AM384" s="214"/>
    </row>
    <row r="385" spans="2:39" ht="25.2" customHeight="1" x14ac:dyDescent="0.3">
      <c r="B385" s="13" t="str">
        <f t="shared" si="9"/>
        <v/>
      </c>
      <c r="C385" s="18"/>
      <c r="D385" s="19" t="str">
        <f>IF(Tabela2[[#This Row],[AGRUPADOR]]&lt;&gt;"",VLOOKUP(Tabela2[[#This Row],[AGRUPADOR]],Tabela1[],2,0),"")</f>
        <v/>
      </c>
      <c r="E385" s="19" t="str">
        <f>IF(Tabela2[[#This Row],[AGRUPADOR]]&lt;&gt;"",VLOOKUP(Tabela2[[#This Row],[AGRUPADOR]],Tabela1[],4,0),"")</f>
        <v/>
      </c>
      <c r="F385" s="14"/>
      <c r="G385" s="6"/>
      <c r="H385" s="6"/>
      <c r="I385" s="25"/>
      <c r="J385" s="7"/>
      <c r="K385" s="15"/>
      <c r="L385" s="379">
        <f>IF(H385&lt;&gt;"",J385*K385,SUMIFS(L386:L$9844,$F386:$F$9844,"*"&amp;F385&amp;"*",$H386:$H$9844,"&lt;&gt;"))</f>
        <v>0</v>
      </c>
      <c r="M385" s="379" t="str">
        <f>IF(Tabela2[[#This Row],[UNID.]]&lt;&gt;"",IFERROR(VLOOKUP(Tabela2[[#This Row],[AGRUPADOR]],Lucratividade!$D$4:$O$129,6,0),0),"")</f>
        <v/>
      </c>
      <c r="N385" s="379">
        <f>IF(H385&lt;&gt;"",J385*M385*I385,SUMIFS(N386:N$9844,$F386:$F$9844,"*"&amp;F385&amp;"*",$H386:$H$9844,"&lt;&gt;"))</f>
        <v>0</v>
      </c>
      <c r="O385" s="162" t="str">
        <f>IFERROR((-Tabela2[[#This Row],[CUSTO TOTAL]]+Tabela2[[#This Row],[VENDA TOTAL]])/Tabela2[[#This Row],[VENDA TOTAL]]-PARAMETROS!$C$19,"")</f>
        <v/>
      </c>
      <c r="AA385" s="218">
        <f>SUM(Plan_Orc[[#This Row],[01/jan]:[01/dez]])</f>
        <v>0</v>
      </c>
      <c r="AB385" s="113"/>
      <c r="AC385" s="113"/>
      <c r="AD385" s="113"/>
      <c r="AE385" s="113"/>
      <c r="AF385" s="113"/>
      <c r="AG385" s="113"/>
      <c r="AH385" s="113"/>
      <c r="AI385" s="113"/>
      <c r="AJ385" s="113"/>
      <c r="AK385" s="113"/>
      <c r="AL385" s="113"/>
      <c r="AM385" s="113"/>
    </row>
    <row r="386" spans="2:39" ht="25.2" customHeight="1" x14ac:dyDescent="0.3">
      <c r="B386" s="13" t="str">
        <f t="shared" si="9"/>
        <v/>
      </c>
      <c r="C386" s="18"/>
      <c r="D386" s="19" t="str">
        <f>IF(Tabela2[[#This Row],[AGRUPADOR]]&lt;&gt;"",VLOOKUP(Tabela2[[#This Row],[AGRUPADOR]],Tabela1[],2,0),"")</f>
        <v/>
      </c>
      <c r="E386" s="19" t="str">
        <f>IF(Tabela2[[#This Row],[AGRUPADOR]]&lt;&gt;"",VLOOKUP(Tabela2[[#This Row],[AGRUPADOR]],Tabela1[],4,0),"")</f>
        <v/>
      </c>
      <c r="F386" s="14"/>
      <c r="G386" s="6"/>
      <c r="H386" s="6"/>
      <c r="I386" s="25"/>
      <c r="J386" s="7"/>
      <c r="K386" s="15"/>
      <c r="L386" s="379">
        <f>IF(H386&lt;&gt;"",J386*K386,SUMIFS(L387:L$9844,$F387:$F$9844,"*"&amp;F386&amp;"*",$H387:$H$9844,"&lt;&gt;"))</f>
        <v>0</v>
      </c>
      <c r="M386" s="379" t="str">
        <f>IF(Tabela2[[#This Row],[UNID.]]&lt;&gt;"",IFERROR(VLOOKUP(Tabela2[[#This Row],[AGRUPADOR]],Lucratividade!$D$4:$O$129,6,0),0),"")</f>
        <v/>
      </c>
      <c r="N386" s="379">
        <f>IF(H386&lt;&gt;"",J386*M386*I386,SUMIFS(N387:N$9844,$F387:$F$9844,"*"&amp;F386&amp;"*",$H387:$H$9844,"&lt;&gt;"))</f>
        <v>0</v>
      </c>
      <c r="O386" s="162" t="str">
        <f>IFERROR((-Tabela2[[#This Row],[CUSTO TOTAL]]+Tabela2[[#This Row],[VENDA TOTAL]])/Tabela2[[#This Row],[VENDA TOTAL]]-PARAMETROS!$C$19,"")</f>
        <v/>
      </c>
      <c r="AA386" s="219">
        <f>SUM(Plan_Orc[[#This Row],[01/jan]:[01/dez]])</f>
        <v>0</v>
      </c>
      <c r="AB386" s="114"/>
      <c r="AC386" s="114"/>
      <c r="AD386" s="114"/>
      <c r="AE386" s="114"/>
      <c r="AF386" s="114"/>
      <c r="AG386" s="114"/>
      <c r="AH386" s="114"/>
      <c r="AI386" s="114"/>
      <c r="AJ386" s="114"/>
      <c r="AK386" s="114"/>
      <c r="AL386" s="114"/>
      <c r="AM386" s="114"/>
    </row>
    <row r="387" spans="2:39" ht="25.2" customHeight="1" x14ac:dyDescent="0.3">
      <c r="B387" s="13" t="str">
        <f t="shared" si="9"/>
        <v/>
      </c>
      <c r="C387" s="18"/>
      <c r="D387" s="19" t="str">
        <f>IF(Tabela2[[#This Row],[AGRUPADOR]]&lt;&gt;"",VLOOKUP(Tabela2[[#This Row],[AGRUPADOR]],Tabela1[],2,0),"")</f>
        <v/>
      </c>
      <c r="E387" s="19" t="str">
        <f>IF(Tabela2[[#This Row],[AGRUPADOR]]&lt;&gt;"",VLOOKUP(Tabela2[[#This Row],[AGRUPADOR]],Tabela1[],4,0),"")</f>
        <v/>
      </c>
      <c r="F387" s="14"/>
      <c r="G387" s="6"/>
      <c r="H387" s="6"/>
      <c r="I387" s="25"/>
      <c r="J387" s="7"/>
      <c r="K387" s="15"/>
      <c r="L387" s="379">
        <f>IF(H387&lt;&gt;"",J387*K387,SUMIFS(L388:L$9844,$F388:$F$9844,"*"&amp;F387&amp;"*",$H388:$H$9844,"&lt;&gt;"))</f>
        <v>0</v>
      </c>
      <c r="M387" s="379" t="str">
        <f>IF(Tabela2[[#This Row],[UNID.]]&lt;&gt;"",IFERROR(VLOOKUP(Tabela2[[#This Row],[AGRUPADOR]],Lucratividade!$D$4:$O$129,6,0),0),"")</f>
        <v/>
      </c>
      <c r="N387" s="379">
        <f>IF(H387&lt;&gt;"",J387*M387*I387,SUMIFS(N388:N$9844,$F388:$F$9844,"*"&amp;F387&amp;"*",$H388:$H$9844,"&lt;&gt;"))</f>
        <v>0</v>
      </c>
      <c r="O387" s="162" t="str">
        <f>IFERROR((-Tabela2[[#This Row],[CUSTO TOTAL]]+Tabela2[[#This Row],[VENDA TOTAL]])/Tabela2[[#This Row],[VENDA TOTAL]]-PARAMETROS!$C$19,"")</f>
        <v/>
      </c>
      <c r="AA387" s="219">
        <f>SUM(Plan_Orc[[#This Row],[01/jan]:[01/dez]])</f>
        <v>0</v>
      </c>
      <c r="AB387" s="114"/>
      <c r="AC387" s="114"/>
      <c r="AD387" s="114"/>
      <c r="AE387" s="114"/>
      <c r="AF387" s="114"/>
      <c r="AG387" s="114"/>
      <c r="AH387" s="114"/>
      <c r="AI387" s="114"/>
      <c r="AJ387" s="114"/>
      <c r="AK387" s="114"/>
      <c r="AL387" s="114"/>
      <c r="AM387" s="114"/>
    </row>
    <row r="388" spans="2:39" ht="25.2" customHeight="1" x14ac:dyDescent="0.3">
      <c r="B388" s="13" t="str">
        <f t="shared" ref="B388:B451" si="10">IF(LEN(F388)=3,1,"")</f>
        <v/>
      </c>
      <c r="C388" s="18"/>
      <c r="D388" s="19" t="str">
        <f>IF(Tabela2[[#This Row],[AGRUPADOR]]&lt;&gt;"",VLOOKUP(Tabela2[[#This Row],[AGRUPADOR]],Tabela1[],2,0),"")</f>
        <v/>
      </c>
      <c r="E388" s="19" t="str">
        <f>IF(Tabela2[[#This Row],[AGRUPADOR]]&lt;&gt;"",VLOOKUP(Tabela2[[#This Row],[AGRUPADOR]],Tabela1[],4,0),"")</f>
        <v/>
      </c>
      <c r="F388" s="14"/>
      <c r="G388" s="6"/>
      <c r="H388" s="6"/>
      <c r="I388" s="25"/>
      <c r="J388" s="7"/>
      <c r="K388" s="15"/>
      <c r="L388" s="379">
        <f>IF(H388&lt;&gt;"",J388*K388,SUMIFS(L389:L$9844,$F389:$F$9844,"*"&amp;F388&amp;"*",$H389:$H$9844,"&lt;&gt;"))</f>
        <v>0</v>
      </c>
      <c r="M388" s="379" t="str">
        <f>IF(Tabela2[[#This Row],[UNID.]]&lt;&gt;"",IFERROR(VLOOKUP(Tabela2[[#This Row],[AGRUPADOR]],Lucratividade!$D$4:$O$129,6,0),0),"")</f>
        <v/>
      </c>
      <c r="N388" s="379">
        <f>IF(H388&lt;&gt;"",J388*M388*I388,SUMIFS(N389:N$9844,$F389:$F$9844,"*"&amp;F388&amp;"*",$H389:$H$9844,"&lt;&gt;"))</f>
        <v>0</v>
      </c>
      <c r="O388" s="162" t="str">
        <f>IFERROR((-Tabela2[[#This Row],[CUSTO TOTAL]]+Tabela2[[#This Row],[VENDA TOTAL]])/Tabela2[[#This Row],[VENDA TOTAL]]-PARAMETROS!$C$19,"")</f>
        <v/>
      </c>
      <c r="AA388" s="219">
        <f>SUM(Plan_Orc[[#This Row],[01/jan]:[01/dez]])</f>
        <v>0</v>
      </c>
      <c r="AB388" s="114"/>
      <c r="AC388" s="114"/>
      <c r="AD388" s="114"/>
      <c r="AE388" s="114"/>
      <c r="AF388" s="114"/>
      <c r="AG388" s="114"/>
      <c r="AH388" s="114"/>
      <c r="AI388" s="114"/>
      <c r="AJ388" s="114"/>
      <c r="AK388" s="114"/>
      <c r="AL388" s="114"/>
      <c r="AM388" s="114"/>
    </row>
    <row r="389" spans="2:39" ht="25.2" customHeight="1" x14ac:dyDescent="0.3">
      <c r="B389" s="13" t="str">
        <f t="shared" si="10"/>
        <v/>
      </c>
      <c r="C389" s="18"/>
      <c r="D389" s="19" t="str">
        <f>IF(Tabela2[[#This Row],[AGRUPADOR]]&lt;&gt;"",VLOOKUP(Tabela2[[#This Row],[AGRUPADOR]],Tabela1[],2,0),"")</f>
        <v/>
      </c>
      <c r="E389" s="19" t="str">
        <f>IF(Tabela2[[#This Row],[AGRUPADOR]]&lt;&gt;"",VLOOKUP(Tabela2[[#This Row],[AGRUPADOR]],Tabela1[],4,0),"")</f>
        <v/>
      </c>
      <c r="F389" s="14"/>
      <c r="G389" s="6"/>
      <c r="H389" s="6"/>
      <c r="I389" s="25"/>
      <c r="J389" s="7"/>
      <c r="K389" s="15"/>
      <c r="L389" s="379">
        <f>IF(H389&lt;&gt;"",J389*K389,SUMIFS(L390:L$9844,$F390:$F$9844,"*"&amp;F389&amp;"*",$H390:$H$9844,"&lt;&gt;"))</f>
        <v>0</v>
      </c>
      <c r="M389" s="379" t="str">
        <f>IF(Tabela2[[#This Row],[UNID.]]&lt;&gt;"",IFERROR(VLOOKUP(Tabela2[[#This Row],[AGRUPADOR]],Lucratividade!$D$4:$O$129,6,0),0),"")</f>
        <v/>
      </c>
      <c r="N389" s="379">
        <f>IF(H389&lt;&gt;"",J389*M389*I389,SUMIFS(N390:N$9844,$F390:$F$9844,"*"&amp;F389&amp;"*",$H390:$H$9844,"&lt;&gt;"))</f>
        <v>0</v>
      </c>
      <c r="O389" s="162" t="str">
        <f>IFERROR((-Tabela2[[#This Row],[CUSTO TOTAL]]+Tabela2[[#This Row],[VENDA TOTAL]])/Tabela2[[#This Row],[VENDA TOTAL]]-PARAMETROS!$C$19,"")</f>
        <v/>
      </c>
      <c r="AA389" s="219">
        <f>SUM(Plan_Orc[[#This Row],[01/jan]:[01/dez]])</f>
        <v>0</v>
      </c>
      <c r="AB389" s="114"/>
      <c r="AC389" s="114"/>
      <c r="AD389" s="114"/>
      <c r="AE389" s="114"/>
      <c r="AF389" s="114"/>
      <c r="AG389" s="114"/>
      <c r="AH389" s="114"/>
      <c r="AI389" s="114"/>
      <c r="AJ389" s="114"/>
      <c r="AK389" s="114"/>
      <c r="AL389" s="114"/>
      <c r="AM389" s="114"/>
    </row>
    <row r="390" spans="2:39" ht="25.2" customHeight="1" x14ac:dyDescent="0.3">
      <c r="B390" s="13" t="str">
        <f t="shared" si="10"/>
        <v/>
      </c>
      <c r="C390" s="18"/>
      <c r="D390" s="19" t="str">
        <f>IF(Tabela2[[#This Row],[AGRUPADOR]]&lt;&gt;"",VLOOKUP(Tabela2[[#This Row],[AGRUPADOR]],Tabela1[],2,0),"")</f>
        <v/>
      </c>
      <c r="E390" s="19" t="str">
        <f>IF(Tabela2[[#This Row],[AGRUPADOR]]&lt;&gt;"",VLOOKUP(Tabela2[[#This Row],[AGRUPADOR]],Tabela1[],4,0),"")</f>
        <v/>
      </c>
      <c r="F390" s="14"/>
      <c r="G390" s="6"/>
      <c r="H390" s="6"/>
      <c r="I390" s="25"/>
      <c r="J390" s="7"/>
      <c r="K390" s="15"/>
      <c r="L390" s="379">
        <f>IF(H390&lt;&gt;"",J390*K390,SUMIFS(L391:L$9844,$F391:$F$9844,"*"&amp;F390&amp;"*",$H391:$H$9844,"&lt;&gt;"))</f>
        <v>0</v>
      </c>
      <c r="M390" s="379" t="str">
        <f>IF(Tabela2[[#This Row],[UNID.]]&lt;&gt;"",IFERROR(VLOOKUP(Tabela2[[#This Row],[AGRUPADOR]],Lucratividade!$D$4:$O$129,6,0),0),"")</f>
        <v/>
      </c>
      <c r="N390" s="379">
        <f>IF(H390&lt;&gt;"",J390*M390*I390,SUMIFS(N391:N$9844,$F391:$F$9844,"*"&amp;F390&amp;"*",$H391:$H$9844,"&lt;&gt;"))</f>
        <v>0</v>
      </c>
      <c r="O390" s="162" t="str">
        <f>IFERROR((-Tabela2[[#This Row],[CUSTO TOTAL]]+Tabela2[[#This Row],[VENDA TOTAL]])/Tabela2[[#This Row],[VENDA TOTAL]]-PARAMETROS!$C$19,"")</f>
        <v/>
      </c>
      <c r="AA390" s="219">
        <f>SUM(Plan_Orc[[#This Row],[01/jan]:[01/dez]])</f>
        <v>0</v>
      </c>
      <c r="AB390" s="114"/>
      <c r="AC390" s="114"/>
      <c r="AD390" s="114"/>
      <c r="AE390" s="114"/>
      <c r="AF390" s="114"/>
      <c r="AG390" s="114"/>
      <c r="AH390" s="114"/>
      <c r="AI390" s="114"/>
      <c r="AJ390" s="114"/>
      <c r="AK390" s="114"/>
      <c r="AL390" s="114"/>
      <c r="AM390" s="114"/>
    </row>
    <row r="391" spans="2:39" ht="25.2" customHeight="1" x14ac:dyDescent="0.3">
      <c r="B391" s="13" t="str">
        <f t="shared" si="10"/>
        <v/>
      </c>
      <c r="C391" s="18"/>
      <c r="D391" s="19" t="str">
        <f>IF(Tabela2[[#This Row],[AGRUPADOR]]&lt;&gt;"",VLOOKUP(Tabela2[[#This Row],[AGRUPADOR]],Tabela1[],2,0),"")</f>
        <v/>
      </c>
      <c r="E391" s="19" t="str">
        <f>IF(Tabela2[[#This Row],[AGRUPADOR]]&lt;&gt;"",VLOOKUP(Tabela2[[#This Row],[AGRUPADOR]],Tabela1[],4,0),"")</f>
        <v/>
      </c>
      <c r="F391" s="14"/>
      <c r="G391" s="6"/>
      <c r="H391" s="6"/>
      <c r="I391" s="25"/>
      <c r="J391" s="7"/>
      <c r="K391" s="15"/>
      <c r="L391" s="379">
        <f>IF(H391&lt;&gt;"",J391*K391,SUMIFS(L392:L$9844,$F392:$F$9844,"*"&amp;F391&amp;"*",$H392:$H$9844,"&lt;&gt;"))</f>
        <v>0</v>
      </c>
      <c r="M391" s="379" t="str">
        <f>IF(Tabela2[[#This Row],[UNID.]]&lt;&gt;"",IFERROR(VLOOKUP(Tabela2[[#This Row],[AGRUPADOR]],Lucratividade!$D$4:$O$129,6,0),0),"")</f>
        <v/>
      </c>
      <c r="N391" s="379">
        <f>IF(H391&lt;&gt;"",J391*M391*I391,SUMIFS(N392:N$9844,$F392:$F$9844,"*"&amp;F391&amp;"*",$H392:$H$9844,"&lt;&gt;"))</f>
        <v>0</v>
      </c>
      <c r="O391" s="162" t="str">
        <f>IFERROR((-Tabela2[[#This Row],[CUSTO TOTAL]]+Tabela2[[#This Row],[VENDA TOTAL]])/Tabela2[[#This Row],[VENDA TOTAL]]-PARAMETROS!$C$19,"")</f>
        <v/>
      </c>
      <c r="AA391" s="219">
        <f>SUM(Plan_Orc[[#This Row],[01/jan]:[01/dez]])</f>
        <v>0</v>
      </c>
      <c r="AB391" s="114"/>
      <c r="AC391" s="114"/>
      <c r="AD391" s="114"/>
      <c r="AE391" s="114"/>
      <c r="AF391" s="114"/>
      <c r="AG391" s="114"/>
      <c r="AH391" s="114"/>
      <c r="AI391" s="114"/>
      <c r="AJ391" s="114"/>
      <c r="AK391" s="114"/>
      <c r="AL391" s="114"/>
      <c r="AM391" s="114"/>
    </row>
    <row r="392" spans="2:39" ht="25.2" customHeight="1" x14ac:dyDescent="0.3">
      <c r="B392" s="13" t="str">
        <f t="shared" si="10"/>
        <v/>
      </c>
      <c r="C392" s="18"/>
      <c r="D392" s="19" t="str">
        <f>IF(Tabela2[[#This Row],[AGRUPADOR]]&lt;&gt;"",VLOOKUP(Tabela2[[#This Row],[AGRUPADOR]],Tabela1[],2,0),"")</f>
        <v/>
      </c>
      <c r="E392" s="19" t="str">
        <f>IF(Tabela2[[#This Row],[AGRUPADOR]]&lt;&gt;"",VLOOKUP(Tabela2[[#This Row],[AGRUPADOR]],Tabela1[],4,0),"")</f>
        <v/>
      </c>
      <c r="F392" s="14"/>
      <c r="G392" s="6"/>
      <c r="H392" s="6"/>
      <c r="I392" s="25"/>
      <c r="J392" s="7"/>
      <c r="K392" s="15"/>
      <c r="L392" s="379">
        <f>IF(H392&lt;&gt;"",J392*K392,SUMIFS(L393:L$9844,$F393:$F$9844,"*"&amp;F392&amp;"*",$H393:$H$9844,"&lt;&gt;"))</f>
        <v>0</v>
      </c>
      <c r="M392" s="379" t="str">
        <f>IF(Tabela2[[#This Row],[UNID.]]&lt;&gt;"",IFERROR(VLOOKUP(Tabela2[[#This Row],[AGRUPADOR]],Lucratividade!$D$4:$O$129,6,0),0),"")</f>
        <v/>
      </c>
      <c r="N392" s="379">
        <f>IF(H392&lt;&gt;"",J392*M392*I392,SUMIFS(N393:N$9844,$F393:$F$9844,"*"&amp;F392&amp;"*",$H393:$H$9844,"&lt;&gt;"))</f>
        <v>0</v>
      </c>
      <c r="O392" s="162" t="str">
        <f>IFERROR((-Tabela2[[#This Row],[CUSTO TOTAL]]+Tabela2[[#This Row],[VENDA TOTAL]])/Tabela2[[#This Row],[VENDA TOTAL]]-PARAMETROS!$C$19,"")</f>
        <v/>
      </c>
      <c r="AA392" s="219">
        <f>SUM(Plan_Orc[[#This Row],[01/jan]:[01/dez]])</f>
        <v>0</v>
      </c>
      <c r="AB392" s="114"/>
      <c r="AC392" s="114"/>
      <c r="AD392" s="114"/>
      <c r="AE392" s="114"/>
      <c r="AF392" s="114"/>
      <c r="AG392" s="114"/>
      <c r="AH392" s="114"/>
      <c r="AI392" s="114"/>
      <c r="AJ392" s="114"/>
      <c r="AK392" s="114"/>
      <c r="AL392" s="114"/>
      <c r="AM392" s="114"/>
    </row>
    <row r="393" spans="2:39" ht="25.2" customHeight="1" x14ac:dyDescent="0.3">
      <c r="B393" s="13" t="str">
        <f t="shared" si="10"/>
        <v/>
      </c>
      <c r="C393" s="18"/>
      <c r="D393" s="19" t="str">
        <f>IF(Tabela2[[#This Row],[AGRUPADOR]]&lt;&gt;"",VLOOKUP(Tabela2[[#This Row],[AGRUPADOR]],Tabela1[],2,0),"")</f>
        <v/>
      </c>
      <c r="E393" s="19" t="str">
        <f>IF(Tabela2[[#This Row],[AGRUPADOR]]&lt;&gt;"",VLOOKUP(Tabela2[[#This Row],[AGRUPADOR]],Tabela1[],4,0),"")</f>
        <v/>
      </c>
      <c r="F393" s="14"/>
      <c r="G393" s="6"/>
      <c r="H393" s="6"/>
      <c r="I393" s="25"/>
      <c r="J393" s="7"/>
      <c r="K393" s="15"/>
      <c r="L393" s="379">
        <f>IF(H393&lt;&gt;"",J393*K393,SUMIFS(L394:L$9844,$F394:$F$9844,"*"&amp;F393&amp;"*",$H394:$H$9844,"&lt;&gt;"))</f>
        <v>0</v>
      </c>
      <c r="M393" s="379" t="str">
        <f>IF(Tabela2[[#This Row],[UNID.]]&lt;&gt;"",IFERROR(VLOOKUP(Tabela2[[#This Row],[AGRUPADOR]],Lucratividade!$D$4:$O$129,6,0),0),"")</f>
        <v/>
      </c>
      <c r="N393" s="379">
        <f>IF(H393&lt;&gt;"",J393*M393*I393,SUMIFS(N394:N$9844,$F394:$F$9844,"*"&amp;F393&amp;"*",$H394:$H$9844,"&lt;&gt;"))</f>
        <v>0</v>
      </c>
      <c r="O393" s="162" t="str">
        <f>IFERROR((-Tabela2[[#This Row],[CUSTO TOTAL]]+Tabela2[[#This Row],[VENDA TOTAL]])/Tabela2[[#This Row],[VENDA TOTAL]]-PARAMETROS!$C$19,"")</f>
        <v/>
      </c>
      <c r="AA393" s="219">
        <f>SUM(Plan_Orc[[#This Row],[01/jan]:[01/dez]])</f>
        <v>0</v>
      </c>
      <c r="AB393" s="114"/>
      <c r="AC393" s="114"/>
      <c r="AD393" s="114"/>
      <c r="AE393" s="114"/>
      <c r="AF393" s="114"/>
      <c r="AG393" s="114"/>
      <c r="AH393" s="114"/>
      <c r="AI393" s="114"/>
      <c r="AJ393" s="114"/>
      <c r="AK393" s="114"/>
      <c r="AL393" s="114"/>
      <c r="AM393" s="114"/>
    </row>
    <row r="394" spans="2:39" ht="25.2" customHeight="1" x14ac:dyDescent="0.3">
      <c r="B394" s="13" t="str">
        <f t="shared" si="10"/>
        <v/>
      </c>
      <c r="C394" s="18"/>
      <c r="D394" s="19" t="str">
        <f>IF(Tabela2[[#This Row],[AGRUPADOR]]&lt;&gt;"",VLOOKUP(Tabela2[[#This Row],[AGRUPADOR]],Tabela1[],2,0),"")</f>
        <v/>
      </c>
      <c r="E394" s="19" t="str">
        <f>IF(Tabela2[[#This Row],[AGRUPADOR]]&lt;&gt;"",VLOOKUP(Tabela2[[#This Row],[AGRUPADOR]],Tabela1[],4,0),"")</f>
        <v/>
      </c>
      <c r="F394" s="14"/>
      <c r="G394" s="6"/>
      <c r="H394" s="6"/>
      <c r="I394" s="25"/>
      <c r="J394" s="7"/>
      <c r="K394" s="15"/>
      <c r="L394" s="379">
        <f>IF(H394&lt;&gt;"",J394*K394,SUMIFS(L395:L$9844,$F395:$F$9844,"*"&amp;F394&amp;"*",$H395:$H$9844,"&lt;&gt;"))</f>
        <v>0</v>
      </c>
      <c r="M394" s="379" t="str">
        <f>IF(Tabela2[[#This Row],[UNID.]]&lt;&gt;"",IFERROR(VLOOKUP(Tabela2[[#This Row],[AGRUPADOR]],Lucratividade!$D$4:$O$129,6,0),0),"")</f>
        <v/>
      </c>
      <c r="N394" s="379">
        <f>IF(H394&lt;&gt;"",J394*M394*I394,SUMIFS(N395:N$9844,$F395:$F$9844,"*"&amp;F394&amp;"*",$H395:$H$9844,"&lt;&gt;"))</f>
        <v>0</v>
      </c>
      <c r="O394" s="162" t="str">
        <f>IFERROR((-Tabela2[[#This Row],[CUSTO TOTAL]]+Tabela2[[#This Row],[VENDA TOTAL]])/Tabela2[[#This Row],[VENDA TOTAL]]-PARAMETROS!$C$19,"")</f>
        <v/>
      </c>
      <c r="AA394" s="219">
        <f>SUM(Plan_Orc[[#This Row],[01/jan]:[01/dez]])</f>
        <v>0</v>
      </c>
      <c r="AB394" s="114"/>
      <c r="AC394" s="114"/>
      <c r="AD394" s="114"/>
      <c r="AE394" s="114"/>
      <c r="AF394" s="114"/>
      <c r="AG394" s="114"/>
      <c r="AH394" s="114"/>
      <c r="AI394" s="114"/>
      <c r="AJ394" s="114"/>
      <c r="AK394" s="114"/>
      <c r="AL394" s="114"/>
      <c r="AM394" s="114"/>
    </row>
    <row r="395" spans="2:39" ht="25.2" customHeight="1" x14ac:dyDescent="0.3">
      <c r="B395" s="13" t="str">
        <f t="shared" si="10"/>
        <v/>
      </c>
      <c r="C395" s="18"/>
      <c r="D395" s="19" t="str">
        <f>IF(Tabela2[[#This Row],[AGRUPADOR]]&lt;&gt;"",VLOOKUP(Tabela2[[#This Row],[AGRUPADOR]],Tabela1[],2,0),"")</f>
        <v/>
      </c>
      <c r="E395" s="19" t="str">
        <f>IF(Tabela2[[#This Row],[AGRUPADOR]]&lt;&gt;"",VLOOKUP(Tabela2[[#This Row],[AGRUPADOR]],Tabela1[],4,0),"")</f>
        <v/>
      </c>
      <c r="F395" s="14"/>
      <c r="G395" s="6"/>
      <c r="H395" s="6"/>
      <c r="I395" s="25"/>
      <c r="J395" s="7"/>
      <c r="K395" s="15"/>
      <c r="L395" s="379">
        <f>IF(H395&lt;&gt;"",J395*K395,SUMIFS(L396:L$9844,$F396:$F$9844,"*"&amp;F395&amp;"*",$H396:$H$9844,"&lt;&gt;"))</f>
        <v>0</v>
      </c>
      <c r="M395" s="379" t="str">
        <f>IF(Tabela2[[#This Row],[UNID.]]&lt;&gt;"",IFERROR(VLOOKUP(Tabela2[[#This Row],[AGRUPADOR]],Lucratividade!$D$4:$O$129,6,0),0),"")</f>
        <v/>
      </c>
      <c r="N395" s="379">
        <f>IF(H395&lt;&gt;"",J395*M395*I395,SUMIFS(N396:N$9844,$F396:$F$9844,"*"&amp;F395&amp;"*",$H396:$H$9844,"&lt;&gt;"))</f>
        <v>0</v>
      </c>
      <c r="O395" s="162" t="str">
        <f>IFERROR((-Tabela2[[#This Row],[CUSTO TOTAL]]+Tabela2[[#This Row],[VENDA TOTAL]])/Tabela2[[#This Row],[VENDA TOTAL]]-PARAMETROS!$C$19,"")</f>
        <v/>
      </c>
      <c r="AA395" s="219">
        <f>SUM(Plan_Orc[[#This Row],[01/jan]:[01/dez]])</f>
        <v>0</v>
      </c>
      <c r="AB395" s="114"/>
      <c r="AC395" s="114"/>
      <c r="AD395" s="114"/>
      <c r="AE395" s="114"/>
      <c r="AF395" s="114"/>
      <c r="AG395" s="114"/>
      <c r="AH395" s="114"/>
      <c r="AI395" s="114"/>
      <c r="AJ395" s="114"/>
      <c r="AK395" s="114"/>
      <c r="AL395" s="114"/>
      <c r="AM395" s="114"/>
    </row>
    <row r="396" spans="2:39" ht="25.2" customHeight="1" x14ac:dyDescent="0.3">
      <c r="B396" s="13" t="str">
        <f t="shared" si="10"/>
        <v/>
      </c>
      <c r="C396" s="18"/>
      <c r="D396" s="19" t="str">
        <f>IF(Tabela2[[#This Row],[AGRUPADOR]]&lt;&gt;"",VLOOKUP(Tabela2[[#This Row],[AGRUPADOR]],Tabela1[],2,0),"")</f>
        <v/>
      </c>
      <c r="E396" s="19" t="str">
        <f>IF(Tabela2[[#This Row],[AGRUPADOR]]&lt;&gt;"",VLOOKUP(Tabela2[[#This Row],[AGRUPADOR]],Tabela1[],4,0),"")</f>
        <v/>
      </c>
      <c r="F396" s="14"/>
      <c r="G396" s="6"/>
      <c r="H396" s="6"/>
      <c r="I396" s="25"/>
      <c r="J396" s="7"/>
      <c r="K396" s="15"/>
      <c r="L396" s="379">
        <f>IF(H396&lt;&gt;"",J396*K396,SUMIFS(L397:L$9844,$F397:$F$9844,"*"&amp;F396&amp;"*",$H397:$H$9844,"&lt;&gt;"))</f>
        <v>0</v>
      </c>
      <c r="M396" s="379" t="str">
        <f>IF(Tabela2[[#This Row],[UNID.]]&lt;&gt;"",IFERROR(VLOOKUP(Tabela2[[#This Row],[AGRUPADOR]],Lucratividade!$D$4:$O$129,6,0),0),"")</f>
        <v/>
      </c>
      <c r="N396" s="379">
        <f>IF(H396&lt;&gt;"",J396*M396*I396,SUMIFS(N397:N$9844,$F397:$F$9844,"*"&amp;F396&amp;"*",$H397:$H$9844,"&lt;&gt;"))</f>
        <v>0</v>
      </c>
      <c r="O396" s="162" t="str">
        <f>IFERROR((-Tabela2[[#This Row],[CUSTO TOTAL]]+Tabela2[[#This Row],[VENDA TOTAL]])/Tabela2[[#This Row],[VENDA TOTAL]]-PARAMETROS!$C$19,"")</f>
        <v/>
      </c>
      <c r="AA396" s="219">
        <f>SUM(Plan_Orc[[#This Row],[01/jan]:[01/dez]])</f>
        <v>0</v>
      </c>
      <c r="AB396" s="114"/>
      <c r="AC396" s="114"/>
      <c r="AD396" s="114"/>
      <c r="AE396" s="114"/>
      <c r="AF396" s="114"/>
      <c r="AG396" s="114"/>
      <c r="AH396" s="114"/>
      <c r="AI396" s="114"/>
      <c r="AJ396" s="114"/>
      <c r="AK396" s="114"/>
      <c r="AL396" s="114"/>
      <c r="AM396" s="114"/>
    </row>
    <row r="397" spans="2:39" ht="25.2" customHeight="1" x14ac:dyDescent="0.3">
      <c r="B397" s="13" t="str">
        <f t="shared" si="10"/>
        <v/>
      </c>
      <c r="C397" s="18"/>
      <c r="D397" s="19" t="str">
        <f>IF(Tabela2[[#This Row],[AGRUPADOR]]&lt;&gt;"",VLOOKUP(Tabela2[[#This Row],[AGRUPADOR]],Tabela1[],2,0),"")</f>
        <v/>
      </c>
      <c r="E397" s="19" t="str">
        <f>IF(Tabela2[[#This Row],[AGRUPADOR]]&lt;&gt;"",VLOOKUP(Tabela2[[#This Row],[AGRUPADOR]],Tabela1[],4,0),"")</f>
        <v/>
      </c>
      <c r="F397" s="14"/>
      <c r="G397" s="6"/>
      <c r="H397" s="6"/>
      <c r="I397" s="25"/>
      <c r="J397" s="7"/>
      <c r="K397" s="15"/>
      <c r="L397" s="379">
        <f>IF(H397&lt;&gt;"",J397*K397,SUMIFS(L398:L$9844,$F398:$F$9844,"*"&amp;F397&amp;"*",$H398:$H$9844,"&lt;&gt;"))</f>
        <v>0</v>
      </c>
      <c r="M397" s="379" t="str">
        <f>IF(Tabela2[[#This Row],[UNID.]]&lt;&gt;"",IFERROR(VLOOKUP(Tabela2[[#This Row],[AGRUPADOR]],Lucratividade!$D$4:$O$129,6,0),0),"")</f>
        <v/>
      </c>
      <c r="N397" s="379">
        <f>IF(H397&lt;&gt;"",J397*M397*I397,SUMIFS(N398:N$9844,$F398:$F$9844,"*"&amp;F397&amp;"*",$H398:$H$9844,"&lt;&gt;"))</f>
        <v>0</v>
      </c>
      <c r="O397" s="162" t="str">
        <f>IFERROR((-Tabela2[[#This Row],[CUSTO TOTAL]]+Tabela2[[#This Row],[VENDA TOTAL]])/Tabela2[[#This Row],[VENDA TOTAL]]-PARAMETROS!$C$19,"")</f>
        <v/>
      </c>
      <c r="AA397" s="219">
        <f>SUM(Plan_Orc[[#This Row],[01/jan]:[01/dez]])</f>
        <v>0</v>
      </c>
      <c r="AB397" s="114"/>
      <c r="AC397" s="114"/>
      <c r="AD397" s="114"/>
      <c r="AE397" s="114"/>
      <c r="AF397" s="114"/>
      <c r="AG397" s="114"/>
      <c r="AH397" s="114"/>
      <c r="AI397" s="114"/>
      <c r="AJ397" s="114"/>
      <c r="AK397" s="114"/>
      <c r="AL397" s="114"/>
      <c r="AM397" s="114"/>
    </row>
    <row r="398" spans="2:39" ht="25.2" customHeight="1" x14ac:dyDescent="0.3">
      <c r="B398" s="13" t="str">
        <f t="shared" si="10"/>
        <v/>
      </c>
      <c r="C398" s="18"/>
      <c r="D398" s="19" t="str">
        <f>IF(Tabela2[[#This Row],[AGRUPADOR]]&lt;&gt;"",VLOOKUP(Tabela2[[#This Row],[AGRUPADOR]],Tabela1[],2,0),"")</f>
        <v/>
      </c>
      <c r="E398" s="19" t="str">
        <f>IF(Tabela2[[#This Row],[AGRUPADOR]]&lt;&gt;"",VLOOKUP(Tabela2[[#This Row],[AGRUPADOR]],Tabela1[],4,0),"")</f>
        <v/>
      </c>
      <c r="F398" s="14"/>
      <c r="G398" s="6"/>
      <c r="H398" s="6"/>
      <c r="I398" s="25"/>
      <c r="J398" s="7"/>
      <c r="K398" s="15"/>
      <c r="L398" s="379">
        <f>IF(H398&lt;&gt;"",J398*K398,SUMIFS(L399:L$9844,$F399:$F$9844,"*"&amp;F398&amp;"*",$H399:$H$9844,"&lt;&gt;"))</f>
        <v>0</v>
      </c>
      <c r="M398" s="379" t="str">
        <f>IF(Tabela2[[#This Row],[UNID.]]&lt;&gt;"",IFERROR(VLOOKUP(Tabela2[[#This Row],[AGRUPADOR]],Lucratividade!$D$4:$O$129,6,0),0),"")</f>
        <v/>
      </c>
      <c r="N398" s="379">
        <f>IF(H398&lt;&gt;"",J398*M398*I398,SUMIFS(N399:N$9844,$F399:$F$9844,"*"&amp;F398&amp;"*",$H399:$H$9844,"&lt;&gt;"))</f>
        <v>0</v>
      </c>
      <c r="O398" s="162" t="str">
        <f>IFERROR((-Tabela2[[#This Row],[CUSTO TOTAL]]+Tabela2[[#This Row],[VENDA TOTAL]])/Tabela2[[#This Row],[VENDA TOTAL]]-PARAMETROS!$C$19,"")</f>
        <v/>
      </c>
      <c r="AA398" s="219">
        <f>SUM(Plan_Orc[[#This Row],[01/jan]:[01/dez]])</f>
        <v>0</v>
      </c>
      <c r="AB398" s="114"/>
      <c r="AC398" s="114"/>
      <c r="AD398" s="114"/>
      <c r="AE398" s="114"/>
      <c r="AF398" s="114"/>
      <c r="AG398" s="114"/>
      <c r="AH398" s="114"/>
      <c r="AI398" s="114"/>
      <c r="AJ398" s="114"/>
      <c r="AK398" s="114"/>
      <c r="AL398" s="114"/>
      <c r="AM398" s="114"/>
    </row>
    <row r="399" spans="2:39" ht="25.2" customHeight="1" x14ac:dyDescent="0.3">
      <c r="B399" s="13" t="str">
        <f t="shared" si="10"/>
        <v/>
      </c>
      <c r="C399" s="18"/>
      <c r="D399" s="19" t="str">
        <f>IF(Tabela2[[#This Row],[AGRUPADOR]]&lt;&gt;"",VLOOKUP(Tabela2[[#This Row],[AGRUPADOR]],Tabela1[],2,0),"")</f>
        <v/>
      </c>
      <c r="E399" s="19" t="str">
        <f>IF(Tabela2[[#This Row],[AGRUPADOR]]&lt;&gt;"",VLOOKUP(Tabela2[[#This Row],[AGRUPADOR]],Tabela1[],4,0),"")</f>
        <v/>
      </c>
      <c r="F399" s="14"/>
      <c r="G399" s="6"/>
      <c r="H399" s="6"/>
      <c r="I399" s="25"/>
      <c r="J399" s="7"/>
      <c r="K399" s="15"/>
      <c r="L399" s="379">
        <f>IF(H399&lt;&gt;"",J399*K399,SUMIFS(L400:L$9844,$F400:$F$9844,"*"&amp;F399&amp;"*",$H400:$H$9844,"&lt;&gt;"))</f>
        <v>0</v>
      </c>
      <c r="M399" s="379" t="str">
        <f>IF(Tabela2[[#This Row],[UNID.]]&lt;&gt;"",IFERROR(VLOOKUP(Tabela2[[#This Row],[AGRUPADOR]],Lucratividade!$D$4:$O$129,6,0),0),"")</f>
        <v/>
      </c>
      <c r="N399" s="379">
        <f>IF(H399&lt;&gt;"",J399*M399*I399,SUMIFS(N400:N$9844,$F400:$F$9844,"*"&amp;F399&amp;"*",$H400:$H$9844,"&lt;&gt;"))</f>
        <v>0</v>
      </c>
      <c r="O399" s="162" t="str">
        <f>IFERROR((-Tabela2[[#This Row],[CUSTO TOTAL]]+Tabela2[[#This Row],[VENDA TOTAL]])/Tabela2[[#This Row],[VENDA TOTAL]]-PARAMETROS!$C$19,"")</f>
        <v/>
      </c>
      <c r="AA399" s="219">
        <f>SUM(Plan_Orc[[#This Row],[01/jan]:[01/dez]])</f>
        <v>0</v>
      </c>
      <c r="AB399" s="114"/>
      <c r="AC399" s="114"/>
      <c r="AD399" s="114"/>
      <c r="AE399" s="114"/>
      <c r="AF399" s="114"/>
      <c r="AG399" s="114"/>
      <c r="AH399" s="114"/>
      <c r="AI399" s="114"/>
      <c r="AJ399" s="114"/>
      <c r="AK399" s="114"/>
      <c r="AL399" s="114"/>
      <c r="AM399" s="114"/>
    </row>
    <row r="400" spans="2:39" ht="25.2" customHeight="1" x14ac:dyDescent="0.3">
      <c r="B400" s="13" t="str">
        <f t="shared" si="10"/>
        <v/>
      </c>
      <c r="C400" s="18"/>
      <c r="D400" s="19" t="str">
        <f>IF(Tabela2[[#This Row],[AGRUPADOR]]&lt;&gt;"",VLOOKUP(Tabela2[[#This Row],[AGRUPADOR]],Tabela1[],2,0),"")</f>
        <v/>
      </c>
      <c r="E400" s="19" t="str">
        <f>IF(Tabela2[[#This Row],[AGRUPADOR]]&lt;&gt;"",VLOOKUP(Tabela2[[#This Row],[AGRUPADOR]],Tabela1[],4,0),"")</f>
        <v/>
      </c>
      <c r="F400" s="14"/>
      <c r="G400" s="6"/>
      <c r="H400" s="6"/>
      <c r="I400" s="25"/>
      <c r="J400" s="7"/>
      <c r="K400" s="15"/>
      <c r="L400" s="379">
        <f>IF(H400&lt;&gt;"",J400*K400,SUMIFS(L401:L$9844,$F401:$F$9844,"*"&amp;F400&amp;"*",$H401:$H$9844,"&lt;&gt;"))</f>
        <v>0</v>
      </c>
      <c r="M400" s="379" t="str">
        <f>IF(Tabela2[[#This Row],[UNID.]]&lt;&gt;"",IFERROR(VLOOKUP(Tabela2[[#This Row],[AGRUPADOR]],Lucratividade!$D$4:$O$129,6,0),0),"")</f>
        <v/>
      </c>
      <c r="N400" s="379">
        <f>IF(H400&lt;&gt;"",J400*M400*I400,SUMIFS(N401:N$9844,$F401:$F$9844,"*"&amp;F400&amp;"*",$H401:$H$9844,"&lt;&gt;"))</f>
        <v>0</v>
      </c>
      <c r="O400" s="162" t="str">
        <f>IFERROR((-Tabela2[[#This Row],[CUSTO TOTAL]]+Tabela2[[#This Row],[VENDA TOTAL]])/Tabela2[[#This Row],[VENDA TOTAL]]-PARAMETROS!$C$19,"")</f>
        <v/>
      </c>
      <c r="AA400" s="219">
        <f>SUM(Plan_Orc[[#This Row],[01/jan]:[01/dez]])</f>
        <v>0</v>
      </c>
      <c r="AB400" s="114"/>
      <c r="AC400" s="114"/>
      <c r="AD400" s="114"/>
      <c r="AE400" s="114"/>
      <c r="AF400" s="114"/>
      <c r="AG400" s="114"/>
      <c r="AH400" s="114"/>
      <c r="AI400" s="114"/>
      <c r="AJ400" s="114"/>
      <c r="AK400" s="114"/>
      <c r="AL400" s="114"/>
      <c r="AM400" s="114"/>
    </row>
    <row r="401" spans="2:39" ht="25.2" customHeight="1" x14ac:dyDescent="0.3">
      <c r="B401" s="13" t="str">
        <f t="shared" si="10"/>
        <v/>
      </c>
      <c r="C401" s="18"/>
      <c r="D401" s="19" t="str">
        <f>IF(Tabela2[[#This Row],[AGRUPADOR]]&lt;&gt;"",VLOOKUP(Tabela2[[#This Row],[AGRUPADOR]],Tabela1[],2,0),"")</f>
        <v/>
      </c>
      <c r="E401" s="19" t="str">
        <f>IF(Tabela2[[#This Row],[AGRUPADOR]]&lt;&gt;"",VLOOKUP(Tabela2[[#This Row],[AGRUPADOR]],Tabela1[],4,0),"")</f>
        <v/>
      </c>
      <c r="F401" s="14"/>
      <c r="G401" s="6"/>
      <c r="H401" s="6"/>
      <c r="I401" s="25"/>
      <c r="J401" s="7"/>
      <c r="K401" s="15"/>
      <c r="L401" s="379">
        <f>IF(H401&lt;&gt;"",J401*K401,SUMIFS(L402:L$9844,$F402:$F$9844,"*"&amp;F401&amp;"*",$H402:$H$9844,"&lt;&gt;"))</f>
        <v>0</v>
      </c>
      <c r="M401" s="379" t="str">
        <f>IF(Tabela2[[#This Row],[UNID.]]&lt;&gt;"",IFERROR(VLOOKUP(Tabela2[[#This Row],[AGRUPADOR]],Lucratividade!$D$4:$O$129,6,0),0),"")</f>
        <v/>
      </c>
      <c r="N401" s="379">
        <f>IF(H401&lt;&gt;"",J401*M401*I401,SUMIFS(N402:N$9844,$F402:$F$9844,"*"&amp;F401&amp;"*",$H402:$H$9844,"&lt;&gt;"))</f>
        <v>0</v>
      </c>
      <c r="O401" s="162" t="str">
        <f>IFERROR((-Tabela2[[#This Row],[CUSTO TOTAL]]+Tabela2[[#This Row],[VENDA TOTAL]])/Tabela2[[#This Row],[VENDA TOTAL]]-PARAMETROS!$C$19,"")</f>
        <v/>
      </c>
      <c r="AA401" s="219">
        <f>SUM(Plan_Orc[[#This Row],[01/jan]:[01/dez]])</f>
        <v>0</v>
      </c>
      <c r="AB401" s="114"/>
      <c r="AC401" s="114"/>
      <c r="AD401" s="114"/>
      <c r="AE401" s="114"/>
      <c r="AF401" s="114"/>
      <c r="AG401" s="114"/>
      <c r="AH401" s="114"/>
      <c r="AI401" s="114"/>
      <c r="AJ401" s="114"/>
      <c r="AK401" s="114"/>
      <c r="AL401" s="114"/>
      <c r="AM401" s="114"/>
    </row>
    <row r="402" spans="2:39" ht="25.2" customHeight="1" x14ac:dyDescent="0.3">
      <c r="B402" s="13" t="str">
        <f t="shared" si="10"/>
        <v/>
      </c>
      <c r="C402" s="18"/>
      <c r="D402" s="19" t="str">
        <f>IF(Tabela2[[#This Row],[AGRUPADOR]]&lt;&gt;"",VLOOKUP(Tabela2[[#This Row],[AGRUPADOR]],Tabela1[],2,0),"")</f>
        <v/>
      </c>
      <c r="E402" s="19" t="str">
        <f>IF(Tabela2[[#This Row],[AGRUPADOR]]&lt;&gt;"",VLOOKUP(Tabela2[[#This Row],[AGRUPADOR]],Tabela1[],4,0),"")</f>
        <v/>
      </c>
      <c r="F402" s="14"/>
      <c r="G402" s="6"/>
      <c r="H402" s="6"/>
      <c r="I402" s="25"/>
      <c r="J402" s="7"/>
      <c r="K402" s="15"/>
      <c r="L402" s="379">
        <f>IF(H402&lt;&gt;"",J402*K402,SUMIFS(L403:L$9844,$F403:$F$9844,"*"&amp;F402&amp;"*",$H403:$H$9844,"&lt;&gt;"))</f>
        <v>0</v>
      </c>
      <c r="M402" s="379" t="str">
        <f>IF(Tabela2[[#This Row],[UNID.]]&lt;&gt;"",IFERROR(VLOOKUP(Tabela2[[#This Row],[AGRUPADOR]],Lucratividade!$D$4:$O$129,6,0),0),"")</f>
        <v/>
      </c>
      <c r="N402" s="379">
        <f>IF(H402&lt;&gt;"",J402*M402*I402,SUMIFS(N403:N$9844,$F403:$F$9844,"*"&amp;F402&amp;"*",$H403:$H$9844,"&lt;&gt;"))</f>
        <v>0</v>
      </c>
      <c r="O402" s="162" t="str">
        <f>IFERROR((-Tabela2[[#This Row],[CUSTO TOTAL]]+Tabela2[[#This Row],[VENDA TOTAL]])/Tabela2[[#This Row],[VENDA TOTAL]]-PARAMETROS!$C$19,"")</f>
        <v/>
      </c>
      <c r="AA402" s="219">
        <f>SUM(Plan_Orc[[#This Row],[01/jan]:[01/dez]])</f>
        <v>0</v>
      </c>
      <c r="AB402" s="114"/>
      <c r="AC402" s="114"/>
      <c r="AD402" s="114"/>
      <c r="AE402" s="114"/>
      <c r="AF402" s="114"/>
      <c r="AG402" s="114"/>
      <c r="AH402" s="114"/>
      <c r="AI402" s="114"/>
      <c r="AJ402" s="114"/>
      <c r="AK402" s="114"/>
      <c r="AL402" s="114"/>
      <c r="AM402" s="114"/>
    </row>
    <row r="403" spans="2:39" ht="25.2" customHeight="1" x14ac:dyDescent="0.3">
      <c r="B403" s="13" t="str">
        <f t="shared" si="10"/>
        <v/>
      </c>
      <c r="C403" s="18"/>
      <c r="D403" s="19" t="str">
        <f>IF(Tabela2[[#This Row],[AGRUPADOR]]&lt;&gt;"",VLOOKUP(Tabela2[[#This Row],[AGRUPADOR]],Tabela1[],2,0),"")</f>
        <v/>
      </c>
      <c r="E403" s="19" t="str">
        <f>IF(Tabela2[[#This Row],[AGRUPADOR]]&lt;&gt;"",VLOOKUP(Tabela2[[#This Row],[AGRUPADOR]],Tabela1[],4,0),"")</f>
        <v/>
      </c>
      <c r="F403" s="14"/>
      <c r="G403" s="6"/>
      <c r="H403" s="6"/>
      <c r="I403" s="25"/>
      <c r="J403" s="7"/>
      <c r="K403" s="15"/>
      <c r="L403" s="379">
        <f>IF(H403&lt;&gt;"",J403*K403,SUMIFS(L404:L$9844,$F404:$F$9844,"*"&amp;F403&amp;"*",$H404:$H$9844,"&lt;&gt;"))</f>
        <v>0</v>
      </c>
      <c r="M403" s="379" t="str">
        <f>IF(Tabela2[[#This Row],[UNID.]]&lt;&gt;"",IFERROR(VLOOKUP(Tabela2[[#This Row],[AGRUPADOR]],Lucratividade!$D$4:$O$129,6,0),0),"")</f>
        <v/>
      </c>
      <c r="N403" s="379">
        <f>IF(H403&lt;&gt;"",J403*M403*I403,SUMIFS(N404:N$9844,$F404:$F$9844,"*"&amp;F403&amp;"*",$H404:$H$9844,"&lt;&gt;"))</f>
        <v>0</v>
      </c>
      <c r="O403" s="162" t="str">
        <f>IFERROR((-Tabela2[[#This Row],[CUSTO TOTAL]]+Tabela2[[#This Row],[VENDA TOTAL]])/Tabela2[[#This Row],[VENDA TOTAL]]-PARAMETROS!$C$19,"")</f>
        <v/>
      </c>
      <c r="AA403" s="219">
        <f>SUM(Plan_Orc[[#This Row],[01/jan]:[01/dez]])</f>
        <v>0</v>
      </c>
      <c r="AB403" s="114"/>
      <c r="AC403" s="114"/>
      <c r="AD403" s="114"/>
      <c r="AE403" s="114"/>
      <c r="AF403" s="114"/>
      <c r="AG403" s="114"/>
      <c r="AH403" s="114"/>
      <c r="AI403" s="114"/>
      <c r="AJ403" s="114"/>
      <c r="AK403" s="114"/>
      <c r="AL403" s="114"/>
      <c r="AM403" s="114"/>
    </row>
    <row r="404" spans="2:39" ht="25.2" customHeight="1" x14ac:dyDescent="0.3">
      <c r="B404" s="13" t="str">
        <f t="shared" si="10"/>
        <v/>
      </c>
      <c r="C404" s="18"/>
      <c r="D404" s="19" t="str">
        <f>IF(Tabela2[[#This Row],[AGRUPADOR]]&lt;&gt;"",VLOOKUP(Tabela2[[#This Row],[AGRUPADOR]],Tabela1[],2,0),"")</f>
        <v/>
      </c>
      <c r="E404" s="19" t="str">
        <f>IF(Tabela2[[#This Row],[AGRUPADOR]]&lt;&gt;"",VLOOKUP(Tabela2[[#This Row],[AGRUPADOR]],Tabela1[],4,0),"")</f>
        <v/>
      </c>
      <c r="F404" s="14"/>
      <c r="G404" s="6"/>
      <c r="H404" s="6"/>
      <c r="I404" s="25"/>
      <c r="J404" s="7"/>
      <c r="K404" s="15"/>
      <c r="L404" s="379">
        <f>IF(H404&lt;&gt;"",J404*K404,SUMIFS(L405:L$9844,$F405:$F$9844,"*"&amp;F404&amp;"*",$H405:$H$9844,"&lt;&gt;"))</f>
        <v>0</v>
      </c>
      <c r="M404" s="379" t="str">
        <f>IF(Tabela2[[#This Row],[UNID.]]&lt;&gt;"",IFERROR(VLOOKUP(Tabela2[[#This Row],[AGRUPADOR]],Lucratividade!$D$4:$O$129,6,0),0),"")</f>
        <v/>
      </c>
      <c r="N404" s="379">
        <f>IF(H404&lt;&gt;"",J404*M404*I404,SUMIFS(N405:N$9844,$F405:$F$9844,"*"&amp;F404&amp;"*",$H405:$H$9844,"&lt;&gt;"))</f>
        <v>0</v>
      </c>
      <c r="O404" s="162" t="str">
        <f>IFERROR((-Tabela2[[#This Row],[CUSTO TOTAL]]+Tabela2[[#This Row],[VENDA TOTAL]])/Tabela2[[#This Row],[VENDA TOTAL]]-PARAMETROS!$C$19,"")</f>
        <v/>
      </c>
      <c r="AA404" s="219">
        <f>SUM(Plan_Orc[[#This Row],[01/jan]:[01/dez]])</f>
        <v>0</v>
      </c>
      <c r="AB404" s="114"/>
      <c r="AC404" s="114"/>
      <c r="AD404" s="114"/>
      <c r="AE404" s="114"/>
      <c r="AF404" s="114"/>
      <c r="AG404" s="114"/>
      <c r="AH404" s="114"/>
      <c r="AI404" s="114"/>
      <c r="AJ404" s="114"/>
      <c r="AK404" s="114"/>
      <c r="AL404" s="114"/>
      <c r="AM404" s="114"/>
    </row>
    <row r="405" spans="2:39" ht="25.2" customHeight="1" x14ac:dyDescent="0.3">
      <c r="B405" s="13" t="str">
        <f t="shared" si="10"/>
        <v/>
      </c>
      <c r="C405" s="18"/>
      <c r="D405" s="19" t="str">
        <f>IF(Tabela2[[#This Row],[AGRUPADOR]]&lt;&gt;"",VLOOKUP(Tabela2[[#This Row],[AGRUPADOR]],Tabela1[],2,0),"")</f>
        <v/>
      </c>
      <c r="E405" s="19" t="str">
        <f>IF(Tabela2[[#This Row],[AGRUPADOR]]&lt;&gt;"",VLOOKUP(Tabela2[[#This Row],[AGRUPADOR]],Tabela1[],4,0),"")</f>
        <v/>
      </c>
      <c r="F405" s="14"/>
      <c r="G405" s="6"/>
      <c r="H405" s="6"/>
      <c r="I405" s="25"/>
      <c r="J405" s="7"/>
      <c r="K405" s="15"/>
      <c r="L405" s="379">
        <f>IF(H405&lt;&gt;"",J405*K405,SUMIFS(L406:L$9844,$F406:$F$9844,"*"&amp;F405&amp;"*",$H406:$H$9844,"&lt;&gt;"))</f>
        <v>0</v>
      </c>
      <c r="M405" s="379" t="str">
        <f>IF(Tabela2[[#This Row],[UNID.]]&lt;&gt;"",IFERROR(VLOOKUP(Tabela2[[#This Row],[AGRUPADOR]],Lucratividade!$D$4:$O$129,6,0),0),"")</f>
        <v/>
      </c>
      <c r="N405" s="379">
        <f>IF(H405&lt;&gt;"",J405*M405*I405,SUMIFS(N406:N$9844,$F406:$F$9844,"*"&amp;F405&amp;"*",$H406:$H$9844,"&lt;&gt;"))</f>
        <v>0</v>
      </c>
      <c r="O405" s="162" t="str">
        <f>IFERROR((-Tabela2[[#This Row],[CUSTO TOTAL]]+Tabela2[[#This Row],[VENDA TOTAL]])/Tabela2[[#This Row],[VENDA TOTAL]]-PARAMETROS!$C$19,"")</f>
        <v/>
      </c>
      <c r="AA405" s="218">
        <f>SUM(Plan_Orc[[#This Row],[01/jan]:[01/dez]])</f>
        <v>0</v>
      </c>
      <c r="AB405" s="113"/>
      <c r="AC405" s="113"/>
      <c r="AD405" s="113"/>
      <c r="AE405" s="113"/>
      <c r="AF405" s="113"/>
      <c r="AG405" s="113"/>
      <c r="AH405" s="113"/>
      <c r="AI405" s="113"/>
      <c r="AJ405" s="113"/>
      <c r="AK405" s="113"/>
      <c r="AL405" s="113"/>
      <c r="AM405" s="113"/>
    </row>
    <row r="406" spans="2:39" ht="25.2" customHeight="1" x14ac:dyDescent="0.3">
      <c r="B406" s="13" t="str">
        <f t="shared" si="10"/>
        <v/>
      </c>
      <c r="C406" s="18"/>
      <c r="D406" s="19" t="str">
        <f>IF(Tabela2[[#This Row],[AGRUPADOR]]&lt;&gt;"",VLOOKUP(Tabela2[[#This Row],[AGRUPADOR]],Tabela1[],2,0),"")</f>
        <v/>
      </c>
      <c r="E406" s="19" t="str">
        <f>IF(Tabela2[[#This Row],[AGRUPADOR]]&lt;&gt;"",VLOOKUP(Tabela2[[#This Row],[AGRUPADOR]],Tabela1[],4,0),"")</f>
        <v/>
      </c>
      <c r="F406" s="14"/>
      <c r="G406" s="6"/>
      <c r="H406" s="6"/>
      <c r="I406" s="25"/>
      <c r="J406" s="7"/>
      <c r="K406" s="15"/>
      <c r="L406" s="379">
        <f>IF(H406&lt;&gt;"",J406*K406,SUMIFS(L407:L$9844,$F407:$F$9844,"*"&amp;F406&amp;"*",$H407:$H$9844,"&lt;&gt;"))</f>
        <v>0</v>
      </c>
      <c r="M406" s="379" t="str">
        <f>IF(Tabela2[[#This Row],[UNID.]]&lt;&gt;"",IFERROR(VLOOKUP(Tabela2[[#This Row],[AGRUPADOR]],Lucratividade!$D$4:$O$129,6,0),0),"")</f>
        <v/>
      </c>
      <c r="N406" s="379">
        <f>IF(H406&lt;&gt;"",J406*M406*I406,SUMIFS(N407:N$9844,$F407:$F$9844,"*"&amp;F406&amp;"*",$H407:$H$9844,"&lt;&gt;"))</f>
        <v>0</v>
      </c>
      <c r="O406" s="162" t="str">
        <f>IFERROR((-Tabela2[[#This Row],[CUSTO TOTAL]]+Tabela2[[#This Row],[VENDA TOTAL]])/Tabela2[[#This Row],[VENDA TOTAL]]-PARAMETROS!$C$19,"")</f>
        <v/>
      </c>
      <c r="AA406" s="219">
        <f>SUM(Plan_Orc[[#This Row],[01/jan]:[01/dez]])</f>
        <v>0</v>
      </c>
      <c r="AB406" s="114"/>
      <c r="AC406" s="114"/>
      <c r="AD406" s="114"/>
      <c r="AE406" s="114"/>
      <c r="AF406" s="114"/>
      <c r="AG406" s="114"/>
      <c r="AH406" s="114"/>
      <c r="AI406" s="114"/>
      <c r="AJ406" s="114"/>
      <c r="AK406" s="114"/>
      <c r="AL406" s="114"/>
      <c r="AM406" s="114"/>
    </row>
    <row r="407" spans="2:39" ht="25.2" customHeight="1" x14ac:dyDescent="0.3">
      <c r="B407" s="13" t="str">
        <f t="shared" si="10"/>
        <v/>
      </c>
      <c r="C407" s="18"/>
      <c r="D407" s="19" t="str">
        <f>IF(Tabela2[[#This Row],[AGRUPADOR]]&lt;&gt;"",VLOOKUP(Tabela2[[#This Row],[AGRUPADOR]],Tabela1[],2,0),"")</f>
        <v/>
      </c>
      <c r="E407" s="19" t="str">
        <f>IF(Tabela2[[#This Row],[AGRUPADOR]]&lt;&gt;"",VLOOKUP(Tabela2[[#This Row],[AGRUPADOR]],Tabela1[],4,0),"")</f>
        <v/>
      </c>
      <c r="F407" s="14"/>
      <c r="G407" s="6"/>
      <c r="H407" s="6"/>
      <c r="I407" s="25"/>
      <c r="J407" s="7"/>
      <c r="K407" s="15"/>
      <c r="L407" s="379">
        <f>IF(H407&lt;&gt;"",J407*K407,SUMIFS(L408:L$9844,$F408:$F$9844,"*"&amp;F407&amp;"*",$H408:$H$9844,"&lt;&gt;"))</f>
        <v>0</v>
      </c>
      <c r="M407" s="379" t="str">
        <f>IF(Tabela2[[#This Row],[UNID.]]&lt;&gt;"",IFERROR(VLOOKUP(Tabela2[[#This Row],[AGRUPADOR]],Lucratividade!$D$4:$O$129,6,0),0),"")</f>
        <v/>
      </c>
      <c r="N407" s="379">
        <f>IF(H407&lt;&gt;"",J407*M407*I407,SUMIFS(N408:N$9844,$F408:$F$9844,"*"&amp;F407&amp;"*",$H408:$H$9844,"&lt;&gt;"))</f>
        <v>0</v>
      </c>
      <c r="O407" s="162" t="str">
        <f>IFERROR((-Tabela2[[#This Row],[CUSTO TOTAL]]+Tabela2[[#This Row],[VENDA TOTAL]])/Tabela2[[#This Row],[VENDA TOTAL]]-PARAMETROS!$C$19,"")</f>
        <v/>
      </c>
      <c r="AA407" s="219">
        <f>SUM(Plan_Orc[[#This Row],[01/jan]:[01/dez]])</f>
        <v>0</v>
      </c>
      <c r="AB407" s="114"/>
      <c r="AC407" s="114"/>
      <c r="AD407" s="114"/>
      <c r="AE407" s="114"/>
      <c r="AF407" s="114"/>
      <c r="AG407" s="114"/>
      <c r="AH407" s="114"/>
      <c r="AI407" s="114"/>
      <c r="AJ407" s="114"/>
      <c r="AK407" s="114"/>
      <c r="AL407" s="114"/>
      <c r="AM407" s="114"/>
    </row>
    <row r="408" spans="2:39" ht="25.2" customHeight="1" x14ac:dyDescent="0.3">
      <c r="B408" s="13" t="str">
        <f t="shared" si="10"/>
        <v/>
      </c>
      <c r="C408" s="18"/>
      <c r="D408" s="19" t="str">
        <f>IF(Tabela2[[#This Row],[AGRUPADOR]]&lt;&gt;"",VLOOKUP(Tabela2[[#This Row],[AGRUPADOR]],Tabela1[],2,0),"")</f>
        <v/>
      </c>
      <c r="E408" s="19" t="str">
        <f>IF(Tabela2[[#This Row],[AGRUPADOR]]&lt;&gt;"",VLOOKUP(Tabela2[[#This Row],[AGRUPADOR]],Tabela1[],4,0),"")</f>
        <v/>
      </c>
      <c r="F408" s="14"/>
      <c r="G408" s="6"/>
      <c r="H408" s="6"/>
      <c r="I408" s="25"/>
      <c r="J408" s="7"/>
      <c r="K408" s="15"/>
      <c r="L408" s="379">
        <f>IF(H408&lt;&gt;"",J408*K408,SUMIFS(L409:L$9844,$F409:$F$9844,"*"&amp;F408&amp;"*",$H409:$H$9844,"&lt;&gt;"))</f>
        <v>0</v>
      </c>
      <c r="M408" s="379" t="str">
        <f>IF(Tabela2[[#This Row],[UNID.]]&lt;&gt;"",IFERROR(VLOOKUP(Tabela2[[#This Row],[AGRUPADOR]],Lucratividade!$D$4:$O$129,6,0),0),"")</f>
        <v/>
      </c>
      <c r="N408" s="379">
        <f>IF(H408&lt;&gt;"",J408*M408*I408,SUMIFS(N409:N$9844,$F409:$F$9844,"*"&amp;F408&amp;"*",$H409:$H$9844,"&lt;&gt;"))</f>
        <v>0</v>
      </c>
      <c r="O408" s="162" t="str">
        <f>IFERROR((-Tabela2[[#This Row],[CUSTO TOTAL]]+Tabela2[[#This Row],[VENDA TOTAL]])/Tabela2[[#This Row],[VENDA TOTAL]]-PARAMETROS!$C$19,"")</f>
        <v/>
      </c>
      <c r="AA408" s="219">
        <f>SUM(Plan_Orc[[#This Row],[01/jan]:[01/dez]])</f>
        <v>0</v>
      </c>
      <c r="AB408" s="114"/>
      <c r="AC408" s="114"/>
      <c r="AD408" s="114"/>
      <c r="AE408" s="114"/>
      <c r="AF408" s="114"/>
      <c r="AG408" s="114"/>
      <c r="AH408" s="114"/>
      <c r="AI408" s="114"/>
      <c r="AJ408" s="114"/>
      <c r="AK408" s="114"/>
      <c r="AL408" s="114"/>
      <c r="AM408" s="114"/>
    </row>
    <row r="409" spans="2:39" ht="25.2" customHeight="1" x14ac:dyDescent="0.3">
      <c r="B409" s="13" t="str">
        <f t="shared" si="10"/>
        <v/>
      </c>
      <c r="C409" s="18"/>
      <c r="D409" s="19" t="str">
        <f>IF(Tabela2[[#This Row],[AGRUPADOR]]&lt;&gt;"",VLOOKUP(Tabela2[[#This Row],[AGRUPADOR]],Tabela1[],2,0),"")</f>
        <v/>
      </c>
      <c r="E409" s="19" t="str">
        <f>IF(Tabela2[[#This Row],[AGRUPADOR]]&lt;&gt;"",VLOOKUP(Tabela2[[#This Row],[AGRUPADOR]],Tabela1[],4,0),"")</f>
        <v/>
      </c>
      <c r="F409" s="14"/>
      <c r="G409" s="6"/>
      <c r="H409" s="6"/>
      <c r="I409" s="25"/>
      <c r="J409" s="7"/>
      <c r="K409" s="15"/>
      <c r="L409" s="379">
        <f>IF(H409&lt;&gt;"",J409*K409,SUMIFS(L410:L$9844,$F410:$F$9844,"*"&amp;F409&amp;"*",$H410:$H$9844,"&lt;&gt;"))</f>
        <v>0</v>
      </c>
      <c r="M409" s="379" t="str">
        <f>IF(Tabela2[[#This Row],[UNID.]]&lt;&gt;"",IFERROR(VLOOKUP(Tabela2[[#This Row],[AGRUPADOR]],Lucratividade!$D$4:$O$129,6,0),0),"")</f>
        <v/>
      </c>
      <c r="N409" s="379">
        <f>IF(H409&lt;&gt;"",J409*M409*I409,SUMIFS(N410:N$9844,$F410:$F$9844,"*"&amp;F409&amp;"*",$H410:$H$9844,"&lt;&gt;"))</f>
        <v>0</v>
      </c>
      <c r="O409" s="162" t="str">
        <f>IFERROR((-Tabela2[[#This Row],[CUSTO TOTAL]]+Tabela2[[#This Row],[VENDA TOTAL]])/Tabela2[[#This Row],[VENDA TOTAL]]-PARAMETROS!$C$19,"")</f>
        <v/>
      </c>
      <c r="AA409" s="219">
        <f>SUM(Plan_Orc[[#This Row],[01/jan]:[01/dez]])</f>
        <v>0</v>
      </c>
      <c r="AB409" s="114"/>
      <c r="AC409" s="114"/>
      <c r="AD409" s="114"/>
      <c r="AE409" s="114"/>
      <c r="AF409" s="114"/>
      <c r="AG409" s="114"/>
      <c r="AH409" s="114"/>
      <c r="AI409" s="114"/>
      <c r="AJ409" s="114"/>
      <c r="AK409" s="114"/>
      <c r="AL409" s="114"/>
      <c r="AM409" s="114"/>
    </row>
    <row r="410" spans="2:39" ht="25.2" customHeight="1" x14ac:dyDescent="0.3">
      <c r="B410" s="13" t="str">
        <f t="shared" si="10"/>
        <v/>
      </c>
      <c r="C410" s="18"/>
      <c r="D410" s="19" t="str">
        <f>IF(Tabela2[[#This Row],[AGRUPADOR]]&lt;&gt;"",VLOOKUP(Tabela2[[#This Row],[AGRUPADOR]],Tabela1[],2,0),"")</f>
        <v/>
      </c>
      <c r="E410" s="19" t="str">
        <f>IF(Tabela2[[#This Row],[AGRUPADOR]]&lt;&gt;"",VLOOKUP(Tabela2[[#This Row],[AGRUPADOR]],Tabela1[],4,0),"")</f>
        <v/>
      </c>
      <c r="F410" s="14"/>
      <c r="G410" s="6"/>
      <c r="H410" s="6"/>
      <c r="I410" s="25"/>
      <c r="J410" s="7"/>
      <c r="K410" s="15"/>
      <c r="L410" s="379">
        <f>IF(H410&lt;&gt;"",J410*K410,SUMIFS(L411:L$9844,$F411:$F$9844,"*"&amp;F410&amp;"*",$H411:$H$9844,"&lt;&gt;"))</f>
        <v>0</v>
      </c>
      <c r="M410" s="379" t="str">
        <f>IF(Tabela2[[#This Row],[UNID.]]&lt;&gt;"",IFERROR(VLOOKUP(Tabela2[[#This Row],[AGRUPADOR]],Lucratividade!$D$4:$O$129,6,0),0),"")</f>
        <v/>
      </c>
      <c r="N410" s="379">
        <f>IF(H410&lt;&gt;"",J410*M410*I410,SUMIFS(N411:N$9844,$F411:$F$9844,"*"&amp;F410&amp;"*",$H411:$H$9844,"&lt;&gt;"))</f>
        <v>0</v>
      </c>
      <c r="O410" s="162" t="str">
        <f>IFERROR((-Tabela2[[#This Row],[CUSTO TOTAL]]+Tabela2[[#This Row],[VENDA TOTAL]])/Tabela2[[#This Row],[VENDA TOTAL]]-PARAMETROS!$C$19,"")</f>
        <v/>
      </c>
      <c r="AA410" s="219">
        <f>SUM(Plan_Orc[[#This Row],[01/jan]:[01/dez]])</f>
        <v>0</v>
      </c>
      <c r="AB410" s="114"/>
      <c r="AC410" s="114"/>
      <c r="AD410" s="114"/>
      <c r="AE410" s="114"/>
      <c r="AF410" s="114"/>
      <c r="AG410" s="114"/>
      <c r="AH410" s="114"/>
      <c r="AI410" s="114"/>
      <c r="AJ410" s="114"/>
      <c r="AK410" s="114"/>
      <c r="AL410" s="114"/>
      <c r="AM410" s="114"/>
    </row>
    <row r="411" spans="2:39" ht="25.2" customHeight="1" x14ac:dyDescent="0.3">
      <c r="B411" s="13" t="str">
        <f t="shared" si="10"/>
        <v/>
      </c>
      <c r="C411" s="18"/>
      <c r="D411" s="19" t="str">
        <f>IF(Tabela2[[#This Row],[AGRUPADOR]]&lt;&gt;"",VLOOKUP(Tabela2[[#This Row],[AGRUPADOR]],Tabela1[],2,0),"")</f>
        <v/>
      </c>
      <c r="E411" s="19" t="str">
        <f>IF(Tabela2[[#This Row],[AGRUPADOR]]&lt;&gt;"",VLOOKUP(Tabela2[[#This Row],[AGRUPADOR]],Tabela1[],4,0),"")</f>
        <v/>
      </c>
      <c r="F411" s="14"/>
      <c r="G411" s="6"/>
      <c r="H411" s="6"/>
      <c r="I411" s="25"/>
      <c r="J411" s="7"/>
      <c r="K411" s="15"/>
      <c r="L411" s="379">
        <f>IF(H411&lt;&gt;"",J411*K411,SUMIFS(L412:L$9844,$F412:$F$9844,"*"&amp;F411&amp;"*",$H412:$H$9844,"&lt;&gt;"))</f>
        <v>0</v>
      </c>
      <c r="M411" s="379" t="str">
        <f>IF(Tabela2[[#This Row],[UNID.]]&lt;&gt;"",IFERROR(VLOOKUP(Tabela2[[#This Row],[AGRUPADOR]],Lucratividade!$D$4:$O$129,6,0),0),"")</f>
        <v/>
      </c>
      <c r="N411" s="379">
        <f>IF(H411&lt;&gt;"",J411*M411*I411,SUMIFS(N412:N$9844,$F412:$F$9844,"*"&amp;F411&amp;"*",$H412:$H$9844,"&lt;&gt;"))</f>
        <v>0</v>
      </c>
      <c r="O411" s="162" t="str">
        <f>IFERROR((-Tabela2[[#This Row],[CUSTO TOTAL]]+Tabela2[[#This Row],[VENDA TOTAL]])/Tabela2[[#This Row],[VENDA TOTAL]]-PARAMETROS!$C$19,"")</f>
        <v/>
      </c>
      <c r="AA411" s="219">
        <f>SUM(Plan_Orc[[#This Row],[01/jan]:[01/dez]])</f>
        <v>0</v>
      </c>
      <c r="AB411" s="114"/>
      <c r="AC411" s="114"/>
      <c r="AD411" s="114"/>
      <c r="AE411" s="114"/>
      <c r="AF411" s="114"/>
      <c r="AG411" s="114"/>
      <c r="AH411" s="114"/>
      <c r="AI411" s="114"/>
      <c r="AJ411" s="114"/>
      <c r="AK411" s="114"/>
      <c r="AL411" s="114"/>
      <c r="AM411" s="114"/>
    </row>
    <row r="412" spans="2:39" ht="25.2" customHeight="1" x14ac:dyDescent="0.3">
      <c r="B412" s="13" t="str">
        <f t="shared" si="10"/>
        <v/>
      </c>
      <c r="C412" s="18"/>
      <c r="D412" s="19" t="str">
        <f>IF(Tabela2[[#This Row],[AGRUPADOR]]&lt;&gt;"",VLOOKUP(Tabela2[[#This Row],[AGRUPADOR]],Tabela1[],2,0),"")</f>
        <v/>
      </c>
      <c r="E412" s="19" t="str">
        <f>IF(Tabela2[[#This Row],[AGRUPADOR]]&lt;&gt;"",VLOOKUP(Tabela2[[#This Row],[AGRUPADOR]],Tabela1[],4,0),"")</f>
        <v/>
      </c>
      <c r="F412" s="14"/>
      <c r="G412" s="6"/>
      <c r="H412" s="6"/>
      <c r="I412" s="25"/>
      <c r="J412" s="7"/>
      <c r="K412" s="15"/>
      <c r="L412" s="379">
        <f>IF(H412&lt;&gt;"",J412*K412,SUMIFS(L413:L$9844,$F413:$F$9844,"*"&amp;F412&amp;"*",$H413:$H$9844,"&lt;&gt;"))</f>
        <v>0</v>
      </c>
      <c r="M412" s="379" t="str">
        <f>IF(Tabela2[[#This Row],[UNID.]]&lt;&gt;"",IFERROR(VLOOKUP(Tabela2[[#This Row],[AGRUPADOR]],Lucratividade!$D$4:$O$129,6,0),0),"")</f>
        <v/>
      </c>
      <c r="N412" s="379">
        <f>IF(H412&lt;&gt;"",J412*M412*I412,SUMIFS(N413:N$9844,$F413:$F$9844,"*"&amp;F412&amp;"*",$H413:$H$9844,"&lt;&gt;"))</f>
        <v>0</v>
      </c>
      <c r="O412" s="162" t="str">
        <f>IFERROR((-Tabela2[[#This Row],[CUSTO TOTAL]]+Tabela2[[#This Row],[VENDA TOTAL]])/Tabela2[[#This Row],[VENDA TOTAL]]-PARAMETROS!$C$19,"")</f>
        <v/>
      </c>
      <c r="AA412" s="219">
        <f>SUM(Plan_Orc[[#This Row],[01/jan]:[01/dez]])</f>
        <v>0</v>
      </c>
      <c r="AB412" s="114"/>
      <c r="AC412" s="114"/>
      <c r="AD412" s="114"/>
      <c r="AE412" s="114"/>
      <c r="AF412" s="114"/>
      <c r="AG412" s="114"/>
      <c r="AH412" s="114"/>
      <c r="AI412" s="114"/>
      <c r="AJ412" s="114"/>
      <c r="AK412" s="114"/>
      <c r="AL412" s="114"/>
      <c r="AM412" s="114"/>
    </row>
    <row r="413" spans="2:39" ht="25.2" customHeight="1" x14ac:dyDescent="0.3">
      <c r="B413" s="13" t="str">
        <f t="shared" si="10"/>
        <v/>
      </c>
      <c r="C413" s="18"/>
      <c r="D413" s="19" t="str">
        <f>IF(Tabela2[[#This Row],[AGRUPADOR]]&lt;&gt;"",VLOOKUP(Tabela2[[#This Row],[AGRUPADOR]],Tabela1[],2,0),"")</f>
        <v/>
      </c>
      <c r="E413" s="19" t="str">
        <f>IF(Tabela2[[#This Row],[AGRUPADOR]]&lt;&gt;"",VLOOKUP(Tabela2[[#This Row],[AGRUPADOR]],Tabela1[],4,0),"")</f>
        <v/>
      </c>
      <c r="F413" s="14"/>
      <c r="G413" s="6"/>
      <c r="H413" s="6"/>
      <c r="I413" s="25"/>
      <c r="J413" s="7"/>
      <c r="K413" s="15"/>
      <c r="L413" s="379">
        <f>IF(H413&lt;&gt;"",J413*K413,SUMIFS(L414:L$9844,$F414:$F$9844,"*"&amp;F413&amp;"*",$H414:$H$9844,"&lt;&gt;"))</f>
        <v>0</v>
      </c>
      <c r="M413" s="379" t="str">
        <f>IF(Tabela2[[#This Row],[UNID.]]&lt;&gt;"",IFERROR(VLOOKUP(Tabela2[[#This Row],[AGRUPADOR]],Lucratividade!$D$4:$O$129,6,0),0),"")</f>
        <v/>
      </c>
      <c r="N413" s="379">
        <f>IF(H413&lt;&gt;"",J413*M413*I413,SUMIFS(N414:N$9844,$F414:$F$9844,"*"&amp;F413&amp;"*",$H414:$H$9844,"&lt;&gt;"))</f>
        <v>0</v>
      </c>
      <c r="O413" s="162" t="str">
        <f>IFERROR((-Tabela2[[#This Row],[CUSTO TOTAL]]+Tabela2[[#This Row],[VENDA TOTAL]])/Tabela2[[#This Row],[VENDA TOTAL]]-PARAMETROS!$C$19,"")</f>
        <v/>
      </c>
      <c r="AA413" s="219">
        <f>SUM(Plan_Orc[[#This Row],[01/jan]:[01/dez]])</f>
        <v>0</v>
      </c>
      <c r="AB413" s="114"/>
      <c r="AC413" s="114"/>
      <c r="AD413" s="114"/>
      <c r="AE413" s="114"/>
      <c r="AF413" s="114"/>
      <c r="AG413" s="114"/>
      <c r="AH413" s="114"/>
      <c r="AI413" s="114"/>
      <c r="AJ413" s="114"/>
      <c r="AK413" s="114"/>
      <c r="AL413" s="114"/>
      <c r="AM413" s="114"/>
    </row>
    <row r="414" spans="2:39" ht="25.2" customHeight="1" x14ac:dyDescent="0.3">
      <c r="B414" s="13" t="str">
        <f t="shared" si="10"/>
        <v/>
      </c>
      <c r="C414" s="18"/>
      <c r="D414" s="19" t="str">
        <f>IF(Tabela2[[#This Row],[AGRUPADOR]]&lt;&gt;"",VLOOKUP(Tabela2[[#This Row],[AGRUPADOR]],Tabela1[],2,0),"")</f>
        <v/>
      </c>
      <c r="E414" s="19" t="str">
        <f>IF(Tabela2[[#This Row],[AGRUPADOR]]&lt;&gt;"",VLOOKUP(Tabela2[[#This Row],[AGRUPADOR]],Tabela1[],4,0),"")</f>
        <v/>
      </c>
      <c r="F414" s="14"/>
      <c r="G414" s="6"/>
      <c r="H414" s="6"/>
      <c r="I414" s="25"/>
      <c r="J414" s="7"/>
      <c r="K414" s="15"/>
      <c r="L414" s="379">
        <f>IF(H414&lt;&gt;"",J414*K414,SUMIFS(L415:L$9844,$F415:$F$9844,"*"&amp;F414&amp;"*",$H415:$H$9844,"&lt;&gt;"))</f>
        <v>0</v>
      </c>
      <c r="M414" s="379" t="str">
        <f>IF(Tabela2[[#This Row],[UNID.]]&lt;&gt;"",IFERROR(VLOOKUP(Tabela2[[#This Row],[AGRUPADOR]],Lucratividade!$D$4:$O$129,6,0),0),"")</f>
        <v/>
      </c>
      <c r="N414" s="379">
        <f>IF(H414&lt;&gt;"",J414*M414*I414,SUMIFS(N415:N$9844,$F415:$F$9844,"*"&amp;F414&amp;"*",$H415:$H$9844,"&lt;&gt;"))</f>
        <v>0</v>
      </c>
      <c r="O414" s="162" t="str">
        <f>IFERROR((-Tabela2[[#This Row],[CUSTO TOTAL]]+Tabela2[[#This Row],[VENDA TOTAL]])/Tabela2[[#This Row],[VENDA TOTAL]]-PARAMETROS!$C$19,"")</f>
        <v/>
      </c>
      <c r="AA414" s="219">
        <f>SUM(Plan_Orc[[#This Row],[01/jan]:[01/dez]])</f>
        <v>0</v>
      </c>
      <c r="AB414" s="114"/>
      <c r="AC414" s="114"/>
      <c r="AD414" s="114"/>
      <c r="AE414" s="114"/>
      <c r="AF414" s="114"/>
      <c r="AG414" s="114"/>
      <c r="AH414" s="114"/>
      <c r="AI414" s="114"/>
      <c r="AJ414" s="114"/>
      <c r="AK414" s="114"/>
      <c r="AL414" s="114"/>
      <c r="AM414" s="114"/>
    </row>
    <row r="415" spans="2:39" ht="25.2" customHeight="1" x14ac:dyDescent="0.3">
      <c r="B415" s="13" t="str">
        <f t="shared" si="10"/>
        <v/>
      </c>
      <c r="C415" s="18"/>
      <c r="D415" s="19" t="str">
        <f>IF(Tabela2[[#This Row],[AGRUPADOR]]&lt;&gt;"",VLOOKUP(Tabela2[[#This Row],[AGRUPADOR]],Tabela1[],2,0),"")</f>
        <v/>
      </c>
      <c r="E415" s="19" t="str">
        <f>IF(Tabela2[[#This Row],[AGRUPADOR]]&lt;&gt;"",VLOOKUP(Tabela2[[#This Row],[AGRUPADOR]],Tabela1[],4,0),"")</f>
        <v/>
      </c>
      <c r="F415" s="14"/>
      <c r="G415" s="6"/>
      <c r="H415" s="6"/>
      <c r="I415" s="25"/>
      <c r="J415" s="7"/>
      <c r="K415" s="15"/>
      <c r="L415" s="379">
        <f>IF(H415&lt;&gt;"",J415*K415,SUMIFS(L416:L$9844,$F416:$F$9844,"*"&amp;F415&amp;"*",$H416:$H$9844,"&lt;&gt;"))</f>
        <v>0</v>
      </c>
      <c r="M415" s="379" t="str">
        <f>IF(Tabela2[[#This Row],[UNID.]]&lt;&gt;"",IFERROR(VLOOKUP(Tabela2[[#This Row],[AGRUPADOR]],Lucratividade!$D$4:$O$129,6,0),0),"")</f>
        <v/>
      </c>
      <c r="N415" s="379">
        <f>IF(H415&lt;&gt;"",J415*M415*I415,SUMIFS(N416:N$9844,$F416:$F$9844,"*"&amp;F415&amp;"*",$H416:$H$9844,"&lt;&gt;"))</f>
        <v>0</v>
      </c>
      <c r="O415" s="162" t="str">
        <f>IFERROR((-Tabela2[[#This Row],[CUSTO TOTAL]]+Tabela2[[#This Row],[VENDA TOTAL]])/Tabela2[[#This Row],[VENDA TOTAL]]-PARAMETROS!$C$19,"")</f>
        <v/>
      </c>
      <c r="AA415" s="224">
        <f>SUM(Plan_Orc[[#This Row],[01/jan]:[01/dez]])</f>
        <v>0</v>
      </c>
      <c r="AB415" s="215"/>
      <c r="AC415" s="215"/>
      <c r="AD415" s="215"/>
      <c r="AE415" s="215"/>
      <c r="AF415" s="215"/>
      <c r="AG415" s="215"/>
      <c r="AH415" s="215"/>
      <c r="AI415" s="215"/>
      <c r="AJ415" s="215"/>
      <c r="AK415" s="215"/>
      <c r="AL415" s="215"/>
      <c r="AM415" s="215"/>
    </row>
    <row r="416" spans="2:39" ht="25.2" customHeight="1" x14ac:dyDescent="0.3">
      <c r="B416" s="13" t="str">
        <f t="shared" si="10"/>
        <v/>
      </c>
      <c r="C416" s="18"/>
      <c r="D416" s="19" t="str">
        <f>IF(Tabela2[[#This Row],[AGRUPADOR]]&lt;&gt;"",VLOOKUP(Tabela2[[#This Row],[AGRUPADOR]],Tabela1[],2,0),"")</f>
        <v/>
      </c>
      <c r="E416" s="19" t="str">
        <f>IF(Tabela2[[#This Row],[AGRUPADOR]]&lt;&gt;"",VLOOKUP(Tabela2[[#This Row],[AGRUPADOR]],Tabela1[],4,0),"")</f>
        <v/>
      </c>
      <c r="F416" s="14"/>
      <c r="G416" s="6"/>
      <c r="H416" s="6"/>
      <c r="I416" s="25"/>
      <c r="J416" s="7"/>
      <c r="K416" s="15"/>
      <c r="L416" s="379">
        <f>IF(H416&lt;&gt;"",J416*K416,SUMIFS(L417:L$9844,$F417:$F$9844,"*"&amp;F416&amp;"*",$H417:$H$9844,"&lt;&gt;"))</f>
        <v>0</v>
      </c>
      <c r="M416" s="379" t="str">
        <f>IF(Tabela2[[#This Row],[UNID.]]&lt;&gt;"",IFERROR(VLOOKUP(Tabela2[[#This Row],[AGRUPADOR]],Lucratividade!$D$4:$O$129,6,0),0),"")</f>
        <v/>
      </c>
      <c r="N416" s="379">
        <f>IF(H416&lt;&gt;"",J416*M416*I416,SUMIFS(N417:N$9844,$F417:$F$9844,"*"&amp;F416&amp;"*",$H417:$H$9844,"&lt;&gt;"))</f>
        <v>0</v>
      </c>
      <c r="O416" s="162" t="str">
        <f>IFERROR((-Tabela2[[#This Row],[CUSTO TOTAL]]+Tabela2[[#This Row],[VENDA TOTAL]])/Tabela2[[#This Row],[VENDA TOTAL]]-PARAMETROS!$C$19,"")</f>
        <v/>
      </c>
      <c r="AA416" s="218">
        <f>SUM(Plan_Orc[[#This Row],[01/jan]:[01/dez]])</f>
        <v>0</v>
      </c>
      <c r="AB416" s="113"/>
      <c r="AC416" s="113"/>
      <c r="AD416" s="113"/>
      <c r="AE416" s="113"/>
      <c r="AF416" s="113"/>
      <c r="AG416" s="113"/>
      <c r="AH416" s="113"/>
      <c r="AI416" s="113"/>
      <c r="AJ416" s="113"/>
      <c r="AK416" s="113"/>
      <c r="AL416" s="113"/>
      <c r="AM416" s="113"/>
    </row>
    <row r="417" spans="2:39" ht="25.2" customHeight="1" x14ac:dyDescent="0.3">
      <c r="B417" s="13" t="str">
        <f t="shared" si="10"/>
        <v/>
      </c>
      <c r="C417" s="18"/>
      <c r="D417" s="19" t="str">
        <f>IF(Tabela2[[#This Row],[AGRUPADOR]]&lt;&gt;"",VLOOKUP(Tabela2[[#This Row],[AGRUPADOR]],Tabela1[],2,0),"")</f>
        <v/>
      </c>
      <c r="E417" s="19" t="str">
        <f>IF(Tabela2[[#This Row],[AGRUPADOR]]&lt;&gt;"",VLOOKUP(Tabela2[[#This Row],[AGRUPADOR]],Tabela1[],4,0),"")</f>
        <v/>
      </c>
      <c r="F417" s="14"/>
      <c r="G417" s="6"/>
      <c r="H417" s="6"/>
      <c r="I417" s="25"/>
      <c r="J417" s="7"/>
      <c r="K417" s="15"/>
      <c r="L417" s="379">
        <f>IF(H417&lt;&gt;"",J417*K417,SUMIFS(L418:L$9844,$F418:$F$9844,"*"&amp;F417&amp;"*",$H418:$H$9844,"&lt;&gt;"))</f>
        <v>0</v>
      </c>
      <c r="M417" s="379" t="str">
        <f>IF(Tabela2[[#This Row],[UNID.]]&lt;&gt;"",IFERROR(VLOOKUP(Tabela2[[#This Row],[AGRUPADOR]],Lucratividade!$D$4:$O$129,6,0),0),"")</f>
        <v/>
      </c>
      <c r="N417" s="379">
        <f>IF(H417&lt;&gt;"",J417*M417*I417,SUMIFS(N418:N$9844,$F418:$F$9844,"*"&amp;F417&amp;"*",$H418:$H$9844,"&lt;&gt;"))</f>
        <v>0</v>
      </c>
      <c r="O417" s="162" t="str">
        <f>IFERROR((-Tabela2[[#This Row],[CUSTO TOTAL]]+Tabela2[[#This Row],[VENDA TOTAL]])/Tabela2[[#This Row],[VENDA TOTAL]]-PARAMETROS!$C$19,"")</f>
        <v/>
      </c>
      <c r="AA417" s="219">
        <f>SUM(Plan_Orc[[#This Row],[01/jan]:[01/dez]])</f>
        <v>0</v>
      </c>
      <c r="AB417" s="114"/>
      <c r="AC417" s="114"/>
      <c r="AD417" s="114"/>
      <c r="AE417" s="114"/>
      <c r="AF417" s="114"/>
      <c r="AG417" s="114"/>
      <c r="AH417" s="114"/>
      <c r="AI417" s="114"/>
      <c r="AJ417" s="114"/>
      <c r="AK417" s="114"/>
      <c r="AL417" s="114"/>
      <c r="AM417" s="114"/>
    </row>
    <row r="418" spans="2:39" ht="25.2" customHeight="1" x14ac:dyDescent="0.3">
      <c r="B418" s="13" t="str">
        <f t="shared" si="10"/>
        <v/>
      </c>
      <c r="C418" s="18"/>
      <c r="D418" s="19" t="str">
        <f>IF(Tabela2[[#This Row],[AGRUPADOR]]&lt;&gt;"",VLOOKUP(Tabela2[[#This Row],[AGRUPADOR]],Tabela1[],2,0),"")</f>
        <v/>
      </c>
      <c r="E418" s="19" t="str">
        <f>IF(Tabela2[[#This Row],[AGRUPADOR]]&lt;&gt;"",VLOOKUP(Tabela2[[#This Row],[AGRUPADOR]],Tabela1[],4,0),"")</f>
        <v/>
      </c>
      <c r="F418" s="14"/>
      <c r="G418" s="6"/>
      <c r="H418" s="6"/>
      <c r="I418" s="25"/>
      <c r="J418" s="7"/>
      <c r="K418" s="15"/>
      <c r="L418" s="379">
        <f>IF(H418&lt;&gt;"",J418*K418,SUMIFS(L419:L$9844,$F419:$F$9844,"*"&amp;F418&amp;"*",$H419:$H$9844,"&lt;&gt;"))</f>
        <v>0</v>
      </c>
      <c r="M418" s="379" t="str">
        <f>IF(Tabela2[[#This Row],[UNID.]]&lt;&gt;"",IFERROR(VLOOKUP(Tabela2[[#This Row],[AGRUPADOR]],Lucratividade!$D$4:$O$129,6,0),0),"")</f>
        <v/>
      </c>
      <c r="N418" s="379">
        <f>IF(H418&lt;&gt;"",J418*M418*I418,SUMIFS(N419:N$9844,$F419:$F$9844,"*"&amp;F418&amp;"*",$H419:$H$9844,"&lt;&gt;"))</f>
        <v>0</v>
      </c>
      <c r="O418" s="162" t="str">
        <f>IFERROR((-Tabela2[[#This Row],[CUSTO TOTAL]]+Tabela2[[#This Row],[VENDA TOTAL]])/Tabela2[[#This Row],[VENDA TOTAL]]-PARAMETROS!$C$19,"")</f>
        <v/>
      </c>
      <c r="AA418" s="219">
        <f>SUM(Plan_Orc[[#This Row],[01/jan]:[01/dez]])</f>
        <v>0</v>
      </c>
      <c r="AB418" s="114"/>
      <c r="AC418" s="114"/>
      <c r="AD418" s="114"/>
      <c r="AE418" s="114"/>
      <c r="AF418" s="114"/>
      <c r="AG418" s="114"/>
      <c r="AH418" s="114"/>
      <c r="AI418" s="114"/>
      <c r="AJ418" s="114"/>
      <c r="AK418" s="114"/>
      <c r="AL418" s="114"/>
      <c r="AM418" s="114"/>
    </row>
    <row r="419" spans="2:39" ht="25.2" customHeight="1" x14ac:dyDescent="0.3">
      <c r="B419" s="13" t="str">
        <f t="shared" si="10"/>
        <v/>
      </c>
      <c r="C419" s="18"/>
      <c r="D419" s="19" t="str">
        <f>IF(Tabela2[[#This Row],[AGRUPADOR]]&lt;&gt;"",VLOOKUP(Tabela2[[#This Row],[AGRUPADOR]],Tabela1[],2,0),"")</f>
        <v/>
      </c>
      <c r="E419" s="19" t="str">
        <f>IF(Tabela2[[#This Row],[AGRUPADOR]]&lt;&gt;"",VLOOKUP(Tabela2[[#This Row],[AGRUPADOR]],Tabela1[],4,0),"")</f>
        <v/>
      </c>
      <c r="F419" s="14"/>
      <c r="G419" s="6"/>
      <c r="H419" s="6"/>
      <c r="I419" s="25"/>
      <c r="J419" s="7"/>
      <c r="K419" s="15"/>
      <c r="L419" s="379">
        <f>IF(H419&lt;&gt;"",J419*K419,SUMIFS(L420:L$9844,$F420:$F$9844,"*"&amp;F419&amp;"*",$H420:$H$9844,"&lt;&gt;"))</f>
        <v>0</v>
      </c>
      <c r="M419" s="379" t="str">
        <f>IF(Tabela2[[#This Row],[UNID.]]&lt;&gt;"",IFERROR(VLOOKUP(Tabela2[[#This Row],[AGRUPADOR]],Lucratividade!$D$4:$O$129,6,0),0),"")</f>
        <v/>
      </c>
      <c r="N419" s="379">
        <f>IF(H419&lt;&gt;"",J419*M419*I419,SUMIFS(N420:N$9844,$F420:$F$9844,"*"&amp;F419&amp;"*",$H420:$H$9844,"&lt;&gt;"))</f>
        <v>0</v>
      </c>
      <c r="O419" s="162" t="str">
        <f>IFERROR((-Tabela2[[#This Row],[CUSTO TOTAL]]+Tabela2[[#This Row],[VENDA TOTAL]])/Tabela2[[#This Row],[VENDA TOTAL]]-PARAMETROS!$C$19,"")</f>
        <v/>
      </c>
      <c r="AA419" s="219">
        <f>SUM(Plan_Orc[[#This Row],[01/jan]:[01/dez]])</f>
        <v>0</v>
      </c>
      <c r="AB419" s="114"/>
      <c r="AC419" s="114"/>
      <c r="AD419" s="114"/>
      <c r="AE419" s="114"/>
      <c r="AF419" s="114"/>
      <c r="AG419" s="114"/>
      <c r="AH419" s="114"/>
      <c r="AI419" s="114"/>
      <c r="AJ419" s="114"/>
      <c r="AK419" s="114"/>
      <c r="AL419" s="114"/>
      <c r="AM419" s="114"/>
    </row>
    <row r="420" spans="2:39" ht="25.2" customHeight="1" x14ac:dyDescent="0.3">
      <c r="B420" s="13" t="str">
        <f t="shared" si="10"/>
        <v/>
      </c>
      <c r="C420" s="18"/>
      <c r="D420" s="19" t="str">
        <f>IF(Tabela2[[#This Row],[AGRUPADOR]]&lt;&gt;"",VLOOKUP(Tabela2[[#This Row],[AGRUPADOR]],Tabela1[],2,0),"")</f>
        <v/>
      </c>
      <c r="E420" s="19" t="str">
        <f>IF(Tabela2[[#This Row],[AGRUPADOR]]&lt;&gt;"",VLOOKUP(Tabela2[[#This Row],[AGRUPADOR]],Tabela1[],4,0),"")</f>
        <v/>
      </c>
      <c r="F420" s="14"/>
      <c r="G420" s="6"/>
      <c r="H420" s="6"/>
      <c r="I420" s="25"/>
      <c r="J420" s="7"/>
      <c r="K420" s="15"/>
      <c r="L420" s="379">
        <f>IF(H420&lt;&gt;"",J420*K420,SUMIFS(L421:L$9844,$F421:$F$9844,"*"&amp;F420&amp;"*",$H421:$H$9844,"&lt;&gt;"))</f>
        <v>0</v>
      </c>
      <c r="M420" s="379" t="str">
        <f>IF(Tabela2[[#This Row],[UNID.]]&lt;&gt;"",IFERROR(VLOOKUP(Tabela2[[#This Row],[AGRUPADOR]],Lucratividade!$D$4:$O$129,6,0),0),"")</f>
        <v/>
      </c>
      <c r="N420" s="379">
        <f>IF(H420&lt;&gt;"",J420*M420*I420,SUMIFS(N421:N$9844,$F421:$F$9844,"*"&amp;F420&amp;"*",$H421:$H$9844,"&lt;&gt;"))</f>
        <v>0</v>
      </c>
      <c r="O420" s="162" t="str">
        <f>IFERROR((-Tabela2[[#This Row],[CUSTO TOTAL]]+Tabela2[[#This Row],[VENDA TOTAL]])/Tabela2[[#This Row],[VENDA TOTAL]]-PARAMETROS!$C$19,"")</f>
        <v/>
      </c>
      <c r="AA420" s="219">
        <f>SUM(Plan_Orc[[#This Row],[01/jan]:[01/dez]])</f>
        <v>0</v>
      </c>
      <c r="AB420" s="114"/>
      <c r="AC420" s="114"/>
      <c r="AD420" s="114"/>
      <c r="AE420" s="114"/>
      <c r="AF420" s="114"/>
      <c r="AG420" s="114"/>
      <c r="AH420" s="114"/>
      <c r="AI420" s="114"/>
      <c r="AJ420" s="114"/>
      <c r="AK420" s="114"/>
      <c r="AL420" s="114"/>
      <c r="AM420" s="114"/>
    </row>
    <row r="421" spans="2:39" ht="25.2" customHeight="1" x14ac:dyDescent="0.3">
      <c r="B421" s="13" t="str">
        <f t="shared" si="10"/>
        <v/>
      </c>
      <c r="C421" s="18"/>
      <c r="D421" s="19" t="str">
        <f>IF(Tabela2[[#This Row],[AGRUPADOR]]&lt;&gt;"",VLOOKUP(Tabela2[[#This Row],[AGRUPADOR]],Tabela1[],2,0),"")</f>
        <v/>
      </c>
      <c r="E421" s="19" t="str">
        <f>IF(Tabela2[[#This Row],[AGRUPADOR]]&lt;&gt;"",VLOOKUP(Tabela2[[#This Row],[AGRUPADOR]],Tabela1[],4,0),"")</f>
        <v/>
      </c>
      <c r="F421" s="14"/>
      <c r="G421" s="6"/>
      <c r="H421" s="6"/>
      <c r="I421" s="25"/>
      <c r="J421" s="7"/>
      <c r="K421" s="15"/>
      <c r="L421" s="379">
        <f>IF(H421&lt;&gt;"",J421*K421,SUMIFS(L422:L$9844,$F422:$F$9844,"*"&amp;F421&amp;"*",$H422:$H$9844,"&lt;&gt;"))</f>
        <v>0</v>
      </c>
      <c r="M421" s="379" t="str">
        <f>IF(Tabela2[[#This Row],[UNID.]]&lt;&gt;"",IFERROR(VLOOKUP(Tabela2[[#This Row],[AGRUPADOR]],Lucratividade!$D$4:$O$129,6,0),0),"")</f>
        <v/>
      </c>
      <c r="N421" s="379">
        <f>IF(H421&lt;&gt;"",J421*M421*I421,SUMIFS(N422:N$9844,$F422:$F$9844,"*"&amp;F421&amp;"*",$H422:$H$9844,"&lt;&gt;"))</f>
        <v>0</v>
      </c>
      <c r="O421" s="162" t="str">
        <f>IFERROR((-Tabela2[[#This Row],[CUSTO TOTAL]]+Tabela2[[#This Row],[VENDA TOTAL]])/Tabela2[[#This Row],[VENDA TOTAL]]-PARAMETROS!$C$19,"")</f>
        <v/>
      </c>
      <c r="AA421" s="219">
        <f>SUM(Plan_Orc[[#This Row],[01/jan]:[01/dez]])</f>
        <v>0</v>
      </c>
      <c r="AB421" s="114"/>
      <c r="AC421" s="114"/>
      <c r="AD421" s="114"/>
      <c r="AE421" s="114"/>
      <c r="AF421" s="114"/>
      <c r="AG421" s="114"/>
      <c r="AH421" s="114"/>
      <c r="AI421" s="114"/>
      <c r="AJ421" s="114"/>
      <c r="AK421" s="114"/>
      <c r="AL421" s="114"/>
      <c r="AM421" s="114"/>
    </row>
    <row r="422" spans="2:39" ht="25.2" customHeight="1" x14ac:dyDescent="0.3">
      <c r="B422" s="13" t="str">
        <f t="shared" si="10"/>
        <v/>
      </c>
      <c r="C422" s="18"/>
      <c r="D422" s="19" t="str">
        <f>IF(Tabela2[[#This Row],[AGRUPADOR]]&lt;&gt;"",VLOOKUP(Tabela2[[#This Row],[AGRUPADOR]],Tabela1[],2,0),"")</f>
        <v/>
      </c>
      <c r="E422" s="19" t="str">
        <f>IF(Tabela2[[#This Row],[AGRUPADOR]]&lt;&gt;"",VLOOKUP(Tabela2[[#This Row],[AGRUPADOR]],Tabela1[],4,0),"")</f>
        <v/>
      </c>
      <c r="F422" s="14"/>
      <c r="G422" s="6"/>
      <c r="H422" s="6"/>
      <c r="I422" s="25"/>
      <c r="J422" s="7"/>
      <c r="K422" s="15"/>
      <c r="L422" s="379">
        <f>IF(H422&lt;&gt;"",J422*K422,SUMIFS(L423:L$9844,$F423:$F$9844,"*"&amp;F422&amp;"*",$H423:$H$9844,"&lt;&gt;"))</f>
        <v>0</v>
      </c>
      <c r="M422" s="379" t="str">
        <f>IF(Tabela2[[#This Row],[UNID.]]&lt;&gt;"",IFERROR(VLOOKUP(Tabela2[[#This Row],[AGRUPADOR]],Lucratividade!$D$4:$O$129,6,0),0),"")</f>
        <v/>
      </c>
      <c r="N422" s="379">
        <f>IF(H422&lt;&gt;"",J422*M422*I422,SUMIFS(N423:N$9844,$F423:$F$9844,"*"&amp;F422&amp;"*",$H423:$H$9844,"&lt;&gt;"))</f>
        <v>0</v>
      </c>
      <c r="O422" s="162" t="str">
        <f>IFERROR((-Tabela2[[#This Row],[CUSTO TOTAL]]+Tabela2[[#This Row],[VENDA TOTAL]])/Tabela2[[#This Row],[VENDA TOTAL]]-PARAMETROS!$C$19,"")</f>
        <v/>
      </c>
      <c r="AA422" s="219">
        <f>SUM(Plan_Orc[[#This Row],[01/jan]:[01/dez]])</f>
        <v>0</v>
      </c>
      <c r="AB422" s="114"/>
      <c r="AC422" s="114"/>
      <c r="AD422" s="114"/>
      <c r="AE422" s="114"/>
      <c r="AF422" s="114"/>
      <c r="AG422" s="114"/>
      <c r="AH422" s="114"/>
      <c r="AI422" s="114"/>
      <c r="AJ422" s="114"/>
      <c r="AK422" s="114"/>
      <c r="AL422" s="114"/>
      <c r="AM422" s="114"/>
    </row>
    <row r="423" spans="2:39" ht="25.2" customHeight="1" x14ac:dyDescent="0.3">
      <c r="B423" s="13" t="str">
        <f t="shared" si="10"/>
        <v/>
      </c>
      <c r="C423" s="18"/>
      <c r="D423" s="19" t="str">
        <f>IF(Tabela2[[#This Row],[AGRUPADOR]]&lt;&gt;"",VLOOKUP(Tabela2[[#This Row],[AGRUPADOR]],Tabela1[],2,0),"")</f>
        <v/>
      </c>
      <c r="E423" s="19" t="str">
        <f>IF(Tabela2[[#This Row],[AGRUPADOR]]&lt;&gt;"",VLOOKUP(Tabela2[[#This Row],[AGRUPADOR]],Tabela1[],4,0),"")</f>
        <v/>
      </c>
      <c r="F423" s="14"/>
      <c r="G423" s="6"/>
      <c r="H423" s="6"/>
      <c r="I423" s="25"/>
      <c r="J423" s="7"/>
      <c r="K423" s="15"/>
      <c r="L423" s="379">
        <f>IF(H423&lt;&gt;"",J423*K423,SUMIFS(L424:L$9844,$F424:$F$9844,"*"&amp;F423&amp;"*",$H424:$H$9844,"&lt;&gt;"))</f>
        <v>0</v>
      </c>
      <c r="M423" s="379" t="str">
        <f>IF(Tabela2[[#This Row],[UNID.]]&lt;&gt;"",IFERROR(VLOOKUP(Tabela2[[#This Row],[AGRUPADOR]],Lucratividade!$D$4:$O$129,6,0),0),"")</f>
        <v/>
      </c>
      <c r="N423" s="379">
        <f>IF(H423&lt;&gt;"",J423*M423*I423,SUMIFS(N424:N$9844,$F424:$F$9844,"*"&amp;F423&amp;"*",$H424:$H$9844,"&lt;&gt;"))</f>
        <v>0</v>
      </c>
      <c r="O423" s="162" t="str">
        <f>IFERROR((-Tabela2[[#This Row],[CUSTO TOTAL]]+Tabela2[[#This Row],[VENDA TOTAL]])/Tabela2[[#This Row],[VENDA TOTAL]]-PARAMETROS!$C$19,"")</f>
        <v/>
      </c>
      <c r="AA423" s="219">
        <f>SUM(Plan_Orc[[#This Row],[01/jan]:[01/dez]])</f>
        <v>0</v>
      </c>
      <c r="AB423" s="114"/>
      <c r="AC423" s="114"/>
      <c r="AD423" s="114"/>
      <c r="AE423" s="114"/>
      <c r="AF423" s="114"/>
      <c r="AG423" s="114"/>
      <c r="AH423" s="114"/>
      <c r="AI423" s="114"/>
      <c r="AJ423" s="114"/>
      <c r="AK423" s="114"/>
      <c r="AL423" s="114"/>
      <c r="AM423" s="114"/>
    </row>
    <row r="424" spans="2:39" ht="25.2" customHeight="1" x14ac:dyDescent="0.3">
      <c r="B424" s="13" t="str">
        <f t="shared" si="10"/>
        <v/>
      </c>
      <c r="C424" s="18"/>
      <c r="D424" s="19" t="str">
        <f>IF(Tabela2[[#This Row],[AGRUPADOR]]&lt;&gt;"",VLOOKUP(Tabela2[[#This Row],[AGRUPADOR]],Tabela1[],2,0),"")</f>
        <v/>
      </c>
      <c r="E424" s="19" t="str">
        <f>IF(Tabela2[[#This Row],[AGRUPADOR]]&lt;&gt;"",VLOOKUP(Tabela2[[#This Row],[AGRUPADOR]],Tabela1[],4,0),"")</f>
        <v/>
      </c>
      <c r="F424" s="14"/>
      <c r="G424" s="6"/>
      <c r="H424" s="6"/>
      <c r="I424" s="25"/>
      <c r="J424" s="7"/>
      <c r="K424" s="15"/>
      <c r="L424" s="379">
        <f>IF(H424&lt;&gt;"",J424*K424,SUMIFS(L425:L$9844,$F425:$F$9844,"*"&amp;F424&amp;"*",$H425:$H$9844,"&lt;&gt;"))</f>
        <v>0</v>
      </c>
      <c r="M424" s="379" t="str">
        <f>IF(Tabela2[[#This Row],[UNID.]]&lt;&gt;"",IFERROR(VLOOKUP(Tabela2[[#This Row],[AGRUPADOR]],Lucratividade!$D$4:$O$129,6,0),0),"")</f>
        <v/>
      </c>
      <c r="N424" s="379">
        <f>IF(H424&lt;&gt;"",J424*M424*I424,SUMIFS(N425:N$9844,$F425:$F$9844,"*"&amp;F424&amp;"*",$H425:$H$9844,"&lt;&gt;"))</f>
        <v>0</v>
      </c>
      <c r="O424" s="162" t="str">
        <f>IFERROR((-Tabela2[[#This Row],[CUSTO TOTAL]]+Tabela2[[#This Row],[VENDA TOTAL]])/Tabela2[[#This Row],[VENDA TOTAL]]-PARAMETROS!$C$19,"")</f>
        <v/>
      </c>
      <c r="AA424" s="219">
        <f>SUM(Plan_Orc[[#This Row],[01/jan]:[01/dez]])</f>
        <v>0</v>
      </c>
      <c r="AB424" s="114"/>
      <c r="AC424" s="114"/>
      <c r="AD424" s="114"/>
      <c r="AE424" s="114"/>
      <c r="AF424" s="114"/>
      <c r="AG424" s="114"/>
      <c r="AH424" s="114"/>
      <c r="AI424" s="114"/>
      <c r="AJ424" s="114"/>
      <c r="AK424" s="114"/>
      <c r="AL424" s="114"/>
      <c r="AM424" s="114"/>
    </row>
    <row r="425" spans="2:39" ht="25.2" customHeight="1" x14ac:dyDescent="0.3">
      <c r="B425" s="13" t="str">
        <f t="shared" si="10"/>
        <v/>
      </c>
      <c r="C425" s="18"/>
      <c r="D425" s="19" t="str">
        <f>IF(Tabela2[[#This Row],[AGRUPADOR]]&lt;&gt;"",VLOOKUP(Tabela2[[#This Row],[AGRUPADOR]],Tabela1[],2,0),"")</f>
        <v/>
      </c>
      <c r="E425" s="19" t="str">
        <f>IF(Tabela2[[#This Row],[AGRUPADOR]]&lt;&gt;"",VLOOKUP(Tabela2[[#This Row],[AGRUPADOR]],Tabela1[],4,0),"")</f>
        <v/>
      </c>
      <c r="F425" s="14"/>
      <c r="G425" s="6"/>
      <c r="H425" s="6"/>
      <c r="I425" s="25"/>
      <c r="J425" s="7"/>
      <c r="K425" s="15"/>
      <c r="L425" s="379">
        <f>IF(H425&lt;&gt;"",J425*K425,SUMIFS(L426:L$9844,$F426:$F$9844,"*"&amp;F425&amp;"*",$H426:$H$9844,"&lt;&gt;"))</f>
        <v>0</v>
      </c>
      <c r="M425" s="379" t="str">
        <f>IF(Tabela2[[#This Row],[UNID.]]&lt;&gt;"",IFERROR(VLOOKUP(Tabela2[[#This Row],[AGRUPADOR]],Lucratividade!$D$4:$O$129,6,0),0),"")</f>
        <v/>
      </c>
      <c r="N425" s="379">
        <f>IF(H425&lt;&gt;"",J425*M425*I425,SUMIFS(N426:N$9844,$F426:$F$9844,"*"&amp;F425&amp;"*",$H426:$H$9844,"&lt;&gt;"))</f>
        <v>0</v>
      </c>
      <c r="O425" s="162" t="str">
        <f>IFERROR((-Tabela2[[#This Row],[CUSTO TOTAL]]+Tabela2[[#This Row],[VENDA TOTAL]])/Tabela2[[#This Row],[VENDA TOTAL]]-PARAMETROS!$C$19,"")</f>
        <v/>
      </c>
      <c r="AA425" s="219">
        <f>SUM(Plan_Orc[[#This Row],[01/jan]:[01/dez]])</f>
        <v>0</v>
      </c>
      <c r="AB425" s="114"/>
      <c r="AC425" s="114"/>
      <c r="AD425" s="114"/>
      <c r="AE425" s="114"/>
      <c r="AF425" s="114"/>
      <c r="AG425" s="114"/>
      <c r="AH425" s="114"/>
      <c r="AI425" s="114"/>
      <c r="AJ425" s="114"/>
      <c r="AK425" s="114"/>
      <c r="AL425" s="114"/>
      <c r="AM425" s="114"/>
    </row>
    <row r="426" spans="2:39" ht="25.2" customHeight="1" x14ac:dyDescent="0.3">
      <c r="B426" s="13" t="str">
        <f t="shared" si="10"/>
        <v/>
      </c>
      <c r="C426" s="18"/>
      <c r="D426" s="19" t="str">
        <f>IF(Tabela2[[#This Row],[AGRUPADOR]]&lt;&gt;"",VLOOKUP(Tabela2[[#This Row],[AGRUPADOR]],Tabela1[],2,0),"")</f>
        <v/>
      </c>
      <c r="E426" s="19" t="str">
        <f>IF(Tabela2[[#This Row],[AGRUPADOR]]&lt;&gt;"",VLOOKUP(Tabela2[[#This Row],[AGRUPADOR]],Tabela1[],4,0),"")</f>
        <v/>
      </c>
      <c r="F426" s="14"/>
      <c r="G426" s="6"/>
      <c r="H426" s="6"/>
      <c r="I426" s="25"/>
      <c r="J426" s="7"/>
      <c r="K426" s="15"/>
      <c r="L426" s="379">
        <f>IF(H426&lt;&gt;"",J426*K426,SUMIFS(L427:L$9844,$F427:$F$9844,"*"&amp;F426&amp;"*",$H427:$H$9844,"&lt;&gt;"))</f>
        <v>0</v>
      </c>
      <c r="M426" s="379" t="str">
        <f>IF(Tabela2[[#This Row],[UNID.]]&lt;&gt;"",IFERROR(VLOOKUP(Tabela2[[#This Row],[AGRUPADOR]],Lucratividade!$D$4:$O$129,6,0),0),"")</f>
        <v/>
      </c>
      <c r="N426" s="379">
        <f>IF(H426&lt;&gt;"",J426*M426*I426,SUMIFS(N427:N$9844,$F427:$F$9844,"*"&amp;F426&amp;"*",$H427:$H$9844,"&lt;&gt;"))</f>
        <v>0</v>
      </c>
      <c r="O426" s="162" t="str">
        <f>IFERROR((-Tabela2[[#This Row],[CUSTO TOTAL]]+Tabela2[[#This Row],[VENDA TOTAL]])/Tabela2[[#This Row],[VENDA TOTAL]]-PARAMETROS!$C$19,"")</f>
        <v/>
      </c>
      <c r="AA426" s="219">
        <f>SUM(Plan_Orc[[#This Row],[01/jan]:[01/dez]])</f>
        <v>0</v>
      </c>
      <c r="AB426" s="114"/>
      <c r="AC426" s="114"/>
      <c r="AD426" s="114"/>
      <c r="AE426" s="114"/>
      <c r="AF426" s="114"/>
      <c r="AG426" s="114"/>
      <c r="AH426" s="114"/>
      <c r="AI426" s="114"/>
      <c r="AJ426" s="114"/>
      <c r="AK426" s="114"/>
      <c r="AL426" s="114"/>
      <c r="AM426" s="114"/>
    </row>
    <row r="427" spans="2:39" ht="25.2" customHeight="1" x14ac:dyDescent="0.3">
      <c r="B427" s="13" t="str">
        <f t="shared" si="10"/>
        <v/>
      </c>
      <c r="C427" s="18"/>
      <c r="D427" s="19" t="str">
        <f>IF(Tabela2[[#This Row],[AGRUPADOR]]&lt;&gt;"",VLOOKUP(Tabela2[[#This Row],[AGRUPADOR]],Tabela1[],2,0),"")</f>
        <v/>
      </c>
      <c r="E427" s="19" t="str">
        <f>IF(Tabela2[[#This Row],[AGRUPADOR]]&lt;&gt;"",VLOOKUP(Tabela2[[#This Row],[AGRUPADOR]],Tabela1[],4,0),"")</f>
        <v/>
      </c>
      <c r="F427" s="14"/>
      <c r="G427" s="6"/>
      <c r="H427" s="6"/>
      <c r="I427" s="25"/>
      <c r="J427" s="7"/>
      <c r="K427" s="15"/>
      <c r="L427" s="379">
        <f>IF(H427&lt;&gt;"",J427*K427,SUMIFS(L428:L$9844,$F428:$F$9844,"*"&amp;F427&amp;"*",$H428:$H$9844,"&lt;&gt;"))</f>
        <v>0</v>
      </c>
      <c r="M427" s="379" t="str">
        <f>IF(Tabela2[[#This Row],[UNID.]]&lt;&gt;"",IFERROR(VLOOKUP(Tabela2[[#This Row],[AGRUPADOR]],Lucratividade!$D$4:$O$129,6,0),0),"")</f>
        <v/>
      </c>
      <c r="N427" s="379">
        <f>IF(H427&lt;&gt;"",J427*M427*I427,SUMIFS(N428:N$9844,$F428:$F$9844,"*"&amp;F427&amp;"*",$H428:$H$9844,"&lt;&gt;"))</f>
        <v>0</v>
      </c>
      <c r="O427" s="162" t="str">
        <f>IFERROR((-Tabela2[[#This Row],[CUSTO TOTAL]]+Tabela2[[#This Row],[VENDA TOTAL]])/Tabela2[[#This Row],[VENDA TOTAL]]-PARAMETROS!$C$19,"")</f>
        <v/>
      </c>
      <c r="AA427" s="219">
        <f>SUM(Plan_Orc[[#This Row],[01/jan]:[01/dez]])</f>
        <v>0</v>
      </c>
      <c r="AB427" s="114"/>
      <c r="AC427" s="114"/>
      <c r="AD427" s="114"/>
      <c r="AE427" s="114"/>
      <c r="AF427" s="114"/>
      <c r="AG427" s="114"/>
      <c r="AH427" s="114"/>
      <c r="AI427" s="114"/>
      <c r="AJ427" s="114"/>
      <c r="AK427" s="114"/>
      <c r="AL427" s="114"/>
      <c r="AM427" s="114"/>
    </row>
    <row r="428" spans="2:39" ht="25.2" customHeight="1" x14ac:dyDescent="0.3">
      <c r="B428" s="13" t="str">
        <f t="shared" si="10"/>
        <v/>
      </c>
      <c r="C428" s="18"/>
      <c r="D428" s="19" t="str">
        <f>IF(Tabela2[[#This Row],[AGRUPADOR]]&lt;&gt;"",VLOOKUP(Tabela2[[#This Row],[AGRUPADOR]],Tabela1[],2,0),"")</f>
        <v/>
      </c>
      <c r="E428" s="19" t="str">
        <f>IF(Tabela2[[#This Row],[AGRUPADOR]]&lt;&gt;"",VLOOKUP(Tabela2[[#This Row],[AGRUPADOR]],Tabela1[],4,0),"")</f>
        <v/>
      </c>
      <c r="F428" s="14"/>
      <c r="G428" s="6"/>
      <c r="H428" s="6"/>
      <c r="I428" s="25"/>
      <c r="J428" s="7"/>
      <c r="K428" s="15"/>
      <c r="L428" s="379">
        <f>IF(H428&lt;&gt;"",J428*K428,SUMIFS(L429:L$9844,$F429:$F$9844,"*"&amp;F428&amp;"*",$H429:$H$9844,"&lt;&gt;"))</f>
        <v>0</v>
      </c>
      <c r="M428" s="379" t="str">
        <f>IF(Tabela2[[#This Row],[UNID.]]&lt;&gt;"",IFERROR(VLOOKUP(Tabela2[[#This Row],[AGRUPADOR]],Lucratividade!$D$4:$O$129,6,0),0),"")</f>
        <v/>
      </c>
      <c r="N428" s="379">
        <f>IF(H428&lt;&gt;"",J428*M428*I428,SUMIFS(N429:N$9844,$F429:$F$9844,"*"&amp;F428&amp;"*",$H429:$H$9844,"&lt;&gt;"))</f>
        <v>0</v>
      </c>
      <c r="O428" s="162" t="str">
        <f>IFERROR((-Tabela2[[#This Row],[CUSTO TOTAL]]+Tabela2[[#This Row],[VENDA TOTAL]])/Tabela2[[#This Row],[VENDA TOTAL]]-PARAMETROS!$C$19,"")</f>
        <v/>
      </c>
      <c r="AA428" s="218">
        <f>SUM(Plan_Orc[[#This Row],[01/jan]:[01/dez]])</f>
        <v>0</v>
      </c>
      <c r="AB428" s="113"/>
      <c r="AC428" s="113"/>
      <c r="AD428" s="113"/>
      <c r="AE428" s="113"/>
      <c r="AF428" s="113"/>
      <c r="AG428" s="113"/>
      <c r="AH428" s="113"/>
      <c r="AI428" s="113"/>
      <c r="AJ428" s="113"/>
      <c r="AK428" s="113"/>
      <c r="AL428" s="113"/>
      <c r="AM428" s="113"/>
    </row>
    <row r="429" spans="2:39" ht="25.2" customHeight="1" x14ac:dyDescent="0.3">
      <c r="B429" s="13" t="str">
        <f t="shared" si="10"/>
        <v/>
      </c>
      <c r="C429" s="18"/>
      <c r="D429" s="19" t="str">
        <f>IF(Tabela2[[#This Row],[AGRUPADOR]]&lt;&gt;"",VLOOKUP(Tabela2[[#This Row],[AGRUPADOR]],Tabela1[],2,0),"")</f>
        <v/>
      </c>
      <c r="E429" s="19" t="str">
        <f>IF(Tabela2[[#This Row],[AGRUPADOR]]&lt;&gt;"",VLOOKUP(Tabela2[[#This Row],[AGRUPADOR]],Tabela1[],4,0),"")</f>
        <v/>
      </c>
      <c r="F429" s="14"/>
      <c r="G429" s="6"/>
      <c r="H429" s="6"/>
      <c r="I429" s="25"/>
      <c r="J429" s="7"/>
      <c r="K429" s="15"/>
      <c r="L429" s="379">
        <f>IF(H429&lt;&gt;"",J429*K429,SUMIFS(L430:L$9844,$F430:$F$9844,"*"&amp;F429&amp;"*",$H430:$H$9844,"&lt;&gt;"))</f>
        <v>0</v>
      </c>
      <c r="M429" s="379" t="str">
        <f>IF(Tabela2[[#This Row],[UNID.]]&lt;&gt;"",IFERROR(VLOOKUP(Tabela2[[#This Row],[AGRUPADOR]],Lucratividade!$D$4:$O$129,6,0),0),"")</f>
        <v/>
      </c>
      <c r="N429" s="379">
        <f>IF(H429&lt;&gt;"",J429*M429*I429,SUMIFS(N430:N$9844,$F430:$F$9844,"*"&amp;F429&amp;"*",$H430:$H$9844,"&lt;&gt;"))</f>
        <v>0</v>
      </c>
      <c r="O429" s="162" t="str">
        <f>IFERROR((-Tabela2[[#This Row],[CUSTO TOTAL]]+Tabela2[[#This Row],[VENDA TOTAL]])/Tabela2[[#This Row],[VENDA TOTAL]]-PARAMETROS!$C$19,"")</f>
        <v/>
      </c>
      <c r="AA429" s="219">
        <f>SUM(Plan_Orc[[#This Row],[01/jan]:[01/dez]])</f>
        <v>0</v>
      </c>
      <c r="AB429" s="114"/>
      <c r="AC429" s="114"/>
      <c r="AD429" s="114"/>
      <c r="AE429" s="114"/>
      <c r="AF429" s="114"/>
      <c r="AG429" s="114"/>
      <c r="AH429" s="114"/>
      <c r="AI429" s="114"/>
      <c r="AJ429" s="114"/>
      <c r="AK429" s="114"/>
      <c r="AL429" s="114"/>
      <c r="AM429" s="114"/>
    </row>
    <row r="430" spans="2:39" ht="25.2" customHeight="1" x14ac:dyDescent="0.3">
      <c r="B430" s="13" t="str">
        <f t="shared" si="10"/>
        <v/>
      </c>
      <c r="C430" s="18"/>
      <c r="D430" s="19" t="str">
        <f>IF(Tabela2[[#This Row],[AGRUPADOR]]&lt;&gt;"",VLOOKUP(Tabela2[[#This Row],[AGRUPADOR]],Tabela1[],2,0),"")</f>
        <v/>
      </c>
      <c r="E430" s="19" t="str">
        <f>IF(Tabela2[[#This Row],[AGRUPADOR]]&lt;&gt;"",VLOOKUP(Tabela2[[#This Row],[AGRUPADOR]],Tabela1[],4,0),"")</f>
        <v/>
      </c>
      <c r="F430" s="14"/>
      <c r="G430" s="6"/>
      <c r="H430" s="6"/>
      <c r="I430" s="25"/>
      <c r="J430" s="7"/>
      <c r="K430" s="15"/>
      <c r="L430" s="379">
        <f>IF(H430&lt;&gt;"",J430*K430,SUMIFS(L431:L$9844,$F431:$F$9844,"*"&amp;F430&amp;"*",$H431:$H$9844,"&lt;&gt;"))</f>
        <v>0</v>
      </c>
      <c r="M430" s="379" t="str">
        <f>IF(Tabela2[[#This Row],[UNID.]]&lt;&gt;"",IFERROR(VLOOKUP(Tabela2[[#This Row],[AGRUPADOR]],Lucratividade!$D$4:$O$129,6,0),0),"")</f>
        <v/>
      </c>
      <c r="N430" s="379">
        <f>IF(H430&lt;&gt;"",J430*M430*I430,SUMIFS(N431:N$9844,$F431:$F$9844,"*"&amp;F430&amp;"*",$H431:$H$9844,"&lt;&gt;"))</f>
        <v>0</v>
      </c>
      <c r="O430" s="162" t="str">
        <f>IFERROR((-Tabela2[[#This Row],[CUSTO TOTAL]]+Tabela2[[#This Row],[VENDA TOTAL]])/Tabela2[[#This Row],[VENDA TOTAL]]-PARAMETROS!$C$19,"")</f>
        <v/>
      </c>
      <c r="AA430" s="219">
        <f>SUM(Plan_Orc[[#This Row],[01/jan]:[01/dez]])</f>
        <v>0</v>
      </c>
      <c r="AB430" s="114"/>
      <c r="AC430" s="114"/>
      <c r="AD430" s="114"/>
      <c r="AE430" s="114"/>
      <c r="AF430" s="114"/>
      <c r="AG430" s="114"/>
      <c r="AH430" s="114"/>
      <c r="AI430" s="114"/>
      <c r="AJ430" s="114"/>
      <c r="AK430" s="114"/>
      <c r="AL430" s="114"/>
      <c r="AM430" s="114"/>
    </row>
    <row r="431" spans="2:39" ht="25.2" customHeight="1" x14ac:dyDescent="0.3">
      <c r="B431" s="13" t="str">
        <f t="shared" si="10"/>
        <v/>
      </c>
      <c r="C431" s="18"/>
      <c r="D431" s="19" t="str">
        <f>IF(Tabela2[[#This Row],[AGRUPADOR]]&lt;&gt;"",VLOOKUP(Tabela2[[#This Row],[AGRUPADOR]],Tabela1[],2,0),"")</f>
        <v/>
      </c>
      <c r="E431" s="19" t="str">
        <f>IF(Tabela2[[#This Row],[AGRUPADOR]]&lt;&gt;"",VLOOKUP(Tabela2[[#This Row],[AGRUPADOR]],Tabela1[],4,0),"")</f>
        <v/>
      </c>
      <c r="F431" s="14"/>
      <c r="G431" s="6"/>
      <c r="H431" s="6"/>
      <c r="I431" s="25"/>
      <c r="J431" s="7"/>
      <c r="K431" s="15"/>
      <c r="L431" s="379">
        <f>IF(H431&lt;&gt;"",J431*K431,SUMIFS(L432:L$9844,$F432:$F$9844,"*"&amp;F431&amp;"*",$H432:$H$9844,"&lt;&gt;"))</f>
        <v>0</v>
      </c>
      <c r="M431" s="379" t="str">
        <f>IF(Tabela2[[#This Row],[UNID.]]&lt;&gt;"",IFERROR(VLOOKUP(Tabela2[[#This Row],[AGRUPADOR]],Lucratividade!$D$4:$O$129,6,0),0),"")</f>
        <v/>
      </c>
      <c r="N431" s="379">
        <f>IF(H431&lt;&gt;"",J431*M431*I431,SUMIFS(N432:N$9844,$F432:$F$9844,"*"&amp;F431&amp;"*",$H432:$H$9844,"&lt;&gt;"))</f>
        <v>0</v>
      </c>
      <c r="O431" s="162" t="str">
        <f>IFERROR((-Tabela2[[#This Row],[CUSTO TOTAL]]+Tabela2[[#This Row],[VENDA TOTAL]])/Tabela2[[#This Row],[VENDA TOTAL]]-PARAMETROS!$C$19,"")</f>
        <v/>
      </c>
      <c r="AA431" s="219">
        <f>SUM(Plan_Orc[[#This Row],[01/jan]:[01/dez]])</f>
        <v>0</v>
      </c>
      <c r="AB431" s="114"/>
      <c r="AC431" s="114"/>
      <c r="AD431" s="114"/>
      <c r="AE431" s="114"/>
      <c r="AF431" s="114"/>
      <c r="AG431" s="114"/>
      <c r="AH431" s="114"/>
      <c r="AI431" s="114"/>
      <c r="AJ431" s="114"/>
      <c r="AK431" s="114"/>
      <c r="AL431" s="114"/>
      <c r="AM431" s="114"/>
    </row>
    <row r="432" spans="2:39" ht="25.2" customHeight="1" x14ac:dyDescent="0.3">
      <c r="B432" s="13" t="str">
        <f t="shared" si="10"/>
        <v/>
      </c>
      <c r="C432" s="18"/>
      <c r="D432" s="19" t="str">
        <f>IF(Tabela2[[#This Row],[AGRUPADOR]]&lt;&gt;"",VLOOKUP(Tabela2[[#This Row],[AGRUPADOR]],Tabela1[],2,0),"")</f>
        <v/>
      </c>
      <c r="E432" s="19" t="str">
        <f>IF(Tabela2[[#This Row],[AGRUPADOR]]&lt;&gt;"",VLOOKUP(Tabela2[[#This Row],[AGRUPADOR]],Tabela1[],4,0),"")</f>
        <v/>
      </c>
      <c r="F432" s="14"/>
      <c r="G432" s="6"/>
      <c r="H432" s="6"/>
      <c r="I432" s="25"/>
      <c r="J432" s="7"/>
      <c r="K432" s="15"/>
      <c r="L432" s="379">
        <f>IF(H432&lt;&gt;"",J432*K432,SUMIFS(L433:L$9844,$F433:$F$9844,"*"&amp;F432&amp;"*",$H433:$H$9844,"&lt;&gt;"))</f>
        <v>0</v>
      </c>
      <c r="M432" s="379" t="str">
        <f>IF(Tabela2[[#This Row],[UNID.]]&lt;&gt;"",IFERROR(VLOOKUP(Tabela2[[#This Row],[AGRUPADOR]],Lucratividade!$D$4:$O$129,6,0),0),"")</f>
        <v/>
      </c>
      <c r="N432" s="379">
        <f>IF(H432&lt;&gt;"",J432*M432*I432,SUMIFS(N433:N$9844,$F433:$F$9844,"*"&amp;F432&amp;"*",$H433:$H$9844,"&lt;&gt;"))</f>
        <v>0</v>
      </c>
      <c r="O432" s="162" t="str">
        <f>IFERROR((-Tabela2[[#This Row],[CUSTO TOTAL]]+Tabela2[[#This Row],[VENDA TOTAL]])/Tabela2[[#This Row],[VENDA TOTAL]]-PARAMETROS!$C$19,"")</f>
        <v/>
      </c>
      <c r="AA432" s="219">
        <f>SUM(Plan_Orc[[#This Row],[01/jan]:[01/dez]])</f>
        <v>0</v>
      </c>
      <c r="AB432" s="114"/>
      <c r="AC432" s="114"/>
      <c r="AD432" s="114"/>
      <c r="AE432" s="114"/>
      <c r="AF432" s="114"/>
      <c r="AG432" s="114"/>
      <c r="AH432" s="114"/>
      <c r="AI432" s="114"/>
      <c r="AJ432" s="114"/>
      <c r="AK432" s="114"/>
      <c r="AL432" s="114"/>
      <c r="AM432" s="114"/>
    </row>
    <row r="433" spans="2:39" ht="25.2" customHeight="1" x14ac:dyDescent="0.3">
      <c r="B433" s="13" t="str">
        <f t="shared" si="10"/>
        <v/>
      </c>
      <c r="C433" s="18"/>
      <c r="D433" s="19" t="str">
        <f>IF(Tabela2[[#This Row],[AGRUPADOR]]&lt;&gt;"",VLOOKUP(Tabela2[[#This Row],[AGRUPADOR]],Tabela1[],2,0),"")</f>
        <v/>
      </c>
      <c r="E433" s="19" t="str">
        <f>IF(Tabela2[[#This Row],[AGRUPADOR]]&lt;&gt;"",VLOOKUP(Tabela2[[#This Row],[AGRUPADOR]],Tabela1[],4,0),"")</f>
        <v/>
      </c>
      <c r="F433" s="14"/>
      <c r="G433" s="6"/>
      <c r="H433" s="6"/>
      <c r="I433" s="25"/>
      <c r="J433" s="7"/>
      <c r="K433" s="15"/>
      <c r="L433" s="379">
        <f>IF(H433&lt;&gt;"",J433*K433,SUMIFS(L434:L$9844,$F434:$F$9844,"*"&amp;F433&amp;"*",$H434:$H$9844,"&lt;&gt;"))</f>
        <v>0</v>
      </c>
      <c r="M433" s="379" t="str">
        <f>IF(Tabela2[[#This Row],[UNID.]]&lt;&gt;"",IFERROR(VLOOKUP(Tabela2[[#This Row],[AGRUPADOR]],Lucratividade!$D$4:$O$129,6,0),0),"")</f>
        <v/>
      </c>
      <c r="N433" s="379">
        <f>IF(H433&lt;&gt;"",J433*M433*I433,SUMIFS(N434:N$9844,$F434:$F$9844,"*"&amp;F433&amp;"*",$H434:$H$9844,"&lt;&gt;"))</f>
        <v>0</v>
      </c>
      <c r="O433" s="162" t="str">
        <f>IFERROR((-Tabela2[[#This Row],[CUSTO TOTAL]]+Tabela2[[#This Row],[VENDA TOTAL]])/Tabela2[[#This Row],[VENDA TOTAL]]-PARAMETROS!$C$19,"")</f>
        <v/>
      </c>
      <c r="AA433" s="219">
        <f>SUM(Plan_Orc[[#This Row],[01/jan]:[01/dez]])</f>
        <v>0</v>
      </c>
      <c r="AB433" s="114"/>
      <c r="AC433" s="114"/>
      <c r="AD433" s="114"/>
      <c r="AE433" s="114"/>
      <c r="AF433" s="114"/>
      <c r="AG433" s="114"/>
      <c r="AH433" s="114"/>
      <c r="AI433" s="114"/>
      <c r="AJ433" s="114"/>
      <c r="AK433" s="114"/>
      <c r="AL433" s="114"/>
      <c r="AM433" s="114"/>
    </row>
    <row r="434" spans="2:39" ht="25.2" customHeight="1" x14ac:dyDescent="0.3">
      <c r="B434" s="13" t="str">
        <f t="shared" si="10"/>
        <v/>
      </c>
      <c r="C434" s="18"/>
      <c r="D434" s="19" t="str">
        <f>IF(Tabela2[[#This Row],[AGRUPADOR]]&lt;&gt;"",VLOOKUP(Tabela2[[#This Row],[AGRUPADOR]],Tabela1[],2,0),"")</f>
        <v/>
      </c>
      <c r="E434" s="19" t="str">
        <f>IF(Tabela2[[#This Row],[AGRUPADOR]]&lt;&gt;"",VLOOKUP(Tabela2[[#This Row],[AGRUPADOR]],Tabela1[],4,0),"")</f>
        <v/>
      </c>
      <c r="F434" s="14"/>
      <c r="G434" s="6"/>
      <c r="H434" s="6"/>
      <c r="I434" s="25"/>
      <c r="J434" s="7"/>
      <c r="K434" s="15"/>
      <c r="L434" s="379">
        <f>IF(H434&lt;&gt;"",J434*K434,SUMIFS(L435:L$9844,$F435:$F$9844,"*"&amp;F434&amp;"*",$H435:$H$9844,"&lt;&gt;"))</f>
        <v>0</v>
      </c>
      <c r="M434" s="379" t="str">
        <f>IF(Tabela2[[#This Row],[UNID.]]&lt;&gt;"",IFERROR(VLOOKUP(Tabela2[[#This Row],[AGRUPADOR]],Lucratividade!$D$4:$O$129,6,0),0),"")</f>
        <v/>
      </c>
      <c r="N434" s="379">
        <f>IF(H434&lt;&gt;"",J434*M434*I434,SUMIFS(N435:N$9844,$F435:$F$9844,"*"&amp;F434&amp;"*",$H435:$H$9844,"&lt;&gt;"))</f>
        <v>0</v>
      </c>
      <c r="O434" s="162" t="str">
        <f>IFERROR((-Tabela2[[#This Row],[CUSTO TOTAL]]+Tabela2[[#This Row],[VENDA TOTAL]])/Tabela2[[#This Row],[VENDA TOTAL]]-PARAMETROS!$C$19,"")</f>
        <v/>
      </c>
      <c r="AA434" s="219">
        <f>SUM(Plan_Orc[[#This Row],[01/jan]:[01/dez]])</f>
        <v>0</v>
      </c>
      <c r="AB434" s="114"/>
      <c r="AC434" s="114"/>
      <c r="AD434" s="114"/>
      <c r="AE434" s="114"/>
      <c r="AF434" s="114"/>
      <c r="AG434" s="114"/>
      <c r="AH434" s="114"/>
      <c r="AI434" s="114"/>
      <c r="AJ434" s="114"/>
      <c r="AK434" s="114"/>
      <c r="AL434" s="114"/>
      <c r="AM434" s="114"/>
    </row>
    <row r="435" spans="2:39" ht="25.2" customHeight="1" x14ac:dyDescent="0.3">
      <c r="B435" s="13" t="str">
        <f t="shared" si="10"/>
        <v/>
      </c>
      <c r="C435" s="18"/>
      <c r="D435" s="19" t="str">
        <f>IF(Tabela2[[#This Row],[AGRUPADOR]]&lt;&gt;"",VLOOKUP(Tabela2[[#This Row],[AGRUPADOR]],Tabela1[],2,0),"")</f>
        <v/>
      </c>
      <c r="E435" s="19" t="str">
        <f>IF(Tabela2[[#This Row],[AGRUPADOR]]&lt;&gt;"",VLOOKUP(Tabela2[[#This Row],[AGRUPADOR]],Tabela1[],4,0),"")</f>
        <v/>
      </c>
      <c r="F435" s="14"/>
      <c r="G435" s="6"/>
      <c r="H435" s="6"/>
      <c r="I435" s="25"/>
      <c r="J435" s="7"/>
      <c r="K435" s="15"/>
      <c r="L435" s="379">
        <f>IF(H435&lt;&gt;"",J435*K435,SUMIFS(L436:L$9844,$F436:$F$9844,"*"&amp;F435&amp;"*",$H436:$H$9844,"&lt;&gt;"))</f>
        <v>0</v>
      </c>
      <c r="M435" s="379" t="str">
        <f>IF(Tabela2[[#This Row],[UNID.]]&lt;&gt;"",IFERROR(VLOOKUP(Tabela2[[#This Row],[AGRUPADOR]],Lucratividade!$D$4:$O$129,6,0),0),"")</f>
        <v/>
      </c>
      <c r="N435" s="379">
        <f>IF(H435&lt;&gt;"",J435*M435*I435,SUMIFS(N436:N$9844,$F436:$F$9844,"*"&amp;F435&amp;"*",$H436:$H$9844,"&lt;&gt;"))</f>
        <v>0</v>
      </c>
      <c r="O435" s="162" t="str">
        <f>IFERROR((-Tabela2[[#This Row],[CUSTO TOTAL]]+Tabela2[[#This Row],[VENDA TOTAL]])/Tabela2[[#This Row],[VENDA TOTAL]]-PARAMETROS!$C$19,"")</f>
        <v/>
      </c>
      <c r="AA435" s="219">
        <f>SUM(Plan_Orc[[#This Row],[01/jan]:[01/dez]])</f>
        <v>0</v>
      </c>
      <c r="AB435" s="114"/>
      <c r="AC435" s="114"/>
      <c r="AD435" s="114"/>
      <c r="AE435" s="114"/>
      <c r="AF435" s="114"/>
      <c r="AG435" s="114"/>
      <c r="AH435" s="114"/>
      <c r="AI435" s="114"/>
      <c r="AJ435" s="114"/>
      <c r="AK435" s="114"/>
      <c r="AL435" s="114"/>
      <c r="AM435" s="114"/>
    </row>
    <row r="436" spans="2:39" ht="25.2" customHeight="1" x14ac:dyDescent="0.3">
      <c r="B436" s="13" t="str">
        <f t="shared" si="10"/>
        <v/>
      </c>
      <c r="C436" s="18"/>
      <c r="D436" s="19" t="str">
        <f>IF(Tabela2[[#This Row],[AGRUPADOR]]&lt;&gt;"",VLOOKUP(Tabela2[[#This Row],[AGRUPADOR]],Tabela1[],2,0),"")</f>
        <v/>
      </c>
      <c r="E436" s="19" t="str">
        <f>IF(Tabela2[[#This Row],[AGRUPADOR]]&lt;&gt;"",VLOOKUP(Tabela2[[#This Row],[AGRUPADOR]],Tabela1[],4,0),"")</f>
        <v/>
      </c>
      <c r="F436" s="14"/>
      <c r="G436" s="6"/>
      <c r="H436" s="6"/>
      <c r="I436" s="25"/>
      <c r="J436" s="7"/>
      <c r="K436" s="15"/>
      <c r="L436" s="379">
        <f>IF(H436&lt;&gt;"",J436*K436,SUMIFS(L437:L$9844,$F437:$F$9844,"*"&amp;F436&amp;"*",$H437:$H$9844,"&lt;&gt;"))</f>
        <v>0</v>
      </c>
      <c r="M436" s="379" t="str">
        <f>IF(Tabela2[[#This Row],[UNID.]]&lt;&gt;"",IFERROR(VLOOKUP(Tabela2[[#This Row],[AGRUPADOR]],Lucratividade!$D$4:$O$129,6,0),0),"")</f>
        <v/>
      </c>
      <c r="N436" s="379">
        <f>IF(H436&lt;&gt;"",J436*M436*I436,SUMIFS(N437:N$9844,$F437:$F$9844,"*"&amp;F436&amp;"*",$H437:$H$9844,"&lt;&gt;"))</f>
        <v>0</v>
      </c>
      <c r="O436" s="162" t="str">
        <f>IFERROR((-Tabela2[[#This Row],[CUSTO TOTAL]]+Tabela2[[#This Row],[VENDA TOTAL]])/Tabela2[[#This Row],[VENDA TOTAL]]-PARAMETROS!$C$19,"")</f>
        <v/>
      </c>
      <c r="AA436" s="219">
        <f>SUM(Plan_Orc[[#This Row],[01/jan]:[01/dez]])</f>
        <v>0</v>
      </c>
      <c r="AB436" s="114"/>
      <c r="AC436" s="114"/>
      <c r="AD436" s="114"/>
      <c r="AE436" s="114"/>
      <c r="AF436" s="114"/>
      <c r="AG436" s="114"/>
      <c r="AH436" s="114"/>
      <c r="AI436" s="114"/>
      <c r="AJ436" s="114"/>
      <c r="AK436" s="114"/>
      <c r="AL436" s="114"/>
      <c r="AM436" s="114"/>
    </row>
    <row r="437" spans="2:39" ht="25.2" customHeight="1" x14ac:dyDescent="0.3">
      <c r="B437" s="13" t="str">
        <f t="shared" si="10"/>
        <v/>
      </c>
      <c r="C437" s="18"/>
      <c r="D437" s="19" t="str">
        <f>IF(Tabela2[[#This Row],[AGRUPADOR]]&lt;&gt;"",VLOOKUP(Tabela2[[#This Row],[AGRUPADOR]],Tabela1[],2,0),"")</f>
        <v/>
      </c>
      <c r="E437" s="19" t="str">
        <f>IF(Tabela2[[#This Row],[AGRUPADOR]]&lt;&gt;"",VLOOKUP(Tabela2[[#This Row],[AGRUPADOR]],Tabela1[],4,0),"")</f>
        <v/>
      </c>
      <c r="F437" s="14"/>
      <c r="G437" s="6"/>
      <c r="H437" s="6"/>
      <c r="I437" s="25"/>
      <c r="J437" s="7"/>
      <c r="K437" s="15"/>
      <c r="L437" s="379">
        <f>IF(H437&lt;&gt;"",J437*K437,SUMIFS(L438:L$9844,$F438:$F$9844,"*"&amp;F437&amp;"*",$H438:$H$9844,"&lt;&gt;"))</f>
        <v>0</v>
      </c>
      <c r="M437" s="379" t="str">
        <f>IF(Tabela2[[#This Row],[UNID.]]&lt;&gt;"",IFERROR(VLOOKUP(Tabela2[[#This Row],[AGRUPADOR]],Lucratividade!$D$4:$O$129,6,0),0),"")</f>
        <v/>
      </c>
      <c r="N437" s="379">
        <f>IF(H437&lt;&gt;"",J437*M437*I437,SUMIFS(N438:N$9844,$F438:$F$9844,"*"&amp;F437&amp;"*",$H438:$H$9844,"&lt;&gt;"))</f>
        <v>0</v>
      </c>
      <c r="O437" s="162" t="str">
        <f>IFERROR((-Tabela2[[#This Row],[CUSTO TOTAL]]+Tabela2[[#This Row],[VENDA TOTAL]])/Tabela2[[#This Row],[VENDA TOTAL]]-PARAMETROS!$C$19,"")</f>
        <v/>
      </c>
      <c r="AA437" s="219">
        <f>SUM(Plan_Orc[[#This Row],[01/jan]:[01/dez]])</f>
        <v>0</v>
      </c>
      <c r="AB437" s="114"/>
      <c r="AC437" s="114"/>
      <c r="AD437" s="114"/>
      <c r="AE437" s="114"/>
      <c r="AF437" s="114"/>
      <c r="AG437" s="114"/>
      <c r="AH437" s="114"/>
      <c r="AI437" s="114"/>
      <c r="AJ437" s="114"/>
      <c r="AK437" s="114"/>
      <c r="AL437" s="114"/>
      <c r="AM437" s="114"/>
    </row>
    <row r="438" spans="2:39" ht="25.2" customHeight="1" x14ac:dyDescent="0.3">
      <c r="B438" s="13" t="str">
        <f t="shared" si="10"/>
        <v/>
      </c>
      <c r="C438" s="18"/>
      <c r="D438" s="19" t="str">
        <f>IF(Tabela2[[#This Row],[AGRUPADOR]]&lt;&gt;"",VLOOKUP(Tabela2[[#This Row],[AGRUPADOR]],Tabela1[],2,0),"")</f>
        <v/>
      </c>
      <c r="E438" s="19" t="str">
        <f>IF(Tabela2[[#This Row],[AGRUPADOR]]&lt;&gt;"",VLOOKUP(Tabela2[[#This Row],[AGRUPADOR]],Tabela1[],4,0),"")</f>
        <v/>
      </c>
      <c r="F438" s="14"/>
      <c r="G438" s="6"/>
      <c r="H438" s="6"/>
      <c r="I438" s="25"/>
      <c r="J438" s="7"/>
      <c r="K438" s="15"/>
      <c r="L438" s="379">
        <f>IF(H438&lt;&gt;"",J438*K438,SUMIFS(L439:L$9844,$F439:$F$9844,"*"&amp;F438&amp;"*",$H439:$H$9844,"&lt;&gt;"))</f>
        <v>0</v>
      </c>
      <c r="M438" s="379" t="str">
        <f>IF(Tabela2[[#This Row],[UNID.]]&lt;&gt;"",IFERROR(VLOOKUP(Tabela2[[#This Row],[AGRUPADOR]],Lucratividade!$D$4:$O$129,6,0),0),"")</f>
        <v/>
      </c>
      <c r="N438" s="379">
        <f>IF(H438&lt;&gt;"",J438*M438*I438,SUMIFS(N439:N$9844,$F439:$F$9844,"*"&amp;F438&amp;"*",$H439:$H$9844,"&lt;&gt;"))</f>
        <v>0</v>
      </c>
      <c r="O438" s="162" t="str">
        <f>IFERROR((-Tabela2[[#This Row],[CUSTO TOTAL]]+Tabela2[[#This Row],[VENDA TOTAL]])/Tabela2[[#This Row],[VENDA TOTAL]]-PARAMETROS!$C$19,"")</f>
        <v/>
      </c>
      <c r="AA438" s="219">
        <f>SUM(Plan_Orc[[#This Row],[01/jan]:[01/dez]])</f>
        <v>0</v>
      </c>
      <c r="AB438" s="114"/>
      <c r="AC438" s="114"/>
      <c r="AD438" s="114"/>
      <c r="AE438" s="114"/>
      <c r="AF438" s="114"/>
      <c r="AG438" s="114"/>
      <c r="AH438" s="114"/>
      <c r="AI438" s="114"/>
      <c r="AJ438" s="114"/>
      <c r="AK438" s="114"/>
      <c r="AL438" s="114"/>
      <c r="AM438" s="114"/>
    </row>
    <row r="439" spans="2:39" ht="25.2" customHeight="1" x14ac:dyDescent="0.3">
      <c r="B439" s="13" t="str">
        <f t="shared" si="10"/>
        <v/>
      </c>
      <c r="C439" s="18"/>
      <c r="D439" s="19" t="str">
        <f>IF(Tabela2[[#This Row],[AGRUPADOR]]&lt;&gt;"",VLOOKUP(Tabela2[[#This Row],[AGRUPADOR]],Tabela1[],2,0),"")</f>
        <v/>
      </c>
      <c r="E439" s="19" t="str">
        <f>IF(Tabela2[[#This Row],[AGRUPADOR]]&lt;&gt;"",VLOOKUP(Tabela2[[#This Row],[AGRUPADOR]],Tabela1[],4,0),"")</f>
        <v/>
      </c>
      <c r="F439" s="14"/>
      <c r="G439" s="6"/>
      <c r="H439" s="6"/>
      <c r="I439" s="25"/>
      <c r="J439" s="7"/>
      <c r="K439" s="15"/>
      <c r="L439" s="379">
        <f>IF(H439&lt;&gt;"",J439*K439,SUMIFS(L440:L$9844,$F440:$F$9844,"*"&amp;F439&amp;"*",$H440:$H$9844,"&lt;&gt;"))</f>
        <v>0</v>
      </c>
      <c r="M439" s="379" t="str">
        <f>IF(Tabela2[[#This Row],[UNID.]]&lt;&gt;"",IFERROR(VLOOKUP(Tabela2[[#This Row],[AGRUPADOR]],Lucratividade!$D$4:$O$129,6,0),0),"")</f>
        <v/>
      </c>
      <c r="N439" s="379">
        <f>IF(H439&lt;&gt;"",J439*M439*I439,SUMIFS(N440:N$9844,$F440:$F$9844,"*"&amp;F439&amp;"*",$H440:$H$9844,"&lt;&gt;"))</f>
        <v>0</v>
      </c>
      <c r="O439" s="162" t="str">
        <f>IFERROR((-Tabela2[[#This Row],[CUSTO TOTAL]]+Tabela2[[#This Row],[VENDA TOTAL]])/Tabela2[[#This Row],[VENDA TOTAL]]-PARAMETROS!$C$19,"")</f>
        <v/>
      </c>
      <c r="AA439" s="219">
        <f>SUM(Plan_Orc[[#This Row],[01/jan]:[01/dez]])</f>
        <v>0</v>
      </c>
      <c r="AB439" s="114"/>
      <c r="AC439" s="114"/>
      <c r="AD439" s="114"/>
      <c r="AE439" s="114"/>
      <c r="AF439" s="114"/>
      <c r="AG439" s="114"/>
      <c r="AH439" s="114"/>
      <c r="AI439" s="114"/>
      <c r="AJ439" s="114"/>
      <c r="AK439" s="114"/>
      <c r="AL439" s="114"/>
      <c r="AM439" s="114"/>
    </row>
    <row r="440" spans="2:39" ht="25.2" customHeight="1" x14ac:dyDescent="0.3">
      <c r="B440" s="13" t="str">
        <f t="shared" si="10"/>
        <v/>
      </c>
      <c r="C440" s="18"/>
      <c r="D440" s="19" t="str">
        <f>IF(Tabela2[[#This Row],[AGRUPADOR]]&lt;&gt;"",VLOOKUP(Tabela2[[#This Row],[AGRUPADOR]],Tabela1[],2,0),"")</f>
        <v/>
      </c>
      <c r="E440" s="19" t="str">
        <f>IF(Tabela2[[#This Row],[AGRUPADOR]]&lt;&gt;"",VLOOKUP(Tabela2[[#This Row],[AGRUPADOR]],Tabela1[],4,0),"")</f>
        <v/>
      </c>
      <c r="F440" s="14"/>
      <c r="G440" s="6"/>
      <c r="H440" s="6"/>
      <c r="I440" s="25"/>
      <c r="J440" s="7"/>
      <c r="K440" s="15"/>
      <c r="L440" s="379">
        <f>IF(H440&lt;&gt;"",J440*K440,SUMIFS(L441:L$9844,$F441:$F$9844,"*"&amp;F440&amp;"*",$H441:$H$9844,"&lt;&gt;"))</f>
        <v>0</v>
      </c>
      <c r="M440" s="379" t="str">
        <f>IF(Tabela2[[#This Row],[UNID.]]&lt;&gt;"",IFERROR(VLOOKUP(Tabela2[[#This Row],[AGRUPADOR]],Lucratividade!$D$4:$O$129,6,0),0),"")</f>
        <v/>
      </c>
      <c r="N440" s="379">
        <f>IF(H440&lt;&gt;"",J440*M440*I440,SUMIFS(N441:N$9844,$F441:$F$9844,"*"&amp;F440&amp;"*",$H441:$H$9844,"&lt;&gt;"))</f>
        <v>0</v>
      </c>
      <c r="O440" s="162" t="str">
        <f>IFERROR((-Tabela2[[#This Row],[CUSTO TOTAL]]+Tabela2[[#This Row],[VENDA TOTAL]])/Tabela2[[#This Row],[VENDA TOTAL]]-PARAMETROS!$C$19,"")</f>
        <v/>
      </c>
      <c r="AA440" s="219">
        <f>SUM(Plan_Orc[[#This Row],[01/jan]:[01/dez]])</f>
        <v>0</v>
      </c>
      <c r="AB440" s="114"/>
      <c r="AC440" s="114"/>
      <c r="AD440" s="114"/>
      <c r="AE440" s="114"/>
      <c r="AF440" s="114"/>
      <c r="AG440" s="114"/>
      <c r="AH440" s="114"/>
      <c r="AI440" s="114"/>
      <c r="AJ440" s="114"/>
      <c r="AK440" s="114"/>
      <c r="AL440" s="114"/>
      <c r="AM440" s="114"/>
    </row>
    <row r="441" spans="2:39" ht="25.2" customHeight="1" x14ac:dyDescent="0.3">
      <c r="B441" s="13" t="str">
        <f t="shared" si="10"/>
        <v/>
      </c>
      <c r="C441" s="18"/>
      <c r="D441" s="19" t="str">
        <f>IF(Tabela2[[#This Row],[AGRUPADOR]]&lt;&gt;"",VLOOKUP(Tabela2[[#This Row],[AGRUPADOR]],Tabela1[],2,0),"")</f>
        <v/>
      </c>
      <c r="E441" s="19" t="str">
        <f>IF(Tabela2[[#This Row],[AGRUPADOR]]&lt;&gt;"",VLOOKUP(Tabela2[[#This Row],[AGRUPADOR]],Tabela1[],4,0),"")</f>
        <v/>
      </c>
      <c r="F441" s="14"/>
      <c r="G441" s="6"/>
      <c r="H441" s="6"/>
      <c r="I441" s="25"/>
      <c r="J441" s="7"/>
      <c r="K441" s="15"/>
      <c r="L441" s="379">
        <f>IF(H441&lt;&gt;"",J441*K441,SUMIFS(L442:L$9844,$F442:$F$9844,"*"&amp;F441&amp;"*",$H442:$H$9844,"&lt;&gt;"))</f>
        <v>0</v>
      </c>
      <c r="M441" s="379" t="str">
        <f>IF(Tabela2[[#This Row],[UNID.]]&lt;&gt;"",IFERROR(VLOOKUP(Tabela2[[#This Row],[AGRUPADOR]],Lucratividade!$D$4:$O$129,6,0),0),"")</f>
        <v/>
      </c>
      <c r="N441" s="379">
        <f>IF(H441&lt;&gt;"",J441*M441*I441,SUMIFS(N442:N$9844,$F442:$F$9844,"*"&amp;F441&amp;"*",$H442:$H$9844,"&lt;&gt;"))</f>
        <v>0</v>
      </c>
      <c r="O441" s="162" t="str">
        <f>IFERROR((-Tabela2[[#This Row],[CUSTO TOTAL]]+Tabela2[[#This Row],[VENDA TOTAL]])/Tabela2[[#This Row],[VENDA TOTAL]]-PARAMETROS!$C$19,"")</f>
        <v/>
      </c>
      <c r="AA441" s="219">
        <f>SUM(Plan_Orc[[#This Row],[01/jan]:[01/dez]])</f>
        <v>0</v>
      </c>
      <c r="AB441" s="114"/>
      <c r="AC441" s="114"/>
      <c r="AD441" s="114"/>
      <c r="AE441" s="114"/>
      <c r="AF441" s="114"/>
      <c r="AG441" s="114"/>
      <c r="AH441" s="114"/>
      <c r="AI441" s="114"/>
      <c r="AJ441" s="114"/>
      <c r="AK441" s="114"/>
      <c r="AL441" s="114"/>
      <c r="AM441" s="114"/>
    </row>
    <row r="442" spans="2:39" ht="25.2" customHeight="1" x14ac:dyDescent="0.3">
      <c r="B442" s="13" t="str">
        <f t="shared" si="10"/>
        <v/>
      </c>
      <c r="C442" s="18"/>
      <c r="D442" s="19" t="str">
        <f>IF(Tabela2[[#This Row],[AGRUPADOR]]&lt;&gt;"",VLOOKUP(Tabela2[[#This Row],[AGRUPADOR]],Tabela1[],2,0),"")</f>
        <v/>
      </c>
      <c r="E442" s="19" t="str">
        <f>IF(Tabela2[[#This Row],[AGRUPADOR]]&lt;&gt;"",VLOOKUP(Tabela2[[#This Row],[AGRUPADOR]],Tabela1[],4,0),"")</f>
        <v/>
      </c>
      <c r="F442" s="14"/>
      <c r="G442" s="6"/>
      <c r="H442" s="6"/>
      <c r="I442" s="25"/>
      <c r="J442" s="7"/>
      <c r="K442" s="15"/>
      <c r="L442" s="379">
        <f>IF(H442&lt;&gt;"",J442*K442,SUMIFS(L443:L$9844,$F443:$F$9844,"*"&amp;F442&amp;"*",$H443:$H$9844,"&lt;&gt;"))</f>
        <v>0</v>
      </c>
      <c r="M442" s="379" t="str">
        <f>IF(Tabela2[[#This Row],[UNID.]]&lt;&gt;"",IFERROR(VLOOKUP(Tabela2[[#This Row],[AGRUPADOR]],Lucratividade!$D$4:$O$129,6,0),0),"")</f>
        <v/>
      </c>
      <c r="N442" s="379">
        <f>IF(H442&lt;&gt;"",J442*M442*I442,SUMIFS(N443:N$9844,$F443:$F$9844,"*"&amp;F442&amp;"*",$H443:$H$9844,"&lt;&gt;"))</f>
        <v>0</v>
      </c>
      <c r="O442" s="162" t="str">
        <f>IFERROR((-Tabela2[[#This Row],[CUSTO TOTAL]]+Tabela2[[#This Row],[VENDA TOTAL]])/Tabela2[[#This Row],[VENDA TOTAL]]-PARAMETROS!$C$19,"")</f>
        <v/>
      </c>
      <c r="AA442" s="219">
        <f>SUM(Plan_Orc[[#This Row],[01/jan]:[01/dez]])</f>
        <v>0</v>
      </c>
      <c r="AB442" s="114"/>
      <c r="AC442" s="114"/>
      <c r="AD442" s="114"/>
      <c r="AE442" s="114"/>
      <c r="AF442" s="114"/>
      <c r="AG442" s="114"/>
      <c r="AH442" s="114"/>
      <c r="AI442" s="114"/>
      <c r="AJ442" s="114"/>
      <c r="AK442" s="114"/>
      <c r="AL442" s="114"/>
      <c r="AM442" s="114"/>
    </row>
    <row r="443" spans="2:39" ht="25.2" customHeight="1" x14ac:dyDescent="0.3">
      <c r="B443" s="13" t="str">
        <f t="shared" si="10"/>
        <v/>
      </c>
      <c r="C443" s="18"/>
      <c r="D443" s="19" t="str">
        <f>IF(Tabela2[[#This Row],[AGRUPADOR]]&lt;&gt;"",VLOOKUP(Tabela2[[#This Row],[AGRUPADOR]],Tabela1[],2,0),"")</f>
        <v/>
      </c>
      <c r="E443" s="19" t="str">
        <f>IF(Tabela2[[#This Row],[AGRUPADOR]]&lt;&gt;"",VLOOKUP(Tabela2[[#This Row],[AGRUPADOR]],Tabela1[],4,0),"")</f>
        <v/>
      </c>
      <c r="F443" s="14"/>
      <c r="G443" s="6"/>
      <c r="H443" s="6"/>
      <c r="I443" s="25"/>
      <c r="J443" s="7"/>
      <c r="K443" s="15"/>
      <c r="L443" s="379">
        <f>IF(H443&lt;&gt;"",J443*K443,SUMIFS(L444:L$9844,$F444:$F$9844,"*"&amp;F443&amp;"*",$H444:$H$9844,"&lt;&gt;"))</f>
        <v>0</v>
      </c>
      <c r="M443" s="379" t="str">
        <f>IF(Tabela2[[#This Row],[UNID.]]&lt;&gt;"",IFERROR(VLOOKUP(Tabela2[[#This Row],[AGRUPADOR]],Lucratividade!$D$4:$O$129,6,0),0),"")</f>
        <v/>
      </c>
      <c r="N443" s="379">
        <f>IF(H443&lt;&gt;"",J443*M443*I443,SUMIFS(N444:N$9844,$F444:$F$9844,"*"&amp;F443&amp;"*",$H444:$H$9844,"&lt;&gt;"))</f>
        <v>0</v>
      </c>
      <c r="O443" s="162" t="str">
        <f>IFERROR((-Tabela2[[#This Row],[CUSTO TOTAL]]+Tabela2[[#This Row],[VENDA TOTAL]])/Tabela2[[#This Row],[VENDA TOTAL]]-PARAMETROS!$C$19,"")</f>
        <v/>
      </c>
      <c r="AA443" s="219">
        <f>SUM(Plan_Orc[[#This Row],[01/jan]:[01/dez]])</f>
        <v>0</v>
      </c>
      <c r="AB443" s="114"/>
      <c r="AC443" s="114"/>
      <c r="AD443" s="114"/>
      <c r="AE443" s="114"/>
      <c r="AF443" s="114"/>
      <c r="AG443" s="114"/>
      <c r="AH443" s="114"/>
      <c r="AI443" s="114"/>
      <c r="AJ443" s="114"/>
      <c r="AK443" s="114"/>
      <c r="AL443" s="114"/>
      <c r="AM443" s="114"/>
    </row>
    <row r="444" spans="2:39" ht="25.2" customHeight="1" x14ac:dyDescent="0.3">
      <c r="B444" s="13" t="str">
        <f t="shared" si="10"/>
        <v/>
      </c>
      <c r="C444" s="18"/>
      <c r="D444" s="19" t="str">
        <f>IF(Tabela2[[#This Row],[AGRUPADOR]]&lt;&gt;"",VLOOKUP(Tabela2[[#This Row],[AGRUPADOR]],Tabela1[],2,0),"")</f>
        <v/>
      </c>
      <c r="E444" s="19" t="str">
        <f>IF(Tabela2[[#This Row],[AGRUPADOR]]&lt;&gt;"",VLOOKUP(Tabela2[[#This Row],[AGRUPADOR]],Tabela1[],4,0),"")</f>
        <v/>
      </c>
      <c r="F444" s="14"/>
      <c r="G444" s="6"/>
      <c r="H444" s="6"/>
      <c r="I444" s="25"/>
      <c r="J444" s="7"/>
      <c r="K444" s="15"/>
      <c r="L444" s="379">
        <f>IF(H444&lt;&gt;"",J444*K444,SUMIFS(L445:L$9844,$F445:$F$9844,"*"&amp;F444&amp;"*",$H445:$H$9844,"&lt;&gt;"))</f>
        <v>0</v>
      </c>
      <c r="M444" s="379" t="str">
        <f>IF(Tabela2[[#This Row],[UNID.]]&lt;&gt;"",IFERROR(VLOOKUP(Tabela2[[#This Row],[AGRUPADOR]],Lucratividade!$D$4:$O$129,6,0),0),"")</f>
        <v/>
      </c>
      <c r="N444" s="379">
        <f>IF(H444&lt;&gt;"",J444*M444*I444,SUMIFS(N445:N$9844,$F445:$F$9844,"*"&amp;F444&amp;"*",$H445:$H$9844,"&lt;&gt;"))</f>
        <v>0</v>
      </c>
      <c r="O444" s="162" t="str">
        <f>IFERROR((-Tabela2[[#This Row],[CUSTO TOTAL]]+Tabela2[[#This Row],[VENDA TOTAL]])/Tabela2[[#This Row],[VENDA TOTAL]]-PARAMETROS!$C$19,"")</f>
        <v/>
      </c>
      <c r="AA444" s="219">
        <f>SUM(Plan_Orc[[#This Row],[01/jan]:[01/dez]])</f>
        <v>0</v>
      </c>
      <c r="AB444" s="114"/>
      <c r="AC444" s="114"/>
      <c r="AD444" s="114"/>
      <c r="AE444" s="114"/>
      <c r="AF444" s="114"/>
      <c r="AG444" s="114"/>
      <c r="AH444" s="114"/>
      <c r="AI444" s="114"/>
      <c r="AJ444" s="114"/>
      <c r="AK444" s="114"/>
      <c r="AL444" s="114"/>
      <c r="AM444" s="114"/>
    </row>
    <row r="445" spans="2:39" ht="25.2" customHeight="1" x14ac:dyDescent="0.3">
      <c r="B445" s="13" t="str">
        <f t="shared" si="10"/>
        <v/>
      </c>
      <c r="C445" s="18"/>
      <c r="D445" s="19" t="str">
        <f>IF(Tabela2[[#This Row],[AGRUPADOR]]&lt;&gt;"",VLOOKUP(Tabela2[[#This Row],[AGRUPADOR]],Tabela1[],2,0),"")</f>
        <v/>
      </c>
      <c r="E445" s="19" t="str">
        <f>IF(Tabela2[[#This Row],[AGRUPADOR]]&lt;&gt;"",VLOOKUP(Tabela2[[#This Row],[AGRUPADOR]],Tabela1[],4,0),"")</f>
        <v/>
      </c>
      <c r="F445" s="14"/>
      <c r="G445" s="6"/>
      <c r="H445" s="6"/>
      <c r="I445" s="25"/>
      <c r="J445" s="7"/>
      <c r="K445" s="15"/>
      <c r="L445" s="379">
        <f>IF(H445&lt;&gt;"",J445*K445,SUMIFS(L446:L$9844,$F446:$F$9844,"*"&amp;F445&amp;"*",$H446:$H$9844,"&lt;&gt;"))</f>
        <v>0</v>
      </c>
      <c r="M445" s="379" t="str">
        <f>IF(Tabela2[[#This Row],[UNID.]]&lt;&gt;"",IFERROR(VLOOKUP(Tabela2[[#This Row],[AGRUPADOR]],Lucratividade!$D$4:$O$129,6,0),0),"")</f>
        <v/>
      </c>
      <c r="N445" s="379">
        <f>IF(H445&lt;&gt;"",J445*M445*I445,SUMIFS(N446:N$9844,$F446:$F$9844,"*"&amp;F445&amp;"*",$H446:$H$9844,"&lt;&gt;"))</f>
        <v>0</v>
      </c>
      <c r="O445" s="162" t="str">
        <f>IFERROR((-Tabela2[[#This Row],[CUSTO TOTAL]]+Tabela2[[#This Row],[VENDA TOTAL]])/Tabela2[[#This Row],[VENDA TOTAL]]-PARAMETROS!$C$19,"")</f>
        <v/>
      </c>
      <c r="AA445" s="219">
        <f>SUM(Plan_Orc[[#This Row],[01/jan]:[01/dez]])</f>
        <v>0</v>
      </c>
      <c r="AB445" s="114"/>
      <c r="AC445" s="114"/>
      <c r="AD445" s="114"/>
      <c r="AE445" s="114"/>
      <c r="AF445" s="114"/>
      <c r="AG445" s="114"/>
      <c r="AH445" s="114"/>
      <c r="AI445" s="114"/>
      <c r="AJ445" s="114"/>
      <c r="AK445" s="114"/>
      <c r="AL445" s="114"/>
      <c r="AM445" s="114"/>
    </row>
    <row r="446" spans="2:39" ht="25.2" customHeight="1" x14ac:dyDescent="0.3">
      <c r="B446" s="13" t="str">
        <f t="shared" si="10"/>
        <v/>
      </c>
      <c r="C446" s="18"/>
      <c r="D446" s="19" t="str">
        <f>IF(Tabela2[[#This Row],[AGRUPADOR]]&lt;&gt;"",VLOOKUP(Tabela2[[#This Row],[AGRUPADOR]],Tabela1[],2,0),"")</f>
        <v/>
      </c>
      <c r="E446" s="19" t="str">
        <f>IF(Tabela2[[#This Row],[AGRUPADOR]]&lt;&gt;"",VLOOKUP(Tabela2[[#This Row],[AGRUPADOR]],Tabela1[],4,0),"")</f>
        <v/>
      </c>
      <c r="F446" s="14"/>
      <c r="G446" s="6"/>
      <c r="H446" s="6"/>
      <c r="I446" s="25"/>
      <c r="J446" s="7"/>
      <c r="K446" s="15"/>
      <c r="L446" s="379">
        <f>IF(H446&lt;&gt;"",J446*K446,SUMIFS(L447:L$9844,$F447:$F$9844,"*"&amp;F446&amp;"*",$H447:$H$9844,"&lt;&gt;"))</f>
        <v>0</v>
      </c>
      <c r="M446" s="379" t="str">
        <f>IF(Tabela2[[#This Row],[UNID.]]&lt;&gt;"",IFERROR(VLOOKUP(Tabela2[[#This Row],[AGRUPADOR]],Lucratividade!$D$4:$O$129,6,0),0),"")</f>
        <v/>
      </c>
      <c r="N446" s="379">
        <f>IF(H446&lt;&gt;"",J446*M446*I446,SUMIFS(N447:N$9844,$F447:$F$9844,"*"&amp;F446&amp;"*",$H447:$H$9844,"&lt;&gt;"))</f>
        <v>0</v>
      </c>
      <c r="O446" s="162" t="str">
        <f>IFERROR((-Tabela2[[#This Row],[CUSTO TOTAL]]+Tabela2[[#This Row],[VENDA TOTAL]])/Tabela2[[#This Row],[VENDA TOTAL]]-PARAMETROS!$C$19,"")</f>
        <v/>
      </c>
      <c r="AA446" s="219">
        <f>SUM(Plan_Orc[[#This Row],[01/jan]:[01/dez]])</f>
        <v>0</v>
      </c>
      <c r="AB446" s="114"/>
      <c r="AC446" s="114"/>
      <c r="AD446" s="114"/>
      <c r="AE446" s="114"/>
      <c r="AF446" s="114"/>
      <c r="AG446" s="114"/>
      <c r="AH446" s="114"/>
      <c r="AI446" s="114"/>
      <c r="AJ446" s="114"/>
      <c r="AK446" s="114"/>
      <c r="AL446" s="114"/>
      <c r="AM446" s="114"/>
    </row>
    <row r="447" spans="2:39" ht="25.2" customHeight="1" x14ac:dyDescent="0.3">
      <c r="B447" s="13" t="str">
        <f t="shared" si="10"/>
        <v/>
      </c>
      <c r="C447" s="18"/>
      <c r="D447" s="19" t="str">
        <f>IF(Tabela2[[#This Row],[AGRUPADOR]]&lt;&gt;"",VLOOKUP(Tabela2[[#This Row],[AGRUPADOR]],Tabela1[],2,0),"")</f>
        <v/>
      </c>
      <c r="E447" s="19" t="str">
        <f>IF(Tabela2[[#This Row],[AGRUPADOR]]&lt;&gt;"",VLOOKUP(Tabela2[[#This Row],[AGRUPADOR]],Tabela1[],4,0),"")</f>
        <v/>
      </c>
      <c r="F447" s="14"/>
      <c r="G447" s="6"/>
      <c r="H447" s="6"/>
      <c r="I447" s="25"/>
      <c r="J447" s="7"/>
      <c r="K447" s="15"/>
      <c r="L447" s="379">
        <f>IF(H447&lt;&gt;"",J447*K447,SUMIFS(L448:L$9844,$F448:$F$9844,"*"&amp;F447&amp;"*",$H448:$H$9844,"&lt;&gt;"))</f>
        <v>0</v>
      </c>
      <c r="M447" s="379" t="str">
        <f>IF(Tabela2[[#This Row],[UNID.]]&lt;&gt;"",IFERROR(VLOOKUP(Tabela2[[#This Row],[AGRUPADOR]],Lucratividade!$D$4:$O$129,6,0),0),"")</f>
        <v/>
      </c>
      <c r="N447" s="379">
        <f>IF(H447&lt;&gt;"",J447*M447*I447,SUMIFS(N448:N$9844,$F448:$F$9844,"*"&amp;F447&amp;"*",$H448:$H$9844,"&lt;&gt;"))</f>
        <v>0</v>
      </c>
      <c r="O447" s="162" t="str">
        <f>IFERROR((-Tabela2[[#This Row],[CUSTO TOTAL]]+Tabela2[[#This Row],[VENDA TOTAL]])/Tabela2[[#This Row],[VENDA TOTAL]]-PARAMETROS!$C$19,"")</f>
        <v/>
      </c>
      <c r="AA447" s="219">
        <f>SUM(Plan_Orc[[#This Row],[01/jan]:[01/dez]])</f>
        <v>0</v>
      </c>
      <c r="AB447" s="114"/>
      <c r="AC447" s="114"/>
      <c r="AD447" s="114"/>
      <c r="AE447" s="114"/>
      <c r="AF447" s="114"/>
      <c r="AG447" s="114"/>
      <c r="AH447" s="114"/>
      <c r="AI447" s="114"/>
      <c r="AJ447" s="114"/>
      <c r="AK447" s="114"/>
      <c r="AL447" s="114"/>
      <c r="AM447" s="114"/>
    </row>
    <row r="448" spans="2:39" ht="25.2" customHeight="1" x14ac:dyDescent="0.3">
      <c r="B448" s="13" t="str">
        <f t="shared" si="10"/>
        <v/>
      </c>
      <c r="C448" s="18"/>
      <c r="D448" s="19" t="str">
        <f>IF(Tabela2[[#This Row],[AGRUPADOR]]&lt;&gt;"",VLOOKUP(Tabela2[[#This Row],[AGRUPADOR]],Tabela1[],2,0),"")</f>
        <v/>
      </c>
      <c r="E448" s="19" t="str">
        <f>IF(Tabela2[[#This Row],[AGRUPADOR]]&lt;&gt;"",VLOOKUP(Tabela2[[#This Row],[AGRUPADOR]],Tabela1[],4,0),"")</f>
        <v/>
      </c>
      <c r="F448" s="14"/>
      <c r="G448" s="6"/>
      <c r="H448" s="6"/>
      <c r="I448" s="25"/>
      <c r="J448" s="7"/>
      <c r="K448" s="15"/>
      <c r="L448" s="379">
        <f>IF(H448&lt;&gt;"",J448*K448,SUMIFS(L449:L$9844,$F449:$F$9844,"*"&amp;F448&amp;"*",$H449:$H$9844,"&lt;&gt;"))</f>
        <v>0</v>
      </c>
      <c r="M448" s="379" t="str">
        <f>IF(Tabela2[[#This Row],[UNID.]]&lt;&gt;"",IFERROR(VLOOKUP(Tabela2[[#This Row],[AGRUPADOR]],Lucratividade!$D$4:$O$129,6,0),0),"")</f>
        <v/>
      </c>
      <c r="N448" s="379">
        <f>IF(H448&lt;&gt;"",J448*M448*I448,SUMIFS(N449:N$9844,$F449:$F$9844,"*"&amp;F448&amp;"*",$H449:$H$9844,"&lt;&gt;"))</f>
        <v>0</v>
      </c>
      <c r="O448" s="162" t="str">
        <f>IFERROR((-Tabela2[[#This Row],[CUSTO TOTAL]]+Tabela2[[#This Row],[VENDA TOTAL]])/Tabela2[[#This Row],[VENDA TOTAL]]-PARAMETROS!$C$19,"")</f>
        <v/>
      </c>
      <c r="AA448" s="218">
        <f>SUM(Plan_Orc[[#This Row],[01/jan]:[01/dez]])</f>
        <v>0</v>
      </c>
      <c r="AB448" s="113"/>
      <c r="AC448" s="113"/>
      <c r="AD448" s="113"/>
      <c r="AE448" s="113"/>
      <c r="AF448" s="113"/>
      <c r="AG448" s="113"/>
      <c r="AH448" s="113"/>
      <c r="AI448" s="113"/>
      <c r="AJ448" s="113"/>
      <c r="AK448" s="113"/>
      <c r="AL448" s="113"/>
      <c r="AM448" s="113"/>
    </row>
    <row r="449" spans="2:39" ht="25.2" customHeight="1" x14ac:dyDescent="0.3">
      <c r="B449" s="13" t="str">
        <f t="shared" si="10"/>
        <v/>
      </c>
      <c r="C449" s="18"/>
      <c r="D449" s="19" t="str">
        <f>IF(Tabela2[[#This Row],[AGRUPADOR]]&lt;&gt;"",VLOOKUP(Tabela2[[#This Row],[AGRUPADOR]],Tabela1[],2,0),"")</f>
        <v/>
      </c>
      <c r="E449" s="19" t="str">
        <f>IF(Tabela2[[#This Row],[AGRUPADOR]]&lt;&gt;"",VLOOKUP(Tabela2[[#This Row],[AGRUPADOR]],Tabela1[],4,0),"")</f>
        <v/>
      </c>
      <c r="F449" s="14"/>
      <c r="G449" s="6"/>
      <c r="H449" s="6"/>
      <c r="I449" s="25"/>
      <c r="J449" s="7"/>
      <c r="K449" s="15"/>
      <c r="L449" s="379">
        <f>IF(H449&lt;&gt;"",J449*K449,SUMIFS(L450:L$9844,$F450:$F$9844,"*"&amp;F449&amp;"*",$H450:$H$9844,"&lt;&gt;"))</f>
        <v>0</v>
      </c>
      <c r="M449" s="379" t="str">
        <f>IF(Tabela2[[#This Row],[UNID.]]&lt;&gt;"",IFERROR(VLOOKUP(Tabela2[[#This Row],[AGRUPADOR]],Lucratividade!$D$4:$O$129,6,0),0),"")</f>
        <v/>
      </c>
      <c r="N449" s="379">
        <f>IF(H449&lt;&gt;"",J449*M449*I449,SUMIFS(N450:N$9844,$F450:$F$9844,"*"&amp;F449&amp;"*",$H450:$H$9844,"&lt;&gt;"))</f>
        <v>0</v>
      </c>
      <c r="O449" s="162" t="str">
        <f>IFERROR((-Tabela2[[#This Row],[CUSTO TOTAL]]+Tabela2[[#This Row],[VENDA TOTAL]])/Tabela2[[#This Row],[VENDA TOTAL]]-PARAMETROS!$C$19,"")</f>
        <v/>
      </c>
      <c r="AA449" s="219">
        <f>SUM(Plan_Orc[[#This Row],[01/jan]:[01/dez]])</f>
        <v>0</v>
      </c>
      <c r="AB449" s="114"/>
      <c r="AC449" s="114"/>
      <c r="AD449" s="114"/>
      <c r="AE449" s="114"/>
      <c r="AF449" s="114"/>
      <c r="AG449" s="114"/>
      <c r="AH449" s="114"/>
      <c r="AI449" s="114"/>
      <c r="AJ449" s="114"/>
      <c r="AK449" s="114"/>
      <c r="AL449" s="114"/>
      <c r="AM449" s="114"/>
    </row>
    <row r="450" spans="2:39" ht="25.2" customHeight="1" x14ac:dyDescent="0.3">
      <c r="B450" s="13" t="str">
        <f t="shared" si="10"/>
        <v/>
      </c>
      <c r="C450" s="18"/>
      <c r="D450" s="19" t="str">
        <f>IF(Tabela2[[#This Row],[AGRUPADOR]]&lt;&gt;"",VLOOKUP(Tabela2[[#This Row],[AGRUPADOR]],Tabela1[],2,0),"")</f>
        <v/>
      </c>
      <c r="E450" s="19" t="str">
        <f>IF(Tabela2[[#This Row],[AGRUPADOR]]&lt;&gt;"",VLOOKUP(Tabela2[[#This Row],[AGRUPADOR]],Tabela1[],4,0),"")</f>
        <v/>
      </c>
      <c r="F450" s="14"/>
      <c r="G450" s="6"/>
      <c r="H450" s="6"/>
      <c r="I450" s="25"/>
      <c r="J450" s="7"/>
      <c r="K450" s="15"/>
      <c r="L450" s="379">
        <f>IF(H450&lt;&gt;"",J450*K450,SUMIFS(L451:L$9844,$F451:$F$9844,"*"&amp;F450&amp;"*",$H451:$H$9844,"&lt;&gt;"))</f>
        <v>0</v>
      </c>
      <c r="M450" s="379" t="str">
        <f>IF(Tabela2[[#This Row],[UNID.]]&lt;&gt;"",IFERROR(VLOOKUP(Tabela2[[#This Row],[AGRUPADOR]],Lucratividade!$D$4:$O$129,6,0),0),"")</f>
        <v/>
      </c>
      <c r="N450" s="379">
        <f>IF(H450&lt;&gt;"",J450*M450*I450,SUMIFS(N451:N$9844,$F451:$F$9844,"*"&amp;F450&amp;"*",$H451:$H$9844,"&lt;&gt;"))</f>
        <v>0</v>
      </c>
      <c r="O450" s="162" t="str">
        <f>IFERROR((-Tabela2[[#This Row],[CUSTO TOTAL]]+Tabela2[[#This Row],[VENDA TOTAL]])/Tabela2[[#This Row],[VENDA TOTAL]]-PARAMETROS!$C$19,"")</f>
        <v/>
      </c>
      <c r="AA450" s="219">
        <f>SUM(Plan_Orc[[#This Row],[01/jan]:[01/dez]])</f>
        <v>0</v>
      </c>
      <c r="AB450" s="114"/>
      <c r="AC450" s="114"/>
      <c r="AD450" s="114"/>
      <c r="AE450" s="114"/>
      <c r="AF450" s="114"/>
      <c r="AG450" s="114"/>
      <c r="AH450" s="114"/>
      <c r="AI450" s="114"/>
      <c r="AJ450" s="114"/>
      <c r="AK450" s="114"/>
      <c r="AL450" s="114"/>
      <c r="AM450" s="114"/>
    </row>
    <row r="451" spans="2:39" ht="25.2" customHeight="1" x14ac:dyDescent="0.3">
      <c r="B451" s="13" t="str">
        <f t="shared" si="10"/>
        <v/>
      </c>
      <c r="C451" s="18"/>
      <c r="D451" s="19" t="str">
        <f>IF(Tabela2[[#This Row],[AGRUPADOR]]&lt;&gt;"",VLOOKUP(Tabela2[[#This Row],[AGRUPADOR]],Tabela1[],2,0),"")</f>
        <v/>
      </c>
      <c r="E451" s="19" t="str">
        <f>IF(Tabela2[[#This Row],[AGRUPADOR]]&lt;&gt;"",VLOOKUP(Tabela2[[#This Row],[AGRUPADOR]],Tabela1[],4,0),"")</f>
        <v/>
      </c>
      <c r="F451" s="14"/>
      <c r="G451" s="6"/>
      <c r="H451" s="6"/>
      <c r="I451" s="25"/>
      <c r="J451" s="7"/>
      <c r="K451" s="15"/>
      <c r="L451" s="379">
        <f>IF(H451&lt;&gt;"",J451*K451,SUMIFS(L452:L$9844,$F452:$F$9844,"*"&amp;F451&amp;"*",$H452:$H$9844,"&lt;&gt;"))</f>
        <v>0</v>
      </c>
      <c r="M451" s="379" t="str">
        <f>IF(Tabela2[[#This Row],[UNID.]]&lt;&gt;"",IFERROR(VLOOKUP(Tabela2[[#This Row],[AGRUPADOR]],Lucratividade!$D$4:$O$129,6,0),0),"")</f>
        <v/>
      </c>
      <c r="N451" s="379">
        <f>IF(H451&lt;&gt;"",J451*M451*I451,SUMIFS(N452:N$9844,$F452:$F$9844,"*"&amp;F451&amp;"*",$H452:$H$9844,"&lt;&gt;"))</f>
        <v>0</v>
      </c>
      <c r="O451" s="162" t="str">
        <f>IFERROR((-Tabela2[[#This Row],[CUSTO TOTAL]]+Tabela2[[#This Row],[VENDA TOTAL]])/Tabela2[[#This Row],[VENDA TOTAL]]-PARAMETROS!$C$19,"")</f>
        <v/>
      </c>
      <c r="AA451" s="219">
        <f>SUM(Plan_Orc[[#This Row],[01/jan]:[01/dez]])</f>
        <v>0</v>
      </c>
      <c r="AB451" s="114"/>
      <c r="AC451" s="114"/>
      <c r="AD451" s="114"/>
      <c r="AE451" s="114"/>
      <c r="AF451" s="114"/>
      <c r="AG451" s="114"/>
      <c r="AH451" s="114"/>
      <c r="AI451" s="114"/>
      <c r="AJ451" s="114"/>
      <c r="AK451" s="114"/>
      <c r="AL451" s="114"/>
      <c r="AM451" s="114"/>
    </row>
    <row r="452" spans="2:39" ht="25.2" customHeight="1" x14ac:dyDescent="0.3">
      <c r="B452" s="13" t="str">
        <f t="shared" ref="B452:B515" si="11">IF(LEN(F452)=3,1,"")</f>
        <v/>
      </c>
      <c r="C452" s="18"/>
      <c r="D452" s="19" t="str">
        <f>IF(Tabela2[[#This Row],[AGRUPADOR]]&lt;&gt;"",VLOOKUP(Tabela2[[#This Row],[AGRUPADOR]],Tabela1[],2,0),"")</f>
        <v/>
      </c>
      <c r="E452" s="19" t="str">
        <f>IF(Tabela2[[#This Row],[AGRUPADOR]]&lt;&gt;"",VLOOKUP(Tabela2[[#This Row],[AGRUPADOR]],Tabela1[],4,0),"")</f>
        <v/>
      </c>
      <c r="F452" s="14"/>
      <c r="G452" s="6"/>
      <c r="H452" s="6"/>
      <c r="I452" s="25"/>
      <c r="J452" s="7"/>
      <c r="K452" s="15"/>
      <c r="L452" s="379">
        <f>IF(H452&lt;&gt;"",J452*K452,SUMIFS(L453:L$9844,$F453:$F$9844,"*"&amp;F452&amp;"*",$H453:$H$9844,"&lt;&gt;"))</f>
        <v>0</v>
      </c>
      <c r="M452" s="379" t="str">
        <f>IF(Tabela2[[#This Row],[UNID.]]&lt;&gt;"",IFERROR(VLOOKUP(Tabela2[[#This Row],[AGRUPADOR]],Lucratividade!$D$4:$O$129,6,0),0),"")</f>
        <v/>
      </c>
      <c r="N452" s="379">
        <f>IF(H452&lt;&gt;"",J452*M452*I452,SUMIFS(N453:N$9844,$F453:$F$9844,"*"&amp;F452&amp;"*",$H453:$H$9844,"&lt;&gt;"))</f>
        <v>0</v>
      </c>
      <c r="O452" s="162" t="str">
        <f>IFERROR((-Tabela2[[#This Row],[CUSTO TOTAL]]+Tabela2[[#This Row],[VENDA TOTAL]])/Tabela2[[#This Row],[VENDA TOTAL]]-PARAMETROS!$C$19,"")</f>
        <v/>
      </c>
      <c r="AA452" s="219">
        <f>SUM(Plan_Orc[[#This Row],[01/jan]:[01/dez]])</f>
        <v>0</v>
      </c>
      <c r="AB452" s="114"/>
      <c r="AC452" s="114"/>
      <c r="AD452" s="114"/>
      <c r="AE452" s="114"/>
      <c r="AF452" s="114"/>
      <c r="AG452" s="114"/>
      <c r="AH452" s="114"/>
      <c r="AI452" s="114"/>
      <c r="AJ452" s="114"/>
      <c r="AK452" s="114"/>
      <c r="AL452" s="114"/>
      <c r="AM452" s="114"/>
    </row>
    <row r="453" spans="2:39" ht="25.2" customHeight="1" x14ac:dyDescent="0.3">
      <c r="B453" s="13" t="str">
        <f t="shared" si="11"/>
        <v/>
      </c>
      <c r="C453" s="18"/>
      <c r="D453" s="19" t="str">
        <f>IF(Tabela2[[#This Row],[AGRUPADOR]]&lt;&gt;"",VLOOKUP(Tabela2[[#This Row],[AGRUPADOR]],Tabela1[],2,0),"")</f>
        <v/>
      </c>
      <c r="E453" s="19" t="str">
        <f>IF(Tabela2[[#This Row],[AGRUPADOR]]&lt;&gt;"",VLOOKUP(Tabela2[[#This Row],[AGRUPADOR]],Tabela1[],4,0),"")</f>
        <v/>
      </c>
      <c r="F453" s="14"/>
      <c r="G453" s="6"/>
      <c r="H453" s="6"/>
      <c r="I453" s="25"/>
      <c r="J453" s="7"/>
      <c r="K453" s="15"/>
      <c r="L453" s="379">
        <f>IF(H453&lt;&gt;"",J453*K453,SUMIFS(L454:L$9844,$F454:$F$9844,"*"&amp;F453&amp;"*",$H454:$H$9844,"&lt;&gt;"))</f>
        <v>0</v>
      </c>
      <c r="M453" s="379" t="str">
        <f>IF(Tabela2[[#This Row],[UNID.]]&lt;&gt;"",IFERROR(VLOOKUP(Tabela2[[#This Row],[AGRUPADOR]],Lucratividade!$D$4:$O$129,6,0),0),"")</f>
        <v/>
      </c>
      <c r="N453" s="379">
        <f>IF(H453&lt;&gt;"",J453*M453*I453,SUMIFS(N454:N$9844,$F454:$F$9844,"*"&amp;F453&amp;"*",$H454:$H$9844,"&lt;&gt;"))</f>
        <v>0</v>
      </c>
      <c r="O453" s="162" t="str">
        <f>IFERROR((-Tabela2[[#This Row],[CUSTO TOTAL]]+Tabela2[[#This Row],[VENDA TOTAL]])/Tabela2[[#This Row],[VENDA TOTAL]]-PARAMETROS!$C$19,"")</f>
        <v/>
      </c>
      <c r="AA453" s="219">
        <f>SUM(Plan_Orc[[#This Row],[01/jan]:[01/dez]])</f>
        <v>0</v>
      </c>
      <c r="AB453" s="114"/>
      <c r="AC453" s="114"/>
      <c r="AD453" s="114"/>
      <c r="AE453" s="114"/>
      <c r="AF453" s="114"/>
      <c r="AG453" s="114"/>
      <c r="AH453" s="114"/>
      <c r="AI453" s="114"/>
      <c r="AJ453" s="114"/>
      <c r="AK453" s="114"/>
      <c r="AL453" s="114"/>
      <c r="AM453" s="114"/>
    </row>
    <row r="454" spans="2:39" ht="25.2" customHeight="1" x14ac:dyDescent="0.3">
      <c r="B454" s="13" t="str">
        <f t="shared" si="11"/>
        <v/>
      </c>
      <c r="C454" s="18"/>
      <c r="D454" s="19" t="str">
        <f>IF(Tabela2[[#This Row],[AGRUPADOR]]&lt;&gt;"",VLOOKUP(Tabela2[[#This Row],[AGRUPADOR]],Tabela1[],2,0),"")</f>
        <v/>
      </c>
      <c r="E454" s="19" t="str">
        <f>IF(Tabela2[[#This Row],[AGRUPADOR]]&lt;&gt;"",VLOOKUP(Tabela2[[#This Row],[AGRUPADOR]],Tabela1[],4,0),"")</f>
        <v/>
      </c>
      <c r="F454" s="14"/>
      <c r="G454" s="6"/>
      <c r="H454" s="6"/>
      <c r="I454" s="25"/>
      <c r="J454" s="7"/>
      <c r="K454" s="15"/>
      <c r="L454" s="379">
        <f>IF(H454&lt;&gt;"",J454*K454,SUMIFS(L455:L$9844,$F455:$F$9844,"*"&amp;F454&amp;"*",$H455:$H$9844,"&lt;&gt;"))</f>
        <v>0</v>
      </c>
      <c r="M454" s="379" t="str">
        <f>IF(Tabela2[[#This Row],[UNID.]]&lt;&gt;"",IFERROR(VLOOKUP(Tabela2[[#This Row],[AGRUPADOR]],Lucratividade!$D$4:$O$129,6,0),0),"")</f>
        <v/>
      </c>
      <c r="N454" s="379">
        <f>IF(H454&lt;&gt;"",J454*M454*I454,SUMIFS(N455:N$9844,$F455:$F$9844,"*"&amp;F454&amp;"*",$H455:$H$9844,"&lt;&gt;"))</f>
        <v>0</v>
      </c>
      <c r="O454" s="162" t="str">
        <f>IFERROR((-Tabela2[[#This Row],[CUSTO TOTAL]]+Tabela2[[#This Row],[VENDA TOTAL]])/Tabela2[[#This Row],[VENDA TOTAL]]-PARAMETROS!$C$19,"")</f>
        <v/>
      </c>
      <c r="AA454" s="219">
        <f>SUM(Plan_Orc[[#This Row],[01/jan]:[01/dez]])</f>
        <v>0</v>
      </c>
      <c r="AB454" s="114"/>
      <c r="AC454" s="114"/>
      <c r="AD454" s="114"/>
      <c r="AE454" s="114"/>
      <c r="AF454" s="114"/>
      <c r="AG454" s="114"/>
      <c r="AH454" s="114"/>
      <c r="AI454" s="114"/>
      <c r="AJ454" s="114"/>
      <c r="AK454" s="114"/>
      <c r="AL454" s="114"/>
      <c r="AM454" s="114"/>
    </row>
    <row r="455" spans="2:39" ht="25.2" customHeight="1" x14ac:dyDescent="0.3">
      <c r="B455" s="13" t="str">
        <f t="shared" si="11"/>
        <v/>
      </c>
      <c r="C455" s="18"/>
      <c r="D455" s="19" t="str">
        <f>IF(Tabela2[[#This Row],[AGRUPADOR]]&lt;&gt;"",VLOOKUP(Tabela2[[#This Row],[AGRUPADOR]],Tabela1[],2,0),"")</f>
        <v/>
      </c>
      <c r="E455" s="19" t="str">
        <f>IF(Tabela2[[#This Row],[AGRUPADOR]]&lt;&gt;"",VLOOKUP(Tabela2[[#This Row],[AGRUPADOR]],Tabela1[],4,0),"")</f>
        <v/>
      </c>
      <c r="F455" s="14"/>
      <c r="G455" s="6"/>
      <c r="H455" s="6"/>
      <c r="I455" s="25"/>
      <c r="J455" s="7"/>
      <c r="K455" s="15"/>
      <c r="L455" s="379">
        <f>IF(H455&lt;&gt;"",J455*K455,SUMIFS(L456:L$9844,$F456:$F$9844,"*"&amp;F455&amp;"*",$H456:$H$9844,"&lt;&gt;"))</f>
        <v>0</v>
      </c>
      <c r="M455" s="379" t="str">
        <f>IF(Tabela2[[#This Row],[UNID.]]&lt;&gt;"",IFERROR(VLOOKUP(Tabela2[[#This Row],[AGRUPADOR]],Lucratividade!$D$4:$O$129,6,0),0),"")</f>
        <v/>
      </c>
      <c r="N455" s="379">
        <f>IF(H455&lt;&gt;"",J455*M455*I455,SUMIFS(N456:N$9844,$F456:$F$9844,"*"&amp;F455&amp;"*",$H456:$H$9844,"&lt;&gt;"))</f>
        <v>0</v>
      </c>
      <c r="O455" s="162" t="str">
        <f>IFERROR((-Tabela2[[#This Row],[CUSTO TOTAL]]+Tabela2[[#This Row],[VENDA TOTAL]])/Tabela2[[#This Row],[VENDA TOTAL]]-PARAMETROS!$C$19,"")</f>
        <v/>
      </c>
      <c r="AA455" s="219">
        <f>SUM(Plan_Orc[[#This Row],[01/jan]:[01/dez]])</f>
        <v>0</v>
      </c>
      <c r="AB455" s="114"/>
      <c r="AC455" s="114"/>
      <c r="AD455" s="114"/>
      <c r="AE455" s="114"/>
      <c r="AF455" s="114"/>
      <c r="AG455" s="114"/>
      <c r="AH455" s="114"/>
      <c r="AI455" s="114"/>
      <c r="AJ455" s="114"/>
      <c r="AK455" s="114"/>
      <c r="AL455" s="114"/>
      <c r="AM455" s="114"/>
    </row>
    <row r="456" spans="2:39" ht="25.2" customHeight="1" x14ac:dyDescent="0.3">
      <c r="B456" s="13" t="str">
        <f t="shared" si="11"/>
        <v/>
      </c>
      <c r="C456" s="18"/>
      <c r="D456" s="19" t="str">
        <f>IF(Tabela2[[#This Row],[AGRUPADOR]]&lt;&gt;"",VLOOKUP(Tabela2[[#This Row],[AGRUPADOR]],Tabela1[],2,0),"")</f>
        <v/>
      </c>
      <c r="E456" s="19" t="str">
        <f>IF(Tabela2[[#This Row],[AGRUPADOR]]&lt;&gt;"",VLOOKUP(Tabela2[[#This Row],[AGRUPADOR]],Tabela1[],4,0),"")</f>
        <v/>
      </c>
      <c r="F456" s="14"/>
      <c r="G456" s="6"/>
      <c r="H456" s="6"/>
      <c r="I456" s="25"/>
      <c r="J456" s="7"/>
      <c r="K456" s="15"/>
      <c r="L456" s="379">
        <f>IF(H456&lt;&gt;"",J456*K456,SUMIFS(L457:L$9844,$F457:$F$9844,"*"&amp;F456&amp;"*",$H457:$H$9844,"&lt;&gt;"))</f>
        <v>0</v>
      </c>
      <c r="M456" s="379" t="str">
        <f>IF(Tabela2[[#This Row],[UNID.]]&lt;&gt;"",IFERROR(VLOOKUP(Tabela2[[#This Row],[AGRUPADOR]],Lucratividade!$D$4:$O$129,6,0),0),"")</f>
        <v/>
      </c>
      <c r="N456" s="379">
        <f>IF(H456&lt;&gt;"",J456*M456*I456,SUMIFS(N457:N$9844,$F457:$F$9844,"*"&amp;F456&amp;"*",$H457:$H$9844,"&lt;&gt;"))</f>
        <v>0</v>
      </c>
      <c r="O456" s="162" t="str">
        <f>IFERROR((-Tabela2[[#This Row],[CUSTO TOTAL]]+Tabela2[[#This Row],[VENDA TOTAL]])/Tabela2[[#This Row],[VENDA TOTAL]]-PARAMETROS!$C$19,"")</f>
        <v/>
      </c>
      <c r="AA456" s="219">
        <f>SUM(Plan_Orc[[#This Row],[01/jan]:[01/dez]])</f>
        <v>0</v>
      </c>
      <c r="AB456" s="114"/>
      <c r="AC456" s="114"/>
      <c r="AD456" s="114"/>
      <c r="AE456" s="114"/>
      <c r="AF456" s="114"/>
      <c r="AG456" s="114"/>
      <c r="AH456" s="114"/>
      <c r="AI456" s="114"/>
      <c r="AJ456" s="114"/>
      <c r="AK456" s="114"/>
      <c r="AL456" s="114"/>
      <c r="AM456" s="114"/>
    </row>
    <row r="457" spans="2:39" ht="25.2" customHeight="1" x14ac:dyDescent="0.3">
      <c r="B457" s="13" t="str">
        <f t="shared" si="11"/>
        <v/>
      </c>
      <c r="C457" s="18"/>
      <c r="D457" s="19" t="str">
        <f>IF(Tabela2[[#This Row],[AGRUPADOR]]&lt;&gt;"",VLOOKUP(Tabela2[[#This Row],[AGRUPADOR]],Tabela1[],2,0),"")</f>
        <v/>
      </c>
      <c r="E457" s="19" t="str">
        <f>IF(Tabela2[[#This Row],[AGRUPADOR]]&lt;&gt;"",VLOOKUP(Tabela2[[#This Row],[AGRUPADOR]],Tabela1[],4,0),"")</f>
        <v/>
      </c>
      <c r="F457" s="14"/>
      <c r="G457" s="6"/>
      <c r="H457" s="6"/>
      <c r="I457" s="25"/>
      <c r="J457" s="7"/>
      <c r="K457" s="15"/>
      <c r="L457" s="379">
        <f>IF(H457&lt;&gt;"",J457*K457,SUMIFS(L458:L$9844,$F458:$F$9844,"*"&amp;F457&amp;"*",$H458:$H$9844,"&lt;&gt;"))</f>
        <v>0</v>
      </c>
      <c r="M457" s="379" t="str">
        <f>IF(Tabela2[[#This Row],[UNID.]]&lt;&gt;"",IFERROR(VLOOKUP(Tabela2[[#This Row],[AGRUPADOR]],Lucratividade!$D$4:$O$129,6,0),0),"")</f>
        <v/>
      </c>
      <c r="N457" s="379">
        <f>IF(H457&lt;&gt;"",J457*M457*I457,SUMIFS(N458:N$9844,$F458:$F$9844,"*"&amp;F457&amp;"*",$H458:$H$9844,"&lt;&gt;"))</f>
        <v>0</v>
      </c>
      <c r="O457" s="162" t="str">
        <f>IFERROR((-Tabela2[[#This Row],[CUSTO TOTAL]]+Tabela2[[#This Row],[VENDA TOTAL]])/Tabela2[[#This Row],[VENDA TOTAL]]-PARAMETROS!$C$19,"")</f>
        <v/>
      </c>
      <c r="AA457" s="219">
        <f>SUM(Plan_Orc[[#This Row],[01/jan]:[01/dez]])</f>
        <v>0</v>
      </c>
      <c r="AB457" s="114"/>
      <c r="AC457" s="114"/>
      <c r="AD457" s="114"/>
      <c r="AE457" s="114"/>
      <c r="AF457" s="114"/>
      <c r="AG457" s="114"/>
      <c r="AH457" s="114"/>
      <c r="AI457" s="114"/>
      <c r="AJ457" s="114"/>
      <c r="AK457" s="114"/>
      <c r="AL457" s="114"/>
      <c r="AM457" s="114"/>
    </row>
    <row r="458" spans="2:39" ht="25.2" customHeight="1" x14ac:dyDescent="0.3">
      <c r="B458" s="13" t="str">
        <f t="shared" si="11"/>
        <v/>
      </c>
      <c r="C458" s="18"/>
      <c r="D458" s="19" t="str">
        <f>IF(Tabela2[[#This Row],[AGRUPADOR]]&lt;&gt;"",VLOOKUP(Tabela2[[#This Row],[AGRUPADOR]],Tabela1[],2,0),"")</f>
        <v/>
      </c>
      <c r="E458" s="19" t="str">
        <f>IF(Tabela2[[#This Row],[AGRUPADOR]]&lt;&gt;"",VLOOKUP(Tabela2[[#This Row],[AGRUPADOR]],Tabela1[],4,0),"")</f>
        <v/>
      </c>
      <c r="F458" s="14"/>
      <c r="G458" s="6"/>
      <c r="H458" s="6"/>
      <c r="I458" s="25"/>
      <c r="J458" s="7"/>
      <c r="K458" s="15"/>
      <c r="L458" s="379">
        <f>IF(H458&lt;&gt;"",J458*K458,SUMIFS(L459:L$9844,$F459:$F$9844,"*"&amp;F458&amp;"*",$H459:$H$9844,"&lt;&gt;"))</f>
        <v>0</v>
      </c>
      <c r="M458" s="379" t="str">
        <f>IF(Tabela2[[#This Row],[UNID.]]&lt;&gt;"",IFERROR(VLOOKUP(Tabela2[[#This Row],[AGRUPADOR]],Lucratividade!$D$4:$O$129,6,0),0),"")</f>
        <v/>
      </c>
      <c r="N458" s="379">
        <f>IF(H458&lt;&gt;"",J458*M458*I458,SUMIFS(N459:N$9844,$F459:$F$9844,"*"&amp;F458&amp;"*",$H459:$H$9844,"&lt;&gt;"))</f>
        <v>0</v>
      </c>
      <c r="O458" s="162" t="str">
        <f>IFERROR((-Tabela2[[#This Row],[CUSTO TOTAL]]+Tabela2[[#This Row],[VENDA TOTAL]])/Tabela2[[#This Row],[VENDA TOTAL]]-PARAMETROS!$C$19,"")</f>
        <v/>
      </c>
      <c r="AA458" s="219">
        <f>SUM(Plan_Orc[[#This Row],[01/jan]:[01/dez]])</f>
        <v>0</v>
      </c>
      <c r="AB458" s="114"/>
      <c r="AC458" s="114"/>
      <c r="AD458" s="114"/>
      <c r="AE458" s="114"/>
      <c r="AF458" s="114"/>
      <c r="AG458" s="114"/>
      <c r="AH458" s="114"/>
      <c r="AI458" s="114"/>
      <c r="AJ458" s="114"/>
      <c r="AK458" s="114"/>
      <c r="AL458" s="114"/>
      <c r="AM458" s="114"/>
    </row>
    <row r="459" spans="2:39" ht="25.2" customHeight="1" x14ac:dyDescent="0.3">
      <c r="B459" s="13" t="str">
        <f t="shared" si="11"/>
        <v/>
      </c>
      <c r="C459" s="18"/>
      <c r="D459" s="19" t="str">
        <f>IF(Tabela2[[#This Row],[AGRUPADOR]]&lt;&gt;"",VLOOKUP(Tabela2[[#This Row],[AGRUPADOR]],Tabela1[],2,0),"")</f>
        <v/>
      </c>
      <c r="E459" s="19" t="str">
        <f>IF(Tabela2[[#This Row],[AGRUPADOR]]&lt;&gt;"",VLOOKUP(Tabela2[[#This Row],[AGRUPADOR]],Tabela1[],4,0),"")</f>
        <v/>
      </c>
      <c r="F459" s="14"/>
      <c r="G459" s="6"/>
      <c r="H459" s="6"/>
      <c r="I459" s="25"/>
      <c r="J459" s="7"/>
      <c r="K459" s="15"/>
      <c r="L459" s="379">
        <f>IF(H459&lt;&gt;"",J459*K459,SUMIFS(L460:L$9844,$F460:$F$9844,"*"&amp;F459&amp;"*",$H460:$H$9844,"&lt;&gt;"))</f>
        <v>0</v>
      </c>
      <c r="M459" s="379" t="str">
        <f>IF(Tabela2[[#This Row],[UNID.]]&lt;&gt;"",IFERROR(VLOOKUP(Tabela2[[#This Row],[AGRUPADOR]],Lucratividade!$D$4:$O$129,6,0),0),"")</f>
        <v/>
      </c>
      <c r="N459" s="379">
        <f>IF(H459&lt;&gt;"",J459*M459*I459,SUMIFS(N460:N$9844,$F460:$F$9844,"*"&amp;F459&amp;"*",$H460:$H$9844,"&lt;&gt;"))</f>
        <v>0</v>
      </c>
      <c r="O459" s="162" t="str">
        <f>IFERROR((-Tabela2[[#This Row],[CUSTO TOTAL]]+Tabela2[[#This Row],[VENDA TOTAL]])/Tabela2[[#This Row],[VENDA TOTAL]]-PARAMETROS!$C$19,"")</f>
        <v/>
      </c>
      <c r="AA459" s="219">
        <f>SUM(Plan_Orc[[#This Row],[01/jan]:[01/dez]])</f>
        <v>0</v>
      </c>
      <c r="AB459" s="114"/>
      <c r="AC459" s="114"/>
      <c r="AD459" s="114"/>
      <c r="AE459" s="114"/>
      <c r="AF459" s="114"/>
      <c r="AG459" s="114"/>
      <c r="AH459" s="114"/>
      <c r="AI459" s="114"/>
      <c r="AJ459" s="114"/>
      <c r="AK459" s="114"/>
      <c r="AL459" s="114"/>
      <c r="AM459" s="114"/>
    </row>
    <row r="460" spans="2:39" ht="25.2" customHeight="1" x14ac:dyDescent="0.3">
      <c r="B460" s="13" t="str">
        <f t="shared" si="11"/>
        <v/>
      </c>
      <c r="C460" s="18"/>
      <c r="D460" s="19" t="str">
        <f>IF(Tabela2[[#This Row],[AGRUPADOR]]&lt;&gt;"",VLOOKUP(Tabela2[[#This Row],[AGRUPADOR]],Tabela1[],2,0),"")</f>
        <v/>
      </c>
      <c r="E460" s="19" t="str">
        <f>IF(Tabela2[[#This Row],[AGRUPADOR]]&lt;&gt;"",VLOOKUP(Tabela2[[#This Row],[AGRUPADOR]],Tabela1[],4,0),"")</f>
        <v/>
      </c>
      <c r="F460" s="14"/>
      <c r="G460" s="6"/>
      <c r="H460" s="6"/>
      <c r="I460" s="25"/>
      <c r="J460" s="7"/>
      <c r="K460" s="15"/>
      <c r="L460" s="379">
        <f>IF(H460&lt;&gt;"",J460*K460,SUMIFS(L461:L$9844,$F461:$F$9844,"*"&amp;F460&amp;"*",$H461:$H$9844,"&lt;&gt;"))</f>
        <v>0</v>
      </c>
      <c r="M460" s="379" t="str">
        <f>IF(Tabela2[[#This Row],[UNID.]]&lt;&gt;"",IFERROR(VLOOKUP(Tabela2[[#This Row],[AGRUPADOR]],Lucratividade!$D$4:$O$129,6,0),0),"")</f>
        <v/>
      </c>
      <c r="N460" s="379">
        <f>IF(H460&lt;&gt;"",J460*M460*I460,SUMIFS(N461:N$9844,$F461:$F$9844,"*"&amp;F460&amp;"*",$H461:$H$9844,"&lt;&gt;"))</f>
        <v>0</v>
      </c>
      <c r="O460" s="162" t="str">
        <f>IFERROR((-Tabela2[[#This Row],[CUSTO TOTAL]]+Tabela2[[#This Row],[VENDA TOTAL]])/Tabela2[[#This Row],[VENDA TOTAL]]-PARAMETROS!$C$19,"")</f>
        <v/>
      </c>
      <c r="AA460" s="219">
        <f>SUM(Plan_Orc[[#This Row],[01/jan]:[01/dez]])</f>
        <v>0</v>
      </c>
      <c r="AB460" s="114"/>
      <c r="AC460" s="114"/>
      <c r="AD460" s="114"/>
      <c r="AE460" s="114"/>
      <c r="AF460" s="114"/>
      <c r="AG460" s="114"/>
      <c r="AH460" s="114"/>
      <c r="AI460" s="114"/>
      <c r="AJ460" s="114"/>
      <c r="AK460" s="114"/>
      <c r="AL460" s="114"/>
      <c r="AM460" s="114"/>
    </row>
    <row r="461" spans="2:39" ht="25.2" customHeight="1" x14ac:dyDescent="0.3">
      <c r="B461" s="13" t="str">
        <f t="shared" si="11"/>
        <v/>
      </c>
      <c r="C461" s="18"/>
      <c r="D461" s="19" t="str">
        <f>IF(Tabela2[[#This Row],[AGRUPADOR]]&lt;&gt;"",VLOOKUP(Tabela2[[#This Row],[AGRUPADOR]],Tabela1[],2,0),"")</f>
        <v/>
      </c>
      <c r="E461" s="19" t="str">
        <f>IF(Tabela2[[#This Row],[AGRUPADOR]]&lt;&gt;"",VLOOKUP(Tabela2[[#This Row],[AGRUPADOR]],Tabela1[],4,0),"")</f>
        <v/>
      </c>
      <c r="F461" s="14"/>
      <c r="G461" s="6"/>
      <c r="H461" s="6"/>
      <c r="I461" s="25"/>
      <c r="J461" s="7"/>
      <c r="K461" s="15"/>
      <c r="L461" s="379">
        <f>IF(H461&lt;&gt;"",J461*K461,SUMIFS(L462:L$9844,$F462:$F$9844,"*"&amp;F461&amp;"*",$H462:$H$9844,"&lt;&gt;"))</f>
        <v>0</v>
      </c>
      <c r="M461" s="379" t="str">
        <f>IF(Tabela2[[#This Row],[UNID.]]&lt;&gt;"",IFERROR(VLOOKUP(Tabela2[[#This Row],[AGRUPADOR]],Lucratividade!$D$4:$O$129,6,0),0),"")</f>
        <v/>
      </c>
      <c r="N461" s="379">
        <f>IF(H461&lt;&gt;"",J461*M461*I461,SUMIFS(N462:N$9844,$F462:$F$9844,"*"&amp;F461&amp;"*",$H462:$H$9844,"&lt;&gt;"))</f>
        <v>0</v>
      </c>
      <c r="O461" s="162" t="str">
        <f>IFERROR((-Tabela2[[#This Row],[CUSTO TOTAL]]+Tabela2[[#This Row],[VENDA TOTAL]])/Tabela2[[#This Row],[VENDA TOTAL]]-PARAMETROS!$C$19,"")</f>
        <v/>
      </c>
      <c r="AA461" s="219">
        <f>SUM(Plan_Orc[[#This Row],[01/jan]:[01/dez]])</f>
        <v>0</v>
      </c>
      <c r="AB461" s="114"/>
      <c r="AC461" s="114"/>
      <c r="AD461" s="114"/>
      <c r="AE461" s="114"/>
      <c r="AF461" s="114"/>
      <c r="AG461" s="114"/>
      <c r="AH461" s="114"/>
      <c r="AI461" s="114"/>
      <c r="AJ461" s="114"/>
      <c r="AK461" s="114"/>
      <c r="AL461" s="114"/>
      <c r="AM461" s="114"/>
    </row>
    <row r="462" spans="2:39" ht="25.2" customHeight="1" x14ac:dyDescent="0.3">
      <c r="B462" s="13" t="str">
        <f t="shared" si="11"/>
        <v/>
      </c>
      <c r="C462" s="18"/>
      <c r="D462" s="19" t="str">
        <f>IF(Tabela2[[#This Row],[AGRUPADOR]]&lt;&gt;"",VLOOKUP(Tabela2[[#This Row],[AGRUPADOR]],Tabela1[],2,0),"")</f>
        <v/>
      </c>
      <c r="E462" s="19" t="str">
        <f>IF(Tabela2[[#This Row],[AGRUPADOR]]&lt;&gt;"",VLOOKUP(Tabela2[[#This Row],[AGRUPADOR]],Tabela1[],4,0),"")</f>
        <v/>
      </c>
      <c r="F462" s="14"/>
      <c r="G462" s="6"/>
      <c r="H462" s="6"/>
      <c r="I462" s="25"/>
      <c r="J462" s="7"/>
      <c r="K462" s="15"/>
      <c r="L462" s="379">
        <f>IF(H462&lt;&gt;"",J462*K462,SUMIFS(L463:L$9844,$F463:$F$9844,"*"&amp;F462&amp;"*",$H463:$H$9844,"&lt;&gt;"))</f>
        <v>0</v>
      </c>
      <c r="M462" s="379" t="str">
        <f>IF(Tabela2[[#This Row],[UNID.]]&lt;&gt;"",IFERROR(VLOOKUP(Tabela2[[#This Row],[AGRUPADOR]],Lucratividade!$D$4:$O$129,6,0),0),"")</f>
        <v/>
      </c>
      <c r="N462" s="379">
        <f>IF(H462&lt;&gt;"",J462*M462*I462,SUMIFS(N463:N$9844,$F463:$F$9844,"*"&amp;F462&amp;"*",$H463:$H$9844,"&lt;&gt;"))</f>
        <v>0</v>
      </c>
      <c r="O462" s="162" t="str">
        <f>IFERROR((-Tabela2[[#This Row],[CUSTO TOTAL]]+Tabela2[[#This Row],[VENDA TOTAL]])/Tabela2[[#This Row],[VENDA TOTAL]]-PARAMETROS!$C$19,"")</f>
        <v/>
      </c>
      <c r="AA462" s="219">
        <f>SUM(Plan_Orc[[#This Row],[01/jan]:[01/dez]])</f>
        <v>0</v>
      </c>
      <c r="AB462" s="114"/>
      <c r="AC462" s="114"/>
      <c r="AD462" s="114"/>
      <c r="AE462" s="114"/>
      <c r="AF462" s="114"/>
      <c r="AG462" s="114"/>
      <c r="AH462" s="114"/>
      <c r="AI462" s="114"/>
      <c r="AJ462" s="114"/>
      <c r="AK462" s="114"/>
      <c r="AL462" s="114"/>
      <c r="AM462" s="114"/>
    </row>
    <row r="463" spans="2:39" ht="25.2" customHeight="1" x14ac:dyDescent="0.3">
      <c r="B463" s="13" t="str">
        <f t="shared" si="11"/>
        <v/>
      </c>
      <c r="C463" s="18"/>
      <c r="D463" s="19" t="str">
        <f>IF(Tabela2[[#This Row],[AGRUPADOR]]&lt;&gt;"",VLOOKUP(Tabela2[[#This Row],[AGRUPADOR]],Tabela1[],2,0),"")</f>
        <v/>
      </c>
      <c r="E463" s="19" t="str">
        <f>IF(Tabela2[[#This Row],[AGRUPADOR]]&lt;&gt;"",VLOOKUP(Tabela2[[#This Row],[AGRUPADOR]],Tabela1[],4,0),"")</f>
        <v/>
      </c>
      <c r="F463" s="14"/>
      <c r="G463" s="6"/>
      <c r="H463" s="6"/>
      <c r="I463" s="25"/>
      <c r="J463" s="7"/>
      <c r="K463" s="15"/>
      <c r="L463" s="379">
        <f>IF(H463&lt;&gt;"",J463*K463,SUMIFS(L464:L$9844,$F464:$F$9844,"*"&amp;F463&amp;"*",$H464:$H$9844,"&lt;&gt;"))</f>
        <v>0</v>
      </c>
      <c r="M463" s="379" t="str">
        <f>IF(Tabela2[[#This Row],[UNID.]]&lt;&gt;"",IFERROR(VLOOKUP(Tabela2[[#This Row],[AGRUPADOR]],Lucratividade!$D$4:$O$129,6,0),0),"")</f>
        <v/>
      </c>
      <c r="N463" s="379">
        <f>IF(H463&lt;&gt;"",J463*M463*I463,SUMIFS(N464:N$9844,$F464:$F$9844,"*"&amp;F463&amp;"*",$H464:$H$9844,"&lt;&gt;"))</f>
        <v>0</v>
      </c>
      <c r="O463" s="162" t="str">
        <f>IFERROR((-Tabela2[[#This Row],[CUSTO TOTAL]]+Tabela2[[#This Row],[VENDA TOTAL]])/Tabela2[[#This Row],[VENDA TOTAL]]-PARAMETROS!$C$19,"")</f>
        <v/>
      </c>
      <c r="AA463" s="219">
        <f>SUM(Plan_Orc[[#This Row],[01/jan]:[01/dez]])</f>
        <v>0</v>
      </c>
      <c r="AB463" s="114"/>
      <c r="AC463" s="114"/>
      <c r="AD463" s="114"/>
      <c r="AE463" s="114"/>
      <c r="AF463" s="114"/>
      <c r="AG463" s="114"/>
      <c r="AH463" s="114"/>
      <c r="AI463" s="114"/>
      <c r="AJ463" s="114"/>
      <c r="AK463" s="114"/>
      <c r="AL463" s="114"/>
      <c r="AM463" s="114"/>
    </row>
    <row r="464" spans="2:39" ht="25.2" customHeight="1" x14ac:dyDescent="0.3">
      <c r="B464" s="13" t="str">
        <f t="shared" si="11"/>
        <v/>
      </c>
      <c r="C464" s="18"/>
      <c r="D464" s="19" t="str">
        <f>IF(Tabela2[[#This Row],[AGRUPADOR]]&lt;&gt;"",VLOOKUP(Tabela2[[#This Row],[AGRUPADOR]],Tabela1[],2,0),"")</f>
        <v/>
      </c>
      <c r="E464" s="19" t="str">
        <f>IF(Tabela2[[#This Row],[AGRUPADOR]]&lt;&gt;"",VLOOKUP(Tabela2[[#This Row],[AGRUPADOR]],Tabela1[],4,0),"")</f>
        <v/>
      </c>
      <c r="F464" s="14"/>
      <c r="G464" s="6"/>
      <c r="H464" s="6"/>
      <c r="I464" s="25"/>
      <c r="J464" s="7"/>
      <c r="K464" s="15"/>
      <c r="L464" s="379">
        <f>IF(H464&lt;&gt;"",J464*K464,SUMIFS(L465:L$9844,$F465:$F$9844,"*"&amp;F464&amp;"*",$H465:$H$9844,"&lt;&gt;"))</f>
        <v>0</v>
      </c>
      <c r="M464" s="379" t="str">
        <f>IF(Tabela2[[#This Row],[UNID.]]&lt;&gt;"",IFERROR(VLOOKUP(Tabela2[[#This Row],[AGRUPADOR]],Lucratividade!$D$4:$O$129,6,0),0),"")</f>
        <v/>
      </c>
      <c r="N464" s="379">
        <f>IF(H464&lt;&gt;"",J464*M464*I464,SUMIFS(N465:N$9844,$F465:$F$9844,"*"&amp;F464&amp;"*",$H465:$H$9844,"&lt;&gt;"))</f>
        <v>0</v>
      </c>
      <c r="O464" s="162" t="str">
        <f>IFERROR((-Tabela2[[#This Row],[CUSTO TOTAL]]+Tabela2[[#This Row],[VENDA TOTAL]])/Tabela2[[#This Row],[VENDA TOTAL]]-PARAMETROS!$C$19,"")</f>
        <v/>
      </c>
      <c r="AA464" s="219">
        <f>SUM(Plan_Orc[[#This Row],[01/jan]:[01/dez]])</f>
        <v>0</v>
      </c>
      <c r="AB464" s="114"/>
      <c r="AC464" s="114"/>
      <c r="AD464" s="114"/>
      <c r="AE464" s="114"/>
      <c r="AF464" s="114"/>
      <c r="AG464" s="114"/>
      <c r="AH464" s="114"/>
      <c r="AI464" s="114"/>
      <c r="AJ464" s="114"/>
      <c r="AK464" s="114"/>
      <c r="AL464" s="114"/>
      <c r="AM464" s="114"/>
    </row>
    <row r="465" spans="2:39" ht="25.2" customHeight="1" x14ac:dyDescent="0.3">
      <c r="B465" s="13" t="str">
        <f t="shared" si="11"/>
        <v/>
      </c>
      <c r="C465" s="18"/>
      <c r="D465" s="19" t="str">
        <f>IF(Tabela2[[#This Row],[AGRUPADOR]]&lt;&gt;"",VLOOKUP(Tabela2[[#This Row],[AGRUPADOR]],Tabela1[],2,0),"")</f>
        <v/>
      </c>
      <c r="E465" s="19" t="str">
        <f>IF(Tabela2[[#This Row],[AGRUPADOR]]&lt;&gt;"",VLOOKUP(Tabela2[[#This Row],[AGRUPADOR]],Tabela1[],4,0),"")</f>
        <v/>
      </c>
      <c r="F465" s="14"/>
      <c r="G465" s="6"/>
      <c r="H465" s="6"/>
      <c r="I465" s="25"/>
      <c r="J465" s="7"/>
      <c r="K465" s="15"/>
      <c r="L465" s="379">
        <f>IF(H465&lt;&gt;"",J465*K465,SUMIFS(L466:L$9844,$F466:$F$9844,"*"&amp;F465&amp;"*",$H466:$H$9844,"&lt;&gt;"))</f>
        <v>0</v>
      </c>
      <c r="M465" s="379" t="str">
        <f>IF(Tabela2[[#This Row],[UNID.]]&lt;&gt;"",IFERROR(VLOOKUP(Tabela2[[#This Row],[AGRUPADOR]],Lucratividade!$D$4:$O$129,6,0),0),"")</f>
        <v/>
      </c>
      <c r="N465" s="379">
        <f>IF(H465&lt;&gt;"",J465*M465*I465,SUMIFS(N466:N$9844,$F466:$F$9844,"*"&amp;F465&amp;"*",$H466:$H$9844,"&lt;&gt;"))</f>
        <v>0</v>
      </c>
      <c r="O465" s="162" t="str">
        <f>IFERROR((-Tabela2[[#This Row],[CUSTO TOTAL]]+Tabela2[[#This Row],[VENDA TOTAL]])/Tabela2[[#This Row],[VENDA TOTAL]]-PARAMETROS!$C$19,"")</f>
        <v/>
      </c>
      <c r="AA465" s="219">
        <f>SUM(Plan_Orc[[#This Row],[01/jan]:[01/dez]])</f>
        <v>0</v>
      </c>
      <c r="AB465" s="114"/>
      <c r="AC465" s="114"/>
      <c r="AD465" s="114"/>
      <c r="AE465" s="114"/>
      <c r="AF465" s="114"/>
      <c r="AG465" s="114"/>
      <c r="AH465" s="114"/>
      <c r="AI465" s="114"/>
      <c r="AJ465" s="114"/>
      <c r="AK465" s="114"/>
      <c r="AL465" s="114"/>
      <c r="AM465" s="114"/>
    </row>
    <row r="466" spans="2:39" ht="25.2" customHeight="1" x14ac:dyDescent="0.3">
      <c r="B466" s="13" t="str">
        <f t="shared" si="11"/>
        <v/>
      </c>
      <c r="C466" s="18"/>
      <c r="D466" s="19" t="str">
        <f>IF(Tabela2[[#This Row],[AGRUPADOR]]&lt;&gt;"",VLOOKUP(Tabela2[[#This Row],[AGRUPADOR]],Tabela1[],2,0),"")</f>
        <v/>
      </c>
      <c r="E466" s="19" t="str">
        <f>IF(Tabela2[[#This Row],[AGRUPADOR]]&lt;&gt;"",VLOOKUP(Tabela2[[#This Row],[AGRUPADOR]],Tabela1[],4,0),"")</f>
        <v/>
      </c>
      <c r="F466" s="14"/>
      <c r="G466" s="6"/>
      <c r="H466" s="6"/>
      <c r="I466" s="25"/>
      <c r="J466" s="7"/>
      <c r="K466" s="15"/>
      <c r="L466" s="379">
        <f>IF(H466&lt;&gt;"",J466*K466,SUMIFS(L467:L$9844,$F467:$F$9844,"*"&amp;F466&amp;"*",$H467:$H$9844,"&lt;&gt;"))</f>
        <v>0</v>
      </c>
      <c r="M466" s="379" t="str">
        <f>IF(Tabela2[[#This Row],[UNID.]]&lt;&gt;"",IFERROR(VLOOKUP(Tabela2[[#This Row],[AGRUPADOR]],Lucratividade!$D$4:$O$129,6,0),0),"")</f>
        <v/>
      </c>
      <c r="N466" s="379">
        <f>IF(H466&lt;&gt;"",J466*M466*I466,SUMIFS(N467:N$9844,$F467:$F$9844,"*"&amp;F466&amp;"*",$H467:$H$9844,"&lt;&gt;"))</f>
        <v>0</v>
      </c>
      <c r="O466" s="162" t="str">
        <f>IFERROR((-Tabela2[[#This Row],[CUSTO TOTAL]]+Tabela2[[#This Row],[VENDA TOTAL]])/Tabela2[[#This Row],[VENDA TOTAL]]-PARAMETROS!$C$19,"")</f>
        <v/>
      </c>
      <c r="AA466" s="219">
        <f>SUM(Plan_Orc[[#This Row],[01/jan]:[01/dez]])</f>
        <v>0</v>
      </c>
      <c r="AB466" s="114"/>
      <c r="AC466" s="114"/>
      <c r="AD466" s="114"/>
      <c r="AE466" s="114"/>
      <c r="AF466" s="114"/>
      <c r="AG466" s="114"/>
      <c r="AH466" s="114"/>
      <c r="AI466" s="114"/>
      <c r="AJ466" s="114"/>
      <c r="AK466" s="114"/>
      <c r="AL466" s="114"/>
      <c r="AM466" s="114"/>
    </row>
    <row r="467" spans="2:39" ht="25.2" customHeight="1" x14ac:dyDescent="0.3">
      <c r="B467" s="13" t="str">
        <f t="shared" si="11"/>
        <v/>
      </c>
      <c r="C467" s="18"/>
      <c r="D467" s="19" t="str">
        <f>IF(Tabela2[[#This Row],[AGRUPADOR]]&lt;&gt;"",VLOOKUP(Tabela2[[#This Row],[AGRUPADOR]],Tabela1[],2,0),"")</f>
        <v/>
      </c>
      <c r="E467" s="19" t="str">
        <f>IF(Tabela2[[#This Row],[AGRUPADOR]]&lt;&gt;"",VLOOKUP(Tabela2[[#This Row],[AGRUPADOR]],Tabela1[],4,0),"")</f>
        <v/>
      </c>
      <c r="F467" s="14"/>
      <c r="G467" s="6"/>
      <c r="H467" s="6"/>
      <c r="I467" s="25"/>
      <c r="J467" s="7"/>
      <c r="K467" s="15"/>
      <c r="L467" s="379">
        <f>IF(H467&lt;&gt;"",J467*K467,SUMIFS(L468:L$9844,$F468:$F$9844,"*"&amp;F467&amp;"*",$H468:$H$9844,"&lt;&gt;"))</f>
        <v>0</v>
      </c>
      <c r="M467" s="379" t="str">
        <f>IF(Tabela2[[#This Row],[UNID.]]&lt;&gt;"",IFERROR(VLOOKUP(Tabela2[[#This Row],[AGRUPADOR]],Lucratividade!$D$4:$O$129,6,0),0),"")</f>
        <v/>
      </c>
      <c r="N467" s="379">
        <f>IF(H467&lt;&gt;"",J467*M467*I467,SUMIFS(N468:N$9844,$F468:$F$9844,"*"&amp;F467&amp;"*",$H468:$H$9844,"&lt;&gt;"))</f>
        <v>0</v>
      </c>
      <c r="O467" s="162" t="str">
        <f>IFERROR((-Tabela2[[#This Row],[CUSTO TOTAL]]+Tabela2[[#This Row],[VENDA TOTAL]])/Tabela2[[#This Row],[VENDA TOTAL]]-PARAMETROS!$C$19,"")</f>
        <v/>
      </c>
      <c r="AA467" s="219">
        <f>SUM(Plan_Orc[[#This Row],[01/jan]:[01/dez]])</f>
        <v>0</v>
      </c>
      <c r="AB467" s="114"/>
      <c r="AC467" s="114"/>
      <c r="AD467" s="114"/>
      <c r="AE467" s="114"/>
      <c r="AF467" s="114"/>
      <c r="AG467" s="114"/>
      <c r="AH467" s="114"/>
      <c r="AI467" s="114"/>
      <c r="AJ467" s="114"/>
      <c r="AK467" s="114"/>
      <c r="AL467" s="114"/>
      <c r="AM467" s="114"/>
    </row>
    <row r="468" spans="2:39" ht="25.2" customHeight="1" x14ac:dyDescent="0.3">
      <c r="B468" s="13" t="str">
        <f t="shared" si="11"/>
        <v/>
      </c>
      <c r="C468" s="18"/>
      <c r="D468" s="19" t="str">
        <f>IF(Tabela2[[#This Row],[AGRUPADOR]]&lt;&gt;"",VLOOKUP(Tabela2[[#This Row],[AGRUPADOR]],Tabela1[],2,0),"")</f>
        <v/>
      </c>
      <c r="E468" s="19" t="str">
        <f>IF(Tabela2[[#This Row],[AGRUPADOR]]&lt;&gt;"",VLOOKUP(Tabela2[[#This Row],[AGRUPADOR]],Tabela1[],4,0),"")</f>
        <v/>
      </c>
      <c r="F468" s="14"/>
      <c r="G468" s="6"/>
      <c r="H468" s="6"/>
      <c r="I468" s="25"/>
      <c r="J468" s="7"/>
      <c r="K468" s="15"/>
      <c r="L468" s="379">
        <f>IF(H468&lt;&gt;"",J468*K468,SUMIFS(L469:L$9844,$F469:$F$9844,"*"&amp;F468&amp;"*",$H469:$H$9844,"&lt;&gt;"))</f>
        <v>0</v>
      </c>
      <c r="M468" s="379" t="str">
        <f>IF(Tabela2[[#This Row],[UNID.]]&lt;&gt;"",IFERROR(VLOOKUP(Tabela2[[#This Row],[AGRUPADOR]],Lucratividade!$D$4:$O$129,6,0),0),"")</f>
        <v/>
      </c>
      <c r="N468" s="379">
        <f>IF(H468&lt;&gt;"",J468*M468*I468,SUMIFS(N469:N$9844,$F469:$F$9844,"*"&amp;F468&amp;"*",$H469:$H$9844,"&lt;&gt;"))</f>
        <v>0</v>
      </c>
      <c r="O468" s="162" t="str">
        <f>IFERROR((-Tabela2[[#This Row],[CUSTO TOTAL]]+Tabela2[[#This Row],[VENDA TOTAL]])/Tabela2[[#This Row],[VENDA TOTAL]]-PARAMETROS!$C$19,"")</f>
        <v/>
      </c>
      <c r="AA468" s="219">
        <f>SUM(Plan_Orc[[#This Row],[01/jan]:[01/dez]])</f>
        <v>0</v>
      </c>
      <c r="AB468" s="114"/>
      <c r="AC468" s="114"/>
      <c r="AD468" s="114"/>
      <c r="AE468" s="114"/>
      <c r="AF468" s="114"/>
      <c r="AG468" s="114"/>
      <c r="AH468" s="114"/>
      <c r="AI468" s="114"/>
      <c r="AJ468" s="114"/>
      <c r="AK468" s="114"/>
      <c r="AL468" s="114"/>
      <c r="AM468" s="114"/>
    </row>
    <row r="469" spans="2:39" ht="25.2" customHeight="1" x14ac:dyDescent="0.3">
      <c r="B469" s="13" t="str">
        <f t="shared" si="11"/>
        <v/>
      </c>
      <c r="C469" s="18"/>
      <c r="D469" s="19" t="str">
        <f>IF(Tabela2[[#This Row],[AGRUPADOR]]&lt;&gt;"",VLOOKUP(Tabela2[[#This Row],[AGRUPADOR]],Tabela1[],2,0),"")</f>
        <v/>
      </c>
      <c r="E469" s="19" t="str">
        <f>IF(Tabela2[[#This Row],[AGRUPADOR]]&lt;&gt;"",VLOOKUP(Tabela2[[#This Row],[AGRUPADOR]],Tabela1[],4,0),"")</f>
        <v/>
      </c>
      <c r="F469" s="14"/>
      <c r="G469" s="6"/>
      <c r="H469" s="6"/>
      <c r="I469" s="25"/>
      <c r="J469" s="7"/>
      <c r="K469" s="15"/>
      <c r="L469" s="379">
        <f>IF(H469&lt;&gt;"",J469*K469,SUMIFS(L470:L$9844,$F470:$F$9844,"*"&amp;F469&amp;"*",$H470:$H$9844,"&lt;&gt;"))</f>
        <v>0</v>
      </c>
      <c r="M469" s="379" t="str">
        <f>IF(Tabela2[[#This Row],[UNID.]]&lt;&gt;"",IFERROR(VLOOKUP(Tabela2[[#This Row],[AGRUPADOR]],Lucratividade!$D$4:$O$129,6,0),0),"")</f>
        <v/>
      </c>
      <c r="N469" s="379">
        <f>IF(H469&lt;&gt;"",J469*M469*I469,SUMIFS(N470:N$9844,$F470:$F$9844,"*"&amp;F469&amp;"*",$H470:$H$9844,"&lt;&gt;"))</f>
        <v>0</v>
      </c>
      <c r="O469" s="162" t="str">
        <f>IFERROR((-Tabela2[[#This Row],[CUSTO TOTAL]]+Tabela2[[#This Row],[VENDA TOTAL]])/Tabela2[[#This Row],[VENDA TOTAL]]-PARAMETROS!$C$19,"")</f>
        <v/>
      </c>
      <c r="AA469" s="219">
        <f>SUM(Plan_Orc[[#This Row],[01/jan]:[01/dez]])</f>
        <v>0</v>
      </c>
      <c r="AB469" s="114"/>
      <c r="AC469" s="114"/>
      <c r="AD469" s="114"/>
      <c r="AE469" s="114"/>
      <c r="AF469" s="114"/>
      <c r="AG469" s="114"/>
      <c r="AH469" s="114"/>
      <c r="AI469" s="114"/>
      <c r="AJ469" s="114"/>
      <c r="AK469" s="114"/>
      <c r="AL469" s="114"/>
      <c r="AM469" s="114"/>
    </row>
    <row r="470" spans="2:39" ht="25.2" customHeight="1" x14ac:dyDescent="0.3">
      <c r="B470" s="13" t="str">
        <f t="shared" si="11"/>
        <v/>
      </c>
      <c r="C470" s="18"/>
      <c r="D470" s="19" t="str">
        <f>IF(Tabela2[[#This Row],[AGRUPADOR]]&lt;&gt;"",VLOOKUP(Tabela2[[#This Row],[AGRUPADOR]],Tabela1[],2,0),"")</f>
        <v/>
      </c>
      <c r="E470" s="19" t="str">
        <f>IF(Tabela2[[#This Row],[AGRUPADOR]]&lt;&gt;"",VLOOKUP(Tabela2[[#This Row],[AGRUPADOR]],Tabela1[],4,0),"")</f>
        <v/>
      </c>
      <c r="F470" s="14"/>
      <c r="G470" s="6"/>
      <c r="H470" s="6"/>
      <c r="I470" s="25"/>
      <c r="J470" s="7"/>
      <c r="K470" s="15"/>
      <c r="L470" s="379">
        <f>IF(H470&lt;&gt;"",J470*K470,SUMIFS(L471:L$9844,$F471:$F$9844,"*"&amp;F470&amp;"*",$H471:$H$9844,"&lt;&gt;"))</f>
        <v>0</v>
      </c>
      <c r="M470" s="379" t="str">
        <f>IF(Tabela2[[#This Row],[UNID.]]&lt;&gt;"",IFERROR(VLOOKUP(Tabela2[[#This Row],[AGRUPADOR]],Lucratividade!$D$4:$O$129,6,0),0),"")</f>
        <v/>
      </c>
      <c r="N470" s="379">
        <f>IF(H470&lt;&gt;"",J470*M470*I470,SUMIFS(N471:N$9844,$F471:$F$9844,"*"&amp;F470&amp;"*",$H471:$H$9844,"&lt;&gt;"))</f>
        <v>0</v>
      </c>
      <c r="O470" s="162" t="str">
        <f>IFERROR((-Tabela2[[#This Row],[CUSTO TOTAL]]+Tabela2[[#This Row],[VENDA TOTAL]])/Tabela2[[#This Row],[VENDA TOTAL]]-PARAMETROS!$C$19,"")</f>
        <v/>
      </c>
      <c r="AA470" s="219">
        <f>SUM(Plan_Orc[[#This Row],[01/jan]:[01/dez]])</f>
        <v>0</v>
      </c>
      <c r="AB470" s="114"/>
      <c r="AC470" s="114"/>
      <c r="AD470" s="114"/>
      <c r="AE470" s="114"/>
      <c r="AF470" s="114"/>
      <c r="AG470" s="114"/>
      <c r="AH470" s="114"/>
      <c r="AI470" s="114"/>
      <c r="AJ470" s="114"/>
      <c r="AK470" s="114"/>
      <c r="AL470" s="114"/>
      <c r="AM470" s="114"/>
    </row>
    <row r="471" spans="2:39" ht="25.2" customHeight="1" x14ac:dyDescent="0.3">
      <c r="B471" s="13" t="str">
        <f t="shared" si="11"/>
        <v/>
      </c>
      <c r="C471" s="18"/>
      <c r="D471" s="19" t="str">
        <f>IF(Tabela2[[#This Row],[AGRUPADOR]]&lt;&gt;"",VLOOKUP(Tabela2[[#This Row],[AGRUPADOR]],Tabela1[],2,0),"")</f>
        <v/>
      </c>
      <c r="E471" s="19" t="str">
        <f>IF(Tabela2[[#This Row],[AGRUPADOR]]&lt;&gt;"",VLOOKUP(Tabela2[[#This Row],[AGRUPADOR]],Tabela1[],4,0),"")</f>
        <v/>
      </c>
      <c r="F471" s="14"/>
      <c r="G471" s="6"/>
      <c r="H471" s="6"/>
      <c r="I471" s="25"/>
      <c r="J471" s="7"/>
      <c r="K471" s="15"/>
      <c r="L471" s="379">
        <f>IF(H471&lt;&gt;"",J471*K471,SUMIFS(L472:L$9844,$F472:$F$9844,"*"&amp;F471&amp;"*",$H472:$H$9844,"&lt;&gt;"))</f>
        <v>0</v>
      </c>
      <c r="M471" s="379" t="str">
        <f>IF(Tabela2[[#This Row],[UNID.]]&lt;&gt;"",IFERROR(VLOOKUP(Tabela2[[#This Row],[AGRUPADOR]],Lucratividade!$D$4:$O$129,6,0),0),"")</f>
        <v/>
      </c>
      <c r="N471" s="379">
        <f>IF(H471&lt;&gt;"",J471*M471*I471,SUMIFS(N472:N$9844,$F472:$F$9844,"*"&amp;F471&amp;"*",$H472:$H$9844,"&lt;&gt;"))</f>
        <v>0</v>
      </c>
      <c r="O471" s="162" t="str">
        <f>IFERROR((-Tabela2[[#This Row],[CUSTO TOTAL]]+Tabela2[[#This Row],[VENDA TOTAL]])/Tabela2[[#This Row],[VENDA TOTAL]]-PARAMETROS!$C$19,"")</f>
        <v/>
      </c>
      <c r="AA471" s="219">
        <f>SUM(Plan_Orc[[#This Row],[01/jan]:[01/dez]])</f>
        <v>0</v>
      </c>
      <c r="AB471" s="114"/>
      <c r="AC471" s="114"/>
      <c r="AD471" s="114"/>
      <c r="AE471" s="114"/>
      <c r="AF471" s="114"/>
      <c r="AG471" s="114"/>
      <c r="AH471" s="114"/>
      <c r="AI471" s="114"/>
      <c r="AJ471" s="114"/>
      <c r="AK471" s="114"/>
      <c r="AL471" s="114"/>
      <c r="AM471" s="114"/>
    </row>
    <row r="472" spans="2:39" ht="25.2" customHeight="1" x14ac:dyDescent="0.3">
      <c r="B472" s="13" t="str">
        <f t="shared" si="11"/>
        <v/>
      </c>
      <c r="C472" s="18"/>
      <c r="D472" s="19" t="str">
        <f>IF(Tabela2[[#This Row],[AGRUPADOR]]&lt;&gt;"",VLOOKUP(Tabela2[[#This Row],[AGRUPADOR]],Tabela1[],2,0),"")</f>
        <v/>
      </c>
      <c r="E472" s="19" t="str">
        <f>IF(Tabela2[[#This Row],[AGRUPADOR]]&lt;&gt;"",VLOOKUP(Tabela2[[#This Row],[AGRUPADOR]],Tabela1[],4,0),"")</f>
        <v/>
      </c>
      <c r="F472" s="14"/>
      <c r="G472" s="6"/>
      <c r="H472" s="6"/>
      <c r="I472" s="25"/>
      <c r="J472" s="7"/>
      <c r="K472" s="15"/>
      <c r="L472" s="379">
        <f>IF(H472&lt;&gt;"",J472*K472,SUMIFS(L473:L$9844,$F473:$F$9844,"*"&amp;F472&amp;"*",$H473:$H$9844,"&lt;&gt;"))</f>
        <v>0</v>
      </c>
      <c r="M472" s="379" t="str">
        <f>IF(Tabela2[[#This Row],[UNID.]]&lt;&gt;"",IFERROR(VLOOKUP(Tabela2[[#This Row],[AGRUPADOR]],Lucratividade!$D$4:$O$129,6,0),0),"")</f>
        <v/>
      </c>
      <c r="N472" s="379">
        <f>IF(H472&lt;&gt;"",J472*M472*I472,SUMIFS(N473:N$9844,$F473:$F$9844,"*"&amp;F472&amp;"*",$H473:$H$9844,"&lt;&gt;"))</f>
        <v>0</v>
      </c>
      <c r="O472" s="162" t="str">
        <f>IFERROR((-Tabela2[[#This Row],[CUSTO TOTAL]]+Tabela2[[#This Row],[VENDA TOTAL]])/Tabela2[[#This Row],[VENDA TOTAL]]-PARAMETROS!$C$19,"")</f>
        <v/>
      </c>
      <c r="AA472" s="219">
        <f>SUM(Plan_Orc[[#This Row],[01/jan]:[01/dez]])</f>
        <v>0</v>
      </c>
      <c r="AB472" s="114"/>
      <c r="AC472" s="114"/>
      <c r="AD472" s="114"/>
      <c r="AE472" s="114"/>
      <c r="AF472" s="114"/>
      <c r="AG472" s="114"/>
      <c r="AH472" s="114"/>
      <c r="AI472" s="114"/>
      <c r="AJ472" s="114"/>
      <c r="AK472" s="114"/>
      <c r="AL472" s="114"/>
      <c r="AM472" s="114"/>
    </row>
    <row r="473" spans="2:39" ht="25.2" customHeight="1" x14ac:dyDescent="0.3">
      <c r="B473" s="13" t="str">
        <f t="shared" si="11"/>
        <v/>
      </c>
      <c r="C473" s="18"/>
      <c r="D473" s="19" t="str">
        <f>IF(Tabela2[[#This Row],[AGRUPADOR]]&lt;&gt;"",VLOOKUP(Tabela2[[#This Row],[AGRUPADOR]],Tabela1[],2,0),"")</f>
        <v/>
      </c>
      <c r="E473" s="19" t="str">
        <f>IF(Tabela2[[#This Row],[AGRUPADOR]]&lt;&gt;"",VLOOKUP(Tabela2[[#This Row],[AGRUPADOR]],Tabela1[],4,0),"")</f>
        <v/>
      </c>
      <c r="F473" s="14"/>
      <c r="G473" s="6"/>
      <c r="H473" s="6"/>
      <c r="I473" s="25"/>
      <c r="J473" s="7"/>
      <c r="K473" s="15"/>
      <c r="L473" s="379">
        <f>IF(H473&lt;&gt;"",J473*K473,SUMIFS(L474:L$9844,$F474:$F$9844,"*"&amp;F473&amp;"*",$H474:$H$9844,"&lt;&gt;"))</f>
        <v>0</v>
      </c>
      <c r="M473" s="379" t="str">
        <f>IF(Tabela2[[#This Row],[UNID.]]&lt;&gt;"",IFERROR(VLOOKUP(Tabela2[[#This Row],[AGRUPADOR]],Lucratividade!$D$4:$O$129,6,0),0),"")</f>
        <v/>
      </c>
      <c r="N473" s="379">
        <f>IF(H473&lt;&gt;"",J473*M473*I473,SUMIFS(N474:N$9844,$F474:$F$9844,"*"&amp;F473&amp;"*",$H474:$H$9844,"&lt;&gt;"))</f>
        <v>0</v>
      </c>
      <c r="O473" s="162" t="str">
        <f>IFERROR((-Tabela2[[#This Row],[CUSTO TOTAL]]+Tabela2[[#This Row],[VENDA TOTAL]])/Tabela2[[#This Row],[VENDA TOTAL]]-PARAMETROS!$C$19,"")</f>
        <v/>
      </c>
      <c r="AA473" s="219">
        <f>SUM(Plan_Orc[[#This Row],[01/jan]:[01/dez]])</f>
        <v>0</v>
      </c>
      <c r="AB473" s="114"/>
      <c r="AC473" s="114"/>
      <c r="AD473" s="114"/>
      <c r="AE473" s="114"/>
      <c r="AF473" s="114"/>
      <c r="AG473" s="114"/>
      <c r="AH473" s="114"/>
      <c r="AI473" s="114"/>
      <c r="AJ473" s="114"/>
      <c r="AK473" s="114"/>
      <c r="AL473" s="114"/>
      <c r="AM473" s="114"/>
    </row>
    <row r="474" spans="2:39" ht="25.2" customHeight="1" x14ac:dyDescent="0.3">
      <c r="B474" s="13" t="str">
        <f t="shared" si="11"/>
        <v/>
      </c>
      <c r="C474" s="18"/>
      <c r="D474" s="19" t="str">
        <f>IF(Tabela2[[#This Row],[AGRUPADOR]]&lt;&gt;"",VLOOKUP(Tabela2[[#This Row],[AGRUPADOR]],Tabela1[],2,0),"")</f>
        <v/>
      </c>
      <c r="E474" s="19" t="str">
        <f>IF(Tabela2[[#This Row],[AGRUPADOR]]&lt;&gt;"",VLOOKUP(Tabela2[[#This Row],[AGRUPADOR]],Tabela1[],4,0),"")</f>
        <v/>
      </c>
      <c r="F474" s="14"/>
      <c r="G474" s="6"/>
      <c r="H474" s="6"/>
      <c r="I474" s="25"/>
      <c r="J474" s="7"/>
      <c r="K474" s="15"/>
      <c r="L474" s="379">
        <f>IF(H474&lt;&gt;"",J474*K474,SUMIFS(L475:L$9844,$F475:$F$9844,"*"&amp;F474&amp;"*",$H475:$H$9844,"&lt;&gt;"))</f>
        <v>0</v>
      </c>
      <c r="M474" s="379" t="str">
        <f>IF(Tabela2[[#This Row],[UNID.]]&lt;&gt;"",IFERROR(VLOOKUP(Tabela2[[#This Row],[AGRUPADOR]],Lucratividade!$D$4:$O$129,6,0),0),"")</f>
        <v/>
      </c>
      <c r="N474" s="379">
        <f>IF(H474&lt;&gt;"",J474*M474*I474,SUMIFS(N475:N$9844,$F475:$F$9844,"*"&amp;F474&amp;"*",$H475:$H$9844,"&lt;&gt;"))</f>
        <v>0</v>
      </c>
      <c r="O474" s="162" t="str">
        <f>IFERROR((-Tabela2[[#This Row],[CUSTO TOTAL]]+Tabela2[[#This Row],[VENDA TOTAL]])/Tabela2[[#This Row],[VENDA TOTAL]]-PARAMETROS!$C$19,"")</f>
        <v/>
      </c>
      <c r="AA474" s="219">
        <f>SUM(Plan_Orc[[#This Row],[01/jan]:[01/dez]])</f>
        <v>0</v>
      </c>
      <c r="AB474" s="114"/>
      <c r="AC474" s="114"/>
      <c r="AD474" s="114"/>
      <c r="AE474" s="114"/>
      <c r="AF474" s="114"/>
      <c r="AG474" s="114"/>
      <c r="AH474" s="114"/>
      <c r="AI474" s="114"/>
      <c r="AJ474" s="114"/>
      <c r="AK474" s="114"/>
      <c r="AL474" s="114"/>
      <c r="AM474" s="114"/>
    </row>
    <row r="475" spans="2:39" ht="25.2" customHeight="1" x14ac:dyDescent="0.3">
      <c r="B475" s="13" t="str">
        <f t="shared" si="11"/>
        <v/>
      </c>
      <c r="C475" s="18"/>
      <c r="D475" s="19" t="str">
        <f>IF(Tabela2[[#This Row],[AGRUPADOR]]&lt;&gt;"",VLOOKUP(Tabela2[[#This Row],[AGRUPADOR]],Tabela1[],2,0),"")</f>
        <v/>
      </c>
      <c r="E475" s="19" t="str">
        <f>IF(Tabela2[[#This Row],[AGRUPADOR]]&lt;&gt;"",VLOOKUP(Tabela2[[#This Row],[AGRUPADOR]],Tabela1[],4,0),"")</f>
        <v/>
      </c>
      <c r="F475" s="14"/>
      <c r="G475" s="6"/>
      <c r="H475" s="6"/>
      <c r="I475" s="25"/>
      <c r="J475" s="7"/>
      <c r="K475" s="15"/>
      <c r="L475" s="379">
        <f>IF(H475&lt;&gt;"",J475*K475,SUMIFS(L476:L$9844,$F476:$F$9844,"*"&amp;F475&amp;"*",$H476:$H$9844,"&lt;&gt;"))</f>
        <v>0</v>
      </c>
      <c r="M475" s="379" t="str">
        <f>IF(Tabela2[[#This Row],[UNID.]]&lt;&gt;"",IFERROR(VLOOKUP(Tabela2[[#This Row],[AGRUPADOR]],Lucratividade!$D$4:$O$129,6,0),0),"")</f>
        <v/>
      </c>
      <c r="N475" s="379">
        <f>IF(H475&lt;&gt;"",J475*M475*I475,SUMIFS(N476:N$9844,$F476:$F$9844,"*"&amp;F475&amp;"*",$H476:$H$9844,"&lt;&gt;"))</f>
        <v>0</v>
      </c>
      <c r="O475" s="162" t="str">
        <f>IFERROR((-Tabela2[[#This Row],[CUSTO TOTAL]]+Tabela2[[#This Row],[VENDA TOTAL]])/Tabela2[[#This Row],[VENDA TOTAL]]-PARAMETROS!$C$19,"")</f>
        <v/>
      </c>
      <c r="AA475" s="219">
        <f>SUM(Plan_Orc[[#This Row],[01/jan]:[01/dez]])</f>
        <v>0</v>
      </c>
      <c r="AB475" s="114"/>
      <c r="AC475" s="114"/>
      <c r="AD475" s="114"/>
      <c r="AE475" s="114"/>
      <c r="AF475" s="114"/>
      <c r="AG475" s="114"/>
      <c r="AH475" s="114"/>
      <c r="AI475" s="114"/>
      <c r="AJ475" s="114"/>
      <c r="AK475" s="114"/>
      <c r="AL475" s="114"/>
      <c r="AM475" s="114"/>
    </row>
    <row r="476" spans="2:39" ht="25.2" customHeight="1" x14ac:dyDescent="0.3">
      <c r="B476" s="13" t="str">
        <f t="shared" si="11"/>
        <v/>
      </c>
      <c r="C476" s="18"/>
      <c r="D476" s="19" t="str">
        <f>IF(Tabela2[[#This Row],[AGRUPADOR]]&lt;&gt;"",VLOOKUP(Tabela2[[#This Row],[AGRUPADOR]],Tabela1[],2,0),"")</f>
        <v/>
      </c>
      <c r="E476" s="19" t="str">
        <f>IF(Tabela2[[#This Row],[AGRUPADOR]]&lt;&gt;"",VLOOKUP(Tabela2[[#This Row],[AGRUPADOR]],Tabela1[],4,0),"")</f>
        <v/>
      </c>
      <c r="F476" s="14"/>
      <c r="G476" s="6"/>
      <c r="H476" s="6"/>
      <c r="I476" s="25"/>
      <c r="J476" s="7"/>
      <c r="K476" s="15"/>
      <c r="L476" s="379">
        <f>IF(H476&lt;&gt;"",J476*K476,SUMIFS(L477:L$9844,$F477:$F$9844,"*"&amp;F476&amp;"*",$H477:$H$9844,"&lt;&gt;"))</f>
        <v>0</v>
      </c>
      <c r="M476" s="379" t="str">
        <f>IF(Tabela2[[#This Row],[UNID.]]&lt;&gt;"",IFERROR(VLOOKUP(Tabela2[[#This Row],[AGRUPADOR]],Lucratividade!$D$4:$O$129,6,0),0),"")</f>
        <v/>
      </c>
      <c r="N476" s="379">
        <f>IF(H476&lt;&gt;"",J476*M476*I476,SUMIFS(N477:N$9844,$F477:$F$9844,"*"&amp;F476&amp;"*",$H477:$H$9844,"&lt;&gt;"))</f>
        <v>0</v>
      </c>
      <c r="O476" s="162" t="str">
        <f>IFERROR((-Tabela2[[#This Row],[CUSTO TOTAL]]+Tabela2[[#This Row],[VENDA TOTAL]])/Tabela2[[#This Row],[VENDA TOTAL]]-PARAMETROS!$C$19,"")</f>
        <v/>
      </c>
      <c r="AA476" s="218">
        <f>SUM(Plan_Orc[[#This Row],[01/jan]:[01/dez]])</f>
        <v>0</v>
      </c>
      <c r="AB476" s="113"/>
      <c r="AC476" s="113"/>
      <c r="AD476" s="113"/>
      <c r="AE476" s="113"/>
      <c r="AF476" s="113"/>
      <c r="AG476" s="113"/>
      <c r="AH476" s="113"/>
      <c r="AI476" s="113"/>
      <c r="AJ476" s="113"/>
      <c r="AK476" s="113"/>
      <c r="AL476" s="113"/>
      <c r="AM476" s="113"/>
    </row>
    <row r="477" spans="2:39" ht="25.2" customHeight="1" x14ac:dyDescent="0.3">
      <c r="B477" s="13" t="str">
        <f t="shared" si="11"/>
        <v/>
      </c>
      <c r="C477" s="18"/>
      <c r="D477" s="19" t="str">
        <f>IF(Tabela2[[#This Row],[AGRUPADOR]]&lt;&gt;"",VLOOKUP(Tabela2[[#This Row],[AGRUPADOR]],Tabela1[],2,0),"")</f>
        <v/>
      </c>
      <c r="E477" s="19" t="str">
        <f>IF(Tabela2[[#This Row],[AGRUPADOR]]&lt;&gt;"",VLOOKUP(Tabela2[[#This Row],[AGRUPADOR]],Tabela1[],4,0),"")</f>
        <v/>
      </c>
      <c r="F477" s="14"/>
      <c r="G477" s="6"/>
      <c r="H477" s="6"/>
      <c r="I477" s="25"/>
      <c r="J477" s="7"/>
      <c r="K477" s="15"/>
      <c r="L477" s="379">
        <f>IF(H477&lt;&gt;"",J477*K477,SUMIFS(L478:L$9844,$F478:$F$9844,"*"&amp;F477&amp;"*",$H478:$H$9844,"&lt;&gt;"))</f>
        <v>0</v>
      </c>
      <c r="M477" s="379" t="str">
        <f>IF(Tabela2[[#This Row],[UNID.]]&lt;&gt;"",IFERROR(VLOOKUP(Tabela2[[#This Row],[AGRUPADOR]],Lucratividade!$D$4:$O$129,6,0),0),"")</f>
        <v/>
      </c>
      <c r="N477" s="379">
        <f>IF(H477&lt;&gt;"",J477*M477*I477,SUMIFS(N478:N$9844,$F478:$F$9844,"*"&amp;F477&amp;"*",$H478:$H$9844,"&lt;&gt;"))</f>
        <v>0</v>
      </c>
      <c r="O477" s="162" t="str">
        <f>IFERROR((-Tabela2[[#This Row],[CUSTO TOTAL]]+Tabela2[[#This Row],[VENDA TOTAL]])/Tabela2[[#This Row],[VENDA TOTAL]]-PARAMETROS!$C$19,"")</f>
        <v/>
      </c>
      <c r="AA477" s="219">
        <f>SUM(Plan_Orc[[#This Row],[01/jan]:[01/dez]])</f>
        <v>0</v>
      </c>
      <c r="AB477" s="114"/>
      <c r="AC477" s="114"/>
      <c r="AD477" s="114"/>
      <c r="AE477" s="114"/>
      <c r="AF477" s="114"/>
      <c r="AG477" s="114"/>
      <c r="AH477" s="114"/>
      <c r="AI477" s="114"/>
      <c r="AJ477" s="114"/>
      <c r="AK477" s="114"/>
      <c r="AL477" s="114"/>
      <c r="AM477" s="114"/>
    </row>
    <row r="478" spans="2:39" ht="25.2" customHeight="1" x14ac:dyDescent="0.3">
      <c r="B478" s="13" t="str">
        <f t="shared" si="11"/>
        <v/>
      </c>
      <c r="C478" s="18"/>
      <c r="D478" s="19" t="str">
        <f>IF(Tabela2[[#This Row],[AGRUPADOR]]&lt;&gt;"",VLOOKUP(Tabela2[[#This Row],[AGRUPADOR]],Tabela1[],2,0),"")</f>
        <v/>
      </c>
      <c r="E478" s="19" t="str">
        <f>IF(Tabela2[[#This Row],[AGRUPADOR]]&lt;&gt;"",VLOOKUP(Tabela2[[#This Row],[AGRUPADOR]],Tabela1[],4,0),"")</f>
        <v/>
      </c>
      <c r="F478" s="14"/>
      <c r="G478" s="6"/>
      <c r="H478" s="6"/>
      <c r="I478" s="25"/>
      <c r="J478" s="7"/>
      <c r="K478" s="15"/>
      <c r="L478" s="379">
        <f>IF(H478&lt;&gt;"",J478*K478,SUMIFS(L479:L$9844,$F479:$F$9844,"*"&amp;F478&amp;"*",$H479:$H$9844,"&lt;&gt;"))</f>
        <v>0</v>
      </c>
      <c r="M478" s="379" t="str">
        <f>IF(Tabela2[[#This Row],[UNID.]]&lt;&gt;"",IFERROR(VLOOKUP(Tabela2[[#This Row],[AGRUPADOR]],Lucratividade!$D$4:$O$129,6,0),0),"")</f>
        <v/>
      </c>
      <c r="N478" s="379">
        <f>IF(H478&lt;&gt;"",J478*M478*I478,SUMIFS(N479:N$9844,$F479:$F$9844,"*"&amp;F478&amp;"*",$H479:$H$9844,"&lt;&gt;"))</f>
        <v>0</v>
      </c>
      <c r="O478" s="162" t="str">
        <f>IFERROR((-Tabela2[[#This Row],[CUSTO TOTAL]]+Tabela2[[#This Row],[VENDA TOTAL]])/Tabela2[[#This Row],[VENDA TOTAL]]-PARAMETROS!$C$19,"")</f>
        <v/>
      </c>
      <c r="AA478" s="219">
        <f>SUM(Plan_Orc[[#This Row],[01/jan]:[01/dez]])</f>
        <v>0</v>
      </c>
      <c r="AB478" s="114"/>
      <c r="AC478" s="114"/>
      <c r="AD478" s="114"/>
      <c r="AE478" s="114"/>
      <c r="AF478" s="114"/>
      <c r="AG478" s="114"/>
      <c r="AH478" s="114"/>
      <c r="AI478" s="114"/>
      <c r="AJ478" s="114"/>
      <c r="AK478" s="114"/>
      <c r="AL478" s="114"/>
      <c r="AM478" s="114"/>
    </row>
    <row r="479" spans="2:39" ht="25.2" customHeight="1" x14ac:dyDescent="0.3">
      <c r="B479" s="13" t="str">
        <f t="shared" si="11"/>
        <v/>
      </c>
      <c r="C479" s="18"/>
      <c r="D479" s="19" t="str">
        <f>IF(Tabela2[[#This Row],[AGRUPADOR]]&lt;&gt;"",VLOOKUP(Tabela2[[#This Row],[AGRUPADOR]],Tabela1[],2,0),"")</f>
        <v/>
      </c>
      <c r="E479" s="19" t="str">
        <f>IF(Tabela2[[#This Row],[AGRUPADOR]]&lt;&gt;"",VLOOKUP(Tabela2[[#This Row],[AGRUPADOR]],Tabela1[],4,0),"")</f>
        <v/>
      </c>
      <c r="F479" s="14"/>
      <c r="G479" s="6"/>
      <c r="H479" s="6"/>
      <c r="I479" s="25"/>
      <c r="J479" s="7"/>
      <c r="K479" s="15"/>
      <c r="L479" s="379">
        <f>IF(H479&lt;&gt;"",J479*K479,SUMIFS(L480:L$9844,$F480:$F$9844,"*"&amp;F479&amp;"*",$H480:$H$9844,"&lt;&gt;"))</f>
        <v>0</v>
      </c>
      <c r="M479" s="379" t="str">
        <f>IF(Tabela2[[#This Row],[UNID.]]&lt;&gt;"",IFERROR(VLOOKUP(Tabela2[[#This Row],[AGRUPADOR]],Lucratividade!$D$4:$O$129,6,0),0),"")</f>
        <v/>
      </c>
      <c r="N479" s="379">
        <f>IF(H479&lt;&gt;"",J479*M479*I479,SUMIFS(N480:N$9844,$F480:$F$9844,"*"&amp;F479&amp;"*",$H480:$H$9844,"&lt;&gt;"))</f>
        <v>0</v>
      </c>
      <c r="O479" s="162" t="str">
        <f>IFERROR((-Tabela2[[#This Row],[CUSTO TOTAL]]+Tabela2[[#This Row],[VENDA TOTAL]])/Tabela2[[#This Row],[VENDA TOTAL]]-PARAMETROS!$C$19,"")</f>
        <v/>
      </c>
      <c r="AA479" s="219">
        <f>SUM(Plan_Orc[[#This Row],[01/jan]:[01/dez]])</f>
        <v>0</v>
      </c>
      <c r="AB479" s="114"/>
      <c r="AC479" s="114"/>
      <c r="AD479" s="114"/>
      <c r="AE479" s="114"/>
      <c r="AF479" s="114"/>
      <c r="AG479" s="114"/>
      <c r="AH479" s="114"/>
      <c r="AI479" s="114"/>
      <c r="AJ479" s="114"/>
      <c r="AK479" s="114"/>
      <c r="AL479" s="114"/>
      <c r="AM479" s="114"/>
    </row>
    <row r="480" spans="2:39" ht="25.2" customHeight="1" x14ac:dyDescent="0.3">
      <c r="B480" s="13" t="str">
        <f t="shared" si="11"/>
        <v/>
      </c>
      <c r="C480" s="18"/>
      <c r="D480" s="19" t="str">
        <f>IF(Tabela2[[#This Row],[AGRUPADOR]]&lt;&gt;"",VLOOKUP(Tabela2[[#This Row],[AGRUPADOR]],Tabela1[],2,0),"")</f>
        <v/>
      </c>
      <c r="E480" s="19" t="str">
        <f>IF(Tabela2[[#This Row],[AGRUPADOR]]&lt;&gt;"",VLOOKUP(Tabela2[[#This Row],[AGRUPADOR]],Tabela1[],4,0),"")</f>
        <v/>
      </c>
      <c r="F480" s="14"/>
      <c r="G480" s="6"/>
      <c r="H480" s="6"/>
      <c r="I480" s="25"/>
      <c r="J480" s="7"/>
      <c r="K480" s="15"/>
      <c r="L480" s="379">
        <f>IF(H480&lt;&gt;"",J480*K480,SUMIFS(L481:L$9844,$F481:$F$9844,"*"&amp;F480&amp;"*",$H481:$H$9844,"&lt;&gt;"))</f>
        <v>0</v>
      </c>
      <c r="M480" s="379" t="str">
        <f>IF(Tabela2[[#This Row],[UNID.]]&lt;&gt;"",IFERROR(VLOOKUP(Tabela2[[#This Row],[AGRUPADOR]],Lucratividade!$D$4:$O$129,6,0),0),"")</f>
        <v/>
      </c>
      <c r="N480" s="379">
        <f>IF(H480&lt;&gt;"",J480*M480*I480,SUMIFS(N481:N$9844,$F481:$F$9844,"*"&amp;F480&amp;"*",$H481:$H$9844,"&lt;&gt;"))</f>
        <v>0</v>
      </c>
      <c r="O480" s="162" t="str">
        <f>IFERROR((-Tabela2[[#This Row],[CUSTO TOTAL]]+Tabela2[[#This Row],[VENDA TOTAL]])/Tabela2[[#This Row],[VENDA TOTAL]]-PARAMETROS!$C$19,"")</f>
        <v/>
      </c>
      <c r="AA480" s="219">
        <f>SUM(Plan_Orc[[#This Row],[01/jan]:[01/dez]])</f>
        <v>0</v>
      </c>
      <c r="AB480" s="114"/>
      <c r="AC480" s="114"/>
      <c r="AD480" s="114"/>
      <c r="AE480" s="114"/>
      <c r="AF480" s="114"/>
      <c r="AG480" s="114"/>
      <c r="AH480" s="114"/>
      <c r="AI480" s="114"/>
      <c r="AJ480" s="114"/>
      <c r="AK480" s="114"/>
      <c r="AL480" s="114"/>
      <c r="AM480" s="114"/>
    </row>
    <row r="481" spans="2:39" ht="25.2" customHeight="1" x14ac:dyDescent="0.3">
      <c r="B481" s="13" t="str">
        <f t="shared" si="11"/>
        <v/>
      </c>
      <c r="C481" s="18"/>
      <c r="D481" s="19" t="str">
        <f>IF(Tabela2[[#This Row],[AGRUPADOR]]&lt;&gt;"",VLOOKUP(Tabela2[[#This Row],[AGRUPADOR]],Tabela1[],2,0),"")</f>
        <v/>
      </c>
      <c r="E481" s="19" t="str">
        <f>IF(Tabela2[[#This Row],[AGRUPADOR]]&lt;&gt;"",VLOOKUP(Tabela2[[#This Row],[AGRUPADOR]],Tabela1[],4,0),"")</f>
        <v/>
      </c>
      <c r="F481" s="14"/>
      <c r="G481" s="6"/>
      <c r="H481" s="6"/>
      <c r="I481" s="25"/>
      <c r="J481" s="7"/>
      <c r="K481" s="15"/>
      <c r="L481" s="379">
        <f>IF(H481&lt;&gt;"",J481*K481,SUMIFS(L482:L$9844,$F482:$F$9844,"*"&amp;F481&amp;"*",$H482:$H$9844,"&lt;&gt;"))</f>
        <v>0</v>
      </c>
      <c r="M481" s="379" t="str">
        <f>IF(Tabela2[[#This Row],[UNID.]]&lt;&gt;"",IFERROR(VLOOKUP(Tabela2[[#This Row],[AGRUPADOR]],Lucratividade!$D$4:$O$129,6,0),0),"")</f>
        <v/>
      </c>
      <c r="N481" s="379">
        <f>IF(H481&lt;&gt;"",J481*M481*I481,SUMIFS(N482:N$9844,$F482:$F$9844,"*"&amp;F481&amp;"*",$H482:$H$9844,"&lt;&gt;"))</f>
        <v>0</v>
      </c>
      <c r="O481" s="162" t="str">
        <f>IFERROR((-Tabela2[[#This Row],[CUSTO TOTAL]]+Tabela2[[#This Row],[VENDA TOTAL]])/Tabela2[[#This Row],[VENDA TOTAL]]-PARAMETROS!$C$19,"")</f>
        <v/>
      </c>
      <c r="AA481" s="219">
        <f>SUM(Plan_Orc[[#This Row],[01/jan]:[01/dez]])</f>
        <v>0</v>
      </c>
      <c r="AB481" s="114"/>
      <c r="AC481" s="114"/>
      <c r="AD481" s="114"/>
      <c r="AE481" s="114"/>
      <c r="AF481" s="114"/>
      <c r="AG481" s="114"/>
      <c r="AH481" s="114"/>
      <c r="AI481" s="114"/>
      <c r="AJ481" s="114"/>
      <c r="AK481" s="114"/>
      <c r="AL481" s="114"/>
      <c r="AM481" s="114"/>
    </row>
    <row r="482" spans="2:39" ht="25.2" customHeight="1" x14ac:dyDescent="0.3">
      <c r="B482" s="13" t="str">
        <f t="shared" si="11"/>
        <v/>
      </c>
      <c r="C482" s="18"/>
      <c r="D482" s="19" t="str">
        <f>IF(Tabela2[[#This Row],[AGRUPADOR]]&lt;&gt;"",VLOOKUP(Tabela2[[#This Row],[AGRUPADOR]],Tabela1[],2,0),"")</f>
        <v/>
      </c>
      <c r="E482" s="19" t="str">
        <f>IF(Tabela2[[#This Row],[AGRUPADOR]]&lt;&gt;"",VLOOKUP(Tabela2[[#This Row],[AGRUPADOR]],Tabela1[],4,0),"")</f>
        <v/>
      </c>
      <c r="F482" s="14"/>
      <c r="G482" s="6"/>
      <c r="H482" s="6"/>
      <c r="I482" s="25"/>
      <c r="J482" s="7"/>
      <c r="K482" s="15"/>
      <c r="L482" s="379">
        <f>IF(H482&lt;&gt;"",J482*K482,SUMIFS(L483:L$9844,$F483:$F$9844,"*"&amp;F482&amp;"*",$H483:$H$9844,"&lt;&gt;"))</f>
        <v>0</v>
      </c>
      <c r="M482" s="379" t="str">
        <f>IF(Tabela2[[#This Row],[UNID.]]&lt;&gt;"",IFERROR(VLOOKUP(Tabela2[[#This Row],[AGRUPADOR]],Lucratividade!$D$4:$O$129,6,0),0),"")</f>
        <v/>
      </c>
      <c r="N482" s="379">
        <f>IF(H482&lt;&gt;"",J482*M482*I482,SUMIFS(N483:N$9844,$F483:$F$9844,"*"&amp;F482&amp;"*",$H483:$H$9844,"&lt;&gt;"))</f>
        <v>0</v>
      </c>
      <c r="O482" s="162" t="str">
        <f>IFERROR((-Tabela2[[#This Row],[CUSTO TOTAL]]+Tabela2[[#This Row],[VENDA TOTAL]])/Tabela2[[#This Row],[VENDA TOTAL]]-PARAMETROS!$C$19,"")</f>
        <v/>
      </c>
      <c r="AA482" s="219">
        <f>SUM(Plan_Orc[[#This Row],[01/jan]:[01/dez]])</f>
        <v>0</v>
      </c>
      <c r="AB482" s="114"/>
      <c r="AC482" s="114"/>
      <c r="AD482" s="114"/>
      <c r="AE482" s="114"/>
      <c r="AF482" s="114"/>
      <c r="AG482" s="114"/>
      <c r="AH482" s="114"/>
      <c r="AI482" s="114"/>
      <c r="AJ482" s="114"/>
      <c r="AK482" s="114"/>
      <c r="AL482" s="114"/>
      <c r="AM482" s="114"/>
    </row>
    <row r="483" spans="2:39" ht="25.2" customHeight="1" x14ac:dyDescent="0.3">
      <c r="B483" s="13" t="str">
        <f t="shared" si="11"/>
        <v/>
      </c>
      <c r="C483" s="18"/>
      <c r="D483" s="19" t="str">
        <f>IF(Tabela2[[#This Row],[AGRUPADOR]]&lt;&gt;"",VLOOKUP(Tabela2[[#This Row],[AGRUPADOR]],Tabela1[],2,0),"")</f>
        <v/>
      </c>
      <c r="E483" s="19" t="str">
        <f>IF(Tabela2[[#This Row],[AGRUPADOR]]&lt;&gt;"",VLOOKUP(Tabela2[[#This Row],[AGRUPADOR]],Tabela1[],4,0),"")</f>
        <v/>
      </c>
      <c r="F483" s="14"/>
      <c r="G483" s="6"/>
      <c r="H483" s="6"/>
      <c r="I483" s="25"/>
      <c r="J483" s="7"/>
      <c r="K483" s="15"/>
      <c r="L483" s="379">
        <f>IF(H483&lt;&gt;"",J483*K483,SUMIFS(L484:L$9844,$F484:$F$9844,"*"&amp;F483&amp;"*",$H484:$H$9844,"&lt;&gt;"))</f>
        <v>0</v>
      </c>
      <c r="M483" s="379" t="str">
        <f>IF(Tabela2[[#This Row],[UNID.]]&lt;&gt;"",IFERROR(VLOOKUP(Tabela2[[#This Row],[AGRUPADOR]],Lucratividade!$D$4:$O$129,6,0),0),"")</f>
        <v/>
      </c>
      <c r="N483" s="379">
        <f>IF(H483&lt;&gt;"",J483*M483*I483,SUMIFS(N484:N$9844,$F484:$F$9844,"*"&amp;F483&amp;"*",$H484:$H$9844,"&lt;&gt;"))</f>
        <v>0</v>
      </c>
      <c r="O483" s="162" t="str">
        <f>IFERROR((-Tabela2[[#This Row],[CUSTO TOTAL]]+Tabela2[[#This Row],[VENDA TOTAL]])/Tabela2[[#This Row],[VENDA TOTAL]]-PARAMETROS!$C$19,"")</f>
        <v/>
      </c>
      <c r="AA483" s="219">
        <f>SUM(Plan_Orc[[#This Row],[01/jan]:[01/dez]])</f>
        <v>0</v>
      </c>
      <c r="AB483" s="114"/>
      <c r="AC483" s="114"/>
      <c r="AD483" s="114"/>
      <c r="AE483" s="114"/>
      <c r="AF483" s="114"/>
      <c r="AG483" s="114"/>
      <c r="AH483" s="114"/>
      <c r="AI483" s="114"/>
      <c r="AJ483" s="114"/>
      <c r="AK483" s="114"/>
      <c r="AL483" s="114"/>
      <c r="AM483" s="114"/>
    </row>
    <row r="484" spans="2:39" ht="25.2" customHeight="1" x14ac:dyDescent="0.3">
      <c r="B484" s="13" t="str">
        <f t="shared" si="11"/>
        <v/>
      </c>
      <c r="C484" s="18"/>
      <c r="D484" s="19" t="str">
        <f>IF(Tabela2[[#This Row],[AGRUPADOR]]&lt;&gt;"",VLOOKUP(Tabela2[[#This Row],[AGRUPADOR]],Tabela1[],2,0),"")</f>
        <v/>
      </c>
      <c r="E484" s="19" t="str">
        <f>IF(Tabela2[[#This Row],[AGRUPADOR]]&lt;&gt;"",VLOOKUP(Tabela2[[#This Row],[AGRUPADOR]],Tabela1[],4,0),"")</f>
        <v/>
      </c>
      <c r="F484" s="14"/>
      <c r="G484" s="6"/>
      <c r="H484" s="6"/>
      <c r="I484" s="25"/>
      <c r="J484" s="7"/>
      <c r="K484" s="15"/>
      <c r="L484" s="379">
        <f>IF(H484&lt;&gt;"",J484*K484,SUMIFS(L485:L$9844,$F485:$F$9844,"*"&amp;F484&amp;"*",$H485:$H$9844,"&lt;&gt;"))</f>
        <v>0</v>
      </c>
      <c r="M484" s="379" t="str">
        <f>IF(Tabela2[[#This Row],[UNID.]]&lt;&gt;"",IFERROR(VLOOKUP(Tabela2[[#This Row],[AGRUPADOR]],Lucratividade!$D$4:$O$129,6,0),0),"")</f>
        <v/>
      </c>
      <c r="N484" s="379">
        <f>IF(H484&lt;&gt;"",J484*M484*I484,SUMIFS(N485:N$9844,$F485:$F$9844,"*"&amp;F484&amp;"*",$H485:$H$9844,"&lt;&gt;"))</f>
        <v>0</v>
      </c>
      <c r="O484" s="162" t="str">
        <f>IFERROR((-Tabela2[[#This Row],[CUSTO TOTAL]]+Tabela2[[#This Row],[VENDA TOTAL]])/Tabela2[[#This Row],[VENDA TOTAL]]-PARAMETROS!$C$19,"")</f>
        <v/>
      </c>
      <c r="AA484" s="219">
        <f>SUM(Plan_Orc[[#This Row],[01/jan]:[01/dez]])</f>
        <v>0</v>
      </c>
      <c r="AB484" s="114"/>
      <c r="AC484" s="114"/>
      <c r="AD484" s="114"/>
      <c r="AE484" s="114"/>
      <c r="AF484" s="114"/>
      <c r="AG484" s="114"/>
      <c r="AH484" s="114"/>
      <c r="AI484" s="114"/>
      <c r="AJ484" s="114"/>
      <c r="AK484" s="114"/>
      <c r="AL484" s="114"/>
      <c r="AM484" s="114"/>
    </row>
    <row r="485" spans="2:39" ht="25.2" customHeight="1" x14ac:dyDescent="0.3">
      <c r="B485" s="13" t="str">
        <f t="shared" si="11"/>
        <v/>
      </c>
      <c r="C485" s="18"/>
      <c r="D485" s="19" t="str">
        <f>IF(Tabela2[[#This Row],[AGRUPADOR]]&lt;&gt;"",VLOOKUP(Tabela2[[#This Row],[AGRUPADOR]],Tabela1[],2,0),"")</f>
        <v/>
      </c>
      <c r="E485" s="19" t="str">
        <f>IF(Tabela2[[#This Row],[AGRUPADOR]]&lt;&gt;"",VLOOKUP(Tabela2[[#This Row],[AGRUPADOR]],Tabela1[],4,0),"")</f>
        <v/>
      </c>
      <c r="F485" s="14"/>
      <c r="G485" s="6"/>
      <c r="H485" s="6"/>
      <c r="I485" s="25"/>
      <c r="J485" s="7"/>
      <c r="K485" s="15"/>
      <c r="L485" s="379">
        <f>IF(H485&lt;&gt;"",J485*K485,SUMIFS(L486:L$9844,$F486:$F$9844,"*"&amp;F485&amp;"*",$H486:$H$9844,"&lt;&gt;"))</f>
        <v>0</v>
      </c>
      <c r="M485" s="379" t="str">
        <f>IF(Tabela2[[#This Row],[UNID.]]&lt;&gt;"",IFERROR(VLOOKUP(Tabela2[[#This Row],[AGRUPADOR]],Lucratividade!$D$4:$O$129,6,0),0),"")</f>
        <v/>
      </c>
      <c r="N485" s="379">
        <f>IF(H485&lt;&gt;"",J485*M485*I485,SUMIFS(N486:N$9844,$F486:$F$9844,"*"&amp;F485&amp;"*",$H486:$H$9844,"&lt;&gt;"))</f>
        <v>0</v>
      </c>
      <c r="O485" s="162" t="str">
        <f>IFERROR((-Tabela2[[#This Row],[CUSTO TOTAL]]+Tabela2[[#This Row],[VENDA TOTAL]])/Tabela2[[#This Row],[VENDA TOTAL]]-PARAMETROS!$C$19,"")</f>
        <v/>
      </c>
      <c r="AA485" s="219">
        <f>SUM(Plan_Orc[[#This Row],[01/jan]:[01/dez]])</f>
        <v>0</v>
      </c>
      <c r="AB485" s="114"/>
      <c r="AC485" s="114"/>
      <c r="AD485" s="114"/>
      <c r="AE485" s="114"/>
      <c r="AF485" s="114"/>
      <c r="AG485" s="114"/>
      <c r="AH485" s="114"/>
      <c r="AI485" s="114"/>
      <c r="AJ485" s="114"/>
      <c r="AK485" s="114"/>
      <c r="AL485" s="114"/>
      <c r="AM485" s="114"/>
    </row>
    <row r="486" spans="2:39" ht="25.2" customHeight="1" x14ac:dyDescent="0.3">
      <c r="B486" s="13" t="str">
        <f t="shared" si="11"/>
        <v/>
      </c>
      <c r="C486" s="18"/>
      <c r="D486" s="19" t="str">
        <f>IF(Tabela2[[#This Row],[AGRUPADOR]]&lt;&gt;"",VLOOKUP(Tabela2[[#This Row],[AGRUPADOR]],Tabela1[],2,0),"")</f>
        <v/>
      </c>
      <c r="E486" s="19" t="str">
        <f>IF(Tabela2[[#This Row],[AGRUPADOR]]&lt;&gt;"",VLOOKUP(Tabela2[[#This Row],[AGRUPADOR]],Tabela1[],4,0),"")</f>
        <v/>
      </c>
      <c r="F486" s="14"/>
      <c r="G486" s="6"/>
      <c r="H486" s="6"/>
      <c r="I486" s="25"/>
      <c r="J486" s="7"/>
      <c r="K486" s="15"/>
      <c r="L486" s="379">
        <f>IF(H486&lt;&gt;"",J486*K486,SUMIFS(L487:L$9844,$F487:$F$9844,"*"&amp;F486&amp;"*",$H487:$H$9844,"&lt;&gt;"))</f>
        <v>0</v>
      </c>
      <c r="M486" s="379" t="str">
        <f>IF(Tabela2[[#This Row],[UNID.]]&lt;&gt;"",IFERROR(VLOOKUP(Tabela2[[#This Row],[AGRUPADOR]],Lucratividade!$D$4:$O$129,6,0),0),"")</f>
        <v/>
      </c>
      <c r="N486" s="379">
        <f>IF(H486&lt;&gt;"",J486*M486*I486,SUMIFS(N487:N$9844,$F487:$F$9844,"*"&amp;F486&amp;"*",$H487:$H$9844,"&lt;&gt;"))</f>
        <v>0</v>
      </c>
      <c r="O486" s="162" t="str">
        <f>IFERROR((-Tabela2[[#This Row],[CUSTO TOTAL]]+Tabela2[[#This Row],[VENDA TOTAL]])/Tabela2[[#This Row],[VENDA TOTAL]]-PARAMETROS!$C$19,"")</f>
        <v/>
      </c>
      <c r="AA486" s="219">
        <f>SUM(Plan_Orc[[#This Row],[01/jan]:[01/dez]])</f>
        <v>0</v>
      </c>
      <c r="AB486" s="114"/>
      <c r="AC486" s="114"/>
      <c r="AD486" s="114"/>
      <c r="AE486" s="114"/>
      <c r="AF486" s="114"/>
      <c r="AG486" s="114"/>
      <c r="AH486" s="114"/>
      <c r="AI486" s="114"/>
      <c r="AJ486" s="114"/>
      <c r="AK486" s="114"/>
      <c r="AL486" s="114"/>
      <c r="AM486" s="114"/>
    </row>
    <row r="487" spans="2:39" ht="25.2" customHeight="1" x14ac:dyDescent="0.3">
      <c r="B487" s="13" t="str">
        <f t="shared" si="11"/>
        <v/>
      </c>
      <c r="C487" s="18"/>
      <c r="D487" s="19" t="str">
        <f>IF(Tabela2[[#This Row],[AGRUPADOR]]&lt;&gt;"",VLOOKUP(Tabela2[[#This Row],[AGRUPADOR]],Tabela1[],2,0),"")</f>
        <v/>
      </c>
      <c r="E487" s="19" t="str">
        <f>IF(Tabela2[[#This Row],[AGRUPADOR]]&lt;&gt;"",VLOOKUP(Tabela2[[#This Row],[AGRUPADOR]],Tabela1[],4,0),"")</f>
        <v/>
      </c>
      <c r="F487" s="14"/>
      <c r="G487" s="6"/>
      <c r="H487" s="6"/>
      <c r="I487" s="25"/>
      <c r="J487" s="7"/>
      <c r="K487" s="15"/>
      <c r="L487" s="379">
        <f>IF(H487&lt;&gt;"",J487*K487,SUMIFS(L488:L$9844,$F488:$F$9844,"*"&amp;F487&amp;"*",$H488:$H$9844,"&lt;&gt;"))</f>
        <v>0</v>
      </c>
      <c r="M487" s="379" t="str">
        <f>IF(Tabela2[[#This Row],[UNID.]]&lt;&gt;"",IFERROR(VLOOKUP(Tabela2[[#This Row],[AGRUPADOR]],Lucratividade!$D$4:$O$129,6,0),0),"")</f>
        <v/>
      </c>
      <c r="N487" s="379">
        <f>IF(H487&lt;&gt;"",J487*M487*I487,SUMIFS(N488:N$9844,$F488:$F$9844,"*"&amp;F487&amp;"*",$H488:$H$9844,"&lt;&gt;"))</f>
        <v>0</v>
      </c>
      <c r="O487" s="162" t="str">
        <f>IFERROR((-Tabela2[[#This Row],[CUSTO TOTAL]]+Tabela2[[#This Row],[VENDA TOTAL]])/Tabela2[[#This Row],[VENDA TOTAL]]-PARAMETROS!$C$19,"")</f>
        <v/>
      </c>
      <c r="AA487" s="219">
        <f>SUM(Plan_Orc[[#This Row],[01/jan]:[01/dez]])</f>
        <v>0</v>
      </c>
      <c r="AB487" s="114"/>
      <c r="AC487" s="114"/>
      <c r="AD487" s="114"/>
      <c r="AE487" s="114"/>
      <c r="AF487" s="114"/>
      <c r="AG487" s="114"/>
      <c r="AH487" s="114"/>
      <c r="AI487" s="114"/>
      <c r="AJ487" s="114"/>
      <c r="AK487" s="114"/>
      <c r="AL487" s="114"/>
      <c r="AM487" s="114"/>
    </row>
    <row r="488" spans="2:39" ht="25.2" customHeight="1" x14ac:dyDescent="0.3">
      <c r="B488" s="13" t="str">
        <f t="shared" si="11"/>
        <v/>
      </c>
      <c r="C488" s="18"/>
      <c r="D488" s="19" t="str">
        <f>IF(Tabela2[[#This Row],[AGRUPADOR]]&lt;&gt;"",VLOOKUP(Tabela2[[#This Row],[AGRUPADOR]],Tabela1[],2,0),"")</f>
        <v/>
      </c>
      <c r="E488" s="19" t="str">
        <f>IF(Tabela2[[#This Row],[AGRUPADOR]]&lt;&gt;"",VLOOKUP(Tabela2[[#This Row],[AGRUPADOR]],Tabela1[],4,0),"")</f>
        <v/>
      </c>
      <c r="F488" s="14"/>
      <c r="G488" s="6"/>
      <c r="H488" s="6"/>
      <c r="I488" s="25"/>
      <c r="J488" s="7"/>
      <c r="K488" s="15"/>
      <c r="L488" s="379">
        <f>IF(H488&lt;&gt;"",J488*K488,SUMIFS(L489:L$9844,$F489:$F$9844,"*"&amp;F488&amp;"*",$H489:$H$9844,"&lt;&gt;"))</f>
        <v>0</v>
      </c>
      <c r="M488" s="379" t="str">
        <f>IF(Tabela2[[#This Row],[UNID.]]&lt;&gt;"",IFERROR(VLOOKUP(Tabela2[[#This Row],[AGRUPADOR]],Lucratividade!$D$4:$O$129,6,0),0),"")</f>
        <v/>
      </c>
      <c r="N488" s="379">
        <f>IF(H488&lt;&gt;"",J488*M488*I488,SUMIFS(N489:N$9844,$F489:$F$9844,"*"&amp;F488&amp;"*",$H489:$H$9844,"&lt;&gt;"))</f>
        <v>0</v>
      </c>
      <c r="O488" s="162" t="str">
        <f>IFERROR((-Tabela2[[#This Row],[CUSTO TOTAL]]+Tabela2[[#This Row],[VENDA TOTAL]])/Tabela2[[#This Row],[VENDA TOTAL]]-PARAMETROS!$C$19,"")</f>
        <v/>
      </c>
      <c r="AA488" s="219">
        <f>SUM(Plan_Orc[[#This Row],[01/jan]:[01/dez]])</f>
        <v>0</v>
      </c>
      <c r="AB488" s="114"/>
      <c r="AC488" s="114"/>
      <c r="AD488" s="114"/>
      <c r="AE488" s="114"/>
      <c r="AF488" s="114"/>
      <c r="AG488" s="114"/>
      <c r="AH488" s="114"/>
      <c r="AI488" s="114"/>
      <c r="AJ488" s="114"/>
      <c r="AK488" s="114"/>
      <c r="AL488" s="114"/>
      <c r="AM488" s="114"/>
    </row>
    <row r="489" spans="2:39" ht="25.2" customHeight="1" x14ac:dyDescent="0.3">
      <c r="B489" s="13" t="str">
        <f t="shared" si="11"/>
        <v/>
      </c>
      <c r="C489" s="18"/>
      <c r="D489" s="19" t="str">
        <f>IF(Tabela2[[#This Row],[AGRUPADOR]]&lt;&gt;"",VLOOKUP(Tabela2[[#This Row],[AGRUPADOR]],Tabela1[],2,0),"")</f>
        <v/>
      </c>
      <c r="E489" s="19" t="str">
        <f>IF(Tabela2[[#This Row],[AGRUPADOR]]&lt;&gt;"",VLOOKUP(Tabela2[[#This Row],[AGRUPADOR]],Tabela1[],4,0),"")</f>
        <v/>
      </c>
      <c r="F489" s="14"/>
      <c r="G489" s="6"/>
      <c r="H489" s="6"/>
      <c r="I489" s="25"/>
      <c r="J489" s="7"/>
      <c r="K489" s="15"/>
      <c r="L489" s="379">
        <f>IF(H489&lt;&gt;"",J489*K489,SUMIFS(L490:L$9844,$F490:$F$9844,"*"&amp;F489&amp;"*",$H490:$H$9844,"&lt;&gt;"))</f>
        <v>0</v>
      </c>
      <c r="M489" s="379" t="str">
        <f>IF(Tabela2[[#This Row],[UNID.]]&lt;&gt;"",IFERROR(VLOOKUP(Tabela2[[#This Row],[AGRUPADOR]],Lucratividade!$D$4:$O$129,6,0),0),"")</f>
        <v/>
      </c>
      <c r="N489" s="379">
        <f>IF(H489&lt;&gt;"",J489*M489*I489,SUMIFS(N490:N$9844,$F490:$F$9844,"*"&amp;F489&amp;"*",$H490:$H$9844,"&lt;&gt;"))</f>
        <v>0</v>
      </c>
      <c r="O489" s="162" t="str">
        <f>IFERROR((-Tabela2[[#This Row],[CUSTO TOTAL]]+Tabela2[[#This Row],[VENDA TOTAL]])/Tabela2[[#This Row],[VENDA TOTAL]]-PARAMETROS!$C$19,"")</f>
        <v/>
      </c>
      <c r="AA489" s="219">
        <f>SUM(Plan_Orc[[#This Row],[01/jan]:[01/dez]])</f>
        <v>0</v>
      </c>
      <c r="AB489" s="114"/>
      <c r="AC489" s="114"/>
      <c r="AD489" s="114"/>
      <c r="AE489" s="114"/>
      <c r="AF489" s="114"/>
      <c r="AG489" s="114"/>
      <c r="AH489" s="114"/>
      <c r="AI489" s="114"/>
      <c r="AJ489" s="114"/>
      <c r="AK489" s="114"/>
      <c r="AL489" s="114"/>
      <c r="AM489" s="114"/>
    </row>
    <row r="490" spans="2:39" ht="25.2" customHeight="1" x14ac:dyDescent="0.3">
      <c r="B490" s="13" t="str">
        <f t="shared" si="11"/>
        <v/>
      </c>
      <c r="C490" s="18"/>
      <c r="D490" s="19" t="str">
        <f>IF(Tabela2[[#This Row],[AGRUPADOR]]&lt;&gt;"",VLOOKUP(Tabela2[[#This Row],[AGRUPADOR]],Tabela1[],2,0),"")</f>
        <v/>
      </c>
      <c r="E490" s="19" t="str">
        <f>IF(Tabela2[[#This Row],[AGRUPADOR]]&lt;&gt;"",VLOOKUP(Tabela2[[#This Row],[AGRUPADOR]],Tabela1[],4,0),"")</f>
        <v/>
      </c>
      <c r="F490" s="14"/>
      <c r="G490" s="6"/>
      <c r="H490" s="6"/>
      <c r="I490" s="25"/>
      <c r="J490" s="7"/>
      <c r="K490" s="15"/>
      <c r="L490" s="379">
        <f>IF(H490&lt;&gt;"",J490*K490,SUMIFS(L491:L$9844,$F491:$F$9844,"*"&amp;F490&amp;"*",$H491:$H$9844,"&lt;&gt;"))</f>
        <v>0</v>
      </c>
      <c r="M490" s="379" t="str">
        <f>IF(Tabela2[[#This Row],[UNID.]]&lt;&gt;"",IFERROR(VLOOKUP(Tabela2[[#This Row],[AGRUPADOR]],Lucratividade!$D$4:$O$129,6,0),0),"")</f>
        <v/>
      </c>
      <c r="N490" s="379">
        <f>IF(H490&lt;&gt;"",J490*M490*I490,SUMIFS(N491:N$9844,$F491:$F$9844,"*"&amp;F490&amp;"*",$H491:$H$9844,"&lt;&gt;"))</f>
        <v>0</v>
      </c>
      <c r="O490" s="162" t="str">
        <f>IFERROR((-Tabela2[[#This Row],[CUSTO TOTAL]]+Tabela2[[#This Row],[VENDA TOTAL]])/Tabela2[[#This Row],[VENDA TOTAL]]-PARAMETROS!$C$19,"")</f>
        <v/>
      </c>
      <c r="AA490" s="219">
        <f>SUM(Plan_Orc[[#This Row],[01/jan]:[01/dez]])</f>
        <v>0</v>
      </c>
      <c r="AB490" s="114"/>
      <c r="AC490" s="114"/>
      <c r="AD490" s="114"/>
      <c r="AE490" s="114"/>
      <c r="AF490" s="114"/>
      <c r="AG490" s="114"/>
      <c r="AH490" s="114"/>
      <c r="AI490" s="114"/>
      <c r="AJ490" s="114"/>
      <c r="AK490" s="114"/>
      <c r="AL490" s="114"/>
      <c r="AM490" s="114"/>
    </row>
    <row r="491" spans="2:39" ht="25.2" customHeight="1" x14ac:dyDescent="0.3">
      <c r="B491" s="13" t="str">
        <f t="shared" si="11"/>
        <v/>
      </c>
      <c r="C491" s="18"/>
      <c r="D491" s="19" t="str">
        <f>IF(Tabela2[[#This Row],[AGRUPADOR]]&lt;&gt;"",VLOOKUP(Tabela2[[#This Row],[AGRUPADOR]],Tabela1[],2,0),"")</f>
        <v/>
      </c>
      <c r="E491" s="19" t="str">
        <f>IF(Tabela2[[#This Row],[AGRUPADOR]]&lt;&gt;"",VLOOKUP(Tabela2[[#This Row],[AGRUPADOR]],Tabela1[],4,0),"")</f>
        <v/>
      </c>
      <c r="F491" s="14"/>
      <c r="G491" s="6"/>
      <c r="H491" s="6"/>
      <c r="I491" s="25"/>
      <c r="J491" s="7"/>
      <c r="K491" s="15"/>
      <c r="L491" s="379">
        <f>IF(H491&lt;&gt;"",J491*K491,SUMIFS(L492:L$9844,$F492:$F$9844,"*"&amp;F491&amp;"*",$H492:$H$9844,"&lt;&gt;"))</f>
        <v>0</v>
      </c>
      <c r="M491" s="379" t="str">
        <f>IF(Tabela2[[#This Row],[UNID.]]&lt;&gt;"",IFERROR(VLOOKUP(Tabela2[[#This Row],[AGRUPADOR]],Lucratividade!$D$4:$O$129,6,0),0),"")</f>
        <v/>
      </c>
      <c r="N491" s="379">
        <f>IF(H491&lt;&gt;"",J491*M491*I491,SUMIFS(N492:N$9844,$F492:$F$9844,"*"&amp;F491&amp;"*",$H492:$H$9844,"&lt;&gt;"))</f>
        <v>0</v>
      </c>
      <c r="O491" s="162" t="str">
        <f>IFERROR((-Tabela2[[#This Row],[CUSTO TOTAL]]+Tabela2[[#This Row],[VENDA TOTAL]])/Tabela2[[#This Row],[VENDA TOTAL]]-PARAMETROS!$C$19,"")</f>
        <v/>
      </c>
      <c r="AA491" s="219">
        <f>SUM(Plan_Orc[[#This Row],[01/jan]:[01/dez]])</f>
        <v>0</v>
      </c>
      <c r="AB491" s="114"/>
      <c r="AC491" s="114"/>
      <c r="AD491" s="114"/>
      <c r="AE491" s="114"/>
      <c r="AF491" s="114"/>
      <c r="AG491" s="114"/>
      <c r="AH491" s="114"/>
      <c r="AI491" s="114"/>
      <c r="AJ491" s="114"/>
      <c r="AK491" s="114"/>
      <c r="AL491" s="114"/>
      <c r="AM491" s="114"/>
    </row>
    <row r="492" spans="2:39" ht="25.2" customHeight="1" x14ac:dyDescent="0.3">
      <c r="B492" s="13" t="str">
        <f t="shared" si="11"/>
        <v/>
      </c>
      <c r="C492" s="18"/>
      <c r="D492" s="19" t="str">
        <f>IF(Tabela2[[#This Row],[AGRUPADOR]]&lt;&gt;"",VLOOKUP(Tabela2[[#This Row],[AGRUPADOR]],Tabela1[],2,0),"")</f>
        <v/>
      </c>
      <c r="E492" s="19" t="str">
        <f>IF(Tabela2[[#This Row],[AGRUPADOR]]&lt;&gt;"",VLOOKUP(Tabela2[[#This Row],[AGRUPADOR]],Tabela1[],4,0),"")</f>
        <v/>
      </c>
      <c r="F492" s="14"/>
      <c r="G492" s="6"/>
      <c r="H492" s="6"/>
      <c r="I492" s="25"/>
      <c r="J492" s="7"/>
      <c r="K492" s="15"/>
      <c r="L492" s="379">
        <f>IF(H492&lt;&gt;"",J492*K492,SUMIFS(L493:L$9844,$F493:$F$9844,"*"&amp;F492&amp;"*",$H493:$H$9844,"&lt;&gt;"))</f>
        <v>0</v>
      </c>
      <c r="M492" s="379" t="str">
        <f>IF(Tabela2[[#This Row],[UNID.]]&lt;&gt;"",IFERROR(VLOOKUP(Tabela2[[#This Row],[AGRUPADOR]],Lucratividade!$D$4:$O$129,6,0),0),"")</f>
        <v/>
      </c>
      <c r="N492" s="379">
        <f>IF(H492&lt;&gt;"",J492*M492*I492,SUMIFS(N493:N$9844,$F493:$F$9844,"*"&amp;F492&amp;"*",$H493:$H$9844,"&lt;&gt;"))</f>
        <v>0</v>
      </c>
      <c r="O492" s="162" t="str">
        <f>IFERROR((-Tabela2[[#This Row],[CUSTO TOTAL]]+Tabela2[[#This Row],[VENDA TOTAL]])/Tabela2[[#This Row],[VENDA TOTAL]]-PARAMETROS!$C$19,"")</f>
        <v/>
      </c>
      <c r="AA492" s="219">
        <f>SUM(Plan_Orc[[#This Row],[01/jan]:[01/dez]])</f>
        <v>0</v>
      </c>
      <c r="AB492" s="114"/>
      <c r="AC492" s="114"/>
      <c r="AD492" s="114"/>
      <c r="AE492" s="114"/>
      <c r="AF492" s="114"/>
      <c r="AG492" s="114"/>
      <c r="AH492" s="114"/>
      <c r="AI492" s="114"/>
      <c r="AJ492" s="114"/>
      <c r="AK492" s="114"/>
      <c r="AL492" s="114"/>
      <c r="AM492" s="114"/>
    </row>
    <row r="493" spans="2:39" ht="25.2" customHeight="1" x14ac:dyDescent="0.3">
      <c r="B493" s="13" t="str">
        <f t="shared" si="11"/>
        <v/>
      </c>
      <c r="C493" s="18"/>
      <c r="D493" s="19" t="str">
        <f>IF(Tabela2[[#This Row],[AGRUPADOR]]&lt;&gt;"",VLOOKUP(Tabela2[[#This Row],[AGRUPADOR]],Tabela1[],2,0),"")</f>
        <v/>
      </c>
      <c r="E493" s="19" t="str">
        <f>IF(Tabela2[[#This Row],[AGRUPADOR]]&lt;&gt;"",VLOOKUP(Tabela2[[#This Row],[AGRUPADOR]],Tabela1[],4,0),"")</f>
        <v/>
      </c>
      <c r="F493" s="14"/>
      <c r="G493" s="6"/>
      <c r="H493" s="6"/>
      <c r="I493" s="25"/>
      <c r="J493" s="7"/>
      <c r="K493" s="15"/>
      <c r="L493" s="379">
        <f>IF(H493&lt;&gt;"",J493*K493,SUMIFS(L494:L$9844,$F494:$F$9844,"*"&amp;F493&amp;"*",$H494:$H$9844,"&lt;&gt;"))</f>
        <v>0</v>
      </c>
      <c r="M493" s="379" t="str">
        <f>IF(Tabela2[[#This Row],[UNID.]]&lt;&gt;"",IFERROR(VLOOKUP(Tabela2[[#This Row],[AGRUPADOR]],Lucratividade!$D$4:$O$129,6,0),0),"")</f>
        <v/>
      </c>
      <c r="N493" s="379">
        <f>IF(H493&lt;&gt;"",J493*M493*I493,SUMIFS(N494:N$9844,$F494:$F$9844,"*"&amp;F493&amp;"*",$H494:$H$9844,"&lt;&gt;"))</f>
        <v>0</v>
      </c>
      <c r="O493" s="162" t="str">
        <f>IFERROR((-Tabela2[[#This Row],[CUSTO TOTAL]]+Tabela2[[#This Row],[VENDA TOTAL]])/Tabela2[[#This Row],[VENDA TOTAL]]-PARAMETROS!$C$19,"")</f>
        <v/>
      </c>
      <c r="AA493" s="219">
        <f>SUM(Plan_Orc[[#This Row],[01/jan]:[01/dez]])</f>
        <v>0</v>
      </c>
      <c r="AB493" s="114"/>
      <c r="AC493" s="114"/>
      <c r="AD493" s="114"/>
      <c r="AE493" s="114"/>
      <c r="AF493" s="114"/>
      <c r="AG493" s="114"/>
      <c r="AH493" s="114"/>
      <c r="AI493" s="114"/>
      <c r="AJ493" s="114"/>
      <c r="AK493" s="114"/>
      <c r="AL493" s="114"/>
      <c r="AM493" s="114"/>
    </row>
    <row r="494" spans="2:39" ht="25.2" customHeight="1" x14ac:dyDescent="0.3">
      <c r="B494" s="13" t="str">
        <f t="shared" si="11"/>
        <v/>
      </c>
      <c r="C494" s="18"/>
      <c r="D494" s="19" t="str">
        <f>IF(Tabela2[[#This Row],[AGRUPADOR]]&lt;&gt;"",VLOOKUP(Tabela2[[#This Row],[AGRUPADOR]],Tabela1[],2,0),"")</f>
        <v/>
      </c>
      <c r="E494" s="19" t="str">
        <f>IF(Tabela2[[#This Row],[AGRUPADOR]]&lt;&gt;"",VLOOKUP(Tabela2[[#This Row],[AGRUPADOR]],Tabela1[],4,0),"")</f>
        <v/>
      </c>
      <c r="F494" s="14"/>
      <c r="G494" s="6"/>
      <c r="H494" s="6"/>
      <c r="I494" s="25"/>
      <c r="J494" s="7"/>
      <c r="K494" s="15"/>
      <c r="L494" s="379">
        <f>IF(H494&lt;&gt;"",J494*K494,SUMIFS(L495:L$9844,$F495:$F$9844,"*"&amp;F494&amp;"*",$H495:$H$9844,"&lt;&gt;"))</f>
        <v>0</v>
      </c>
      <c r="M494" s="379" t="str">
        <f>IF(Tabela2[[#This Row],[UNID.]]&lt;&gt;"",IFERROR(VLOOKUP(Tabela2[[#This Row],[AGRUPADOR]],Lucratividade!$D$4:$O$129,6,0),0),"")</f>
        <v/>
      </c>
      <c r="N494" s="379">
        <f>IF(H494&lt;&gt;"",J494*M494*I494,SUMIFS(N495:N$9844,$F495:$F$9844,"*"&amp;F494&amp;"*",$H495:$H$9844,"&lt;&gt;"))</f>
        <v>0</v>
      </c>
      <c r="O494" s="162" t="str">
        <f>IFERROR((-Tabela2[[#This Row],[CUSTO TOTAL]]+Tabela2[[#This Row],[VENDA TOTAL]])/Tabela2[[#This Row],[VENDA TOTAL]]-PARAMETROS!$C$19,"")</f>
        <v/>
      </c>
      <c r="AA494" s="219">
        <f>SUM(Plan_Orc[[#This Row],[01/jan]:[01/dez]])</f>
        <v>0</v>
      </c>
      <c r="AB494" s="114"/>
      <c r="AC494" s="114"/>
      <c r="AD494" s="114"/>
      <c r="AE494" s="114"/>
      <c r="AF494" s="114"/>
      <c r="AG494" s="114"/>
      <c r="AH494" s="114"/>
      <c r="AI494" s="114"/>
      <c r="AJ494" s="114"/>
      <c r="AK494" s="114"/>
      <c r="AL494" s="114"/>
      <c r="AM494" s="114"/>
    </row>
    <row r="495" spans="2:39" ht="25.2" customHeight="1" x14ac:dyDescent="0.3">
      <c r="B495" s="13" t="str">
        <f t="shared" si="11"/>
        <v/>
      </c>
      <c r="C495" s="18"/>
      <c r="D495" s="19" t="str">
        <f>IF(Tabela2[[#This Row],[AGRUPADOR]]&lt;&gt;"",VLOOKUP(Tabela2[[#This Row],[AGRUPADOR]],Tabela1[],2,0),"")</f>
        <v/>
      </c>
      <c r="E495" s="19" t="str">
        <f>IF(Tabela2[[#This Row],[AGRUPADOR]]&lt;&gt;"",VLOOKUP(Tabela2[[#This Row],[AGRUPADOR]],Tabela1[],4,0),"")</f>
        <v/>
      </c>
      <c r="F495" s="14"/>
      <c r="G495" s="6"/>
      <c r="H495" s="6"/>
      <c r="I495" s="25"/>
      <c r="J495" s="7"/>
      <c r="K495" s="15"/>
      <c r="L495" s="379">
        <f>IF(H495&lt;&gt;"",J495*K495,SUMIFS(L496:L$9844,$F496:$F$9844,"*"&amp;F495&amp;"*",$H496:$H$9844,"&lt;&gt;"))</f>
        <v>0</v>
      </c>
      <c r="M495" s="379" t="str">
        <f>IF(Tabela2[[#This Row],[UNID.]]&lt;&gt;"",IFERROR(VLOOKUP(Tabela2[[#This Row],[AGRUPADOR]],Lucratividade!$D$4:$O$129,6,0),0),"")</f>
        <v/>
      </c>
      <c r="N495" s="379">
        <f>IF(H495&lt;&gt;"",J495*M495*I495,SUMIFS(N496:N$9844,$F496:$F$9844,"*"&amp;F495&amp;"*",$H496:$H$9844,"&lt;&gt;"))</f>
        <v>0</v>
      </c>
      <c r="O495" s="162" t="str">
        <f>IFERROR((-Tabela2[[#This Row],[CUSTO TOTAL]]+Tabela2[[#This Row],[VENDA TOTAL]])/Tabela2[[#This Row],[VENDA TOTAL]]-PARAMETROS!$C$19,"")</f>
        <v/>
      </c>
      <c r="AA495" s="218">
        <f>SUM(Plan_Orc[[#This Row],[01/jan]:[01/dez]])</f>
        <v>0</v>
      </c>
      <c r="AB495" s="113"/>
      <c r="AC495" s="113"/>
      <c r="AD495" s="113"/>
      <c r="AE495" s="113"/>
      <c r="AF495" s="113"/>
      <c r="AG495" s="113"/>
      <c r="AH495" s="113"/>
      <c r="AI495" s="113"/>
      <c r="AJ495" s="113"/>
      <c r="AK495" s="113"/>
      <c r="AL495" s="113"/>
      <c r="AM495" s="113"/>
    </row>
    <row r="496" spans="2:39" ht="25.2" customHeight="1" x14ac:dyDescent="0.3">
      <c r="B496" s="13" t="str">
        <f t="shared" si="11"/>
        <v/>
      </c>
      <c r="C496" s="18"/>
      <c r="D496" s="19" t="str">
        <f>IF(Tabela2[[#This Row],[AGRUPADOR]]&lt;&gt;"",VLOOKUP(Tabela2[[#This Row],[AGRUPADOR]],Tabela1[],2,0),"")</f>
        <v/>
      </c>
      <c r="E496" s="19" t="str">
        <f>IF(Tabela2[[#This Row],[AGRUPADOR]]&lt;&gt;"",VLOOKUP(Tabela2[[#This Row],[AGRUPADOR]],Tabela1[],4,0),"")</f>
        <v/>
      </c>
      <c r="F496" s="14"/>
      <c r="G496" s="6"/>
      <c r="H496" s="6"/>
      <c r="I496" s="25"/>
      <c r="J496" s="7"/>
      <c r="K496" s="15"/>
      <c r="L496" s="379">
        <f>IF(H496&lt;&gt;"",J496*K496,SUMIFS(L497:L$9844,$F497:$F$9844,"*"&amp;F496&amp;"*",$H497:$H$9844,"&lt;&gt;"))</f>
        <v>0</v>
      </c>
      <c r="M496" s="379" t="str">
        <f>IF(Tabela2[[#This Row],[UNID.]]&lt;&gt;"",IFERROR(VLOOKUP(Tabela2[[#This Row],[AGRUPADOR]],Lucratividade!$D$4:$O$129,6,0),0),"")</f>
        <v/>
      </c>
      <c r="N496" s="379">
        <f>IF(H496&lt;&gt;"",J496*M496*I496,SUMIFS(N497:N$9844,$F497:$F$9844,"*"&amp;F496&amp;"*",$H497:$H$9844,"&lt;&gt;"))</f>
        <v>0</v>
      </c>
      <c r="O496" s="162" t="str">
        <f>IFERROR((-Tabela2[[#This Row],[CUSTO TOTAL]]+Tabela2[[#This Row],[VENDA TOTAL]])/Tabela2[[#This Row],[VENDA TOTAL]]-PARAMETROS!$C$19,"")</f>
        <v/>
      </c>
      <c r="AA496" s="219">
        <f>SUM(Plan_Orc[[#This Row],[01/jan]:[01/dez]])</f>
        <v>0</v>
      </c>
      <c r="AB496" s="114"/>
      <c r="AC496" s="114"/>
      <c r="AD496" s="114"/>
      <c r="AE496" s="114"/>
      <c r="AF496" s="114"/>
      <c r="AG496" s="114"/>
      <c r="AH496" s="114"/>
      <c r="AI496" s="114"/>
      <c r="AJ496" s="114"/>
      <c r="AK496" s="114"/>
      <c r="AL496" s="114"/>
      <c r="AM496" s="114"/>
    </row>
    <row r="497" spans="2:39" ht="25.2" customHeight="1" x14ac:dyDescent="0.3">
      <c r="B497" s="13" t="str">
        <f t="shared" si="11"/>
        <v/>
      </c>
      <c r="C497" s="18"/>
      <c r="D497" s="19" t="str">
        <f>IF(Tabela2[[#This Row],[AGRUPADOR]]&lt;&gt;"",VLOOKUP(Tabela2[[#This Row],[AGRUPADOR]],Tabela1[],2,0),"")</f>
        <v/>
      </c>
      <c r="E497" s="19" t="str">
        <f>IF(Tabela2[[#This Row],[AGRUPADOR]]&lt;&gt;"",VLOOKUP(Tabela2[[#This Row],[AGRUPADOR]],Tabela1[],4,0),"")</f>
        <v/>
      </c>
      <c r="F497" s="14"/>
      <c r="G497" s="6"/>
      <c r="H497" s="6"/>
      <c r="I497" s="25"/>
      <c r="J497" s="7"/>
      <c r="K497" s="15"/>
      <c r="L497" s="379">
        <f>IF(H497&lt;&gt;"",J497*K497,SUMIFS(L498:L$9844,$F498:$F$9844,"*"&amp;F497&amp;"*",$H498:$H$9844,"&lt;&gt;"))</f>
        <v>0</v>
      </c>
      <c r="M497" s="379" t="str">
        <f>IF(Tabela2[[#This Row],[UNID.]]&lt;&gt;"",IFERROR(VLOOKUP(Tabela2[[#This Row],[AGRUPADOR]],Lucratividade!$D$4:$O$129,6,0),0),"")</f>
        <v/>
      </c>
      <c r="N497" s="379">
        <f>IF(H497&lt;&gt;"",J497*M497*I497,SUMIFS(N498:N$9844,$F498:$F$9844,"*"&amp;F497&amp;"*",$H498:$H$9844,"&lt;&gt;"))</f>
        <v>0</v>
      </c>
      <c r="O497" s="162" t="str">
        <f>IFERROR((-Tabela2[[#This Row],[CUSTO TOTAL]]+Tabela2[[#This Row],[VENDA TOTAL]])/Tabela2[[#This Row],[VENDA TOTAL]]-PARAMETROS!$C$19,"")</f>
        <v/>
      </c>
      <c r="AA497" s="220">
        <f>SUM(Plan_Orc[[#This Row],[01/jan]:[01/dez]])</f>
        <v>0</v>
      </c>
      <c r="AB497" s="115"/>
      <c r="AC497" s="115"/>
      <c r="AD497" s="115"/>
      <c r="AE497" s="115"/>
      <c r="AF497" s="115"/>
      <c r="AG497" s="115"/>
      <c r="AH497" s="115"/>
      <c r="AI497" s="115"/>
      <c r="AJ497" s="115"/>
      <c r="AK497" s="115"/>
      <c r="AL497" s="115"/>
      <c r="AM497" s="115"/>
    </row>
    <row r="498" spans="2:39" ht="25.2" customHeight="1" x14ac:dyDescent="0.3">
      <c r="B498" s="13" t="str">
        <f t="shared" si="11"/>
        <v/>
      </c>
      <c r="C498" s="18"/>
      <c r="D498" s="19" t="str">
        <f>IF(Tabela2[[#This Row],[AGRUPADOR]]&lt;&gt;"",VLOOKUP(Tabela2[[#This Row],[AGRUPADOR]],Tabela1[],2,0),"")</f>
        <v/>
      </c>
      <c r="E498" s="19" t="str">
        <f>IF(Tabela2[[#This Row],[AGRUPADOR]]&lt;&gt;"",VLOOKUP(Tabela2[[#This Row],[AGRUPADOR]],Tabela1[],4,0),"")</f>
        <v/>
      </c>
      <c r="F498" s="14"/>
      <c r="G498" s="6"/>
      <c r="H498" s="6"/>
      <c r="I498" s="25"/>
      <c r="J498" s="7"/>
      <c r="K498" s="15"/>
      <c r="L498" s="379">
        <f>IF(H498&lt;&gt;"",J498*K498,SUMIFS(L499:L$9844,$F499:$F$9844,"*"&amp;F498&amp;"*",$H499:$H$9844,"&lt;&gt;"))</f>
        <v>0</v>
      </c>
      <c r="M498" s="379" t="str">
        <f>IF(Tabela2[[#This Row],[UNID.]]&lt;&gt;"",IFERROR(VLOOKUP(Tabela2[[#This Row],[AGRUPADOR]],Lucratividade!$D$4:$O$129,6,0),0),"")</f>
        <v/>
      </c>
      <c r="N498" s="379">
        <f>IF(H498&lt;&gt;"",J498*M498*I498,SUMIFS(N499:N$9844,$F499:$F$9844,"*"&amp;F498&amp;"*",$H499:$H$9844,"&lt;&gt;"))</f>
        <v>0</v>
      </c>
      <c r="O498" s="162" t="str">
        <f>IFERROR((-Tabela2[[#This Row],[CUSTO TOTAL]]+Tabela2[[#This Row],[VENDA TOTAL]])/Tabela2[[#This Row],[VENDA TOTAL]]-PARAMETROS!$C$19,"")</f>
        <v/>
      </c>
      <c r="AA498" s="219">
        <f>SUM(Plan_Orc[[#This Row],[01/jan]:[01/dez]])</f>
        <v>0</v>
      </c>
      <c r="AB498" s="114"/>
      <c r="AC498" s="114"/>
      <c r="AD498" s="114"/>
      <c r="AE498" s="114"/>
      <c r="AF498" s="114"/>
      <c r="AG498" s="114"/>
      <c r="AH498" s="114"/>
      <c r="AI498" s="114"/>
      <c r="AJ498" s="114"/>
      <c r="AK498" s="114"/>
      <c r="AL498" s="114"/>
      <c r="AM498" s="114"/>
    </row>
    <row r="499" spans="2:39" ht="25.2" customHeight="1" x14ac:dyDescent="0.3">
      <c r="B499" s="13" t="str">
        <f t="shared" si="11"/>
        <v/>
      </c>
      <c r="C499" s="18"/>
      <c r="D499" s="19" t="str">
        <f>IF(Tabela2[[#This Row],[AGRUPADOR]]&lt;&gt;"",VLOOKUP(Tabela2[[#This Row],[AGRUPADOR]],Tabela1[],2,0),"")</f>
        <v/>
      </c>
      <c r="E499" s="19" t="str">
        <f>IF(Tabela2[[#This Row],[AGRUPADOR]]&lt;&gt;"",VLOOKUP(Tabela2[[#This Row],[AGRUPADOR]],Tabela1[],4,0),"")</f>
        <v/>
      </c>
      <c r="F499" s="14"/>
      <c r="G499" s="6"/>
      <c r="H499" s="6"/>
      <c r="I499" s="25"/>
      <c r="J499" s="7"/>
      <c r="K499" s="15"/>
      <c r="L499" s="379">
        <f>IF(H499&lt;&gt;"",J499*K499,SUMIFS(L500:L$9844,$F500:$F$9844,"*"&amp;F499&amp;"*",$H500:$H$9844,"&lt;&gt;"))</f>
        <v>0</v>
      </c>
      <c r="M499" s="379" t="str">
        <f>IF(Tabela2[[#This Row],[UNID.]]&lt;&gt;"",IFERROR(VLOOKUP(Tabela2[[#This Row],[AGRUPADOR]],Lucratividade!$D$4:$O$129,6,0),0),"")</f>
        <v/>
      </c>
      <c r="N499" s="379">
        <f>IF(H499&lt;&gt;"",J499*M499*I499,SUMIFS(N500:N$9844,$F500:$F$9844,"*"&amp;F499&amp;"*",$H500:$H$9844,"&lt;&gt;"))</f>
        <v>0</v>
      </c>
      <c r="O499" s="162" t="str">
        <f>IFERROR((-Tabela2[[#This Row],[CUSTO TOTAL]]+Tabela2[[#This Row],[VENDA TOTAL]])/Tabela2[[#This Row],[VENDA TOTAL]]-PARAMETROS!$C$19,"")</f>
        <v/>
      </c>
      <c r="AA499" s="219">
        <f>SUM(Plan_Orc[[#This Row],[01/jan]:[01/dez]])</f>
        <v>0</v>
      </c>
      <c r="AB499" s="114"/>
      <c r="AC499" s="114"/>
      <c r="AD499" s="114"/>
      <c r="AE499" s="114"/>
      <c r="AF499" s="114"/>
      <c r="AG499" s="114"/>
      <c r="AH499" s="114"/>
      <c r="AI499" s="114"/>
      <c r="AJ499" s="114"/>
      <c r="AK499" s="114"/>
      <c r="AL499" s="114"/>
      <c r="AM499" s="114"/>
    </row>
    <row r="500" spans="2:39" ht="25.2" customHeight="1" x14ac:dyDescent="0.3">
      <c r="B500" s="13" t="str">
        <f t="shared" si="11"/>
        <v/>
      </c>
      <c r="C500" s="18"/>
      <c r="D500" s="19" t="str">
        <f>IF(Tabela2[[#This Row],[AGRUPADOR]]&lt;&gt;"",VLOOKUP(Tabela2[[#This Row],[AGRUPADOR]],Tabela1[],2,0),"")</f>
        <v/>
      </c>
      <c r="E500" s="19" t="str">
        <f>IF(Tabela2[[#This Row],[AGRUPADOR]]&lt;&gt;"",VLOOKUP(Tabela2[[#This Row],[AGRUPADOR]],Tabela1[],4,0),"")</f>
        <v/>
      </c>
      <c r="F500" s="14"/>
      <c r="G500" s="6"/>
      <c r="H500" s="6"/>
      <c r="I500" s="25"/>
      <c r="J500" s="7"/>
      <c r="K500" s="15"/>
      <c r="L500" s="379">
        <f>IF(H500&lt;&gt;"",J500*K500,SUMIFS(L501:L$9844,$F501:$F$9844,"*"&amp;F500&amp;"*",$H501:$H$9844,"&lt;&gt;"))</f>
        <v>0</v>
      </c>
      <c r="M500" s="379" t="str">
        <f>IF(Tabela2[[#This Row],[UNID.]]&lt;&gt;"",IFERROR(VLOOKUP(Tabela2[[#This Row],[AGRUPADOR]],Lucratividade!$D$4:$O$129,6,0),0),"")</f>
        <v/>
      </c>
      <c r="N500" s="379">
        <f>IF(H500&lt;&gt;"",J500*M500*I500,SUMIFS(N501:N$9844,$F501:$F$9844,"*"&amp;F500&amp;"*",$H501:$H$9844,"&lt;&gt;"))</f>
        <v>0</v>
      </c>
      <c r="O500" s="162" t="str">
        <f>IFERROR((-Tabela2[[#This Row],[CUSTO TOTAL]]+Tabela2[[#This Row],[VENDA TOTAL]])/Tabela2[[#This Row],[VENDA TOTAL]]-PARAMETROS!$C$19,"")</f>
        <v/>
      </c>
      <c r="AA500" s="219">
        <f>SUM(Plan_Orc[[#This Row],[01/jan]:[01/dez]])</f>
        <v>0</v>
      </c>
      <c r="AB500" s="114"/>
      <c r="AC500" s="114"/>
      <c r="AD500" s="114"/>
      <c r="AE500" s="114"/>
      <c r="AF500" s="114"/>
      <c r="AG500" s="114"/>
      <c r="AH500" s="114"/>
      <c r="AI500" s="114"/>
      <c r="AJ500" s="114"/>
      <c r="AK500" s="114"/>
      <c r="AL500" s="114"/>
      <c r="AM500" s="114"/>
    </row>
    <row r="501" spans="2:39" ht="25.2" customHeight="1" x14ac:dyDescent="0.3">
      <c r="B501" s="13" t="str">
        <f t="shared" si="11"/>
        <v/>
      </c>
      <c r="C501" s="18"/>
      <c r="D501" s="19" t="str">
        <f>IF(Tabela2[[#This Row],[AGRUPADOR]]&lt;&gt;"",VLOOKUP(Tabela2[[#This Row],[AGRUPADOR]],Tabela1[],2,0),"")</f>
        <v/>
      </c>
      <c r="E501" s="19" t="str">
        <f>IF(Tabela2[[#This Row],[AGRUPADOR]]&lt;&gt;"",VLOOKUP(Tabela2[[#This Row],[AGRUPADOR]],Tabela1[],4,0),"")</f>
        <v/>
      </c>
      <c r="F501" s="14"/>
      <c r="G501" s="6"/>
      <c r="H501" s="6"/>
      <c r="I501" s="25"/>
      <c r="J501" s="7"/>
      <c r="K501" s="15"/>
      <c r="L501" s="379">
        <f>IF(H501&lt;&gt;"",J501*K501,SUMIFS(L502:L$9844,$F502:$F$9844,"*"&amp;F501&amp;"*",$H502:$H$9844,"&lt;&gt;"))</f>
        <v>0</v>
      </c>
      <c r="M501" s="379" t="str">
        <f>IF(Tabela2[[#This Row],[UNID.]]&lt;&gt;"",IFERROR(VLOOKUP(Tabela2[[#This Row],[AGRUPADOR]],Lucratividade!$D$4:$O$129,6,0),0),"")</f>
        <v/>
      </c>
      <c r="N501" s="379">
        <f>IF(H501&lt;&gt;"",J501*M501*I501,SUMIFS(N502:N$9844,$F502:$F$9844,"*"&amp;F501&amp;"*",$H502:$H$9844,"&lt;&gt;"))</f>
        <v>0</v>
      </c>
      <c r="O501" s="162" t="str">
        <f>IFERROR((-Tabela2[[#This Row],[CUSTO TOTAL]]+Tabela2[[#This Row],[VENDA TOTAL]])/Tabela2[[#This Row],[VENDA TOTAL]]-PARAMETROS!$C$19,"")</f>
        <v/>
      </c>
      <c r="AA501" s="219">
        <f>SUM(Plan_Orc[[#This Row],[01/jan]:[01/dez]])</f>
        <v>0</v>
      </c>
      <c r="AB501" s="114"/>
      <c r="AC501" s="114"/>
      <c r="AD501" s="114"/>
      <c r="AE501" s="114"/>
      <c r="AF501" s="114"/>
      <c r="AG501" s="114"/>
      <c r="AH501" s="114"/>
      <c r="AI501" s="114"/>
      <c r="AJ501" s="114"/>
      <c r="AK501" s="114"/>
      <c r="AL501" s="114"/>
      <c r="AM501" s="114"/>
    </row>
    <row r="502" spans="2:39" ht="25.2" customHeight="1" x14ac:dyDescent="0.3">
      <c r="B502" s="13" t="str">
        <f t="shared" si="11"/>
        <v/>
      </c>
      <c r="C502" s="18"/>
      <c r="D502" s="19" t="str">
        <f>IF(Tabela2[[#This Row],[AGRUPADOR]]&lt;&gt;"",VLOOKUP(Tabela2[[#This Row],[AGRUPADOR]],Tabela1[],2,0),"")</f>
        <v/>
      </c>
      <c r="E502" s="19" t="str">
        <f>IF(Tabela2[[#This Row],[AGRUPADOR]]&lt;&gt;"",VLOOKUP(Tabela2[[#This Row],[AGRUPADOR]],Tabela1[],4,0),"")</f>
        <v/>
      </c>
      <c r="F502" s="14"/>
      <c r="G502" s="6"/>
      <c r="H502" s="6"/>
      <c r="I502" s="25"/>
      <c r="J502" s="7"/>
      <c r="K502" s="15"/>
      <c r="L502" s="379">
        <f>IF(H502&lt;&gt;"",J502*K502,SUMIFS(L503:L$9844,$F503:$F$9844,"*"&amp;F502&amp;"*",$H503:$H$9844,"&lt;&gt;"))</f>
        <v>0</v>
      </c>
      <c r="M502" s="379" t="str">
        <f>IF(Tabela2[[#This Row],[UNID.]]&lt;&gt;"",IFERROR(VLOOKUP(Tabela2[[#This Row],[AGRUPADOR]],Lucratividade!$D$4:$O$129,6,0),0),"")</f>
        <v/>
      </c>
      <c r="N502" s="379">
        <f>IF(H502&lt;&gt;"",J502*M502*I502,SUMIFS(N503:N$9844,$F503:$F$9844,"*"&amp;F502&amp;"*",$H503:$H$9844,"&lt;&gt;"))</f>
        <v>0</v>
      </c>
      <c r="O502" s="162" t="str">
        <f>IFERROR((-Tabela2[[#This Row],[CUSTO TOTAL]]+Tabela2[[#This Row],[VENDA TOTAL]])/Tabela2[[#This Row],[VENDA TOTAL]]-PARAMETROS!$C$19,"")</f>
        <v/>
      </c>
      <c r="AA502" s="220">
        <f>SUM(Plan_Orc[[#This Row],[01/jan]:[01/dez]])</f>
        <v>0</v>
      </c>
      <c r="AB502" s="115"/>
      <c r="AC502" s="115"/>
      <c r="AD502" s="115"/>
      <c r="AE502" s="115"/>
      <c r="AF502" s="115"/>
      <c r="AG502" s="115"/>
      <c r="AH502" s="115"/>
      <c r="AI502" s="115"/>
      <c r="AJ502" s="115"/>
      <c r="AK502" s="115"/>
      <c r="AL502" s="115"/>
      <c r="AM502" s="115"/>
    </row>
    <row r="503" spans="2:39" ht="25.2" customHeight="1" x14ac:dyDescent="0.3">
      <c r="B503" s="13" t="str">
        <f t="shared" si="11"/>
        <v/>
      </c>
      <c r="C503" s="18"/>
      <c r="D503" s="19" t="str">
        <f>IF(Tabela2[[#This Row],[AGRUPADOR]]&lt;&gt;"",VLOOKUP(Tabela2[[#This Row],[AGRUPADOR]],Tabela1[],2,0),"")</f>
        <v/>
      </c>
      <c r="E503" s="19" t="str">
        <f>IF(Tabela2[[#This Row],[AGRUPADOR]]&lt;&gt;"",VLOOKUP(Tabela2[[#This Row],[AGRUPADOR]],Tabela1[],4,0),"")</f>
        <v/>
      </c>
      <c r="F503" s="14"/>
      <c r="G503" s="6"/>
      <c r="H503" s="6"/>
      <c r="I503" s="25"/>
      <c r="J503" s="7"/>
      <c r="K503" s="15"/>
      <c r="L503" s="379">
        <f>IF(H503&lt;&gt;"",J503*K503,SUMIFS(L504:L$9844,$F504:$F$9844,"*"&amp;F503&amp;"*",$H504:$H$9844,"&lt;&gt;"))</f>
        <v>0</v>
      </c>
      <c r="M503" s="379" t="str">
        <f>IF(Tabela2[[#This Row],[UNID.]]&lt;&gt;"",IFERROR(VLOOKUP(Tabela2[[#This Row],[AGRUPADOR]],Lucratividade!$D$4:$O$129,6,0),0),"")</f>
        <v/>
      </c>
      <c r="N503" s="379">
        <f>IF(H503&lt;&gt;"",J503*M503*I503,SUMIFS(N504:N$9844,$F504:$F$9844,"*"&amp;F503&amp;"*",$H504:$H$9844,"&lt;&gt;"))</f>
        <v>0</v>
      </c>
      <c r="O503" s="162" t="str">
        <f>IFERROR((-Tabela2[[#This Row],[CUSTO TOTAL]]+Tabela2[[#This Row],[VENDA TOTAL]])/Tabela2[[#This Row],[VENDA TOTAL]]-PARAMETROS!$C$19,"")</f>
        <v/>
      </c>
      <c r="AA503" s="218">
        <f>SUM(Plan_Orc[[#This Row],[01/jan]:[01/dez]])</f>
        <v>0</v>
      </c>
      <c r="AB503" s="113"/>
      <c r="AC503" s="113"/>
      <c r="AD503" s="113"/>
      <c r="AE503" s="113"/>
      <c r="AF503" s="113"/>
      <c r="AG503" s="113"/>
      <c r="AH503" s="113"/>
      <c r="AI503" s="113"/>
      <c r="AJ503" s="113"/>
      <c r="AK503" s="113"/>
      <c r="AL503" s="113"/>
      <c r="AM503" s="113"/>
    </row>
    <row r="504" spans="2:39" ht="25.2" customHeight="1" x14ac:dyDescent="0.3">
      <c r="B504" s="13" t="str">
        <f t="shared" si="11"/>
        <v/>
      </c>
      <c r="C504" s="18"/>
      <c r="D504" s="19" t="str">
        <f>IF(Tabela2[[#This Row],[AGRUPADOR]]&lt;&gt;"",VLOOKUP(Tabela2[[#This Row],[AGRUPADOR]],Tabela1[],2,0),"")</f>
        <v/>
      </c>
      <c r="E504" s="19" t="str">
        <f>IF(Tabela2[[#This Row],[AGRUPADOR]]&lt;&gt;"",VLOOKUP(Tabela2[[#This Row],[AGRUPADOR]],Tabela1[],4,0),"")</f>
        <v/>
      </c>
      <c r="F504" s="14"/>
      <c r="G504" s="6"/>
      <c r="H504" s="6"/>
      <c r="I504" s="25"/>
      <c r="J504" s="7"/>
      <c r="K504" s="15"/>
      <c r="L504" s="379">
        <f>IF(H504&lt;&gt;"",J504*K504,SUMIFS(L505:L$9844,$F505:$F$9844,"*"&amp;F504&amp;"*",$H505:$H$9844,"&lt;&gt;"))</f>
        <v>0</v>
      </c>
      <c r="M504" s="379" t="str">
        <f>IF(Tabela2[[#This Row],[UNID.]]&lt;&gt;"",IFERROR(VLOOKUP(Tabela2[[#This Row],[AGRUPADOR]],Lucratividade!$D$4:$O$129,6,0),0),"")</f>
        <v/>
      </c>
      <c r="N504" s="379">
        <f>IF(H504&lt;&gt;"",J504*M504*I504,SUMIFS(N505:N$9844,$F505:$F$9844,"*"&amp;F504&amp;"*",$H505:$H$9844,"&lt;&gt;"))</f>
        <v>0</v>
      </c>
      <c r="O504" s="162" t="str">
        <f>IFERROR((-Tabela2[[#This Row],[CUSTO TOTAL]]+Tabela2[[#This Row],[VENDA TOTAL]])/Tabela2[[#This Row],[VENDA TOTAL]]-PARAMETROS!$C$19,"")</f>
        <v/>
      </c>
      <c r="AA504" s="219">
        <f>SUM(Plan_Orc[[#This Row],[01/jan]:[01/dez]])</f>
        <v>0</v>
      </c>
      <c r="AB504" s="114"/>
      <c r="AC504" s="114"/>
      <c r="AD504" s="114"/>
      <c r="AE504" s="114"/>
      <c r="AF504" s="114"/>
      <c r="AG504" s="114"/>
      <c r="AH504" s="114"/>
      <c r="AI504" s="114"/>
      <c r="AJ504" s="114"/>
      <c r="AK504" s="114"/>
      <c r="AL504" s="114"/>
      <c r="AM504" s="114"/>
    </row>
    <row r="505" spans="2:39" ht="25.2" customHeight="1" x14ac:dyDescent="0.3">
      <c r="B505" s="13" t="str">
        <f t="shared" si="11"/>
        <v/>
      </c>
      <c r="C505" s="18"/>
      <c r="D505" s="19" t="str">
        <f>IF(Tabela2[[#This Row],[AGRUPADOR]]&lt;&gt;"",VLOOKUP(Tabela2[[#This Row],[AGRUPADOR]],Tabela1[],2,0),"")</f>
        <v/>
      </c>
      <c r="E505" s="19" t="str">
        <f>IF(Tabela2[[#This Row],[AGRUPADOR]]&lt;&gt;"",VLOOKUP(Tabela2[[#This Row],[AGRUPADOR]],Tabela1[],4,0),"")</f>
        <v/>
      </c>
      <c r="F505" s="14"/>
      <c r="G505" s="6"/>
      <c r="H505" s="6"/>
      <c r="I505" s="25"/>
      <c r="J505" s="7"/>
      <c r="K505" s="15"/>
      <c r="L505" s="379">
        <f>IF(H505&lt;&gt;"",J505*K505,SUMIFS(L506:L$9844,$F506:$F$9844,"*"&amp;F505&amp;"*",$H506:$H$9844,"&lt;&gt;"))</f>
        <v>0</v>
      </c>
      <c r="M505" s="379" t="str">
        <f>IF(Tabela2[[#This Row],[UNID.]]&lt;&gt;"",IFERROR(VLOOKUP(Tabela2[[#This Row],[AGRUPADOR]],Lucratividade!$D$4:$O$129,6,0),0),"")</f>
        <v/>
      </c>
      <c r="N505" s="379">
        <f>IF(H505&lt;&gt;"",J505*M505*I505,SUMIFS(N506:N$9844,$F506:$F$9844,"*"&amp;F505&amp;"*",$H506:$H$9844,"&lt;&gt;"))</f>
        <v>0</v>
      </c>
      <c r="O505" s="162" t="str">
        <f>IFERROR((-Tabela2[[#This Row],[CUSTO TOTAL]]+Tabela2[[#This Row],[VENDA TOTAL]])/Tabela2[[#This Row],[VENDA TOTAL]]-PARAMETROS!$C$19,"")</f>
        <v/>
      </c>
      <c r="AA505" s="222">
        <f>SUM(Plan_Orc[[#This Row],[01/jan]:[01/dez]])</f>
        <v>0</v>
      </c>
      <c r="AB505" s="216"/>
      <c r="AC505" s="216"/>
      <c r="AD505" s="216"/>
      <c r="AE505" s="216"/>
      <c r="AF505" s="216"/>
      <c r="AG505" s="216"/>
      <c r="AH505" s="216"/>
      <c r="AI505" s="216"/>
      <c r="AJ505" s="216"/>
      <c r="AK505" s="216"/>
      <c r="AL505" s="216"/>
      <c r="AM505" s="216"/>
    </row>
    <row r="506" spans="2:39" ht="25.2" customHeight="1" x14ac:dyDescent="0.3">
      <c r="B506" s="13" t="str">
        <f t="shared" si="11"/>
        <v/>
      </c>
      <c r="C506" s="18"/>
      <c r="D506" s="19" t="str">
        <f>IF(Tabela2[[#This Row],[AGRUPADOR]]&lt;&gt;"",VLOOKUP(Tabela2[[#This Row],[AGRUPADOR]],Tabela1[],2,0),"")</f>
        <v/>
      </c>
      <c r="E506" s="19" t="str">
        <f>IF(Tabela2[[#This Row],[AGRUPADOR]]&lt;&gt;"",VLOOKUP(Tabela2[[#This Row],[AGRUPADOR]],Tabela1[],4,0),"")</f>
        <v/>
      </c>
      <c r="F506" s="14"/>
      <c r="G506" s="6"/>
      <c r="H506" s="6"/>
      <c r="I506" s="25"/>
      <c r="J506" s="7"/>
      <c r="K506" s="15"/>
      <c r="L506" s="379">
        <f>IF(H506&lt;&gt;"",J506*K506,SUMIFS(L507:L$9844,$F507:$F$9844,"*"&amp;F506&amp;"*",$H507:$H$9844,"&lt;&gt;"))</f>
        <v>0</v>
      </c>
      <c r="M506" s="379" t="str">
        <f>IF(Tabela2[[#This Row],[UNID.]]&lt;&gt;"",IFERROR(VLOOKUP(Tabela2[[#This Row],[AGRUPADOR]],Lucratividade!$D$4:$O$129,6,0),0),"")</f>
        <v/>
      </c>
      <c r="N506" s="379">
        <f>IF(H506&lt;&gt;"",J506*M506*I506,SUMIFS(N507:N$9844,$F507:$F$9844,"*"&amp;F506&amp;"*",$H507:$H$9844,"&lt;&gt;"))</f>
        <v>0</v>
      </c>
      <c r="O506" s="162" t="str">
        <f>IFERROR((-Tabela2[[#This Row],[CUSTO TOTAL]]+Tabela2[[#This Row],[VENDA TOTAL]])/Tabela2[[#This Row],[VENDA TOTAL]]-PARAMETROS!$C$19,"")</f>
        <v/>
      </c>
      <c r="AA506" s="217">
        <f>SUM(Plan_Orc[[#This Row],[01/jan]:[01/dez]])</f>
        <v>0</v>
      </c>
      <c r="AB506" s="214"/>
      <c r="AC506" s="214"/>
      <c r="AD506" s="214"/>
      <c r="AE506" s="214"/>
      <c r="AF506" s="214"/>
      <c r="AG506" s="214"/>
      <c r="AH506" s="214"/>
      <c r="AI506" s="214"/>
      <c r="AJ506" s="214"/>
      <c r="AK506" s="214"/>
      <c r="AL506" s="214"/>
      <c r="AM506" s="214"/>
    </row>
    <row r="507" spans="2:39" ht="25.2" customHeight="1" x14ac:dyDescent="0.3">
      <c r="B507" s="13" t="str">
        <f t="shared" si="11"/>
        <v/>
      </c>
      <c r="C507" s="18"/>
      <c r="D507" s="19" t="str">
        <f>IF(Tabela2[[#This Row],[AGRUPADOR]]&lt;&gt;"",VLOOKUP(Tabela2[[#This Row],[AGRUPADOR]],Tabela1[],2,0),"")</f>
        <v/>
      </c>
      <c r="E507" s="19" t="str">
        <f>IF(Tabela2[[#This Row],[AGRUPADOR]]&lt;&gt;"",VLOOKUP(Tabela2[[#This Row],[AGRUPADOR]],Tabela1[],4,0),"")</f>
        <v/>
      </c>
      <c r="F507" s="14"/>
      <c r="G507" s="6"/>
      <c r="H507" s="6"/>
      <c r="I507" s="25"/>
      <c r="J507" s="7"/>
      <c r="K507" s="15"/>
      <c r="L507" s="379">
        <f>IF(H507&lt;&gt;"",J507*K507,SUMIFS(L508:L$9844,$F508:$F$9844,"*"&amp;F507&amp;"*",$H508:$H$9844,"&lt;&gt;"))</f>
        <v>0</v>
      </c>
      <c r="M507" s="379" t="str">
        <f>IF(Tabela2[[#This Row],[UNID.]]&lt;&gt;"",IFERROR(VLOOKUP(Tabela2[[#This Row],[AGRUPADOR]],Lucratividade!$D$4:$O$129,6,0),0),"")</f>
        <v/>
      </c>
      <c r="N507" s="379">
        <f>IF(H507&lt;&gt;"",J507*M507*I507,SUMIFS(N508:N$9844,$F508:$F$9844,"*"&amp;F507&amp;"*",$H508:$H$9844,"&lt;&gt;"))</f>
        <v>0</v>
      </c>
      <c r="O507" s="162" t="str">
        <f>IFERROR((-Tabela2[[#This Row],[CUSTO TOTAL]]+Tabela2[[#This Row],[VENDA TOTAL]])/Tabela2[[#This Row],[VENDA TOTAL]]-PARAMETROS!$C$19,"")</f>
        <v/>
      </c>
      <c r="AA507" s="218">
        <f>SUM(Plan_Orc[[#This Row],[01/jan]:[01/dez]])</f>
        <v>0</v>
      </c>
      <c r="AB507" s="113"/>
      <c r="AC507" s="113"/>
      <c r="AD507" s="113"/>
      <c r="AE507" s="113"/>
      <c r="AF507" s="113"/>
      <c r="AG507" s="113"/>
      <c r="AH507" s="113"/>
      <c r="AI507" s="113"/>
      <c r="AJ507" s="113"/>
      <c r="AK507" s="113"/>
      <c r="AL507" s="113"/>
      <c r="AM507" s="113"/>
    </row>
    <row r="508" spans="2:39" ht="25.2" customHeight="1" x14ac:dyDescent="0.3">
      <c r="B508" s="13" t="str">
        <f t="shared" si="11"/>
        <v/>
      </c>
      <c r="C508" s="18"/>
      <c r="D508" s="19" t="str">
        <f>IF(Tabela2[[#This Row],[AGRUPADOR]]&lt;&gt;"",VLOOKUP(Tabela2[[#This Row],[AGRUPADOR]],Tabela1[],2,0),"")</f>
        <v/>
      </c>
      <c r="E508" s="19" t="str">
        <f>IF(Tabela2[[#This Row],[AGRUPADOR]]&lt;&gt;"",VLOOKUP(Tabela2[[#This Row],[AGRUPADOR]],Tabela1[],4,0),"")</f>
        <v/>
      </c>
      <c r="F508" s="14"/>
      <c r="G508" s="6"/>
      <c r="H508" s="6"/>
      <c r="I508" s="25"/>
      <c r="J508" s="7"/>
      <c r="K508" s="15"/>
      <c r="L508" s="379">
        <f>IF(H508&lt;&gt;"",J508*K508,SUMIFS(L509:L$9844,$F509:$F$9844,"*"&amp;F508&amp;"*",$H509:$H$9844,"&lt;&gt;"))</f>
        <v>0</v>
      </c>
      <c r="M508" s="379" t="str">
        <f>IF(Tabela2[[#This Row],[UNID.]]&lt;&gt;"",IFERROR(VLOOKUP(Tabela2[[#This Row],[AGRUPADOR]],Lucratividade!$D$4:$O$129,6,0),0),"")</f>
        <v/>
      </c>
      <c r="N508" s="379">
        <f>IF(H508&lt;&gt;"",J508*M508*I508,SUMIFS(N509:N$9844,$F509:$F$9844,"*"&amp;F508&amp;"*",$H509:$H$9844,"&lt;&gt;"))</f>
        <v>0</v>
      </c>
      <c r="O508" s="162" t="str">
        <f>IFERROR((-Tabela2[[#This Row],[CUSTO TOTAL]]+Tabela2[[#This Row],[VENDA TOTAL]])/Tabela2[[#This Row],[VENDA TOTAL]]-PARAMETROS!$C$19,"")</f>
        <v/>
      </c>
      <c r="AA508" s="219">
        <f>SUM(Plan_Orc[[#This Row],[01/jan]:[01/dez]])</f>
        <v>0</v>
      </c>
      <c r="AB508" s="114"/>
      <c r="AC508" s="114"/>
      <c r="AD508" s="114"/>
      <c r="AE508" s="114"/>
      <c r="AF508" s="114"/>
      <c r="AG508" s="114"/>
      <c r="AH508" s="114"/>
      <c r="AI508" s="114"/>
      <c r="AJ508" s="114"/>
      <c r="AK508" s="114"/>
      <c r="AL508" s="114"/>
      <c r="AM508" s="114"/>
    </row>
    <row r="509" spans="2:39" ht="25.2" customHeight="1" x14ac:dyDescent="0.3">
      <c r="B509" s="13" t="str">
        <f t="shared" si="11"/>
        <v/>
      </c>
      <c r="C509" s="18"/>
      <c r="D509" s="19" t="str">
        <f>IF(Tabela2[[#This Row],[AGRUPADOR]]&lt;&gt;"",VLOOKUP(Tabela2[[#This Row],[AGRUPADOR]],Tabela1[],2,0),"")</f>
        <v/>
      </c>
      <c r="E509" s="19" t="str">
        <f>IF(Tabela2[[#This Row],[AGRUPADOR]]&lt;&gt;"",VLOOKUP(Tabela2[[#This Row],[AGRUPADOR]],Tabela1[],4,0),"")</f>
        <v/>
      </c>
      <c r="F509" s="14"/>
      <c r="G509" s="6"/>
      <c r="H509" s="6"/>
      <c r="I509" s="25"/>
      <c r="J509" s="7"/>
      <c r="K509" s="15"/>
      <c r="L509" s="379">
        <f>IF(H509&lt;&gt;"",J509*K509,SUMIFS(L510:L$9844,$F510:$F$9844,"*"&amp;F509&amp;"*",$H510:$H$9844,"&lt;&gt;"))</f>
        <v>0</v>
      </c>
      <c r="M509" s="379" t="str">
        <f>IF(Tabela2[[#This Row],[UNID.]]&lt;&gt;"",IFERROR(VLOOKUP(Tabela2[[#This Row],[AGRUPADOR]],Lucratividade!$D$4:$O$129,6,0),0),"")</f>
        <v/>
      </c>
      <c r="N509" s="379">
        <f>IF(H509&lt;&gt;"",J509*M509*I509,SUMIFS(N510:N$9844,$F510:$F$9844,"*"&amp;F509&amp;"*",$H510:$H$9844,"&lt;&gt;"))</f>
        <v>0</v>
      </c>
      <c r="O509" s="162" t="str">
        <f>IFERROR((-Tabela2[[#This Row],[CUSTO TOTAL]]+Tabela2[[#This Row],[VENDA TOTAL]])/Tabela2[[#This Row],[VENDA TOTAL]]-PARAMETROS!$C$19,"")</f>
        <v/>
      </c>
      <c r="AA509" s="217">
        <f>SUM(Plan_Orc[[#This Row],[01/jan]:[01/dez]])</f>
        <v>0</v>
      </c>
      <c r="AB509" s="214"/>
      <c r="AC509" s="214"/>
      <c r="AD509" s="214"/>
      <c r="AE509" s="214"/>
      <c r="AF509" s="214"/>
      <c r="AG509" s="214"/>
      <c r="AH509" s="214"/>
      <c r="AI509" s="214"/>
      <c r="AJ509" s="214"/>
      <c r="AK509" s="214"/>
      <c r="AL509" s="214"/>
      <c r="AM509" s="214"/>
    </row>
    <row r="510" spans="2:39" ht="25.2" customHeight="1" x14ac:dyDescent="0.3">
      <c r="B510" s="13" t="str">
        <f t="shared" si="11"/>
        <v/>
      </c>
      <c r="C510" s="18"/>
      <c r="D510" s="19" t="str">
        <f>IF(Tabela2[[#This Row],[AGRUPADOR]]&lt;&gt;"",VLOOKUP(Tabela2[[#This Row],[AGRUPADOR]],Tabela1[],2,0),"")</f>
        <v/>
      </c>
      <c r="E510" s="19" t="str">
        <f>IF(Tabela2[[#This Row],[AGRUPADOR]]&lt;&gt;"",VLOOKUP(Tabela2[[#This Row],[AGRUPADOR]],Tabela1[],4,0),"")</f>
        <v/>
      </c>
      <c r="F510" s="14"/>
      <c r="G510" s="6"/>
      <c r="H510" s="6"/>
      <c r="I510" s="25"/>
      <c r="J510" s="7"/>
      <c r="K510" s="15"/>
      <c r="L510" s="379">
        <f>IF(H510&lt;&gt;"",J510*K510,SUMIFS(L511:L$9844,$F511:$F$9844,"*"&amp;F510&amp;"*",$H511:$H$9844,"&lt;&gt;"))</f>
        <v>0</v>
      </c>
      <c r="M510" s="379" t="str">
        <f>IF(Tabela2[[#This Row],[UNID.]]&lt;&gt;"",IFERROR(VLOOKUP(Tabela2[[#This Row],[AGRUPADOR]],Lucratividade!$D$4:$O$129,6,0),0),"")</f>
        <v/>
      </c>
      <c r="N510" s="379">
        <f>IF(H510&lt;&gt;"",J510*M510*I510,SUMIFS(N511:N$9844,$F511:$F$9844,"*"&amp;F510&amp;"*",$H511:$H$9844,"&lt;&gt;"))</f>
        <v>0</v>
      </c>
      <c r="O510" s="162" t="str">
        <f>IFERROR((-Tabela2[[#This Row],[CUSTO TOTAL]]+Tabela2[[#This Row],[VENDA TOTAL]])/Tabela2[[#This Row],[VENDA TOTAL]]-PARAMETROS!$C$19,"")</f>
        <v/>
      </c>
      <c r="AA510" s="218">
        <f>SUM(Plan_Orc[[#This Row],[01/jan]:[01/dez]])</f>
        <v>0</v>
      </c>
      <c r="AB510" s="113"/>
      <c r="AC510" s="113"/>
      <c r="AD510" s="113"/>
      <c r="AE510" s="113"/>
      <c r="AF510" s="113"/>
      <c r="AG510" s="113"/>
      <c r="AH510" s="113"/>
      <c r="AI510" s="113"/>
      <c r="AJ510" s="113"/>
      <c r="AK510" s="113"/>
      <c r="AL510" s="113"/>
      <c r="AM510" s="113"/>
    </row>
    <row r="511" spans="2:39" ht="25.2" customHeight="1" x14ac:dyDescent="0.3">
      <c r="B511" s="13" t="str">
        <f t="shared" si="11"/>
        <v/>
      </c>
      <c r="C511" s="18"/>
      <c r="D511" s="19" t="str">
        <f>IF(Tabela2[[#This Row],[AGRUPADOR]]&lt;&gt;"",VLOOKUP(Tabela2[[#This Row],[AGRUPADOR]],Tabela1[],2,0),"")</f>
        <v/>
      </c>
      <c r="E511" s="19" t="str">
        <f>IF(Tabela2[[#This Row],[AGRUPADOR]]&lt;&gt;"",VLOOKUP(Tabela2[[#This Row],[AGRUPADOR]],Tabela1[],4,0),"")</f>
        <v/>
      </c>
      <c r="F511" s="14"/>
      <c r="G511" s="6"/>
      <c r="H511" s="6"/>
      <c r="I511" s="25"/>
      <c r="J511" s="7"/>
      <c r="K511" s="15"/>
      <c r="L511" s="379">
        <f>IF(H511&lt;&gt;"",J511*K511,SUMIFS(L512:L$9844,$F512:$F$9844,"*"&amp;F511&amp;"*",$H512:$H$9844,"&lt;&gt;"))</f>
        <v>0</v>
      </c>
      <c r="M511" s="379" t="str">
        <f>IF(Tabela2[[#This Row],[UNID.]]&lt;&gt;"",IFERROR(VLOOKUP(Tabela2[[#This Row],[AGRUPADOR]],Lucratividade!$D$4:$O$129,6,0),0),"")</f>
        <v/>
      </c>
      <c r="N511" s="379">
        <f>IF(H511&lt;&gt;"",J511*M511*I511,SUMIFS(N512:N$9844,$F512:$F$9844,"*"&amp;F511&amp;"*",$H512:$H$9844,"&lt;&gt;"))</f>
        <v>0</v>
      </c>
      <c r="O511" s="162" t="str">
        <f>IFERROR((-Tabela2[[#This Row],[CUSTO TOTAL]]+Tabela2[[#This Row],[VENDA TOTAL]])/Tabela2[[#This Row],[VENDA TOTAL]]-PARAMETROS!$C$19,"")</f>
        <v/>
      </c>
      <c r="AA511" s="219">
        <f>SUM(Plan_Orc[[#This Row],[01/jan]:[01/dez]])</f>
        <v>0</v>
      </c>
      <c r="AB511" s="114"/>
      <c r="AC511" s="114"/>
      <c r="AD511" s="114"/>
      <c r="AE511" s="114"/>
      <c r="AF511" s="114"/>
      <c r="AG511" s="114"/>
      <c r="AH511" s="114"/>
      <c r="AI511" s="114"/>
      <c r="AJ511" s="114"/>
      <c r="AK511" s="114"/>
      <c r="AL511" s="114"/>
      <c r="AM511" s="114"/>
    </row>
    <row r="512" spans="2:39" ht="25.2" customHeight="1" x14ac:dyDescent="0.3">
      <c r="B512" s="13" t="str">
        <f t="shared" si="11"/>
        <v/>
      </c>
      <c r="C512" s="18"/>
      <c r="D512" s="19" t="str">
        <f>IF(Tabela2[[#This Row],[AGRUPADOR]]&lt;&gt;"",VLOOKUP(Tabela2[[#This Row],[AGRUPADOR]],Tabela1[],2,0),"")</f>
        <v/>
      </c>
      <c r="E512" s="19" t="str">
        <f>IF(Tabela2[[#This Row],[AGRUPADOR]]&lt;&gt;"",VLOOKUP(Tabela2[[#This Row],[AGRUPADOR]],Tabela1[],4,0),"")</f>
        <v/>
      </c>
      <c r="F512" s="14"/>
      <c r="G512" s="6"/>
      <c r="H512" s="6"/>
      <c r="I512" s="25"/>
      <c r="J512" s="7"/>
      <c r="K512" s="15"/>
      <c r="L512" s="379">
        <f>IF(H512&lt;&gt;"",J512*K512,SUMIFS(L513:L$9844,$F513:$F$9844,"*"&amp;F512&amp;"*",$H513:$H$9844,"&lt;&gt;"))</f>
        <v>0</v>
      </c>
      <c r="M512" s="379" t="str">
        <f>IF(Tabela2[[#This Row],[UNID.]]&lt;&gt;"",IFERROR(VLOOKUP(Tabela2[[#This Row],[AGRUPADOR]],Lucratividade!$D$4:$O$129,6,0),0),"")</f>
        <v/>
      </c>
      <c r="N512" s="379">
        <f>IF(H512&lt;&gt;"",J512*M512*I512,SUMIFS(N513:N$9844,$F513:$F$9844,"*"&amp;F512&amp;"*",$H513:$H$9844,"&lt;&gt;"))</f>
        <v>0</v>
      </c>
      <c r="O512" s="162" t="str">
        <f>IFERROR((-Tabela2[[#This Row],[CUSTO TOTAL]]+Tabela2[[#This Row],[VENDA TOTAL]])/Tabela2[[#This Row],[VENDA TOTAL]]-PARAMETROS!$C$19,"")</f>
        <v/>
      </c>
      <c r="AA512" s="219">
        <f>SUM(Plan_Orc[[#This Row],[01/jan]:[01/dez]])</f>
        <v>0</v>
      </c>
      <c r="AB512" s="114"/>
      <c r="AC512" s="114"/>
      <c r="AD512" s="114"/>
      <c r="AE512" s="114"/>
      <c r="AF512" s="114"/>
      <c r="AG512" s="114"/>
      <c r="AH512" s="114"/>
      <c r="AI512" s="114"/>
      <c r="AJ512" s="114"/>
      <c r="AK512" s="114"/>
      <c r="AL512" s="114"/>
      <c r="AM512" s="114"/>
    </row>
    <row r="513" spans="2:39" ht="25.2" customHeight="1" x14ac:dyDescent="0.3">
      <c r="B513" s="13" t="str">
        <f t="shared" si="11"/>
        <v/>
      </c>
      <c r="C513" s="18"/>
      <c r="D513" s="19" t="str">
        <f>IF(Tabela2[[#This Row],[AGRUPADOR]]&lt;&gt;"",VLOOKUP(Tabela2[[#This Row],[AGRUPADOR]],Tabela1[],2,0),"")</f>
        <v/>
      </c>
      <c r="E513" s="19" t="str">
        <f>IF(Tabela2[[#This Row],[AGRUPADOR]]&lt;&gt;"",VLOOKUP(Tabela2[[#This Row],[AGRUPADOR]],Tabela1[],4,0),"")</f>
        <v/>
      </c>
      <c r="F513" s="14"/>
      <c r="G513" s="6"/>
      <c r="H513" s="6"/>
      <c r="I513" s="25"/>
      <c r="J513" s="7"/>
      <c r="K513" s="15"/>
      <c r="L513" s="379">
        <f>IF(H513&lt;&gt;"",J513*K513,SUMIFS(L514:L$9844,$F514:$F$9844,"*"&amp;F513&amp;"*",$H514:$H$9844,"&lt;&gt;"))</f>
        <v>0</v>
      </c>
      <c r="M513" s="379" t="str">
        <f>IF(Tabela2[[#This Row],[UNID.]]&lt;&gt;"",IFERROR(VLOOKUP(Tabela2[[#This Row],[AGRUPADOR]],Lucratividade!$D$4:$O$129,6,0),0),"")</f>
        <v/>
      </c>
      <c r="N513" s="379">
        <f>IF(H513&lt;&gt;"",J513*M513*I513,SUMIFS(N514:N$9844,$F514:$F$9844,"*"&amp;F513&amp;"*",$H514:$H$9844,"&lt;&gt;"))</f>
        <v>0</v>
      </c>
      <c r="O513" s="162" t="str">
        <f>IFERROR((-Tabela2[[#This Row],[CUSTO TOTAL]]+Tabela2[[#This Row],[VENDA TOTAL]])/Tabela2[[#This Row],[VENDA TOTAL]]-PARAMETROS!$C$19,"")</f>
        <v/>
      </c>
      <c r="AA513" s="219">
        <f>SUM(Plan_Orc[[#This Row],[01/jan]:[01/dez]])</f>
        <v>0</v>
      </c>
      <c r="AB513" s="114"/>
      <c r="AC513" s="114"/>
      <c r="AD513" s="114"/>
      <c r="AE513" s="114"/>
      <c r="AF513" s="114"/>
      <c r="AG513" s="114"/>
      <c r="AH513" s="114"/>
      <c r="AI513" s="114"/>
      <c r="AJ513" s="114"/>
      <c r="AK513" s="114"/>
      <c r="AL513" s="114"/>
      <c r="AM513" s="114"/>
    </row>
    <row r="514" spans="2:39" ht="25.2" customHeight="1" x14ac:dyDescent="0.3">
      <c r="B514" s="13" t="str">
        <f t="shared" si="11"/>
        <v/>
      </c>
      <c r="C514" s="18"/>
      <c r="D514" s="19" t="str">
        <f>IF(Tabela2[[#This Row],[AGRUPADOR]]&lt;&gt;"",VLOOKUP(Tabela2[[#This Row],[AGRUPADOR]],Tabela1[],2,0),"")</f>
        <v/>
      </c>
      <c r="E514" s="19" t="str">
        <f>IF(Tabela2[[#This Row],[AGRUPADOR]]&lt;&gt;"",VLOOKUP(Tabela2[[#This Row],[AGRUPADOR]],Tabela1[],4,0),"")</f>
        <v/>
      </c>
      <c r="F514" s="14"/>
      <c r="G514" s="6"/>
      <c r="H514" s="6"/>
      <c r="I514" s="25"/>
      <c r="J514" s="7"/>
      <c r="K514" s="15"/>
      <c r="L514" s="379">
        <f>IF(H514&lt;&gt;"",J514*K514,SUMIFS(L515:L$9844,$F515:$F$9844,"*"&amp;F514&amp;"*",$H515:$H$9844,"&lt;&gt;"))</f>
        <v>0</v>
      </c>
      <c r="M514" s="379" t="str">
        <f>IF(Tabela2[[#This Row],[UNID.]]&lt;&gt;"",IFERROR(VLOOKUP(Tabela2[[#This Row],[AGRUPADOR]],Lucratividade!$D$4:$O$129,6,0),0),"")</f>
        <v/>
      </c>
      <c r="N514" s="379">
        <f>IF(H514&lt;&gt;"",J514*M514*I514,SUMIFS(N515:N$9844,$F515:$F$9844,"*"&amp;F514&amp;"*",$H515:$H$9844,"&lt;&gt;"))</f>
        <v>0</v>
      </c>
      <c r="O514" s="162" t="str">
        <f>IFERROR((-Tabela2[[#This Row],[CUSTO TOTAL]]+Tabela2[[#This Row],[VENDA TOTAL]])/Tabela2[[#This Row],[VENDA TOTAL]]-PARAMETROS!$C$19,"")</f>
        <v/>
      </c>
      <c r="AA514" s="219">
        <f>SUM(Plan_Orc[[#This Row],[01/jan]:[01/dez]])</f>
        <v>0</v>
      </c>
      <c r="AB514" s="114"/>
      <c r="AC514" s="114"/>
      <c r="AD514" s="114"/>
      <c r="AE514" s="114"/>
      <c r="AF514" s="114"/>
      <c r="AG514" s="114"/>
      <c r="AH514" s="114"/>
      <c r="AI514" s="114"/>
      <c r="AJ514" s="114"/>
      <c r="AK514" s="114"/>
      <c r="AL514" s="114"/>
      <c r="AM514" s="114"/>
    </row>
    <row r="515" spans="2:39" ht="25.2" customHeight="1" x14ac:dyDescent="0.3">
      <c r="B515" s="13" t="str">
        <f t="shared" si="11"/>
        <v/>
      </c>
      <c r="C515" s="18"/>
      <c r="D515" s="19" t="str">
        <f>IF(Tabela2[[#This Row],[AGRUPADOR]]&lt;&gt;"",VLOOKUP(Tabela2[[#This Row],[AGRUPADOR]],Tabela1[],2,0),"")</f>
        <v/>
      </c>
      <c r="E515" s="19" t="str">
        <f>IF(Tabela2[[#This Row],[AGRUPADOR]]&lt;&gt;"",VLOOKUP(Tabela2[[#This Row],[AGRUPADOR]],Tabela1[],4,0),"")</f>
        <v/>
      </c>
      <c r="F515" s="14"/>
      <c r="G515" s="6"/>
      <c r="H515" s="6"/>
      <c r="I515" s="25"/>
      <c r="J515" s="7"/>
      <c r="K515" s="15"/>
      <c r="L515" s="379">
        <f>IF(H515&lt;&gt;"",J515*K515,SUMIFS(L516:L$9844,$F516:$F$9844,"*"&amp;F515&amp;"*",$H516:$H$9844,"&lt;&gt;"))</f>
        <v>0</v>
      </c>
      <c r="M515" s="379" t="str">
        <f>IF(Tabela2[[#This Row],[UNID.]]&lt;&gt;"",IFERROR(VLOOKUP(Tabela2[[#This Row],[AGRUPADOR]],Lucratividade!$D$4:$O$129,6,0),0),"")</f>
        <v/>
      </c>
      <c r="N515" s="379">
        <f>IF(H515&lt;&gt;"",J515*M515*I515,SUMIFS(N516:N$9844,$F516:$F$9844,"*"&amp;F515&amp;"*",$H516:$H$9844,"&lt;&gt;"))</f>
        <v>0</v>
      </c>
      <c r="O515" s="162" t="str">
        <f>IFERROR((-Tabela2[[#This Row],[CUSTO TOTAL]]+Tabela2[[#This Row],[VENDA TOTAL]])/Tabela2[[#This Row],[VENDA TOTAL]]-PARAMETROS!$C$19,"")</f>
        <v/>
      </c>
      <c r="AA515" s="219">
        <f>SUM(Plan_Orc[[#This Row],[01/jan]:[01/dez]])</f>
        <v>0</v>
      </c>
      <c r="AB515" s="114"/>
      <c r="AC515" s="114"/>
      <c r="AD515" s="114"/>
      <c r="AE515" s="114"/>
      <c r="AF515" s="114"/>
      <c r="AG515" s="114"/>
      <c r="AH515" s="114"/>
      <c r="AI515" s="114"/>
      <c r="AJ515" s="114"/>
      <c r="AK515" s="114"/>
      <c r="AL515" s="114"/>
      <c r="AM515" s="114"/>
    </row>
    <row r="516" spans="2:39" ht="25.2" customHeight="1" x14ac:dyDescent="0.3">
      <c r="B516" s="13" t="str">
        <f t="shared" ref="B516:B579" si="12">IF(LEN(F516)=3,1,"")</f>
        <v/>
      </c>
      <c r="C516" s="18"/>
      <c r="D516" s="19" t="str">
        <f>IF(Tabela2[[#This Row],[AGRUPADOR]]&lt;&gt;"",VLOOKUP(Tabela2[[#This Row],[AGRUPADOR]],Tabela1[],2,0),"")</f>
        <v/>
      </c>
      <c r="E516" s="19" t="str">
        <f>IF(Tabela2[[#This Row],[AGRUPADOR]]&lt;&gt;"",VLOOKUP(Tabela2[[#This Row],[AGRUPADOR]],Tabela1[],4,0),"")</f>
        <v/>
      </c>
      <c r="F516" s="14"/>
      <c r="G516" s="6"/>
      <c r="H516" s="6"/>
      <c r="I516" s="25"/>
      <c r="J516" s="7"/>
      <c r="K516" s="15"/>
      <c r="L516" s="379">
        <f>IF(H516&lt;&gt;"",J516*K516,SUMIFS(L517:L$9844,$F517:$F$9844,"*"&amp;F516&amp;"*",$H517:$H$9844,"&lt;&gt;"))</f>
        <v>0</v>
      </c>
      <c r="M516" s="379" t="str">
        <f>IF(Tabela2[[#This Row],[UNID.]]&lt;&gt;"",IFERROR(VLOOKUP(Tabela2[[#This Row],[AGRUPADOR]],Lucratividade!$D$4:$O$129,6,0),0),"")</f>
        <v/>
      </c>
      <c r="N516" s="379">
        <f>IF(H516&lt;&gt;"",J516*M516*I516,SUMIFS(N517:N$9844,$F517:$F$9844,"*"&amp;F516&amp;"*",$H517:$H$9844,"&lt;&gt;"))</f>
        <v>0</v>
      </c>
      <c r="O516" s="162" t="str">
        <f>IFERROR((-Tabela2[[#This Row],[CUSTO TOTAL]]+Tabela2[[#This Row],[VENDA TOTAL]])/Tabela2[[#This Row],[VENDA TOTAL]]-PARAMETROS!$C$19,"")</f>
        <v/>
      </c>
      <c r="AA516" s="219">
        <f>SUM(Plan_Orc[[#This Row],[01/jan]:[01/dez]])</f>
        <v>0</v>
      </c>
      <c r="AB516" s="114"/>
      <c r="AC516" s="114"/>
      <c r="AD516" s="114"/>
      <c r="AE516" s="114"/>
      <c r="AF516" s="114"/>
      <c r="AG516" s="114"/>
      <c r="AH516" s="114"/>
      <c r="AI516" s="114"/>
      <c r="AJ516" s="114"/>
      <c r="AK516" s="114"/>
      <c r="AL516" s="114"/>
      <c r="AM516" s="114"/>
    </row>
    <row r="517" spans="2:39" ht="25.2" customHeight="1" x14ac:dyDescent="0.3">
      <c r="B517" s="13" t="str">
        <f t="shared" si="12"/>
        <v/>
      </c>
      <c r="C517" s="18"/>
      <c r="D517" s="19" t="str">
        <f>IF(Tabela2[[#This Row],[AGRUPADOR]]&lt;&gt;"",VLOOKUP(Tabela2[[#This Row],[AGRUPADOR]],Tabela1[],2,0),"")</f>
        <v/>
      </c>
      <c r="E517" s="19" t="str">
        <f>IF(Tabela2[[#This Row],[AGRUPADOR]]&lt;&gt;"",VLOOKUP(Tabela2[[#This Row],[AGRUPADOR]],Tabela1[],4,0),"")</f>
        <v/>
      </c>
      <c r="F517" s="14"/>
      <c r="G517" s="6"/>
      <c r="H517" s="6"/>
      <c r="I517" s="25"/>
      <c r="J517" s="7"/>
      <c r="K517" s="15"/>
      <c r="L517" s="379">
        <f>IF(H517&lt;&gt;"",J517*K517,SUMIFS(L518:L$9844,$F518:$F$9844,"*"&amp;F517&amp;"*",$H518:$H$9844,"&lt;&gt;"))</f>
        <v>0</v>
      </c>
      <c r="M517" s="379" t="str">
        <f>IF(Tabela2[[#This Row],[UNID.]]&lt;&gt;"",IFERROR(VLOOKUP(Tabela2[[#This Row],[AGRUPADOR]],Lucratividade!$D$4:$O$129,6,0),0),"")</f>
        <v/>
      </c>
      <c r="N517" s="379">
        <f>IF(H517&lt;&gt;"",J517*M517*I517,SUMIFS(N518:N$9844,$F518:$F$9844,"*"&amp;F517&amp;"*",$H518:$H$9844,"&lt;&gt;"))</f>
        <v>0</v>
      </c>
      <c r="O517" s="162" t="str">
        <f>IFERROR((-Tabela2[[#This Row],[CUSTO TOTAL]]+Tabela2[[#This Row],[VENDA TOTAL]])/Tabela2[[#This Row],[VENDA TOTAL]]-PARAMETROS!$C$19,"")</f>
        <v/>
      </c>
      <c r="AA517" s="219">
        <f>SUM(Plan_Orc[[#This Row],[01/jan]:[01/dez]])</f>
        <v>0</v>
      </c>
      <c r="AB517" s="114"/>
      <c r="AC517" s="114"/>
      <c r="AD517" s="114"/>
      <c r="AE517" s="114"/>
      <c r="AF517" s="114"/>
      <c r="AG517" s="114"/>
      <c r="AH517" s="114"/>
      <c r="AI517" s="114"/>
      <c r="AJ517" s="114"/>
      <c r="AK517" s="114"/>
      <c r="AL517" s="114"/>
      <c r="AM517" s="114"/>
    </row>
    <row r="518" spans="2:39" ht="25.2" customHeight="1" x14ac:dyDescent="0.3">
      <c r="B518" s="13" t="str">
        <f t="shared" si="12"/>
        <v/>
      </c>
      <c r="C518" s="18"/>
      <c r="D518" s="19" t="str">
        <f>IF(Tabela2[[#This Row],[AGRUPADOR]]&lt;&gt;"",VLOOKUP(Tabela2[[#This Row],[AGRUPADOR]],Tabela1[],2,0),"")</f>
        <v/>
      </c>
      <c r="E518" s="19" t="str">
        <f>IF(Tabela2[[#This Row],[AGRUPADOR]]&lt;&gt;"",VLOOKUP(Tabela2[[#This Row],[AGRUPADOR]],Tabela1[],4,0),"")</f>
        <v/>
      </c>
      <c r="F518" s="14"/>
      <c r="G518" s="6"/>
      <c r="H518" s="6"/>
      <c r="I518" s="25"/>
      <c r="J518" s="7"/>
      <c r="K518" s="15"/>
      <c r="L518" s="379">
        <f>IF(H518&lt;&gt;"",J518*K518,SUMIFS(L519:L$9844,$F519:$F$9844,"*"&amp;F518&amp;"*",$H519:$H$9844,"&lt;&gt;"))</f>
        <v>0</v>
      </c>
      <c r="M518" s="379" t="str">
        <f>IF(Tabela2[[#This Row],[UNID.]]&lt;&gt;"",IFERROR(VLOOKUP(Tabela2[[#This Row],[AGRUPADOR]],Lucratividade!$D$4:$O$129,6,0),0),"")</f>
        <v/>
      </c>
      <c r="N518" s="379">
        <f>IF(H518&lt;&gt;"",J518*M518*I518,SUMIFS(N519:N$9844,$F519:$F$9844,"*"&amp;F518&amp;"*",$H519:$H$9844,"&lt;&gt;"))</f>
        <v>0</v>
      </c>
      <c r="O518" s="162" t="str">
        <f>IFERROR((-Tabela2[[#This Row],[CUSTO TOTAL]]+Tabela2[[#This Row],[VENDA TOTAL]])/Tabela2[[#This Row],[VENDA TOTAL]]-PARAMETROS!$C$19,"")</f>
        <v/>
      </c>
      <c r="AA518" s="219">
        <f>SUM(Plan_Orc[[#This Row],[01/jan]:[01/dez]])</f>
        <v>0</v>
      </c>
      <c r="AB518" s="114"/>
      <c r="AC518" s="114"/>
      <c r="AD518" s="114"/>
      <c r="AE518" s="114"/>
      <c r="AF518" s="114"/>
      <c r="AG518" s="114"/>
      <c r="AH518" s="114"/>
      <c r="AI518" s="114"/>
      <c r="AJ518" s="114"/>
      <c r="AK518" s="114"/>
      <c r="AL518" s="114"/>
      <c r="AM518" s="114"/>
    </row>
    <row r="519" spans="2:39" ht="25.2" customHeight="1" x14ac:dyDescent="0.3">
      <c r="B519" s="13" t="str">
        <f t="shared" si="12"/>
        <v/>
      </c>
      <c r="C519" s="18"/>
      <c r="D519" s="19" t="str">
        <f>IF(Tabela2[[#This Row],[AGRUPADOR]]&lt;&gt;"",VLOOKUP(Tabela2[[#This Row],[AGRUPADOR]],Tabela1[],2,0),"")</f>
        <v/>
      </c>
      <c r="E519" s="19" t="str">
        <f>IF(Tabela2[[#This Row],[AGRUPADOR]]&lt;&gt;"",VLOOKUP(Tabela2[[#This Row],[AGRUPADOR]],Tabela1[],4,0),"")</f>
        <v/>
      </c>
      <c r="F519" s="14"/>
      <c r="G519" s="6"/>
      <c r="H519" s="6"/>
      <c r="I519" s="25"/>
      <c r="J519" s="7"/>
      <c r="K519" s="15"/>
      <c r="L519" s="379">
        <f>IF(H519&lt;&gt;"",J519*K519,SUMIFS(L520:L$9844,$F520:$F$9844,"*"&amp;F519&amp;"*",$H520:$H$9844,"&lt;&gt;"))</f>
        <v>0</v>
      </c>
      <c r="M519" s="379" t="str">
        <f>IF(Tabela2[[#This Row],[UNID.]]&lt;&gt;"",IFERROR(VLOOKUP(Tabela2[[#This Row],[AGRUPADOR]],Lucratividade!$D$4:$O$129,6,0),0),"")</f>
        <v/>
      </c>
      <c r="N519" s="379">
        <f>IF(H519&lt;&gt;"",J519*M519*I519,SUMIFS(N520:N$9844,$F520:$F$9844,"*"&amp;F519&amp;"*",$H520:$H$9844,"&lt;&gt;"))</f>
        <v>0</v>
      </c>
      <c r="O519" s="162" t="str">
        <f>IFERROR((-Tabela2[[#This Row],[CUSTO TOTAL]]+Tabela2[[#This Row],[VENDA TOTAL]])/Tabela2[[#This Row],[VENDA TOTAL]]-PARAMETROS!$C$19,"")</f>
        <v/>
      </c>
      <c r="AA519" s="219">
        <f>SUM(Plan_Orc[[#This Row],[01/jan]:[01/dez]])</f>
        <v>0</v>
      </c>
      <c r="AB519" s="114"/>
      <c r="AC519" s="114"/>
      <c r="AD519" s="114"/>
      <c r="AE519" s="114"/>
      <c r="AF519" s="114"/>
      <c r="AG519" s="114"/>
      <c r="AH519" s="114"/>
      <c r="AI519" s="114"/>
      <c r="AJ519" s="114"/>
      <c r="AK519" s="114"/>
      <c r="AL519" s="114"/>
      <c r="AM519" s="114"/>
    </row>
    <row r="520" spans="2:39" ht="25.2" customHeight="1" x14ac:dyDescent="0.3">
      <c r="B520" s="13" t="str">
        <f t="shared" si="12"/>
        <v/>
      </c>
      <c r="C520" s="18"/>
      <c r="D520" s="19" t="str">
        <f>IF(Tabela2[[#This Row],[AGRUPADOR]]&lt;&gt;"",VLOOKUP(Tabela2[[#This Row],[AGRUPADOR]],Tabela1[],2,0),"")</f>
        <v/>
      </c>
      <c r="E520" s="19" t="str">
        <f>IF(Tabela2[[#This Row],[AGRUPADOR]]&lt;&gt;"",VLOOKUP(Tabela2[[#This Row],[AGRUPADOR]],Tabela1[],4,0),"")</f>
        <v/>
      </c>
      <c r="F520" s="14"/>
      <c r="G520" s="6"/>
      <c r="H520" s="6"/>
      <c r="I520" s="25"/>
      <c r="J520" s="7"/>
      <c r="K520" s="15"/>
      <c r="L520" s="379">
        <f>IF(H520&lt;&gt;"",J520*K520,SUMIFS(L521:L$9844,$F521:$F$9844,"*"&amp;F520&amp;"*",$H521:$H$9844,"&lt;&gt;"))</f>
        <v>0</v>
      </c>
      <c r="M520" s="379" t="str">
        <f>IF(Tabela2[[#This Row],[UNID.]]&lt;&gt;"",IFERROR(VLOOKUP(Tabela2[[#This Row],[AGRUPADOR]],Lucratividade!$D$4:$O$129,6,0),0),"")</f>
        <v/>
      </c>
      <c r="N520" s="379">
        <f>IF(H520&lt;&gt;"",J520*M520*I520,SUMIFS(N521:N$9844,$F521:$F$9844,"*"&amp;F520&amp;"*",$H521:$H$9844,"&lt;&gt;"))</f>
        <v>0</v>
      </c>
      <c r="O520" s="162" t="str">
        <f>IFERROR((-Tabela2[[#This Row],[CUSTO TOTAL]]+Tabela2[[#This Row],[VENDA TOTAL]])/Tabela2[[#This Row],[VENDA TOTAL]]-PARAMETROS!$C$19,"")</f>
        <v/>
      </c>
      <c r="AA520" s="219">
        <f>SUM(Plan_Orc[[#This Row],[01/jan]:[01/dez]])</f>
        <v>0</v>
      </c>
      <c r="AB520" s="114"/>
      <c r="AC520" s="114"/>
      <c r="AD520" s="114"/>
      <c r="AE520" s="114"/>
      <c r="AF520" s="114"/>
      <c r="AG520" s="114"/>
      <c r="AH520" s="114"/>
      <c r="AI520" s="114"/>
      <c r="AJ520" s="114"/>
      <c r="AK520" s="114"/>
      <c r="AL520" s="114"/>
      <c r="AM520" s="114"/>
    </row>
    <row r="521" spans="2:39" ht="25.2" customHeight="1" x14ac:dyDescent="0.3">
      <c r="B521" s="13" t="str">
        <f t="shared" si="12"/>
        <v/>
      </c>
      <c r="C521" s="18"/>
      <c r="D521" s="19" t="str">
        <f>IF(Tabela2[[#This Row],[AGRUPADOR]]&lt;&gt;"",VLOOKUP(Tabela2[[#This Row],[AGRUPADOR]],Tabela1[],2,0),"")</f>
        <v/>
      </c>
      <c r="E521" s="19" t="str">
        <f>IF(Tabela2[[#This Row],[AGRUPADOR]]&lt;&gt;"",VLOOKUP(Tabela2[[#This Row],[AGRUPADOR]],Tabela1[],4,0),"")</f>
        <v/>
      </c>
      <c r="F521" s="14"/>
      <c r="G521" s="6"/>
      <c r="H521" s="6"/>
      <c r="I521" s="25"/>
      <c r="J521" s="7"/>
      <c r="K521" s="15"/>
      <c r="L521" s="379">
        <f>IF(H521&lt;&gt;"",J521*K521,SUMIFS(L522:L$9844,$F522:$F$9844,"*"&amp;F521&amp;"*",$H522:$H$9844,"&lt;&gt;"))</f>
        <v>0</v>
      </c>
      <c r="M521" s="379" t="str">
        <f>IF(Tabela2[[#This Row],[UNID.]]&lt;&gt;"",IFERROR(VLOOKUP(Tabela2[[#This Row],[AGRUPADOR]],Lucratividade!$D$4:$O$129,6,0),0),"")</f>
        <v/>
      </c>
      <c r="N521" s="379">
        <f>IF(H521&lt;&gt;"",J521*M521*I521,SUMIFS(N522:N$9844,$F522:$F$9844,"*"&amp;F521&amp;"*",$H522:$H$9844,"&lt;&gt;"))</f>
        <v>0</v>
      </c>
      <c r="O521" s="162" t="str">
        <f>IFERROR((-Tabela2[[#This Row],[CUSTO TOTAL]]+Tabela2[[#This Row],[VENDA TOTAL]])/Tabela2[[#This Row],[VENDA TOTAL]]-PARAMETROS!$C$19,"")</f>
        <v/>
      </c>
      <c r="AA521" s="219">
        <f>SUM(Plan_Orc[[#This Row],[01/jan]:[01/dez]])</f>
        <v>0</v>
      </c>
      <c r="AB521" s="114"/>
      <c r="AC521" s="114"/>
      <c r="AD521" s="114"/>
      <c r="AE521" s="114"/>
      <c r="AF521" s="114"/>
      <c r="AG521" s="114"/>
      <c r="AH521" s="114"/>
      <c r="AI521" s="114"/>
      <c r="AJ521" s="114"/>
      <c r="AK521" s="114"/>
      <c r="AL521" s="114"/>
      <c r="AM521" s="114"/>
    </row>
    <row r="522" spans="2:39" ht="25.2" customHeight="1" x14ac:dyDescent="0.3">
      <c r="B522" s="13" t="str">
        <f t="shared" si="12"/>
        <v/>
      </c>
      <c r="C522" s="18"/>
      <c r="D522" s="19" t="str">
        <f>IF(Tabela2[[#This Row],[AGRUPADOR]]&lt;&gt;"",VLOOKUP(Tabela2[[#This Row],[AGRUPADOR]],Tabela1[],2,0),"")</f>
        <v/>
      </c>
      <c r="E522" s="19" t="str">
        <f>IF(Tabela2[[#This Row],[AGRUPADOR]]&lt;&gt;"",VLOOKUP(Tabela2[[#This Row],[AGRUPADOR]],Tabela1[],4,0),"")</f>
        <v/>
      </c>
      <c r="F522" s="14"/>
      <c r="G522" s="6"/>
      <c r="H522" s="6"/>
      <c r="I522" s="25"/>
      <c r="J522" s="7"/>
      <c r="K522" s="15"/>
      <c r="L522" s="379">
        <f>IF(H522&lt;&gt;"",J522*K522,SUMIFS(L523:L$9844,$F523:$F$9844,"*"&amp;F522&amp;"*",$H523:$H$9844,"&lt;&gt;"))</f>
        <v>0</v>
      </c>
      <c r="M522" s="379" t="str">
        <f>IF(Tabela2[[#This Row],[UNID.]]&lt;&gt;"",IFERROR(VLOOKUP(Tabela2[[#This Row],[AGRUPADOR]],Lucratividade!$D$4:$O$129,6,0),0),"")</f>
        <v/>
      </c>
      <c r="N522" s="379">
        <f>IF(H522&lt;&gt;"",J522*M522*I522,SUMIFS(N523:N$9844,$F523:$F$9844,"*"&amp;F522&amp;"*",$H523:$H$9844,"&lt;&gt;"))</f>
        <v>0</v>
      </c>
      <c r="O522" s="162" t="str">
        <f>IFERROR((-Tabela2[[#This Row],[CUSTO TOTAL]]+Tabela2[[#This Row],[VENDA TOTAL]])/Tabela2[[#This Row],[VENDA TOTAL]]-PARAMETROS!$C$19,"")</f>
        <v/>
      </c>
      <c r="AA522" s="219">
        <f>SUM(Plan_Orc[[#This Row],[01/jan]:[01/dez]])</f>
        <v>0</v>
      </c>
      <c r="AB522" s="114"/>
      <c r="AC522" s="114"/>
      <c r="AD522" s="114"/>
      <c r="AE522" s="114"/>
      <c r="AF522" s="114"/>
      <c r="AG522" s="114"/>
      <c r="AH522" s="114"/>
      <c r="AI522" s="114"/>
      <c r="AJ522" s="114"/>
      <c r="AK522" s="114"/>
      <c r="AL522" s="114"/>
      <c r="AM522" s="114"/>
    </row>
    <row r="523" spans="2:39" ht="25.2" customHeight="1" x14ac:dyDescent="0.3">
      <c r="B523" s="13" t="str">
        <f t="shared" si="12"/>
        <v/>
      </c>
      <c r="C523" s="18"/>
      <c r="D523" s="19" t="str">
        <f>IF(Tabela2[[#This Row],[AGRUPADOR]]&lt;&gt;"",VLOOKUP(Tabela2[[#This Row],[AGRUPADOR]],Tabela1[],2,0),"")</f>
        <v/>
      </c>
      <c r="E523" s="19" t="str">
        <f>IF(Tabela2[[#This Row],[AGRUPADOR]]&lt;&gt;"",VLOOKUP(Tabela2[[#This Row],[AGRUPADOR]],Tabela1[],4,0),"")</f>
        <v/>
      </c>
      <c r="F523" s="14"/>
      <c r="G523" s="6"/>
      <c r="H523" s="6"/>
      <c r="I523" s="25"/>
      <c r="J523" s="7"/>
      <c r="K523" s="15"/>
      <c r="L523" s="379">
        <f>IF(H523&lt;&gt;"",J523*K523,SUMIFS(L524:L$9844,$F524:$F$9844,"*"&amp;F523&amp;"*",$H524:$H$9844,"&lt;&gt;"))</f>
        <v>0</v>
      </c>
      <c r="M523" s="379" t="str">
        <f>IF(Tabela2[[#This Row],[UNID.]]&lt;&gt;"",IFERROR(VLOOKUP(Tabela2[[#This Row],[AGRUPADOR]],Lucratividade!$D$4:$O$129,6,0),0),"")</f>
        <v/>
      </c>
      <c r="N523" s="379">
        <f>IF(H523&lt;&gt;"",J523*M523*I523,SUMIFS(N524:N$9844,$F524:$F$9844,"*"&amp;F523&amp;"*",$H524:$H$9844,"&lt;&gt;"))</f>
        <v>0</v>
      </c>
      <c r="O523" s="162" t="str">
        <f>IFERROR((-Tabela2[[#This Row],[CUSTO TOTAL]]+Tabela2[[#This Row],[VENDA TOTAL]])/Tabela2[[#This Row],[VENDA TOTAL]]-PARAMETROS!$C$19,"")</f>
        <v/>
      </c>
      <c r="AA523" s="219">
        <f>SUM(Plan_Orc[[#This Row],[01/jan]:[01/dez]])</f>
        <v>0</v>
      </c>
      <c r="AB523" s="114"/>
      <c r="AC523" s="114"/>
      <c r="AD523" s="114"/>
      <c r="AE523" s="114"/>
      <c r="AF523" s="114"/>
      <c r="AG523" s="114"/>
      <c r="AH523" s="114"/>
      <c r="AI523" s="114"/>
      <c r="AJ523" s="114"/>
      <c r="AK523" s="114"/>
      <c r="AL523" s="114"/>
      <c r="AM523" s="114"/>
    </row>
    <row r="524" spans="2:39" ht="25.2" customHeight="1" x14ac:dyDescent="0.3">
      <c r="B524" s="13" t="str">
        <f t="shared" si="12"/>
        <v/>
      </c>
      <c r="C524" s="18"/>
      <c r="D524" s="19" t="str">
        <f>IF(Tabela2[[#This Row],[AGRUPADOR]]&lt;&gt;"",VLOOKUP(Tabela2[[#This Row],[AGRUPADOR]],Tabela1[],2,0),"")</f>
        <v/>
      </c>
      <c r="E524" s="19" t="str">
        <f>IF(Tabela2[[#This Row],[AGRUPADOR]]&lt;&gt;"",VLOOKUP(Tabela2[[#This Row],[AGRUPADOR]],Tabela1[],4,0),"")</f>
        <v/>
      </c>
      <c r="F524" s="14"/>
      <c r="G524" s="6"/>
      <c r="H524" s="6"/>
      <c r="I524" s="25"/>
      <c r="J524" s="7"/>
      <c r="K524" s="15"/>
      <c r="L524" s="379">
        <f>IF(H524&lt;&gt;"",J524*K524,SUMIFS(L525:L$9844,$F525:$F$9844,"*"&amp;F524&amp;"*",$H525:$H$9844,"&lt;&gt;"))</f>
        <v>0</v>
      </c>
      <c r="M524" s="379" t="str">
        <f>IF(Tabela2[[#This Row],[UNID.]]&lt;&gt;"",IFERROR(VLOOKUP(Tabela2[[#This Row],[AGRUPADOR]],Lucratividade!$D$4:$O$129,6,0),0),"")</f>
        <v/>
      </c>
      <c r="N524" s="379">
        <f>IF(H524&lt;&gt;"",J524*M524*I524,SUMIFS(N525:N$9844,$F525:$F$9844,"*"&amp;F524&amp;"*",$H525:$H$9844,"&lt;&gt;"))</f>
        <v>0</v>
      </c>
      <c r="O524" s="162" t="str">
        <f>IFERROR((-Tabela2[[#This Row],[CUSTO TOTAL]]+Tabela2[[#This Row],[VENDA TOTAL]])/Tabela2[[#This Row],[VENDA TOTAL]]-PARAMETROS!$C$19,"")</f>
        <v/>
      </c>
      <c r="AA524" s="219">
        <f>SUM(Plan_Orc[[#This Row],[01/jan]:[01/dez]])</f>
        <v>0</v>
      </c>
      <c r="AB524" s="114"/>
      <c r="AC524" s="114"/>
      <c r="AD524" s="114"/>
      <c r="AE524" s="114"/>
      <c r="AF524" s="114"/>
      <c r="AG524" s="114"/>
      <c r="AH524" s="114"/>
      <c r="AI524" s="114"/>
      <c r="AJ524" s="114"/>
      <c r="AK524" s="114"/>
      <c r="AL524" s="114"/>
      <c r="AM524" s="114"/>
    </row>
    <row r="525" spans="2:39" ht="25.2" customHeight="1" x14ac:dyDescent="0.3">
      <c r="B525" s="13" t="str">
        <f t="shared" si="12"/>
        <v/>
      </c>
      <c r="C525" s="18"/>
      <c r="D525" s="19" t="str">
        <f>IF(Tabela2[[#This Row],[AGRUPADOR]]&lt;&gt;"",VLOOKUP(Tabela2[[#This Row],[AGRUPADOR]],Tabela1[],2,0),"")</f>
        <v/>
      </c>
      <c r="E525" s="19" t="str">
        <f>IF(Tabela2[[#This Row],[AGRUPADOR]]&lt;&gt;"",VLOOKUP(Tabela2[[#This Row],[AGRUPADOR]],Tabela1[],4,0),"")</f>
        <v/>
      </c>
      <c r="F525" s="14"/>
      <c r="G525" s="6"/>
      <c r="H525" s="6"/>
      <c r="I525" s="25"/>
      <c r="J525" s="7"/>
      <c r="K525" s="15"/>
      <c r="L525" s="379">
        <f>IF(H525&lt;&gt;"",J525*K525,SUMIFS(L526:L$9844,$F526:$F$9844,"*"&amp;F525&amp;"*",$H526:$H$9844,"&lt;&gt;"))</f>
        <v>0</v>
      </c>
      <c r="M525" s="379" t="str">
        <f>IF(Tabela2[[#This Row],[UNID.]]&lt;&gt;"",IFERROR(VLOOKUP(Tabela2[[#This Row],[AGRUPADOR]],Lucratividade!$D$4:$O$129,6,0),0),"")</f>
        <v/>
      </c>
      <c r="N525" s="379">
        <f>IF(H525&lt;&gt;"",J525*M525*I525,SUMIFS(N526:N$9844,$F526:$F$9844,"*"&amp;F525&amp;"*",$H526:$H$9844,"&lt;&gt;"))</f>
        <v>0</v>
      </c>
      <c r="O525" s="162" t="str">
        <f>IFERROR((-Tabela2[[#This Row],[CUSTO TOTAL]]+Tabela2[[#This Row],[VENDA TOTAL]])/Tabela2[[#This Row],[VENDA TOTAL]]-PARAMETROS!$C$19,"")</f>
        <v/>
      </c>
      <c r="AA525" s="219">
        <f>SUM(Plan_Orc[[#This Row],[01/jan]:[01/dez]])</f>
        <v>0</v>
      </c>
      <c r="AB525" s="114"/>
      <c r="AC525" s="114"/>
      <c r="AD525" s="114"/>
      <c r="AE525" s="114"/>
      <c r="AF525" s="114"/>
      <c r="AG525" s="114"/>
      <c r="AH525" s="114"/>
      <c r="AI525" s="114"/>
      <c r="AJ525" s="114"/>
      <c r="AK525" s="114"/>
      <c r="AL525" s="114"/>
      <c r="AM525" s="114"/>
    </row>
    <row r="526" spans="2:39" ht="25.2" customHeight="1" x14ac:dyDescent="0.3">
      <c r="B526" s="13" t="str">
        <f t="shared" si="12"/>
        <v/>
      </c>
      <c r="C526" s="18"/>
      <c r="D526" s="19" t="str">
        <f>IF(Tabela2[[#This Row],[AGRUPADOR]]&lt;&gt;"",VLOOKUP(Tabela2[[#This Row],[AGRUPADOR]],Tabela1[],2,0),"")</f>
        <v/>
      </c>
      <c r="E526" s="19" t="str">
        <f>IF(Tabela2[[#This Row],[AGRUPADOR]]&lt;&gt;"",VLOOKUP(Tabela2[[#This Row],[AGRUPADOR]],Tabela1[],4,0),"")</f>
        <v/>
      </c>
      <c r="F526" s="14"/>
      <c r="G526" s="6"/>
      <c r="H526" s="6"/>
      <c r="I526" s="25"/>
      <c r="J526" s="7"/>
      <c r="K526" s="15"/>
      <c r="L526" s="379">
        <f>IF(H526&lt;&gt;"",J526*K526,SUMIFS(L527:L$9844,$F527:$F$9844,"*"&amp;F526&amp;"*",$H527:$H$9844,"&lt;&gt;"))</f>
        <v>0</v>
      </c>
      <c r="M526" s="379" t="str">
        <f>IF(Tabela2[[#This Row],[UNID.]]&lt;&gt;"",IFERROR(VLOOKUP(Tabela2[[#This Row],[AGRUPADOR]],Lucratividade!$D$4:$O$129,6,0),0),"")</f>
        <v/>
      </c>
      <c r="N526" s="379">
        <f>IF(H526&lt;&gt;"",J526*M526*I526,SUMIFS(N527:N$9844,$F527:$F$9844,"*"&amp;F526&amp;"*",$H527:$H$9844,"&lt;&gt;"))</f>
        <v>0</v>
      </c>
      <c r="O526" s="162" t="str">
        <f>IFERROR((-Tabela2[[#This Row],[CUSTO TOTAL]]+Tabela2[[#This Row],[VENDA TOTAL]])/Tabela2[[#This Row],[VENDA TOTAL]]-PARAMETROS!$C$19,"")</f>
        <v/>
      </c>
      <c r="AA526" s="219">
        <f>SUM(Plan_Orc[[#This Row],[01/jan]:[01/dez]])</f>
        <v>0</v>
      </c>
      <c r="AB526" s="114"/>
      <c r="AC526" s="114"/>
      <c r="AD526" s="114"/>
      <c r="AE526" s="114"/>
      <c r="AF526" s="114"/>
      <c r="AG526" s="114"/>
      <c r="AH526" s="114"/>
      <c r="AI526" s="114"/>
      <c r="AJ526" s="114"/>
      <c r="AK526" s="114"/>
      <c r="AL526" s="114"/>
      <c r="AM526" s="114"/>
    </row>
    <row r="527" spans="2:39" ht="25.2" customHeight="1" x14ac:dyDescent="0.3">
      <c r="B527" s="13" t="str">
        <f t="shared" si="12"/>
        <v/>
      </c>
      <c r="C527" s="18"/>
      <c r="D527" s="19" t="str">
        <f>IF(Tabela2[[#This Row],[AGRUPADOR]]&lt;&gt;"",VLOOKUP(Tabela2[[#This Row],[AGRUPADOR]],Tabela1[],2,0),"")</f>
        <v/>
      </c>
      <c r="E527" s="19" t="str">
        <f>IF(Tabela2[[#This Row],[AGRUPADOR]]&lt;&gt;"",VLOOKUP(Tabela2[[#This Row],[AGRUPADOR]],Tabela1[],4,0),"")</f>
        <v/>
      </c>
      <c r="F527" s="14"/>
      <c r="G527" s="6"/>
      <c r="H527" s="6"/>
      <c r="I527" s="25"/>
      <c r="J527" s="7"/>
      <c r="K527" s="15"/>
      <c r="L527" s="379">
        <f>IF(H527&lt;&gt;"",J527*K527,SUMIFS(L528:L$9844,$F528:$F$9844,"*"&amp;F527&amp;"*",$H528:$H$9844,"&lt;&gt;"))</f>
        <v>0</v>
      </c>
      <c r="M527" s="379" t="str">
        <f>IF(Tabela2[[#This Row],[UNID.]]&lt;&gt;"",IFERROR(VLOOKUP(Tabela2[[#This Row],[AGRUPADOR]],Lucratividade!$D$4:$O$129,6,0),0),"")</f>
        <v/>
      </c>
      <c r="N527" s="379">
        <f>IF(H527&lt;&gt;"",J527*M527*I527,SUMIFS(N528:N$9844,$F528:$F$9844,"*"&amp;F527&amp;"*",$H528:$H$9844,"&lt;&gt;"))</f>
        <v>0</v>
      </c>
      <c r="O527" s="162" t="str">
        <f>IFERROR((-Tabela2[[#This Row],[CUSTO TOTAL]]+Tabela2[[#This Row],[VENDA TOTAL]])/Tabela2[[#This Row],[VENDA TOTAL]]-PARAMETROS!$C$19,"")</f>
        <v/>
      </c>
      <c r="AA527" s="219">
        <f>SUM(Plan_Orc[[#This Row],[01/jan]:[01/dez]])</f>
        <v>0</v>
      </c>
      <c r="AB527" s="114"/>
      <c r="AC527" s="114"/>
      <c r="AD527" s="114"/>
      <c r="AE527" s="114"/>
      <c r="AF527" s="114"/>
      <c r="AG527" s="114"/>
      <c r="AH527" s="114"/>
      <c r="AI527" s="114"/>
      <c r="AJ527" s="114"/>
      <c r="AK527" s="114"/>
      <c r="AL527" s="114"/>
      <c r="AM527" s="114"/>
    </row>
    <row r="528" spans="2:39" ht="25.2" customHeight="1" x14ac:dyDescent="0.3">
      <c r="B528" s="13" t="str">
        <f t="shared" si="12"/>
        <v/>
      </c>
      <c r="C528" s="18"/>
      <c r="D528" s="19" t="str">
        <f>IF(Tabela2[[#This Row],[AGRUPADOR]]&lt;&gt;"",VLOOKUP(Tabela2[[#This Row],[AGRUPADOR]],Tabela1[],2,0),"")</f>
        <v/>
      </c>
      <c r="E528" s="19" t="str">
        <f>IF(Tabela2[[#This Row],[AGRUPADOR]]&lt;&gt;"",VLOOKUP(Tabela2[[#This Row],[AGRUPADOR]],Tabela1[],4,0),"")</f>
        <v/>
      </c>
      <c r="F528" s="14"/>
      <c r="G528" s="6"/>
      <c r="H528" s="6"/>
      <c r="I528" s="25"/>
      <c r="J528" s="7"/>
      <c r="K528" s="15"/>
      <c r="L528" s="379">
        <f>IF(H528&lt;&gt;"",J528*K528,SUMIFS(L529:L$9844,$F529:$F$9844,"*"&amp;F528&amp;"*",$H529:$H$9844,"&lt;&gt;"))</f>
        <v>0</v>
      </c>
      <c r="M528" s="379" t="str">
        <f>IF(Tabela2[[#This Row],[UNID.]]&lt;&gt;"",IFERROR(VLOOKUP(Tabela2[[#This Row],[AGRUPADOR]],Lucratividade!$D$4:$O$129,6,0),0),"")</f>
        <v/>
      </c>
      <c r="N528" s="379">
        <f>IF(H528&lt;&gt;"",J528*M528*I528,SUMIFS(N529:N$9844,$F529:$F$9844,"*"&amp;F528&amp;"*",$H529:$H$9844,"&lt;&gt;"))</f>
        <v>0</v>
      </c>
      <c r="O528" s="162" t="str">
        <f>IFERROR((-Tabela2[[#This Row],[CUSTO TOTAL]]+Tabela2[[#This Row],[VENDA TOTAL]])/Tabela2[[#This Row],[VENDA TOTAL]]-PARAMETROS!$C$19,"")</f>
        <v/>
      </c>
      <c r="AA528" s="219">
        <f>SUM(Plan_Orc[[#This Row],[01/jan]:[01/dez]])</f>
        <v>0</v>
      </c>
      <c r="AB528" s="114"/>
      <c r="AC528" s="114"/>
      <c r="AD528" s="114"/>
      <c r="AE528" s="114"/>
      <c r="AF528" s="114"/>
      <c r="AG528" s="114"/>
      <c r="AH528" s="114"/>
      <c r="AI528" s="114"/>
      <c r="AJ528" s="114"/>
      <c r="AK528" s="114"/>
      <c r="AL528" s="114"/>
      <c r="AM528" s="114"/>
    </row>
    <row r="529" spans="2:39" ht="25.2" customHeight="1" x14ac:dyDescent="0.3">
      <c r="B529" s="13" t="str">
        <f t="shared" si="12"/>
        <v/>
      </c>
      <c r="C529" s="18"/>
      <c r="D529" s="19" t="str">
        <f>IF(Tabela2[[#This Row],[AGRUPADOR]]&lt;&gt;"",VLOOKUP(Tabela2[[#This Row],[AGRUPADOR]],Tabela1[],2,0),"")</f>
        <v/>
      </c>
      <c r="E529" s="19" t="str">
        <f>IF(Tabela2[[#This Row],[AGRUPADOR]]&lt;&gt;"",VLOOKUP(Tabela2[[#This Row],[AGRUPADOR]],Tabela1[],4,0),"")</f>
        <v/>
      </c>
      <c r="F529" s="14"/>
      <c r="G529" s="6"/>
      <c r="H529" s="6"/>
      <c r="I529" s="25"/>
      <c r="J529" s="7"/>
      <c r="K529" s="15"/>
      <c r="L529" s="379">
        <f>IF(H529&lt;&gt;"",J529*K529,SUMIFS(L530:L$9844,$F530:$F$9844,"*"&amp;F529&amp;"*",$H530:$H$9844,"&lt;&gt;"))</f>
        <v>0</v>
      </c>
      <c r="M529" s="379" t="str">
        <f>IF(Tabela2[[#This Row],[UNID.]]&lt;&gt;"",IFERROR(VLOOKUP(Tabela2[[#This Row],[AGRUPADOR]],Lucratividade!$D$4:$O$129,6,0),0),"")</f>
        <v/>
      </c>
      <c r="N529" s="379">
        <f>IF(H529&lt;&gt;"",J529*M529*I529,SUMIFS(N530:N$9844,$F530:$F$9844,"*"&amp;F529&amp;"*",$H530:$H$9844,"&lt;&gt;"))</f>
        <v>0</v>
      </c>
      <c r="O529" s="162" t="str">
        <f>IFERROR((-Tabela2[[#This Row],[CUSTO TOTAL]]+Tabela2[[#This Row],[VENDA TOTAL]])/Tabela2[[#This Row],[VENDA TOTAL]]-PARAMETROS!$C$19,"")</f>
        <v/>
      </c>
      <c r="AA529" s="219">
        <f>SUM(Plan_Orc[[#This Row],[01/jan]:[01/dez]])</f>
        <v>0</v>
      </c>
      <c r="AB529" s="114"/>
      <c r="AC529" s="114"/>
      <c r="AD529" s="114"/>
      <c r="AE529" s="114"/>
      <c r="AF529" s="114"/>
      <c r="AG529" s="114"/>
      <c r="AH529" s="114"/>
      <c r="AI529" s="114"/>
      <c r="AJ529" s="114"/>
      <c r="AK529" s="114"/>
      <c r="AL529" s="114"/>
      <c r="AM529" s="114"/>
    </row>
    <row r="530" spans="2:39" ht="25.2" customHeight="1" x14ac:dyDescent="0.3">
      <c r="B530" s="13" t="str">
        <f t="shared" si="12"/>
        <v/>
      </c>
      <c r="C530" s="18"/>
      <c r="D530" s="19" t="str">
        <f>IF(Tabela2[[#This Row],[AGRUPADOR]]&lt;&gt;"",VLOOKUP(Tabela2[[#This Row],[AGRUPADOR]],Tabela1[],2,0),"")</f>
        <v/>
      </c>
      <c r="E530" s="19" t="str">
        <f>IF(Tabela2[[#This Row],[AGRUPADOR]]&lt;&gt;"",VLOOKUP(Tabela2[[#This Row],[AGRUPADOR]],Tabela1[],4,0),"")</f>
        <v/>
      </c>
      <c r="F530" s="14"/>
      <c r="G530" s="6"/>
      <c r="H530" s="6"/>
      <c r="I530" s="25"/>
      <c r="J530" s="7"/>
      <c r="K530" s="15"/>
      <c r="L530" s="379">
        <f>IF(H530&lt;&gt;"",J530*K530,SUMIFS(L531:L$9844,$F531:$F$9844,"*"&amp;F530&amp;"*",$H531:$H$9844,"&lt;&gt;"))</f>
        <v>0</v>
      </c>
      <c r="M530" s="379" t="str">
        <f>IF(Tabela2[[#This Row],[UNID.]]&lt;&gt;"",IFERROR(VLOOKUP(Tabela2[[#This Row],[AGRUPADOR]],Lucratividade!$D$4:$O$129,6,0),0),"")</f>
        <v/>
      </c>
      <c r="N530" s="379">
        <f>IF(H530&lt;&gt;"",J530*M530*I530,SUMIFS(N531:N$9844,$F531:$F$9844,"*"&amp;F530&amp;"*",$H531:$H$9844,"&lt;&gt;"))</f>
        <v>0</v>
      </c>
      <c r="O530" s="162" t="str">
        <f>IFERROR((-Tabela2[[#This Row],[CUSTO TOTAL]]+Tabela2[[#This Row],[VENDA TOTAL]])/Tabela2[[#This Row],[VENDA TOTAL]]-PARAMETROS!$C$19,"")</f>
        <v/>
      </c>
      <c r="AA530" s="218">
        <f>SUM(Plan_Orc[[#This Row],[01/jan]:[01/dez]])</f>
        <v>0</v>
      </c>
      <c r="AB530" s="113"/>
      <c r="AC530" s="113"/>
      <c r="AD530" s="113"/>
      <c r="AE530" s="113"/>
      <c r="AF530" s="113"/>
      <c r="AG530" s="113"/>
      <c r="AH530" s="113"/>
      <c r="AI530" s="113"/>
      <c r="AJ530" s="113"/>
      <c r="AK530" s="113"/>
      <c r="AL530" s="113"/>
      <c r="AM530" s="113"/>
    </row>
    <row r="531" spans="2:39" ht="25.2" customHeight="1" x14ac:dyDescent="0.3">
      <c r="B531" s="13" t="str">
        <f t="shared" si="12"/>
        <v/>
      </c>
      <c r="C531" s="18"/>
      <c r="D531" s="19" t="str">
        <f>IF(Tabela2[[#This Row],[AGRUPADOR]]&lt;&gt;"",VLOOKUP(Tabela2[[#This Row],[AGRUPADOR]],Tabela1[],2,0),"")</f>
        <v/>
      </c>
      <c r="E531" s="19" t="str">
        <f>IF(Tabela2[[#This Row],[AGRUPADOR]]&lt;&gt;"",VLOOKUP(Tabela2[[#This Row],[AGRUPADOR]],Tabela1[],4,0),"")</f>
        <v/>
      </c>
      <c r="F531" s="14"/>
      <c r="G531" s="6"/>
      <c r="H531" s="6"/>
      <c r="I531" s="25"/>
      <c r="J531" s="7"/>
      <c r="K531" s="15"/>
      <c r="L531" s="379">
        <f>IF(H531&lt;&gt;"",J531*K531,SUMIFS(L532:L$9844,$F532:$F$9844,"*"&amp;F531&amp;"*",$H532:$H$9844,"&lt;&gt;"))</f>
        <v>0</v>
      </c>
      <c r="M531" s="379" t="str">
        <f>IF(Tabela2[[#This Row],[UNID.]]&lt;&gt;"",IFERROR(VLOOKUP(Tabela2[[#This Row],[AGRUPADOR]],Lucratividade!$D$4:$O$129,6,0),0),"")</f>
        <v/>
      </c>
      <c r="N531" s="379">
        <f>IF(H531&lt;&gt;"",J531*M531*I531,SUMIFS(N532:N$9844,$F532:$F$9844,"*"&amp;F531&amp;"*",$H532:$H$9844,"&lt;&gt;"))</f>
        <v>0</v>
      </c>
      <c r="O531" s="162" t="str">
        <f>IFERROR((-Tabela2[[#This Row],[CUSTO TOTAL]]+Tabela2[[#This Row],[VENDA TOTAL]])/Tabela2[[#This Row],[VENDA TOTAL]]-PARAMETROS!$C$19,"")</f>
        <v/>
      </c>
      <c r="AA531" s="219">
        <f>SUM(Plan_Orc[[#This Row],[01/jan]:[01/dez]])</f>
        <v>0</v>
      </c>
      <c r="AB531" s="114"/>
      <c r="AC531" s="114"/>
      <c r="AD531" s="114"/>
      <c r="AE531" s="114"/>
      <c r="AF531" s="114"/>
      <c r="AG531" s="114"/>
      <c r="AH531" s="114"/>
      <c r="AI531" s="114"/>
      <c r="AJ531" s="114"/>
      <c r="AK531" s="114"/>
      <c r="AL531" s="114"/>
      <c r="AM531" s="114"/>
    </row>
    <row r="532" spans="2:39" ht="25.2" customHeight="1" x14ac:dyDescent="0.3">
      <c r="B532" s="13" t="str">
        <f t="shared" si="12"/>
        <v/>
      </c>
      <c r="C532" s="18"/>
      <c r="D532" s="19" t="str">
        <f>IF(Tabela2[[#This Row],[AGRUPADOR]]&lt;&gt;"",VLOOKUP(Tabela2[[#This Row],[AGRUPADOR]],Tabela1[],2,0),"")</f>
        <v/>
      </c>
      <c r="E532" s="19" t="str">
        <f>IF(Tabela2[[#This Row],[AGRUPADOR]]&lt;&gt;"",VLOOKUP(Tabela2[[#This Row],[AGRUPADOR]],Tabela1[],4,0),"")</f>
        <v/>
      </c>
      <c r="F532" s="14"/>
      <c r="G532" s="6"/>
      <c r="H532" s="6"/>
      <c r="I532" s="25"/>
      <c r="J532" s="7"/>
      <c r="K532" s="15"/>
      <c r="L532" s="379">
        <f>IF(H532&lt;&gt;"",J532*K532,SUMIFS(L533:L$9844,$F533:$F$9844,"*"&amp;F532&amp;"*",$H533:$H$9844,"&lt;&gt;"))</f>
        <v>0</v>
      </c>
      <c r="M532" s="379" t="str">
        <f>IF(Tabela2[[#This Row],[UNID.]]&lt;&gt;"",IFERROR(VLOOKUP(Tabela2[[#This Row],[AGRUPADOR]],Lucratividade!$D$4:$O$129,6,0),0),"")</f>
        <v/>
      </c>
      <c r="N532" s="379">
        <f>IF(H532&lt;&gt;"",J532*M532*I532,SUMIFS(N533:N$9844,$F533:$F$9844,"*"&amp;F532&amp;"*",$H533:$H$9844,"&lt;&gt;"))</f>
        <v>0</v>
      </c>
      <c r="O532" s="162" t="str">
        <f>IFERROR((-Tabela2[[#This Row],[CUSTO TOTAL]]+Tabela2[[#This Row],[VENDA TOTAL]])/Tabela2[[#This Row],[VENDA TOTAL]]-PARAMETROS!$C$19,"")</f>
        <v/>
      </c>
      <c r="AA532" s="219">
        <f>SUM(Plan_Orc[[#This Row],[01/jan]:[01/dez]])</f>
        <v>0</v>
      </c>
      <c r="AB532" s="114"/>
      <c r="AC532" s="114"/>
      <c r="AD532" s="114"/>
      <c r="AE532" s="114"/>
      <c r="AF532" s="114"/>
      <c r="AG532" s="114"/>
      <c r="AH532" s="114"/>
      <c r="AI532" s="114"/>
      <c r="AJ532" s="114"/>
      <c r="AK532" s="114"/>
      <c r="AL532" s="114"/>
      <c r="AM532" s="114"/>
    </row>
    <row r="533" spans="2:39" ht="25.2" customHeight="1" x14ac:dyDescent="0.3">
      <c r="B533" s="13" t="str">
        <f t="shared" si="12"/>
        <v/>
      </c>
      <c r="C533" s="18"/>
      <c r="D533" s="19" t="str">
        <f>IF(Tabela2[[#This Row],[AGRUPADOR]]&lt;&gt;"",VLOOKUP(Tabela2[[#This Row],[AGRUPADOR]],Tabela1[],2,0),"")</f>
        <v/>
      </c>
      <c r="E533" s="19" t="str">
        <f>IF(Tabela2[[#This Row],[AGRUPADOR]]&lt;&gt;"",VLOOKUP(Tabela2[[#This Row],[AGRUPADOR]],Tabela1[],4,0),"")</f>
        <v/>
      </c>
      <c r="F533" s="14"/>
      <c r="G533" s="6"/>
      <c r="H533" s="6"/>
      <c r="I533" s="25"/>
      <c r="J533" s="7"/>
      <c r="K533" s="15"/>
      <c r="L533" s="379">
        <f>IF(H533&lt;&gt;"",J533*K533,SUMIFS(L534:L$9844,$F534:$F$9844,"*"&amp;F533&amp;"*",$H534:$H$9844,"&lt;&gt;"))</f>
        <v>0</v>
      </c>
      <c r="M533" s="379" t="str">
        <f>IF(Tabela2[[#This Row],[UNID.]]&lt;&gt;"",IFERROR(VLOOKUP(Tabela2[[#This Row],[AGRUPADOR]],Lucratividade!$D$4:$O$129,6,0),0),"")</f>
        <v/>
      </c>
      <c r="N533" s="379">
        <f>IF(H533&lt;&gt;"",J533*M533*I533,SUMIFS(N534:N$9844,$F534:$F$9844,"*"&amp;F533&amp;"*",$H534:$H$9844,"&lt;&gt;"))</f>
        <v>0</v>
      </c>
      <c r="O533" s="162" t="str">
        <f>IFERROR((-Tabela2[[#This Row],[CUSTO TOTAL]]+Tabela2[[#This Row],[VENDA TOTAL]])/Tabela2[[#This Row],[VENDA TOTAL]]-PARAMETROS!$C$19,"")</f>
        <v/>
      </c>
      <c r="AA533" s="219">
        <f>SUM(Plan_Orc[[#This Row],[01/jan]:[01/dez]])</f>
        <v>0</v>
      </c>
      <c r="AB533" s="114"/>
      <c r="AC533" s="114"/>
      <c r="AD533" s="114"/>
      <c r="AE533" s="114"/>
      <c r="AF533" s="114"/>
      <c r="AG533" s="114"/>
      <c r="AH533" s="114"/>
      <c r="AI533" s="114"/>
      <c r="AJ533" s="114"/>
      <c r="AK533" s="114"/>
      <c r="AL533" s="114"/>
      <c r="AM533" s="114"/>
    </row>
    <row r="534" spans="2:39" ht="25.2" customHeight="1" x14ac:dyDescent="0.3">
      <c r="B534" s="13" t="str">
        <f t="shared" si="12"/>
        <v/>
      </c>
      <c r="C534" s="18"/>
      <c r="D534" s="19" t="str">
        <f>IF(Tabela2[[#This Row],[AGRUPADOR]]&lt;&gt;"",VLOOKUP(Tabela2[[#This Row],[AGRUPADOR]],Tabela1[],2,0),"")</f>
        <v/>
      </c>
      <c r="E534" s="19" t="str">
        <f>IF(Tabela2[[#This Row],[AGRUPADOR]]&lt;&gt;"",VLOOKUP(Tabela2[[#This Row],[AGRUPADOR]],Tabela1[],4,0),"")</f>
        <v/>
      </c>
      <c r="F534" s="14"/>
      <c r="G534" s="6"/>
      <c r="H534" s="6"/>
      <c r="I534" s="25"/>
      <c r="J534" s="7"/>
      <c r="K534" s="15"/>
      <c r="L534" s="379">
        <f>IF(H534&lt;&gt;"",J534*K534,SUMIFS(L535:L$9844,$F535:$F$9844,"*"&amp;F534&amp;"*",$H535:$H$9844,"&lt;&gt;"))</f>
        <v>0</v>
      </c>
      <c r="M534" s="379" t="str">
        <f>IF(Tabela2[[#This Row],[UNID.]]&lt;&gt;"",IFERROR(VLOOKUP(Tabela2[[#This Row],[AGRUPADOR]],Lucratividade!$D$4:$O$129,6,0),0),"")</f>
        <v/>
      </c>
      <c r="N534" s="379">
        <f>IF(H534&lt;&gt;"",J534*M534*I534,SUMIFS(N535:N$9844,$F535:$F$9844,"*"&amp;F534&amp;"*",$H535:$H$9844,"&lt;&gt;"))</f>
        <v>0</v>
      </c>
      <c r="O534" s="162" t="str">
        <f>IFERROR((-Tabela2[[#This Row],[CUSTO TOTAL]]+Tabela2[[#This Row],[VENDA TOTAL]])/Tabela2[[#This Row],[VENDA TOTAL]]-PARAMETROS!$C$19,"")</f>
        <v/>
      </c>
      <c r="AA534" s="219">
        <f>SUM(Plan_Orc[[#This Row],[01/jan]:[01/dez]])</f>
        <v>0</v>
      </c>
      <c r="AB534" s="114"/>
      <c r="AC534" s="114"/>
      <c r="AD534" s="114"/>
      <c r="AE534" s="114"/>
      <c r="AF534" s="114"/>
      <c r="AG534" s="114"/>
      <c r="AH534" s="114"/>
      <c r="AI534" s="114"/>
      <c r="AJ534" s="114"/>
      <c r="AK534" s="114"/>
      <c r="AL534" s="114"/>
      <c r="AM534" s="114"/>
    </row>
    <row r="535" spans="2:39" ht="25.2" customHeight="1" x14ac:dyDescent="0.3">
      <c r="B535" s="13" t="str">
        <f t="shared" si="12"/>
        <v/>
      </c>
      <c r="C535" s="18"/>
      <c r="D535" s="19" t="str">
        <f>IF(Tabela2[[#This Row],[AGRUPADOR]]&lt;&gt;"",VLOOKUP(Tabela2[[#This Row],[AGRUPADOR]],Tabela1[],2,0),"")</f>
        <v/>
      </c>
      <c r="E535" s="19" t="str">
        <f>IF(Tabela2[[#This Row],[AGRUPADOR]]&lt;&gt;"",VLOOKUP(Tabela2[[#This Row],[AGRUPADOR]],Tabela1[],4,0),"")</f>
        <v/>
      </c>
      <c r="F535" s="14"/>
      <c r="G535" s="6"/>
      <c r="H535" s="6"/>
      <c r="I535" s="25"/>
      <c r="J535" s="7"/>
      <c r="K535" s="15"/>
      <c r="L535" s="379">
        <f>IF(H535&lt;&gt;"",J535*K535,SUMIFS(L536:L$9844,$F536:$F$9844,"*"&amp;F535&amp;"*",$H536:$H$9844,"&lt;&gt;"))</f>
        <v>0</v>
      </c>
      <c r="M535" s="379" t="str">
        <f>IF(Tabela2[[#This Row],[UNID.]]&lt;&gt;"",IFERROR(VLOOKUP(Tabela2[[#This Row],[AGRUPADOR]],Lucratividade!$D$4:$O$129,6,0),0),"")</f>
        <v/>
      </c>
      <c r="N535" s="379">
        <f>IF(H535&lt;&gt;"",J535*M535*I535,SUMIFS(N536:N$9844,$F536:$F$9844,"*"&amp;F535&amp;"*",$H536:$H$9844,"&lt;&gt;"))</f>
        <v>0</v>
      </c>
      <c r="O535" s="162" t="str">
        <f>IFERROR((-Tabela2[[#This Row],[CUSTO TOTAL]]+Tabela2[[#This Row],[VENDA TOTAL]])/Tabela2[[#This Row],[VENDA TOTAL]]-PARAMETROS!$C$19,"")</f>
        <v/>
      </c>
      <c r="AA535" s="219">
        <f>SUM(Plan_Orc[[#This Row],[01/jan]:[01/dez]])</f>
        <v>0</v>
      </c>
      <c r="AB535" s="114"/>
      <c r="AC535" s="114"/>
      <c r="AD535" s="114"/>
      <c r="AE535" s="114"/>
      <c r="AF535" s="114"/>
      <c r="AG535" s="114"/>
      <c r="AH535" s="114"/>
      <c r="AI535" s="114"/>
      <c r="AJ535" s="114"/>
      <c r="AK535" s="114"/>
      <c r="AL535" s="114"/>
      <c r="AM535" s="114"/>
    </row>
    <row r="536" spans="2:39" ht="25.2" customHeight="1" x14ac:dyDescent="0.3">
      <c r="B536" s="13" t="str">
        <f t="shared" si="12"/>
        <v/>
      </c>
      <c r="C536" s="18"/>
      <c r="D536" s="19" t="str">
        <f>IF(Tabela2[[#This Row],[AGRUPADOR]]&lt;&gt;"",VLOOKUP(Tabela2[[#This Row],[AGRUPADOR]],Tabela1[],2,0),"")</f>
        <v/>
      </c>
      <c r="E536" s="19" t="str">
        <f>IF(Tabela2[[#This Row],[AGRUPADOR]]&lt;&gt;"",VLOOKUP(Tabela2[[#This Row],[AGRUPADOR]],Tabela1[],4,0),"")</f>
        <v/>
      </c>
      <c r="F536" s="14"/>
      <c r="G536" s="6"/>
      <c r="H536" s="6"/>
      <c r="I536" s="25"/>
      <c r="J536" s="7"/>
      <c r="K536" s="15"/>
      <c r="L536" s="379">
        <f>IF(H536&lt;&gt;"",J536*K536,SUMIFS(L537:L$9844,$F537:$F$9844,"*"&amp;F536&amp;"*",$H537:$H$9844,"&lt;&gt;"))</f>
        <v>0</v>
      </c>
      <c r="M536" s="379" t="str">
        <f>IF(Tabela2[[#This Row],[UNID.]]&lt;&gt;"",IFERROR(VLOOKUP(Tabela2[[#This Row],[AGRUPADOR]],Lucratividade!$D$4:$O$129,6,0),0),"")</f>
        <v/>
      </c>
      <c r="N536" s="379">
        <f>IF(H536&lt;&gt;"",J536*M536*I536,SUMIFS(N537:N$9844,$F537:$F$9844,"*"&amp;F536&amp;"*",$H537:$H$9844,"&lt;&gt;"))</f>
        <v>0</v>
      </c>
      <c r="O536" s="162" t="str">
        <f>IFERROR((-Tabela2[[#This Row],[CUSTO TOTAL]]+Tabela2[[#This Row],[VENDA TOTAL]])/Tabela2[[#This Row],[VENDA TOTAL]]-PARAMETROS!$C$19,"")</f>
        <v/>
      </c>
      <c r="AA536" s="219">
        <f>SUM(Plan_Orc[[#This Row],[01/jan]:[01/dez]])</f>
        <v>0</v>
      </c>
      <c r="AB536" s="114"/>
      <c r="AC536" s="114"/>
      <c r="AD536" s="114"/>
      <c r="AE536" s="114"/>
      <c r="AF536" s="114"/>
      <c r="AG536" s="114"/>
      <c r="AH536" s="114"/>
      <c r="AI536" s="114"/>
      <c r="AJ536" s="114"/>
      <c r="AK536" s="114"/>
      <c r="AL536" s="114"/>
      <c r="AM536" s="114"/>
    </row>
    <row r="537" spans="2:39" ht="25.2" customHeight="1" x14ac:dyDescent="0.3">
      <c r="B537" s="13" t="str">
        <f t="shared" si="12"/>
        <v/>
      </c>
      <c r="C537" s="18"/>
      <c r="D537" s="19" t="str">
        <f>IF(Tabela2[[#This Row],[AGRUPADOR]]&lt;&gt;"",VLOOKUP(Tabela2[[#This Row],[AGRUPADOR]],Tabela1[],2,0),"")</f>
        <v/>
      </c>
      <c r="E537" s="19" t="str">
        <f>IF(Tabela2[[#This Row],[AGRUPADOR]]&lt;&gt;"",VLOOKUP(Tabela2[[#This Row],[AGRUPADOR]],Tabela1[],4,0),"")</f>
        <v/>
      </c>
      <c r="F537" s="14"/>
      <c r="G537" s="6"/>
      <c r="H537" s="6"/>
      <c r="I537" s="25"/>
      <c r="J537" s="7"/>
      <c r="K537" s="15"/>
      <c r="L537" s="379">
        <f>IF(H537&lt;&gt;"",J537*K537,SUMIFS(L538:L$9844,$F538:$F$9844,"*"&amp;F537&amp;"*",$H538:$H$9844,"&lt;&gt;"))</f>
        <v>0</v>
      </c>
      <c r="M537" s="379" t="str">
        <f>IF(Tabela2[[#This Row],[UNID.]]&lt;&gt;"",IFERROR(VLOOKUP(Tabela2[[#This Row],[AGRUPADOR]],Lucratividade!$D$4:$O$129,6,0),0),"")</f>
        <v/>
      </c>
      <c r="N537" s="379">
        <f>IF(H537&lt;&gt;"",J537*M537*I537,SUMIFS(N538:N$9844,$F538:$F$9844,"*"&amp;F537&amp;"*",$H538:$H$9844,"&lt;&gt;"))</f>
        <v>0</v>
      </c>
      <c r="O537" s="162" t="str">
        <f>IFERROR((-Tabela2[[#This Row],[CUSTO TOTAL]]+Tabela2[[#This Row],[VENDA TOTAL]])/Tabela2[[#This Row],[VENDA TOTAL]]-PARAMETROS!$C$19,"")</f>
        <v/>
      </c>
      <c r="AA537" s="219">
        <f>SUM(Plan_Orc[[#This Row],[01/jan]:[01/dez]])</f>
        <v>0</v>
      </c>
      <c r="AB537" s="114"/>
      <c r="AC537" s="114"/>
      <c r="AD537" s="114"/>
      <c r="AE537" s="114"/>
      <c r="AF537" s="114"/>
      <c r="AG537" s="114"/>
      <c r="AH537" s="114"/>
      <c r="AI537" s="114"/>
      <c r="AJ537" s="114"/>
      <c r="AK537" s="114"/>
      <c r="AL537" s="114"/>
      <c r="AM537" s="114"/>
    </row>
    <row r="538" spans="2:39" ht="25.2" customHeight="1" x14ac:dyDescent="0.3">
      <c r="B538" s="13" t="str">
        <f t="shared" si="12"/>
        <v/>
      </c>
      <c r="C538" s="18"/>
      <c r="D538" s="19" t="str">
        <f>IF(Tabela2[[#This Row],[AGRUPADOR]]&lt;&gt;"",VLOOKUP(Tabela2[[#This Row],[AGRUPADOR]],Tabela1[],2,0),"")</f>
        <v/>
      </c>
      <c r="E538" s="19" t="str">
        <f>IF(Tabela2[[#This Row],[AGRUPADOR]]&lt;&gt;"",VLOOKUP(Tabela2[[#This Row],[AGRUPADOR]],Tabela1[],4,0),"")</f>
        <v/>
      </c>
      <c r="F538" s="14"/>
      <c r="G538" s="6"/>
      <c r="H538" s="6"/>
      <c r="I538" s="25"/>
      <c r="J538" s="7"/>
      <c r="K538" s="15"/>
      <c r="L538" s="379">
        <f>IF(H538&lt;&gt;"",J538*K538,SUMIFS(L539:L$9844,$F539:$F$9844,"*"&amp;F538&amp;"*",$H539:$H$9844,"&lt;&gt;"))</f>
        <v>0</v>
      </c>
      <c r="M538" s="379" t="str">
        <f>IF(Tabela2[[#This Row],[UNID.]]&lt;&gt;"",IFERROR(VLOOKUP(Tabela2[[#This Row],[AGRUPADOR]],Lucratividade!$D$4:$O$129,6,0),0),"")</f>
        <v/>
      </c>
      <c r="N538" s="379">
        <f>IF(H538&lt;&gt;"",J538*M538*I538,SUMIFS(N539:N$9844,$F539:$F$9844,"*"&amp;F538&amp;"*",$H539:$H$9844,"&lt;&gt;"))</f>
        <v>0</v>
      </c>
      <c r="O538" s="162" t="str">
        <f>IFERROR((-Tabela2[[#This Row],[CUSTO TOTAL]]+Tabela2[[#This Row],[VENDA TOTAL]])/Tabela2[[#This Row],[VENDA TOTAL]]-PARAMETROS!$C$19,"")</f>
        <v/>
      </c>
      <c r="AA538" s="219">
        <f>SUM(Plan_Orc[[#This Row],[01/jan]:[01/dez]])</f>
        <v>0</v>
      </c>
      <c r="AB538" s="114"/>
      <c r="AC538" s="114"/>
      <c r="AD538" s="114"/>
      <c r="AE538" s="114"/>
      <c r="AF538" s="114"/>
      <c r="AG538" s="114"/>
      <c r="AH538" s="114"/>
      <c r="AI538" s="114"/>
      <c r="AJ538" s="114"/>
      <c r="AK538" s="114"/>
      <c r="AL538" s="114"/>
      <c r="AM538" s="114"/>
    </row>
    <row r="539" spans="2:39" ht="25.2" customHeight="1" x14ac:dyDescent="0.3">
      <c r="B539" s="13" t="str">
        <f t="shared" si="12"/>
        <v/>
      </c>
      <c r="C539" s="18"/>
      <c r="D539" s="19" t="str">
        <f>IF(Tabela2[[#This Row],[AGRUPADOR]]&lt;&gt;"",VLOOKUP(Tabela2[[#This Row],[AGRUPADOR]],Tabela1[],2,0),"")</f>
        <v/>
      </c>
      <c r="E539" s="19" t="str">
        <f>IF(Tabela2[[#This Row],[AGRUPADOR]]&lt;&gt;"",VLOOKUP(Tabela2[[#This Row],[AGRUPADOR]],Tabela1[],4,0),"")</f>
        <v/>
      </c>
      <c r="F539" s="14"/>
      <c r="G539" s="6"/>
      <c r="H539" s="6"/>
      <c r="I539" s="25"/>
      <c r="J539" s="7"/>
      <c r="K539" s="15"/>
      <c r="L539" s="379">
        <f>IF(H539&lt;&gt;"",J539*K539,SUMIFS(L540:L$9844,$F540:$F$9844,"*"&amp;F539&amp;"*",$H540:$H$9844,"&lt;&gt;"))</f>
        <v>0</v>
      </c>
      <c r="M539" s="379" t="str">
        <f>IF(Tabela2[[#This Row],[UNID.]]&lt;&gt;"",IFERROR(VLOOKUP(Tabela2[[#This Row],[AGRUPADOR]],Lucratividade!$D$4:$O$129,6,0),0),"")</f>
        <v/>
      </c>
      <c r="N539" s="379">
        <f>IF(H539&lt;&gt;"",J539*M539*I539,SUMIFS(N540:N$9844,$F540:$F$9844,"*"&amp;F539&amp;"*",$H540:$H$9844,"&lt;&gt;"))</f>
        <v>0</v>
      </c>
      <c r="O539" s="162" t="str">
        <f>IFERROR((-Tabela2[[#This Row],[CUSTO TOTAL]]+Tabela2[[#This Row],[VENDA TOTAL]])/Tabela2[[#This Row],[VENDA TOTAL]]-PARAMETROS!$C$19,"")</f>
        <v/>
      </c>
      <c r="AA539" s="219">
        <f>SUM(Plan_Orc[[#This Row],[01/jan]:[01/dez]])</f>
        <v>0</v>
      </c>
      <c r="AB539" s="114"/>
      <c r="AC539" s="114"/>
      <c r="AD539" s="114"/>
      <c r="AE539" s="114"/>
      <c r="AF539" s="114"/>
      <c r="AG539" s="114"/>
      <c r="AH539" s="114"/>
      <c r="AI539" s="114"/>
      <c r="AJ539" s="114"/>
      <c r="AK539" s="114"/>
      <c r="AL539" s="114"/>
      <c r="AM539" s="114"/>
    </row>
    <row r="540" spans="2:39" ht="25.2" customHeight="1" x14ac:dyDescent="0.3">
      <c r="B540" s="13" t="str">
        <f t="shared" si="12"/>
        <v/>
      </c>
      <c r="C540" s="18"/>
      <c r="D540" s="19" t="str">
        <f>IF(Tabela2[[#This Row],[AGRUPADOR]]&lt;&gt;"",VLOOKUP(Tabela2[[#This Row],[AGRUPADOR]],Tabela1[],2,0),"")</f>
        <v/>
      </c>
      <c r="E540" s="19" t="str">
        <f>IF(Tabela2[[#This Row],[AGRUPADOR]]&lt;&gt;"",VLOOKUP(Tabela2[[#This Row],[AGRUPADOR]],Tabela1[],4,0),"")</f>
        <v/>
      </c>
      <c r="F540" s="14"/>
      <c r="G540" s="6"/>
      <c r="H540" s="6"/>
      <c r="I540" s="25"/>
      <c r="J540" s="7"/>
      <c r="K540" s="15"/>
      <c r="L540" s="379">
        <f>IF(H540&lt;&gt;"",J540*K540,SUMIFS(L541:L$9844,$F541:$F$9844,"*"&amp;F540&amp;"*",$H541:$H$9844,"&lt;&gt;"))</f>
        <v>0</v>
      </c>
      <c r="M540" s="379" t="str">
        <f>IF(Tabela2[[#This Row],[UNID.]]&lt;&gt;"",IFERROR(VLOOKUP(Tabela2[[#This Row],[AGRUPADOR]],Lucratividade!$D$4:$O$129,6,0),0),"")</f>
        <v/>
      </c>
      <c r="N540" s="379">
        <f>IF(H540&lt;&gt;"",J540*M540*I540,SUMIFS(N541:N$9844,$F541:$F$9844,"*"&amp;F540&amp;"*",$H541:$H$9844,"&lt;&gt;"))</f>
        <v>0</v>
      </c>
      <c r="O540" s="162" t="str">
        <f>IFERROR((-Tabela2[[#This Row],[CUSTO TOTAL]]+Tabela2[[#This Row],[VENDA TOTAL]])/Tabela2[[#This Row],[VENDA TOTAL]]-PARAMETROS!$C$19,"")</f>
        <v/>
      </c>
      <c r="AA540" s="224">
        <f>SUM(Plan_Orc[[#This Row],[01/jan]:[01/dez]])</f>
        <v>0</v>
      </c>
      <c r="AB540" s="215"/>
      <c r="AC540" s="215"/>
      <c r="AD540" s="215"/>
      <c r="AE540" s="215"/>
      <c r="AF540" s="215"/>
      <c r="AG540" s="215"/>
      <c r="AH540" s="215"/>
      <c r="AI540" s="215"/>
      <c r="AJ540" s="215"/>
      <c r="AK540" s="215"/>
      <c r="AL540" s="215"/>
      <c r="AM540" s="215"/>
    </row>
    <row r="541" spans="2:39" ht="25.2" customHeight="1" x14ac:dyDescent="0.3">
      <c r="B541" s="13" t="str">
        <f t="shared" si="12"/>
        <v/>
      </c>
      <c r="C541" s="18"/>
      <c r="D541" s="19" t="str">
        <f>IF(Tabela2[[#This Row],[AGRUPADOR]]&lt;&gt;"",VLOOKUP(Tabela2[[#This Row],[AGRUPADOR]],Tabela1[],2,0),"")</f>
        <v/>
      </c>
      <c r="E541" s="19" t="str">
        <f>IF(Tabela2[[#This Row],[AGRUPADOR]]&lt;&gt;"",VLOOKUP(Tabela2[[#This Row],[AGRUPADOR]],Tabela1[],4,0),"")</f>
        <v/>
      </c>
      <c r="F541" s="14"/>
      <c r="G541" s="6"/>
      <c r="H541" s="6"/>
      <c r="I541" s="25"/>
      <c r="J541" s="7"/>
      <c r="K541" s="15"/>
      <c r="L541" s="379">
        <f>IF(H541&lt;&gt;"",J541*K541,SUMIFS(L542:L$9844,$F542:$F$9844,"*"&amp;F541&amp;"*",$H542:$H$9844,"&lt;&gt;"))</f>
        <v>0</v>
      </c>
      <c r="M541" s="379" t="str">
        <f>IF(Tabela2[[#This Row],[UNID.]]&lt;&gt;"",IFERROR(VLOOKUP(Tabela2[[#This Row],[AGRUPADOR]],Lucratividade!$D$4:$O$129,6,0),0),"")</f>
        <v/>
      </c>
      <c r="N541" s="379">
        <f>IF(H541&lt;&gt;"",J541*M541*I541,SUMIFS(N542:N$9844,$F542:$F$9844,"*"&amp;F541&amp;"*",$H542:$H$9844,"&lt;&gt;"))</f>
        <v>0</v>
      </c>
      <c r="O541" s="162" t="str">
        <f>IFERROR((-Tabela2[[#This Row],[CUSTO TOTAL]]+Tabela2[[#This Row],[VENDA TOTAL]])/Tabela2[[#This Row],[VENDA TOTAL]]-PARAMETROS!$C$19,"")</f>
        <v/>
      </c>
      <c r="AA541" s="218">
        <f>SUM(Plan_Orc[[#This Row],[01/jan]:[01/dez]])</f>
        <v>0</v>
      </c>
      <c r="AB541" s="113"/>
      <c r="AC541" s="113"/>
      <c r="AD541" s="113"/>
      <c r="AE541" s="113"/>
      <c r="AF541" s="113"/>
      <c r="AG541" s="113"/>
      <c r="AH541" s="113"/>
      <c r="AI541" s="113"/>
      <c r="AJ541" s="113"/>
      <c r="AK541" s="113"/>
      <c r="AL541" s="113"/>
      <c r="AM541" s="113"/>
    </row>
    <row r="542" spans="2:39" ht="25.2" customHeight="1" x14ac:dyDescent="0.3">
      <c r="B542" s="13" t="str">
        <f t="shared" si="12"/>
        <v/>
      </c>
      <c r="C542" s="18"/>
      <c r="D542" s="19" t="str">
        <f>IF(Tabela2[[#This Row],[AGRUPADOR]]&lt;&gt;"",VLOOKUP(Tabela2[[#This Row],[AGRUPADOR]],Tabela1[],2,0),"")</f>
        <v/>
      </c>
      <c r="E542" s="19" t="str">
        <f>IF(Tabela2[[#This Row],[AGRUPADOR]]&lt;&gt;"",VLOOKUP(Tabela2[[#This Row],[AGRUPADOR]],Tabela1[],4,0),"")</f>
        <v/>
      </c>
      <c r="F542" s="14"/>
      <c r="G542" s="6"/>
      <c r="H542" s="6"/>
      <c r="I542" s="25"/>
      <c r="J542" s="7"/>
      <c r="K542" s="15"/>
      <c r="L542" s="379">
        <f>IF(H542&lt;&gt;"",J542*K542,SUMIFS(L543:L$9844,$F543:$F$9844,"*"&amp;F542&amp;"*",$H543:$H$9844,"&lt;&gt;"))</f>
        <v>0</v>
      </c>
      <c r="M542" s="379" t="str">
        <f>IF(Tabela2[[#This Row],[UNID.]]&lt;&gt;"",IFERROR(VLOOKUP(Tabela2[[#This Row],[AGRUPADOR]],Lucratividade!$D$4:$O$129,6,0),0),"")</f>
        <v/>
      </c>
      <c r="N542" s="379">
        <f>IF(H542&lt;&gt;"",J542*M542*I542,SUMIFS(N543:N$9844,$F543:$F$9844,"*"&amp;F542&amp;"*",$H543:$H$9844,"&lt;&gt;"))</f>
        <v>0</v>
      </c>
      <c r="O542" s="162" t="str">
        <f>IFERROR((-Tabela2[[#This Row],[CUSTO TOTAL]]+Tabela2[[#This Row],[VENDA TOTAL]])/Tabela2[[#This Row],[VENDA TOTAL]]-PARAMETROS!$C$19,"")</f>
        <v/>
      </c>
      <c r="AA542" s="219">
        <f>SUM(Plan_Orc[[#This Row],[01/jan]:[01/dez]])</f>
        <v>0</v>
      </c>
      <c r="AB542" s="114"/>
      <c r="AC542" s="114"/>
      <c r="AD542" s="114"/>
      <c r="AE542" s="114"/>
      <c r="AF542" s="114"/>
      <c r="AG542" s="114"/>
      <c r="AH542" s="114"/>
      <c r="AI542" s="114"/>
      <c r="AJ542" s="114"/>
      <c r="AK542" s="114"/>
      <c r="AL542" s="114"/>
      <c r="AM542" s="114"/>
    </row>
    <row r="543" spans="2:39" ht="25.2" customHeight="1" x14ac:dyDescent="0.3">
      <c r="B543" s="13" t="str">
        <f t="shared" si="12"/>
        <v/>
      </c>
      <c r="C543" s="18"/>
      <c r="D543" s="19" t="str">
        <f>IF(Tabela2[[#This Row],[AGRUPADOR]]&lt;&gt;"",VLOOKUP(Tabela2[[#This Row],[AGRUPADOR]],Tabela1[],2,0),"")</f>
        <v/>
      </c>
      <c r="E543" s="19" t="str">
        <f>IF(Tabela2[[#This Row],[AGRUPADOR]]&lt;&gt;"",VLOOKUP(Tabela2[[#This Row],[AGRUPADOR]],Tabela1[],4,0),"")</f>
        <v/>
      </c>
      <c r="F543" s="14"/>
      <c r="G543" s="6"/>
      <c r="H543" s="6"/>
      <c r="I543" s="25"/>
      <c r="J543" s="7"/>
      <c r="K543" s="15"/>
      <c r="L543" s="379">
        <f>IF(H543&lt;&gt;"",J543*K543,SUMIFS(L544:L$9844,$F544:$F$9844,"*"&amp;F543&amp;"*",$H544:$H$9844,"&lt;&gt;"))</f>
        <v>0</v>
      </c>
      <c r="M543" s="379" t="str">
        <f>IF(Tabela2[[#This Row],[UNID.]]&lt;&gt;"",IFERROR(VLOOKUP(Tabela2[[#This Row],[AGRUPADOR]],Lucratividade!$D$4:$O$129,6,0),0),"")</f>
        <v/>
      </c>
      <c r="N543" s="379">
        <f>IF(H543&lt;&gt;"",J543*M543*I543,SUMIFS(N544:N$9844,$F544:$F$9844,"*"&amp;F543&amp;"*",$H544:$H$9844,"&lt;&gt;"))</f>
        <v>0</v>
      </c>
      <c r="O543" s="162" t="str">
        <f>IFERROR((-Tabela2[[#This Row],[CUSTO TOTAL]]+Tabela2[[#This Row],[VENDA TOTAL]])/Tabela2[[#This Row],[VENDA TOTAL]]-PARAMETROS!$C$19,"")</f>
        <v/>
      </c>
      <c r="AA543" s="219">
        <f>SUM(Plan_Orc[[#This Row],[01/jan]:[01/dez]])</f>
        <v>0</v>
      </c>
      <c r="AB543" s="114"/>
      <c r="AC543" s="114"/>
      <c r="AD543" s="114"/>
      <c r="AE543" s="114"/>
      <c r="AF543" s="114"/>
      <c r="AG543" s="114"/>
      <c r="AH543" s="114"/>
      <c r="AI543" s="114"/>
      <c r="AJ543" s="114"/>
      <c r="AK543" s="114"/>
      <c r="AL543" s="114"/>
      <c r="AM543" s="114"/>
    </row>
    <row r="544" spans="2:39" ht="25.2" customHeight="1" x14ac:dyDescent="0.3">
      <c r="B544" s="13" t="str">
        <f t="shared" si="12"/>
        <v/>
      </c>
      <c r="C544" s="18"/>
      <c r="D544" s="19" t="str">
        <f>IF(Tabela2[[#This Row],[AGRUPADOR]]&lt;&gt;"",VLOOKUP(Tabela2[[#This Row],[AGRUPADOR]],Tabela1[],2,0),"")</f>
        <v/>
      </c>
      <c r="E544" s="19" t="str">
        <f>IF(Tabela2[[#This Row],[AGRUPADOR]]&lt;&gt;"",VLOOKUP(Tabela2[[#This Row],[AGRUPADOR]],Tabela1[],4,0),"")</f>
        <v/>
      </c>
      <c r="F544" s="14"/>
      <c r="G544" s="6"/>
      <c r="H544" s="6"/>
      <c r="I544" s="25"/>
      <c r="J544" s="7"/>
      <c r="K544" s="15"/>
      <c r="L544" s="379">
        <f>IF(H544&lt;&gt;"",J544*K544,SUMIFS(L545:L$9844,$F545:$F$9844,"*"&amp;F544&amp;"*",$H545:$H$9844,"&lt;&gt;"))</f>
        <v>0</v>
      </c>
      <c r="M544" s="379" t="str">
        <f>IF(Tabela2[[#This Row],[UNID.]]&lt;&gt;"",IFERROR(VLOOKUP(Tabela2[[#This Row],[AGRUPADOR]],Lucratividade!$D$4:$O$129,6,0),0),"")</f>
        <v/>
      </c>
      <c r="N544" s="379">
        <f>IF(H544&lt;&gt;"",J544*M544*I544,SUMIFS(N545:N$9844,$F545:$F$9844,"*"&amp;F544&amp;"*",$H545:$H$9844,"&lt;&gt;"))</f>
        <v>0</v>
      </c>
      <c r="O544" s="162" t="str">
        <f>IFERROR((-Tabela2[[#This Row],[CUSTO TOTAL]]+Tabela2[[#This Row],[VENDA TOTAL]])/Tabela2[[#This Row],[VENDA TOTAL]]-PARAMETROS!$C$19,"")</f>
        <v/>
      </c>
      <c r="AA544" s="219">
        <f>SUM(Plan_Orc[[#This Row],[01/jan]:[01/dez]])</f>
        <v>0</v>
      </c>
      <c r="AB544" s="114"/>
      <c r="AC544" s="114"/>
      <c r="AD544" s="114"/>
      <c r="AE544" s="114"/>
      <c r="AF544" s="114"/>
      <c r="AG544" s="114"/>
      <c r="AH544" s="114"/>
      <c r="AI544" s="114"/>
      <c r="AJ544" s="114"/>
      <c r="AK544" s="114"/>
      <c r="AL544" s="114"/>
      <c r="AM544" s="114"/>
    </row>
    <row r="545" spans="2:39" ht="25.2" customHeight="1" x14ac:dyDescent="0.3">
      <c r="B545" s="13" t="str">
        <f t="shared" si="12"/>
        <v/>
      </c>
      <c r="C545" s="18"/>
      <c r="D545" s="19" t="str">
        <f>IF(Tabela2[[#This Row],[AGRUPADOR]]&lt;&gt;"",VLOOKUP(Tabela2[[#This Row],[AGRUPADOR]],Tabela1[],2,0),"")</f>
        <v/>
      </c>
      <c r="E545" s="19" t="str">
        <f>IF(Tabela2[[#This Row],[AGRUPADOR]]&lt;&gt;"",VLOOKUP(Tabela2[[#This Row],[AGRUPADOR]],Tabela1[],4,0),"")</f>
        <v/>
      </c>
      <c r="F545" s="14"/>
      <c r="G545" s="6"/>
      <c r="H545" s="6"/>
      <c r="I545" s="25"/>
      <c r="J545" s="7"/>
      <c r="K545" s="15"/>
      <c r="L545" s="379">
        <f>IF(H545&lt;&gt;"",J545*K545,SUMIFS(L546:L$9844,$F546:$F$9844,"*"&amp;F545&amp;"*",$H546:$H$9844,"&lt;&gt;"))</f>
        <v>0</v>
      </c>
      <c r="M545" s="379" t="str">
        <f>IF(Tabela2[[#This Row],[UNID.]]&lt;&gt;"",IFERROR(VLOOKUP(Tabela2[[#This Row],[AGRUPADOR]],Lucratividade!$D$4:$O$129,6,0),0),"")</f>
        <v/>
      </c>
      <c r="N545" s="379">
        <f>IF(H545&lt;&gt;"",J545*M545*I545,SUMIFS(N546:N$9844,$F546:$F$9844,"*"&amp;F545&amp;"*",$H546:$H$9844,"&lt;&gt;"))</f>
        <v>0</v>
      </c>
      <c r="O545" s="162" t="str">
        <f>IFERROR((-Tabela2[[#This Row],[CUSTO TOTAL]]+Tabela2[[#This Row],[VENDA TOTAL]])/Tabela2[[#This Row],[VENDA TOTAL]]-PARAMETROS!$C$19,"")</f>
        <v/>
      </c>
      <c r="AA545" s="219">
        <f>SUM(Plan_Orc[[#This Row],[01/jan]:[01/dez]])</f>
        <v>0</v>
      </c>
      <c r="AB545" s="114"/>
      <c r="AC545" s="114"/>
      <c r="AD545" s="114"/>
      <c r="AE545" s="114"/>
      <c r="AF545" s="114"/>
      <c r="AG545" s="114"/>
      <c r="AH545" s="114"/>
      <c r="AI545" s="114"/>
      <c r="AJ545" s="114"/>
      <c r="AK545" s="114"/>
      <c r="AL545" s="114"/>
      <c r="AM545" s="114"/>
    </row>
    <row r="546" spans="2:39" ht="25.2" customHeight="1" x14ac:dyDescent="0.3">
      <c r="B546" s="13" t="str">
        <f t="shared" si="12"/>
        <v/>
      </c>
      <c r="C546" s="18"/>
      <c r="D546" s="19" t="str">
        <f>IF(Tabela2[[#This Row],[AGRUPADOR]]&lt;&gt;"",VLOOKUP(Tabela2[[#This Row],[AGRUPADOR]],Tabela1[],2,0),"")</f>
        <v/>
      </c>
      <c r="E546" s="19" t="str">
        <f>IF(Tabela2[[#This Row],[AGRUPADOR]]&lt;&gt;"",VLOOKUP(Tabela2[[#This Row],[AGRUPADOR]],Tabela1[],4,0),"")</f>
        <v/>
      </c>
      <c r="F546" s="14"/>
      <c r="G546" s="6"/>
      <c r="H546" s="6"/>
      <c r="I546" s="25"/>
      <c r="J546" s="7"/>
      <c r="K546" s="15"/>
      <c r="L546" s="379">
        <f>IF(H546&lt;&gt;"",J546*K546,SUMIFS(L547:L$9844,$F547:$F$9844,"*"&amp;F546&amp;"*",$H547:$H$9844,"&lt;&gt;"))</f>
        <v>0</v>
      </c>
      <c r="M546" s="379" t="str">
        <f>IF(Tabela2[[#This Row],[UNID.]]&lt;&gt;"",IFERROR(VLOOKUP(Tabela2[[#This Row],[AGRUPADOR]],Lucratividade!$D$4:$O$129,6,0),0),"")</f>
        <v/>
      </c>
      <c r="N546" s="379">
        <f>IF(H546&lt;&gt;"",J546*M546*I546,SUMIFS(N547:N$9844,$F547:$F$9844,"*"&amp;F546&amp;"*",$H547:$H$9844,"&lt;&gt;"))</f>
        <v>0</v>
      </c>
      <c r="O546" s="162" t="str">
        <f>IFERROR((-Tabela2[[#This Row],[CUSTO TOTAL]]+Tabela2[[#This Row],[VENDA TOTAL]])/Tabela2[[#This Row],[VENDA TOTAL]]-PARAMETROS!$C$19,"")</f>
        <v/>
      </c>
      <c r="AA546" s="219">
        <f>SUM(Plan_Orc[[#This Row],[01/jan]:[01/dez]])</f>
        <v>0</v>
      </c>
      <c r="AB546" s="114"/>
      <c r="AC546" s="114"/>
      <c r="AD546" s="114"/>
      <c r="AE546" s="114"/>
      <c r="AF546" s="114"/>
      <c r="AG546" s="114"/>
      <c r="AH546" s="114"/>
      <c r="AI546" s="114"/>
      <c r="AJ546" s="114"/>
      <c r="AK546" s="114"/>
      <c r="AL546" s="114"/>
      <c r="AM546" s="114"/>
    </row>
    <row r="547" spans="2:39" ht="25.2" customHeight="1" x14ac:dyDescent="0.3">
      <c r="B547" s="13" t="str">
        <f t="shared" si="12"/>
        <v/>
      </c>
      <c r="C547" s="18"/>
      <c r="D547" s="19" t="str">
        <f>IF(Tabela2[[#This Row],[AGRUPADOR]]&lt;&gt;"",VLOOKUP(Tabela2[[#This Row],[AGRUPADOR]],Tabela1[],2,0),"")</f>
        <v/>
      </c>
      <c r="E547" s="19" t="str">
        <f>IF(Tabela2[[#This Row],[AGRUPADOR]]&lt;&gt;"",VLOOKUP(Tabela2[[#This Row],[AGRUPADOR]],Tabela1[],4,0),"")</f>
        <v/>
      </c>
      <c r="F547" s="14"/>
      <c r="G547" s="6"/>
      <c r="H547" s="6"/>
      <c r="I547" s="25"/>
      <c r="J547" s="7"/>
      <c r="K547" s="15"/>
      <c r="L547" s="379">
        <f>IF(H547&lt;&gt;"",J547*K547,SUMIFS(L548:L$9844,$F548:$F$9844,"*"&amp;F547&amp;"*",$H548:$H$9844,"&lt;&gt;"))</f>
        <v>0</v>
      </c>
      <c r="M547" s="379" t="str">
        <f>IF(Tabela2[[#This Row],[UNID.]]&lt;&gt;"",IFERROR(VLOOKUP(Tabela2[[#This Row],[AGRUPADOR]],Lucratividade!$D$4:$O$129,6,0),0),"")</f>
        <v/>
      </c>
      <c r="N547" s="379">
        <f>IF(H547&lt;&gt;"",J547*M547*I547,SUMIFS(N548:N$9844,$F548:$F$9844,"*"&amp;F547&amp;"*",$H548:$H$9844,"&lt;&gt;"))</f>
        <v>0</v>
      </c>
      <c r="O547" s="162" t="str">
        <f>IFERROR((-Tabela2[[#This Row],[CUSTO TOTAL]]+Tabela2[[#This Row],[VENDA TOTAL]])/Tabela2[[#This Row],[VENDA TOTAL]]-PARAMETROS!$C$19,"")</f>
        <v/>
      </c>
      <c r="AA547" s="219">
        <f>SUM(Plan_Orc[[#This Row],[01/jan]:[01/dez]])</f>
        <v>0</v>
      </c>
      <c r="AB547" s="114"/>
      <c r="AC547" s="114"/>
      <c r="AD547" s="114"/>
      <c r="AE547" s="114"/>
      <c r="AF547" s="114"/>
      <c r="AG547" s="114"/>
      <c r="AH547" s="114"/>
      <c r="AI547" s="114"/>
      <c r="AJ547" s="114"/>
      <c r="AK547" s="114"/>
      <c r="AL547" s="114"/>
      <c r="AM547" s="114"/>
    </row>
    <row r="548" spans="2:39" ht="25.2" customHeight="1" x14ac:dyDescent="0.3">
      <c r="B548" s="13" t="str">
        <f t="shared" si="12"/>
        <v/>
      </c>
      <c r="C548" s="18"/>
      <c r="D548" s="19" t="str">
        <f>IF(Tabela2[[#This Row],[AGRUPADOR]]&lt;&gt;"",VLOOKUP(Tabela2[[#This Row],[AGRUPADOR]],Tabela1[],2,0),"")</f>
        <v/>
      </c>
      <c r="E548" s="19" t="str">
        <f>IF(Tabela2[[#This Row],[AGRUPADOR]]&lt;&gt;"",VLOOKUP(Tabela2[[#This Row],[AGRUPADOR]],Tabela1[],4,0),"")</f>
        <v/>
      </c>
      <c r="F548" s="14"/>
      <c r="G548" s="6"/>
      <c r="H548" s="6"/>
      <c r="I548" s="25"/>
      <c r="J548" s="7"/>
      <c r="K548" s="15"/>
      <c r="L548" s="379">
        <f>IF(H548&lt;&gt;"",J548*K548,SUMIFS(L549:L$9844,$F549:$F$9844,"*"&amp;F548&amp;"*",$H549:$H$9844,"&lt;&gt;"))</f>
        <v>0</v>
      </c>
      <c r="M548" s="379" t="str">
        <f>IF(Tabela2[[#This Row],[UNID.]]&lt;&gt;"",IFERROR(VLOOKUP(Tabela2[[#This Row],[AGRUPADOR]],Lucratividade!$D$4:$O$129,6,0),0),"")</f>
        <v/>
      </c>
      <c r="N548" s="379">
        <f>IF(H548&lt;&gt;"",J548*M548*I548,SUMIFS(N549:N$9844,$F549:$F$9844,"*"&amp;F548&amp;"*",$H549:$H$9844,"&lt;&gt;"))</f>
        <v>0</v>
      </c>
      <c r="O548" s="162" t="str">
        <f>IFERROR((-Tabela2[[#This Row],[CUSTO TOTAL]]+Tabela2[[#This Row],[VENDA TOTAL]])/Tabela2[[#This Row],[VENDA TOTAL]]-PARAMETROS!$C$19,"")</f>
        <v/>
      </c>
      <c r="AA548" s="219">
        <f>SUM(Plan_Orc[[#This Row],[01/jan]:[01/dez]])</f>
        <v>0</v>
      </c>
      <c r="AB548" s="114"/>
      <c r="AC548" s="114"/>
      <c r="AD548" s="114"/>
      <c r="AE548" s="114"/>
      <c r="AF548" s="114"/>
      <c r="AG548" s="114"/>
      <c r="AH548" s="114"/>
      <c r="AI548" s="114"/>
      <c r="AJ548" s="114"/>
      <c r="AK548" s="114"/>
      <c r="AL548" s="114"/>
      <c r="AM548" s="114"/>
    </row>
    <row r="549" spans="2:39" ht="25.2" customHeight="1" x14ac:dyDescent="0.3">
      <c r="B549" s="13" t="str">
        <f t="shared" si="12"/>
        <v/>
      </c>
      <c r="C549" s="18"/>
      <c r="D549" s="19" t="str">
        <f>IF(Tabela2[[#This Row],[AGRUPADOR]]&lt;&gt;"",VLOOKUP(Tabela2[[#This Row],[AGRUPADOR]],Tabela1[],2,0),"")</f>
        <v/>
      </c>
      <c r="E549" s="19" t="str">
        <f>IF(Tabela2[[#This Row],[AGRUPADOR]]&lt;&gt;"",VLOOKUP(Tabela2[[#This Row],[AGRUPADOR]],Tabela1[],4,0),"")</f>
        <v/>
      </c>
      <c r="F549" s="14"/>
      <c r="G549" s="6"/>
      <c r="H549" s="6"/>
      <c r="I549" s="25"/>
      <c r="J549" s="7"/>
      <c r="K549" s="15"/>
      <c r="L549" s="379">
        <f>IF(H549&lt;&gt;"",J549*K549,SUMIFS(L550:L$9844,$F550:$F$9844,"*"&amp;F549&amp;"*",$H550:$H$9844,"&lt;&gt;"))</f>
        <v>0</v>
      </c>
      <c r="M549" s="379" t="str">
        <f>IF(Tabela2[[#This Row],[UNID.]]&lt;&gt;"",IFERROR(VLOOKUP(Tabela2[[#This Row],[AGRUPADOR]],Lucratividade!$D$4:$O$129,6,0),0),"")</f>
        <v/>
      </c>
      <c r="N549" s="379">
        <f>IF(H549&lt;&gt;"",J549*M549*I549,SUMIFS(N550:N$9844,$F550:$F$9844,"*"&amp;F549&amp;"*",$H550:$H$9844,"&lt;&gt;"))</f>
        <v>0</v>
      </c>
      <c r="O549" s="162" t="str">
        <f>IFERROR((-Tabela2[[#This Row],[CUSTO TOTAL]]+Tabela2[[#This Row],[VENDA TOTAL]])/Tabela2[[#This Row],[VENDA TOTAL]]-PARAMETROS!$C$19,"")</f>
        <v/>
      </c>
      <c r="AA549" s="219">
        <f>SUM(Plan_Orc[[#This Row],[01/jan]:[01/dez]])</f>
        <v>0</v>
      </c>
      <c r="AB549" s="114"/>
      <c r="AC549" s="114"/>
      <c r="AD549" s="114"/>
      <c r="AE549" s="114"/>
      <c r="AF549" s="114"/>
      <c r="AG549" s="114"/>
      <c r="AH549" s="114"/>
      <c r="AI549" s="114"/>
      <c r="AJ549" s="114"/>
      <c r="AK549" s="114"/>
      <c r="AL549" s="114"/>
      <c r="AM549" s="114"/>
    </row>
    <row r="550" spans="2:39" ht="25.2" customHeight="1" x14ac:dyDescent="0.3">
      <c r="B550" s="13" t="str">
        <f t="shared" si="12"/>
        <v/>
      </c>
      <c r="C550" s="18"/>
      <c r="D550" s="19" t="str">
        <f>IF(Tabela2[[#This Row],[AGRUPADOR]]&lt;&gt;"",VLOOKUP(Tabela2[[#This Row],[AGRUPADOR]],Tabela1[],2,0),"")</f>
        <v/>
      </c>
      <c r="E550" s="19" t="str">
        <f>IF(Tabela2[[#This Row],[AGRUPADOR]]&lt;&gt;"",VLOOKUP(Tabela2[[#This Row],[AGRUPADOR]],Tabela1[],4,0),"")</f>
        <v/>
      </c>
      <c r="F550" s="14"/>
      <c r="G550" s="6"/>
      <c r="H550" s="6"/>
      <c r="I550" s="25"/>
      <c r="J550" s="7"/>
      <c r="K550" s="15"/>
      <c r="L550" s="379">
        <f>IF(H550&lt;&gt;"",J550*K550,SUMIFS(L551:L$9844,$F551:$F$9844,"*"&amp;F550&amp;"*",$H551:$H$9844,"&lt;&gt;"))</f>
        <v>0</v>
      </c>
      <c r="M550" s="379" t="str">
        <f>IF(Tabela2[[#This Row],[UNID.]]&lt;&gt;"",IFERROR(VLOOKUP(Tabela2[[#This Row],[AGRUPADOR]],Lucratividade!$D$4:$O$129,6,0),0),"")</f>
        <v/>
      </c>
      <c r="N550" s="379">
        <f>IF(H550&lt;&gt;"",J550*M550*I550,SUMIFS(N551:N$9844,$F551:$F$9844,"*"&amp;F550&amp;"*",$H551:$H$9844,"&lt;&gt;"))</f>
        <v>0</v>
      </c>
      <c r="O550" s="162" t="str">
        <f>IFERROR((-Tabela2[[#This Row],[CUSTO TOTAL]]+Tabela2[[#This Row],[VENDA TOTAL]])/Tabela2[[#This Row],[VENDA TOTAL]]-PARAMETROS!$C$19,"")</f>
        <v/>
      </c>
      <c r="AA550" s="219">
        <f>SUM(Plan_Orc[[#This Row],[01/jan]:[01/dez]])</f>
        <v>0</v>
      </c>
      <c r="AB550" s="114"/>
      <c r="AC550" s="114"/>
      <c r="AD550" s="114"/>
      <c r="AE550" s="114"/>
      <c r="AF550" s="114"/>
      <c r="AG550" s="114"/>
      <c r="AH550" s="114"/>
      <c r="AI550" s="114"/>
      <c r="AJ550" s="114"/>
      <c r="AK550" s="114"/>
      <c r="AL550" s="114"/>
      <c r="AM550" s="114"/>
    </row>
    <row r="551" spans="2:39" ht="25.2" customHeight="1" x14ac:dyDescent="0.3">
      <c r="B551" s="13" t="str">
        <f t="shared" si="12"/>
        <v/>
      </c>
      <c r="C551" s="18"/>
      <c r="D551" s="19" t="str">
        <f>IF(Tabela2[[#This Row],[AGRUPADOR]]&lt;&gt;"",VLOOKUP(Tabela2[[#This Row],[AGRUPADOR]],Tabela1[],2,0),"")</f>
        <v/>
      </c>
      <c r="E551" s="19" t="str">
        <f>IF(Tabela2[[#This Row],[AGRUPADOR]]&lt;&gt;"",VLOOKUP(Tabela2[[#This Row],[AGRUPADOR]],Tabela1[],4,0),"")</f>
        <v/>
      </c>
      <c r="F551" s="14"/>
      <c r="G551" s="6"/>
      <c r="H551" s="6"/>
      <c r="I551" s="25"/>
      <c r="J551" s="7"/>
      <c r="K551" s="15"/>
      <c r="L551" s="379">
        <f>IF(H551&lt;&gt;"",J551*K551,SUMIFS(L552:L$9844,$F552:$F$9844,"*"&amp;F551&amp;"*",$H552:$H$9844,"&lt;&gt;"))</f>
        <v>0</v>
      </c>
      <c r="M551" s="379" t="str">
        <f>IF(Tabela2[[#This Row],[UNID.]]&lt;&gt;"",IFERROR(VLOOKUP(Tabela2[[#This Row],[AGRUPADOR]],Lucratividade!$D$4:$O$129,6,0),0),"")</f>
        <v/>
      </c>
      <c r="N551" s="379">
        <f>IF(H551&lt;&gt;"",J551*M551*I551,SUMIFS(N552:N$9844,$F552:$F$9844,"*"&amp;F551&amp;"*",$H552:$H$9844,"&lt;&gt;"))</f>
        <v>0</v>
      </c>
      <c r="O551" s="162" t="str">
        <f>IFERROR((-Tabela2[[#This Row],[CUSTO TOTAL]]+Tabela2[[#This Row],[VENDA TOTAL]])/Tabela2[[#This Row],[VENDA TOTAL]]-PARAMETROS!$C$19,"")</f>
        <v/>
      </c>
      <c r="AA551" s="219">
        <f>SUM(Plan_Orc[[#This Row],[01/jan]:[01/dez]])</f>
        <v>0</v>
      </c>
      <c r="AB551" s="114"/>
      <c r="AC551" s="114"/>
      <c r="AD551" s="114"/>
      <c r="AE551" s="114"/>
      <c r="AF551" s="114"/>
      <c r="AG551" s="114"/>
      <c r="AH551" s="114"/>
      <c r="AI551" s="114"/>
      <c r="AJ551" s="114"/>
      <c r="AK551" s="114"/>
      <c r="AL551" s="114"/>
      <c r="AM551" s="114"/>
    </row>
    <row r="552" spans="2:39" ht="25.2" customHeight="1" x14ac:dyDescent="0.3">
      <c r="B552" s="13" t="str">
        <f t="shared" si="12"/>
        <v/>
      </c>
      <c r="C552" s="18"/>
      <c r="D552" s="19" t="str">
        <f>IF(Tabela2[[#This Row],[AGRUPADOR]]&lt;&gt;"",VLOOKUP(Tabela2[[#This Row],[AGRUPADOR]],Tabela1[],2,0),"")</f>
        <v/>
      </c>
      <c r="E552" s="19" t="str">
        <f>IF(Tabela2[[#This Row],[AGRUPADOR]]&lt;&gt;"",VLOOKUP(Tabela2[[#This Row],[AGRUPADOR]],Tabela1[],4,0),"")</f>
        <v/>
      </c>
      <c r="F552" s="14"/>
      <c r="G552" s="6"/>
      <c r="H552" s="6"/>
      <c r="I552" s="25"/>
      <c r="J552" s="7"/>
      <c r="K552" s="15"/>
      <c r="L552" s="379">
        <f>IF(H552&lt;&gt;"",J552*K552,SUMIFS(L553:L$9844,$F553:$F$9844,"*"&amp;F552&amp;"*",$H553:$H$9844,"&lt;&gt;"))</f>
        <v>0</v>
      </c>
      <c r="M552" s="379" t="str">
        <f>IF(Tabela2[[#This Row],[UNID.]]&lt;&gt;"",IFERROR(VLOOKUP(Tabela2[[#This Row],[AGRUPADOR]],Lucratividade!$D$4:$O$129,6,0),0),"")</f>
        <v/>
      </c>
      <c r="N552" s="379">
        <f>IF(H552&lt;&gt;"",J552*M552*I552,SUMIFS(N553:N$9844,$F553:$F$9844,"*"&amp;F552&amp;"*",$H553:$H$9844,"&lt;&gt;"))</f>
        <v>0</v>
      </c>
      <c r="O552" s="162" t="str">
        <f>IFERROR((-Tabela2[[#This Row],[CUSTO TOTAL]]+Tabela2[[#This Row],[VENDA TOTAL]])/Tabela2[[#This Row],[VENDA TOTAL]]-PARAMETROS!$C$19,"")</f>
        <v/>
      </c>
      <c r="AA552" s="219">
        <f>SUM(Plan_Orc[[#This Row],[01/jan]:[01/dez]])</f>
        <v>0</v>
      </c>
      <c r="AB552" s="114"/>
      <c r="AC552" s="114"/>
      <c r="AD552" s="114"/>
      <c r="AE552" s="114"/>
      <c r="AF552" s="114"/>
      <c r="AG552" s="114"/>
      <c r="AH552" s="114"/>
      <c r="AI552" s="114"/>
      <c r="AJ552" s="114"/>
      <c r="AK552" s="114"/>
      <c r="AL552" s="114"/>
      <c r="AM552" s="114"/>
    </row>
    <row r="553" spans="2:39" ht="25.2" customHeight="1" x14ac:dyDescent="0.3">
      <c r="B553" s="13" t="str">
        <f t="shared" si="12"/>
        <v/>
      </c>
      <c r="C553" s="18"/>
      <c r="D553" s="19" t="str">
        <f>IF(Tabela2[[#This Row],[AGRUPADOR]]&lt;&gt;"",VLOOKUP(Tabela2[[#This Row],[AGRUPADOR]],Tabela1[],2,0),"")</f>
        <v/>
      </c>
      <c r="E553" s="19" t="str">
        <f>IF(Tabela2[[#This Row],[AGRUPADOR]]&lt;&gt;"",VLOOKUP(Tabela2[[#This Row],[AGRUPADOR]],Tabela1[],4,0),"")</f>
        <v/>
      </c>
      <c r="F553" s="14"/>
      <c r="G553" s="6"/>
      <c r="H553" s="6"/>
      <c r="I553" s="25"/>
      <c r="J553" s="7"/>
      <c r="K553" s="15"/>
      <c r="L553" s="379">
        <f>IF(H553&lt;&gt;"",J553*K553,SUMIFS(L554:L$9844,$F554:$F$9844,"*"&amp;F553&amp;"*",$H554:$H$9844,"&lt;&gt;"))</f>
        <v>0</v>
      </c>
      <c r="M553" s="379" t="str">
        <f>IF(Tabela2[[#This Row],[UNID.]]&lt;&gt;"",IFERROR(VLOOKUP(Tabela2[[#This Row],[AGRUPADOR]],Lucratividade!$D$4:$O$129,6,0),0),"")</f>
        <v/>
      </c>
      <c r="N553" s="379">
        <f>IF(H553&lt;&gt;"",J553*M553*I553,SUMIFS(N554:N$9844,$F554:$F$9844,"*"&amp;F553&amp;"*",$H554:$H$9844,"&lt;&gt;"))</f>
        <v>0</v>
      </c>
      <c r="O553" s="162" t="str">
        <f>IFERROR((-Tabela2[[#This Row],[CUSTO TOTAL]]+Tabela2[[#This Row],[VENDA TOTAL]])/Tabela2[[#This Row],[VENDA TOTAL]]-PARAMETROS!$C$19,"")</f>
        <v/>
      </c>
      <c r="AA553" s="218">
        <f>SUM(Plan_Orc[[#This Row],[01/jan]:[01/dez]])</f>
        <v>0</v>
      </c>
      <c r="AB553" s="113"/>
      <c r="AC553" s="113"/>
      <c r="AD553" s="113"/>
      <c r="AE553" s="113"/>
      <c r="AF553" s="113"/>
      <c r="AG553" s="113"/>
      <c r="AH553" s="113"/>
      <c r="AI553" s="113"/>
      <c r="AJ553" s="113"/>
      <c r="AK553" s="113"/>
      <c r="AL553" s="113"/>
      <c r="AM553" s="113"/>
    </row>
    <row r="554" spans="2:39" ht="25.2" customHeight="1" x14ac:dyDescent="0.3">
      <c r="B554" s="13" t="str">
        <f t="shared" si="12"/>
        <v/>
      </c>
      <c r="C554" s="18"/>
      <c r="D554" s="19" t="str">
        <f>IF(Tabela2[[#This Row],[AGRUPADOR]]&lt;&gt;"",VLOOKUP(Tabela2[[#This Row],[AGRUPADOR]],Tabela1[],2,0),"")</f>
        <v/>
      </c>
      <c r="E554" s="19" t="str">
        <f>IF(Tabela2[[#This Row],[AGRUPADOR]]&lt;&gt;"",VLOOKUP(Tabela2[[#This Row],[AGRUPADOR]],Tabela1[],4,0),"")</f>
        <v/>
      </c>
      <c r="F554" s="14"/>
      <c r="G554" s="6"/>
      <c r="H554" s="6"/>
      <c r="I554" s="25"/>
      <c r="J554" s="7"/>
      <c r="K554" s="15"/>
      <c r="L554" s="379">
        <f>IF(H554&lt;&gt;"",J554*K554,SUMIFS(L555:L$9844,$F555:$F$9844,"*"&amp;F554&amp;"*",$H555:$H$9844,"&lt;&gt;"))</f>
        <v>0</v>
      </c>
      <c r="M554" s="379" t="str">
        <f>IF(Tabela2[[#This Row],[UNID.]]&lt;&gt;"",IFERROR(VLOOKUP(Tabela2[[#This Row],[AGRUPADOR]],Lucratividade!$D$4:$O$129,6,0),0),"")</f>
        <v/>
      </c>
      <c r="N554" s="379">
        <f>IF(H554&lt;&gt;"",J554*M554*I554,SUMIFS(N555:N$9844,$F555:$F$9844,"*"&amp;F554&amp;"*",$H555:$H$9844,"&lt;&gt;"))</f>
        <v>0</v>
      </c>
      <c r="O554" s="162" t="str">
        <f>IFERROR((-Tabela2[[#This Row],[CUSTO TOTAL]]+Tabela2[[#This Row],[VENDA TOTAL]])/Tabela2[[#This Row],[VENDA TOTAL]]-PARAMETROS!$C$19,"")</f>
        <v/>
      </c>
      <c r="AA554" s="219">
        <f>SUM(Plan_Orc[[#This Row],[01/jan]:[01/dez]])</f>
        <v>0</v>
      </c>
      <c r="AB554" s="114"/>
      <c r="AC554" s="114"/>
      <c r="AD554" s="114"/>
      <c r="AE554" s="114"/>
      <c r="AF554" s="114"/>
      <c r="AG554" s="114"/>
      <c r="AH554" s="114"/>
      <c r="AI554" s="114"/>
      <c r="AJ554" s="114"/>
      <c r="AK554" s="114"/>
      <c r="AL554" s="114"/>
      <c r="AM554" s="114"/>
    </row>
    <row r="555" spans="2:39" ht="25.2" customHeight="1" x14ac:dyDescent="0.3">
      <c r="B555" s="13" t="str">
        <f t="shared" si="12"/>
        <v/>
      </c>
      <c r="C555" s="18"/>
      <c r="D555" s="19" t="str">
        <f>IF(Tabela2[[#This Row],[AGRUPADOR]]&lt;&gt;"",VLOOKUP(Tabela2[[#This Row],[AGRUPADOR]],Tabela1[],2,0),"")</f>
        <v/>
      </c>
      <c r="E555" s="19" t="str">
        <f>IF(Tabela2[[#This Row],[AGRUPADOR]]&lt;&gt;"",VLOOKUP(Tabela2[[#This Row],[AGRUPADOR]],Tabela1[],4,0),"")</f>
        <v/>
      </c>
      <c r="F555" s="14"/>
      <c r="G555" s="6"/>
      <c r="H555" s="6"/>
      <c r="I555" s="25"/>
      <c r="J555" s="7"/>
      <c r="K555" s="15"/>
      <c r="L555" s="379">
        <f>IF(H555&lt;&gt;"",J555*K555,SUMIFS(L556:L$9844,$F556:$F$9844,"*"&amp;F555&amp;"*",$H556:$H$9844,"&lt;&gt;"))</f>
        <v>0</v>
      </c>
      <c r="M555" s="379" t="str">
        <f>IF(Tabela2[[#This Row],[UNID.]]&lt;&gt;"",IFERROR(VLOOKUP(Tabela2[[#This Row],[AGRUPADOR]],Lucratividade!$D$4:$O$129,6,0),0),"")</f>
        <v/>
      </c>
      <c r="N555" s="379">
        <f>IF(H555&lt;&gt;"",J555*M555*I555,SUMIFS(N556:N$9844,$F556:$F$9844,"*"&amp;F555&amp;"*",$H556:$H$9844,"&lt;&gt;"))</f>
        <v>0</v>
      </c>
      <c r="O555" s="162" t="str">
        <f>IFERROR((-Tabela2[[#This Row],[CUSTO TOTAL]]+Tabela2[[#This Row],[VENDA TOTAL]])/Tabela2[[#This Row],[VENDA TOTAL]]-PARAMETROS!$C$19,"")</f>
        <v/>
      </c>
      <c r="AA555" s="219">
        <f>SUM(Plan_Orc[[#This Row],[01/jan]:[01/dez]])</f>
        <v>0</v>
      </c>
      <c r="AB555" s="114"/>
      <c r="AC555" s="114"/>
      <c r="AD555" s="114"/>
      <c r="AE555" s="114"/>
      <c r="AF555" s="114"/>
      <c r="AG555" s="114"/>
      <c r="AH555" s="114"/>
      <c r="AI555" s="114"/>
      <c r="AJ555" s="114"/>
      <c r="AK555" s="114"/>
      <c r="AL555" s="114"/>
      <c r="AM555" s="114"/>
    </row>
    <row r="556" spans="2:39" ht="25.2" customHeight="1" x14ac:dyDescent="0.3">
      <c r="B556" s="13" t="str">
        <f t="shared" si="12"/>
        <v/>
      </c>
      <c r="C556" s="18"/>
      <c r="D556" s="19" t="str">
        <f>IF(Tabela2[[#This Row],[AGRUPADOR]]&lt;&gt;"",VLOOKUP(Tabela2[[#This Row],[AGRUPADOR]],Tabela1[],2,0),"")</f>
        <v/>
      </c>
      <c r="E556" s="19" t="str">
        <f>IF(Tabela2[[#This Row],[AGRUPADOR]]&lt;&gt;"",VLOOKUP(Tabela2[[#This Row],[AGRUPADOR]],Tabela1[],4,0),"")</f>
        <v/>
      </c>
      <c r="F556" s="14"/>
      <c r="G556" s="6"/>
      <c r="H556" s="6"/>
      <c r="I556" s="25"/>
      <c r="J556" s="7"/>
      <c r="K556" s="15"/>
      <c r="L556" s="379">
        <f>IF(H556&lt;&gt;"",J556*K556,SUMIFS(L557:L$9844,$F557:$F$9844,"*"&amp;F556&amp;"*",$H557:$H$9844,"&lt;&gt;"))</f>
        <v>0</v>
      </c>
      <c r="M556" s="379" t="str">
        <f>IF(Tabela2[[#This Row],[UNID.]]&lt;&gt;"",IFERROR(VLOOKUP(Tabela2[[#This Row],[AGRUPADOR]],Lucratividade!$D$4:$O$129,6,0),0),"")</f>
        <v/>
      </c>
      <c r="N556" s="379">
        <f>IF(H556&lt;&gt;"",J556*M556*I556,SUMIFS(N557:N$9844,$F557:$F$9844,"*"&amp;F556&amp;"*",$H557:$H$9844,"&lt;&gt;"))</f>
        <v>0</v>
      </c>
      <c r="O556" s="162" t="str">
        <f>IFERROR((-Tabela2[[#This Row],[CUSTO TOTAL]]+Tabela2[[#This Row],[VENDA TOTAL]])/Tabela2[[#This Row],[VENDA TOTAL]]-PARAMETROS!$C$19,"")</f>
        <v/>
      </c>
      <c r="AA556" s="219">
        <f>SUM(Plan_Orc[[#This Row],[01/jan]:[01/dez]])</f>
        <v>0</v>
      </c>
      <c r="AB556" s="114"/>
      <c r="AC556" s="114"/>
      <c r="AD556" s="114"/>
      <c r="AE556" s="114"/>
      <c r="AF556" s="114"/>
      <c r="AG556" s="114"/>
      <c r="AH556" s="114"/>
      <c r="AI556" s="114"/>
      <c r="AJ556" s="114"/>
      <c r="AK556" s="114"/>
      <c r="AL556" s="114"/>
      <c r="AM556" s="114"/>
    </row>
    <row r="557" spans="2:39" ht="25.2" customHeight="1" x14ac:dyDescent="0.3">
      <c r="B557" s="13" t="str">
        <f t="shared" si="12"/>
        <v/>
      </c>
      <c r="C557" s="18"/>
      <c r="D557" s="19" t="str">
        <f>IF(Tabela2[[#This Row],[AGRUPADOR]]&lt;&gt;"",VLOOKUP(Tabela2[[#This Row],[AGRUPADOR]],Tabela1[],2,0),"")</f>
        <v/>
      </c>
      <c r="E557" s="19" t="str">
        <f>IF(Tabela2[[#This Row],[AGRUPADOR]]&lt;&gt;"",VLOOKUP(Tabela2[[#This Row],[AGRUPADOR]],Tabela1[],4,0),"")</f>
        <v/>
      </c>
      <c r="F557" s="14"/>
      <c r="G557" s="6"/>
      <c r="H557" s="6"/>
      <c r="I557" s="25"/>
      <c r="J557" s="7"/>
      <c r="K557" s="15"/>
      <c r="L557" s="379">
        <f>IF(H557&lt;&gt;"",J557*K557,SUMIFS(L558:L$9844,$F558:$F$9844,"*"&amp;F557&amp;"*",$H558:$H$9844,"&lt;&gt;"))</f>
        <v>0</v>
      </c>
      <c r="M557" s="379" t="str">
        <f>IF(Tabela2[[#This Row],[UNID.]]&lt;&gt;"",IFERROR(VLOOKUP(Tabela2[[#This Row],[AGRUPADOR]],Lucratividade!$D$4:$O$129,6,0),0),"")</f>
        <v/>
      </c>
      <c r="N557" s="379">
        <f>IF(H557&lt;&gt;"",J557*M557*I557,SUMIFS(N558:N$9844,$F558:$F$9844,"*"&amp;F557&amp;"*",$H558:$H$9844,"&lt;&gt;"))</f>
        <v>0</v>
      </c>
      <c r="O557" s="162" t="str">
        <f>IFERROR((-Tabela2[[#This Row],[CUSTO TOTAL]]+Tabela2[[#This Row],[VENDA TOTAL]])/Tabela2[[#This Row],[VENDA TOTAL]]-PARAMETROS!$C$19,"")</f>
        <v/>
      </c>
      <c r="AA557" s="219">
        <f>SUM(Plan_Orc[[#This Row],[01/jan]:[01/dez]])</f>
        <v>0</v>
      </c>
      <c r="AB557" s="114"/>
      <c r="AC557" s="114"/>
      <c r="AD557" s="114"/>
      <c r="AE557" s="114"/>
      <c r="AF557" s="114"/>
      <c r="AG557" s="114"/>
      <c r="AH557" s="114"/>
      <c r="AI557" s="114"/>
      <c r="AJ557" s="114"/>
      <c r="AK557" s="114"/>
      <c r="AL557" s="114"/>
      <c r="AM557" s="114"/>
    </row>
    <row r="558" spans="2:39" ht="25.2" customHeight="1" x14ac:dyDescent="0.3">
      <c r="B558" s="13" t="str">
        <f t="shared" si="12"/>
        <v/>
      </c>
      <c r="C558" s="18"/>
      <c r="D558" s="19" t="str">
        <f>IF(Tabela2[[#This Row],[AGRUPADOR]]&lt;&gt;"",VLOOKUP(Tabela2[[#This Row],[AGRUPADOR]],Tabela1[],2,0),"")</f>
        <v/>
      </c>
      <c r="E558" s="19" t="str">
        <f>IF(Tabela2[[#This Row],[AGRUPADOR]]&lt;&gt;"",VLOOKUP(Tabela2[[#This Row],[AGRUPADOR]],Tabela1[],4,0),"")</f>
        <v/>
      </c>
      <c r="F558" s="14"/>
      <c r="G558" s="6"/>
      <c r="H558" s="6"/>
      <c r="I558" s="25"/>
      <c r="J558" s="7"/>
      <c r="K558" s="15"/>
      <c r="L558" s="379">
        <f>IF(H558&lt;&gt;"",J558*K558,SUMIFS(L559:L$9844,$F559:$F$9844,"*"&amp;F558&amp;"*",$H559:$H$9844,"&lt;&gt;"))</f>
        <v>0</v>
      </c>
      <c r="M558" s="379" t="str">
        <f>IF(Tabela2[[#This Row],[UNID.]]&lt;&gt;"",IFERROR(VLOOKUP(Tabela2[[#This Row],[AGRUPADOR]],Lucratividade!$D$4:$O$129,6,0),0),"")</f>
        <v/>
      </c>
      <c r="N558" s="379">
        <f>IF(H558&lt;&gt;"",J558*M558*I558,SUMIFS(N559:N$9844,$F559:$F$9844,"*"&amp;F558&amp;"*",$H559:$H$9844,"&lt;&gt;"))</f>
        <v>0</v>
      </c>
      <c r="O558" s="162" t="str">
        <f>IFERROR((-Tabela2[[#This Row],[CUSTO TOTAL]]+Tabela2[[#This Row],[VENDA TOTAL]])/Tabela2[[#This Row],[VENDA TOTAL]]-PARAMETROS!$C$19,"")</f>
        <v/>
      </c>
      <c r="AA558" s="219">
        <f>SUM(Plan_Orc[[#This Row],[01/jan]:[01/dez]])</f>
        <v>0</v>
      </c>
      <c r="AB558" s="114"/>
      <c r="AC558" s="114"/>
      <c r="AD558" s="114"/>
      <c r="AE558" s="114"/>
      <c r="AF558" s="114"/>
      <c r="AG558" s="114"/>
      <c r="AH558" s="114"/>
      <c r="AI558" s="114"/>
      <c r="AJ558" s="114"/>
      <c r="AK558" s="114"/>
      <c r="AL558" s="114"/>
      <c r="AM558" s="114"/>
    </row>
    <row r="559" spans="2:39" ht="25.2" customHeight="1" x14ac:dyDescent="0.3">
      <c r="B559" s="13" t="str">
        <f t="shared" si="12"/>
        <v/>
      </c>
      <c r="C559" s="18"/>
      <c r="D559" s="19" t="str">
        <f>IF(Tabela2[[#This Row],[AGRUPADOR]]&lt;&gt;"",VLOOKUP(Tabela2[[#This Row],[AGRUPADOR]],Tabela1[],2,0),"")</f>
        <v/>
      </c>
      <c r="E559" s="19" t="str">
        <f>IF(Tabela2[[#This Row],[AGRUPADOR]]&lt;&gt;"",VLOOKUP(Tabela2[[#This Row],[AGRUPADOR]],Tabela1[],4,0),"")</f>
        <v/>
      </c>
      <c r="F559" s="14"/>
      <c r="G559" s="6"/>
      <c r="H559" s="6"/>
      <c r="I559" s="25"/>
      <c r="J559" s="7"/>
      <c r="K559" s="15"/>
      <c r="L559" s="379">
        <f>IF(H559&lt;&gt;"",J559*K559,SUMIFS(L560:L$9844,$F560:$F$9844,"*"&amp;F559&amp;"*",$H560:$H$9844,"&lt;&gt;"))</f>
        <v>0</v>
      </c>
      <c r="M559" s="379" t="str">
        <f>IF(Tabela2[[#This Row],[UNID.]]&lt;&gt;"",IFERROR(VLOOKUP(Tabela2[[#This Row],[AGRUPADOR]],Lucratividade!$D$4:$O$129,6,0),0),"")</f>
        <v/>
      </c>
      <c r="N559" s="379">
        <f>IF(H559&lt;&gt;"",J559*M559*I559,SUMIFS(N560:N$9844,$F560:$F$9844,"*"&amp;F559&amp;"*",$H560:$H$9844,"&lt;&gt;"))</f>
        <v>0</v>
      </c>
      <c r="O559" s="162" t="str">
        <f>IFERROR((-Tabela2[[#This Row],[CUSTO TOTAL]]+Tabela2[[#This Row],[VENDA TOTAL]])/Tabela2[[#This Row],[VENDA TOTAL]]-PARAMETROS!$C$19,"")</f>
        <v/>
      </c>
      <c r="AA559" s="219">
        <f>SUM(Plan_Orc[[#This Row],[01/jan]:[01/dez]])</f>
        <v>0</v>
      </c>
      <c r="AB559" s="114"/>
      <c r="AC559" s="114"/>
      <c r="AD559" s="114"/>
      <c r="AE559" s="114"/>
      <c r="AF559" s="114"/>
      <c r="AG559" s="114"/>
      <c r="AH559" s="114"/>
      <c r="AI559" s="114"/>
      <c r="AJ559" s="114"/>
      <c r="AK559" s="114"/>
      <c r="AL559" s="114"/>
      <c r="AM559" s="114"/>
    </row>
    <row r="560" spans="2:39" ht="25.2" customHeight="1" x14ac:dyDescent="0.3">
      <c r="B560" s="13" t="str">
        <f t="shared" si="12"/>
        <v/>
      </c>
      <c r="C560" s="18"/>
      <c r="D560" s="19" t="str">
        <f>IF(Tabela2[[#This Row],[AGRUPADOR]]&lt;&gt;"",VLOOKUP(Tabela2[[#This Row],[AGRUPADOR]],Tabela1[],2,0),"")</f>
        <v/>
      </c>
      <c r="E560" s="19" t="str">
        <f>IF(Tabela2[[#This Row],[AGRUPADOR]]&lt;&gt;"",VLOOKUP(Tabela2[[#This Row],[AGRUPADOR]],Tabela1[],4,0),"")</f>
        <v/>
      </c>
      <c r="F560" s="14"/>
      <c r="G560" s="6"/>
      <c r="H560" s="6"/>
      <c r="I560" s="25"/>
      <c r="J560" s="7"/>
      <c r="K560" s="15"/>
      <c r="L560" s="379">
        <f>IF(H560&lt;&gt;"",J560*K560,SUMIFS(L561:L$9844,$F561:$F$9844,"*"&amp;F560&amp;"*",$H561:$H$9844,"&lt;&gt;"))</f>
        <v>0</v>
      </c>
      <c r="M560" s="379" t="str">
        <f>IF(Tabela2[[#This Row],[UNID.]]&lt;&gt;"",IFERROR(VLOOKUP(Tabela2[[#This Row],[AGRUPADOR]],Lucratividade!$D$4:$O$129,6,0),0),"")</f>
        <v/>
      </c>
      <c r="N560" s="379">
        <f>IF(H560&lt;&gt;"",J560*M560*I560,SUMIFS(N561:N$9844,$F561:$F$9844,"*"&amp;F560&amp;"*",$H561:$H$9844,"&lt;&gt;"))</f>
        <v>0</v>
      </c>
      <c r="O560" s="162" t="str">
        <f>IFERROR((-Tabela2[[#This Row],[CUSTO TOTAL]]+Tabela2[[#This Row],[VENDA TOTAL]])/Tabela2[[#This Row],[VENDA TOTAL]]-PARAMETROS!$C$19,"")</f>
        <v/>
      </c>
      <c r="AA560" s="219">
        <f>SUM(Plan_Orc[[#This Row],[01/jan]:[01/dez]])</f>
        <v>0</v>
      </c>
      <c r="AB560" s="114"/>
      <c r="AC560" s="114"/>
      <c r="AD560" s="114"/>
      <c r="AE560" s="114"/>
      <c r="AF560" s="114"/>
      <c r="AG560" s="114"/>
      <c r="AH560" s="114"/>
      <c r="AI560" s="114"/>
      <c r="AJ560" s="114"/>
      <c r="AK560" s="114"/>
      <c r="AL560" s="114"/>
      <c r="AM560" s="114"/>
    </row>
    <row r="561" spans="2:39" ht="25.2" customHeight="1" x14ac:dyDescent="0.3">
      <c r="B561" s="13" t="str">
        <f t="shared" si="12"/>
        <v/>
      </c>
      <c r="C561" s="18"/>
      <c r="D561" s="19" t="str">
        <f>IF(Tabela2[[#This Row],[AGRUPADOR]]&lt;&gt;"",VLOOKUP(Tabela2[[#This Row],[AGRUPADOR]],Tabela1[],2,0),"")</f>
        <v/>
      </c>
      <c r="E561" s="19" t="str">
        <f>IF(Tabela2[[#This Row],[AGRUPADOR]]&lt;&gt;"",VLOOKUP(Tabela2[[#This Row],[AGRUPADOR]],Tabela1[],4,0),"")</f>
        <v/>
      </c>
      <c r="F561" s="14"/>
      <c r="G561" s="6"/>
      <c r="H561" s="6"/>
      <c r="I561" s="25"/>
      <c r="J561" s="7"/>
      <c r="K561" s="15"/>
      <c r="L561" s="379">
        <f>IF(H561&lt;&gt;"",J561*K561,SUMIFS(L562:L$9844,$F562:$F$9844,"*"&amp;F561&amp;"*",$H562:$H$9844,"&lt;&gt;"))</f>
        <v>0</v>
      </c>
      <c r="M561" s="379" t="str">
        <f>IF(Tabela2[[#This Row],[UNID.]]&lt;&gt;"",IFERROR(VLOOKUP(Tabela2[[#This Row],[AGRUPADOR]],Lucratividade!$D$4:$O$129,6,0),0),"")</f>
        <v/>
      </c>
      <c r="N561" s="379">
        <f>IF(H561&lt;&gt;"",J561*M561*I561,SUMIFS(N562:N$9844,$F562:$F$9844,"*"&amp;F561&amp;"*",$H562:$H$9844,"&lt;&gt;"))</f>
        <v>0</v>
      </c>
      <c r="O561" s="162" t="str">
        <f>IFERROR((-Tabela2[[#This Row],[CUSTO TOTAL]]+Tabela2[[#This Row],[VENDA TOTAL]])/Tabela2[[#This Row],[VENDA TOTAL]]-PARAMETROS!$C$19,"")</f>
        <v/>
      </c>
      <c r="AA561" s="219">
        <f>SUM(Plan_Orc[[#This Row],[01/jan]:[01/dez]])</f>
        <v>0</v>
      </c>
      <c r="AB561" s="114"/>
      <c r="AC561" s="114"/>
      <c r="AD561" s="114"/>
      <c r="AE561" s="114"/>
      <c r="AF561" s="114"/>
      <c r="AG561" s="114"/>
      <c r="AH561" s="114"/>
      <c r="AI561" s="114"/>
      <c r="AJ561" s="114"/>
      <c r="AK561" s="114"/>
      <c r="AL561" s="114"/>
      <c r="AM561" s="114"/>
    </row>
    <row r="562" spans="2:39" ht="25.2" customHeight="1" x14ac:dyDescent="0.3">
      <c r="B562" s="13" t="str">
        <f t="shared" si="12"/>
        <v/>
      </c>
      <c r="C562" s="18"/>
      <c r="D562" s="19" t="str">
        <f>IF(Tabela2[[#This Row],[AGRUPADOR]]&lt;&gt;"",VLOOKUP(Tabela2[[#This Row],[AGRUPADOR]],Tabela1[],2,0),"")</f>
        <v/>
      </c>
      <c r="E562" s="19" t="str">
        <f>IF(Tabela2[[#This Row],[AGRUPADOR]]&lt;&gt;"",VLOOKUP(Tabela2[[#This Row],[AGRUPADOR]],Tabela1[],4,0),"")</f>
        <v/>
      </c>
      <c r="F562" s="14"/>
      <c r="G562" s="6"/>
      <c r="H562" s="6"/>
      <c r="I562" s="25"/>
      <c r="J562" s="7"/>
      <c r="K562" s="15"/>
      <c r="L562" s="379">
        <f>IF(H562&lt;&gt;"",J562*K562,SUMIFS(L563:L$9844,$F563:$F$9844,"*"&amp;F562&amp;"*",$H563:$H$9844,"&lt;&gt;"))</f>
        <v>0</v>
      </c>
      <c r="M562" s="379" t="str">
        <f>IF(Tabela2[[#This Row],[UNID.]]&lt;&gt;"",IFERROR(VLOOKUP(Tabela2[[#This Row],[AGRUPADOR]],Lucratividade!$D$4:$O$129,6,0),0),"")</f>
        <v/>
      </c>
      <c r="N562" s="379">
        <f>IF(H562&lt;&gt;"",J562*M562*I562,SUMIFS(N563:N$9844,$F563:$F$9844,"*"&amp;F562&amp;"*",$H563:$H$9844,"&lt;&gt;"))</f>
        <v>0</v>
      </c>
      <c r="O562" s="162" t="str">
        <f>IFERROR((-Tabela2[[#This Row],[CUSTO TOTAL]]+Tabela2[[#This Row],[VENDA TOTAL]])/Tabela2[[#This Row],[VENDA TOTAL]]-PARAMETROS!$C$19,"")</f>
        <v/>
      </c>
      <c r="AA562" s="219">
        <f>SUM(Plan_Orc[[#This Row],[01/jan]:[01/dez]])</f>
        <v>0</v>
      </c>
      <c r="AB562" s="114"/>
      <c r="AC562" s="114"/>
      <c r="AD562" s="114"/>
      <c r="AE562" s="114"/>
      <c r="AF562" s="114"/>
      <c r="AG562" s="114"/>
      <c r="AH562" s="114"/>
      <c r="AI562" s="114"/>
      <c r="AJ562" s="114"/>
      <c r="AK562" s="114"/>
      <c r="AL562" s="114"/>
      <c r="AM562" s="114"/>
    </row>
    <row r="563" spans="2:39" ht="25.2" customHeight="1" x14ac:dyDescent="0.3">
      <c r="B563" s="13" t="str">
        <f t="shared" si="12"/>
        <v/>
      </c>
      <c r="C563" s="18"/>
      <c r="D563" s="19" t="str">
        <f>IF(Tabela2[[#This Row],[AGRUPADOR]]&lt;&gt;"",VLOOKUP(Tabela2[[#This Row],[AGRUPADOR]],Tabela1[],2,0),"")</f>
        <v/>
      </c>
      <c r="E563" s="19" t="str">
        <f>IF(Tabela2[[#This Row],[AGRUPADOR]]&lt;&gt;"",VLOOKUP(Tabela2[[#This Row],[AGRUPADOR]],Tabela1[],4,0),"")</f>
        <v/>
      </c>
      <c r="F563" s="14"/>
      <c r="G563" s="6"/>
      <c r="H563" s="6"/>
      <c r="I563" s="25"/>
      <c r="J563" s="7"/>
      <c r="K563" s="15"/>
      <c r="L563" s="379">
        <f>IF(H563&lt;&gt;"",J563*K563,SUMIFS(L564:L$9844,$F564:$F$9844,"*"&amp;F563&amp;"*",$H564:$H$9844,"&lt;&gt;"))</f>
        <v>0</v>
      </c>
      <c r="M563" s="379" t="str">
        <f>IF(Tabela2[[#This Row],[UNID.]]&lt;&gt;"",IFERROR(VLOOKUP(Tabela2[[#This Row],[AGRUPADOR]],Lucratividade!$D$4:$O$129,6,0),0),"")</f>
        <v/>
      </c>
      <c r="N563" s="379">
        <f>IF(H563&lt;&gt;"",J563*M563*I563,SUMIFS(N564:N$9844,$F564:$F$9844,"*"&amp;F563&amp;"*",$H564:$H$9844,"&lt;&gt;"))</f>
        <v>0</v>
      </c>
      <c r="O563" s="162" t="str">
        <f>IFERROR((-Tabela2[[#This Row],[CUSTO TOTAL]]+Tabela2[[#This Row],[VENDA TOTAL]])/Tabela2[[#This Row],[VENDA TOTAL]]-PARAMETROS!$C$19,"")</f>
        <v/>
      </c>
      <c r="AA563" s="219">
        <f>SUM(Plan_Orc[[#This Row],[01/jan]:[01/dez]])</f>
        <v>0</v>
      </c>
      <c r="AB563" s="114"/>
      <c r="AC563" s="114"/>
      <c r="AD563" s="114"/>
      <c r="AE563" s="114"/>
      <c r="AF563" s="114"/>
      <c r="AG563" s="114"/>
      <c r="AH563" s="114"/>
      <c r="AI563" s="114"/>
      <c r="AJ563" s="114"/>
      <c r="AK563" s="114"/>
      <c r="AL563" s="114"/>
      <c r="AM563" s="114"/>
    </row>
    <row r="564" spans="2:39" ht="25.2" customHeight="1" x14ac:dyDescent="0.3">
      <c r="B564" s="13" t="str">
        <f t="shared" si="12"/>
        <v/>
      </c>
      <c r="C564" s="18"/>
      <c r="D564" s="19" t="str">
        <f>IF(Tabela2[[#This Row],[AGRUPADOR]]&lt;&gt;"",VLOOKUP(Tabela2[[#This Row],[AGRUPADOR]],Tabela1[],2,0),"")</f>
        <v/>
      </c>
      <c r="E564" s="19" t="str">
        <f>IF(Tabela2[[#This Row],[AGRUPADOR]]&lt;&gt;"",VLOOKUP(Tabela2[[#This Row],[AGRUPADOR]],Tabela1[],4,0),"")</f>
        <v/>
      </c>
      <c r="F564" s="14"/>
      <c r="G564" s="6"/>
      <c r="H564" s="6"/>
      <c r="I564" s="25"/>
      <c r="J564" s="7"/>
      <c r="K564" s="15"/>
      <c r="L564" s="379">
        <f>IF(H564&lt;&gt;"",J564*K564,SUMIFS(L565:L$9844,$F565:$F$9844,"*"&amp;F564&amp;"*",$H565:$H$9844,"&lt;&gt;"))</f>
        <v>0</v>
      </c>
      <c r="M564" s="379" t="str">
        <f>IF(Tabela2[[#This Row],[UNID.]]&lt;&gt;"",IFERROR(VLOOKUP(Tabela2[[#This Row],[AGRUPADOR]],Lucratividade!$D$4:$O$129,6,0),0),"")</f>
        <v/>
      </c>
      <c r="N564" s="379">
        <f>IF(H564&lt;&gt;"",J564*M564*I564,SUMIFS(N565:N$9844,$F565:$F$9844,"*"&amp;F564&amp;"*",$H565:$H$9844,"&lt;&gt;"))</f>
        <v>0</v>
      </c>
      <c r="O564" s="162" t="str">
        <f>IFERROR((-Tabela2[[#This Row],[CUSTO TOTAL]]+Tabela2[[#This Row],[VENDA TOTAL]])/Tabela2[[#This Row],[VENDA TOTAL]]-PARAMETROS!$C$19,"")</f>
        <v/>
      </c>
      <c r="AA564" s="219">
        <f>SUM(Plan_Orc[[#This Row],[01/jan]:[01/dez]])</f>
        <v>0</v>
      </c>
      <c r="AB564" s="114"/>
      <c r="AC564" s="114"/>
      <c r="AD564" s="114"/>
      <c r="AE564" s="114"/>
      <c r="AF564" s="114"/>
      <c r="AG564" s="114"/>
      <c r="AH564" s="114"/>
      <c r="AI564" s="114"/>
      <c r="AJ564" s="114"/>
      <c r="AK564" s="114"/>
      <c r="AL564" s="114"/>
      <c r="AM564" s="114"/>
    </row>
    <row r="565" spans="2:39" ht="25.2" customHeight="1" x14ac:dyDescent="0.3">
      <c r="B565" s="13" t="str">
        <f t="shared" si="12"/>
        <v/>
      </c>
      <c r="C565" s="18"/>
      <c r="D565" s="19" t="str">
        <f>IF(Tabela2[[#This Row],[AGRUPADOR]]&lt;&gt;"",VLOOKUP(Tabela2[[#This Row],[AGRUPADOR]],Tabela1[],2,0),"")</f>
        <v/>
      </c>
      <c r="E565" s="19" t="str">
        <f>IF(Tabela2[[#This Row],[AGRUPADOR]]&lt;&gt;"",VLOOKUP(Tabela2[[#This Row],[AGRUPADOR]],Tabela1[],4,0),"")</f>
        <v/>
      </c>
      <c r="F565" s="14"/>
      <c r="G565" s="6"/>
      <c r="H565" s="6"/>
      <c r="I565" s="25"/>
      <c r="J565" s="7"/>
      <c r="K565" s="15"/>
      <c r="L565" s="379">
        <f>IF(H565&lt;&gt;"",J565*K565,SUMIFS(L566:L$9844,$F566:$F$9844,"*"&amp;F565&amp;"*",$H566:$H$9844,"&lt;&gt;"))</f>
        <v>0</v>
      </c>
      <c r="M565" s="379" t="str">
        <f>IF(Tabela2[[#This Row],[UNID.]]&lt;&gt;"",IFERROR(VLOOKUP(Tabela2[[#This Row],[AGRUPADOR]],Lucratividade!$D$4:$O$129,6,0),0),"")</f>
        <v/>
      </c>
      <c r="N565" s="379">
        <f>IF(H565&lt;&gt;"",J565*M565*I565,SUMIFS(N566:N$9844,$F566:$F$9844,"*"&amp;F565&amp;"*",$H566:$H$9844,"&lt;&gt;"))</f>
        <v>0</v>
      </c>
      <c r="O565" s="162" t="str">
        <f>IFERROR((-Tabela2[[#This Row],[CUSTO TOTAL]]+Tabela2[[#This Row],[VENDA TOTAL]])/Tabela2[[#This Row],[VENDA TOTAL]]-PARAMETROS!$C$19,"")</f>
        <v/>
      </c>
      <c r="AA565" s="219">
        <f>SUM(Plan_Orc[[#This Row],[01/jan]:[01/dez]])</f>
        <v>0</v>
      </c>
      <c r="AB565" s="114"/>
      <c r="AC565" s="114"/>
      <c r="AD565" s="114"/>
      <c r="AE565" s="114"/>
      <c r="AF565" s="114"/>
      <c r="AG565" s="114"/>
      <c r="AH565" s="114"/>
      <c r="AI565" s="114"/>
      <c r="AJ565" s="114"/>
      <c r="AK565" s="114"/>
      <c r="AL565" s="114"/>
      <c r="AM565" s="114"/>
    </row>
    <row r="566" spans="2:39" ht="25.2" customHeight="1" x14ac:dyDescent="0.3">
      <c r="B566" s="13" t="str">
        <f t="shared" si="12"/>
        <v/>
      </c>
      <c r="C566" s="18"/>
      <c r="D566" s="19" t="str">
        <f>IF(Tabela2[[#This Row],[AGRUPADOR]]&lt;&gt;"",VLOOKUP(Tabela2[[#This Row],[AGRUPADOR]],Tabela1[],2,0),"")</f>
        <v/>
      </c>
      <c r="E566" s="19" t="str">
        <f>IF(Tabela2[[#This Row],[AGRUPADOR]]&lt;&gt;"",VLOOKUP(Tabela2[[#This Row],[AGRUPADOR]],Tabela1[],4,0),"")</f>
        <v/>
      </c>
      <c r="F566" s="14"/>
      <c r="G566" s="6"/>
      <c r="H566" s="6"/>
      <c r="I566" s="25"/>
      <c r="J566" s="7"/>
      <c r="K566" s="15"/>
      <c r="L566" s="379">
        <f>IF(H566&lt;&gt;"",J566*K566,SUMIFS(L567:L$9844,$F567:$F$9844,"*"&amp;F566&amp;"*",$H567:$H$9844,"&lt;&gt;"))</f>
        <v>0</v>
      </c>
      <c r="M566" s="379" t="str">
        <f>IF(Tabela2[[#This Row],[UNID.]]&lt;&gt;"",IFERROR(VLOOKUP(Tabela2[[#This Row],[AGRUPADOR]],Lucratividade!$D$4:$O$129,6,0),0),"")</f>
        <v/>
      </c>
      <c r="N566" s="379">
        <f>IF(H566&lt;&gt;"",J566*M566*I566,SUMIFS(N567:N$9844,$F567:$F$9844,"*"&amp;F566&amp;"*",$H567:$H$9844,"&lt;&gt;"))</f>
        <v>0</v>
      </c>
      <c r="O566" s="162" t="str">
        <f>IFERROR((-Tabela2[[#This Row],[CUSTO TOTAL]]+Tabela2[[#This Row],[VENDA TOTAL]])/Tabela2[[#This Row],[VENDA TOTAL]]-PARAMETROS!$C$19,"")</f>
        <v/>
      </c>
      <c r="AA566" s="219">
        <f>SUM(Plan_Orc[[#This Row],[01/jan]:[01/dez]])</f>
        <v>0</v>
      </c>
      <c r="AB566" s="114"/>
      <c r="AC566" s="114"/>
      <c r="AD566" s="114"/>
      <c r="AE566" s="114"/>
      <c r="AF566" s="114"/>
      <c r="AG566" s="114"/>
      <c r="AH566" s="114"/>
      <c r="AI566" s="114"/>
      <c r="AJ566" s="114"/>
      <c r="AK566" s="114"/>
      <c r="AL566" s="114"/>
      <c r="AM566" s="114"/>
    </row>
    <row r="567" spans="2:39" ht="25.2" customHeight="1" x14ac:dyDescent="0.3">
      <c r="B567" s="13" t="str">
        <f t="shared" si="12"/>
        <v/>
      </c>
      <c r="C567" s="18"/>
      <c r="D567" s="19" t="str">
        <f>IF(Tabela2[[#This Row],[AGRUPADOR]]&lt;&gt;"",VLOOKUP(Tabela2[[#This Row],[AGRUPADOR]],Tabela1[],2,0),"")</f>
        <v/>
      </c>
      <c r="E567" s="19" t="str">
        <f>IF(Tabela2[[#This Row],[AGRUPADOR]]&lt;&gt;"",VLOOKUP(Tabela2[[#This Row],[AGRUPADOR]],Tabela1[],4,0),"")</f>
        <v/>
      </c>
      <c r="F567" s="14"/>
      <c r="G567" s="6"/>
      <c r="H567" s="6"/>
      <c r="I567" s="25"/>
      <c r="J567" s="7"/>
      <c r="K567" s="15"/>
      <c r="L567" s="379">
        <f>IF(H567&lt;&gt;"",J567*K567,SUMIFS(L568:L$9844,$F568:$F$9844,"*"&amp;F567&amp;"*",$H568:$H$9844,"&lt;&gt;"))</f>
        <v>0</v>
      </c>
      <c r="M567" s="379" t="str">
        <f>IF(Tabela2[[#This Row],[UNID.]]&lt;&gt;"",IFERROR(VLOOKUP(Tabela2[[#This Row],[AGRUPADOR]],Lucratividade!$D$4:$O$129,6,0),0),"")</f>
        <v/>
      </c>
      <c r="N567" s="379">
        <f>IF(H567&lt;&gt;"",J567*M567*I567,SUMIFS(N568:N$9844,$F568:$F$9844,"*"&amp;F567&amp;"*",$H568:$H$9844,"&lt;&gt;"))</f>
        <v>0</v>
      </c>
      <c r="O567" s="162" t="str">
        <f>IFERROR((-Tabela2[[#This Row],[CUSTO TOTAL]]+Tabela2[[#This Row],[VENDA TOTAL]])/Tabela2[[#This Row],[VENDA TOTAL]]-PARAMETROS!$C$19,"")</f>
        <v/>
      </c>
      <c r="AA567" s="219">
        <f>SUM(Plan_Orc[[#This Row],[01/jan]:[01/dez]])</f>
        <v>0</v>
      </c>
      <c r="AB567" s="114"/>
      <c r="AC567" s="114"/>
      <c r="AD567" s="114"/>
      <c r="AE567" s="114"/>
      <c r="AF567" s="114"/>
      <c r="AG567" s="114"/>
      <c r="AH567" s="114"/>
      <c r="AI567" s="114"/>
      <c r="AJ567" s="114"/>
      <c r="AK567" s="114"/>
      <c r="AL567" s="114"/>
      <c r="AM567" s="114"/>
    </row>
    <row r="568" spans="2:39" ht="25.2" customHeight="1" x14ac:dyDescent="0.3">
      <c r="B568" s="13" t="str">
        <f t="shared" si="12"/>
        <v/>
      </c>
      <c r="C568" s="18"/>
      <c r="D568" s="19" t="str">
        <f>IF(Tabela2[[#This Row],[AGRUPADOR]]&lt;&gt;"",VLOOKUP(Tabela2[[#This Row],[AGRUPADOR]],Tabela1[],2,0),"")</f>
        <v/>
      </c>
      <c r="E568" s="19" t="str">
        <f>IF(Tabela2[[#This Row],[AGRUPADOR]]&lt;&gt;"",VLOOKUP(Tabela2[[#This Row],[AGRUPADOR]],Tabela1[],4,0),"")</f>
        <v/>
      </c>
      <c r="F568" s="14"/>
      <c r="G568" s="6"/>
      <c r="H568" s="6"/>
      <c r="I568" s="25"/>
      <c r="J568" s="7"/>
      <c r="K568" s="15"/>
      <c r="L568" s="379">
        <f>IF(H568&lt;&gt;"",J568*K568,SUMIFS(L569:L$9844,$F569:$F$9844,"*"&amp;F568&amp;"*",$H569:$H$9844,"&lt;&gt;"))</f>
        <v>0</v>
      </c>
      <c r="M568" s="379" t="str">
        <f>IF(Tabela2[[#This Row],[UNID.]]&lt;&gt;"",IFERROR(VLOOKUP(Tabela2[[#This Row],[AGRUPADOR]],Lucratividade!$D$4:$O$129,6,0),0),"")</f>
        <v/>
      </c>
      <c r="N568" s="379">
        <f>IF(H568&lt;&gt;"",J568*M568*I568,SUMIFS(N569:N$9844,$F569:$F$9844,"*"&amp;F568&amp;"*",$H569:$H$9844,"&lt;&gt;"))</f>
        <v>0</v>
      </c>
      <c r="O568" s="162" t="str">
        <f>IFERROR((-Tabela2[[#This Row],[CUSTO TOTAL]]+Tabela2[[#This Row],[VENDA TOTAL]])/Tabela2[[#This Row],[VENDA TOTAL]]-PARAMETROS!$C$19,"")</f>
        <v/>
      </c>
      <c r="AA568" s="219">
        <f>SUM(Plan_Orc[[#This Row],[01/jan]:[01/dez]])</f>
        <v>0</v>
      </c>
      <c r="AB568" s="114"/>
      <c r="AC568" s="114"/>
      <c r="AD568" s="114"/>
      <c r="AE568" s="114"/>
      <c r="AF568" s="114"/>
      <c r="AG568" s="114"/>
      <c r="AH568" s="114"/>
      <c r="AI568" s="114"/>
      <c r="AJ568" s="114"/>
      <c r="AK568" s="114"/>
      <c r="AL568" s="114"/>
      <c r="AM568" s="114"/>
    </row>
    <row r="569" spans="2:39" ht="25.2" customHeight="1" x14ac:dyDescent="0.3">
      <c r="B569" s="13" t="str">
        <f t="shared" si="12"/>
        <v/>
      </c>
      <c r="C569" s="18"/>
      <c r="D569" s="19" t="str">
        <f>IF(Tabela2[[#This Row],[AGRUPADOR]]&lt;&gt;"",VLOOKUP(Tabela2[[#This Row],[AGRUPADOR]],Tabela1[],2,0),"")</f>
        <v/>
      </c>
      <c r="E569" s="19" t="str">
        <f>IF(Tabela2[[#This Row],[AGRUPADOR]]&lt;&gt;"",VLOOKUP(Tabela2[[#This Row],[AGRUPADOR]],Tabela1[],4,0),"")</f>
        <v/>
      </c>
      <c r="F569" s="14"/>
      <c r="G569" s="6"/>
      <c r="H569" s="6"/>
      <c r="I569" s="25"/>
      <c r="J569" s="7"/>
      <c r="K569" s="15"/>
      <c r="L569" s="379">
        <f>IF(H569&lt;&gt;"",J569*K569,SUMIFS(L570:L$9844,$F570:$F$9844,"*"&amp;F569&amp;"*",$H570:$H$9844,"&lt;&gt;"))</f>
        <v>0</v>
      </c>
      <c r="M569" s="379" t="str">
        <f>IF(Tabela2[[#This Row],[UNID.]]&lt;&gt;"",IFERROR(VLOOKUP(Tabela2[[#This Row],[AGRUPADOR]],Lucratividade!$D$4:$O$129,6,0),0),"")</f>
        <v/>
      </c>
      <c r="N569" s="379">
        <f>IF(H569&lt;&gt;"",J569*M569*I569,SUMIFS(N570:N$9844,$F570:$F$9844,"*"&amp;F569&amp;"*",$H570:$H$9844,"&lt;&gt;"))</f>
        <v>0</v>
      </c>
      <c r="O569" s="162" t="str">
        <f>IFERROR((-Tabela2[[#This Row],[CUSTO TOTAL]]+Tabela2[[#This Row],[VENDA TOTAL]])/Tabela2[[#This Row],[VENDA TOTAL]]-PARAMETROS!$C$19,"")</f>
        <v/>
      </c>
      <c r="AA569" s="219">
        <f>SUM(Plan_Orc[[#This Row],[01/jan]:[01/dez]])</f>
        <v>0</v>
      </c>
      <c r="AB569" s="114"/>
      <c r="AC569" s="114"/>
      <c r="AD569" s="114"/>
      <c r="AE569" s="114"/>
      <c r="AF569" s="114"/>
      <c r="AG569" s="114"/>
      <c r="AH569" s="114"/>
      <c r="AI569" s="114"/>
      <c r="AJ569" s="114"/>
      <c r="AK569" s="114"/>
      <c r="AL569" s="114"/>
      <c r="AM569" s="114"/>
    </row>
    <row r="570" spans="2:39" ht="25.2" customHeight="1" x14ac:dyDescent="0.3">
      <c r="B570" s="13" t="str">
        <f t="shared" si="12"/>
        <v/>
      </c>
      <c r="C570" s="18"/>
      <c r="D570" s="19" t="str">
        <f>IF(Tabela2[[#This Row],[AGRUPADOR]]&lt;&gt;"",VLOOKUP(Tabela2[[#This Row],[AGRUPADOR]],Tabela1[],2,0),"")</f>
        <v/>
      </c>
      <c r="E570" s="19" t="str">
        <f>IF(Tabela2[[#This Row],[AGRUPADOR]]&lt;&gt;"",VLOOKUP(Tabela2[[#This Row],[AGRUPADOR]],Tabela1[],4,0),"")</f>
        <v/>
      </c>
      <c r="F570" s="14"/>
      <c r="G570" s="6"/>
      <c r="H570" s="6"/>
      <c r="I570" s="25"/>
      <c r="J570" s="7"/>
      <c r="K570" s="15"/>
      <c r="L570" s="379">
        <f>IF(H570&lt;&gt;"",J570*K570,SUMIFS(L571:L$9844,$F571:$F$9844,"*"&amp;F570&amp;"*",$H571:$H$9844,"&lt;&gt;"))</f>
        <v>0</v>
      </c>
      <c r="M570" s="379" t="str">
        <f>IF(Tabela2[[#This Row],[UNID.]]&lt;&gt;"",IFERROR(VLOOKUP(Tabela2[[#This Row],[AGRUPADOR]],Lucratividade!$D$4:$O$129,6,0),0),"")</f>
        <v/>
      </c>
      <c r="N570" s="379">
        <f>IF(H570&lt;&gt;"",J570*M570*I570,SUMIFS(N571:N$9844,$F571:$F$9844,"*"&amp;F570&amp;"*",$H571:$H$9844,"&lt;&gt;"))</f>
        <v>0</v>
      </c>
      <c r="O570" s="162" t="str">
        <f>IFERROR((-Tabela2[[#This Row],[CUSTO TOTAL]]+Tabela2[[#This Row],[VENDA TOTAL]])/Tabela2[[#This Row],[VENDA TOTAL]]-PARAMETROS!$C$19,"")</f>
        <v/>
      </c>
      <c r="AA570" s="219">
        <f>SUM(Plan_Orc[[#This Row],[01/jan]:[01/dez]])</f>
        <v>0</v>
      </c>
      <c r="AB570" s="114"/>
      <c r="AC570" s="114"/>
      <c r="AD570" s="114"/>
      <c r="AE570" s="114"/>
      <c r="AF570" s="114"/>
      <c r="AG570" s="114"/>
      <c r="AH570" s="114"/>
      <c r="AI570" s="114"/>
      <c r="AJ570" s="114"/>
      <c r="AK570" s="114"/>
      <c r="AL570" s="114"/>
      <c r="AM570" s="114"/>
    </row>
    <row r="571" spans="2:39" ht="25.2" customHeight="1" x14ac:dyDescent="0.3">
      <c r="B571" s="13" t="str">
        <f t="shared" si="12"/>
        <v/>
      </c>
      <c r="C571" s="18"/>
      <c r="D571" s="19" t="str">
        <f>IF(Tabela2[[#This Row],[AGRUPADOR]]&lt;&gt;"",VLOOKUP(Tabela2[[#This Row],[AGRUPADOR]],Tabela1[],2,0),"")</f>
        <v/>
      </c>
      <c r="E571" s="19" t="str">
        <f>IF(Tabela2[[#This Row],[AGRUPADOR]]&lt;&gt;"",VLOOKUP(Tabela2[[#This Row],[AGRUPADOR]],Tabela1[],4,0),"")</f>
        <v/>
      </c>
      <c r="F571" s="14"/>
      <c r="G571" s="6"/>
      <c r="H571" s="6"/>
      <c r="I571" s="25"/>
      <c r="J571" s="7"/>
      <c r="K571" s="15"/>
      <c r="L571" s="379">
        <f>IF(H571&lt;&gt;"",J571*K571,SUMIFS(L572:L$9844,$F572:$F$9844,"*"&amp;F571&amp;"*",$H572:$H$9844,"&lt;&gt;"))</f>
        <v>0</v>
      </c>
      <c r="M571" s="379" t="str">
        <f>IF(Tabela2[[#This Row],[UNID.]]&lt;&gt;"",IFERROR(VLOOKUP(Tabela2[[#This Row],[AGRUPADOR]],Lucratividade!$D$4:$O$129,6,0),0),"")</f>
        <v/>
      </c>
      <c r="N571" s="379">
        <f>IF(H571&lt;&gt;"",J571*M571*I571,SUMIFS(N572:N$9844,$F572:$F$9844,"*"&amp;F571&amp;"*",$H572:$H$9844,"&lt;&gt;"))</f>
        <v>0</v>
      </c>
      <c r="O571" s="162" t="str">
        <f>IFERROR((-Tabela2[[#This Row],[CUSTO TOTAL]]+Tabela2[[#This Row],[VENDA TOTAL]])/Tabela2[[#This Row],[VENDA TOTAL]]-PARAMETROS!$C$19,"")</f>
        <v/>
      </c>
      <c r="AA571" s="219">
        <f>SUM(Plan_Orc[[#This Row],[01/jan]:[01/dez]])</f>
        <v>0</v>
      </c>
      <c r="AB571" s="114"/>
      <c r="AC571" s="114"/>
      <c r="AD571" s="114"/>
      <c r="AE571" s="114"/>
      <c r="AF571" s="114"/>
      <c r="AG571" s="114"/>
      <c r="AH571" s="114"/>
      <c r="AI571" s="114"/>
      <c r="AJ571" s="114"/>
      <c r="AK571" s="114"/>
      <c r="AL571" s="114"/>
      <c r="AM571" s="114"/>
    </row>
    <row r="572" spans="2:39" ht="25.2" customHeight="1" x14ac:dyDescent="0.3">
      <c r="B572" s="13" t="str">
        <f t="shared" si="12"/>
        <v/>
      </c>
      <c r="C572" s="18"/>
      <c r="D572" s="19" t="str">
        <f>IF(Tabela2[[#This Row],[AGRUPADOR]]&lt;&gt;"",VLOOKUP(Tabela2[[#This Row],[AGRUPADOR]],Tabela1[],2,0),"")</f>
        <v/>
      </c>
      <c r="E572" s="19" t="str">
        <f>IF(Tabela2[[#This Row],[AGRUPADOR]]&lt;&gt;"",VLOOKUP(Tabela2[[#This Row],[AGRUPADOR]],Tabela1[],4,0),"")</f>
        <v/>
      </c>
      <c r="F572" s="14"/>
      <c r="G572" s="6"/>
      <c r="H572" s="6"/>
      <c r="I572" s="25"/>
      <c r="J572" s="7"/>
      <c r="K572" s="15"/>
      <c r="L572" s="379">
        <f>IF(H572&lt;&gt;"",J572*K572,SUMIFS(L573:L$9844,$F573:$F$9844,"*"&amp;F572&amp;"*",$H573:$H$9844,"&lt;&gt;"))</f>
        <v>0</v>
      </c>
      <c r="M572" s="379" t="str">
        <f>IF(Tabela2[[#This Row],[UNID.]]&lt;&gt;"",IFERROR(VLOOKUP(Tabela2[[#This Row],[AGRUPADOR]],Lucratividade!$D$4:$O$129,6,0),0),"")</f>
        <v/>
      </c>
      <c r="N572" s="379">
        <f>IF(H572&lt;&gt;"",J572*M572*I572,SUMIFS(N573:N$9844,$F573:$F$9844,"*"&amp;F572&amp;"*",$H573:$H$9844,"&lt;&gt;"))</f>
        <v>0</v>
      </c>
      <c r="O572" s="162" t="str">
        <f>IFERROR((-Tabela2[[#This Row],[CUSTO TOTAL]]+Tabela2[[#This Row],[VENDA TOTAL]])/Tabela2[[#This Row],[VENDA TOTAL]]-PARAMETROS!$C$19,"")</f>
        <v/>
      </c>
      <c r="AA572" s="219">
        <f>SUM(Plan_Orc[[#This Row],[01/jan]:[01/dez]])</f>
        <v>0</v>
      </c>
      <c r="AB572" s="114"/>
      <c r="AC572" s="114"/>
      <c r="AD572" s="114"/>
      <c r="AE572" s="114"/>
      <c r="AF572" s="114"/>
      <c r="AG572" s="114"/>
      <c r="AH572" s="114"/>
      <c r="AI572" s="114"/>
      <c r="AJ572" s="114"/>
      <c r="AK572" s="114"/>
      <c r="AL572" s="114"/>
      <c r="AM572" s="114"/>
    </row>
    <row r="573" spans="2:39" ht="25.2" customHeight="1" x14ac:dyDescent="0.3">
      <c r="B573" s="13" t="str">
        <f t="shared" si="12"/>
        <v/>
      </c>
      <c r="C573" s="18"/>
      <c r="D573" s="19" t="str">
        <f>IF(Tabela2[[#This Row],[AGRUPADOR]]&lt;&gt;"",VLOOKUP(Tabela2[[#This Row],[AGRUPADOR]],Tabela1[],2,0),"")</f>
        <v/>
      </c>
      <c r="E573" s="19" t="str">
        <f>IF(Tabela2[[#This Row],[AGRUPADOR]]&lt;&gt;"",VLOOKUP(Tabela2[[#This Row],[AGRUPADOR]],Tabela1[],4,0),"")</f>
        <v/>
      </c>
      <c r="F573" s="14"/>
      <c r="G573" s="6"/>
      <c r="H573" s="6"/>
      <c r="I573" s="25"/>
      <c r="J573" s="7"/>
      <c r="K573" s="15"/>
      <c r="L573" s="379">
        <f>IF(H573&lt;&gt;"",J573*K573,SUMIFS(L574:L$9844,$F574:$F$9844,"*"&amp;F573&amp;"*",$H574:$H$9844,"&lt;&gt;"))</f>
        <v>0</v>
      </c>
      <c r="M573" s="379" t="str">
        <f>IF(Tabela2[[#This Row],[UNID.]]&lt;&gt;"",IFERROR(VLOOKUP(Tabela2[[#This Row],[AGRUPADOR]],Lucratividade!$D$4:$O$129,6,0),0),"")</f>
        <v/>
      </c>
      <c r="N573" s="379">
        <f>IF(H573&lt;&gt;"",J573*M573*I573,SUMIFS(N574:N$9844,$F574:$F$9844,"*"&amp;F573&amp;"*",$H574:$H$9844,"&lt;&gt;"))</f>
        <v>0</v>
      </c>
      <c r="O573" s="162" t="str">
        <f>IFERROR((-Tabela2[[#This Row],[CUSTO TOTAL]]+Tabela2[[#This Row],[VENDA TOTAL]])/Tabela2[[#This Row],[VENDA TOTAL]]-PARAMETROS!$C$19,"")</f>
        <v/>
      </c>
      <c r="AA573" s="218">
        <f>SUM(Plan_Orc[[#This Row],[01/jan]:[01/dez]])</f>
        <v>0</v>
      </c>
      <c r="AB573" s="113"/>
      <c r="AC573" s="113"/>
      <c r="AD573" s="113"/>
      <c r="AE573" s="113"/>
      <c r="AF573" s="113"/>
      <c r="AG573" s="113"/>
      <c r="AH573" s="113"/>
      <c r="AI573" s="113"/>
      <c r="AJ573" s="113"/>
      <c r="AK573" s="113"/>
      <c r="AL573" s="113"/>
      <c r="AM573" s="113"/>
    </row>
    <row r="574" spans="2:39" ht="25.2" customHeight="1" x14ac:dyDescent="0.3">
      <c r="B574" s="13" t="str">
        <f t="shared" si="12"/>
        <v/>
      </c>
      <c r="C574" s="18"/>
      <c r="D574" s="19" t="str">
        <f>IF(Tabela2[[#This Row],[AGRUPADOR]]&lt;&gt;"",VLOOKUP(Tabela2[[#This Row],[AGRUPADOR]],Tabela1[],2,0),"")</f>
        <v/>
      </c>
      <c r="E574" s="19" t="str">
        <f>IF(Tabela2[[#This Row],[AGRUPADOR]]&lt;&gt;"",VLOOKUP(Tabela2[[#This Row],[AGRUPADOR]],Tabela1[],4,0),"")</f>
        <v/>
      </c>
      <c r="F574" s="14"/>
      <c r="G574" s="6"/>
      <c r="H574" s="6"/>
      <c r="I574" s="25"/>
      <c r="J574" s="7"/>
      <c r="K574" s="15"/>
      <c r="L574" s="379">
        <f>IF(H574&lt;&gt;"",J574*K574,SUMIFS(L575:L$9844,$F575:$F$9844,"*"&amp;F574&amp;"*",$H575:$H$9844,"&lt;&gt;"))</f>
        <v>0</v>
      </c>
      <c r="M574" s="379" t="str">
        <f>IF(Tabela2[[#This Row],[UNID.]]&lt;&gt;"",IFERROR(VLOOKUP(Tabela2[[#This Row],[AGRUPADOR]],Lucratividade!$D$4:$O$129,6,0),0),"")</f>
        <v/>
      </c>
      <c r="N574" s="379">
        <f>IF(H574&lt;&gt;"",J574*M574*I574,SUMIFS(N575:N$9844,$F575:$F$9844,"*"&amp;F574&amp;"*",$H575:$H$9844,"&lt;&gt;"))</f>
        <v>0</v>
      </c>
      <c r="O574" s="162" t="str">
        <f>IFERROR((-Tabela2[[#This Row],[CUSTO TOTAL]]+Tabela2[[#This Row],[VENDA TOTAL]])/Tabela2[[#This Row],[VENDA TOTAL]]-PARAMETROS!$C$19,"")</f>
        <v/>
      </c>
      <c r="AA574" s="219">
        <f>SUM(Plan_Orc[[#This Row],[01/jan]:[01/dez]])</f>
        <v>0</v>
      </c>
      <c r="AB574" s="114"/>
      <c r="AC574" s="114"/>
      <c r="AD574" s="114"/>
      <c r="AE574" s="114"/>
      <c r="AF574" s="114"/>
      <c r="AG574" s="114"/>
      <c r="AH574" s="114"/>
      <c r="AI574" s="114"/>
      <c r="AJ574" s="114"/>
      <c r="AK574" s="114"/>
      <c r="AL574" s="114"/>
      <c r="AM574" s="114"/>
    </row>
    <row r="575" spans="2:39" ht="25.2" customHeight="1" x14ac:dyDescent="0.3">
      <c r="B575" s="13" t="str">
        <f t="shared" si="12"/>
        <v/>
      </c>
      <c r="C575" s="18"/>
      <c r="D575" s="19" t="str">
        <f>IF(Tabela2[[#This Row],[AGRUPADOR]]&lt;&gt;"",VLOOKUP(Tabela2[[#This Row],[AGRUPADOR]],Tabela1[],2,0),"")</f>
        <v/>
      </c>
      <c r="E575" s="19" t="str">
        <f>IF(Tabela2[[#This Row],[AGRUPADOR]]&lt;&gt;"",VLOOKUP(Tabela2[[#This Row],[AGRUPADOR]],Tabela1[],4,0),"")</f>
        <v/>
      </c>
      <c r="F575" s="14"/>
      <c r="G575" s="6"/>
      <c r="H575" s="6"/>
      <c r="I575" s="25"/>
      <c r="J575" s="7"/>
      <c r="K575" s="15"/>
      <c r="L575" s="379">
        <f>IF(H575&lt;&gt;"",J575*K575,SUMIFS(L576:L$9844,$F576:$F$9844,"*"&amp;F575&amp;"*",$H576:$H$9844,"&lt;&gt;"))</f>
        <v>0</v>
      </c>
      <c r="M575" s="379" t="str">
        <f>IF(Tabela2[[#This Row],[UNID.]]&lt;&gt;"",IFERROR(VLOOKUP(Tabela2[[#This Row],[AGRUPADOR]],Lucratividade!$D$4:$O$129,6,0),0),"")</f>
        <v/>
      </c>
      <c r="N575" s="379">
        <f>IF(H575&lt;&gt;"",J575*M575*I575,SUMIFS(N576:N$9844,$F576:$F$9844,"*"&amp;F575&amp;"*",$H576:$H$9844,"&lt;&gt;"))</f>
        <v>0</v>
      </c>
      <c r="O575" s="162" t="str">
        <f>IFERROR((-Tabela2[[#This Row],[CUSTO TOTAL]]+Tabela2[[#This Row],[VENDA TOTAL]])/Tabela2[[#This Row],[VENDA TOTAL]]-PARAMETROS!$C$19,"")</f>
        <v/>
      </c>
      <c r="AA575" s="219">
        <f>SUM(Plan_Orc[[#This Row],[01/jan]:[01/dez]])</f>
        <v>0</v>
      </c>
      <c r="AB575" s="114"/>
      <c r="AC575" s="114"/>
      <c r="AD575" s="114"/>
      <c r="AE575" s="114"/>
      <c r="AF575" s="114"/>
      <c r="AG575" s="114"/>
      <c r="AH575" s="114"/>
      <c r="AI575" s="114"/>
      <c r="AJ575" s="114"/>
      <c r="AK575" s="114"/>
      <c r="AL575" s="114"/>
      <c r="AM575" s="114"/>
    </row>
    <row r="576" spans="2:39" ht="25.2" customHeight="1" x14ac:dyDescent="0.3">
      <c r="B576" s="13" t="str">
        <f t="shared" si="12"/>
        <v/>
      </c>
      <c r="C576" s="18"/>
      <c r="D576" s="19" t="str">
        <f>IF(Tabela2[[#This Row],[AGRUPADOR]]&lt;&gt;"",VLOOKUP(Tabela2[[#This Row],[AGRUPADOR]],Tabela1[],2,0),"")</f>
        <v/>
      </c>
      <c r="E576" s="19" t="str">
        <f>IF(Tabela2[[#This Row],[AGRUPADOR]]&lt;&gt;"",VLOOKUP(Tabela2[[#This Row],[AGRUPADOR]],Tabela1[],4,0),"")</f>
        <v/>
      </c>
      <c r="F576" s="14"/>
      <c r="G576" s="6"/>
      <c r="H576" s="6"/>
      <c r="I576" s="25"/>
      <c r="J576" s="7"/>
      <c r="K576" s="15"/>
      <c r="L576" s="379">
        <f>IF(H576&lt;&gt;"",J576*K576,SUMIFS(L577:L$9844,$F577:$F$9844,"*"&amp;F576&amp;"*",$H577:$H$9844,"&lt;&gt;"))</f>
        <v>0</v>
      </c>
      <c r="M576" s="379" t="str">
        <f>IF(Tabela2[[#This Row],[UNID.]]&lt;&gt;"",IFERROR(VLOOKUP(Tabela2[[#This Row],[AGRUPADOR]],Lucratividade!$D$4:$O$129,6,0),0),"")</f>
        <v/>
      </c>
      <c r="N576" s="379">
        <f>IF(H576&lt;&gt;"",J576*M576*I576,SUMIFS(N577:N$9844,$F577:$F$9844,"*"&amp;F576&amp;"*",$H577:$H$9844,"&lt;&gt;"))</f>
        <v>0</v>
      </c>
      <c r="O576" s="162" t="str">
        <f>IFERROR((-Tabela2[[#This Row],[CUSTO TOTAL]]+Tabela2[[#This Row],[VENDA TOTAL]])/Tabela2[[#This Row],[VENDA TOTAL]]-PARAMETROS!$C$19,"")</f>
        <v/>
      </c>
      <c r="AA576" s="219">
        <f>SUM(Plan_Orc[[#This Row],[01/jan]:[01/dez]])</f>
        <v>0</v>
      </c>
      <c r="AB576" s="114"/>
      <c r="AC576" s="114"/>
      <c r="AD576" s="114"/>
      <c r="AE576" s="114"/>
      <c r="AF576" s="114"/>
      <c r="AG576" s="114"/>
      <c r="AH576" s="114"/>
      <c r="AI576" s="114"/>
      <c r="AJ576" s="114"/>
      <c r="AK576" s="114"/>
      <c r="AL576" s="114"/>
      <c r="AM576" s="114"/>
    </row>
    <row r="577" spans="2:39" ht="25.2" customHeight="1" x14ac:dyDescent="0.3">
      <c r="B577" s="13" t="str">
        <f t="shared" si="12"/>
        <v/>
      </c>
      <c r="C577" s="18"/>
      <c r="D577" s="19" t="str">
        <f>IF(Tabela2[[#This Row],[AGRUPADOR]]&lt;&gt;"",VLOOKUP(Tabela2[[#This Row],[AGRUPADOR]],Tabela1[],2,0),"")</f>
        <v/>
      </c>
      <c r="E577" s="19" t="str">
        <f>IF(Tabela2[[#This Row],[AGRUPADOR]]&lt;&gt;"",VLOOKUP(Tabela2[[#This Row],[AGRUPADOR]],Tabela1[],4,0),"")</f>
        <v/>
      </c>
      <c r="F577" s="14"/>
      <c r="G577" s="6"/>
      <c r="H577" s="6"/>
      <c r="I577" s="25"/>
      <c r="J577" s="7"/>
      <c r="K577" s="15"/>
      <c r="L577" s="379">
        <f>IF(H577&lt;&gt;"",J577*K577,SUMIFS(L578:L$9844,$F578:$F$9844,"*"&amp;F577&amp;"*",$H578:$H$9844,"&lt;&gt;"))</f>
        <v>0</v>
      </c>
      <c r="M577" s="379" t="str">
        <f>IF(Tabela2[[#This Row],[UNID.]]&lt;&gt;"",IFERROR(VLOOKUP(Tabela2[[#This Row],[AGRUPADOR]],Lucratividade!$D$4:$O$129,6,0),0),"")</f>
        <v/>
      </c>
      <c r="N577" s="379">
        <f>IF(H577&lt;&gt;"",J577*M577*I577,SUMIFS(N578:N$9844,$F578:$F$9844,"*"&amp;F577&amp;"*",$H578:$H$9844,"&lt;&gt;"))</f>
        <v>0</v>
      </c>
      <c r="O577" s="162" t="str">
        <f>IFERROR((-Tabela2[[#This Row],[CUSTO TOTAL]]+Tabela2[[#This Row],[VENDA TOTAL]])/Tabela2[[#This Row],[VENDA TOTAL]]-PARAMETROS!$C$19,"")</f>
        <v/>
      </c>
      <c r="AA577" s="219">
        <f>SUM(Plan_Orc[[#This Row],[01/jan]:[01/dez]])</f>
        <v>0</v>
      </c>
      <c r="AB577" s="114"/>
      <c r="AC577" s="114"/>
      <c r="AD577" s="114"/>
      <c r="AE577" s="114"/>
      <c r="AF577" s="114"/>
      <c r="AG577" s="114"/>
      <c r="AH577" s="114"/>
      <c r="AI577" s="114"/>
      <c r="AJ577" s="114"/>
      <c r="AK577" s="114"/>
      <c r="AL577" s="114"/>
      <c r="AM577" s="114"/>
    </row>
    <row r="578" spans="2:39" ht="25.2" customHeight="1" x14ac:dyDescent="0.3">
      <c r="B578" s="13" t="str">
        <f t="shared" si="12"/>
        <v/>
      </c>
      <c r="C578" s="18"/>
      <c r="D578" s="19" t="str">
        <f>IF(Tabela2[[#This Row],[AGRUPADOR]]&lt;&gt;"",VLOOKUP(Tabela2[[#This Row],[AGRUPADOR]],Tabela1[],2,0),"")</f>
        <v/>
      </c>
      <c r="E578" s="19" t="str">
        <f>IF(Tabela2[[#This Row],[AGRUPADOR]]&lt;&gt;"",VLOOKUP(Tabela2[[#This Row],[AGRUPADOR]],Tabela1[],4,0),"")</f>
        <v/>
      </c>
      <c r="F578" s="14"/>
      <c r="G578" s="6"/>
      <c r="H578" s="6"/>
      <c r="I578" s="25"/>
      <c r="J578" s="7"/>
      <c r="K578" s="15"/>
      <c r="L578" s="379">
        <f>IF(H578&lt;&gt;"",J578*K578,SUMIFS(L579:L$9844,$F579:$F$9844,"*"&amp;F578&amp;"*",$H579:$H$9844,"&lt;&gt;"))</f>
        <v>0</v>
      </c>
      <c r="M578" s="379" t="str">
        <f>IF(Tabela2[[#This Row],[UNID.]]&lt;&gt;"",IFERROR(VLOOKUP(Tabela2[[#This Row],[AGRUPADOR]],Lucratividade!$D$4:$O$129,6,0),0),"")</f>
        <v/>
      </c>
      <c r="N578" s="379">
        <f>IF(H578&lt;&gt;"",J578*M578*I578,SUMIFS(N579:N$9844,$F579:$F$9844,"*"&amp;F578&amp;"*",$H579:$H$9844,"&lt;&gt;"))</f>
        <v>0</v>
      </c>
      <c r="O578" s="162" t="str">
        <f>IFERROR((-Tabela2[[#This Row],[CUSTO TOTAL]]+Tabela2[[#This Row],[VENDA TOTAL]])/Tabela2[[#This Row],[VENDA TOTAL]]-PARAMETROS!$C$19,"")</f>
        <v/>
      </c>
      <c r="AA578" s="219">
        <f>SUM(Plan_Orc[[#This Row],[01/jan]:[01/dez]])</f>
        <v>0</v>
      </c>
      <c r="AB578" s="114"/>
      <c r="AC578" s="114"/>
      <c r="AD578" s="114"/>
      <c r="AE578" s="114"/>
      <c r="AF578" s="114"/>
      <c r="AG578" s="114"/>
      <c r="AH578" s="114"/>
      <c r="AI578" s="114"/>
      <c r="AJ578" s="114"/>
      <c r="AK578" s="114"/>
      <c r="AL578" s="114"/>
      <c r="AM578" s="114"/>
    </row>
    <row r="579" spans="2:39" ht="25.2" customHeight="1" x14ac:dyDescent="0.3">
      <c r="B579" s="13" t="str">
        <f t="shared" si="12"/>
        <v/>
      </c>
      <c r="C579" s="18"/>
      <c r="D579" s="19" t="str">
        <f>IF(Tabela2[[#This Row],[AGRUPADOR]]&lt;&gt;"",VLOOKUP(Tabela2[[#This Row],[AGRUPADOR]],Tabela1[],2,0),"")</f>
        <v/>
      </c>
      <c r="E579" s="19" t="str">
        <f>IF(Tabela2[[#This Row],[AGRUPADOR]]&lt;&gt;"",VLOOKUP(Tabela2[[#This Row],[AGRUPADOR]],Tabela1[],4,0),"")</f>
        <v/>
      </c>
      <c r="F579" s="14"/>
      <c r="G579" s="6"/>
      <c r="H579" s="6"/>
      <c r="I579" s="25"/>
      <c r="J579" s="7"/>
      <c r="K579" s="15"/>
      <c r="L579" s="379">
        <f>IF(H579&lt;&gt;"",J579*K579,SUMIFS(L580:L$9844,$F580:$F$9844,"*"&amp;F579&amp;"*",$H580:$H$9844,"&lt;&gt;"))</f>
        <v>0</v>
      </c>
      <c r="M579" s="379" t="str">
        <f>IF(Tabela2[[#This Row],[UNID.]]&lt;&gt;"",IFERROR(VLOOKUP(Tabela2[[#This Row],[AGRUPADOR]],Lucratividade!$D$4:$O$129,6,0),0),"")</f>
        <v/>
      </c>
      <c r="N579" s="379">
        <f>IF(H579&lt;&gt;"",J579*M579*I579,SUMIFS(N580:N$9844,$F580:$F$9844,"*"&amp;F579&amp;"*",$H580:$H$9844,"&lt;&gt;"))</f>
        <v>0</v>
      </c>
      <c r="O579" s="162" t="str">
        <f>IFERROR((-Tabela2[[#This Row],[CUSTO TOTAL]]+Tabela2[[#This Row],[VENDA TOTAL]])/Tabela2[[#This Row],[VENDA TOTAL]]-PARAMETROS!$C$19,"")</f>
        <v/>
      </c>
      <c r="AA579" s="219">
        <f>SUM(Plan_Orc[[#This Row],[01/jan]:[01/dez]])</f>
        <v>0</v>
      </c>
      <c r="AB579" s="114"/>
      <c r="AC579" s="114"/>
      <c r="AD579" s="114"/>
      <c r="AE579" s="114"/>
      <c r="AF579" s="114"/>
      <c r="AG579" s="114"/>
      <c r="AH579" s="114"/>
      <c r="AI579" s="114"/>
      <c r="AJ579" s="114"/>
      <c r="AK579" s="114"/>
      <c r="AL579" s="114"/>
      <c r="AM579" s="114"/>
    </row>
    <row r="580" spans="2:39" ht="25.2" customHeight="1" x14ac:dyDescent="0.3">
      <c r="B580" s="13" t="str">
        <f t="shared" ref="B580:B643" si="13">IF(LEN(F580)=3,1,"")</f>
        <v/>
      </c>
      <c r="C580" s="18"/>
      <c r="D580" s="19" t="str">
        <f>IF(Tabela2[[#This Row],[AGRUPADOR]]&lt;&gt;"",VLOOKUP(Tabela2[[#This Row],[AGRUPADOR]],Tabela1[],2,0),"")</f>
        <v/>
      </c>
      <c r="E580" s="19" t="str">
        <f>IF(Tabela2[[#This Row],[AGRUPADOR]]&lt;&gt;"",VLOOKUP(Tabela2[[#This Row],[AGRUPADOR]],Tabela1[],4,0),"")</f>
        <v/>
      </c>
      <c r="F580" s="14"/>
      <c r="G580" s="6"/>
      <c r="H580" s="6"/>
      <c r="I580" s="25"/>
      <c r="J580" s="7"/>
      <c r="K580" s="15"/>
      <c r="L580" s="379">
        <f>IF(H580&lt;&gt;"",J580*K580,SUMIFS(L581:L$9844,$F581:$F$9844,"*"&amp;F580&amp;"*",$H581:$H$9844,"&lt;&gt;"))</f>
        <v>0</v>
      </c>
      <c r="M580" s="379" t="str">
        <f>IF(Tabela2[[#This Row],[UNID.]]&lt;&gt;"",IFERROR(VLOOKUP(Tabela2[[#This Row],[AGRUPADOR]],Lucratividade!$D$4:$O$129,6,0),0),"")</f>
        <v/>
      </c>
      <c r="N580" s="379">
        <f>IF(H580&lt;&gt;"",J580*M580*I580,SUMIFS(N581:N$9844,$F581:$F$9844,"*"&amp;F580&amp;"*",$H581:$H$9844,"&lt;&gt;"))</f>
        <v>0</v>
      </c>
      <c r="O580" s="162" t="str">
        <f>IFERROR((-Tabela2[[#This Row],[CUSTO TOTAL]]+Tabela2[[#This Row],[VENDA TOTAL]])/Tabela2[[#This Row],[VENDA TOTAL]]-PARAMETROS!$C$19,"")</f>
        <v/>
      </c>
      <c r="AA580" s="219">
        <f>SUM(Plan_Orc[[#This Row],[01/jan]:[01/dez]])</f>
        <v>0</v>
      </c>
      <c r="AB580" s="114"/>
      <c r="AC580" s="114"/>
      <c r="AD580" s="114"/>
      <c r="AE580" s="114"/>
      <c r="AF580" s="114"/>
      <c r="AG580" s="114"/>
      <c r="AH580" s="114"/>
      <c r="AI580" s="114"/>
      <c r="AJ580" s="114"/>
      <c r="AK580" s="114"/>
      <c r="AL580" s="114"/>
      <c r="AM580" s="114"/>
    </row>
    <row r="581" spans="2:39" ht="25.2" customHeight="1" x14ac:dyDescent="0.3">
      <c r="B581" s="13" t="str">
        <f t="shared" si="13"/>
        <v/>
      </c>
      <c r="C581" s="18"/>
      <c r="D581" s="19" t="str">
        <f>IF(Tabela2[[#This Row],[AGRUPADOR]]&lt;&gt;"",VLOOKUP(Tabela2[[#This Row],[AGRUPADOR]],Tabela1[],2,0),"")</f>
        <v/>
      </c>
      <c r="E581" s="19" t="str">
        <f>IF(Tabela2[[#This Row],[AGRUPADOR]]&lt;&gt;"",VLOOKUP(Tabela2[[#This Row],[AGRUPADOR]],Tabela1[],4,0),"")</f>
        <v/>
      </c>
      <c r="F581" s="14"/>
      <c r="G581" s="6"/>
      <c r="H581" s="6"/>
      <c r="I581" s="25"/>
      <c r="J581" s="7"/>
      <c r="K581" s="15"/>
      <c r="L581" s="379">
        <f>IF(H581&lt;&gt;"",J581*K581,SUMIFS(L582:L$9844,$F582:$F$9844,"*"&amp;F581&amp;"*",$H582:$H$9844,"&lt;&gt;"))</f>
        <v>0</v>
      </c>
      <c r="M581" s="379" t="str">
        <f>IF(Tabela2[[#This Row],[UNID.]]&lt;&gt;"",IFERROR(VLOOKUP(Tabela2[[#This Row],[AGRUPADOR]],Lucratividade!$D$4:$O$129,6,0),0),"")</f>
        <v/>
      </c>
      <c r="N581" s="379">
        <f>IF(H581&lt;&gt;"",J581*M581*I581,SUMIFS(N582:N$9844,$F582:$F$9844,"*"&amp;F581&amp;"*",$H582:$H$9844,"&lt;&gt;"))</f>
        <v>0</v>
      </c>
      <c r="O581" s="162" t="str">
        <f>IFERROR((-Tabela2[[#This Row],[CUSTO TOTAL]]+Tabela2[[#This Row],[VENDA TOTAL]])/Tabela2[[#This Row],[VENDA TOTAL]]-PARAMETROS!$C$19,"")</f>
        <v/>
      </c>
      <c r="AA581" s="219">
        <f>SUM(Plan_Orc[[#This Row],[01/jan]:[01/dez]])</f>
        <v>0</v>
      </c>
      <c r="AB581" s="114"/>
      <c r="AC581" s="114"/>
      <c r="AD581" s="114"/>
      <c r="AE581" s="114"/>
      <c r="AF581" s="114"/>
      <c r="AG581" s="114"/>
      <c r="AH581" s="114"/>
      <c r="AI581" s="114"/>
      <c r="AJ581" s="114"/>
      <c r="AK581" s="114"/>
      <c r="AL581" s="114"/>
      <c r="AM581" s="114"/>
    </row>
    <row r="582" spans="2:39" ht="25.2" customHeight="1" x14ac:dyDescent="0.3">
      <c r="B582" s="13" t="str">
        <f t="shared" si="13"/>
        <v/>
      </c>
      <c r="C582" s="18"/>
      <c r="D582" s="19" t="str">
        <f>IF(Tabela2[[#This Row],[AGRUPADOR]]&lt;&gt;"",VLOOKUP(Tabela2[[#This Row],[AGRUPADOR]],Tabela1[],2,0),"")</f>
        <v/>
      </c>
      <c r="E582" s="19" t="str">
        <f>IF(Tabela2[[#This Row],[AGRUPADOR]]&lt;&gt;"",VLOOKUP(Tabela2[[#This Row],[AGRUPADOR]],Tabela1[],4,0),"")</f>
        <v/>
      </c>
      <c r="F582" s="14"/>
      <c r="G582" s="6"/>
      <c r="H582" s="6"/>
      <c r="I582" s="25"/>
      <c r="J582" s="7"/>
      <c r="K582" s="15"/>
      <c r="L582" s="379">
        <f>IF(H582&lt;&gt;"",J582*K582,SUMIFS(L583:L$9844,$F583:$F$9844,"*"&amp;F582&amp;"*",$H583:$H$9844,"&lt;&gt;"))</f>
        <v>0</v>
      </c>
      <c r="M582" s="379" t="str">
        <f>IF(Tabela2[[#This Row],[UNID.]]&lt;&gt;"",IFERROR(VLOOKUP(Tabela2[[#This Row],[AGRUPADOR]],Lucratividade!$D$4:$O$129,6,0),0),"")</f>
        <v/>
      </c>
      <c r="N582" s="379">
        <f>IF(H582&lt;&gt;"",J582*M582*I582,SUMIFS(N583:N$9844,$F583:$F$9844,"*"&amp;F582&amp;"*",$H583:$H$9844,"&lt;&gt;"))</f>
        <v>0</v>
      </c>
      <c r="O582" s="162" t="str">
        <f>IFERROR((-Tabela2[[#This Row],[CUSTO TOTAL]]+Tabela2[[#This Row],[VENDA TOTAL]])/Tabela2[[#This Row],[VENDA TOTAL]]-PARAMETROS!$C$19,"")</f>
        <v/>
      </c>
      <c r="AA582" s="219">
        <f>SUM(Plan_Orc[[#This Row],[01/jan]:[01/dez]])</f>
        <v>0</v>
      </c>
      <c r="AB582" s="114"/>
      <c r="AC582" s="114"/>
      <c r="AD582" s="114"/>
      <c r="AE582" s="114"/>
      <c r="AF582" s="114"/>
      <c r="AG582" s="114"/>
      <c r="AH582" s="114"/>
      <c r="AI582" s="114"/>
      <c r="AJ582" s="114"/>
      <c r="AK582" s="114"/>
      <c r="AL582" s="114"/>
      <c r="AM582" s="114"/>
    </row>
    <row r="583" spans="2:39" ht="25.2" customHeight="1" x14ac:dyDescent="0.3">
      <c r="B583" s="13" t="str">
        <f t="shared" si="13"/>
        <v/>
      </c>
      <c r="C583" s="18"/>
      <c r="D583" s="19" t="str">
        <f>IF(Tabela2[[#This Row],[AGRUPADOR]]&lt;&gt;"",VLOOKUP(Tabela2[[#This Row],[AGRUPADOR]],Tabela1[],2,0),"")</f>
        <v/>
      </c>
      <c r="E583" s="19" t="str">
        <f>IF(Tabela2[[#This Row],[AGRUPADOR]]&lt;&gt;"",VLOOKUP(Tabela2[[#This Row],[AGRUPADOR]],Tabela1[],4,0),"")</f>
        <v/>
      </c>
      <c r="F583" s="14"/>
      <c r="G583" s="6"/>
      <c r="H583" s="6"/>
      <c r="I583" s="25"/>
      <c r="J583" s="7"/>
      <c r="K583" s="15"/>
      <c r="L583" s="379">
        <f>IF(H583&lt;&gt;"",J583*K583,SUMIFS(L584:L$9844,$F584:$F$9844,"*"&amp;F583&amp;"*",$H584:$H$9844,"&lt;&gt;"))</f>
        <v>0</v>
      </c>
      <c r="M583" s="379" t="str">
        <f>IF(Tabela2[[#This Row],[UNID.]]&lt;&gt;"",IFERROR(VLOOKUP(Tabela2[[#This Row],[AGRUPADOR]],Lucratividade!$D$4:$O$129,6,0),0),"")</f>
        <v/>
      </c>
      <c r="N583" s="379">
        <f>IF(H583&lt;&gt;"",J583*M583*I583,SUMIFS(N584:N$9844,$F584:$F$9844,"*"&amp;F583&amp;"*",$H584:$H$9844,"&lt;&gt;"))</f>
        <v>0</v>
      </c>
      <c r="O583" s="162" t="str">
        <f>IFERROR((-Tabela2[[#This Row],[CUSTO TOTAL]]+Tabela2[[#This Row],[VENDA TOTAL]])/Tabela2[[#This Row],[VENDA TOTAL]]-PARAMETROS!$C$19,"")</f>
        <v/>
      </c>
      <c r="AA583" s="219">
        <f>SUM(Plan_Orc[[#This Row],[01/jan]:[01/dez]])</f>
        <v>0</v>
      </c>
      <c r="AB583" s="114"/>
      <c r="AC583" s="114"/>
      <c r="AD583" s="114"/>
      <c r="AE583" s="114"/>
      <c r="AF583" s="114"/>
      <c r="AG583" s="114"/>
      <c r="AH583" s="114"/>
      <c r="AI583" s="114"/>
      <c r="AJ583" s="114"/>
      <c r="AK583" s="114"/>
      <c r="AL583" s="114"/>
      <c r="AM583" s="114"/>
    </row>
    <row r="584" spans="2:39" ht="25.2" customHeight="1" x14ac:dyDescent="0.3">
      <c r="B584" s="13" t="str">
        <f t="shared" si="13"/>
        <v/>
      </c>
      <c r="C584" s="18"/>
      <c r="D584" s="19" t="str">
        <f>IF(Tabela2[[#This Row],[AGRUPADOR]]&lt;&gt;"",VLOOKUP(Tabela2[[#This Row],[AGRUPADOR]],Tabela1[],2,0),"")</f>
        <v/>
      </c>
      <c r="E584" s="19" t="str">
        <f>IF(Tabela2[[#This Row],[AGRUPADOR]]&lt;&gt;"",VLOOKUP(Tabela2[[#This Row],[AGRUPADOR]],Tabela1[],4,0),"")</f>
        <v/>
      </c>
      <c r="F584" s="14"/>
      <c r="G584" s="6"/>
      <c r="H584" s="6"/>
      <c r="I584" s="25"/>
      <c r="J584" s="7"/>
      <c r="K584" s="15"/>
      <c r="L584" s="379">
        <f>IF(H584&lt;&gt;"",J584*K584,SUMIFS(L585:L$9844,$F585:$F$9844,"*"&amp;F584&amp;"*",$H585:$H$9844,"&lt;&gt;"))</f>
        <v>0</v>
      </c>
      <c r="M584" s="379" t="str">
        <f>IF(Tabela2[[#This Row],[UNID.]]&lt;&gt;"",IFERROR(VLOOKUP(Tabela2[[#This Row],[AGRUPADOR]],Lucratividade!$D$4:$O$129,6,0),0),"")</f>
        <v/>
      </c>
      <c r="N584" s="379">
        <f>IF(H584&lt;&gt;"",J584*M584*I584,SUMIFS(N585:N$9844,$F585:$F$9844,"*"&amp;F584&amp;"*",$H585:$H$9844,"&lt;&gt;"))</f>
        <v>0</v>
      </c>
      <c r="O584" s="162" t="str">
        <f>IFERROR((-Tabela2[[#This Row],[CUSTO TOTAL]]+Tabela2[[#This Row],[VENDA TOTAL]])/Tabela2[[#This Row],[VENDA TOTAL]]-PARAMETROS!$C$19,"")</f>
        <v/>
      </c>
      <c r="AA584" s="219">
        <f>SUM(Plan_Orc[[#This Row],[01/jan]:[01/dez]])</f>
        <v>0</v>
      </c>
      <c r="AB584" s="114"/>
      <c r="AC584" s="114"/>
      <c r="AD584" s="114"/>
      <c r="AE584" s="114"/>
      <c r="AF584" s="114"/>
      <c r="AG584" s="114"/>
      <c r="AH584" s="114"/>
      <c r="AI584" s="114"/>
      <c r="AJ584" s="114"/>
      <c r="AK584" s="114"/>
      <c r="AL584" s="114"/>
      <c r="AM584" s="114"/>
    </row>
    <row r="585" spans="2:39" ht="25.2" customHeight="1" x14ac:dyDescent="0.3">
      <c r="B585" s="13" t="str">
        <f t="shared" si="13"/>
        <v/>
      </c>
      <c r="C585" s="18"/>
      <c r="D585" s="19" t="str">
        <f>IF(Tabela2[[#This Row],[AGRUPADOR]]&lt;&gt;"",VLOOKUP(Tabela2[[#This Row],[AGRUPADOR]],Tabela1[],2,0),"")</f>
        <v/>
      </c>
      <c r="E585" s="19" t="str">
        <f>IF(Tabela2[[#This Row],[AGRUPADOR]]&lt;&gt;"",VLOOKUP(Tabela2[[#This Row],[AGRUPADOR]],Tabela1[],4,0),"")</f>
        <v/>
      </c>
      <c r="F585" s="14"/>
      <c r="G585" s="6"/>
      <c r="H585" s="6"/>
      <c r="I585" s="25"/>
      <c r="J585" s="7"/>
      <c r="K585" s="15"/>
      <c r="L585" s="379">
        <f>IF(H585&lt;&gt;"",J585*K585,SUMIFS(L586:L$9844,$F586:$F$9844,"*"&amp;F585&amp;"*",$H586:$H$9844,"&lt;&gt;"))</f>
        <v>0</v>
      </c>
      <c r="M585" s="379" t="str">
        <f>IF(Tabela2[[#This Row],[UNID.]]&lt;&gt;"",IFERROR(VLOOKUP(Tabela2[[#This Row],[AGRUPADOR]],Lucratividade!$D$4:$O$129,6,0),0),"")</f>
        <v/>
      </c>
      <c r="N585" s="379">
        <f>IF(H585&lt;&gt;"",J585*M585*I585,SUMIFS(N586:N$9844,$F586:$F$9844,"*"&amp;F585&amp;"*",$H586:$H$9844,"&lt;&gt;"))</f>
        <v>0</v>
      </c>
      <c r="O585" s="162" t="str">
        <f>IFERROR((-Tabela2[[#This Row],[CUSTO TOTAL]]+Tabela2[[#This Row],[VENDA TOTAL]])/Tabela2[[#This Row],[VENDA TOTAL]]-PARAMETROS!$C$19,"")</f>
        <v/>
      </c>
      <c r="AA585" s="219">
        <f>SUM(Plan_Orc[[#This Row],[01/jan]:[01/dez]])</f>
        <v>0</v>
      </c>
      <c r="AB585" s="114"/>
      <c r="AC585" s="114"/>
      <c r="AD585" s="114"/>
      <c r="AE585" s="114"/>
      <c r="AF585" s="114"/>
      <c r="AG585" s="114"/>
      <c r="AH585" s="114"/>
      <c r="AI585" s="114"/>
      <c r="AJ585" s="114"/>
      <c r="AK585" s="114"/>
      <c r="AL585" s="114"/>
      <c r="AM585" s="114"/>
    </row>
    <row r="586" spans="2:39" ht="25.2" customHeight="1" x14ac:dyDescent="0.3">
      <c r="B586" s="13" t="str">
        <f t="shared" si="13"/>
        <v/>
      </c>
      <c r="C586" s="18"/>
      <c r="D586" s="19" t="str">
        <f>IF(Tabela2[[#This Row],[AGRUPADOR]]&lt;&gt;"",VLOOKUP(Tabela2[[#This Row],[AGRUPADOR]],Tabela1[],2,0),"")</f>
        <v/>
      </c>
      <c r="E586" s="19" t="str">
        <f>IF(Tabela2[[#This Row],[AGRUPADOR]]&lt;&gt;"",VLOOKUP(Tabela2[[#This Row],[AGRUPADOR]],Tabela1[],4,0),"")</f>
        <v/>
      </c>
      <c r="F586" s="14"/>
      <c r="G586" s="6"/>
      <c r="H586" s="6"/>
      <c r="I586" s="25"/>
      <c r="J586" s="7"/>
      <c r="K586" s="15"/>
      <c r="L586" s="379">
        <f>IF(H586&lt;&gt;"",J586*K586,SUMIFS(L587:L$9844,$F587:$F$9844,"*"&amp;F586&amp;"*",$H587:$H$9844,"&lt;&gt;"))</f>
        <v>0</v>
      </c>
      <c r="M586" s="379" t="str">
        <f>IF(Tabela2[[#This Row],[UNID.]]&lt;&gt;"",IFERROR(VLOOKUP(Tabela2[[#This Row],[AGRUPADOR]],Lucratividade!$D$4:$O$129,6,0),0),"")</f>
        <v/>
      </c>
      <c r="N586" s="379">
        <f>IF(H586&lt;&gt;"",J586*M586*I586,SUMIFS(N587:N$9844,$F587:$F$9844,"*"&amp;F586&amp;"*",$H587:$H$9844,"&lt;&gt;"))</f>
        <v>0</v>
      </c>
      <c r="O586" s="162" t="str">
        <f>IFERROR((-Tabela2[[#This Row],[CUSTO TOTAL]]+Tabela2[[#This Row],[VENDA TOTAL]])/Tabela2[[#This Row],[VENDA TOTAL]]-PARAMETROS!$C$19,"")</f>
        <v/>
      </c>
      <c r="AA586" s="219">
        <f>SUM(Plan_Orc[[#This Row],[01/jan]:[01/dez]])</f>
        <v>0</v>
      </c>
      <c r="AB586" s="114"/>
      <c r="AC586" s="114"/>
      <c r="AD586" s="114"/>
      <c r="AE586" s="114"/>
      <c r="AF586" s="114"/>
      <c r="AG586" s="114"/>
      <c r="AH586" s="114"/>
      <c r="AI586" s="114"/>
      <c r="AJ586" s="114"/>
      <c r="AK586" s="114"/>
      <c r="AL586" s="114"/>
      <c r="AM586" s="114"/>
    </row>
    <row r="587" spans="2:39" ht="25.2" customHeight="1" x14ac:dyDescent="0.3">
      <c r="B587" s="13" t="str">
        <f t="shared" si="13"/>
        <v/>
      </c>
      <c r="C587" s="18"/>
      <c r="D587" s="19" t="str">
        <f>IF(Tabela2[[#This Row],[AGRUPADOR]]&lt;&gt;"",VLOOKUP(Tabela2[[#This Row],[AGRUPADOR]],Tabela1[],2,0),"")</f>
        <v/>
      </c>
      <c r="E587" s="19" t="str">
        <f>IF(Tabela2[[#This Row],[AGRUPADOR]]&lt;&gt;"",VLOOKUP(Tabela2[[#This Row],[AGRUPADOR]],Tabela1[],4,0),"")</f>
        <v/>
      </c>
      <c r="F587" s="14"/>
      <c r="G587" s="6"/>
      <c r="H587" s="6"/>
      <c r="I587" s="25"/>
      <c r="J587" s="7"/>
      <c r="K587" s="15"/>
      <c r="L587" s="379">
        <f>IF(H587&lt;&gt;"",J587*K587,SUMIFS(L588:L$9844,$F588:$F$9844,"*"&amp;F587&amp;"*",$H588:$H$9844,"&lt;&gt;"))</f>
        <v>0</v>
      </c>
      <c r="M587" s="379" t="str">
        <f>IF(Tabela2[[#This Row],[UNID.]]&lt;&gt;"",IFERROR(VLOOKUP(Tabela2[[#This Row],[AGRUPADOR]],Lucratividade!$D$4:$O$129,6,0),0),"")</f>
        <v/>
      </c>
      <c r="N587" s="379">
        <f>IF(H587&lt;&gt;"",J587*M587*I587,SUMIFS(N588:N$9844,$F588:$F$9844,"*"&amp;F587&amp;"*",$H588:$H$9844,"&lt;&gt;"))</f>
        <v>0</v>
      </c>
      <c r="O587" s="162" t="str">
        <f>IFERROR((-Tabela2[[#This Row],[CUSTO TOTAL]]+Tabela2[[#This Row],[VENDA TOTAL]])/Tabela2[[#This Row],[VENDA TOTAL]]-PARAMETROS!$C$19,"")</f>
        <v/>
      </c>
      <c r="AA587" s="219">
        <f>SUM(Plan_Orc[[#This Row],[01/jan]:[01/dez]])</f>
        <v>0</v>
      </c>
      <c r="AB587" s="114"/>
      <c r="AC587" s="114"/>
      <c r="AD587" s="114"/>
      <c r="AE587" s="114"/>
      <c r="AF587" s="114"/>
      <c r="AG587" s="114"/>
      <c r="AH587" s="114"/>
      <c r="AI587" s="114"/>
      <c r="AJ587" s="114"/>
      <c r="AK587" s="114"/>
      <c r="AL587" s="114"/>
      <c r="AM587" s="114"/>
    </row>
    <row r="588" spans="2:39" ht="25.2" customHeight="1" x14ac:dyDescent="0.3">
      <c r="B588" s="13" t="str">
        <f t="shared" si="13"/>
        <v/>
      </c>
      <c r="C588" s="18"/>
      <c r="D588" s="19" t="str">
        <f>IF(Tabela2[[#This Row],[AGRUPADOR]]&lt;&gt;"",VLOOKUP(Tabela2[[#This Row],[AGRUPADOR]],Tabela1[],2,0),"")</f>
        <v/>
      </c>
      <c r="E588" s="19" t="str">
        <f>IF(Tabela2[[#This Row],[AGRUPADOR]]&lt;&gt;"",VLOOKUP(Tabela2[[#This Row],[AGRUPADOR]],Tabela1[],4,0),"")</f>
        <v/>
      </c>
      <c r="F588" s="14"/>
      <c r="G588" s="6"/>
      <c r="H588" s="6"/>
      <c r="I588" s="25"/>
      <c r="J588" s="7"/>
      <c r="K588" s="15"/>
      <c r="L588" s="379">
        <f>IF(H588&lt;&gt;"",J588*K588,SUMIFS(L589:L$9844,$F589:$F$9844,"*"&amp;F588&amp;"*",$H589:$H$9844,"&lt;&gt;"))</f>
        <v>0</v>
      </c>
      <c r="M588" s="379" t="str">
        <f>IF(Tabela2[[#This Row],[UNID.]]&lt;&gt;"",IFERROR(VLOOKUP(Tabela2[[#This Row],[AGRUPADOR]],Lucratividade!$D$4:$O$129,6,0),0),"")</f>
        <v/>
      </c>
      <c r="N588" s="379">
        <f>IF(H588&lt;&gt;"",J588*M588*I588,SUMIFS(N589:N$9844,$F589:$F$9844,"*"&amp;F588&amp;"*",$H589:$H$9844,"&lt;&gt;"))</f>
        <v>0</v>
      </c>
      <c r="O588" s="162" t="str">
        <f>IFERROR((-Tabela2[[#This Row],[CUSTO TOTAL]]+Tabela2[[#This Row],[VENDA TOTAL]])/Tabela2[[#This Row],[VENDA TOTAL]]-PARAMETROS!$C$19,"")</f>
        <v/>
      </c>
      <c r="AA588" s="219">
        <f>SUM(Plan_Orc[[#This Row],[01/jan]:[01/dez]])</f>
        <v>0</v>
      </c>
      <c r="AB588" s="114"/>
      <c r="AC588" s="114"/>
      <c r="AD588" s="114"/>
      <c r="AE588" s="114"/>
      <c r="AF588" s="114"/>
      <c r="AG588" s="114"/>
      <c r="AH588" s="114"/>
      <c r="AI588" s="114"/>
      <c r="AJ588" s="114"/>
      <c r="AK588" s="114"/>
      <c r="AL588" s="114"/>
      <c r="AM588" s="114"/>
    </row>
    <row r="589" spans="2:39" ht="25.2" customHeight="1" x14ac:dyDescent="0.3">
      <c r="B589" s="13" t="str">
        <f t="shared" si="13"/>
        <v/>
      </c>
      <c r="C589" s="18"/>
      <c r="D589" s="19" t="str">
        <f>IF(Tabela2[[#This Row],[AGRUPADOR]]&lt;&gt;"",VLOOKUP(Tabela2[[#This Row],[AGRUPADOR]],Tabela1[],2,0),"")</f>
        <v/>
      </c>
      <c r="E589" s="19" t="str">
        <f>IF(Tabela2[[#This Row],[AGRUPADOR]]&lt;&gt;"",VLOOKUP(Tabela2[[#This Row],[AGRUPADOR]],Tabela1[],4,0),"")</f>
        <v/>
      </c>
      <c r="F589" s="14"/>
      <c r="G589" s="6"/>
      <c r="H589" s="6"/>
      <c r="I589" s="25"/>
      <c r="J589" s="7"/>
      <c r="K589" s="15"/>
      <c r="L589" s="379">
        <f>IF(H589&lt;&gt;"",J589*K589,SUMIFS(L590:L$9844,$F590:$F$9844,"*"&amp;F589&amp;"*",$H590:$H$9844,"&lt;&gt;"))</f>
        <v>0</v>
      </c>
      <c r="M589" s="379" t="str">
        <f>IF(Tabela2[[#This Row],[UNID.]]&lt;&gt;"",IFERROR(VLOOKUP(Tabela2[[#This Row],[AGRUPADOR]],Lucratividade!$D$4:$O$129,6,0),0),"")</f>
        <v/>
      </c>
      <c r="N589" s="379">
        <f>IF(H589&lt;&gt;"",J589*M589*I589,SUMIFS(N590:N$9844,$F590:$F$9844,"*"&amp;F589&amp;"*",$H590:$H$9844,"&lt;&gt;"))</f>
        <v>0</v>
      </c>
      <c r="O589" s="162" t="str">
        <f>IFERROR((-Tabela2[[#This Row],[CUSTO TOTAL]]+Tabela2[[#This Row],[VENDA TOTAL]])/Tabela2[[#This Row],[VENDA TOTAL]]-PARAMETROS!$C$19,"")</f>
        <v/>
      </c>
      <c r="AA589" s="219">
        <f>SUM(Plan_Orc[[#This Row],[01/jan]:[01/dez]])</f>
        <v>0</v>
      </c>
      <c r="AB589" s="114"/>
      <c r="AC589" s="114"/>
      <c r="AD589" s="114"/>
      <c r="AE589" s="114"/>
      <c r="AF589" s="114"/>
      <c r="AG589" s="114"/>
      <c r="AH589" s="114"/>
      <c r="AI589" s="114"/>
      <c r="AJ589" s="114"/>
      <c r="AK589" s="114"/>
      <c r="AL589" s="114"/>
      <c r="AM589" s="114"/>
    </row>
    <row r="590" spans="2:39" ht="25.2" customHeight="1" x14ac:dyDescent="0.3">
      <c r="B590" s="13" t="str">
        <f t="shared" si="13"/>
        <v/>
      </c>
      <c r="C590" s="18"/>
      <c r="D590" s="19" t="str">
        <f>IF(Tabela2[[#This Row],[AGRUPADOR]]&lt;&gt;"",VLOOKUP(Tabela2[[#This Row],[AGRUPADOR]],Tabela1[],2,0),"")</f>
        <v/>
      </c>
      <c r="E590" s="19" t="str">
        <f>IF(Tabela2[[#This Row],[AGRUPADOR]]&lt;&gt;"",VLOOKUP(Tabela2[[#This Row],[AGRUPADOR]],Tabela1[],4,0),"")</f>
        <v/>
      </c>
      <c r="F590" s="14"/>
      <c r="G590" s="6"/>
      <c r="H590" s="6"/>
      <c r="I590" s="25"/>
      <c r="J590" s="7"/>
      <c r="K590" s="15"/>
      <c r="L590" s="379">
        <f>IF(H590&lt;&gt;"",J590*K590,SUMIFS(L591:L$9844,$F591:$F$9844,"*"&amp;F590&amp;"*",$H591:$H$9844,"&lt;&gt;"))</f>
        <v>0</v>
      </c>
      <c r="M590" s="379" t="str">
        <f>IF(Tabela2[[#This Row],[UNID.]]&lt;&gt;"",IFERROR(VLOOKUP(Tabela2[[#This Row],[AGRUPADOR]],Lucratividade!$D$4:$O$129,6,0),0),"")</f>
        <v/>
      </c>
      <c r="N590" s="379">
        <f>IF(H590&lt;&gt;"",J590*M590*I590,SUMIFS(N591:N$9844,$F591:$F$9844,"*"&amp;F590&amp;"*",$H591:$H$9844,"&lt;&gt;"))</f>
        <v>0</v>
      </c>
      <c r="O590" s="162" t="str">
        <f>IFERROR((-Tabela2[[#This Row],[CUSTO TOTAL]]+Tabela2[[#This Row],[VENDA TOTAL]])/Tabela2[[#This Row],[VENDA TOTAL]]-PARAMETROS!$C$19,"")</f>
        <v/>
      </c>
      <c r="AA590" s="219">
        <f>SUM(Plan_Orc[[#This Row],[01/jan]:[01/dez]])</f>
        <v>0</v>
      </c>
      <c r="AB590" s="114"/>
      <c r="AC590" s="114"/>
      <c r="AD590" s="114"/>
      <c r="AE590" s="114"/>
      <c r="AF590" s="114"/>
      <c r="AG590" s="114"/>
      <c r="AH590" s="114"/>
      <c r="AI590" s="114"/>
      <c r="AJ590" s="114"/>
      <c r="AK590" s="114"/>
      <c r="AL590" s="114"/>
      <c r="AM590" s="114"/>
    </row>
    <row r="591" spans="2:39" ht="25.2" customHeight="1" x14ac:dyDescent="0.3">
      <c r="B591" s="13" t="str">
        <f t="shared" si="13"/>
        <v/>
      </c>
      <c r="C591" s="18"/>
      <c r="D591" s="19" t="str">
        <f>IF(Tabela2[[#This Row],[AGRUPADOR]]&lt;&gt;"",VLOOKUP(Tabela2[[#This Row],[AGRUPADOR]],Tabela1[],2,0),"")</f>
        <v/>
      </c>
      <c r="E591" s="19" t="str">
        <f>IF(Tabela2[[#This Row],[AGRUPADOR]]&lt;&gt;"",VLOOKUP(Tabela2[[#This Row],[AGRUPADOR]],Tabela1[],4,0),"")</f>
        <v/>
      </c>
      <c r="F591" s="14"/>
      <c r="G591" s="6"/>
      <c r="H591" s="6"/>
      <c r="I591" s="25"/>
      <c r="J591" s="7"/>
      <c r="K591" s="15"/>
      <c r="L591" s="379">
        <f>IF(H591&lt;&gt;"",J591*K591,SUMIFS(L592:L$9844,$F592:$F$9844,"*"&amp;F591&amp;"*",$H592:$H$9844,"&lt;&gt;"))</f>
        <v>0</v>
      </c>
      <c r="M591" s="379" t="str">
        <f>IF(Tabela2[[#This Row],[UNID.]]&lt;&gt;"",IFERROR(VLOOKUP(Tabela2[[#This Row],[AGRUPADOR]],Lucratividade!$D$4:$O$129,6,0),0),"")</f>
        <v/>
      </c>
      <c r="N591" s="379">
        <f>IF(H591&lt;&gt;"",J591*M591*I591,SUMIFS(N592:N$9844,$F592:$F$9844,"*"&amp;F591&amp;"*",$H592:$H$9844,"&lt;&gt;"))</f>
        <v>0</v>
      </c>
      <c r="O591" s="162" t="str">
        <f>IFERROR((-Tabela2[[#This Row],[CUSTO TOTAL]]+Tabela2[[#This Row],[VENDA TOTAL]])/Tabela2[[#This Row],[VENDA TOTAL]]-PARAMETROS!$C$19,"")</f>
        <v/>
      </c>
      <c r="AA591" s="219">
        <f>SUM(Plan_Orc[[#This Row],[01/jan]:[01/dez]])</f>
        <v>0</v>
      </c>
      <c r="AB591" s="114"/>
      <c r="AC591" s="114"/>
      <c r="AD591" s="114"/>
      <c r="AE591" s="114"/>
      <c r="AF591" s="114"/>
      <c r="AG591" s="114"/>
      <c r="AH591" s="114"/>
      <c r="AI591" s="114"/>
      <c r="AJ591" s="114"/>
      <c r="AK591" s="114"/>
      <c r="AL591" s="114"/>
      <c r="AM591" s="114"/>
    </row>
    <row r="592" spans="2:39" ht="25.2" customHeight="1" x14ac:dyDescent="0.3">
      <c r="B592" s="13" t="str">
        <f t="shared" si="13"/>
        <v/>
      </c>
      <c r="C592" s="18"/>
      <c r="D592" s="19" t="str">
        <f>IF(Tabela2[[#This Row],[AGRUPADOR]]&lt;&gt;"",VLOOKUP(Tabela2[[#This Row],[AGRUPADOR]],Tabela1[],2,0),"")</f>
        <v/>
      </c>
      <c r="E592" s="19" t="str">
        <f>IF(Tabela2[[#This Row],[AGRUPADOR]]&lt;&gt;"",VLOOKUP(Tabela2[[#This Row],[AGRUPADOR]],Tabela1[],4,0),"")</f>
        <v/>
      </c>
      <c r="F592" s="14"/>
      <c r="G592" s="6"/>
      <c r="H592" s="6"/>
      <c r="I592" s="25"/>
      <c r="J592" s="7"/>
      <c r="K592" s="15"/>
      <c r="L592" s="379">
        <f>IF(H592&lt;&gt;"",J592*K592,SUMIFS(L593:L$9844,$F593:$F$9844,"*"&amp;F592&amp;"*",$H593:$H$9844,"&lt;&gt;"))</f>
        <v>0</v>
      </c>
      <c r="M592" s="379" t="str">
        <f>IF(Tabela2[[#This Row],[UNID.]]&lt;&gt;"",IFERROR(VLOOKUP(Tabela2[[#This Row],[AGRUPADOR]],Lucratividade!$D$4:$O$129,6,0),0),"")</f>
        <v/>
      </c>
      <c r="N592" s="379">
        <f>IF(H592&lt;&gt;"",J592*M592*I592,SUMIFS(N593:N$9844,$F593:$F$9844,"*"&amp;F592&amp;"*",$H593:$H$9844,"&lt;&gt;"))</f>
        <v>0</v>
      </c>
      <c r="O592" s="162" t="str">
        <f>IFERROR((-Tabela2[[#This Row],[CUSTO TOTAL]]+Tabela2[[#This Row],[VENDA TOTAL]])/Tabela2[[#This Row],[VENDA TOTAL]]-PARAMETROS!$C$19,"")</f>
        <v/>
      </c>
      <c r="AA592" s="219">
        <f>SUM(Plan_Orc[[#This Row],[01/jan]:[01/dez]])</f>
        <v>0</v>
      </c>
      <c r="AB592" s="114"/>
      <c r="AC592" s="114"/>
      <c r="AD592" s="114"/>
      <c r="AE592" s="114"/>
      <c r="AF592" s="114"/>
      <c r="AG592" s="114"/>
      <c r="AH592" s="114"/>
      <c r="AI592" s="114"/>
      <c r="AJ592" s="114"/>
      <c r="AK592" s="114"/>
      <c r="AL592" s="114"/>
      <c r="AM592" s="114"/>
    </row>
    <row r="593" spans="2:39" ht="25.2" customHeight="1" x14ac:dyDescent="0.3">
      <c r="B593" s="13" t="str">
        <f t="shared" si="13"/>
        <v/>
      </c>
      <c r="C593" s="18"/>
      <c r="D593" s="19" t="str">
        <f>IF(Tabela2[[#This Row],[AGRUPADOR]]&lt;&gt;"",VLOOKUP(Tabela2[[#This Row],[AGRUPADOR]],Tabela1[],2,0),"")</f>
        <v/>
      </c>
      <c r="E593" s="19" t="str">
        <f>IF(Tabela2[[#This Row],[AGRUPADOR]]&lt;&gt;"",VLOOKUP(Tabela2[[#This Row],[AGRUPADOR]],Tabela1[],4,0),"")</f>
        <v/>
      </c>
      <c r="F593" s="14"/>
      <c r="G593" s="6"/>
      <c r="H593" s="6"/>
      <c r="I593" s="25"/>
      <c r="J593" s="7"/>
      <c r="K593" s="15"/>
      <c r="L593" s="379">
        <f>IF(H593&lt;&gt;"",J593*K593,SUMIFS(L594:L$9844,$F594:$F$9844,"*"&amp;F593&amp;"*",$H594:$H$9844,"&lt;&gt;"))</f>
        <v>0</v>
      </c>
      <c r="M593" s="379" t="str">
        <f>IF(Tabela2[[#This Row],[UNID.]]&lt;&gt;"",IFERROR(VLOOKUP(Tabela2[[#This Row],[AGRUPADOR]],Lucratividade!$D$4:$O$129,6,0),0),"")</f>
        <v/>
      </c>
      <c r="N593" s="379">
        <f>IF(H593&lt;&gt;"",J593*M593*I593,SUMIFS(N594:N$9844,$F594:$F$9844,"*"&amp;F593&amp;"*",$H594:$H$9844,"&lt;&gt;"))</f>
        <v>0</v>
      </c>
      <c r="O593" s="162" t="str">
        <f>IFERROR((-Tabela2[[#This Row],[CUSTO TOTAL]]+Tabela2[[#This Row],[VENDA TOTAL]])/Tabela2[[#This Row],[VENDA TOTAL]]-PARAMETROS!$C$19,"")</f>
        <v/>
      </c>
      <c r="AA593" s="219">
        <f>SUM(Plan_Orc[[#This Row],[01/jan]:[01/dez]])</f>
        <v>0</v>
      </c>
      <c r="AB593" s="114"/>
      <c r="AC593" s="114"/>
      <c r="AD593" s="114"/>
      <c r="AE593" s="114"/>
      <c r="AF593" s="114"/>
      <c r="AG593" s="114"/>
      <c r="AH593" s="114"/>
      <c r="AI593" s="114"/>
      <c r="AJ593" s="114"/>
      <c r="AK593" s="114"/>
      <c r="AL593" s="114"/>
      <c r="AM593" s="114"/>
    </row>
    <row r="594" spans="2:39" ht="25.2" customHeight="1" x14ac:dyDescent="0.3">
      <c r="B594" s="13" t="str">
        <f t="shared" si="13"/>
        <v/>
      </c>
      <c r="C594" s="18"/>
      <c r="D594" s="19" t="str">
        <f>IF(Tabela2[[#This Row],[AGRUPADOR]]&lt;&gt;"",VLOOKUP(Tabela2[[#This Row],[AGRUPADOR]],Tabela1[],2,0),"")</f>
        <v/>
      </c>
      <c r="E594" s="19" t="str">
        <f>IF(Tabela2[[#This Row],[AGRUPADOR]]&lt;&gt;"",VLOOKUP(Tabela2[[#This Row],[AGRUPADOR]],Tabela1[],4,0),"")</f>
        <v/>
      </c>
      <c r="F594" s="14"/>
      <c r="G594" s="6"/>
      <c r="H594" s="6"/>
      <c r="I594" s="25"/>
      <c r="J594" s="7"/>
      <c r="K594" s="15"/>
      <c r="L594" s="379">
        <f>IF(H594&lt;&gt;"",J594*K594,SUMIFS(L595:L$9844,$F595:$F$9844,"*"&amp;F594&amp;"*",$H595:$H$9844,"&lt;&gt;"))</f>
        <v>0</v>
      </c>
      <c r="M594" s="379" t="str">
        <f>IF(Tabela2[[#This Row],[UNID.]]&lt;&gt;"",IFERROR(VLOOKUP(Tabela2[[#This Row],[AGRUPADOR]],Lucratividade!$D$4:$O$129,6,0),0),"")</f>
        <v/>
      </c>
      <c r="N594" s="379">
        <f>IF(H594&lt;&gt;"",J594*M594*I594,SUMIFS(N595:N$9844,$F595:$F$9844,"*"&amp;F594&amp;"*",$H595:$H$9844,"&lt;&gt;"))</f>
        <v>0</v>
      </c>
      <c r="O594" s="162" t="str">
        <f>IFERROR((-Tabela2[[#This Row],[CUSTO TOTAL]]+Tabela2[[#This Row],[VENDA TOTAL]])/Tabela2[[#This Row],[VENDA TOTAL]]-PARAMETROS!$C$19,"")</f>
        <v/>
      </c>
      <c r="AA594" s="219">
        <f>SUM(Plan_Orc[[#This Row],[01/jan]:[01/dez]])</f>
        <v>0</v>
      </c>
      <c r="AB594" s="114"/>
      <c r="AC594" s="114"/>
      <c r="AD594" s="114"/>
      <c r="AE594" s="114"/>
      <c r="AF594" s="114"/>
      <c r="AG594" s="114"/>
      <c r="AH594" s="114"/>
      <c r="AI594" s="114"/>
      <c r="AJ594" s="114"/>
      <c r="AK594" s="114"/>
      <c r="AL594" s="114"/>
      <c r="AM594" s="114"/>
    </row>
    <row r="595" spans="2:39" ht="25.2" customHeight="1" x14ac:dyDescent="0.3">
      <c r="B595" s="13" t="str">
        <f t="shared" si="13"/>
        <v/>
      </c>
      <c r="C595" s="18"/>
      <c r="D595" s="19" t="str">
        <f>IF(Tabela2[[#This Row],[AGRUPADOR]]&lt;&gt;"",VLOOKUP(Tabela2[[#This Row],[AGRUPADOR]],Tabela1[],2,0),"")</f>
        <v/>
      </c>
      <c r="E595" s="19" t="str">
        <f>IF(Tabela2[[#This Row],[AGRUPADOR]]&lt;&gt;"",VLOOKUP(Tabela2[[#This Row],[AGRUPADOR]],Tabela1[],4,0),"")</f>
        <v/>
      </c>
      <c r="F595" s="14"/>
      <c r="G595" s="6"/>
      <c r="H595" s="6"/>
      <c r="I595" s="25"/>
      <c r="J595" s="7"/>
      <c r="K595" s="15"/>
      <c r="L595" s="379">
        <f>IF(H595&lt;&gt;"",J595*K595,SUMIFS(L596:L$9844,$F596:$F$9844,"*"&amp;F595&amp;"*",$H596:$H$9844,"&lt;&gt;"))</f>
        <v>0</v>
      </c>
      <c r="M595" s="379" t="str">
        <f>IF(Tabela2[[#This Row],[UNID.]]&lt;&gt;"",IFERROR(VLOOKUP(Tabela2[[#This Row],[AGRUPADOR]],Lucratividade!$D$4:$O$129,6,0),0),"")</f>
        <v/>
      </c>
      <c r="N595" s="379">
        <f>IF(H595&lt;&gt;"",J595*M595*I595,SUMIFS(N596:N$9844,$F596:$F$9844,"*"&amp;F595&amp;"*",$H596:$H$9844,"&lt;&gt;"))</f>
        <v>0</v>
      </c>
      <c r="O595" s="162" t="str">
        <f>IFERROR((-Tabela2[[#This Row],[CUSTO TOTAL]]+Tabela2[[#This Row],[VENDA TOTAL]])/Tabela2[[#This Row],[VENDA TOTAL]]-PARAMETROS!$C$19,"")</f>
        <v/>
      </c>
      <c r="AA595" s="219">
        <f>SUM(Plan_Orc[[#This Row],[01/jan]:[01/dez]])</f>
        <v>0</v>
      </c>
      <c r="AB595" s="114"/>
      <c r="AC595" s="114"/>
      <c r="AD595" s="114"/>
      <c r="AE595" s="114"/>
      <c r="AF595" s="114"/>
      <c r="AG595" s="114"/>
      <c r="AH595" s="114"/>
      <c r="AI595" s="114"/>
      <c r="AJ595" s="114"/>
      <c r="AK595" s="114"/>
      <c r="AL595" s="114"/>
      <c r="AM595" s="114"/>
    </row>
    <row r="596" spans="2:39" ht="25.2" customHeight="1" x14ac:dyDescent="0.3">
      <c r="B596" s="13" t="str">
        <f t="shared" si="13"/>
        <v/>
      </c>
      <c r="C596" s="18"/>
      <c r="D596" s="19" t="str">
        <f>IF(Tabela2[[#This Row],[AGRUPADOR]]&lt;&gt;"",VLOOKUP(Tabela2[[#This Row],[AGRUPADOR]],Tabela1[],2,0),"")</f>
        <v/>
      </c>
      <c r="E596" s="19" t="str">
        <f>IF(Tabela2[[#This Row],[AGRUPADOR]]&lt;&gt;"",VLOOKUP(Tabela2[[#This Row],[AGRUPADOR]],Tabela1[],4,0),"")</f>
        <v/>
      </c>
      <c r="F596" s="14"/>
      <c r="G596" s="6"/>
      <c r="H596" s="6"/>
      <c r="I596" s="25"/>
      <c r="J596" s="7"/>
      <c r="K596" s="15"/>
      <c r="L596" s="379">
        <f>IF(H596&lt;&gt;"",J596*K596,SUMIFS(L597:L$9844,$F597:$F$9844,"*"&amp;F596&amp;"*",$H597:$H$9844,"&lt;&gt;"))</f>
        <v>0</v>
      </c>
      <c r="M596" s="379" t="str">
        <f>IF(Tabela2[[#This Row],[UNID.]]&lt;&gt;"",IFERROR(VLOOKUP(Tabela2[[#This Row],[AGRUPADOR]],Lucratividade!$D$4:$O$129,6,0),0),"")</f>
        <v/>
      </c>
      <c r="N596" s="379">
        <f>IF(H596&lt;&gt;"",J596*M596*I596,SUMIFS(N597:N$9844,$F597:$F$9844,"*"&amp;F596&amp;"*",$H597:$H$9844,"&lt;&gt;"))</f>
        <v>0</v>
      </c>
      <c r="O596" s="162" t="str">
        <f>IFERROR((-Tabela2[[#This Row],[CUSTO TOTAL]]+Tabela2[[#This Row],[VENDA TOTAL]])/Tabela2[[#This Row],[VENDA TOTAL]]-PARAMETROS!$C$19,"")</f>
        <v/>
      </c>
      <c r="AA596" s="219">
        <f>SUM(Plan_Orc[[#This Row],[01/jan]:[01/dez]])</f>
        <v>0</v>
      </c>
      <c r="AB596" s="114"/>
      <c r="AC596" s="114"/>
      <c r="AD596" s="114"/>
      <c r="AE596" s="114"/>
      <c r="AF596" s="114"/>
      <c r="AG596" s="114"/>
      <c r="AH596" s="114"/>
      <c r="AI596" s="114"/>
      <c r="AJ596" s="114"/>
      <c r="AK596" s="114"/>
      <c r="AL596" s="114"/>
      <c r="AM596" s="114"/>
    </row>
    <row r="597" spans="2:39" ht="25.2" customHeight="1" x14ac:dyDescent="0.3">
      <c r="B597" s="13" t="str">
        <f t="shared" si="13"/>
        <v/>
      </c>
      <c r="C597" s="18"/>
      <c r="D597" s="19" t="str">
        <f>IF(Tabela2[[#This Row],[AGRUPADOR]]&lt;&gt;"",VLOOKUP(Tabela2[[#This Row],[AGRUPADOR]],Tabela1[],2,0),"")</f>
        <v/>
      </c>
      <c r="E597" s="19" t="str">
        <f>IF(Tabela2[[#This Row],[AGRUPADOR]]&lt;&gt;"",VLOOKUP(Tabela2[[#This Row],[AGRUPADOR]],Tabela1[],4,0),"")</f>
        <v/>
      </c>
      <c r="F597" s="14"/>
      <c r="G597" s="6"/>
      <c r="H597" s="6"/>
      <c r="I597" s="25"/>
      <c r="J597" s="7"/>
      <c r="K597" s="15"/>
      <c r="L597" s="379">
        <f>IF(H597&lt;&gt;"",J597*K597,SUMIFS(L598:L$9844,$F598:$F$9844,"*"&amp;F597&amp;"*",$H598:$H$9844,"&lt;&gt;"))</f>
        <v>0</v>
      </c>
      <c r="M597" s="379" t="str">
        <f>IF(Tabela2[[#This Row],[UNID.]]&lt;&gt;"",IFERROR(VLOOKUP(Tabela2[[#This Row],[AGRUPADOR]],Lucratividade!$D$4:$O$129,6,0),0),"")</f>
        <v/>
      </c>
      <c r="N597" s="379">
        <f>IF(H597&lt;&gt;"",J597*M597*I597,SUMIFS(N598:N$9844,$F598:$F$9844,"*"&amp;F597&amp;"*",$H598:$H$9844,"&lt;&gt;"))</f>
        <v>0</v>
      </c>
      <c r="O597" s="162" t="str">
        <f>IFERROR((-Tabela2[[#This Row],[CUSTO TOTAL]]+Tabela2[[#This Row],[VENDA TOTAL]])/Tabela2[[#This Row],[VENDA TOTAL]]-PARAMETROS!$C$19,"")</f>
        <v/>
      </c>
      <c r="AA597" s="219">
        <f>SUM(Plan_Orc[[#This Row],[01/jan]:[01/dez]])</f>
        <v>0</v>
      </c>
      <c r="AB597" s="114"/>
      <c r="AC597" s="114"/>
      <c r="AD597" s="114"/>
      <c r="AE597" s="114"/>
      <c r="AF597" s="114"/>
      <c r="AG597" s="114"/>
      <c r="AH597" s="114"/>
      <c r="AI597" s="114"/>
      <c r="AJ597" s="114"/>
      <c r="AK597" s="114"/>
      <c r="AL597" s="114"/>
      <c r="AM597" s="114"/>
    </row>
    <row r="598" spans="2:39" ht="25.2" customHeight="1" x14ac:dyDescent="0.3">
      <c r="B598" s="13" t="str">
        <f t="shared" si="13"/>
        <v/>
      </c>
      <c r="C598" s="18"/>
      <c r="D598" s="19" t="str">
        <f>IF(Tabela2[[#This Row],[AGRUPADOR]]&lt;&gt;"",VLOOKUP(Tabela2[[#This Row],[AGRUPADOR]],Tabela1[],2,0),"")</f>
        <v/>
      </c>
      <c r="E598" s="19" t="str">
        <f>IF(Tabela2[[#This Row],[AGRUPADOR]]&lt;&gt;"",VLOOKUP(Tabela2[[#This Row],[AGRUPADOR]],Tabela1[],4,0),"")</f>
        <v/>
      </c>
      <c r="F598" s="14"/>
      <c r="G598" s="6"/>
      <c r="H598" s="6"/>
      <c r="I598" s="25"/>
      <c r="J598" s="7"/>
      <c r="K598" s="15"/>
      <c r="L598" s="379">
        <f>IF(H598&lt;&gt;"",J598*K598,SUMIFS(L599:L$9844,$F599:$F$9844,"*"&amp;F598&amp;"*",$H599:$H$9844,"&lt;&gt;"))</f>
        <v>0</v>
      </c>
      <c r="M598" s="379" t="str">
        <f>IF(Tabela2[[#This Row],[UNID.]]&lt;&gt;"",IFERROR(VLOOKUP(Tabela2[[#This Row],[AGRUPADOR]],Lucratividade!$D$4:$O$129,6,0),0),"")</f>
        <v/>
      </c>
      <c r="N598" s="379">
        <f>IF(H598&lt;&gt;"",J598*M598*I598,SUMIFS(N599:N$9844,$F599:$F$9844,"*"&amp;F598&amp;"*",$H599:$H$9844,"&lt;&gt;"))</f>
        <v>0</v>
      </c>
      <c r="O598" s="162" t="str">
        <f>IFERROR((-Tabela2[[#This Row],[CUSTO TOTAL]]+Tabela2[[#This Row],[VENDA TOTAL]])/Tabela2[[#This Row],[VENDA TOTAL]]-PARAMETROS!$C$19,"")</f>
        <v/>
      </c>
      <c r="AA598" s="219">
        <f>SUM(Plan_Orc[[#This Row],[01/jan]:[01/dez]])</f>
        <v>0</v>
      </c>
      <c r="AB598" s="114"/>
      <c r="AC598" s="114"/>
      <c r="AD598" s="114"/>
      <c r="AE598" s="114"/>
      <c r="AF598" s="114"/>
      <c r="AG598" s="114"/>
      <c r="AH598" s="114"/>
      <c r="AI598" s="114"/>
      <c r="AJ598" s="114"/>
      <c r="AK598" s="114"/>
      <c r="AL598" s="114"/>
      <c r="AM598" s="114"/>
    </row>
    <row r="599" spans="2:39" ht="25.2" customHeight="1" x14ac:dyDescent="0.3">
      <c r="B599" s="13" t="str">
        <f t="shared" si="13"/>
        <v/>
      </c>
      <c r="C599" s="18"/>
      <c r="D599" s="19" t="str">
        <f>IF(Tabela2[[#This Row],[AGRUPADOR]]&lt;&gt;"",VLOOKUP(Tabela2[[#This Row],[AGRUPADOR]],Tabela1[],2,0),"")</f>
        <v/>
      </c>
      <c r="E599" s="19" t="str">
        <f>IF(Tabela2[[#This Row],[AGRUPADOR]]&lt;&gt;"",VLOOKUP(Tabela2[[#This Row],[AGRUPADOR]],Tabela1[],4,0),"")</f>
        <v/>
      </c>
      <c r="F599" s="14"/>
      <c r="G599" s="6"/>
      <c r="H599" s="6"/>
      <c r="I599" s="25"/>
      <c r="J599" s="7"/>
      <c r="K599" s="15"/>
      <c r="L599" s="379">
        <f>IF(H599&lt;&gt;"",J599*K599,SUMIFS(L600:L$9844,$F600:$F$9844,"*"&amp;F599&amp;"*",$H600:$H$9844,"&lt;&gt;"))</f>
        <v>0</v>
      </c>
      <c r="M599" s="379" t="str">
        <f>IF(Tabela2[[#This Row],[UNID.]]&lt;&gt;"",IFERROR(VLOOKUP(Tabela2[[#This Row],[AGRUPADOR]],Lucratividade!$D$4:$O$129,6,0),0),"")</f>
        <v/>
      </c>
      <c r="N599" s="379">
        <f>IF(H599&lt;&gt;"",J599*M599*I599,SUMIFS(N600:N$9844,$F600:$F$9844,"*"&amp;F599&amp;"*",$H600:$H$9844,"&lt;&gt;"))</f>
        <v>0</v>
      </c>
      <c r="O599" s="162" t="str">
        <f>IFERROR((-Tabela2[[#This Row],[CUSTO TOTAL]]+Tabela2[[#This Row],[VENDA TOTAL]])/Tabela2[[#This Row],[VENDA TOTAL]]-PARAMETROS!$C$19,"")</f>
        <v/>
      </c>
      <c r="AA599" s="219">
        <f>SUM(Plan_Orc[[#This Row],[01/jan]:[01/dez]])</f>
        <v>0</v>
      </c>
      <c r="AB599" s="114"/>
      <c r="AC599" s="114"/>
      <c r="AD599" s="114"/>
      <c r="AE599" s="114"/>
      <c r="AF599" s="114"/>
      <c r="AG599" s="114"/>
      <c r="AH599" s="114"/>
      <c r="AI599" s="114"/>
      <c r="AJ599" s="114"/>
      <c r="AK599" s="114"/>
      <c r="AL599" s="114"/>
      <c r="AM599" s="114"/>
    </row>
    <row r="600" spans="2:39" ht="25.2" customHeight="1" x14ac:dyDescent="0.3">
      <c r="B600" s="13" t="str">
        <f t="shared" si="13"/>
        <v/>
      </c>
      <c r="C600" s="18"/>
      <c r="D600" s="19" t="str">
        <f>IF(Tabela2[[#This Row],[AGRUPADOR]]&lt;&gt;"",VLOOKUP(Tabela2[[#This Row],[AGRUPADOR]],Tabela1[],2,0),"")</f>
        <v/>
      </c>
      <c r="E600" s="19" t="str">
        <f>IF(Tabela2[[#This Row],[AGRUPADOR]]&lt;&gt;"",VLOOKUP(Tabela2[[#This Row],[AGRUPADOR]],Tabela1[],4,0),"")</f>
        <v/>
      </c>
      <c r="F600" s="14"/>
      <c r="G600" s="6"/>
      <c r="H600" s="6"/>
      <c r="I600" s="25"/>
      <c r="J600" s="7"/>
      <c r="K600" s="15"/>
      <c r="L600" s="379">
        <f>IF(H600&lt;&gt;"",J600*K600,SUMIFS(L601:L$9844,$F601:$F$9844,"*"&amp;F600&amp;"*",$H601:$H$9844,"&lt;&gt;"))</f>
        <v>0</v>
      </c>
      <c r="M600" s="379" t="str">
        <f>IF(Tabela2[[#This Row],[UNID.]]&lt;&gt;"",IFERROR(VLOOKUP(Tabela2[[#This Row],[AGRUPADOR]],Lucratividade!$D$4:$O$129,6,0),0),"")</f>
        <v/>
      </c>
      <c r="N600" s="379">
        <f>IF(H600&lt;&gt;"",J600*M600*I600,SUMIFS(N601:N$9844,$F601:$F$9844,"*"&amp;F600&amp;"*",$H601:$H$9844,"&lt;&gt;"))</f>
        <v>0</v>
      </c>
      <c r="O600" s="162" t="str">
        <f>IFERROR((-Tabela2[[#This Row],[CUSTO TOTAL]]+Tabela2[[#This Row],[VENDA TOTAL]])/Tabela2[[#This Row],[VENDA TOTAL]]-PARAMETROS!$C$19,"")</f>
        <v/>
      </c>
      <c r="AA600" s="219">
        <f>SUM(Plan_Orc[[#This Row],[01/jan]:[01/dez]])</f>
        <v>0</v>
      </c>
      <c r="AB600" s="114"/>
      <c r="AC600" s="114"/>
      <c r="AD600" s="114"/>
      <c r="AE600" s="114"/>
      <c r="AF600" s="114"/>
      <c r="AG600" s="114"/>
      <c r="AH600" s="114"/>
      <c r="AI600" s="114"/>
      <c r="AJ600" s="114"/>
      <c r="AK600" s="114"/>
      <c r="AL600" s="114"/>
      <c r="AM600" s="114"/>
    </row>
    <row r="601" spans="2:39" ht="25.2" customHeight="1" x14ac:dyDescent="0.3">
      <c r="B601" s="13" t="str">
        <f t="shared" si="13"/>
        <v/>
      </c>
      <c r="C601" s="18"/>
      <c r="D601" s="19" t="str">
        <f>IF(Tabela2[[#This Row],[AGRUPADOR]]&lt;&gt;"",VLOOKUP(Tabela2[[#This Row],[AGRUPADOR]],Tabela1[],2,0),"")</f>
        <v/>
      </c>
      <c r="E601" s="19" t="str">
        <f>IF(Tabela2[[#This Row],[AGRUPADOR]]&lt;&gt;"",VLOOKUP(Tabela2[[#This Row],[AGRUPADOR]],Tabela1[],4,0),"")</f>
        <v/>
      </c>
      <c r="F601" s="14"/>
      <c r="G601" s="6"/>
      <c r="H601" s="6"/>
      <c r="I601" s="25"/>
      <c r="J601" s="7"/>
      <c r="K601" s="15"/>
      <c r="L601" s="379">
        <f>IF(H601&lt;&gt;"",J601*K601,SUMIFS(L602:L$9844,$F602:$F$9844,"*"&amp;F601&amp;"*",$H602:$H$9844,"&lt;&gt;"))</f>
        <v>0</v>
      </c>
      <c r="M601" s="379" t="str">
        <f>IF(Tabela2[[#This Row],[UNID.]]&lt;&gt;"",IFERROR(VLOOKUP(Tabela2[[#This Row],[AGRUPADOR]],Lucratividade!$D$4:$O$129,6,0),0),"")</f>
        <v/>
      </c>
      <c r="N601" s="379">
        <f>IF(H601&lt;&gt;"",J601*M601*I601,SUMIFS(N602:N$9844,$F602:$F$9844,"*"&amp;F601&amp;"*",$H602:$H$9844,"&lt;&gt;"))</f>
        <v>0</v>
      </c>
      <c r="O601" s="162" t="str">
        <f>IFERROR((-Tabela2[[#This Row],[CUSTO TOTAL]]+Tabela2[[#This Row],[VENDA TOTAL]])/Tabela2[[#This Row],[VENDA TOTAL]]-PARAMETROS!$C$19,"")</f>
        <v/>
      </c>
      <c r="AA601" s="218">
        <f>SUM(Plan_Orc[[#This Row],[01/jan]:[01/dez]])</f>
        <v>0</v>
      </c>
      <c r="AB601" s="113"/>
      <c r="AC601" s="113"/>
      <c r="AD601" s="113"/>
      <c r="AE601" s="113"/>
      <c r="AF601" s="113"/>
      <c r="AG601" s="113"/>
      <c r="AH601" s="113"/>
      <c r="AI601" s="113"/>
      <c r="AJ601" s="113"/>
      <c r="AK601" s="113"/>
      <c r="AL601" s="113"/>
      <c r="AM601" s="113"/>
    </row>
    <row r="602" spans="2:39" ht="25.2" customHeight="1" x14ac:dyDescent="0.3">
      <c r="B602" s="13" t="str">
        <f t="shared" si="13"/>
        <v/>
      </c>
      <c r="C602" s="18"/>
      <c r="D602" s="19" t="str">
        <f>IF(Tabela2[[#This Row],[AGRUPADOR]]&lt;&gt;"",VLOOKUP(Tabela2[[#This Row],[AGRUPADOR]],Tabela1[],2,0),"")</f>
        <v/>
      </c>
      <c r="E602" s="19" t="str">
        <f>IF(Tabela2[[#This Row],[AGRUPADOR]]&lt;&gt;"",VLOOKUP(Tabela2[[#This Row],[AGRUPADOR]],Tabela1[],4,0),"")</f>
        <v/>
      </c>
      <c r="F602" s="14"/>
      <c r="G602" s="6"/>
      <c r="H602" s="6"/>
      <c r="I602" s="25"/>
      <c r="J602" s="7"/>
      <c r="K602" s="15"/>
      <c r="L602" s="379">
        <f>IF(H602&lt;&gt;"",J602*K602,SUMIFS(L603:L$9844,$F603:$F$9844,"*"&amp;F602&amp;"*",$H603:$H$9844,"&lt;&gt;"))</f>
        <v>0</v>
      </c>
      <c r="M602" s="379" t="str">
        <f>IF(Tabela2[[#This Row],[UNID.]]&lt;&gt;"",IFERROR(VLOOKUP(Tabela2[[#This Row],[AGRUPADOR]],Lucratividade!$D$4:$O$129,6,0),0),"")</f>
        <v/>
      </c>
      <c r="N602" s="379">
        <f>IF(H602&lt;&gt;"",J602*M602*I602,SUMIFS(N603:N$9844,$F603:$F$9844,"*"&amp;F602&amp;"*",$H603:$H$9844,"&lt;&gt;"))</f>
        <v>0</v>
      </c>
      <c r="O602" s="162" t="str">
        <f>IFERROR((-Tabela2[[#This Row],[CUSTO TOTAL]]+Tabela2[[#This Row],[VENDA TOTAL]])/Tabela2[[#This Row],[VENDA TOTAL]]-PARAMETROS!$C$19,"")</f>
        <v/>
      </c>
      <c r="AA602" s="219">
        <f>SUM(Plan_Orc[[#This Row],[01/jan]:[01/dez]])</f>
        <v>0</v>
      </c>
      <c r="AB602" s="114"/>
      <c r="AC602" s="114"/>
      <c r="AD602" s="114"/>
      <c r="AE602" s="114"/>
      <c r="AF602" s="114"/>
      <c r="AG602" s="114"/>
      <c r="AH602" s="114"/>
      <c r="AI602" s="114"/>
      <c r="AJ602" s="114"/>
      <c r="AK602" s="114"/>
      <c r="AL602" s="114"/>
      <c r="AM602" s="114"/>
    </row>
    <row r="603" spans="2:39" ht="25.2" customHeight="1" x14ac:dyDescent="0.3">
      <c r="B603" s="13" t="str">
        <f t="shared" si="13"/>
        <v/>
      </c>
      <c r="C603" s="18"/>
      <c r="D603" s="19" t="str">
        <f>IF(Tabela2[[#This Row],[AGRUPADOR]]&lt;&gt;"",VLOOKUP(Tabela2[[#This Row],[AGRUPADOR]],Tabela1[],2,0),"")</f>
        <v/>
      </c>
      <c r="E603" s="19" t="str">
        <f>IF(Tabela2[[#This Row],[AGRUPADOR]]&lt;&gt;"",VLOOKUP(Tabela2[[#This Row],[AGRUPADOR]],Tabela1[],4,0),"")</f>
        <v/>
      </c>
      <c r="F603" s="14"/>
      <c r="G603" s="6"/>
      <c r="H603" s="6"/>
      <c r="I603" s="25"/>
      <c r="J603" s="7"/>
      <c r="K603" s="15"/>
      <c r="L603" s="379">
        <f>IF(H603&lt;&gt;"",J603*K603,SUMIFS(L604:L$9844,$F604:$F$9844,"*"&amp;F603&amp;"*",$H604:$H$9844,"&lt;&gt;"))</f>
        <v>0</v>
      </c>
      <c r="M603" s="379" t="str">
        <f>IF(Tabela2[[#This Row],[UNID.]]&lt;&gt;"",IFERROR(VLOOKUP(Tabela2[[#This Row],[AGRUPADOR]],Lucratividade!$D$4:$O$129,6,0),0),"")</f>
        <v/>
      </c>
      <c r="N603" s="379">
        <f>IF(H603&lt;&gt;"",J603*M603*I603,SUMIFS(N604:N$9844,$F604:$F$9844,"*"&amp;F603&amp;"*",$H604:$H$9844,"&lt;&gt;"))</f>
        <v>0</v>
      </c>
      <c r="O603" s="162" t="str">
        <f>IFERROR((-Tabela2[[#This Row],[CUSTO TOTAL]]+Tabela2[[#This Row],[VENDA TOTAL]])/Tabela2[[#This Row],[VENDA TOTAL]]-PARAMETROS!$C$19,"")</f>
        <v/>
      </c>
      <c r="AA603" s="219">
        <f>SUM(Plan_Orc[[#This Row],[01/jan]:[01/dez]])</f>
        <v>0</v>
      </c>
      <c r="AB603" s="114"/>
      <c r="AC603" s="114"/>
      <c r="AD603" s="114"/>
      <c r="AE603" s="114"/>
      <c r="AF603" s="114"/>
      <c r="AG603" s="114"/>
      <c r="AH603" s="114"/>
      <c r="AI603" s="114"/>
      <c r="AJ603" s="114"/>
      <c r="AK603" s="114"/>
      <c r="AL603" s="114"/>
      <c r="AM603" s="114"/>
    </row>
    <row r="604" spans="2:39" ht="25.2" customHeight="1" x14ac:dyDescent="0.3">
      <c r="B604" s="13" t="str">
        <f t="shared" si="13"/>
        <v/>
      </c>
      <c r="C604" s="18"/>
      <c r="D604" s="19" t="str">
        <f>IF(Tabela2[[#This Row],[AGRUPADOR]]&lt;&gt;"",VLOOKUP(Tabela2[[#This Row],[AGRUPADOR]],Tabela1[],2,0),"")</f>
        <v/>
      </c>
      <c r="E604" s="19" t="str">
        <f>IF(Tabela2[[#This Row],[AGRUPADOR]]&lt;&gt;"",VLOOKUP(Tabela2[[#This Row],[AGRUPADOR]],Tabela1[],4,0),"")</f>
        <v/>
      </c>
      <c r="F604" s="14"/>
      <c r="G604" s="6"/>
      <c r="H604" s="6"/>
      <c r="I604" s="25"/>
      <c r="J604" s="7"/>
      <c r="K604" s="15"/>
      <c r="L604" s="379">
        <f>IF(H604&lt;&gt;"",J604*K604,SUMIFS(L605:L$9844,$F605:$F$9844,"*"&amp;F604&amp;"*",$H605:$H$9844,"&lt;&gt;"))</f>
        <v>0</v>
      </c>
      <c r="M604" s="379" t="str">
        <f>IF(Tabela2[[#This Row],[UNID.]]&lt;&gt;"",IFERROR(VLOOKUP(Tabela2[[#This Row],[AGRUPADOR]],Lucratividade!$D$4:$O$129,6,0),0),"")</f>
        <v/>
      </c>
      <c r="N604" s="379">
        <f>IF(H604&lt;&gt;"",J604*M604*I604,SUMIFS(N605:N$9844,$F605:$F$9844,"*"&amp;F604&amp;"*",$H605:$H$9844,"&lt;&gt;"))</f>
        <v>0</v>
      </c>
      <c r="O604" s="162" t="str">
        <f>IFERROR((-Tabela2[[#This Row],[CUSTO TOTAL]]+Tabela2[[#This Row],[VENDA TOTAL]])/Tabela2[[#This Row],[VENDA TOTAL]]-PARAMETROS!$C$19,"")</f>
        <v/>
      </c>
      <c r="AA604" s="219">
        <f>SUM(Plan_Orc[[#This Row],[01/jan]:[01/dez]])</f>
        <v>0</v>
      </c>
      <c r="AB604" s="114"/>
      <c r="AC604" s="114"/>
      <c r="AD604" s="114"/>
      <c r="AE604" s="114"/>
      <c r="AF604" s="114"/>
      <c r="AG604" s="114"/>
      <c r="AH604" s="114"/>
      <c r="AI604" s="114"/>
      <c r="AJ604" s="114"/>
      <c r="AK604" s="114"/>
      <c r="AL604" s="114"/>
      <c r="AM604" s="114"/>
    </row>
    <row r="605" spans="2:39" ht="25.2" customHeight="1" x14ac:dyDescent="0.3">
      <c r="B605" s="13" t="str">
        <f t="shared" si="13"/>
        <v/>
      </c>
      <c r="C605" s="18"/>
      <c r="D605" s="19" t="str">
        <f>IF(Tabela2[[#This Row],[AGRUPADOR]]&lt;&gt;"",VLOOKUP(Tabela2[[#This Row],[AGRUPADOR]],Tabela1[],2,0),"")</f>
        <v/>
      </c>
      <c r="E605" s="19" t="str">
        <f>IF(Tabela2[[#This Row],[AGRUPADOR]]&lt;&gt;"",VLOOKUP(Tabela2[[#This Row],[AGRUPADOR]],Tabela1[],4,0),"")</f>
        <v/>
      </c>
      <c r="F605" s="14"/>
      <c r="G605" s="6"/>
      <c r="H605" s="6"/>
      <c r="I605" s="25"/>
      <c r="J605" s="7"/>
      <c r="K605" s="15"/>
      <c r="L605" s="379">
        <f>IF(H605&lt;&gt;"",J605*K605,SUMIFS(L606:L$9844,$F606:$F$9844,"*"&amp;F605&amp;"*",$H606:$H$9844,"&lt;&gt;"))</f>
        <v>0</v>
      </c>
      <c r="M605" s="379" t="str">
        <f>IF(Tabela2[[#This Row],[UNID.]]&lt;&gt;"",IFERROR(VLOOKUP(Tabela2[[#This Row],[AGRUPADOR]],Lucratividade!$D$4:$O$129,6,0),0),"")</f>
        <v/>
      </c>
      <c r="N605" s="379">
        <f>IF(H605&lt;&gt;"",J605*M605*I605,SUMIFS(N606:N$9844,$F606:$F$9844,"*"&amp;F605&amp;"*",$H606:$H$9844,"&lt;&gt;"))</f>
        <v>0</v>
      </c>
      <c r="O605" s="162" t="str">
        <f>IFERROR((-Tabela2[[#This Row],[CUSTO TOTAL]]+Tabela2[[#This Row],[VENDA TOTAL]])/Tabela2[[#This Row],[VENDA TOTAL]]-PARAMETROS!$C$19,"")</f>
        <v/>
      </c>
      <c r="AA605" s="219">
        <f>SUM(Plan_Orc[[#This Row],[01/jan]:[01/dez]])</f>
        <v>0</v>
      </c>
      <c r="AB605" s="114"/>
      <c r="AC605" s="114"/>
      <c r="AD605" s="114"/>
      <c r="AE605" s="114"/>
      <c r="AF605" s="114"/>
      <c r="AG605" s="114"/>
      <c r="AH605" s="114"/>
      <c r="AI605" s="114"/>
      <c r="AJ605" s="114"/>
      <c r="AK605" s="114"/>
      <c r="AL605" s="114"/>
      <c r="AM605" s="114"/>
    </row>
    <row r="606" spans="2:39" ht="25.2" customHeight="1" x14ac:dyDescent="0.3">
      <c r="B606" s="13" t="str">
        <f t="shared" si="13"/>
        <v/>
      </c>
      <c r="C606" s="18"/>
      <c r="D606" s="19" t="str">
        <f>IF(Tabela2[[#This Row],[AGRUPADOR]]&lt;&gt;"",VLOOKUP(Tabela2[[#This Row],[AGRUPADOR]],Tabela1[],2,0),"")</f>
        <v/>
      </c>
      <c r="E606" s="19" t="str">
        <f>IF(Tabela2[[#This Row],[AGRUPADOR]]&lt;&gt;"",VLOOKUP(Tabela2[[#This Row],[AGRUPADOR]],Tabela1[],4,0),"")</f>
        <v/>
      </c>
      <c r="F606" s="14"/>
      <c r="G606" s="6"/>
      <c r="H606" s="6"/>
      <c r="I606" s="25"/>
      <c r="J606" s="7"/>
      <c r="K606" s="15"/>
      <c r="L606" s="379">
        <f>IF(H606&lt;&gt;"",J606*K606,SUMIFS(L607:L$9844,$F607:$F$9844,"*"&amp;F606&amp;"*",$H607:$H$9844,"&lt;&gt;"))</f>
        <v>0</v>
      </c>
      <c r="M606" s="379" t="str">
        <f>IF(Tabela2[[#This Row],[UNID.]]&lt;&gt;"",IFERROR(VLOOKUP(Tabela2[[#This Row],[AGRUPADOR]],Lucratividade!$D$4:$O$129,6,0),0),"")</f>
        <v/>
      </c>
      <c r="N606" s="379">
        <f>IF(H606&lt;&gt;"",J606*M606*I606,SUMIFS(N607:N$9844,$F607:$F$9844,"*"&amp;F606&amp;"*",$H607:$H$9844,"&lt;&gt;"))</f>
        <v>0</v>
      </c>
      <c r="O606" s="162" t="str">
        <f>IFERROR((-Tabela2[[#This Row],[CUSTO TOTAL]]+Tabela2[[#This Row],[VENDA TOTAL]])/Tabela2[[#This Row],[VENDA TOTAL]]-PARAMETROS!$C$19,"")</f>
        <v/>
      </c>
      <c r="AA606" s="219">
        <f>SUM(Plan_Orc[[#This Row],[01/jan]:[01/dez]])</f>
        <v>0</v>
      </c>
      <c r="AB606" s="114"/>
      <c r="AC606" s="114"/>
      <c r="AD606" s="114"/>
      <c r="AE606" s="114"/>
      <c r="AF606" s="114"/>
      <c r="AG606" s="114"/>
      <c r="AH606" s="114"/>
      <c r="AI606" s="114"/>
      <c r="AJ606" s="114"/>
      <c r="AK606" s="114"/>
      <c r="AL606" s="114"/>
      <c r="AM606" s="114"/>
    </row>
    <row r="607" spans="2:39" ht="25.2" customHeight="1" x14ac:dyDescent="0.3">
      <c r="B607" s="13" t="str">
        <f t="shared" si="13"/>
        <v/>
      </c>
      <c r="C607" s="18"/>
      <c r="D607" s="19" t="str">
        <f>IF(Tabela2[[#This Row],[AGRUPADOR]]&lt;&gt;"",VLOOKUP(Tabela2[[#This Row],[AGRUPADOR]],Tabela1[],2,0),"")</f>
        <v/>
      </c>
      <c r="E607" s="19" t="str">
        <f>IF(Tabela2[[#This Row],[AGRUPADOR]]&lt;&gt;"",VLOOKUP(Tabela2[[#This Row],[AGRUPADOR]],Tabela1[],4,0),"")</f>
        <v/>
      </c>
      <c r="F607" s="14"/>
      <c r="G607" s="6"/>
      <c r="H607" s="6"/>
      <c r="I607" s="25"/>
      <c r="J607" s="7"/>
      <c r="K607" s="15"/>
      <c r="L607" s="379">
        <f>IF(H607&lt;&gt;"",J607*K607,SUMIFS(L608:L$9844,$F608:$F$9844,"*"&amp;F607&amp;"*",$H608:$H$9844,"&lt;&gt;"))</f>
        <v>0</v>
      </c>
      <c r="M607" s="379" t="str">
        <f>IF(Tabela2[[#This Row],[UNID.]]&lt;&gt;"",IFERROR(VLOOKUP(Tabela2[[#This Row],[AGRUPADOR]],Lucratividade!$D$4:$O$129,6,0),0),"")</f>
        <v/>
      </c>
      <c r="N607" s="379">
        <f>IF(H607&lt;&gt;"",J607*M607*I607,SUMIFS(N608:N$9844,$F608:$F$9844,"*"&amp;F607&amp;"*",$H608:$H$9844,"&lt;&gt;"))</f>
        <v>0</v>
      </c>
      <c r="O607" s="162" t="str">
        <f>IFERROR((-Tabela2[[#This Row],[CUSTO TOTAL]]+Tabela2[[#This Row],[VENDA TOTAL]])/Tabela2[[#This Row],[VENDA TOTAL]]-PARAMETROS!$C$19,"")</f>
        <v/>
      </c>
      <c r="AA607" s="219">
        <f>SUM(Plan_Orc[[#This Row],[01/jan]:[01/dez]])</f>
        <v>0</v>
      </c>
      <c r="AB607" s="114"/>
      <c r="AC607" s="114"/>
      <c r="AD607" s="114"/>
      <c r="AE607" s="114"/>
      <c r="AF607" s="114"/>
      <c r="AG607" s="114"/>
      <c r="AH607" s="114"/>
      <c r="AI607" s="114"/>
      <c r="AJ607" s="114"/>
      <c r="AK607" s="114"/>
      <c r="AL607" s="114"/>
      <c r="AM607" s="114"/>
    </row>
    <row r="608" spans="2:39" ht="25.2" customHeight="1" x14ac:dyDescent="0.3">
      <c r="B608" s="13" t="str">
        <f t="shared" si="13"/>
        <v/>
      </c>
      <c r="C608" s="18"/>
      <c r="D608" s="19" t="str">
        <f>IF(Tabela2[[#This Row],[AGRUPADOR]]&lt;&gt;"",VLOOKUP(Tabela2[[#This Row],[AGRUPADOR]],Tabela1[],2,0),"")</f>
        <v/>
      </c>
      <c r="E608" s="19" t="str">
        <f>IF(Tabela2[[#This Row],[AGRUPADOR]]&lt;&gt;"",VLOOKUP(Tabela2[[#This Row],[AGRUPADOR]],Tabela1[],4,0),"")</f>
        <v/>
      </c>
      <c r="F608" s="14"/>
      <c r="G608" s="6"/>
      <c r="H608" s="6"/>
      <c r="I608" s="25"/>
      <c r="J608" s="7"/>
      <c r="K608" s="15"/>
      <c r="L608" s="379">
        <f>IF(H608&lt;&gt;"",J608*K608,SUMIFS(L609:L$9844,$F609:$F$9844,"*"&amp;F608&amp;"*",$H609:$H$9844,"&lt;&gt;"))</f>
        <v>0</v>
      </c>
      <c r="M608" s="379" t="str">
        <f>IF(Tabela2[[#This Row],[UNID.]]&lt;&gt;"",IFERROR(VLOOKUP(Tabela2[[#This Row],[AGRUPADOR]],Lucratividade!$D$4:$O$129,6,0),0),"")</f>
        <v/>
      </c>
      <c r="N608" s="379">
        <f>IF(H608&lt;&gt;"",J608*M608*I608,SUMIFS(N609:N$9844,$F609:$F$9844,"*"&amp;F608&amp;"*",$H609:$H$9844,"&lt;&gt;"))</f>
        <v>0</v>
      </c>
      <c r="O608" s="162" t="str">
        <f>IFERROR((-Tabela2[[#This Row],[CUSTO TOTAL]]+Tabela2[[#This Row],[VENDA TOTAL]])/Tabela2[[#This Row],[VENDA TOTAL]]-PARAMETROS!$C$19,"")</f>
        <v/>
      </c>
      <c r="AA608" s="219">
        <f>SUM(Plan_Orc[[#This Row],[01/jan]:[01/dez]])</f>
        <v>0</v>
      </c>
      <c r="AB608" s="114"/>
      <c r="AC608" s="114"/>
      <c r="AD608" s="114"/>
      <c r="AE608" s="114"/>
      <c r="AF608" s="114"/>
      <c r="AG608" s="114"/>
      <c r="AH608" s="114"/>
      <c r="AI608" s="114"/>
      <c r="AJ608" s="114"/>
      <c r="AK608" s="114"/>
      <c r="AL608" s="114"/>
      <c r="AM608" s="114"/>
    </row>
    <row r="609" spans="2:39" ht="25.2" customHeight="1" x14ac:dyDescent="0.3">
      <c r="B609" s="13" t="str">
        <f t="shared" si="13"/>
        <v/>
      </c>
      <c r="C609" s="18"/>
      <c r="D609" s="19" t="str">
        <f>IF(Tabela2[[#This Row],[AGRUPADOR]]&lt;&gt;"",VLOOKUP(Tabela2[[#This Row],[AGRUPADOR]],Tabela1[],2,0),"")</f>
        <v/>
      </c>
      <c r="E609" s="19" t="str">
        <f>IF(Tabela2[[#This Row],[AGRUPADOR]]&lt;&gt;"",VLOOKUP(Tabela2[[#This Row],[AGRUPADOR]],Tabela1[],4,0),"")</f>
        <v/>
      </c>
      <c r="F609" s="14"/>
      <c r="G609" s="6"/>
      <c r="H609" s="6"/>
      <c r="I609" s="25"/>
      <c r="J609" s="7"/>
      <c r="K609" s="15"/>
      <c r="L609" s="379">
        <f>IF(H609&lt;&gt;"",J609*K609,SUMIFS(L610:L$9844,$F610:$F$9844,"*"&amp;F609&amp;"*",$H610:$H$9844,"&lt;&gt;"))</f>
        <v>0</v>
      </c>
      <c r="M609" s="379" t="str">
        <f>IF(Tabela2[[#This Row],[UNID.]]&lt;&gt;"",IFERROR(VLOOKUP(Tabela2[[#This Row],[AGRUPADOR]],Lucratividade!$D$4:$O$129,6,0),0),"")</f>
        <v/>
      </c>
      <c r="N609" s="379">
        <f>IF(H609&lt;&gt;"",J609*M609*I609,SUMIFS(N610:N$9844,$F610:$F$9844,"*"&amp;F609&amp;"*",$H610:$H$9844,"&lt;&gt;"))</f>
        <v>0</v>
      </c>
      <c r="O609" s="162" t="str">
        <f>IFERROR((-Tabela2[[#This Row],[CUSTO TOTAL]]+Tabela2[[#This Row],[VENDA TOTAL]])/Tabela2[[#This Row],[VENDA TOTAL]]-PARAMETROS!$C$19,"")</f>
        <v/>
      </c>
      <c r="AA609" s="219">
        <f>SUM(Plan_Orc[[#This Row],[01/jan]:[01/dez]])</f>
        <v>0</v>
      </c>
      <c r="AB609" s="114"/>
      <c r="AC609" s="114"/>
      <c r="AD609" s="114"/>
      <c r="AE609" s="114"/>
      <c r="AF609" s="114"/>
      <c r="AG609" s="114"/>
      <c r="AH609" s="114"/>
      <c r="AI609" s="114"/>
      <c r="AJ609" s="114"/>
      <c r="AK609" s="114"/>
      <c r="AL609" s="114"/>
      <c r="AM609" s="114"/>
    </row>
    <row r="610" spans="2:39" ht="25.2" customHeight="1" x14ac:dyDescent="0.3">
      <c r="B610" s="13" t="str">
        <f t="shared" si="13"/>
        <v/>
      </c>
      <c r="C610" s="18"/>
      <c r="D610" s="19" t="str">
        <f>IF(Tabela2[[#This Row],[AGRUPADOR]]&lt;&gt;"",VLOOKUP(Tabela2[[#This Row],[AGRUPADOR]],Tabela1[],2,0),"")</f>
        <v/>
      </c>
      <c r="E610" s="19" t="str">
        <f>IF(Tabela2[[#This Row],[AGRUPADOR]]&lt;&gt;"",VLOOKUP(Tabela2[[#This Row],[AGRUPADOR]],Tabela1[],4,0),"")</f>
        <v/>
      </c>
      <c r="F610" s="14"/>
      <c r="G610" s="6"/>
      <c r="H610" s="6"/>
      <c r="I610" s="25"/>
      <c r="J610" s="7"/>
      <c r="K610" s="15"/>
      <c r="L610" s="379">
        <f>IF(H610&lt;&gt;"",J610*K610,SUMIFS(L611:L$9844,$F611:$F$9844,"*"&amp;F610&amp;"*",$H611:$H$9844,"&lt;&gt;"))</f>
        <v>0</v>
      </c>
      <c r="M610" s="379" t="str">
        <f>IF(Tabela2[[#This Row],[UNID.]]&lt;&gt;"",IFERROR(VLOOKUP(Tabela2[[#This Row],[AGRUPADOR]],Lucratividade!$D$4:$O$129,6,0),0),"")</f>
        <v/>
      </c>
      <c r="N610" s="379">
        <f>IF(H610&lt;&gt;"",J610*M610*I610,SUMIFS(N611:N$9844,$F611:$F$9844,"*"&amp;F610&amp;"*",$H611:$H$9844,"&lt;&gt;"))</f>
        <v>0</v>
      </c>
      <c r="O610" s="162" t="str">
        <f>IFERROR((-Tabela2[[#This Row],[CUSTO TOTAL]]+Tabela2[[#This Row],[VENDA TOTAL]])/Tabela2[[#This Row],[VENDA TOTAL]]-PARAMETROS!$C$19,"")</f>
        <v/>
      </c>
      <c r="AA610" s="219">
        <f>SUM(Plan_Orc[[#This Row],[01/jan]:[01/dez]])</f>
        <v>0</v>
      </c>
      <c r="AB610" s="114"/>
      <c r="AC610" s="114"/>
      <c r="AD610" s="114"/>
      <c r="AE610" s="114"/>
      <c r="AF610" s="114"/>
      <c r="AG610" s="114"/>
      <c r="AH610" s="114"/>
      <c r="AI610" s="114"/>
      <c r="AJ610" s="114"/>
      <c r="AK610" s="114"/>
      <c r="AL610" s="114"/>
      <c r="AM610" s="114"/>
    </row>
    <row r="611" spans="2:39" ht="25.2" customHeight="1" x14ac:dyDescent="0.3">
      <c r="B611" s="13" t="str">
        <f t="shared" si="13"/>
        <v/>
      </c>
      <c r="C611" s="18"/>
      <c r="D611" s="19" t="str">
        <f>IF(Tabela2[[#This Row],[AGRUPADOR]]&lt;&gt;"",VLOOKUP(Tabela2[[#This Row],[AGRUPADOR]],Tabela1[],2,0),"")</f>
        <v/>
      </c>
      <c r="E611" s="19" t="str">
        <f>IF(Tabela2[[#This Row],[AGRUPADOR]]&lt;&gt;"",VLOOKUP(Tabela2[[#This Row],[AGRUPADOR]],Tabela1[],4,0),"")</f>
        <v/>
      </c>
      <c r="F611" s="14"/>
      <c r="G611" s="6"/>
      <c r="H611" s="6"/>
      <c r="I611" s="25"/>
      <c r="J611" s="7"/>
      <c r="K611" s="15"/>
      <c r="L611" s="379">
        <f>IF(H611&lt;&gt;"",J611*K611,SUMIFS(L612:L$9844,$F612:$F$9844,"*"&amp;F611&amp;"*",$H612:$H$9844,"&lt;&gt;"))</f>
        <v>0</v>
      </c>
      <c r="M611" s="379" t="str">
        <f>IF(Tabela2[[#This Row],[UNID.]]&lt;&gt;"",IFERROR(VLOOKUP(Tabela2[[#This Row],[AGRUPADOR]],Lucratividade!$D$4:$O$129,6,0),0),"")</f>
        <v/>
      </c>
      <c r="N611" s="379">
        <f>IF(H611&lt;&gt;"",J611*M611*I611,SUMIFS(N612:N$9844,$F612:$F$9844,"*"&amp;F611&amp;"*",$H612:$H$9844,"&lt;&gt;"))</f>
        <v>0</v>
      </c>
      <c r="O611" s="162" t="str">
        <f>IFERROR((-Tabela2[[#This Row],[CUSTO TOTAL]]+Tabela2[[#This Row],[VENDA TOTAL]])/Tabela2[[#This Row],[VENDA TOTAL]]-PARAMETROS!$C$19,"")</f>
        <v/>
      </c>
      <c r="AA611" s="219">
        <f>SUM(Plan_Orc[[#This Row],[01/jan]:[01/dez]])</f>
        <v>0</v>
      </c>
      <c r="AB611" s="114"/>
      <c r="AC611" s="114"/>
      <c r="AD611" s="114"/>
      <c r="AE611" s="114"/>
      <c r="AF611" s="114"/>
      <c r="AG611" s="114"/>
      <c r="AH611" s="114"/>
      <c r="AI611" s="114"/>
      <c r="AJ611" s="114"/>
      <c r="AK611" s="114"/>
      <c r="AL611" s="114"/>
      <c r="AM611" s="114"/>
    </row>
    <row r="612" spans="2:39" ht="25.2" customHeight="1" x14ac:dyDescent="0.3">
      <c r="B612" s="13" t="str">
        <f t="shared" si="13"/>
        <v/>
      </c>
      <c r="C612" s="18"/>
      <c r="D612" s="19" t="str">
        <f>IF(Tabela2[[#This Row],[AGRUPADOR]]&lt;&gt;"",VLOOKUP(Tabela2[[#This Row],[AGRUPADOR]],Tabela1[],2,0),"")</f>
        <v/>
      </c>
      <c r="E612" s="19" t="str">
        <f>IF(Tabela2[[#This Row],[AGRUPADOR]]&lt;&gt;"",VLOOKUP(Tabela2[[#This Row],[AGRUPADOR]],Tabela1[],4,0),"")</f>
        <v/>
      </c>
      <c r="F612" s="14"/>
      <c r="G612" s="6"/>
      <c r="H612" s="6"/>
      <c r="I612" s="25"/>
      <c r="J612" s="7"/>
      <c r="K612" s="15"/>
      <c r="L612" s="379">
        <f>IF(H612&lt;&gt;"",J612*K612,SUMIFS(L613:L$9844,$F613:$F$9844,"*"&amp;F612&amp;"*",$H613:$H$9844,"&lt;&gt;"))</f>
        <v>0</v>
      </c>
      <c r="M612" s="379" t="str">
        <f>IF(Tabela2[[#This Row],[UNID.]]&lt;&gt;"",IFERROR(VLOOKUP(Tabela2[[#This Row],[AGRUPADOR]],Lucratividade!$D$4:$O$129,6,0),0),"")</f>
        <v/>
      </c>
      <c r="N612" s="379">
        <f>IF(H612&lt;&gt;"",J612*M612*I612,SUMIFS(N613:N$9844,$F613:$F$9844,"*"&amp;F612&amp;"*",$H613:$H$9844,"&lt;&gt;"))</f>
        <v>0</v>
      </c>
      <c r="O612" s="162" t="str">
        <f>IFERROR((-Tabela2[[#This Row],[CUSTO TOTAL]]+Tabela2[[#This Row],[VENDA TOTAL]])/Tabela2[[#This Row],[VENDA TOTAL]]-PARAMETROS!$C$19,"")</f>
        <v/>
      </c>
      <c r="AA612" s="219">
        <f>SUM(Plan_Orc[[#This Row],[01/jan]:[01/dez]])</f>
        <v>0</v>
      </c>
      <c r="AB612" s="114"/>
      <c r="AC612" s="114"/>
      <c r="AD612" s="114"/>
      <c r="AE612" s="114"/>
      <c r="AF612" s="114"/>
      <c r="AG612" s="114"/>
      <c r="AH612" s="114"/>
      <c r="AI612" s="114"/>
      <c r="AJ612" s="114"/>
      <c r="AK612" s="114"/>
      <c r="AL612" s="114"/>
      <c r="AM612" s="114"/>
    </row>
    <row r="613" spans="2:39" ht="25.2" customHeight="1" x14ac:dyDescent="0.3">
      <c r="B613" s="13" t="str">
        <f t="shared" si="13"/>
        <v/>
      </c>
      <c r="C613" s="18"/>
      <c r="D613" s="19" t="str">
        <f>IF(Tabela2[[#This Row],[AGRUPADOR]]&lt;&gt;"",VLOOKUP(Tabela2[[#This Row],[AGRUPADOR]],Tabela1[],2,0),"")</f>
        <v/>
      </c>
      <c r="E613" s="19" t="str">
        <f>IF(Tabela2[[#This Row],[AGRUPADOR]]&lt;&gt;"",VLOOKUP(Tabela2[[#This Row],[AGRUPADOR]],Tabela1[],4,0),"")</f>
        <v/>
      </c>
      <c r="F613" s="14"/>
      <c r="G613" s="6"/>
      <c r="H613" s="6"/>
      <c r="I613" s="25"/>
      <c r="J613" s="7"/>
      <c r="K613" s="15"/>
      <c r="L613" s="379">
        <f>IF(H613&lt;&gt;"",J613*K613,SUMIFS(L614:L$9844,$F614:$F$9844,"*"&amp;F613&amp;"*",$H614:$H$9844,"&lt;&gt;"))</f>
        <v>0</v>
      </c>
      <c r="M613" s="379" t="str">
        <f>IF(Tabela2[[#This Row],[UNID.]]&lt;&gt;"",IFERROR(VLOOKUP(Tabela2[[#This Row],[AGRUPADOR]],Lucratividade!$D$4:$O$129,6,0),0),"")</f>
        <v/>
      </c>
      <c r="N613" s="379">
        <f>IF(H613&lt;&gt;"",J613*M613*I613,SUMIFS(N614:N$9844,$F614:$F$9844,"*"&amp;F613&amp;"*",$H614:$H$9844,"&lt;&gt;"))</f>
        <v>0</v>
      </c>
      <c r="O613" s="162" t="str">
        <f>IFERROR((-Tabela2[[#This Row],[CUSTO TOTAL]]+Tabela2[[#This Row],[VENDA TOTAL]])/Tabela2[[#This Row],[VENDA TOTAL]]-PARAMETROS!$C$19,"")</f>
        <v/>
      </c>
      <c r="AA613" s="219">
        <f>SUM(Plan_Orc[[#This Row],[01/jan]:[01/dez]])</f>
        <v>0</v>
      </c>
      <c r="AB613" s="114"/>
      <c r="AC613" s="114"/>
      <c r="AD613" s="114"/>
      <c r="AE613" s="114"/>
      <c r="AF613" s="114"/>
      <c r="AG613" s="114"/>
      <c r="AH613" s="114"/>
      <c r="AI613" s="114"/>
      <c r="AJ613" s="114"/>
      <c r="AK613" s="114"/>
      <c r="AL613" s="114"/>
      <c r="AM613" s="114"/>
    </row>
    <row r="614" spans="2:39" ht="25.2" customHeight="1" x14ac:dyDescent="0.3">
      <c r="B614" s="13" t="str">
        <f t="shared" si="13"/>
        <v/>
      </c>
      <c r="C614" s="18"/>
      <c r="D614" s="19" t="str">
        <f>IF(Tabela2[[#This Row],[AGRUPADOR]]&lt;&gt;"",VLOOKUP(Tabela2[[#This Row],[AGRUPADOR]],Tabela1[],2,0),"")</f>
        <v/>
      </c>
      <c r="E614" s="19" t="str">
        <f>IF(Tabela2[[#This Row],[AGRUPADOR]]&lt;&gt;"",VLOOKUP(Tabela2[[#This Row],[AGRUPADOR]],Tabela1[],4,0),"")</f>
        <v/>
      </c>
      <c r="F614" s="14"/>
      <c r="G614" s="6"/>
      <c r="H614" s="6"/>
      <c r="I614" s="25"/>
      <c r="J614" s="7"/>
      <c r="K614" s="15"/>
      <c r="L614" s="379">
        <f>IF(H614&lt;&gt;"",J614*K614,SUMIFS(L615:L$9844,$F615:$F$9844,"*"&amp;F614&amp;"*",$H615:$H$9844,"&lt;&gt;"))</f>
        <v>0</v>
      </c>
      <c r="M614" s="379" t="str">
        <f>IF(Tabela2[[#This Row],[UNID.]]&lt;&gt;"",IFERROR(VLOOKUP(Tabela2[[#This Row],[AGRUPADOR]],Lucratividade!$D$4:$O$129,6,0),0),"")</f>
        <v/>
      </c>
      <c r="N614" s="379">
        <f>IF(H614&lt;&gt;"",J614*M614*I614,SUMIFS(N615:N$9844,$F615:$F$9844,"*"&amp;F614&amp;"*",$H615:$H$9844,"&lt;&gt;"))</f>
        <v>0</v>
      </c>
      <c r="O614" s="162" t="str">
        <f>IFERROR((-Tabela2[[#This Row],[CUSTO TOTAL]]+Tabela2[[#This Row],[VENDA TOTAL]])/Tabela2[[#This Row],[VENDA TOTAL]]-PARAMETROS!$C$19,"")</f>
        <v/>
      </c>
      <c r="AA614" s="219">
        <f>SUM(Plan_Orc[[#This Row],[01/jan]:[01/dez]])</f>
        <v>0</v>
      </c>
      <c r="AB614" s="114"/>
      <c r="AC614" s="114"/>
      <c r="AD614" s="114"/>
      <c r="AE614" s="114"/>
      <c r="AF614" s="114"/>
      <c r="AG614" s="114"/>
      <c r="AH614" s="114"/>
      <c r="AI614" s="114"/>
      <c r="AJ614" s="114"/>
      <c r="AK614" s="114"/>
      <c r="AL614" s="114"/>
      <c r="AM614" s="114"/>
    </row>
    <row r="615" spans="2:39" ht="25.2" customHeight="1" x14ac:dyDescent="0.3">
      <c r="B615" s="13" t="str">
        <f t="shared" si="13"/>
        <v/>
      </c>
      <c r="C615" s="18"/>
      <c r="D615" s="19" t="str">
        <f>IF(Tabela2[[#This Row],[AGRUPADOR]]&lt;&gt;"",VLOOKUP(Tabela2[[#This Row],[AGRUPADOR]],Tabela1[],2,0),"")</f>
        <v/>
      </c>
      <c r="E615" s="19" t="str">
        <f>IF(Tabela2[[#This Row],[AGRUPADOR]]&lt;&gt;"",VLOOKUP(Tabela2[[#This Row],[AGRUPADOR]],Tabela1[],4,0),"")</f>
        <v/>
      </c>
      <c r="F615" s="14"/>
      <c r="G615" s="6"/>
      <c r="H615" s="6"/>
      <c r="I615" s="25"/>
      <c r="J615" s="7"/>
      <c r="K615" s="15"/>
      <c r="L615" s="379">
        <f>IF(H615&lt;&gt;"",J615*K615,SUMIFS(L616:L$9844,$F616:$F$9844,"*"&amp;F615&amp;"*",$H616:$H$9844,"&lt;&gt;"))</f>
        <v>0</v>
      </c>
      <c r="M615" s="379" t="str">
        <f>IF(Tabela2[[#This Row],[UNID.]]&lt;&gt;"",IFERROR(VLOOKUP(Tabela2[[#This Row],[AGRUPADOR]],Lucratividade!$D$4:$O$129,6,0),0),"")</f>
        <v/>
      </c>
      <c r="N615" s="379">
        <f>IF(H615&lt;&gt;"",J615*M615*I615,SUMIFS(N616:N$9844,$F616:$F$9844,"*"&amp;F615&amp;"*",$H616:$H$9844,"&lt;&gt;"))</f>
        <v>0</v>
      </c>
      <c r="O615" s="162" t="str">
        <f>IFERROR((-Tabela2[[#This Row],[CUSTO TOTAL]]+Tabela2[[#This Row],[VENDA TOTAL]])/Tabela2[[#This Row],[VENDA TOTAL]]-PARAMETROS!$C$19,"")</f>
        <v/>
      </c>
      <c r="AA615" s="219">
        <f>SUM(Plan_Orc[[#This Row],[01/jan]:[01/dez]])</f>
        <v>0</v>
      </c>
      <c r="AB615" s="114"/>
      <c r="AC615" s="114"/>
      <c r="AD615" s="114"/>
      <c r="AE615" s="114"/>
      <c r="AF615" s="114"/>
      <c r="AG615" s="114"/>
      <c r="AH615" s="114"/>
      <c r="AI615" s="114"/>
      <c r="AJ615" s="114"/>
      <c r="AK615" s="114"/>
      <c r="AL615" s="114"/>
      <c r="AM615" s="114"/>
    </row>
    <row r="616" spans="2:39" ht="25.2" customHeight="1" x14ac:dyDescent="0.3">
      <c r="B616" s="13" t="str">
        <f t="shared" si="13"/>
        <v/>
      </c>
      <c r="C616" s="18"/>
      <c r="D616" s="19" t="str">
        <f>IF(Tabela2[[#This Row],[AGRUPADOR]]&lt;&gt;"",VLOOKUP(Tabela2[[#This Row],[AGRUPADOR]],Tabela1[],2,0),"")</f>
        <v/>
      </c>
      <c r="E616" s="19" t="str">
        <f>IF(Tabela2[[#This Row],[AGRUPADOR]]&lt;&gt;"",VLOOKUP(Tabela2[[#This Row],[AGRUPADOR]],Tabela1[],4,0),"")</f>
        <v/>
      </c>
      <c r="F616" s="14"/>
      <c r="G616" s="6"/>
      <c r="H616" s="6"/>
      <c r="I616" s="25"/>
      <c r="J616" s="7"/>
      <c r="K616" s="15"/>
      <c r="L616" s="379">
        <f>IF(H616&lt;&gt;"",J616*K616,SUMIFS(L617:L$9844,$F617:$F$9844,"*"&amp;F616&amp;"*",$H617:$H$9844,"&lt;&gt;"))</f>
        <v>0</v>
      </c>
      <c r="M616" s="379" t="str">
        <f>IF(Tabela2[[#This Row],[UNID.]]&lt;&gt;"",IFERROR(VLOOKUP(Tabela2[[#This Row],[AGRUPADOR]],Lucratividade!$D$4:$O$129,6,0),0),"")</f>
        <v/>
      </c>
      <c r="N616" s="379">
        <f>IF(H616&lt;&gt;"",J616*M616*I616,SUMIFS(N617:N$9844,$F617:$F$9844,"*"&amp;F616&amp;"*",$H617:$H$9844,"&lt;&gt;"))</f>
        <v>0</v>
      </c>
      <c r="O616" s="162" t="str">
        <f>IFERROR((-Tabela2[[#This Row],[CUSTO TOTAL]]+Tabela2[[#This Row],[VENDA TOTAL]])/Tabela2[[#This Row],[VENDA TOTAL]]-PARAMETROS!$C$19,"")</f>
        <v/>
      </c>
      <c r="AA616" s="219">
        <f>SUM(Plan_Orc[[#This Row],[01/jan]:[01/dez]])</f>
        <v>0</v>
      </c>
      <c r="AB616" s="114"/>
      <c r="AC616" s="114"/>
      <c r="AD616" s="114"/>
      <c r="AE616" s="114"/>
      <c r="AF616" s="114"/>
      <c r="AG616" s="114"/>
      <c r="AH616" s="114"/>
      <c r="AI616" s="114"/>
      <c r="AJ616" s="114"/>
      <c r="AK616" s="114"/>
      <c r="AL616" s="114"/>
      <c r="AM616" s="114"/>
    </row>
    <row r="617" spans="2:39" ht="25.2" customHeight="1" x14ac:dyDescent="0.3">
      <c r="B617" s="13" t="str">
        <f t="shared" si="13"/>
        <v/>
      </c>
      <c r="C617" s="18"/>
      <c r="D617" s="19" t="str">
        <f>IF(Tabela2[[#This Row],[AGRUPADOR]]&lt;&gt;"",VLOOKUP(Tabela2[[#This Row],[AGRUPADOR]],Tabela1[],2,0),"")</f>
        <v/>
      </c>
      <c r="E617" s="19" t="str">
        <f>IF(Tabela2[[#This Row],[AGRUPADOR]]&lt;&gt;"",VLOOKUP(Tabela2[[#This Row],[AGRUPADOR]],Tabela1[],4,0),"")</f>
        <v/>
      </c>
      <c r="F617" s="14"/>
      <c r="G617" s="6"/>
      <c r="H617" s="6"/>
      <c r="I617" s="25"/>
      <c r="J617" s="7"/>
      <c r="K617" s="15"/>
      <c r="L617" s="379">
        <f>IF(H617&lt;&gt;"",J617*K617,SUMIFS(L618:L$9844,$F618:$F$9844,"*"&amp;F617&amp;"*",$H618:$H$9844,"&lt;&gt;"))</f>
        <v>0</v>
      </c>
      <c r="M617" s="379" t="str">
        <f>IF(Tabela2[[#This Row],[UNID.]]&lt;&gt;"",IFERROR(VLOOKUP(Tabela2[[#This Row],[AGRUPADOR]],Lucratividade!$D$4:$O$129,6,0),0),"")</f>
        <v/>
      </c>
      <c r="N617" s="379">
        <f>IF(H617&lt;&gt;"",J617*M617*I617,SUMIFS(N618:N$9844,$F618:$F$9844,"*"&amp;F617&amp;"*",$H618:$H$9844,"&lt;&gt;"))</f>
        <v>0</v>
      </c>
      <c r="O617" s="162" t="str">
        <f>IFERROR((-Tabela2[[#This Row],[CUSTO TOTAL]]+Tabela2[[#This Row],[VENDA TOTAL]])/Tabela2[[#This Row],[VENDA TOTAL]]-PARAMETROS!$C$19,"")</f>
        <v/>
      </c>
      <c r="AA617" s="219">
        <f>SUM(Plan_Orc[[#This Row],[01/jan]:[01/dez]])</f>
        <v>0</v>
      </c>
      <c r="AB617" s="114"/>
      <c r="AC617" s="114"/>
      <c r="AD617" s="114"/>
      <c r="AE617" s="114"/>
      <c r="AF617" s="114"/>
      <c r="AG617" s="114"/>
      <c r="AH617" s="114"/>
      <c r="AI617" s="114"/>
      <c r="AJ617" s="114"/>
      <c r="AK617" s="114"/>
      <c r="AL617" s="114"/>
      <c r="AM617" s="114"/>
    </row>
    <row r="618" spans="2:39" ht="25.2" customHeight="1" x14ac:dyDescent="0.3">
      <c r="B618" s="13" t="str">
        <f t="shared" si="13"/>
        <v/>
      </c>
      <c r="C618" s="18"/>
      <c r="D618" s="19" t="str">
        <f>IF(Tabela2[[#This Row],[AGRUPADOR]]&lt;&gt;"",VLOOKUP(Tabela2[[#This Row],[AGRUPADOR]],Tabela1[],2,0),"")</f>
        <v/>
      </c>
      <c r="E618" s="19" t="str">
        <f>IF(Tabela2[[#This Row],[AGRUPADOR]]&lt;&gt;"",VLOOKUP(Tabela2[[#This Row],[AGRUPADOR]],Tabela1[],4,0),"")</f>
        <v/>
      </c>
      <c r="F618" s="14"/>
      <c r="G618" s="6"/>
      <c r="H618" s="6"/>
      <c r="I618" s="25"/>
      <c r="J618" s="7"/>
      <c r="K618" s="15"/>
      <c r="L618" s="379">
        <f>IF(H618&lt;&gt;"",J618*K618,SUMIFS(L619:L$9844,$F619:$F$9844,"*"&amp;F618&amp;"*",$H619:$H$9844,"&lt;&gt;"))</f>
        <v>0</v>
      </c>
      <c r="M618" s="379" t="str">
        <f>IF(Tabela2[[#This Row],[UNID.]]&lt;&gt;"",IFERROR(VLOOKUP(Tabela2[[#This Row],[AGRUPADOR]],Lucratividade!$D$4:$O$129,6,0),0),"")</f>
        <v/>
      </c>
      <c r="N618" s="379">
        <f>IF(H618&lt;&gt;"",J618*M618*I618,SUMIFS(N619:N$9844,$F619:$F$9844,"*"&amp;F618&amp;"*",$H619:$H$9844,"&lt;&gt;"))</f>
        <v>0</v>
      </c>
      <c r="O618" s="162" t="str">
        <f>IFERROR((-Tabela2[[#This Row],[CUSTO TOTAL]]+Tabela2[[#This Row],[VENDA TOTAL]])/Tabela2[[#This Row],[VENDA TOTAL]]-PARAMETROS!$C$19,"")</f>
        <v/>
      </c>
      <c r="AA618" s="219">
        <f>SUM(Plan_Orc[[#This Row],[01/jan]:[01/dez]])</f>
        <v>0</v>
      </c>
      <c r="AB618" s="114"/>
      <c r="AC618" s="114"/>
      <c r="AD618" s="114"/>
      <c r="AE618" s="114"/>
      <c r="AF618" s="114"/>
      <c r="AG618" s="114"/>
      <c r="AH618" s="114"/>
      <c r="AI618" s="114"/>
      <c r="AJ618" s="114"/>
      <c r="AK618" s="114"/>
      <c r="AL618" s="114"/>
      <c r="AM618" s="114"/>
    </row>
    <row r="619" spans="2:39" ht="25.2" customHeight="1" x14ac:dyDescent="0.3">
      <c r="B619" s="13" t="str">
        <f t="shared" si="13"/>
        <v/>
      </c>
      <c r="C619" s="18"/>
      <c r="D619" s="19" t="str">
        <f>IF(Tabela2[[#This Row],[AGRUPADOR]]&lt;&gt;"",VLOOKUP(Tabela2[[#This Row],[AGRUPADOR]],Tabela1[],2,0),"")</f>
        <v/>
      </c>
      <c r="E619" s="19" t="str">
        <f>IF(Tabela2[[#This Row],[AGRUPADOR]]&lt;&gt;"",VLOOKUP(Tabela2[[#This Row],[AGRUPADOR]],Tabela1[],4,0),"")</f>
        <v/>
      </c>
      <c r="F619" s="14"/>
      <c r="G619" s="6"/>
      <c r="H619" s="6"/>
      <c r="I619" s="25"/>
      <c r="J619" s="7"/>
      <c r="K619" s="15"/>
      <c r="L619" s="379">
        <f>IF(H619&lt;&gt;"",J619*K619,SUMIFS(L620:L$9844,$F620:$F$9844,"*"&amp;F619&amp;"*",$H620:$H$9844,"&lt;&gt;"))</f>
        <v>0</v>
      </c>
      <c r="M619" s="379" t="str">
        <f>IF(Tabela2[[#This Row],[UNID.]]&lt;&gt;"",IFERROR(VLOOKUP(Tabela2[[#This Row],[AGRUPADOR]],Lucratividade!$D$4:$O$129,6,0),0),"")</f>
        <v/>
      </c>
      <c r="N619" s="379">
        <f>IF(H619&lt;&gt;"",J619*M619*I619,SUMIFS(N620:N$9844,$F620:$F$9844,"*"&amp;F619&amp;"*",$H620:$H$9844,"&lt;&gt;"))</f>
        <v>0</v>
      </c>
      <c r="O619" s="162" t="str">
        <f>IFERROR((-Tabela2[[#This Row],[CUSTO TOTAL]]+Tabela2[[#This Row],[VENDA TOTAL]])/Tabela2[[#This Row],[VENDA TOTAL]]-PARAMETROS!$C$19,"")</f>
        <v/>
      </c>
      <c r="AA619" s="219">
        <f>SUM(Plan_Orc[[#This Row],[01/jan]:[01/dez]])</f>
        <v>0</v>
      </c>
      <c r="AB619" s="114"/>
      <c r="AC619" s="114"/>
      <c r="AD619" s="114"/>
      <c r="AE619" s="114"/>
      <c r="AF619" s="114"/>
      <c r="AG619" s="114"/>
      <c r="AH619" s="114"/>
      <c r="AI619" s="114"/>
      <c r="AJ619" s="114"/>
      <c r="AK619" s="114"/>
      <c r="AL619" s="114"/>
      <c r="AM619" s="114"/>
    </row>
    <row r="620" spans="2:39" ht="25.2" customHeight="1" x14ac:dyDescent="0.3">
      <c r="B620" s="13" t="str">
        <f t="shared" si="13"/>
        <v/>
      </c>
      <c r="C620" s="18"/>
      <c r="D620" s="19" t="str">
        <f>IF(Tabela2[[#This Row],[AGRUPADOR]]&lt;&gt;"",VLOOKUP(Tabela2[[#This Row],[AGRUPADOR]],Tabela1[],2,0),"")</f>
        <v/>
      </c>
      <c r="E620" s="19" t="str">
        <f>IF(Tabela2[[#This Row],[AGRUPADOR]]&lt;&gt;"",VLOOKUP(Tabela2[[#This Row],[AGRUPADOR]],Tabela1[],4,0),"")</f>
        <v/>
      </c>
      <c r="F620" s="14"/>
      <c r="G620" s="6"/>
      <c r="H620" s="6"/>
      <c r="I620" s="25"/>
      <c r="J620" s="7"/>
      <c r="K620" s="15"/>
      <c r="L620" s="379">
        <f>IF(H620&lt;&gt;"",J620*K620,SUMIFS(L621:L$9844,$F621:$F$9844,"*"&amp;F620&amp;"*",$H621:$H$9844,"&lt;&gt;"))</f>
        <v>0</v>
      </c>
      <c r="M620" s="379" t="str">
        <f>IF(Tabela2[[#This Row],[UNID.]]&lt;&gt;"",IFERROR(VLOOKUP(Tabela2[[#This Row],[AGRUPADOR]],Lucratividade!$D$4:$O$129,6,0),0),"")</f>
        <v/>
      </c>
      <c r="N620" s="379">
        <f>IF(H620&lt;&gt;"",J620*M620*I620,SUMIFS(N621:N$9844,$F621:$F$9844,"*"&amp;F620&amp;"*",$H621:$H$9844,"&lt;&gt;"))</f>
        <v>0</v>
      </c>
      <c r="O620" s="162" t="str">
        <f>IFERROR((-Tabela2[[#This Row],[CUSTO TOTAL]]+Tabela2[[#This Row],[VENDA TOTAL]])/Tabela2[[#This Row],[VENDA TOTAL]]-PARAMETROS!$C$19,"")</f>
        <v/>
      </c>
      <c r="AA620" s="218">
        <f>SUM(Plan_Orc[[#This Row],[01/jan]:[01/dez]])</f>
        <v>0</v>
      </c>
      <c r="AB620" s="113"/>
      <c r="AC620" s="113"/>
      <c r="AD620" s="113"/>
      <c r="AE620" s="113"/>
      <c r="AF620" s="113"/>
      <c r="AG620" s="113"/>
      <c r="AH620" s="113"/>
      <c r="AI620" s="113"/>
      <c r="AJ620" s="113"/>
      <c r="AK620" s="113"/>
      <c r="AL620" s="113"/>
      <c r="AM620" s="113"/>
    </row>
    <row r="621" spans="2:39" ht="25.2" customHeight="1" x14ac:dyDescent="0.3">
      <c r="B621" s="13" t="str">
        <f t="shared" si="13"/>
        <v/>
      </c>
      <c r="C621" s="18"/>
      <c r="D621" s="19" t="str">
        <f>IF(Tabela2[[#This Row],[AGRUPADOR]]&lt;&gt;"",VLOOKUP(Tabela2[[#This Row],[AGRUPADOR]],Tabela1[],2,0),"")</f>
        <v/>
      </c>
      <c r="E621" s="19" t="str">
        <f>IF(Tabela2[[#This Row],[AGRUPADOR]]&lt;&gt;"",VLOOKUP(Tabela2[[#This Row],[AGRUPADOR]],Tabela1[],4,0),"")</f>
        <v/>
      </c>
      <c r="F621" s="14"/>
      <c r="G621" s="6"/>
      <c r="H621" s="6"/>
      <c r="I621" s="25"/>
      <c r="J621" s="7"/>
      <c r="K621" s="15"/>
      <c r="L621" s="379">
        <f>IF(H621&lt;&gt;"",J621*K621,SUMIFS(L622:L$9844,$F622:$F$9844,"*"&amp;F621&amp;"*",$H622:$H$9844,"&lt;&gt;"))</f>
        <v>0</v>
      </c>
      <c r="M621" s="379" t="str">
        <f>IF(Tabela2[[#This Row],[UNID.]]&lt;&gt;"",IFERROR(VLOOKUP(Tabela2[[#This Row],[AGRUPADOR]],Lucratividade!$D$4:$O$129,6,0),0),"")</f>
        <v/>
      </c>
      <c r="N621" s="379">
        <f>IF(H621&lt;&gt;"",J621*M621*I621,SUMIFS(N622:N$9844,$F622:$F$9844,"*"&amp;F621&amp;"*",$H622:$H$9844,"&lt;&gt;"))</f>
        <v>0</v>
      </c>
      <c r="O621" s="162" t="str">
        <f>IFERROR((-Tabela2[[#This Row],[CUSTO TOTAL]]+Tabela2[[#This Row],[VENDA TOTAL]])/Tabela2[[#This Row],[VENDA TOTAL]]-PARAMETROS!$C$19,"")</f>
        <v/>
      </c>
      <c r="AA621" s="219">
        <f>SUM(Plan_Orc[[#This Row],[01/jan]:[01/dez]])</f>
        <v>0</v>
      </c>
      <c r="AB621" s="114"/>
      <c r="AC621" s="114"/>
      <c r="AD621" s="114"/>
      <c r="AE621" s="114"/>
      <c r="AF621" s="114"/>
      <c r="AG621" s="114"/>
      <c r="AH621" s="114"/>
      <c r="AI621" s="114"/>
      <c r="AJ621" s="114"/>
      <c r="AK621" s="114"/>
      <c r="AL621" s="114"/>
      <c r="AM621" s="114"/>
    </row>
    <row r="622" spans="2:39" ht="25.2" customHeight="1" x14ac:dyDescent="0.3">
      <c r="B622" s="13" t="str">
        <f t="shared" si="13"/>
        <v/>
      </c>
      <c r="C622" s="18"/>
      <c r="D622" s="19" t="str">
        <f>IF(Tabela2[[#This Row],[AGRUPADOR]]&lt;&gt;"",VLOOKUP(Tabela2[[#This Row],[AGRUPADOR]],Tabela1[],2,0),"")</f>
        <v/>
      </c>
      <c r="E622" s="19" t="str">
        <f>IF(Tabela2[[#This Row],[AGRUPADOR]]&lt;&gt;"",VLOOKUP(Tabela2[[#This Row],[AGRUPADOR]],Tabela1[],4,0),"")</f>
        <v/>
      </c>
      <c r="F622" s="14"/>
      <c r="G622" s="6"/>
      <c r="H622" s="6"/>
      <c r="I622" s="25"/>
      <c r="J622" s="7"/>
      <c r="K622" s="15"/>
      <c r="L622" s="379">
        <f>IF(H622&lt;&gt;"",J622*K622,SUMIFS(L623:L$9844,$F623:$F$9844,"*"&amp;F622&amp;"*",$H623:$H$9844,"&lt;&gt;"))</f>
        <v>0</v>
      </c>
      <c r="M622" s="379" t="str">
        <f>IF(Tabela2[[#This Row],[UNID.]]&lt;&gt;"",IFERROR(VLOOKUP(Tabela2[[#This Row],[AGRUPADOR]],Lucratividade!$D$4:$O$129,6,0),0),"")</f>
        <v/>
      </c>
      <c r="N622" s="379">
        <f>IF(H622&lt;&gt;"",J622*M622*I622,SUMIFS(N623:N$9844,$F623:$F$9844,"*"&amp;F622&amp;"*",$H623:$H$9844,"&lt;&gt;"))</f>
        <v>0</v>
      </c>
      <c r="O622" s="162" t="str">
        <f>IFERROR((-Tabela2[[#This Row],[CUSTO TOTAL]]+Tabela2[[#This Row],[VENDA TOTAL]])/Tabela2[[#This Row],[VENDA TOTAL]]-PARAMETROS!$C$19,"")</f>
        <v/>
      </c>
      <c r="AA622" s="220">
        <f>SUM(Plan_Orc[[#This Row],[01/jan]:[01/dez]])</f>
        <v>0</v>
      </c>
      <c r="AB622" s="115"/>
      <c r="AC622" s="115"/>
      <c r="AD622" s="115"/>
      <c r="AE622" s="115"/>
      <c r="AF622" s="115"/>
      <c r="AG622" s="115"/>
      <c r="AH622" s="115"/>
      <c r="AI622" s="115"/>
      <c r="AJ622" s="115"/>
      <c r="AK622" s="115"/>
      <c r="AL622" s="115"/>
      <c r="AM622" s="115"/>
    </row>
    <row r="623" spans="2:39" ht="25.2" customHeight="1" x14ac:dyDescent="0.3">
      <c r="B623" s="13" t="str">
        <f t="shared" si="13"/>
        <v/>
      </c>
      <c r="C623" s="18"/>
      <c r="D623" s="19" t="str">
        <f>IF(Tabela2[[#This Row],[AGRUPADOR]]&lt;&gt;"",VLOOKUP(Tabela2[[#This Row],[AGRUPADOR]],Tabela1[],2,0),"")</f>
        <v/>
      </c>
      <c r="E623" s="19" t="str">
        <f>IF(Tabela2[[#This Row],[AGRUPADOR]]&lt;&gt;"",VLOOKUP(Tabela2[[#This Row],[AGRUPADOR]],Tabela1[],4,0),"")</f>
        <v/>
      </c>
      <c r="F623" s="14"/>
      <c r="G623" s="6"/>
      <c r="H623" s="6"/>
      <c r="I623" s="25"/>
      <c r="J623" s="7"/>
      <c r="K623" s="15"/>
      <c r="L623" s="379">
        <f>IF(H623&lt;&gt;"",J623*K623,SUMIFS(L624:L$9844,$F624:$F$9844,"*"&amp;F623&amp;"*",$H624:$H$9844,"&lt;&gt;"))</f>
        <v>0</v>
      </c>
      <c r="M623" s="379" t="str">
        <f>IF(Tabela2[[#This Row],[UNID.]]&lt;&gt;"",IFERROR(VLOOKUP(Tabela2[[#This Row],[AGRUPADOR]],Lucratividade!$D$4:$O$129,6,0),0),"")</f>
        <v/>
      </c>
      <c r="N623" s="379">
        <f>IF(H623&lt;&gt;"",J623*M623*I623,SUMIFS(N624:N$9844,$F624:$F$9844,"*"&amp;F623&amp;"*",$H624:$H$9844,"&lt;&gt;"))</f>
        <v>0</v>
      </c>
      <c r="O623" s="162" t="str">
        <f>IFERROR((-Tabela2[[#This Row],[CUSTO TOTAL]]+Tabela2[[#This Row],[VENDA TOTAL]])/Tabela2[[#This Row],[VENDA TOTAL]]-PARAMETROS!$C$19,"")</f>
        <v/>
      </c>
      <c r="AA623" s="219">
        <f>SUM(Plan_Orc[[#This Row],[01/jan]:[01/dez]])</f>
        <v>0</v>
      </c>
      <c r="AB623" s="114"/>
      <c r="AC623" s="114"/>
      <c r="AD623" s="114"/>
      <c r="AE623" s="114"/>
      <c r="AF623" s="114"/>
      <c r="AG623" s="114"/>
      <c r="AH623" s="114"/>
      <c r="AI623" s="114"/>
      <c r="AJ623" s="114"/>
      <c r="AK623" s="114"/>
      <c r="AL623" s="114"/>
      <c r="AM623" s="114"/>
    </row>
    <row r="624" spans="2:39" ht="25.2" customHeight="1" x14ac:dyDescent="0.3">
      <c r="B624" s="13" t="str">
        <f t="shared" si="13"/>
        <v/>
      </c>
      <c r="C624" s="18"/>
      <c r="D624" s="19" t="str">
        <f>IF(Tabela2[[#This Row],[AGRUPADOR]]&lt;&gt;"",VLOOKUP(Tabela2[[#This Row],[AGRUPADOR]],Tabela1[],2,0),"")</f>
        <v/>
      </c>
      <c r="E624" s="19" t="str">
        <f>IF(Tabela2[[#This Row],[AGRUPADOR]]&lt;&gt;"",VLOOKUP(Tabela2[[#This Row],[AGRUPADOR]],Tabela1[],4,0),"")</f>
        <v/>
      </c>
      <c r="F624" s="14"/>
      <c r="G624" s="6"/>
      <c r="H624" s="6"/>
      <c r="I624" s="25"/>
      <c r="J624" s="7"/>
      <c r="K624" s="15"/>
      <c r="L624" s="379">
        <f>IF(H624&lt;&gt;"",J624*K624,SUMIFS(L625:L$9844,$F625:$F$9844,"*"&amp;F624&amp;"*",$H625:$H$9844,"&lt;&gt;"))</f>
        <v>0</v>
      </c>
      <c r="M624" s="379" t="str">
        <f>IF(Tabela2[[#This Row],[UNID.]]&lt;&gt;"",IFERROR(VLOOKUP(Tabela2[[#This Row],[AGRUPADOR]],Lucratividade!$D$4:$O$129,6,0),0),"")</f>
        <v/>
      </c>
      <c r="N624" s="379">
        <f>IF(H624&lt;&gt;"",J624*M624*I624,SUMIFS(N625:N$9844,$F625:$F$9844,"*"&amp;F624&amp;"*",$H625:$H$9844,"&lt;&gt;"))</f>
        <v>0</v>
      </c>
      <c r="O624" s="162" t="str">
        <f>IFERROR((-Tabela2[[#This Row],[CUSTO TOTAL]]+Tabela2[[#This Row],[VENDA TOTAL]])/Tabela2[[#This Row],[VENDA TOTAL]]-PARAMETROS!$C$19,"")</f>
        <v/>
      </c>
      <c r="AA624" s="219">
        <f>SUM(Plan_Orc[[#This Row],[01/jan]:[01/dez]])</f>
        <v>0</v>
      </c>
      <c r="AB624" s="114"/>
      <c r="AC624" s="114"/>
      <c r="AD624" s="114"/>
      <c r="AE624" s="114"/>
      <c r="AF624" s="114"/>
      <c r="AG624" s="114"/>
      <c r="AH624" s="114"/>
      <c r="AI624" s="114"/>
      <c r="AJ624" s="114"/>
      <c r="AK624" s="114"/>
      <c r="AL624" s="114"/>
      <c r="AM624" s="114"/>
    </row>
    <row r="625" spans="2:39" ht="25.2" customHeight="1" x14ac:dyDescent="0.3">
      <c r="B625" s="13" t="str">
        <f t="shared" si="13"/>
        <v/>
      </c>
      <c r="C625" s="18"/>
      <c r="D625" s="19" t="str">
        <f>IF(Tabela2[[#This Row],[AGRUPADOR]]&lt;&gt;"",VLOOKUP(Tabela2[[#This Row],[AGRUPADOR]],Tabela1[],2,0),"")</f>
        <v/>
      </c>
      <c r="E625" s="19" t="str">
        <f>IF(Tabela2[[#This Row],[AGRUPADOR]]&lt;&gt;"",VLOOKUP(Tabela2[[#This Row],[AGRUPADOR]],Tabela1[],4,0),"")</f>
        <v/>
      </c>
      <c r="F625" s="14"/>
      <c r="G625" s="6"/>
      <c r="H625" s="6"/>
      <c r="I625" s="25"/>
      <c r="J625" s="7"/>
      <c r="K625" s="15"/>
      <c r="L625" s="379">
        <f>IF(H625&lt;&gt;"",J625*K625,SUMIFS(L626:L$9844,$F626:$F$9844,"*"&amp;F625&amp;"*",$H626:$H$9844,"&lt;&gt;"))</f>
        <v>0</v>
      </c>
      <c r="M625" s="379" t="str">
        <f>IF(Tabela2[[#This Row],[UNID.]]&lt;&gt;"",IFERROR(VLOOKUP(Tabela2[[#This Row],[AGRUPADOR]],Lucratividade!$D$4:$O$129,6,0),0),"")</f>
        <v/>
      </c>
      <c r="N625" s="379">
        <f>IF(H625&lt;&gt;"",J625*M625*I625,SUMIFS(N626:N$9844,$F626:$F$9844,"*"&amp;F625&amp;"*",$H626:$H$9844,"&lt;&gt;"))</f>
        <v>0</v>
      </c>
      <c r="O625" s="162" t="str">
        <f>IFERROR((-Tabela2[[#This Row],[CUSTO TOTAL]]+Tabela2[[#This Row],[VENDA TOTAL]])/Tabela2[[#This Row],[VENDA TOTAL]]-PARAMETROS!$C$19,"")</f>
        <v/>
      </c>
      <c r="AA625" s="219">
        <f>SUM(Plan_Orc[[#This Row],[01/jan]:[01/dez]])</f>
        <v>0</v>
      </c>
      <c r="AB625" s="114"/>
      <c r="AC625" s="114"/>
      <c r="AD625" s="114"/>
      <c r="AE625" s="114"/>
      <c r="AF625" s="114"/>
      <c r="AG625" s="114"/>
      <c r="AH625" s="114"/>
      <c r="AI625" s="114"/>
      <c r="AJ625" s="114"/>
      <c r="AK625" s="114"/>
      <c r="AL625" s="114"/>
      <c r="AM625" s="114"/>
    </row>
    <row r="626" spans="2:39" ht="25.2" customHeight="1" x14ac:dyDescent="0.3">
      <c r="B626" s="13" t="str">
        <f t="shared" si="13"/>
        <v/>
      </c>
      <c r="C626" s="18"/>
      <c r="D626" s="19" t="str">
        <f>IF(Tabela2[[#This Row],[AGRUPADOR]]&lt;&gt;"",VLOOKUP(Tabela2[[#This Row],[AGRUPADOR]],Tabela1[],2,0),"")</f>
        <v/>
      </c>
      <c r="E626" s="19" t="str">
        <f>IF(Tabela2[[#This Row],[AGRUPADOR]]&lt;&gt;"",VLOOKUP(Tabela2[[#This Row],[AGRUPADOR]],Tabela1[],4,0),"")</f>
        <v/>
      </c>
      <c r="F626" s="14"/>
      <c r="G626" s="6"/>
      <c r="H626" s="6"/>
      <c r="I626" s="25"/>
      <c r="J626" s="7"/>
      <c r="K626" s="15"/>
      <c r="L626" s="379">
        <f>IF(H626&lt;&gt;"",J626*K626,SUMIFS(L627:L$9844,$F627:$F$9844,"*"&amp;F626&amp;"*",$H627:$H$9844,"&lt;&gt;"))</f>
        <v>0</v>
      </c>
      <c r="M626" s="379" t="str">
        <f>IF(Tabela2[[#This Row],[UNID.]]&lt;&gt;"",IFERROR(VLOOKUP(Tabela2[[#This Row],[AGRUPADOR]],Lucratividade!$D$4:$O$129,6,0),0),"")</f>
        <v/>
      </c>
      <c r="N626" s="379">
        <f>IF(H626&lt;&gt;"",J626*M626*I626,SUMIFS(N627:N$9844,$F627:$F$9844,"*"&amp;F626&amp;"*",$H627:$H$9844,"&lt;&gt;"))</f>
        <v>0</v>
      </c>
      <c r="O626" s="162" t="str">
        <f>IFERROR((-Tabela2[[#This Row],[CUSTO TOTAL]]+Tabela2[[#This Row],[VENDA TOTAL]])/Tabela2[[#This Row],[VENDA TOTAL]]-PARAMETROS!$C$19,"")</f>
        <v/>
      </c>
      <c r="AA626" s="219">
        <f>SUM(Plan_Orc[[#This Row],[01/jan]:[01/dez]])</f>
        <v>0</v>
      </c>
      <c r="AB626" s="114"/>
      <c r="AC626" s="114"/>
      <c r="AD626" s="114"/>
      <c r="AE626" s="114"/>
      <c r="AF626" s="114"/>
      <c r="AG626" s="114"/>
      <c r="AH626" s="114"/>
      <c r="AI626" s="114"/>
      <c r="AJ626" s="114"/>
      <c r="AK626" s="114"/>
      <c r="AL626" s="114"/>
      <c r="AM626" s="114"/>
    </row>
    <row r="627" spans="2:39" ht="25.2" customHeight="1" x14ac:dyDescent="0.3">
      <c r="B627" s="13" t="str">
        <f t="shared" si="13"/>
        <v/>
      </c>
      <c r="C627" s="18"/>
      <c r="D627" s="19" t="str">
        <f>IF(Tabela2[[#This Row],[AGRUPADOR]]&lt;&gt;"",VLOOKUP(Tabela2[[#This Row],[AGRUPADOR]],Tabela1[],2,0),"")</f>
        <v/>
      </c>
      <c r="E627" s="19" t="str">
        <f>IF(Tabela2[[#This Row],[AGRUPADOR]]&lt;&gt;"",VLOOKUP(Tabela2[[#This Row],[AGRUPADOR]],Tabela1[],4,0),"")</f>
        <v/>
      </c>
      <c r="F627" s="14"/>
      <c r="G627" s="6"/>
      <c r="H627" s="6"/>
      <c r="I627" s="25"/>
      <c r="J627" s="7"/>
      <c r="K627" s="15"/>
      <c r="L627" s="379">
        <f>IF(H627&lt;&gt;"",J627*K627,SUMIFS(L628:L$9844,$F628:$F$9844,"*"&amp;F627&amp;"*",$H628:$H$9844,"&lt;&gt;"))</f>
        <v>0</v>
      </c>
      <c r="M627" s="379" t="str">
        <f>IF(Tabela2[[#This Row],[UNID.]]&lt;&gt;"",IFERROR(VLOOKUP(Tabela2[[#This Row],[AGRUPADOR]],Lucratividade!$D$4:$O$129,6,0),0),"")</f>
        <v/>
      </c>
      <c r="N627" s="379">
        <f>IF(H627&lt;&gt;"",J627*M627*I627,SUMIFS(N628:N$9844,$F628:$F$9844,"*"&amp;F627&amp;"*",$H628:$H$9844,"&lt;&gt;"))</f>
        <v>0</v>
      </c>
      <c r="O627" s="162" t="str">
        <f>IFERROR((-Tabela2[[#This Row],[CUSTO TOTAL]]+Tabela2[[#This Row],[VENDA TOTAL]])/Tabela2[[#This Row],[VENDA TOTAL]]-PARAMETROS!$C$19,"")</f>
        <v/>
      </c>
      <c r="AA627" s="220">
        <f>SUM(Plan_Orc[[#This Row],[01/jan]:[01/dez]])</f>
        <v>0</v>
      </c>
      <c r="AB627" s="115"/>
      <c r="AC627" s="115"/>
      <c r="AD627" s="115"/>
      <c r="AE627" s="115"/>
      <c r="AF627" s="115"/>
      <c r="AG627" s="115"/>
      <c r="AH627" s="115"/>
      <c r="AI627" s="115"/>
      <c r="AJ627" s="115"/>
      <c r="AK627" s="115"/>
      <c r="AL627" s="115"/>
      <c r="AM627" s="115"/>
    </row>
    <row r="628" spans="2:39" ht="25.2" customHeight="1" x14ac:dyDescent="0.3">
      <c r="B628" s="13" t="str">
        <f t="shared" si="13"/>
        <v/>
      </c>
      <c r="C628" s="18"/>
      <c r="D628" s="19" t="str">
        <f>IF(Tabela2[[#This Row],[AGRUPADOR]]&lt;&gt;"",VLOOKUP(Tabela2[[#This Row],[AGRUPADOR]],Tabela1[],2,0),"")</f>
        <v/>
      </c>
      <c r="E628" s="19" t="str">
        <f>IF(Tabela2[[#This Row],[AGRUPADOR]]&lt;&gt;"",VLOOKUP(Tabela2[[#This Row],[AGRUPADOR]],Tabela1[],4,0),"")</f>
        <v/>
      </c>
      <c r="F628" s="14"/>
      <c r="G628" s="6"/>
      <c r="H628" s="6"/>
      <c r="I628" s="25"/>
      <c r="J628" s="7"/>
      <c r="K628" s="15"/>
      <c r="L628" s="379">
        <f>IF(H628&lt;&gt;"",J628*K628,SUMIFS(L629:L$9844,$F629:$F$9844,"*"&amp;F628&amp;"*",$H629:$H$9844,"&lt;&gt;"))</f>
        <v>0</v>
      </c>
      <c r="M628" s="379" t="str">
        <f>IF(Tabela2[[#This Row],[UNID.]]&lt;&gt;"",IFERROR(VLOOKUP(Tabela2[[#This Row],[AGRUPADOR]],Lucratividade!$D$4:$O$129,6,0),0),"")</f>
        <v/>
      </c>
      <c r="N628" s="379">
        <f>IF(H628&lt;&gt;"",J628*M628*I628,SUMIFS(N629:N$9844,$F629:$F$9844,"*"&amp;F628&amp;"*",$H629:$H$9844,"&lt;&gt;"))</f>
        <v>0</v>
      </c>
      <c r="O628" s="162" t="str">
        <f>IFERROR((-Tabela2[[#This Row],[CUSTO TOTAL]]+Tabela2[[#This Row],[VENDA TOTAL]])/Tabela2[[#This Row],[VENDA TOTAL]]-PARAMETROS!$C$19,"")</f>
        <v/>
      </c>
      <c r="AA628" s="218">
        <f>SUM(Plan_Orc[[#This Row],[01/jan]:[01/dez]])</f>
        <v>0</v>
      </c>
      <c r="AB628" s="113"/>
      <c r="AC628" s="113"/>
      <c r="AD628" s="113"/>
      <c r="AE628" s="113"/>
      <c r="AF628" s="113"/>
      <c r="AG628" s="113"/>
      <c r="AH628" s="113"/>
      <c r="AI628" s="113"/>
      <c r="AJ628" s="113"/>
      <c r="AK628" s="113"/>
      <c r="AL628" s="113"/>
      <c r="AM628" s="113"/>
    </row>
    <row r="629" spans="2:39" ht="25.2" customHeight="1" x14ac:dyDescent="0.3">
      <c r="B629" s="13" t="str">
        <f t="shared" si="13"/>
        <v/>
      </c>
      <c r="C629" s="18"/>
      <c r="D629" s="19" t="str">
        <f>IF(Tabela2[[#This Row],[AGRUPADOR]]&lt;&gt;"",VLOOKUP(Tabela2[[#This Row],[AGRUPADOR]],Tabela1[],2,0),"")</f>
        <v/>
      </c>
      <c r="E629" s="19" t="str">
        <f>IF(Tabela2[[#This Row],[AGRUPADOR]]&lt;&gt;"",VLOOKUP(Tabela2[[#This Row],[AGRUPADOR]],Tabela1[],4,0),"")</f>
        <v/>
      </c>
      <c r="F629" s="14"/>
      <c r="G629" s="6"/>
      <c r="H629" s="6"/>
      <c r="I629" s="25"/>
      <c r="J629" s="7"/>
      <c r="K629" s="15"/>
      <c r="L629" s="379">
        <f>IF(H629&lt;&gt;"",J629*K629,SUMIFS(L630:L$9844,$F630:$F$9844,"*"&amp;F629&amp;"*",$H630:$H$9844,"&lt;&gt;"))</f>
        <v>0</v>
      </c>
      <c r="M629" s="379" t="str">
        <f>IF(Tabela2[[#This Row],[UNID.]]&lt;&gt;"",IFERROR(VLOOKUP(Tabela2[[#This Row],[AGRUPADOR]],Lucratividade!$D$4:$O$129,6,0),0),"")</f>
        <v/>
      </c>
      <c r="N629" s="379">
        <f>IF(H629&lt;&gt;"",J629*M629*I629,SUMIFS(N630:N$9844,$F630:$F$9844,"*"&amp;F629&amp;"*",$H630:$H$9844,"&lt;&gt;"))</f>
        <v>0</v>
      </c>
      <c r="O629" s="162" t="str">
        <f>IFERROR((-Tabela2[[#This Row],[CUSTO TOTAL]]+Tabela2[[#This Row],[VENDA TOTAL]])/Tabela2[[#This Row],[VENDA TOTAL]]-PARAMETROS!$C$19,"")</f>
        <v/>
      </c>
      <c r="AA629" s="219">
        <f>SUM(Plan_Orc[[#This Row],[01/jan]:[01/dez]])</f>
        <v>0</v>
      </c>
      <c r="AB629" s="114"/>
      <c r="AC629" s="114"/>
      <c r="AD629" s="114"/>
      <c r="AE629" s="114"/>
      <c r="AF629" s="114"/>
      <c r="AG629" s="114"/>
      <c r="AH629" s="114"/>
      <c r="AI629" s="114"/>
      <c r="AJ629" s="114"/>
      <c r="AK629" s="114"/>
      <c r="AL629" s="114"/>
      <c r="AM629" s="114"/>
    </row>
    <row r="630" spans="2:39" ht="25.2" customHeight="1" x14ac:dyDescent="0.3">
      <c r="B630" s="13" t="str">
        <f t="shared" si="13"/>
        <v/>
      </c>
      <c r="C630" s="18"/>
      <c r="D630" s="19" t="str">
        <f>IF(Tabela2[[#This Row],[AGRUPADOR]]&lt;&gt;"",VLOOKUP(Tabela2[[#This Row],[AGRUPADOR]],Tabela1[],2,0),"")</f>
        <v/>
      </c>
      <c r="E630" s="19" t="str">
        <f>IF(Tabela2[[#This Row],[AGRUPADOR]]&lt;&gt;"",VLOOKUP(Tabela2[[#This Row],[AGRUPADOR]],Tabela1[],4,0),"")</f>
        <v/>
      </c>
      <c r="F630" s="14"/>
      <c r="G630" s="6"/>
      <c r="H630" s="6"/>
      <c r="I630" s="25"/>
      <c r="J630" s="7"/>
      <c r="K630" s="15"/>
      <c r="L630" s="379">
        <f>IF(H630&lt;&gt;"",J630*K630,SUMIFS(L631:L$9844,$F631:$F$9844,"*"&amp;F630&amp;"*",$H631:$H$9844,"&lt;&gt;"))</f>
        <v>0</v>
      </c>
      <c r="M630" s="379" t="str">
        <f>IF(Tabela2[[#This Row],[UNID.]]&lt;&gt;"",IFERROR(VLOOKUP(Tabela2[[#This Row],[AGRUPADOR]],Lucratividade!$D$4:$O$129,6,0),0),"")</f>
        <v/>
      </c>
      <c r="N630" s="379">
        <f>IF(H630&lt;&gt;"",J630*M630*I630,SUMIFS(N631:N$9844,$F631:$F$9844,"*"&amp;F630&amp;"*",$H631:$H$9844,"&lt;&gt;"))</f>
        <v>0</v>
      </c>
      <c r="O630" s="162" t="str">
        <f>IFERROR((-Tabela2[[#This Row],[CUSTO TOTAL]]+Tabela2[[#This Row],[VENDA TOTAL]])/Tabela2[[#This Row],[VENDA TOTAL]]-PARAMETROS!$C$19,"")</f>
        <v/>
      </c>
      <c r="AA630" s="222">
        <f>SUM(Plan_Orc[[#This Row],[01/jan]:[01/dez]])</f>
        <v>0</v>
      </c>
      <c r="AB630" s="216"/>
      <c r="AC630" s="216"/>
      <c r="AD630" s="216"/>
      <c r="AE630" s="216"/>
      <c r="AF630" s="216"/>
      <c r="AG630" s="216"/>
      <c r="AH630" s="216"/>
      <c r="AI630" s="216"/>
      <c r="AJ630" s="216"/>
      <c r="AK630" s="216"/>
      <c r="AL630" s="216"/>
      <c r="AM630" s="216"/>
    </row>
    <row r="631" spans="2:39" ht="25.2" customHeight="1" x14ac:dyDescent="0.3">
      <c r="B631" s="13" t="str">
        <f t="shared" si="13"/>
        <v/>
      </c>
      <c r="C631" s="18"/>
      <c r="D631" s="19" t="str">
        <f>IF(Tabela2[[#This Row],[AGRUPADOR]]&lt;&gt;"",VLOOKUP(Tabela2[[#This Row],[AGRUPADOR]],Tabela1[],2,0),"")</f>
        <v/>
      </c>
      <c r="E631" s="19" t="str">
        <f>IF(Tabela2[[#This Row],[AGRUPADOR]]&lt;&gt;"",VLOOKUP(Tabela2[[#This Row],[AGRUPADOR]],Tabela1[],4,0),"")</f>
        <v/>
      </c>
      <c r="F631" s="14"/>
      <c r="G631" s="6"/>
      <c r="H631" s="6"/>
      <c r="I631" s="25"/>
      <c r="J631" s="7"/>
      <c r="K631" s="15"/>
      <c r="L631" s="379">
        <f>IF(H631&lt;&gt;"",J631*K631,SUMIFS(L632:L$9844,$F632:$F$9844,"*"&amp;F631&amp;"*",$H632:$H$9844,"&lt;&gt;"))</f>
        <v>0</v>
      </c>
      <c r="M631" s="379" t="str">
        <f>IF(Tabela2[[#This Row],[UNID.]]&lt;&gt;"",IFERROR(VLOOKUP(Tabela2[[#This Row],[AGRUPADOR]],Lucratividade!$D$4:$O$129,6,0),0),"")</f>
        <v/>
      </c>
      <c r="N631" s="379">
        <f>IF(H631&lt;&gt;"",J631*M631*I631,SUMIFS(N632:N$9844,$F632:$F$9844,"*"&amp;F631&amp;"*",$H632:$H$9844,"&lt;&gt;"))</f>
        <v>0</v>
      </c>
      <c r="O631" s="162" t="str">
        <f>IFERROR((-Tabela2[[#This Row],[CUSTO TOTAL]]+Tabela2[[#This Row],[VENDA TOTAL]])/Tabela2[[#This Row],[VENDA TOTAL]]-PARAMETROS!$C$19,"")</f>
        <v/>
      </c>
      <c r="AA631" s="217">
        <f>SUM(Plan_Orc[[#This Row],[01/jan]:[01/dez]])</f>
        <v>0</v>
      </c>
      <c r="AB631" s="214"/>
      <c r="AC631" s="214"/>
      <c r="AD631" s="214"/>
      <c r="AE631" s="214"/>
      <c r="AF631" s="214"/>
      <c r="AG631" s="214"/>
      <c r="AH631" s="214"/>
      <c r="AI631" s="214"/>
      <c r="AJ631" s="214"/>
      <c r="AK631" s="214"/>
      <c r="AL631" s="214"/>
      <c r="AM631" s="214"/>
    </row>
    <row r="632" spans="2:39" ht="25.2" customHeight="1" x14ac:dyDescent="0.3">
      <c r="B632" s="13" t="str">
        <f t="shared" si="13"/>
        <v/>
      </c>
      <c r="C632" s="18"/>
      <c r="D632" s="19" t="str">
        <f>IF(Tabela2[[#This Row],[AGRUPADOR]]&lt;&gt;"",VLOOKUP(Tabela2[[#This Row],[AGRUPADOR]],Tabela1[],2,0),"")</f>
        <v/>
      </c>
      <c r="E632" s="19" t="str">
        <f>IF(Tabela2[[#This Row],[AGRUPADOR]]&lt;&gt;"",VLOOKUP(Tabela2[[#This Row],[AGRUPADOR]],Tabela1[],4,0),"")</f>
        <v/>
      </c>
      <c r="F632" s="14"/>
      <c r="G632" s="6"/>
      <c r="H632" s="6"/>
      <c r="I632" s="25"/>
      <c r="J632" s="7"/>
      <c r="K632" s="15"/>
      <c r="L632" s="379">
        <f>IF(H632&lt;&gt;"",J632*K632,SUMIFS(L633:L$9844,$F633:$F$9844,"*"&amp;F632&amp;"*",$H633:$H$9844,"&lt;&gt;"))</f>
        <v>0</v>
      </c>
      <c r="M632" s="379" t="str">
        <f>IF(Tabela2[[#This Row],[UNID.]]&lt;&gt;"",IFERROR(VLOOKUP(Tabela2[[#This Row],[AGRUPADOR]],Lucratividade!$D$4:$O$129,6,0),0),"")</f>
        <v/>
      </c>
      <c r="N632" s="379">
        <f>IF(H632&lt;&gt;"",J632*M632*I632,SUMIFS(N633:N$9844,$F633:$F$9844,"*"&amp;F632&amp;"*",$H633:$H$9844,"&lt;&gt;"))</f>
        <v>0</v>
      </c>
      <c r="O632" s="162" t="str">
        <f>IFERROR((-Tabela2[[#This Row],[CUSTO TOTAL]]+Tabela2[[#This Row],[VENDA TOTAL]])/Tabela2[[#This Row],[VENDA TOTAL]]-PARAMETROS!$C$19,"")</f>
        <v/>
      </c>
      <c r="AA632" s="218">
        <f>SUM(Plan_Orc[[#This Row],[01/jan]:[01/dez]])</f>
        <v>0</v>
      </c>
      <c r="AB632" s="113"/>
      <c r="AC632" s="113"/>
      <c r="AD632" s="113"/>
      <c r="AE632" s="113"/>
      <c r="AF632" s="113"/>
      <c r="AG632" s="113"/>
      <c r="AH632" s="113"/>
      <c r="AI632" s="113"/>
      <c r="AJ632" s="113"/>
      <c r="AK632" s="113"/>
      <c r="AL632" s="113"/>
      <c r="AM632" s="113"/>
    </row>
    <row r="633" spans="2:39" ht="25.2" customHeight="1" x14ac:dyDescent="0.3">
      <c r="B633" s="13" t="str">
        <f t="shared" si="13"/>
        <v/>
      </c>
      <c r="C633" s="18"/>
      <c r="D633" s="19" t="str">
        <f>IF(Tabela2[[#This Row],[AGRUPADOR]]&lt;&gt;"",VLOOKUP(Tabela2[[#This Row],[AGRUPADOR]],Tabela1[],2,0),"")</f>
        <v/>
      </c>
      <c r="E633" s="19" t="str">
        <f>IF(Tabela2[[#This Row],[AGRUPADOR]]&lt;&gt;"",VLOOKUP(Tabela2[[#This Row],[AGRUPADOR]],Tabela1[],4,0),"")</f>
        <v/>
      </c>
      <c r="F633" s="14"/>
      <c r="G633" s="6"/>
      <c r="H633" s="6"/>
      <c r="I633" s="25"/>
      <c r="J633" s="7"/>
      <c r="K633" s="15"/>
      <c r="L633" s="379">
        <f>IF(H633&lt;&gt;"",J633*K633,SUMIFS(L634:L$9844,$F634:$F$9844,"*"&amp;F633&amp;"*",$H634:$H$9844,"&lt;&gt;"))</f>
        <v>0</v>
      </c>
      <c r="M633" s="379" t="str">
        <f>IF(Tabela2[[#This Row],[UNID.]]&lt;&gt;"",IFERROR(VLOOKUP(Tabela2[[#This Row],[AGRUPADOR]],Lucratividade!$D$4:$O$129,6,0),0),"")</f>
        <v/>
      </c>
      <c r="N633" s="379">
        <f>IF(H633&lt;&gt;"",J633*M633*I633,SUMIFS(N634:N$9844,$F634:$F$9844,"*"&amp;F633&amp;"*",$H634:$H$9844,"&lt;&gt;"))</f>
        <v>0</v>
      </c>
      <c r="O633" s="162" t="str">
        <f>IFERROR((-Tabela2[[#This Row],[CUSTO TOTAL]]+Tabela2[[#This Row],[VENDA TOTAL]])/Tabela2[[#This Row],[VENDA TOTAL]]-PARAMETROS!$C$19,"")</f>
        <v/>
      </c>
      <c r="AA633" s="219">
        <f>SUM(Plan_Orc[[#This Row],[01/jan]:[01/dez]])</f>
        <v>0</v>
      </c>
      <c r="AB633" s="114"/>
      <c r="AC633" s="114"/>
      <c r="AD633" s="114"/>
      <c r="AE633" s="114"/>
      <c r="AF633" s="114"/>
      <c r="AG633" s="114"/>
      <c r="AH633" s="114"/>
      <c r="AI633" s="114"/>
      <c r="AJ633" s="114"/>
      <c r="AK633" s="114"/>
      <c r="AL633" s="114"/>
      <c r="AM633" s="114"/>
    </row>
    <row r="634" spans="2:39" ht="25.2" customHeight="1" x14ac:dyDescent="0.3">
      <c r="B634" s="13" t="str">
        <f t="shared" si="13"/>
        <v/>
      </c>
      <c r="C634" s="18"/>
      <c r="D634" s="19" t="str">
        <f>IF(Tabela2[[#This Row],[AGRUPADOR]]&lt;&gt;"",VLOOKUP(Tabela2[[#This Row],[AGRUPADOR]],Tabela1[],2,0),"")</f>
        <v/>
      </c>
      <c r="E634" s="19" t="str">
        <f>IF(Tabela2[[#This Row],[AGRUPADOR]]&lt;&gt;"",VLOOKUP(Tabela2[[#This Row],[AGRUPADOR]],Tabela1[],4,0),"")</f>
        <v/>
      </c>
      <c r="F634" s="14"/>
      <c r="G634" s="6"/>
      <c r="H634" s="6"/>
      <c r="I634" s="25"/>
      <c r="J634" s="7"/>
      <c r="K634" s="15"/>
      <c r="L634" s="379">
        <f>IF(H634&lt;&gt;"",J634*K634,SUMIFS(L635:L$9844,$F635:$F$9844,"*"&amp;F634&amp;"*",$H635:$H$9844,"&lt;&gt;"))</f>
        <v>0</v>
      </c>
      <c r="M634" s="379" t="str">
        <f>IF(Tabela2[[#This Row],[UNID.]]&lt;&gt;"",IFERROR(VLOOKUP(Tabela2[[#This Row],[AGRUPADOR]],Lucratividade!$D$4:$O$129,6,0),0),"")</f>
        <v/>
      </c>
      <c r="N634" s="379">
        <f>IF(H634&lt;&gt;"",J634*M634*I634,SUMIFS(N635:N$9844,$F635:$F$9844,"*"&amp;F634&amp;"*",$H635:$H$9844,"&lt;&gt;"))</f>
        <v>0</v>
      </c>
      <c r="O634" s="162" t="str">
        <f>IFERROR((-Tabela2[[#This Row],[CUSTO TOTAL]]+Tabela2[[#This Row],[VENDA TOTAL]])/Tabela2[[#This Row],[VENDA TOTAL]]-PARAMETROS!$C$19,"")</f>
        <v/>
      </c>
      <c r="AA634" s="217">
        <f>SUM(Plan_Orc[[#This Row],[01/jan]:[01/dez]])</f>
        <v>0</v>
      </c>
      <c r="AB634" s="214"/>
      <c r="AC634" s="214"/>
      <c r="AD634" s="214"/>
      <c r="AE634" s="214"/>
      <c r="AF634" s="214"/>
      <c r="AG634" s="214"/>
      <c r="AH634" s="214"/>
      <c r="AI634" s="214"/>
      <c r="AJ634" s="214"/>
      <c r="AK634" s="214"/>
      <c r="AL634" s="214"/>
      <c r="AM634" s="214"/>
    </row>
    <row r="635" spans="2:39" ht="25.2" customHeight="1" x14ac:dyDescent="0.3">
      <c r="B635" s="13" t="str">
        <f t="shared" si="13"/>
        <v/>
      </c>
      <c r="C635" s="18"/>
      <c r="D635" s="19" t="str">
        <f>IF(Tabela2[[#This Row],[AGRUPADOR]]&lt;&gt;"",VLOOKUP(Tabela2[[#This Row],[AGRUPADOR]],Tabela1[],2,0),"")</f>
        <v/>
      </c>
      <c r="E635" s="19" t="str">
        <f>IF(Tabela2[[#This Row],[AGRUPADOR]]&lt;&gt;"",VLOOKUP(Tabela2[[#This Row],[AGRUPADOR]],Tabela1[],4,0),"")</f>
        <v/>
      </c>
      <c r="F635" s="14"/>
      <c r="G635" s="6"/>
      <c r="H635" s="6"/>
      <c r="I635" s="25"/>
      <c r="J635" s="7"/>
      <c r="K635" s="15"/>
      <c r="L635" s="379">
        <f>IF(H635&lt;&gt;"",J635*K635,SUMIFS(L636:L$9844,$F636:$F$9844,"*"&amp;F635&amp;"*",$H636:$H$9844,"&lt;&gt;"))</f>
        <v>0</v>
      </c>
      <c r="M635" s="379" t="str">
        <f>IF(Tabela2[[#This Row],[UNID.]]&lt;&gt;"",IFERROR(VLOOKUP(Tabela2[[#This Row],[AGRUPADOR]],Lucratividade!$D$4:$O$129,6,0),0),"")</f>
        <v/>
      </c>
      <c r="N635" s="379">
        <f>IF(H635&lt;&gt;"",J635*M635*I635,SUMIFS(N636:N$9844,$F636:$F$9844,"*"&amp;F635&amp;"*",$H636:$H$9844,"&lt;&gt;"))</f>
        <v>0</v>
      </c>
      <c r="O635" s="162" t="str">
        <f>IFERROR((-Tabela2[[#This Row],[CUSTO TOTAL]]+Tabela2[[#This Row],[VENDA TOTAL]])/Tabela2[[#This Row],[VENDA TOTAL]]-PARAMETROS!$C$19,"")</f>
        <v/>
      </c>
      <c r="AA635" s="218">
        <f>SUM(Plan_Orc[[#This Row],[01/jan]:[01/dez]])</f>
        <v>0</v>
      </c>
      <c r="AB635" s="113"/>
      <c r="AC635" s="113"/>
      <c r="AD635" s="113"/>
      <c r="AE635" s="113"/>
      <c r="AF635" s="113"/>
      <c r="AG635" s="113"/>
      <c r="AH635" s="113"/>
      <c r="AI635" s="113"/>
      <c r="AJ635" s="113"/>
      <c r="AK635" s="113"/>
      <c r="AL635" s="113"/>
      <c r="AM635" s="113"/>
    </row>
    <row r="636" spans="2:39" ht="25.2" customHeight="1" x14ac:dyDescent="0.3">
      <c r="B636" s="13" t="str">
        <f t="shared" si="13"/>
        <v/>
      </c>
      <c r="C636" s="18"/>
      <c r="D636" s="19" t="str">
        <f>IF(Tabela2[[#This Row],[AGRUPADOR]]&lt;&gt;"",VLOOKUP(Tabela2[[#This Row],[AGRUPADOR]],Tabela1[],2,0),"")</f>
        <v/>
      </c>
      <c r="E636" s="19" t="str">
        <f>IF(Tabela2[[#This Row],[AGRUPADOR]]&lt;&gt;"",VLOOKUP(Tabela2[[#This Row],[AGRUPADOR]],Tabela1[],4,0),"")</f>
        <v/>
      </c>
      <c r="F636" s="14"/>
      <c r="G636" s="6"/>
      <c r="H636" s="6"/>
      <c r="I636" s="25"/>
      <c r="J636" s="7"/>
      <c r="K636" s="15"/>
      <c r="L636" s="379">
        <f>IF(H636&lt;&gt;"",J636*K636,SUMIFS(L637:L$9844,$F637:$F$9844,"*"&amp;F636&amp;"*",$H637:$H$9844,"&lt;&gt;"))</f>
        <v>0</v>
      </c>
      <c r="M636" s="379" t="str">
        <f>IF(Tabela2[[#This Row],[UNID.]]&lt;&gt;"",IFERROR(VLOOKUP(Tabela2[[#This Row],[AGRUPADOR]],Lucratividade!$D$4:$O$129,6,0),0),"")</f>
        <v/>
      </c>
      <c r="N636" s="379">
        <f>IF(H636&lt;&gt;"",J636*M636*I636,SUMIFS(N637:N$9844,$F637:$F$9844,"*"&amp;F636&amp;"*",$H637:$H$9844,"&lt;&gt;"))</f>
        <v>0</v>
      </c>
      <c r="O636" s="162" t="str">
        <f>IFERROR((-Tabela2[[#This Row],[CUSTO TOTAL]]+Tabela2[[#This Row],[VENDA TOTAL]])/Tabela2[[#This Row],[VENDA TOTAL]]-PARAMETROS!$C$19,"")</f>
        <v/>
      </c>
      <c r="AA636" s="219">
        <f>SUM(Plan_Orc[[#This Row],[01/jan]:[01/dez]])</f>
        <v>0</v>
      </c>
      <c r="AB636" s="114"/>
      <c r="AC636" s="114"/>
      <c r="AD636" s="114"/>
      <c r="AE636" s="114"/>
      <c r="AF636" s="114"/>
      <c r="AG636" s="114"/>
      <c r="AH636" s="114"/>
      <c r="AI636" s="114"/>
      <c r="AJ636" s="114"/>
      <c r="AK636" s="114"/>
      <c r="AL636" s="114"/>
      <c r="AM636" s="114"/>
    </row>
    <row r="637" spans="2:39" ht="25.2" customHeight="1" x14ac:dyDescent="0.3">
      <c r="B637" s="13" t="str">
        <f t="shared" si="13"/>
        <v/>
      </c>
      <c r="C637" s="18"/>
      <c r="D637" s="19" t="str">
        <f>IF(Tabela2[[#This Row],[AGRUPADOR]]&lt;&gt;"",VLOOKUP(Tabela2[[#This Row],[AGRUPADOR]],Tabela1[],2,0),"")</f>
        <v/>
      </c>
      <c r="E637" s="19" t="str">
        <f>IF(Tabela2[[#This Row],[AGRUPADOR]]&lt;&gt;"",VLOOKUP(Tabela2[[#This Row],[AGRUPADOR]],Tabela1[],4,0),"")</f>
        <v/>
      </c>
      <c r="F637" s="14"/>
      <c r="G637" s="6"/>
      <c r="H637" s="6"/>
      <c r="I637" s="25"/>
      <c r="J637" s="7"/>
      <c r="K637" s="15"/>
      <c r="L637" s="379">
        <f>IF(H637&lt;&gt;"",J637*K637,SUMIFS(L638:L$9844,$F638:$F$9844,"*"&amp;F637&amp;"*",$H638:$H$9844,"&lt;&gt;"))</f>
        <v>0</v>
      </c>
      <c r="M637" s="379" t="str">
        <f>IF(Tabela2[[#This Row],[UNID.]]&lt;&gt;"",IFERROR(VLOOKUP(Tabela2[[#This Row],[AGRUPADOR]],Lucratividade!$D$4:$O$129,6,0),0),"")</f>
        <v/>
      </c>
      <c r="N637" s="379">
        <f>IF(H637&lt;&gt;"",J637*M637*I637,SUMIFS(N638:N$9844,$F638:$F$9844,"*"&amp;F637&amp;"*",$H638:$H$9844,"&lt;&gt;"))</f>
        <v>0</v>
      </c>
      <c r="O637" s="162" t="str">
        <f>IFERROR((-Tabela2[[#This Row],[CUSTO TOTAL]]+Tabela2[[#This Row],[VENDA TOTAL]])/Tabela2[[#This Row],[VENDA TOTAL]]-PARAMETROS!$C$19,"")</f>
        <v/>
      </c>
      <c r="AA637" s="219">
        <f>SUM(Plan_Orc[[#This Row],[01/jan]:[01/dez]])</f>
        <v>0</v>
      </c>
      <c r="AB637" s="114"/>
      <c r="AC637" s="114"/>
      <c r="AD637" s="114"/>
      <c r="AE637" s="114"/>
      <c r="AF637" s="114"/>
      <c r="AG637" s="114"/>
      <c r="AH637" s="114"/>
      <c r="AI637" s="114"/>
      <c r="AJ637" s="114"/>
      <c r="AK637" s="114"/>
      <c r="AL637" s="114"/>
      <c r="AM637" s="114"/>
    </row>
    <row r="638" spans="2:39" ht="25.2" customHeight="1" x14ac:dyDescent="0.3">
      <c r="B638" s="13" t="str">
        <f t="shared" si="13"/>
        <v/>
      </c>
      <c r="C638" s="18"/>
      <c r="D638" s="19" t="str">
        <f>IF(Tabela2[[#This Row],[AGRUPADOR]]&lt;&gt;"",VLOOKUP(Tabela2[[#This Row],[AGRUPADOR]],Tabela1[],2,0),"")</f>
        <v/>
      </c>
      <c r="E638" s="19" t="str">
        <f>IF(Tabela2[[#This Row],[AGRUPADOR]]&lt;&gt;"",VLOOKUP(Tabela2[[#This Row],[AGRUPADOR]],Tabela1[],4,0),"")</f>
        <v/>
      </c>
      <c r="F638" s="14"/>
      <c r="G638" s="6"/>
      <c r="H638" s="6"/>
      <c r="I638" s="25"/>
      <c r="J638" s="7"/>
      <c r="K638" s="15"/>
      <c r="L638" s="379">
        <f>IF(H638&lt;&gt;"",J638*K638,SUMIFS(L639:L$9844,$F639:$F$9844,"*"&amp;F638&amp;"*",$H639:$H$9844,"&lt;&gt;"))</f>
        <v>0</v>
      </c>
      <c r="M638" s="379" t="str">
        <f>IF(Tabela2[[#This Row],[UNID.]]&lt;&gt;"",IFERROR(VLOOKUP(Tabela2[[#This Row],[AGRUPADOR]],Lucratividade!$D$4:$O$129,6,0),0),"")</f>
        <v/>
      </c>
      <c r="N638" s="379">
        <f>IF(H638&lt;&gt;"",J638*M638*I638,SUMIFS(N639:N$9844,$F639:$F$9844,"*"&amp;F638&amp;"*",$H639:$H$9844,"&lt;&gt;"))</f>
        <v>0</v>
      </c>
      <c r="O638" s="162" t="str">
        <f>IFERROR((-Tabela2[[#This Row],[CUSTO TOTAL]]+Tabela2[[#This Row],[VENDA TOTAL]])/Tabela2[[#This Row],[VENDA TOTAL]]-PARAMETROS!$C$19,"")</f>
        <v/>
      </c>
      <c r="AA638" s="219">
        <f>SUM(Plan_Orc[[#This Row],[01/jan]:[01/dez]])</f>
        <v>0</v>
      </c>
      <c r="AB638" s="114"/>
      <c r="AC638" s="114"/>
      <c r="AD638" s="114"/>
      <c r="AE638" s="114"/>
      <c r="AF638" s="114"/>
      <c r="AG638" s="114"/>
      <c r="AH638" s="114"/>
      <c r="AI638" s="114"/>
      <c r="AJ638" s="114"/>
      <c r="AK638" s="114"/>
      <c r="AL638" s="114"/>
      <c r="AM638" s="114"/>
    </row>
    <row r="639" spans="2:39" ht="25.2" customHeight="1" x14ac:dyDescent="0.3">
      <c r="B639" s="13" t="str">
        <f t="shared" si="13"/>
        <v/>
      </c>
      <c r="C639" s="18"/>
      <c r="D639" s="19" t="str">
        <f>IF(Tabela2[[#This Row],[AGRUPADOR]]&lt;&gt;"",VLOOKUP(Tabela2[[#This Row],[AGRUPADOR]],Tabela1[],2,0),"")</f>
        <v/>
      </c>
      <c r="E639" s="19" t="str">
        <f>IF(Tabela2[[#This Row],[AGRUPADOR]]&lt;&gt;"",VLOOKUP(Tabela2[[#This Row],[AGRUPADOR]],Tabela1[],4,0),"")</f>
        <v/>
      </c>
      <c r="F639" s="14"/>
      <c r="G639" s="6"/>
      <c r="H639" s="6"/>
      <c r="I639" s="25"/>
      <c r="J639" s="7"/>
      <c r="K639" s="15"/>
      <c r="L639" s="379">
        <f>IF(H639&lt;&gt;"",J639*K639,SUMIFS(L640:L$9844,$F640:$F$9844,"*"&amp;F639&amp;"*",$H640:$H$9844,"&lt;&gt;"))</f>
        <v>0</v>
      </c>
      <c r="M639" s="379" t="str">
        <f>IF(Tabela2[[#This Row],[UNID.]]&lt;&gt;"",IFERROR(VLOOKUP(Tabela2[[#This Row],[AGRUPADOR]],Lucratividade!$D$4:$O$129,6,0),0),"")</f>
        <v/>
      </c>
      <c r="N639" s="379">
        <f>IF(H639&lt;&gt;"",J639*M639*I639,SUMIFS(N640:N$9844,$F640:$F$9844,"*"&amp;F639&amp;"*",$H640:$H$9844,"&lt;&gt;"))</f>
        <v>0</v>
      </c>
      <c r="O639" s="162" t="str">
        <f>IFERROR((-Tabela2[[#This Row],[CUSTO TOTAL]]+Tabela2[[#This Row],[VENDA TOTAL]])/Tabela2[[#This Row],[VENDA TOTAL]]-PARAMETROS!$C$19,"")</f>
        <v/>
      </c>
      <c r="AA639" s="219">
        <f>SUM(Plan_Orc[[#This Row],[01/jan]:[01/dez]])</f>
        <v>0</v>
      </c>
      <c r="AB639" s="114"/>
      <c r="AC639" s="114"/>
      <c r="AD639" s="114"/>
      <c r="AE639" s="114"/>
      <c r="AF639" s="114"/>
      <c r="AG639" s="114"/>
      <c r="AH639" s="114"/>
      <c r="AI639" s="114"/>
      <c r="AJ639" s="114"/>
      <c r="AK639" s="114"/>
      <c r="AL639" s="114"/>
      <c r="AM639" s="114"/>
    </row>
    <row r="640" spans="2:39" ht="25.2" customHeight="1" x14ac:dyDescent="0.3">
      <c r="B640" s="13" t="str">
        <f t="shared" si="13"/>
        <v/>
      </c>
      <c r="C640" s="18"/>
      <c r="D640" s="19" t="str">
        <f>IF(Tabela2[[#This Row],[AGRUPADOR]]&lt;&gt;"",VLOOKUP(Tabela2[[#This Row],[AGRUPADOR]],Tabela1[],2,0),"")</f>
        <v/>
      </c>
      <c r="E640" s="19" t="str">
        <f>IF(Tabela2[[#This Row],[AGRUPADOR]]&lt;&gt;"",VLOOKUP(Tabela2[[#This Row],[AGRUPADOR]],Tabela1[],4,0),"")</f>
        <v/>
      </c>
      <c r="F640" s="14"/>
      <c r="G640" s="6"/>
      <c r="H640" s="6"/>
      <c r="I640" s="25"/>
      <c r="J640" s="7"/>
      <c r="K640" s="15"/>
      <c r="L640" s="379">
        <f>IF(H640&lt;&gt;"",J640*K640,SUMIFS(L641:L$9844,$F641:$F$9844,"*"&amp;F640&amp;"*",$H641:$H$9844,"&lt;&gt;"))</f>
        <v>0</v>
      </c>
      <c r="M640" s="379" t="str">
        <f>IF(Tabela2[[#This Row],[UNID.]]&lt;&gt;"",IFERROR(VLOOKUP(Tabela2[[#This Row],[AGRUPADOR]],Lucratividade!$D$4:$O$129,6,0),0),"")</f>
        <v/>
      </c>
      <c r="N640" s="379">
        <f>IF(H640&lt;&gt;"",J640*M640*I640,SUMIFS(N641:N$9844,$F641:$F$9844,"*"&amp;F640&amp;"*",$H641:$H$9844,"&lt;&gt;"))</f>
        <v>0</v>
      </c>
      <c r="O640" s="162" t="str">
        <f>IFERROR((-Tabela2[[#This Row],[CUSTO TOTAL]]+Tabela2[[#This Row],[VENDA TOTAL]])/Tabela2[[#This Row],[VENDA TOTAL]]-PARAMETROS!$C$19,"")</f>
        <v/>
      </c>
      <c r="AA640" s="219">
        <f>SUM(Plan_Orc[[#This Row],[01/jan]:[01/dez]])</f>
        <v>0</v>
      </c>
      <c r="AB640" s="114"/>
      <c r="AC640" s="114"/>
      <c r="AD640" s="114"/>
      <c r="AE640" s="114"/>
      <c r="AF640" s="114"/>
      <c r="AG640" s="114"/>
      <c r="AH640" s="114"/>
      <c r="AI640" s="114"/>
      <c r="AJ640" s="114"/>
      <c r="AK640" s="114"/>
      <c r="AL640" s="114"/>
      <c r="AM640" s="114"/>
    </row>
    <row r="641" spans="2:39" ht="25.2" customHeight="1" x14ac:dyDescent="0.3">
      <c r="B641" s="13" t="str">
        <f t="shared" si="13"/>
        <v/>
      </c>
      <c r="C641" s="18"/>
      <c r="D641" s="19" t="str">
        <f>IF(Tabela2[[#This Row],[AGRUPADOR]]&lt;&gt;"",VLOOKUP(Tabela2[[#This Row],[AGRUPADOR]],Tabela1[],2,0),"")</f>
        <v/>
      </c>
      <c r="E641" s="19" t="str">
        <f>IF(Tabela2[[#This Row],[AGRUPADOR]]&lt;&gt;"",VLOOKUP(Tabela2[[#This Row],[AGRUPADOR]],Tabela1[],4,0),"")</f>
        <v/>
      </c>
      <c r="F641" s="14"/>
      <c r="G641" s="6"/>
      <c r="H641" s="6"/>
      <c r="I641" s="25"/>
      <c r="J641" s="7"/>
      <c r="K641" s="15"/>
      <c r="L641" s="379">
        <f>IF(H641&lt;&gt;"",J641*K641,SUMIFS(L642:L$9844,$F642:$F$9844,"*"&amp;F641&amp;"*",$H642:$H$9844,"&lt;&gt;"))</f>
        <v>0</v>
      </c>
      <c r="M641" s="379" t="str">
        <f>IF(Tabela2[[#This Row],[UNID.]]&lt;&gt;"",IFERROR(VLOOKUP(Tabela2[[#This Row],[AGRUPADOR]],Lucratividade!$D$4:$O$129,6,0),0),"")</f>
        <v/>
      </c>
      <c r="N641" s="379">
        <f>IF(H641&lt;&gt;"",J641*M641*I641,SUMIFS(N642:N$9844,$F642:$F$9844,"*"&amp;F641&amp;"*",$H642:$H$9844,"&lt;&gt;"))</f>
        <v>0</v>
      </c>
      <c r="O641" s="162" t="str">
        <f>IFERROR((-Tabela2[[#This Row],[CUSTO TOTAL]]+Tabela2[[#This Row],[VENDA TOTAL]])/Tabela2[[#This Row],[VENDA TOTAL]]-PARAMETROS!$C$19,"")</f>
        <v/>
      </c>
      <c r="AA641" s="219">
        <f>SUM(Plan_Orc[[#This Row],[01/jan]:[01/dez]])</f>
        <v>0</v>
      </c>
      <c r="AB641" s="15"/>
      <c r="AC641" s="15"/>
      <c r="AD641" s="15"/>
      <c r="AE641" s="15"/>
      <c r="AF641" s="15"/>
      <c r="AG641" s="15"/>
      <c r="AH641" s="15"/>
      <c r="AI641" s="15"/>
      <c r="AJ641" s="15"/>
      <c r="AK641" s="15"/>
      <c r="AL641" s="15"/>
      <c r="AM641" s="15"/>
    </row>
    <row r="642" spans="2:39" ht="25.2" customHeight="1" x14ac:dyDescent="0.3">
      <c r="B642" s="13" t="str">
        <f t="shared" si="13"/>
        <v/>
      </c>
      <c r="C642" s="18"/>
      <c r="D642" s="19" t="str">
        <f>IF(Tabela2[[#This Row],[AGRUPADOR]]&lt;&gt;"",VLOOKUP(Tabela2[[#This Row],[AGRUPADOR]],Tabela1[],2,0),"")</f>
        <v/>
      </c>
      <c r="E642" s="19" t="str">
        <f>IF(Tabela2[[#This Row],[AGRUPADOR]]&lt;&gt;"",VLOOKUP(Tabela2[[#This Row],[AGRUPADOR]],Tabela1[],4,0),"")</f>
        <v/>
      </c>
      <c r="F642" s="14"/>
      <c r="G642" s="6"/>
      <c r="H642" s="6"/>
      <c r="I642" s="25"/>
      <c r="J642" s="7"/>
      <c r="K642" s="15"/>
      <c r="L642" s="379">
        <f>IF(H642&lt;&gt;"",J642*K642,SUMIFS(L643:L$9844,$F643:$F$9844,"*"&amp;F642&amp;"*",$H643:$H$9844,"&lt;&gt;"))</f>
        <v>0</v>
      </c>
      <c r="M642" s="379" t="str">
        <f>IF(Tabela2[[#This Row],[UNID.]]&lt;&gt;"",IFERROR(VLOOKUP(Tabela2[[#This Row],[AGRUPADOR]],Lucratividade!$D$4:$O$129,6,0),0),"")</f>
        <v/>
      </c>
      <c r="N642" s="379">
        <f>IF(H642&lt;&gt;"",J642*M642*I642,SUMIFS(N643:N$9844,$F643:$F$9844,"*"&amp;F642&amp;"*",$H643:$H$9844,"&lt;&gt;"))</f>
        <v>0</v>
      </c>
      <c r="O642" s="162" t="str">
        <f>IFERROR((-Tabela2[[#This Row],[CUSTO TOTAL]]+Tabela2[[#This Row],[VENDA TOTAL]])/Tabela2[[#This Row],[VENDA TOTAL]]-PARAMETROS!$C$19,"")</f>
        <v/>
      </c>
      <c r="AA642" s="219">
        <f>SUM(Plan_Orc[[#This Row],[01/jan]:[01/dez]])</f>
        <v>0</v>
      </c>
      <c r="AB642" s="15"/>
      <c r="AC642" s="15"/>
      <c r="AD642" s="15"/>
      <c r="AE642" s="15"/>
      <c r="AF642" s="15"/>
      <c r="AG642" s="15"/>
      <c r="AH642" s="15"/>
      <c r="AI642" s="15"/>
      <c r="AJ642" s="15"/>
      <c r="AK642" s="15"/>
      <c r="AL642" s="15"/>
      <c r="AM642" s="15"/>
    </row>
    <row r="643" spans="2:39" ht="25.2" customHeight="1" x14ac:dyDescent="0.3">
      <c r="B643" s="13" t="str">
        <f t="shared" si="13"/>
        <v/>
      </c>
      <c r="C643" s="18"/>
      <c r="D643" s="19" t="str">
        <f>IF(Tabela2[[#This Row],[AGRUPADOR]]&lt;&gt;"",VLOOKUP(Tabela2[[#This Row],[AGRUPADOR]],Tabela1[],2,0),"")</f>
        <v/>
      </c>
      <c r="E643" s="19" t="str">
        <f>IF(Tabela2[[#This Row],[AGRUPADOR]]&lt;&gt;"",VLOOKUP(Tabela2[[#This Row],[AGRUPADOR]],Tabela1[],4,0),"")</f>
        <v/>
      </c>
      <c r="F643" s="14"/>
      <c r="G643" s="6"/>
      <c r="H643" s="6"/>
      <c r="I643" s="25"/>
      <c r="J643" s="7"/>
      <c r="K643" s="15"/>
      <c r="L643" s="379">
        <f>IF(H643&lt;&gt;"",J643*K643,SUMIFS(L644:L$9844,$F644:$F$9844,"*"&amp;F643&amp;"*",$H644:$H$9844,"&lt;&gt;"))</f>
        <v>0</v>
      </c>
      <c r="M643" s="379" t="str">
        <f>IF(Tabela2[[#This Row],[UNID.]]&lt;&gt;"",IFERROR(VLOOKUP(Tabela2[[#This Row],[AGRUPADOR]],Lucratividade!$D$4:$O$129,6,0),0),"")</f>
        <v/>
      </c>
      <c r="N643" s="379">
        <f>IF(H643&lt;&gt;"",J643*M643*I643,SUMIFS(N644:N$9844,$F644:$F$9844,"*"&amp;F643&amp;"*",$H644:$H$9844,"&lt;&gt;"))</f>
        <v>0</v>
      </c>
      <c r="O643" s="162" t="str">
        <f>IFERROR((-Tabela2[[#This Row],[CUSTO TOTAL]]+Tabela2[[#This Row],[VENDA TOTAL]])/Tabela2[[#This Row],[VENDA TOTAL]]-PARAMETROS!$C$19,"")</f>
        <v/>
      </c>
      <c r="AA643" s="219">
        <f>SUM(Plan_Orc[[#This Row],[01/jan]:[01/dez]])</f>
        <v>0</v>
      </c>
      <c r="AB643" s="15"/>
      <c r="AC643" s="15"/>
      <c r="AD643" s="15"/>
      <c r="AE643" s="15"/>
      <c r="AF643" s="15"/>
      <c r="AG643" s="15"/>
      <c r="AH643" s="15"/>
      <c r="AI643" s="15"/>
      <c r="AJ643" s="15"/>
      <c r="AK643" s="15"/>
      <c r="AL643" s="15"/>
      <c r="AM643" s="15"/>
    </row>
    <row r="644" spans="2:39" ht="25.2" customHeight="1" x14ac:dyDescent="0.3">
      <c r="B644" s="13" t="str">
        <f t="shared" ref="B644:B707" si="14">IF(LEN(F644)=3,1,"")</f>
        <v/>
      </c>
      <c r="C644" s="18"/>
      <c r="D644" s="19" t="str">
        <f>IF(Tabela2[[#This Row],[AGRUPADOR]]&lt;&gt;"",VLOOKUP(Tabela2[[#This Row],[AGRUPADOR]],Tabela1[],2,0),"")</f>
        <v/>
      </c>
      <c r="E644" s="19" t="str">
        <f>IF(Tabela2[[#This Row],[AGRUPADOR]]&lt;&gt;"",VLOOKUP(Tabela2[[#This Row],[AGRUPADOR]],Tabela1[],4,0),"")</f>
        <v/>
      </c>
      <c r="F644" s="14"/>
      <c r="G644" s="6"/>
      <c r="H644" s="6"/>
      <c r="I644" s="25"/>
      <c r="J644" s="7"/>
      <c r="K644" s="15"/>
      <c r="L644" s="379">
        <f>IF(H644&lt;&gt;"",J644*K644,SUMIFS(L645:L$9844,$F645:$F$9844,"*"&amp;F644&amp;"*",$H645:$H$9844,"&lt;&gt;"))</f>
        <v>0</v>
      </c>
      <c r="M644" s="379" t="str">
        <f>IF(Tabela2[[#This Row],[UNID.]]&lt;&gt;"",IFERROR(VLOOKUP(Tabela2[[#This Row],[AGRUPADOR]],Lucratividade!$D$4:$O$129,6,0),0),"")</f>
        <v/>
      </c>
      <c r="N644" s="379">
        <f>IF(H644&lt;&gt;"",J644*M644*I644,SUMIFS(N645:N$9844,$F645:$F$9844,"*"&amp;F644&amp;"*",$H645:$H$9844,"&lt;&gt;"))</f>
        <v>0</v>
      </c>
      <c r="O644" s="162" t="str">
        <f>IFERROR((-Tabela2[[#This Row],[CUSTO TOTAL]]+Tabela2[[#This Row],[VENDA TOTAL]])/Tabela2[[#This Row],[VENDA TOTAL]]-PARAMETROS!$C$19,"")</f>
        <v/>
      </c>
      <c r="AA644" s="219">
        <f>SUM(Plan_Orc[[#This Row],[01/jan]:[01/dez]])</f>
        <v>0</v>
      </c>
      <c r="AB644" s="15"/>
      <c r="AC644" s="15"/>
      <c r="AD644" s="15"/>
      <c r="AE644" s="15"/>
      <c r="AF644" s="15"/>
      <c r="AG644" s="15"/>
      <c r="AH644" s="15"/>
      <c r="AI644" s="15"/>
      <c r="AJ644" s="15"/>
      <c r="AK644" s="15"/>
      <c r="AL644" s="15"/>
      <c r="AM644" s="15"/>
    </row>
    <row r="645" spans="2:39" ht="25.2" customHeight="1" x14ac:dyDescent="0.3">
      <c r="B645" s="13" t="str">
        <f t="shared" si="14"/>
        <v/>
      </c>
      <c r="C645" s="18"/>
      <c r="D645" s="19" t="str">
        <f>IF(Tabela2[[#This Row],[AGRUPADOR]]&lt;&gt;"",VLOOKUP(Tabela2[[#This Row],[AGRUPADOR]],Tabela1[],2,0),"")</f>
        <v/>
      </c>
      <c r="E645" s="19" t="str">
        <f>IF(Tabela2[[#This Row],[AGRUPADOR]]&lt;&gt;"",VLOOKUP(Tabela2[[#This Row],[AGRUPADOR]],Tabela1[],4,0),"")</f>
        <v/>
      </c>
      <c r="F645" s="14"/>
      <c r="G645" s="6"/>
      <c r="H645" s="6"/>
      <c r="I645" s="25"/>
      <c r="J645" s="7"/>
      <c r="K645" s="15"/>
      <c r="L645" s="379">
        <f>IF(H645&lt;&gt;"",J645*K645,SUMIFS(L646:L$9844,$F646:$F$9844,"*"&amp;F645&amp;"*",$H646:$H$9844,"&lt;&gt;"))</f>
        <v>0</v>
      </c>
      <c r="M645" s="379" t="str">
        <f>IF(Tabela2[[#This Row],[UNID.]]&lt;&gt;"",IFERROR(VLOOKUP(Tabela2[[#This Row],[AGRUPADOR]],Lucratividade!$D$4:$O$129,6,0),0),"")</f>
        <v/>
      </c>
      <c r="N645" s="379">
        <f>IF(H645&lt;&gt;"",J645*M645*I645,SUMIFS(N646:N$9844,$F646:$F$9844,"*"&amp;F645&amp;"*",$H646:$H$9844,"&lt;&gt;"))</f>
        <v>0</v>
      </c>
      <c r="O645" s="162" t="str">
        <f>IFERROR((-Tabela2[[#This Row],[CUSTO TOTAL]]+Tabela2[[#This Row],[VENDA TOTAL]])/Tabela2[[#This Row],[VENDA TOTAL]]-PARAMETROS!$C$19,"")</f>
        <v/>
      </c>
      <c r="AA645" s="219">
        <f>SUM(Plan_Orc[[#This Row],[01/jan]:[01/dez]])</f>
        <v>0</v>
      </c>
      <c r="AB645" s="15"/>
      <c r="AC645" s="15"/>
      <c r="AD645" s="15"/>
      <c r="AE645" s="15"/>
      <c r="AF645" s="15"/>
      <c r="AG645" s="15"/>
      <c r="AH645" s="15"/>
      <c r="AI645" s="15"/>
      <c r="AJ645" s="15"/>
      <c r="AK645" s="15"/>
      <c r="AL645" s="15"/>
      <c r="AM645" s="15"/>
    </row>
    <row r="646" spans="2:39" ht="25.2" customHeight="1" x14ac:dyDescent="0.3">
      <c r="B646" s="13" t="str">
        <f t="shared" si="14"/>
        <v/>
      </c>
      <c r="C646" s="18"/>
      <c r="D646" s="19" t="str">
        <f>IF(Tabela2[[#This Row],[AGRUPADOR]]&lt;&gt;"",VLOOKUP(Tabela2[[#This Row],[AGRUPADOR]],Tabela1[],2,0),"")</f>
        <v/>
      </c>
      <c r="E646" s="19" t="str">
        <f>IF(Tabela2[[#This Row],[AGRUPADOR]]&lt;&gt;"",VLOOKUP(Tabela2[[#This Row],[AGRUPADOR]],Tabela1[],4,0),"")</f>
        <v/>
      </c>
      <c r="F646" s="14"/>
      <c r="G646" s="6"/>
      <c r="H646" s="6"/>
      <c r="I646" s="25"/>
      <c r="J646" s="7"/>
      <c r="K646" s="15"/>
      <c r="L646" s="379">
        <f>IF(H646&lt;&gt;"",J646*K646,SUMIFS(L647:L$9844,$F647:$F$9844,"*"&amp;F646&amp;"*",$H647:$H$9844,"&lt;&gt;"))</f>
        <v>0</v>
      </c>
      <c r="M646" s="379" t="str">
        <f>IF(Tabela2[[#This Row],[UNID.]]&lt;&gt;"",IFERROR(VLOOKUP(Tabela2[[#This Row],[AGRUPADOR]],Lucratividade!$D$4:$O$129,6,0),0),"")</f>
        <v/>
      </c>
      <c r="N646" s="379">
        <f>IF(H646&lt;&gt;"",J646*M646*I646,SUMIFS(N647:N$9844,$F647:$F$9844,"*"&amp;F646&amp;"*",$H647:$H$9844,"&lt;&gt;"))</f>
        <v>0</v>
      </c>
      <c r="O646" s="162" t="str">
        <f>IFERROR((-Tabela2[[#This Row],[CUSTO TOTAL]]+Tabela2[[#This Row],[VENDA TOTAL]])/Tabela2[[#This Row],[VENDA TOTAL]]-PARAMETROS!$C$19,"")</f>
        <v/>
      </c>
      <c r="AA646" s="219">
        <f>SUM(Plan_Orc[[#This Row],[01/jan]:[01/dez]])</f>
        <v>0</v>
      </c>
      <c r="AB646" s="15"/>
      <c r="AC646" s="15"/>
      <c r="AD646" s="15"/>
      <c r="AE646" s="15"/>
      <c r="AF646" s="15"/>
      <c r="AG646" s="15"/>
      <c r="AH646" s="15"/>
      <c r="AI646" s="15"/>
      <c r="AJ646" s="15"/>
      <c r="AK646" s="15"/>
      <c r="AL646" s="15"/>
      <c r="AM646" s="15"/>
    </row>
    <row r="647" spans="2:39" ht="25.2" customHeight="1" x14ac:dyDescent="0.3">
      <c r="B647" s="13" t="str">
        <f t="shared" si="14"/>
        <v/>
      </c>
      <c r="C647" s="18"/>
      <c r="D647" s="19" t="str">
        <f>IF(Tabela2[[#This Row],[AGRUPADOR]]&lt;&gt;"",VLOOKUP(Tabela2[[#This Row],[AGRUPADOR]],Tabela1[],2,0),"")</f>
        <v/>
      </c>
      <c r="E647" s="19" t="str">
        <f>IF(Tabela2[[#This Row],[AGRUPADOR]]&lt;&gt;"",VLOOKUP(Tabela2[[#This Row],[AGRUPADOR]],Tabela1[],4,0),"")</f>
        <v/>
      </c>
      <c r="F647" s="14"/>
      <c r="G647" s="6"/>
      <c r="H647" s="6"/>
      <c r="I647" s="25"/>
      <c r="J647" s="7"/>
      <c r="K647" s="15"/>
      <c r="L647" s="379">
        <f>IF(H647&lt;&gt;"",J647*K647,SUMIFS(L648:L$9844,$F648:$F$9844,"*"&amp;F647&amp;"*",$H648:$H$9844,"&lt;&gt;"))</f>
        <v>0</v>
      </c>
      <c r="M647" s="379" t="str">
        <f>IF(Tabela2[[#This Row],[UNID.]]&lt;&gt;"",IFERROR(VLOOKUP(Tabela2[[#This Row],[AGRUPADOR]],Lucratividade!$D$4:$O$129,6,0),0),"")</f>
        <v/>
      </c>
      <c r="N647" s="379">
        <f>IF(H647&lt;&gt;"",J647*M647*I647,SUMIFS(N648:N$9844,$F648:$F$9844,"*"&amp;F647&amp;"*",$H648:$H$9844,"&lt;&gt;"))</f>
        <v>0</v>
      </c>
      <c r="O647" s="162" t="str">
        <f>IFERROR((-Tabela2[[#This Row],[CUSTO TOTAL]]+Tabela2[[#This Row],[VENDA TOTAL]])/Tabela2[[#This Row],[VENDA TOTAL]]-PARAMETROS!$C$19,"")</f>
        <v/>
      </c>
      <c r="AA647" s="219">
        <f>SUM(Plan_Orc[[#This Row],[01/jan]:[01/dez]])</f>
        <v>0</v>
      </c>
      <c r="AB647" s="15"/>
      <c r="AC647" s="15"/>
      <c r="AD647" s="15"/>
      <c r="AE647" s="15"/>
      <c r="AF647" s="15"/>
      <c r="AG647" s="15"/>
      <c r="AH647" s="15"/>
      <c r="AI647" s="15"/>
      <c r="AJ647" s="15"/>
      <c r="AK647" s="15"/>
      <c r="AL647" s="15"/>
      <c r="AM647" s="15"/>
    </row>
    <row r="648" spans="2:39" ht="25.2" customHeight="1" x14ac:dyDescent="0.3">
      <c r="B648" s="13" t="str">
        <f t="shared" si="14"/>
        <v/>
      </c>
      <c r="C648" s="18"/>
      <c r="D648" s="19" t="str">
        <f>IF(Tabela2[[#This Row],[AGRUPADOR]]&lt;&gt;"",VLOOKUP(Tabela2[[#This Row],[AGRUPADOR]],Tabela1[],2,0),"")</f>
        <v/>
      </c>
      <c r="E648" s="19" t="str">
        <f>IF(Tabela2[[#This Row],[AGRUPADOR]]&lt;&gt;"",VLOOKUP(Tabela2[[#This Row],[AGRUPADOR]],Tabela1[],4,0),"")</f>
        <v/>
      </c>
      <c r="F648" s="14"/>
      <c r="G648" s="6"/>
      <c r="H648" s="6"/>
      <c r="I648" s="25"/>
      <c r="J648" s="7"/>
      <c r="K648" s="15"/>
      <c r="L648" s="379">
        <f>IF(H648&lt;&gt;"",J648*K648,SUMIFS(L649:L$9844,$F649:$F$9844,"*"&amp;F648&amp;"*",$H649:$H$9844,"&lt;&gt;"))</f>
        <v>0</v>
      </c>
      <c r="M648" s="379" t="str">
        <f>IF(Tabela2[[#This Row],[UNID.]]&lt;&gt;"",IFERROR(VLOOKUP(Tabela2[[#This Row],[AGRUPADOR]],Lucratividade!$D$4:$O$129,6,0),0),"")</f>
        <v/>
      </c>
      <c r="N648" s="379">
        <f>IF(H648&lt;&gt;"",J648*M648*I648,SUMIFS(N649:N$9844,$F649:$F$9844,"*"&amp;F648&amp;"*",$H649:$H$9844,"&lt;&gt;"))</f>
        <v>0</v>
      </c>
      <c r="O648" s="162" t="str">
        <f>IFERROR((-Tabela2[[#This Row],[CUSTO TOTAL]]+Tabela2[[#This Row],[VENDA TOTAL]])/Tabela2[[#This Row],[VENDA TOTAL]]-PARAMETROS!$C$19,"")</f>
        <v/>
      </c>
      <c r="AA648" s="219">
        <f>SUM(Plan_Orc[[#This Row],[01/jan]:[01/dez]])</f>
        <v>0</v>
      </c>
      <c r="AB648" s="15"/>
      <c r="AC648" s="15"/>
      <c r="AD648" s="15"/>
      <c r="AE648" s="15"/>
      <c r="AF648" s="15"/>
      <c r="AG648" s="15"/>
      <c r="AH648" s="15"/>
      <c r="AI648" s="15"/>
      <c r="AJ648" s="15"/>
      <c r="AK648" s="15"/>
      <c r="AL648" s="15"/>
      <c r="AM648" s="15"/>
    </row>
    <row r="649" spans="2:39" ht="25.2" customHeight="1" x14ac:dyDescent="0.3">
      <c r="B649" s="13" t="str">
        <f t="shared" si="14"/>
        <v/>
      </c>
      <c r="C649" s="18"/>
      <c r="D649" s="19" t="str">
        <f>IF(Tabela2[[#This Row],[AGRUPADOR]]&lt;&gt;"",VLOOKUP(Tabela2[[#This Row],[AGRUPADOR]],Tabela1[],2,0),"")</f>
        <v/>
      </c>
      <c r="E649" s="19" t="str">
        <f>IF(Tabela2[[#This Row],[AGRUPADOR]]&lt;&gt;"",VLOOKUP(Tabela2[[#This Row],[AGRUPADOR]],Tabela1[],4,0),"")</f>
        <v/>
      </c>
      <c r="F649" s="14"/>
      <c r="G649" s="6"/>
      <c r="H649" s="6"/>
      <c r="I649" s="25"/>
      <c r="J649" s="7"/>
      <c r="K649" s="15"/>
      <c r="L649" s="379">
        <f>IF(H649&lt;&gt;"",J649*K649,SUMIFS(L650:L$9844,$F650:$F$9844,"*"&amp;F649&amp;"*",$H650:$H$9844,"&lt;&gt;"))</f>
        <v>0</v>
      </c>
      <c r="M649" s="379" t="str">
        <f>IF(Tabela2[[#This Row],[UNID.]]&lt;&gt;"",IFERROR(VLOOKUP(Tabela2[[#This Row],[AGRUPADOR]],Lucratividade!$D$4:$O$129,6,0),0),"")</f>
        <v/>
      </c>
      <c r="N649" s="379">
        <f>IF(H649&lt;&gt;"",J649*M649*I649,SUMIFS(N650:N$9844,$F650:$F$9844,"*"&amp;F649&amp;"*",$H650:$H$9844,"&lt;&gt;"))</f>
        <v>0</v>
      </c>
      <c r="O649" s="162" t="str">
        <f>IFERROR((-Tabela2[[#This Row],[CUSTO TOTAL]]+Tabela2[[#This Row],[VENDA TOTAL]])/Tabela2[[#This Row],[VENDA TOTAL]]-PARAMETROS!$C$19,"")</f>
        <v/>
      </c>
      <c r="AA649" s="219">
        <f>SUM(Plan_Orc[[#This Row],[01/jan]:[01/dez]])</f>
        <v>0</v>
      </c>
      <c r="AB649" s="15"/>
      <c r="AC649" s="15"/>
      <c r="AD649" s="15"/>
      <c r="AE649" s="15"/>
      <c r="AF649" s="15"/>
      <c r="AG649" s="15"/>
      <c r="AH649" s="15"/>
      <c r="AI649" s="15"/>
      <c r="AJ649" s="15"/>
      <c r="AK649" s="15"/>
      <c r="AL649" s="15"/>
      <c r="AM649" s="15"/>
    </row>
    <row r="650" spans="2:39" ht="25.2" customHeight="1" x14ac:dyDescent="0.3">
      <c r="B650" s="13" t="str">
        <f t="shared" si="14"/>
        <v/>
      </c>
      <c r="C650" s="18"/>
      <c r="D650" s="19" t="str">
        <f>IF(Tabela2[[#This Row],[AGRUPADOR]]&lt;&gt;"",VLOOKUP(Tabela2[[#This Row],[AGRUPADOR]],Tabela1[],2,0),"")</f>
        <v/>
      </c>
      <c r="E650" s="19" t="str">
        <f>IF(Tabela2[[#This Row],[AGRUPADOR]]&lt;&gt;"",VLOOKUP(Tabela2[[#This Row],[AGRUPADOR]],Tabela1[],4,0),"")</f>
        <v/>
      </c>
      <c r="F650" s="14"/>
      <c r="G650" s="6"/>
      <c r="H650" s="6"/>
      <c r="I650" s="25"/>
      <c r="J650" s="7"/>
      <c r="K650" s="15"/>
      <c r="L650" s="379">
        <f>IF(H650&lt;&gt;"",J650*K650,SUMIFS(L651:L$9844,$F651:$F$9844,"*"&amp;F650&amp;"*",$H651:$H$9844,"&lt;&gt;"))</f>
        <v>0</v>
      </c>
      <c r="M650" s="379" t="str">
        <f>IF(Tabela2[[#This Row],[UNID.]]&lt;&gt;"",IFERROR(VLOOKUP(Tabela2[[#This Row],[AGRUPADOR]],Lucratividade!$D$4:$O$129,6,0),0),"")</f>
        <v/>
      </c>
      <c r="N650" s="379">
        <f>IF(H650&lt;&gt;"",J650*M650*I650,SUMIFS(N651:N$9844,$F651:$F$9844,"*"&amp;F650&amp;"*",$H651:$H$9844,"&lt;&gt;"))</f>
        <v>0</v>
      </c>
      <c r="O650" s="162" t="str">
        <f>IFERROR((-Tabela2[[#This Row],[CUSTO TOTAL]]+Tabela2[[#This Row],[VENDA TOTAL]])/Tabela2[[#This Row],[VENDA TOTAL]]-PARAMETROS!$C$19,"")</f>
        <v/>
      </c>
      <c r="AA650" s="219">
        <f>SUM(Plan_Orc[[#This Row],[01/jan]:[01/dez]])</f>
        <v>0</v>
      </c>
      <c r="AB650" s="15"/>
      <c r="AC650" s="15"/>
      <c r="AD650" s="15"/>
      <c r="AE650" s="15"/>
      <c r="AF650" s="15"/>
      <c r="AG650" s="15"/>
      <c r="AH650" s="15"/>
      <c r="AI650" s="15"/>
      <c r="AJ650" s="15"/>
      <c r="AK650" s="15"/>
      <c r="AL650" s="15"/>
      <c r="AM650" s="15"/>
    </row>
    <row r="651" spans="2:39" ht="25.2" customHeight="1" x14ac:dyDescent="0.3">
      <c r="B651" s="13" t="str">
        <f t="shared" si="14"/>
        <v/>
      </c>
      <c r="C651" s="18"/>
      <c r="D651" s="19" t="str">
        <f>IF(Tabela2[[#This Row],[AGRUPADOR]]&lt;&gt;"",VLOOKUP(Tabela2[[#This Row],[AGRUPADOR]],Tabela1[],2,0),"")</f>
        <v/>
      </c>
      <c r="E651" s="19" t="str">
        <f>IF(Tabela2[[#This Row],[AGRUPADOR]]&lt;&gt;"",VLOOKUP(Tabela2[[#This Row],[AGRUPADOR]],Tabela1[],4,0),"")</f>
        <v/>
      </c>
      <c r="F651" s="14"/>
      <c r="G651" s="6"/>
      <c r="H651" s="6"/>
      <c r="I651" s="25"/>
      <c r="J651" s="7"/>
      <c r="K651" s="15"/>
      <c r="L651" s="379">
        <f>IF(H651&lt;&gt;"",J651*K651,SUMIFS(L652:L$9844,$F652:$F$9844,"*"&amp;F651&amp;"*",$H652:$H$9844,"&lt;&gt;"))</f>
        <v>0</v>
      </c>
      <c r="M651" s="379" t="str">
        <f>IF(Tabela2[[#This Row],[UNID.]]&lt;&gt;"",IFERROR(VLOOKUP(Tabela2[[#This Row],[AGRUPADOR]],Lucratividade!$D$4:$O$129,6,0),0),"")</f>
        <v/>
      </c>
      <c r="N651" s="379">
        <f>IF(H651&lt;&gt;"",J651*M651*I651,SUMIFS(N652:N$9844,$F652:$F$9844,"*"&amp;F651&amp;"*",$H652:$H$9844,"&lt;&gt;"))</f>
        <v>0</v>
      </c>
      <c r="O651" s="162" t="str">
        <f>IFERROR((-Tabela2[[#This Row],[CUSTO TOTAL]]+Tabela2[[#This Row],[VENDA TOTAL]])/Tabela2[[#This Row],[VENDA TOTAL]]-PARAMETROS!$C$19,"")</f>
        <v/>
      </c>
      <c r="AA651" s="219">
        <f>SUM(Plan_Orc[[#This Row],[01/jan]:[01/dez]])</f>
        <v>0</v>
      </c>
      <c r="AB651" s="15"/>
      <c r="AC651" s="15"/>
      <c r="AD651" s="15"/>
      <c r="AE651" s="15"/>
      <c r="AF651" s="15"/>
      <c r="AG651" s="15"/>
      <c r="AH651" s="15"/>
      <c r="AI651" s="15"/>
      <c r="AJ651" s="15"/>
      <c r="AK651" s="15"/>
      <c r="AL651" s="15"/>
      <c r="AM651" s="15"/>
    </row>
    <row r="652" spans="2:39" ht="25.2" customHeight="1" x14ac:dyDescent="0.3">
      <c r="B652" s="13" t="str">
        <f t="shared" si="14"/>
        <v/>
      </c>
      <c r="C652" s="18"/>
      <c r="D652" s="19" t="str">
        <f>IF(Tabela2[[#This Row],[AGRUPADOR]]&lt;&gt;"",VLOOKUP(Tabela2[[#This Row],[AGRUPADOR]],Tabela1[],2,0),"")</f>
        <v/>
      </c>
      <c r="E652" s="19" t="str">
        <f>IF(Tabela2[[#This Row],[AGRUPADOR]]&lt;&gt;"",VLOOKUP(Tabela2[[#This Row],[AGRUPADOR]],Tabela1[],4,0),"")</f>
        <v/>
      </c>
      <c r="F652" s="14"/>
      <c r="G652" s="6"/>
      <c r="H652" s="6"/>
      <c r="I652" s="25"/>
      <c r="J652" s="7"/>
      <c r="K652" s="15"/>
      <c r="L652" s="379">
        <f>IF(H652&lt;&gt;"",J652*K652,SUMIFS(L653:L$9844,$F653:$F$9844,"*"&amp;F652&amp;"*",$H653:$H$9844,"&lt;&gt;"))</f>
        <v>0</v>
      </c>
      <c r="M652" s="379" t="str">
        <f>IF(Tabela2[[#This Row],[UNID.]]&lt;&gt;"",IFERROR(VLOOKUP(Tabela2[[#This Row],[AGRUPADOR]],Lucratividade!$D$4:$O$129,6,0),0),"")</f>
        <v/>
      </c>
      <c r="N652" s="379">
        <f>IF(H652&lt;&gt;"",J652*M652*I652,SUMIFS(N653:N$9844,$F653:$F$9844,"*"&amp;F652&amp;"*",$H653:$H$9844,"&lt;&gt;"))</f>
        <v>0</v>
      </c>
      <c r="O652" s="162" t="str">
        <f>IFERROR((-Tabela2[[#This Row],[CUSTO TOTAL]]+Tabela2[[#This Row],[VENDA TOTAL]])/Tabela2[[#This Row],[VENDA TOTAL]]-PARAMETROS!$C$19,"")</f>
        <v/>
      </c>
      <c r="AA652" s="219">
        <f>SUM(Plan_Orc[[#This Row],[01/jan]:[01/dez]])</f>
        <v>0</v>
      </c>
      <c r="AB652" s="15"/>
      <c r="AC652" s="15"/>
      <c r="AD652" s="15"/>
      <c r="AE652" s="15"/>
      <c r="AF652" s="15"/>
      <c r="AG652" s="15"/>
      <c r="AH652" s="15"/>
      <c r="AI652" s="15"/>
      <c r="AJ652" s="15"/>
      <c r="AK652" s="15"/>
      <c r="AL652" s="15"/>
      <c r="AM652" s="15"/>
    </row>
    <row r="653" spans="2:39" ht="25.2" customHeight="1" x14ac:dyDescent="0.3">
      <c r="B653" s="13" t="str">
        <f t="shared" si="14"/>
        <v/>
      </c>
      <c r="C653" s="18"/>
      <c r="D653" s="19" t="str">
        <f>IF(Tabela2[[#This Row],[AGRUPADOR]]&lt;&gt;"",VLOOKUP(Tabela2[[#This Row],[AGRUPADOR]],Tabela1[],2,0),"")</f>
        <v/>
      </c>
      <c r="E653" s="19" t="str">
        <f>IF(Tabela2[[#This Row],[AGRUPADOR]]&lt;&gt;"",VLOOKUP(Tabela2[[#This Row],[AGRUPADOR]],Tabela1[],4,0),"")</f>
        <v/>
      </c>
      <c r="F653" s="14"/>
      <c r="G653" s="6"/>
      <c r="H653" s="6"/>
      <c r="I653" s="25"/>
      <c r="J653" s="7"/>
      <c r="K653" s="15"/>
      <c r="L653" s="379">
        <f>IF(H653&lt;&gt;"",J653*K653,SUMIFS(L654:L$9844,$F654:$F$9844,"*"&amp;F653&amp;"*",$H654:$H$9844,"&lt;&gt;"))</f>
        <v>0</v>
      </c>
      <c r="M653" s="379" t="str">
        <f>IF(Tabela2[[#This Row],[UNID.]]&lt;&gt;"",IFERROR(VLOOKUP(Tabela2[[#This Row],[AGRUPADOR]],Lucratividade!$D$4:$O$129,6,0),0),"")</f>
        <v/>
      </c>
      <c r="N653" s="379">
        <f>IF(H653&lt;&gt;"",J653*M653*I653,SUMIFS(N654:N$9844,$F654:$F$9844,"*"&amp;F653&amp;"*",$H654:$H$9844,"&lt;&gt;"))</f>
        <v>0</v>
      </c>
      <c r="O653" s="162" t="str">
        <f>IFERROR((-Tabela2[[#This Row],[CUSTO TOTAL]]+Tabela2[[#This Row],[VENDA TOTAL]])/Tabela2[[#This Row],[VENDA TOTAL]]-PARAMETROS!$C$19,"")</f>
        <v/>
      </c>
      <c r="AA653" s="219">
        <f>SUM(Plan_Orc[[#This Row],[01/jan]:[01/dez]])</f>
        <v>0</v>
      </c>
      <c r="AB653" s="15"/>
      <c r="AC653" s="15"/>
      <c r="AD653" s="15"/>
      <c r="AE653" s="15"/>
      <c r="AF653" s="15"/>
      <c r="AG653" s="15"/>
      <c r="AH653" s="15"/>
      <c r="AI653" s="15"/>
      <c r="AJ653" s="15"/>
      <c r="AK653" s="15"/>
      <c r="AL653" s="15"/>
      <c r="AM653" s="15"/>
    </row>
    <row r="654" spans="2:39" ht="25.2" customHeight="1" x14ac:dyDescent="0.3">
      <c r="B654" s="13" t="str">
        <f t="shared" si="14"/>
        <v/>
      </c>
      <c r="C654" s="18"/>
      <c r="D654" s="19" t="str">
        <f>IF(Tabela2[[#This Row],[AGRUPADOR]]&lt;&gt;"",VLOOKUP(Tabela2[[#This Row],[AGRUPADOR]],Tabela1[],2,0),"")</f>
        <v/>
      </c>
      <c r="E654" s="19" t="str">
        <f>IF(Tabela2[[#This Row],[AGRUPADOR]]&lt;&gt;"",VLOOKUP(Tabela2[[#This Row],[AGRUPADOR]],Tabela1[],4,0),"")</f>
        <v/>
      </c>
      <c r="F654" s="14"/>
      <c r="G654" s="6"/>
      <c r="H654" s="6"/>
      <c r="I654" s="25"/>
      <c r="J654" s="7"/>
      <c r="K654" s="15"/>
      <c r="L654" s="379">
        <f>IF(H654&lt;&gt;"",J654*K654,SUMIFS(L655:L$9844,$F655:$F$9844,"*"&amp;F654&amp;"*",$H655:$H$9844,"&lt;&gt;"))</f>
        <v>0</v>
      </c>
      <c r="M654" s="379" t="str">
        <f>IF(Tabela2[[#This Row],[UNID.]]&lt;&gt;"",IFERROR(VLOOKUP(Tabela2[[#This Row],[AGRUPADOR]],Lucratividade!$D$4:$O$129,6,0),0),"")</f>
        <v/>
      </c>
      <c r="N654" s="379">
        <f>IF(H654&lt;&gt;"",J654*M654*I654,SUMIFS(N655:N$9844,$F655:$F$9844,"*"&amp;F654&amp;"*",$H655:$H$9844,"&lt;&gt;"))</f>
        <v>0</v>
      </c>
      <c r="O654" s="162" t="str">
        <f>IFERROR((-Tabela2[[#This Row],[CUSTO TOTAL]]+Tabela2[[#This Row],[VENDA TOTAL]])/Tabela2[[#This Row],[VENDA TOTAL]]-PARAMETROS!$C$19,"")</f>
        <v/>
      </c>
      <c r="AA654" s="219">
        <f>SUM(Plan_Orc[[#This Row],[01/jan]:[01/dez]])</f>
        <v>0</v>
      </c>
      <c r="AB654" s="15"/>
      <c r="AC654" s="15"/>
      <c r="AD654" s="15"/>
      <c r="AE654" s="15"/>
      <c r="AF654" s="15"/>
      <c r="AG654" s="15"/>
      <c r="AH654" s="15"/>
      <c r="AI654" s="15"/>
      <c r="AJ654" s="15"/>
      <c r="AK654" s="15"/>
      <c r="AL654" s="15"/>
      <c r="AM654" s="15"/>
    </row>
    <row r="655" spans="2:39" ht="25.2" customHeight="1" x14ac:dyDescent="0.3">
      <c r="B655" s="13" t="str">
        <f t="shared" si="14"/>
        <v/>
      </c>
      <c r="C655" s="18"/>
      <c r="D655" s="19" t="str">
        <f>IF(Tabela2[[#This Row],[AGRUPADOR]]&lt;&gt;"",VLOOKUP(Tabela2[[#This Row],[AGRUPADOR]],Tabela1[],2,0),"")</f>
        <v/>
      </c>
      <c r="E655" s="19" t="str">
        <f>IF(Tabela2[[#This Row],[AGRUPADOR]]&lt;&gt;"",VLOOKUP(Tabela2[[#This Row],[AGRUPADOR]],Tabela1[],4,0),"")</f>
        <v/>
      </c>
      <c r="F655" s="14"/>
      <c r="G655" s="6"/>
      <c r="H655" s="6"/>
      <c r="I655" s="25"/>
      <c r="J655" s="7"/>
      <c r="K655" s="15"/>
      <c r="L655" s="379">
        <f>IF(H655&lt;&gt;"",J655*K655,SUMIFS(L656:L$9844,$F656:$F$9844,"*"&amp;F655&amp;"*",$H656:$H$9844,"&lt;&gt;"))</f>
        <v>0</v>
      </c>
      <c r="M655" s="379" t="str">
        <f>IF(Tabela2[[#This Row],[UNID.]]&lt;&gt;"",IFERROR(VLOOKUP(Tabela2[[#This Row],[AGRUPADOR]],Lucratividade!$D$4:$O$129,6,0),0),"")</f>
        <v/>
      </c>
      <c r="N655" s="379">
        <f>IF(H655&lt;&gt;"",J655*M655*I655,SUMIFS(N656:N$9844,$F656:$F$9844,"*"&amp;F655&amp;"*",$H656:$H$9844,"&lt;&gt;"))</f>
        <v>0</v>
      </c>
      <c r="O655" s="162" t="str">
        <f>IFERROR((-Tabela2[[#This Row],[CUSTO TOTAL]]+Tabela2[[#This Row],[VENDA TOTAL]])/Tabela2[[#This Row],[VENDA TOTAL]]-PARAMETROS!$C$19,"")</f>
        <v/>
      </c>
      <c r="AA655" s="218">
        <f>SUM(Plan_Orc[[#This Row],[01/jan]:[01/dez]])</f>
        <v>0</v>
      </c>
      <c r="AB655" s="12"/>
      <c r="AC655" s="12"/>
      <c r="AD655" s="12"/>
      <c r="AE655" s="12"/>
      <c r="AF655" s="12"/>
      <c r="AG655" s="12"/>
      <c r="AH655" s="12"/>
      <c r="AI655" s="12"/>
      <c r="AJ655" s="12"/>
      <c r="AK655" s="12"/>
      <c r="AL655" s="12"/>
      <c r="AM655" s="12"/>
    </row>
    <row r="656" spans="2:39" ht="25.2" customHeight="1" x14ac:dyDescent="0.3">
      <c r="B656" s="13" t="str">
        <f t="shared" si="14"/>
        <v/>
      </c>
      <c r="C656" s="18"/>
      <c r="D656" s="19" t="str">
        <f>IF(Tabela2[[#This Row],[AGRUPADOR]]&lt;&gt;"",VLOOKUP(Tabela2[[#This Row],[AGRUPADOR]],Tabela1[],2,0),"")</f>
        <v/>
      </c>
      <c r="E656" s="19" t="str">
        <f>IF(Tabela2[[#This Row],[AGRUPADOR]]&lt;&gt;"",VLOOKUP(Tabela2[[#This Row],[AGRUPADOR]],Tabela1[],4,0),"")</f>
        <v/>
      </c>
      <c r="F656" s="14"/>
      <c r="G656" s="6"/>
      <c r="H656" s="6"/>
      <c r="I656" s="25"/>
      <c r="J656" s="7"/>
      <c r="K656" s="15"/>
      <c r="L656" s="379">
        <f>IF(H656&lt;&gt;"",J656*K656,SUMIFS(L657:L$9844,$F657:$F$9844,"*"&amp;F656&amp;"*",$H657:$H$9844,"&lt;&gt;"))</f>
        <v>0</v>
      </c>
      <c r="M656" s="379" t="str">
        <f>IF(Tabela2[[#This Row],[UNID.]]&lt;&gt;"",IFERROR(VLOOKUP(Tabela2[[#This Row],[AGRUPADOR]],Lucratividade!$D$4:$O$129,6,0),0),"")</f>
        <v/>
      </c>
      <c r="N656" s="379">
        <f>IF(H656&lt;&gt;"",J656*M656*I656,SUMIFS(N657:N$9844,$F657:$F$9844,"*"&amp;F656&amp;"*",$H657:$H$9844,"&lt;&gt;"))</f>
        <v>0</v>
      </c>
      <c r="O656" s="162" t="str">
        <f>IFERROR((-Tabela2[[#This Row],[CUSTO TOTAL]]+Tabela2[[#This Row],[VENDA TOTAL]])/Tabela2[[#This Row],[VENDA TOTAL]]-PARAMETROS!$C$19,"")</f>
        <v/>
      </c>
      <c r="AA656" s="219">
        <f>SUM(Plan_Orc[[#This Row],[01/jan]:[01/dez]])</f>
        <v>0</v>
      </c>
      <c r="AB656" s="15"/>
      <c r="AC656" s="15"/>
      <c r="AD656" s="15"/>
      <c r="AE656" s="15"/>
      <c r="AF656" s="15"/>
      <c r="AG656" s="15"/>
      <c r="AH656" s="15"/>
      <c r="AI656" s="15"/>
      <c r="AJ656" s="15"/>
      <c r="AK656" s="15"/>
      <c r="AL656" s="15"/>
      <c r="AM656" s="15"/>
    </row>
    <row r="657" spans="2:39" ht="25.2" customHeight="1" x14ac:dyDescent="0.3">
      <c r="B657" s="13" t="str">
        <f t="shared" si="14"/>
        <v/>
      </c>
      <c r="C657" s="18"/>
      <c r="D657" s="19" t="str">
        <f>IF(Tabela2[[#This Row],[AGRUPADOR]]&lt;&gt;"",VLOOKUP(Tabela2[[#This Row],[AGRUPADOR]],Tabela1[],2,0),"")</f>
        <v/>
      </c>
      <c r="E657" s="19" t="str">
        <f>IF(Tabela2[[#This Row],[AGRUPADOR]]&lt;&gt;"",VLOOKUP(Tabela2[[#This Row],[AGRUPADOR]],Tabela1[],4,0),"")</f>
        <v/>
      </c>
      <c r="F657" s="14"/>
      <c r="G657" s="6"/>
      <c r="H657" s="6"/>
      <c r="I657" s="25"/>
      <c r="J657" s="7"/>
      <c r="K657" s="15"/>
      <c r="L657" s="379">
        <f>IF(H657&lt;&gt;"",J657*K657,SUMIFS(L658:L$9844,$F658:$F$9844,"*"&amp;F657&amp;"*",$H658:$H$9844,"&lt;&gt;"))</f>
        <v>0</v>
      </c>
      <c r="M657" s="379" t="str">
        <f>IF(Tabela2[[#This Row],[UNID.]]&lt;&gt;"",IFERROR(VLOOKUP(Tabela2[[#This Row],[AGRUPADOR]],Lucratividade!$D$4:$O$129,6,0),0),"")</f>
        <v/>
      </c>
      <c r="N657" s="379">
        <f>IF(H657&lt;&gt;"",J657*M657*I657,SUMIFS(N658:N$9844,$F658:$F$9844,"*"&amp;F657&amp;"*",$H658:$H$9844,"&lt;&gt;"))</f>
        <v>0</v>
      </c>
      <c r="O657" s="162" t="str">
        <f>IFERROR((-Tabela2[[#This Row],[CUSTO TOTAL]]+Tabela2[[#This Row],[VENDA TOTAL]])/Tabela2[[#This Row],[VENDA TOTAL]]-PARAMETROS!$C$19,"")</f>
        <v/>
      </c>
      <c r="AA657" s="219">
        <f>SUM(Plan_Orc[[#This Row],[01/jan]:[01/dez]])</f>
        <v>0</v>
      </c>
      <c r="AB657" s="15"/>
      <c r="AC657" s="15"/>
      <c r="AD657" s="15"/>
      <c r="AE657" s="15"/>
      <c r="AF657" s="15"/>
      <c r="AG657" s="15"/>
      <c r="AH657" s="15"/>
      <c r="AI657" s="15"/>
      <c r="AJ657" s="15"/>
      <c r="AK657" s="15"/>
      <c r="AL657" s="15"/>
      <c r="AM657" s="15"/>
    </row>
    <row r="658" spans="2:39" ht="25.2" customHeight="1" x14ac:dyDescent="0.3">
      <c r="B658" s="13" t="str">
        <f t="shared" si="14"/>
        <v/>
      </c>
      <c r="C658" s="18"/>
      <c r="D658" s="19" t="str">
        <f>IF(Tabela2[[#This Row],[AGRUPADOR]]&lt;&gt;"",VLOOKUP(Tabela2[[#This Row],[AGRUPADOR]],Tabela1[],2,0),"")</f>
        <v/>
      </c>
      <c r="E658" s="19" t="str">
        <f>IF(Tabela2[[#This Row],[AGRUPADOR]]&lt;&gt;"",VLOOKUP(Tabela2[[#This Row],[AGRUPADOR]],Tabela1[],4,0),"")</f>
        <v/>
      </c>
      <c r="F658" s="14"/>
      <c r="G658" s="6"/>
      <c r="H658" s="6"/>
      <c r="I658" s="25"/>
      <c r="J658" s="7"/>
      <c r="K658" s="15"/>
      <c r="L658" s="379">
        <f>IF(H658&lt;&gt;"",J658*K658,SUMIFS(L659:L$9844,$F659:$F$9844,"*"&amp;F658&amp;"*",$H659:$H$9844,"&lt;&gt;"))</f>
        <v>0</v>
      </c>
      <c r="M658" s="379" t="str">
        <f>IF(Tabela2[[#This Row],[UNID.]]&lt;&gt;"",IFERROR(VLOOKUP(Tabela2[[#This Row],[AGRUPADOR]],Lucratividade!$D$4:$O$129,6,0),0),"")</f>
        <v/>
      </c>
      <c r="N658" s="379">
        <f>IF(H658&lt;&gt;"",J658*M658*I658,SUMIFS(N659:N$9844,$F659:$F$9844,"*"&amp;F658&amp;"*",$H659:$H$9844,"&lt;&gt;"))</f>
        <v>0</v>
      </c>
      <c r="O658" s="162" t="str">
        <f>IFERROR((-Tabela2[[#This Row],[CUSTO TOTAL]]+Tabela2[[#This Row],[VENDA TOTAL]])/Tabela2[[#This Row],[VENDA TOTAL]]-PARAMETROS!$C$19,"")</f>
        <v/>
      </c>
      <c r="AA658" s="219">
        <f>SUM(Plan_Orc[[#This Row],[01/jan]:[01/dez]])</f>
        <v>0</v>
      </c>
      <c r="AB658" s="15"/>
      <c r="AC658" s="15"/>
      <c r="AD658" s="15"/>
      <c r="AE658" s="15"/>
      <c r="AF658" s="15"/>
      <c r="AG658" s="15"/>
      <c r="AH658" s="15"/>
      <c r="AI658" s="15"/>
      <c r="AJ658" s="15"/>
      <c r="AK658" s="15"/>
      <c r="AL658" s="15"/>
      <c r="AM658" s="15"/>
    </row>
    <row r="659" spans="2:39" ht="25.2" customHeight="1" x14ac:dyDescent="0.3">
      <c r="B659" s="13" t="str">
        <f t="shared" si="14"/>
        <v/>
      </c>
      <c r="C659" s="18"/>
      <c r="D659" s="19" t="str">
        <f>IF(Tabela2[[#This Row],[AGRUPADOR]]&lt;&gt;"",VLOOKUP(Tabela2[[#This Row],[AGRUPADOR]],Tabela1[],2,0),"")</f>
        <v/>
      </c>
      <c r="E659" s="19" t="str">
        <f>IF(Tabela2[[#This Row],[AGRUPADOR]]&lt;&gt;"",VLOOKUP(Tabela2[[#This Row],[AGRUPADOR]],Tabela1[],4,0),"")</f>
        <v/>
      </c>
      <c r="F659" s="14"/>
      <c r="G659" s="6"/>
      <c r="H659" s="6"/>
      <c r="I659" s="25"/>
      <c r="J659" s="7"/>
      <c r="K659" s="15"/>
      <c r="L659" s="379">
        <f>IF(H659&lt;&gt;"",J659*K659,SUMIFS(L660:L$9844,$F660:$F$9844,"*"&amp;F659&amp;"*",$H660:$H$9844,"&lt;&gt;"))</f>
        <v>0</v>
      </c>
      <c r="M659" s="379" t="str">
        <f>IF(Tabela2[[#This Row],[UNID.]]&lt;&gt;"",IFERROR(VLOOKUP(Tabela2[[#This Row],[AGRUPADOR]],Lucratividade!$D$4:$O$129,6,0),0),"")</f>
        <v/>
      </c>
      <c r="N659" s="379">
        <f>IF(H659&lt;&gt;"",J659*M659*I659,SUMIFS(N660:N$9844,$F660:$F$9844,"*"&amp;F659&amp;"*",$H660:$H$9844,"&lt;&gt;"))</f>
        <v>0</v>
      </c>
      <c r="O659" s="162" t="str">
        <f>IFERROR((-Tabela2[[#This Row],[CUSTO TOTAL]]+Tabela2[[#This Row],[VENDA TOTAL]])/Tabela2[[#This Row],[VENDA TOTAL]]-PARAMETROS!$C$19,"")</f>
        <v/>
      </c>
      <c r="AA659" s="219">
        <f>SUM(Plan_Orc[[#This Row],[01/jan]:[01/dez]])</f>
        <v>0</v>
      </c>
      <c r="AB659" s="15"/>
      <c r="AC659" s="15"/>
      <c r="AD659" s="15"/>
      <c r="AE659" s="15"/>
      <c r="AF659" s="15"/>
      <c r="AG659" s="15"/>
      <c r="AH659" s="15"/>
      <c r="AI659" s="15"/>
      <c r="AJ659" s="15"/>
      <c r="AK659" s="15"/>
      <c r="AL659" s="15"/>
      <c r="AM659" s="15"/>
    </row>
    <row r="660" spans="2:39" ht="25.2" customHeight="1" x14ac:dyDescent="0.3">
      <c r="B660" s="13" t="str">
        <f t="shared" si="14"/>
        <v/>
      </c>
      <c r="C660" s="18"/>
      <c r="D660" s="19" t="str">
        <f>IF(Tabela2[[#This Row],[AGRUPADOR]]&lt;&gt;"",VLOOKUP(Tabela2[[#This Row],[AGRUPADOR]],Tabela1[],2,0),"")</f>
        <v/>
      </c>
      <c r="E660" s="19" t="str">
        <f>IF(Tabela2[[#This Row],[AGRUPADOR]]&lt;&gt;"",VLOOKUP(Tabela2[[#This Row],[AGRUPADOR]],Tabela1[],4,0),"")</f>
        <v/>
      </c>
      <c r="F660" s="14"/>
      <c r="G660" s="6"/>
      <c r="H660" s="6"/>
      <c r="I660" s="25"/>
      <c r="J660" s="7"/>
      <c r="K660" s="15"/>
      <c r="L660" s="379">
        <f>IF(H660&lt;&gt;"",J660*K660,SUMIFS(L661:L$9844,$F661:$F$9844,"*"&amp;F660&amp;"*",$H661:$H$9844,"&lt;&gt;"))</f>
        <v>0</v>
      </c>
      <c r="M660" s="379" t="str">
        <f>IF(Tabela2[[#This Row],[UNID.]]&lt;&gt;"",IFERROR(VLOOKUP(Tabela2[[#This Row],[AGRUPADOR]],Lucratividade!$D$4:$O$129,6,0),0),"")</f>
        <v/>
      </c>
      <c r="N660" s="379">
        <f>IF(H660&lt;&gt;"",J660*M660*I660,SUMIFS(N661:N$9844,$F661:$F$9844,"*"&amp;F660&amp;"*",$H661:$H$9844,"&lt;&gt;"))</f>
        <v>0</v>
      </c>
      <c r="O660" s="162" t="str">
        <f>IFERROR((-Tabela2[[#This Row],[CUSTO TOTAL]]+Tabela2[[#This Row],[VENDA TOTAL]])/Tabela2[[#This Row],[VENDA TOTAL]]-PARAMETROS!$C$19,"")</f>
        <v/>
      </c>
      <c r="AA660" s="219">
        <f>SUM(Plan_Orc[[#This Row],[01/jan]:[01/dez]])</f>
        <v>0</v>
      </c>
      <c r="AB660" s="15"/>
      <c r="AC660" s="15"/>
      <c r="AD660" s="15"/>
      <c r="AE660" s="15"/>
      <c r="AF660" s="15"/>
      <c r="AG660" s="15"/>
      <c r="AH660" s="15"/>
      <c r="AI660" s="15"/>
      <c r="AJ660" s="15"/>
      <c r="AK660" s="15"/>
      <c r="AL660" s="15"/>
      <c r="AM660" s="15"/>
    </row>
    <row r="661" spans="2:39" ht="25.2" customHeight="1" x14ac:dyDescent="0.3">
      <c r="B661" s="13" t="str">
        <f t="shared" si="14"/>
        <v/>
      </c>
      <c r="C661" s="18"/>
      <c r="D661" s="19" t="str">
        <f>IF(Tabela2[[#This Row],[AGRUPADOR]]&lt;&gt;"",VLOOKUP(Tabela2[[#This Row],[AGRUPADOR]],Tabela1[],2,0),"")</f>
        <v/>
      </c>
      <c r="E661" s="19" t="str">
        <f>IF(Tabela2[[#This Row],[AGRUPADOR]]&lt;&gt;"",VLOOKUP(Tabela2[[#This Row],[AGRUPADOR]],Tabela1[],4,0),"")</f>
        <v/>
      </c>
      <c r="F661" s="14"/>
      <c r="G661" s="6"/>
      <c r="H661" s="6"/>
      <c r="I661" s="25"/>
      <c r="J661" s="7"/>
      <c r="K661" s="15"/>
      <c r="L661" s="379">
        <f>IF(H661&lt;&gt;"",J661*K661,SUMIFS(L662:L$9844,$F662:$F$9844,"*"&amp;F661&amp;"*",$H662:$H$9844,"&lt;&gt;"))</f>
        <v>0</v>
      </c>
      <c r="M661" s="379" t="str">
        <f>IF(Tabela2[[#This Row],[UNID.]]&lt;&gt;"",IFERROR(VLOOKUP(Tabela2[[#This Row],[AGRUPADOR]],Lucratividade!$D$4:$O$129,6,0),0),"")</f>
        <v/>
      </c>
      <c r="N661" s="379">
        <f>IF(H661&lt;&gt;"",J661*M661*I661,SUMIFS(N662:N$9844,$F662:$F$9844,"*"&amp;F661&amp;"*",$H662:$H$9844,"&lt;&gt;"))</f>
        <v>0</v>
      </c>
      <c r="O661" s="162" t="str">
        <f>IFERROR((-Tabela2[[#This Row],[CUSTO TOTAL]]+Tabela2[[#This Row],[VENDA TOTAL]])/Tabela2[[#This Row],[VENDA TOTAL]]-PARAMETROS!$C$19,"")</f>
        <v/>
      </c>
      <c r="AA661" s="219">
        <f>SUM(Plan_Orc[[#This Row],[01/jan]:[01/dez]])</f>
        <v>0</v>
      </c>
      <c r="AB661" s="15"/>
      <c r="AC661" s="15"/>
      <c r="AD661" s="15"/>
      <c r="AE661" s="15"/>
      <c r="AF661" s="15"/>
      <c r="AG661" s="15"/>
      <c r="AH661" s="15"/>
      <c r="AI661" s="15"/>
      <c r="AJ661" s="15"/>
      <c r="AK661" s="15"/>
      <c r="AL661" s="15"/>
      <c r="AM661" s="15"/>
    </row>
    <row r="662" spans="2:39" ht="25.2" customHeight="1" x14ac:dyDescent="0.3">
      <c r="B662" s="13" t="str">
        <f t="shared" si="14"/>
        <v/>
      </c>
      <c r="C662" s="18"/>
      <c r="D662" s="19" t="str">
        <f>IF(Tabela2[[#This Row],[AGRUPADOR]]&lt;&gt;"",VLOOKUP(Tabela2[[#This Row],[AGRUPADOR]],Tabela1[],2,0),"")</f>
        <v/>
      </c>
      <c r="E662" s="19" t="str">
        <f>IF(Tabela2[[#This Row],[AGRUPADOR]]&lt;&gt;"",VLOOKUP(Tabela2[[#This Row],[AGRUPADOR]],Tabela1[],4,0),"")</f>
        <v/>
      </c>
      <c r="F662" s="14"/>
      <c r="G662" s="6"/>
      <c r="H662" s="6"/>
      <c r="I662" s="25"/>
      <c r="J662" s="7"/>
      <c r="K662" s="15"/>
      <c r="L662" s="379">
        <f>IF(H662&lt;&gt;"",J662*K662,SUMIFS(L663:L$9844,$F663:$F$9844,"*"&amp;F662&amp;"*",$H663:$H$9844,"&lt;&gt;"))</f>
        <v>0</v>
      </c>
      <c r="M662" s="379" t="str">
        <f>IF(Tabela2[[#This Row],[UNID.]]&lt;&gt;"",IFERROR(VLOOKUP(Tabela2[[#This Row],[AGRUPADOR]],Lucratividade!$D$4:$O$129,6,0),0),"")</f>
        <v/>
      </c>
      <c r="N662" s="379">
        <f>IF(H662&lt;&gt;"",J662*M662*I662,SUMIFS(N663:N$9844,$F663:$F$9844,"*"&amp;F662&amp;"*",$H663:$H$9844,"&lt;&gt;"))</f>
        <v>0</v>
      </c>
      <c r="O662" s="162" t="str">
        <f>IFERROR((-Tabela2[[#This Row],[CUSTO TOTAL]]+Tabela2[[#This Row],[VENDA TOTAL]])/Tabela2[[#This Row],[VENDA TOTAL]]-PARAMETROS!$C$19,"")</f>
        <v/>
      </c>
      <c r="AA662" s="219">
        <f>SUM(Plan_Orc[[#This Row],[01/jan]:[01/dez]])</f>
        <v>0</v>
      </c>
      <c r="AB662" s="15"/>
      <c r="AC662" s="15"/>
      <c r="AD662" s="15"/>
      <c r="AE662" s="15"/>
      <c r="AF662" s="15"/>
      <c r="AG662" s="15"/>
      <c r="AH662" s="15"/>
      <c r="AI662" s="15"/>
      <c r="AJ662" s="15"/>
      <c r="AK662" s="15"/>
      <c r="AL662" s="15"/>
      <c r="AM662" s="15"/>
    </row>
    <row r="663" spans="2:39" ht="25.2" customHeight="1" x14ac:dyDescent="0.3">
      <c r="B663" s="13" t="str">
        <f t="shared" si="14"/>
        <v/>
      </c>
      <c r="C663" s="18"/>
      <c r="D663" s="19" t="str">
        <f>IF(Tabela2[[#This Row],[AGRUPADOR]]&lt;&gt;"",VLOOKUP(Tabela2[[#This Row],[AGRUPADOR]],Tabela1[],2,0),"")</f>
        <v/>
      </c>
      <c r="E663" s="19" t="str">
        <f>IF(Tabela2[[#This Row],[AGRUPADOR]]&lt;&gt;"",VLOOKUP(Tabela2[[#This Row],[AGRUPADOR]],Tabela1[],4,0),"")</f>
        <v/>
      </c>
      <c r="F663" s="14"/>
      <c r="G663" s="6"/>
      <c r="H663" s="6"/>
      <c r="I663" s="25"/>
      <c r="J663" s="7"/>
      <c r="K663" s="15"/>
      <c r="L663" s="379">
        <f>IF(H663&lt;&gt;"",J663*K663,SUMIFS(L664:L$9844,$F664:$F$9844,"*"&amp;F663&amp;"*",$H664:$H$9844,"&lt;&gt;"))</f>
        <v>0</v>
      </c>
      <c r="M663" s="379" t="str">
        <f>IF(Tabela2[[#This Row],[UNID.]]&lt;&gt;"",IFERROR(VLOOKUP(Tabela2[[#This Row],[AGRUPADOR]],Lucratividade!$D$4:$O$129,6,0),0),"")</f>
        <v/>
      </c>
      <c r="N663" s="379">
        <f>IF(H663&lt;&gt;"",J663*M663*I663,SUMIFS(N664:N$9844,$F664:$F$9844,"*"&amp;F663&amp;"*",$H664:$H$9844,"&lt;&gt;"))</f>
        <v>0</v>
      </c>
      <c r="O663" s="162" t="str">
        <f>IFERROR((-Tabela2[[#This Row],[CUSTO TOTAL]]+Tabela2[[#This Row],[VENDA TOTAL]])/Tabela2[[#This Row],[VENDA TOTAL]]-PARAMETROS!$C$19,"")</f>
        <v/>
      </c>
      <c r="AA663" s="219">
        <f>SUM(Plan_Orc[[#This Row],[01/jan]:[01/dez]])</f>
        <v>0</v>
      </c>
      <c r="AB663" s="15"/>
      <c r="AC663" s="15"/>
      <c r="AD663" s="15"/>
      <c r="AE663" s="15"/>
      <c r="AF663" s="15"/>
      <c r="AG663" s="15"/>
      <c r="AH663" s="15"/>
      <c r="AI663" s="15"/>
      <c r="AJ663" s="15"/>
      <c r="AK663" s="15"/>
      <c r="AL663" s="15"/>
      <c r="AM663" s="15"/>
    </row>
    <row r="664" spans="2:39" ht="25.2" customHeight="1" x14ac:dyDescent="0.3">
      <c r="B664" s="13" t="str">
        <f t="shared" si="14"/>
        <v/>
      </c>
      <c r="C664" s="18"/>
      <c r="D664" s="19" t="str">
        <f>IF(Tabela2[[#This Row],[AGRUPADOR]]&lt;&gt;"",VLOOKUP(Tabela2[[#This Row],[AGRUPADOR]],Tabela1[],2,0),"")</f>
        <v/>
      </c>
      <c r="E664" s="19" t="str">
        <f>IF(Tabela2[[#This Row],[AGRUPADOR]]&lt;&gt;"",VLOOKUP(Tabela2[[#This Row],[AGRUPADOR]],Tabela1[],4,0),"")</f>
        <v/>
      </c>
      <c r="F664" s="14"/>
      <c r="G664" s="6"/>
      <c r="H664" s="6"/>
      <c r="I664" s="25"/>
      <c r="J664" s="7"/>
      <c r="K664" s="15"/>
      <c r="L664" s="379">
        <f>IF(H664&lt;&gt;"",J664*K664,SUMIFS(L665:L$9844,$F665:$F$9844,"*"&amp;F664&amp;"*",$H665:$H$9844,"&lt;&gt;"))</f>
        <v>0</v>
      </c>
      <c r="M664" s="379" t="str">
        <f>IF(Tabela2[[#This Row],[UNID.]]&lt;&gt;"",IFERROR(VLOOKUP(Tabela2[[#This Row],[AGRUPADOR]],Lucratividade!$D$4:$O$129,6,0),0),"")</f>
        <v/>
      </c>
      <c r="N664" s="379">
        <f>IF(H664&lt;&gt;"",J664*M664*I664,SUMIFS(N665:N$9844,$F665:$F$9844,"*"&amp;F664&amp;"*",$H665:$H$9844,"&lt;&gt;"))</f>
        <v>0</v>
      </c>
      <c r="O664" s="162" t="str">
        <f>IFERROR((-Tabela2[[#This Row],[CUSTO TOTAL]]+Tabela2[[#This Row],[VENDA TOTAL]])/Tabela2[[#This Row],[VENDA TOTAL]]-PARAMETROS!$C$19,"")</f>
        <v/>
      </c>
      <c r="AA664" s="219">
        <f>SUM(Plan_Orc[[#This Row],[01/jan]:[01/dez]])</f>
        <v>0</v>
      </c>
      <c r="AB664" s="15"/>
      <c r="AC664" s="15"/>
      <c r="AD664" s="15"/>
      <c r="AE664" s="15"/>
      <c r="AF664" s="15"/>
      <c r="AG664" s="15"/>
      <c r="AH664" s="15"/>
      <c r="AI664" s="15"/>
      <c r="AJ664" s="15"/>
      <c r="AK664" s="15"/>
      <c r="AL664" s="15"/>
      <c r="AM664" s="15"/>
    </row>
    <row r="665" spans="2:39" ht="25.2" customHeight="1" x14ac:dyDescent="0.3">
      <c r="B665" s="13" t="str">
        <f t="shared" si="14"/>
        <v/>
      </c>
      <c r="C665" s="18"/>
      <c r="D665" s="19" t="str">
        <f>IF(Tabela2[[#This Row],[AGRUPADOR]]&lt;&gt;"",VLOOKUP(Tabela2[[#This Row],[AGRUPADOR]],Tabela1[],2,0),"")</f>
        <v/>
      </c>
      <c r="E665" s="19" t="str">
        <f>IF(Tabela2[[#This Row],[AGRUPADOR]]&lt;&gt;"",VLOOKUP(Tabela2[[#This Row],[AGRUPADOR]],Tabela1[],4,0),"")</f>
        <v/>
      </c>
      <c r="F665" s="14"/>
      <c r="G665" s="6"/>
      <c r="H665" s="6"/>
      <c r="I665" s="25"/>
      <c r="J665" s="7"/>
      <c r="K665" s="15"/>
      <c r="L665" s="379">
        <f>IF(H665&lt;&gt;"",J665*K665,SUMIFS(L666:L$9844,$F666:$F$9844,"*"&amp;F665&amp;"*",$H666:$H$9844,"&lt;&gt;"))</f>
        <v>0</v>
      </c>
      <c r="M665" s="379" t="str">
        <f>IF(Tabela2[[#This Row],[UNID.]]&lt;&gt;"",IFERROR(VLOOKUP(Tabela2[[#This Row],[AGRUPADOR]],Lucratividade!$D$4:$O$129,6,0),0),"")</f>
        <v/>
      </c>
      <c r="N665" s="379">
        <f>IF(H665&lt;&gt;"",J665*M665*I665,SUMIFS(N666:N$9844,$F666:$F$9844,"*"&amp;F665&amp;"*",$H666:$H$9844,"&lt;&gt;"))</f>
        <v>0</v>
      </c>
      <c r="O665" s="162" t="str">
        <f>IFERROR((-Tabela2[[#This Row],[CUSTO TOTAL]]+Tabela2[[#This Row],[VENDA TOTAL]])/Tabela2[[#This Row],[VENDA TOTAL]]-PARAMETROS!$C$19,"")</f>
        <v/>
      </c>
      <c r="AA665" s="224">
        <f>SUM(Plan_Orc[[#This Row],[01/jan]:[01/dez]])</f>
        <v>0</v>
      </c>
      <c r="AB665" s="203"/>
      <c r="AC665" s="203"/>
      <c r="AD665" s="203"/>
      <c r="AE665" s="203"/>
      <c r="AF665" s="203"/>
      <c r="AG665" s="203"/>
      <c r="AH665" s="203"/>
      <c r="AI665" s="203"/>
      <c r="AJ665" s="203"/>
      <c r="AK665" s="203"/>
      <c r="AL665" s="203"/>
      <c r="AM665" s="203"/>
    </row>
    <row r="666" spans="2:39" ht="25.2" customHeight="1" x14ac:dyDescent="0.3">
      <c r="B666" s="13" t="str">
        <f t="shared" si="14"/>
        <v/>
      </c>
      <c r="C666" s="18"/>
      <c r="D666" s="19" t="str">
        <f>IF(Tabela2[[#This Row],[AGRUPADOR]]&lt;&gt;"",VLOOKUP(Tabela2[[#This Row],[AGRUPADOR]],Tabela1[],2,0),"")</f>
        <v/>
      </c>
      <c r="E666" s="19" t="str">
        <f>IF(Tabela2[[#This Row],[AGRUPADOR]]&lt;&gt;"",VLOOKUP(Tabela2[[#This Row],[AGRUPADOR]],Tabela1[],4,0),"")</f>
        <v/>
      </c>
      <c r="F666" s="14"/>
      <c r="G666" s="6"/>
      <c r="H666" s="6"/>
      <c r="I666" s="25"/>
      <c r="J666" s="7"/>
      <c r="K666" s="15"/>
      <c r="L666" s="379">
        <f>IF(H666&lt;&gt;"",J666*K666,SUMIFS(L667:L$9844,$F667:$F$9844,"*"&amp;F666&amp;"*",$H667:$H$9844,"&lt;&gt;"))</f>
        <v>0</v>
      </c>
      <c r="M666" s="379" t="str">
        <f>IF(Tabela2[[#This Row],[UNID.]]&lt;&gt;"",IFERROR(VLOOKUP(Tabela2[[#This Row],[AGRUPADOR]],Lucratividade!$D$4:$O$129,6,0),0),"")</f>
        <v/>
      </c>
      <c r="N666" s="379">
        <f>IF(H666&lt;&gt;"",J666*M666*I666,SUMIFS(N667:N$9844,$F667:$F$9844,"*"&amp;F666&amp;"*",$H667:$H$9844,"&lt;&gt;"))</f>
        <v>0</v>
      </c>
      <c r="O666" s="162" t="str">
        <f>IFERROR((-Tabela2[[#This Row],[CUSTO TOTAL]]+Tabela2[[#This Row],[VENDA TOTAL]])/Tabela2[[#This Row],[VENDA TOTAL]]-PARAMETROS!$C$19,"")</f>
        <v/>
      </c>
      <c r="AA666" s="218">
        <f>SUM(Plan_Orc[[#This Row],[01/jan]:[01/dez]])</f>
        <v>0</v>
      </c>
      <c r="AB666" s="12"/>
      <c r="AC666" s="12"/>
      <c r="AD666" s="12"/>
      <c r="AE666" s="12"/>
      <c r="AF666" s="12"/>
      <c r="AG666" s="12"/>
      <c r="AH666" s="12"/>
      <c r="AI666" s="12"/>
      <c r="AJ666" s="12"/>
      <c r="AK666" s="12"/>
      <c r="AL666" s="12"/>
      <c r="AM666" s="12"/>
    </row>
    <row r="667" spans="2:39" ht="25.2" customHeight="1" x14ac:dyDescent="0.3">
      <c r="B667" s="13" t="str">
        <f t="shared" si="14"/>
        <v/>
      </c>
      <c r="C667" s="18"/>
      <c r="D667" s="19" t="str">
        <f>IF(Tabela2[[#This Row],[AGRUPADOR]]&lt;&gt;"",VLOOKUP(Tabela2[[#This Row],[AGRUPADOR]],Tabela1[],2,0),"")</f>
        <v/>
      </c>
      <c r="E667" s="19" t="str">
        <f>IF(Tabela2[[#This Row],[AGRUPADOR]]&lt;&gt;"",VLOOKUP(Tabela2[[#This Row],[AGRUPADOR]],Tabela1[],4,0),"")</f>
        <v/>
      </c>
      <c r="F667" s="14"/>
      <c r="G667" s="6"/>
      <c r="H667" s="6"/>
      <c r="I667" s="25"/>
      <c r="J667" s="7"/>
      <c r="K667" s="15"/>
      <c r="L667" s="379">
        <f>IF(H667&lt;&gt;"",J667*K667,SUMIFS(L668:L$9844,$F668:$F$9844,"*"&amp;F667&amp;"*",$H668:$H$9844,"&lt;&gt;"))</f>
        <v>0</v>
      </c>
      <c r="M667" s="379" t="str">
        <f>IF(Tabela2[[#This Row],[UNID.]]&lt;&gt;"",IFERROR(VLOOKUP(Tabela2[[#This Row],[AGRUPADOR]],Lucratividade!$D$4:$O$129,6,0),0),"")</f>
        <v/>
      </c>
      <c r="N667" s="379">
        <f>IF(H667&lt;&gt;"",J667*M667*I667,SUMIFS(N668:N$9844,$F668:$F$9844,"*"&amp;F667&amp;"*",$H668:$H$9844,"&lt;&gt;"))</f>
        <v>0</v>
      </c>
      <c r="O667" s="162" t="str">
        <f>IFERROR((-Tabela2[[#This Row],[CUSTO TOTAL]]+Tabela2[[#This Row],[VENDA TOTAL]])/Tabela2[[#This Row],[VENDA TOTAL]]-PARAMETROS!$C$19,"")</f>
        <v/>
      </c>
      <c r="AA667" s="219">
        <f>SUM(Plan_Orc[[#This Row],[01/jan]:[01/dez]])</f>
        <v>0</v>
      </c>
      <c r="AB667" s="15"/>
      <c r="AC667" s="15"/>
      <c r="AD667" s="15"/>
      <c r="AE667" s="15"/>
      <c r="AF667" s="15"/>
      <c r="AG667" s="15"/>
      <c r="AH667" s="15"/>
      <c r="AI667" s="15"/>
      <c r="AJ667" s="15"/>
      <c r="AK667" s="15"/>
      <c r="AL667" s="15"/>
      <c r="AM667" s="15"/>
    </row>
    <row r="668" spans="2:39" ht="25.2" customHeight="1" x14ac:dyDescent="0.3">
      <c r="B668" s="13" t="str">
        <f t="shared" si="14"/>
        <v/>
      </c>
      <c r="C668" s="18"/>
      <c r="D668" s="19" t="str">
        <f>IF(Tabela2[[#This Row],[AGRUPADOR]]&lt;&gt;"",VLOOKUP(Tabela2[[#This Row],[AGRUPADOR]],Tabela1[],2,0),"")</f>
        <v/>
      </c>
      <c r="E668" s="19" t="str">
        <f>IF(Tabela2[[#This Row],[AGRUPADOR]]&lt;&gt;"",VLOOKUP(Tabela2[[#This Row],[AGRUPADOR]],Tabela1[],4,0),"")</f>
        <v/>
      </c>
      <c r="F668" s="14"/>
      <c r="G668" s="6"/>
      <c r="H668" s="6"/>
      <c r="I668" s="25"/>
      <c r="J668" s="7"/>
      <c r="K668" s="15"/>
      <c r="L668" s="379">
        <f>IF(H668&lt;&gt;"",J668*K668,SUMIFS(L669:L$9844,$F669:$F$9844,"*"&amp;F668&amp;"*",$H669:$H$9844,"&lt;&gt;"))</f>
        <v>0</v>
      </c>
      <c r="M668" s="379" t="str">
        <f>IF(Tabela2[[#This Row],[UNID.]]&lt;&gt;"",IFERROR(VLOOKUP(Tabela2[[#This Row],[AGRUPADOR]],Lucratividade!$D$4:$O$129,6,0),0),"")</f>
        <v/>
      </c>
      <c r="N668" s="379">
        <f>IF(H668&lt;&gt;"",J668*M668*I668,SUMIFS(N669:N$9844,$F669:$F$9844,"*"&amp;F668&amp;"*",$H669:$H$9844,"&lt;&gt;"))</f>
        <v>0</v>
      </c>
      <c r="O668" s="162" t="str">
        <f>IFERROR((-Tabela2[[#This Row],[CUSTO TOTAL]]+Tabela2[[#This Row],[VENDA TOTAL]])/Tabela2[[#This Row],[VENDA TOTAL]]-PARAMETROS!$C$19,"")</f>
        <v/>
      </c>
      <c r="AA668" s="219">
        <f>SUM(Plan_Orc[[#This Row],[01/jan]:[01/dez]])</f>
        <v>0</v>
      </c>
      <c r="AB668" s="15"/>
      <c r="AC668" s="15"/>
      <c r="AD668" s="15"/>
      <c r="AE668" s="15"/>
      <c r="AF668" s="15"/>
      <c r="AG668" s="15"/>
      <c r="AH668" s="15"/>
      <c r="AI668" s="15"/>
      <c r="AJ668" s="15"/>
      <c r="AK668" s="15"/>
      <c r="AL668" s="15"/>
      <c r="AM668" s="15"/>
    </row>
    <row r="669" spans="2:39" ht="25.2" customHeight="1" x14ac:dyDescent="0.3">
      <c r="B669" s="13" t="str">
        <f t="shared" si="14"/>
        <v/>
      </c>
      <c r="C669" s="18"/>
      <c r="D669" s="19" t="str">
        <f>IF(Tabela2[[#This Row],[AGRUPADOR]]&lt;&gt;"",VLOOKUP(Tabela2[[#This Row],[AGRUPADOR]],Tabela1[],2,0),"")</f>
        <v/>
      </c>
      <c r="E669" s="19" t="str">
        <f>IF(Tabela2[[#This Row],[AGRUPADOR]]&lt;&gt;"",VLOOKUP(Tabela2[[#This Row],[AGRUPADOR]],Tabela1[],4,0),"")</f>
        <v/>
      </c>
      <c r="F669" s="14"/>
      <c r="G669" s="6"/>
      <c r="H669" s="6"/>
      <c r="I669" s="25"/>
      <c r="J669" s="7"/>
      <c r="K669" s="15"/>
      <c r="L669" s="379">
        <f>IF(H669&lt;&gt;"",J669*K669,SUMIFS(L670:L$9844,$F670:$F$9844,"*"&amp;F669&amp;"*",$H670:$H$9844,"&lt;&gt;"))</f>
        <v>0</v>
      </c>
      <c r="M669" s="379" t="str">
        <f>IF(Tabela2[[#This Row],[UNID.]]&lt;&gt;"",IFERROR(VLOOKUP(Tabela2[[#This Row],[AGRUPADOR]],Lucratividade!$D$4:$O$129,6,0),0),"")</f>
        <v/>
      </c>
      <c r="N669" s="379">
        <f>IF(H669&lt;&gt;"",J669*M669*I669,SUMIFS(N670:N$9844,$F670:$F$9844,"*"&amp;F669&amp;"*",$H670:$H$9844,"&lt;&gt;"))</f>
        <v>0</v>
      </c>
      <c r="O669" s="162" t="str">
        <f>IFERROR((-Tabela2[[#This Row],[CUSTO TOTAL]]+Tabela2[[#This Row],[VENDA TOTAL]])/Tabela2[[#This Row],[VENDA TOTAL]]-PARAMETROS!$C$19,"")</f>
        <v/>
      </c>
      <c r="AA669" s="219">
        <f>SUM(Plan_Orc[[#This Row],[01/jan]:[01/dez]])</f>
        <v>0</v>
      </c>
      <c r="AB669" s="15"/>
      <c r="AC669" s="15"/>
      <c r="AD669" s="15"/>
      <c r="AE669" s="15"/>
      <c r="AF669" s="15"/>
      <c r="AG669" s="15"/>
      <c r="AH669" s="15"/>
      <c r="AI669" s="15"/>
      <c r="AJ669" s="15"/>
      <c r="AK669" s="15"/>
      <c r="AL669" s="15"/>
      <c r="AM669" s="15"/>
    </row>
    <row r="670" spans="2:39" ht="25.2" customHeight="1" x14ac:dyDescent="0.3">
      <c r="B670" s="13" t="str">
        <f t="shared" si="14"/>
        <v/>
      </c>
      <c r="C670" s="18"/>
      <c r="D670" s="19" t="str">
        <f>IF(Tabela2[[#This Row],[AGRUPADOR]]&lt;&gt;"",VLOOKUP(Tabela2[[#This Row],[AGRUPADOR]],Tabela1[],2,0),"")</f>
        <v/>
      </c>
      <c r="E670" s="19" t="str">
        <f>IF(Tabela2[[#This Row],[AGRUPADOR]]&lt;&gt;"",VLOOKUP(Tabela2[[#This Row],[AGRUPADOR]],Tabela1[],4,0),"")</f>
        <v/>
      </c>
      <c r="F670" s="14"/>
      <c r="G670" s="6"/>
      <c r="H670" s="6"/>
      <c r="I670" s="25"/>
      <c r="J670" s="7"/>
      <c r="K670" s="15"/>
      <c r="L670" s="379">
        <f>IF(H670&lt;&gt;"",J670*K670,SUMIFS(L671:L$9844,$F671:$F$9844,"*"&amp;F670&amp;"*",$H671:$H$9844,"&lt;&gt;"))</f>
        <v>0</v>
      </c>
      <c r="M670" s="379" t="str">
        <f>IF(Tabela2[[#This Row],[UNID.]]&lt;&gt;"",IFERROR(VLOOKUP(Tabela2[[#This Row],[AGRUPADOR]],Lucratividade!$D$4:$O$129,6,0),0),"")</f>
        <v/>
      </c>
      <c r="N670" s="379">
        <f>IF(H670&lt;&gt;"",J670*M670*I670,SUMIFS(N671:N$9844,$F671:$F$9844,"*"&amp;F670&amp;"*",$H671:$H$9844,"&lt;&gt;"))</f>
        <v>0</v>
      </c>
      <c r="O670" s="162" t="str">
        <f>IFERROR((-Tabela2[[#This Row],[CUSTO TOTAL]]+Tabela2[[#This Row],[VENDA TOTAL]])/Tabela2[[#This Row],[VENDA TOTAL]]-PARAMETROS!$C$19,"")</f>
        <v/>
      </c>
      <c r="AA670" s="219">
        <f>SUM(Plan_Orc[[#This Row],[01/jan]:[01/dez]])</f>
        <v>0</v>
      </c>
      <c r="AB670" s="15"/>
      <c r="AC670" s="15"/>
      <c r="AD670" s="15"/>
      <c r="AE670" s="15"/>
      <c r="AF670" s="15"/>
      <c r="AG670" s="15"/>
      <c r="AH670" s="15"/>
      <c r="AI670" s="15"/>
      <c r="AJ670" s="15"/>
      <c r="AK670" s="15"/>
      <c r="AL670" s="15"/>
      <c r="AM670" s="15"/>
    </row>
    <row r="671" spans="2:39" ht="25.2" customHeight="1" x14ac:dyDescent="0.3">
      <c r="B671" s="13" t="str">
        <f t="shared" si="14"/>
        <v/>
      </c>
      <c r="C671" s="18"/>
      <c r="D671" s="19" t="str">
        <f>IF(Tabela2[[#This Row],[AGRUPADOR]]&lt;&gt;"",VLOOKUP(Tabela2[[#This Row],[AGRUPADOR]],Tabela1[],2,0),"")</f>
        <v/>
      </c>
      <c r="E671" s="19" t="str">
        <f>IF(Tabela2[[#This Row],[AGRUPADOR]]&lt;&gt;"",VLOOKUP(Tabela2[[#This Row],[AGRUPADOR]],Tabela1[],4,0),"")</f>
        <v/>
      </c>
      <c r="F671" s="14"/>
      <c r="G671" s="6"/>
      <c r="H671" s="6"/>
      <c r="I671" s="25"/>
      <c r="J671" s="7"/>
      <c r="K671" s="15"/>
      <c r="L671" s="379">
        <f>IF(H671&lt;&gt;"",J671*K671,SUMIFS(L672:L$9844,$F672:$F$9844,"*"&amp;F671&amp;"*",$H672:$H$9844,"&lt;&gt;"))</f>
        <v>0</v>
      </c>
      <c r="M671" s="379" t="str">
        <f>IF(Tabela2[[#This Row],[UNID.]]&lt;&gt;"",IFERROR(VLOOKUP(Tabela2[[#This Row],[AGRUPADOR]],Lucratividade!$D$4:$O$129,6,0),0),"")</f>
        <v/>
      </c>
      <c r="N671" s="379">
        <f>IF(H671&lt;&gt;"",J671*M671*I671,SUMIFS(N672:N$9844,$F672:$F$9844,"*"&amp;F671&amp;"*",$H672:$H$9844,"&lt;&gt;"))</f>
        <v>0</v>
      </c>
      <c r="O671" s="162" t="str">
        <f>IFERROR((-Tabela2[[#This Row],[CUSTO TOTAL]]+Tabela2[[#This Row],[VENDA TOTAL]])/Tabela2[[#This Row],[VENDA TOTAL]]-PARAMETROS!$C$19,"")</f>
        <v/>
      </c>
      <c r="AA671" s="219">
        <f>SUM(Plan_Orc[[#This Row],[01/jan]:[01/dez]])</f>
        <v>0</v>
      </c>
      <c r="AB671" s="15"/>
      <c r="AC671" s="15"/>
      <c r="AD671" s="15"/>
      <c r="AE671" s="15"/>
      <c r="AF671" s="15"/>
      <c r="AG671" s="15"/>
      <c r="AH671" s="15"/>
      <c r="AI671" s="15"/>
      <c r="AJ671" s="15"/>
      <c r="AK671" s="15"/>
      <c r="AL671" s="15"/>
      <c r="AM671" s="15"/>
    </row>
    <row r="672" spans="2:39" ht="25.2" customHeight="1" x14ac:dyDescent="0.3">
      <c r="B672" s="13" t="str">
        <f t="shared" si="14"/>
        <v/>
      </c>
      <c r="C672" s="18"/>
      <c r="D672" s="19" t="str">
        <f>IF(Tabela2[[#This Row],[AGRUPADOR]]&lt;&gt;"",VLOOKUP(Tabela2[[#This Row],[AGRUPADOR]],Tabela1[],2,0),"")</f>
        <v/>
      </c>
      <c r="E672" s="19" t="str">
        <f>IF(Tabela2[[#This Row],[AGRUPADOR]]&lt;&gt;"",VLOOKUP(Tabela2[[#This Row],[AGRUPADOR]],Tabela1[],4,0),"")</f>
        <v/>
      </c>
      <c r="F672" s="14"/>
      <c r="G672" s="6"/>
      <c r="H672" s="6"/>
      <c r="I672" s="25"/>
      <c r="J672" s="7"/>
      <c r="K672" s="15"/>
      <c r="L672" s="379">
        <f>IF(H672&lt;&gt;"",J672*K672,SUMIFS(L673:L$9844,$F673:$F$9844,"*"&amp;F672&amp;"*",$H673:$H$9844,"&lt;&gt;"))</f>
        <v>0</v>
      </c>
      <c r="M672" s="379" t="str">
        <f>IF(Tabela2[[#This Row],[UNID.]]&lt;&gt;"",IFERROR(VLOOKUP(Tabela2[[#This Row],[AGRUPADOR]],Lucratividade!$D$4:$O$129,6,0),0),"")</f>
        <v/>
      </c>
      <c r="N672" s="379">
        <f>IF(H672&lt;&gt;"",J672*M672*I672,SUMIFS(N673:N$9844,$F673:$F$9844,"*"&amp;F672&amp;"*",$H673:$H$9844,"&lt;&gt;"))</f>
        <v>0</v>
      </c>
      <c r="O672" s="162" t="str">
        <f>IFERROR((-Tabela2[[#This Row],[CUSTO TOTAL]]+Tabela2[[#This Row],[VENDA TOTAL]])/Tabela2[[#This Row],[VENDA TOTAL]]-PARAMETROS!$C$19,"")</f>
        <v/>
      </c>
      <c r="AA672" s="219">
        <f>SUM(Plan_Orc[[#This Row],[01/jan]:[01/dez]])</f>
        <v>0</v>
      </c>
      <c r="AB672" s="15"/>
      <c r="AC672" s="15"/>
      <c r="AD672" s="15"/>
      <c r="AE672" s="15"/>
      <c r="AF672" s="15"/>
      <c r="AG672" s="15"/>
      <c r="AH672" s="15"/>
      <c r="AI672" s="15"/>
      <c r="AJ672" s="15"/>
      <c r="AK672" s="15"/>
      <c r="AL672" s="15"/>
      <c r="AM672" s="15"/>
    </row>
    <row r="673" spans="2:39" ht="25.2" customHeight="1" x14ac:dyDescent="0.3">
      <c r="B673" s="13" t="str">
        <f t="shared" si="14"/>
        <v/>
      </c>
      <c r="C673" s="18"/>
      <c r="D673" s="19" t="str">
        <f>IF(Tabela2[[#This Row],[AGRUPADOR]]&lt;&gt;"",VLOOKUP(Tabela2[[#This Row],[AGRUPADOR]],Tabela1[],2,0),"")</f>
        <v/>
      </c>
      <c r="E673" s="19" t="str">
        <f>IF(Tabela2[[#This Row],[AGRUPADOR]]&lt;&gt;"",VLOOKUP(Tabela2[[#This Row],[AGRUPADOR]],Tabela1[],4,0),"")</f>
        <v/>
      </c>
      <c r="F673" s="14"/>
      <c r="G673" s="6"/>
      <c r="H673" s="6"/>
      <c r="I673" s="25"/>
      <c r="J673" s="7"/>
      <c r="K673" s="15"/>
      <c r="L673" s="379">
        <f>IF(H673&lt;&gt;"",J673*K673,SUMIFS(L674:L$9844,$F674:$F$9844,"*"&amp;F673&amp;"*",$H674:$H$9844,"&lt;&gt;"))</f>
        <v>0</v>
      </c>
      <c r="M673" s="379" t="str">
        <f>IF(Tabela2[[#This Row],[UNID.]]&lt;&gt;"",IFERROR(VLOOKUP(Tabela2[[#This Row],[AGRUPADOR]],Lucratividade!$D$4:$O$129,6,0),0),"")</f>
        <v/>
      </c>
      <c r="N673" s="379">
        <f>IF(H673&lt;&gt;"",J673*M673*I673,SUMIFS(N674:N$9844,$F674:$F$9844,"*"&amp;F673&amp;"*",$H674:$H$9844,"&lt;&gt;"))</f>
        <v>0</v>
      </c>
      <c r="O673" s="162" t="str">
        <f>IFERROR((-Tabela2[[#This Row],[CUSTO TOTAL]]+Tabela2[[#This Row],[VENDA TOTAL]])/Tabela2[[#This Row],[VENDA TOTAL]]-PARAMETROS!$C$19,"")</f>
        <v/>
      </c>
      <c r="AA673" s="219">
        <f>SUM(Plan_Orc[[#This Row],[01/jan]:[01/dez]])</f>
        <v>0</v>
      </c>
      <c r="AB673" s="15"/>
      <c r="AC673" s="15"/>
      <c r="AD673" s="15"/>
      <c r="AE673" s="15"/>
      <c r="AF673" s="15"/>
      <c r="AG673" s="15"/>
      <c r="AH673" s="15"/>
      <c r="AI673" s="15"/>
      <c r="AJ673" s="15"/>
      <c r="AK673" s="15"/>
      <c r="AL673" s="15"/>
      <c r="AM673" s="15"/>
    </row>
    <row r="674" spans="2:39" ht="25.2" customHeight="1" x14ac:dyDescent="0.3">
      <c r="B674" s="13" t="str">
        <f t="shared" si="14"/>
        <v/>
      </c>
      <c r="C674" s="18"/>
      <c r="D674" s="19" t="str">
        <f>IF(Tabela2[[#This Row],[AGRUPADOR]]&lt;&gt;"",VLOOKUP(Tabela2[[#This Row],[AGRUPADOR]],Tabela1[],2,0),"")</f>
        <v/>
      </c>
      <c r="E674" s="19" t="str">
        <f>IF(Tabela2[[#This Row],[AGRUPADOR]]&lt;&gt;"",VLOOKUP(Tabela2[[#This Row],[AGRUPADOR]],Tabela1[],4,0),"")</f>
        <v/>
      </c>
      <c r="F674" s="14"/>
      <c r="G674" s="6"/>
      <c r="H674" s="6"/>
      <c r="I674" s="25"/>
      <c r="J674" s="7"/>
      <c r="K674" s="15"/>
      <c r="L674" s="379">
        <f>IF(H674&lt;&gt;"",J674*K674,SUMIFS(L675:L$9844,$F675:$F$9844,"*"&amp;F674&amp;"*",$H675:$H$9844,"&lt;&gt;"))</f>
        <v>0</v>
      </c>
      <c r="M674" s="379" t="str">
        <f>IF(Tabela2[[#This Row],[UNID.]]&lt;&gt;"",IFERROR(VLOOKUP(Tabela2[[#This Row],[AGRUPADOR]],Lucratividade!$D$4:$O$129,6,0),0),"")</f>
        <v/>
      </c>
      <c r="N674" s="379">
        <f>IF(H674&lt;&gt;"",J674*M674*I674,SUMIFS(N675:N$9844,$F675:$F$9844,"*"&amp;F674&amp;"*",$H675:$H$9844,"&lt;&gt;"))</f>
        <v>0</v>
      </c>
      <c r="O674" s="162" t="str">
        <f>IFERROR((-Tabela2[[#This Row],[CUSTO TOTAL]]+Tabela2[[#This Row],[VENDA TOTAL]])/Tabela2[[#This Row],[VENDA TOTAL]]-PARAMETROS!$C$19,"")</f>
        <v/>
      </c>
      <c r="AA674" s="219">
        <f>SUM(Plan_Orc[[#This Row],[01/jan]:[01/dez]])</f>
        <v>0</v>
      </c>
      <c r="AB674" s="15"/>
      <c r="AC674" s="15"/>
      <c r="AD674" s="15"/>
      <c r="AE674" s="15"/>
      <c r="AF674" s="15"/>
      <c r="AG674" s="15"/>
      <c r="AH674" s="15"/>
      <c r="AI674" s="15"/>
      <c r="AJ674" s="15"/>
      <c r="AK674" s="15"/>
      <c r="AL674" s="15"/>
      <c r="AM674" s="15"/>
    </row>
    <row r="675" spans="2:39" ht="25.2" customHeight="1" x14ac:dyDescent="0.3">
      <c r="B675" s="13" t="str">
        <f t="shared" si="14"/>
        <v/>
      </c>
      <c r="C675" s="18"/>
      <c r="D675" s="19" t="str">
        <f>IF(Tabela2[[#This Row],[AGRUPADOR]]&lt;&gt;"",VLOOKUP(Tabela2[[#This Row],[AGRUPADOR]],Tabela1[],2,0),"")</f>
        <v/>
      </c>
      <c r="E675" s="19" t="str">
        <f>IF(Tabela2[[#This Row],[AGRUPADOR]]&lt;&gt;"",VLOOKUP(Tabela2[[#This Row],[AGRUPADOR]],Tabela1[],4,0),"")</f>
        <v/>
      </c>
      <c r="F675" s="14"/>
      <c r="G675" s="6"/>
      <c r="H675" s="6"/>
      <c r="I675" s="25"/>
      <c r="J675" s="7"/>
      <c r="K675" s="15"/>
      <c r="L675" s="379">
        <f>IF(H675&lt;&gt;"",J675*K675,SUMIFS(L676:L$9844,$F676:$F$9844,"*"&amp;F675&amp;"*",$H676:$H$9844,"&lt;&gt;"))</f>
        <v>0</v>
      </c>
      <c r="M675" s="379" t="str">
        <f>IF(Tabela2[[#This Row],[UNID.]]&lt;&gt;"",IFERROR(VLOOKUP(Tabela2[[#This Row],[AGRUPADOR]],Lucratividade!$D$4:$O$129,6,0),0),"")</f>
        <v/>
      </c>
      <c r="N675" s="379">
        <f>IF(H675&lt;&gt;"",J675*M675*I675,SUMIFS(N676:N$9844,$F676:$F$9844,"*"&amp;F675&amp;"*",$H676:$H$9844,"&lt;&gt;"))</f>
        <v>0</v>
      </c>
      <c r="O675" s="162" t="str">
        <f>IFERROR((-Tabela2[[#This Row],[CUSTO TOTAL]]+Tabela2[[#This Row],[VENDA TOTAL]])/Tabela2[[#This Row],[VENDA TOTAL]]-PARAMETROS!$C$19,"")</f>
        <v/>
      </c>
      <c r="AA675" s="219">
        <f>SUM(Plan_Orc[[#This Row],[01/jan]:[01/dez]])</f>
        <v>0</v>
      </c>
      <c r="AB675" s="15"/>
      <c r="AC675" s="15"/>
      <c r="AD675" s="15"/>
      <c r="AE675" s="15"/>
      <c r="AF675" s="15"/>
      <c r="AG675" s="15"/>
      <c r="AH675" s="15"/>
      <c r="AI675" s="15"/>
      <c r="AJ675" s="15"/>
      <c r="AK675" s="15"/>
      <c r="AL675" s="15"/>
      <c r="AM675" s="15"/>
    </row>
    <row r="676" spans="2:39" ht="25.2" customHeight="1" x14ac:dyDescent="0.3">
      <c r="B676" s="13" t="str">
        <f t="shared" si="14"/>
        <v/>
      </c>
      <c r="C676" s="18"/>
      <c r="D676" s="19" t="str">
        <f>IF(Tabela2[[#This Row],[AGRUPADOR]]&lt;&gt;"",VLOOKUP(Tabela2[[#This Row],[AGRUPADOR]],Tabela1[],2,0),"")</f>
        <v/>
      </c>
      <c r="E676" s="19" t="str">
        <f>IF(Tabela2[[#This Row],[AGRUPADOR]]&lt;&gt;"",VLOOKUP(Tabela2[[#This Row],[AGRUPADOR]],Tabela1[],4,0),"")</f>
        <v/>
      </c>
      <c r="F676" s="14"/>
      <c r="G676" s="6"/>
      <c r="H676" s="6"/>
      <c r="I676" s="25"/>
      <c r="J676" s="7"/>
      <c r="K676" s="15"/>
      <c r="L676" s="379">
        <f>IF(H676&lt;&gt;"",J676*K676,SUMIFS(L677:L$9844,$F677:$F$9844,"*"&amp;F676&amp;"*",$H677:$H$9844,"&lt;&gt;"))</f>
        <v>0</v>
      </c>
      <c r="M676" s="379" t="str">
        <f>IF(Tabela2[[#This Row],[UNID.]]&lt;&gt;"",IFERROR(VLOOKUP(Tabela2[[#This Row],[AGRUPADOR]],Lucratividade!$D$4:$O$129,6,0),0),"")</f>
        <v/>
      </c>
      <c r="N676" s="379">
        <f>IF(H676&lt;&gt;"",J676*M676*I676,SUMIFS(N677:N$9844,$F677:$F$9844,"*"&amp;F676&amp;"*",$H677:$H$9844,"&lt;&gt;"))</f>
        <v>0</v>
      </c>
      <c r="O676" s="162" t="str">
        <f>IFERROR((-Tabela2[[#This Row],[CUSTO TOTAL]]+Tabela2[[#This Row],[VENDA TOTAL]])/Tabela2[[#This Row],[VENDA TOTAL]]-PARAMETROS!$C$19,"")</f>
        <v/>
      </c>
      <c r="AA676" s="219">
        <f>SUM(Plan_Orc[[#This Row],[01/jan]:[01/dez]])</f>
        <v>0</v>
      </c>
      <c r="AB676" s="15"/>
      <c r="AC676" s="15"/>
      <c r="AD676" s="15"/>
      <c r="AE676" s="15"/>
      <c r="AF676" s="15"/>
      <c r="AG676" s="15"/>
      <c r="AH676" s="15"/>
      <c r="AI676" s="15"/>
      <c r="AJ676" s="15"/>
      <c r="AK676" s="15"/>
      <c r="AL676" s="15"/>
      <c r="AM676" s="15"/>
    </row>
    <row r="677" spans="2:39" ht="25.2" customHeight="1" x14ac:dyDescent="0.3">
      <c r="B677" s="13" t="str">
        <f t="shared" si="14"/>
        <v/>
      </c>
      <c r="C677" s="18"/>
      <c r="D677" s="19" t="str">
        <f>IF(Tabela2[[#This Row],[AGRUPADOR]]&lt;&gt;"",VLOOKUP(Tabela2[[#This Row],[AGRUPADOR]],Tabela1[],2,0),"")</f>
        <v/>
      </c>
      <c r="E677" s="19" t="str">
        <f>IF(Tabela2[[#This Row],[AGRUPADOR]]&lt;&gt;"",VLOOKUP(Tabela2[[#This Row],[AGRUPADOR]],Tabela1[],4,0),"")</f>
        <v/>
      </c>
      <c r="F677" s="14"/>
      <c r="G677" s="6"/>
      <c r="H677" s="6"/>
      <c r="I677" s="25"/>
      <c r="J677" s="7"/>
      <c r="K677" s="15"/>
      <c r="L677" s="379">
        <f>IF(H677&lt;&gt;"",J677*K677,SUMIFS(L678:L$9844,$F678:$F$9844,"*"&amp;F677&amp;"*",$H678:$H$9844,"&lt;&gt;"))</f>
        <v>0</v>
      </c>
      <c r="M677" s="379" t="str">
        <f>IF(Tabela2[[#This Row],[UNID.]]&lt;&gt;"",IFERROR(VLOOKUP(Tabela2[[#This Row],[AGRUPADOR]],Lucratividade!$D$4:$O$129,6,0),0),"")</f>
        <v/>
      </c>
      <c r="N677" s="379">
        <f>IF(H677&lt;&gt;"",J677*M677*I677,SUMIFS(N678:N$9844,$F678:$F$9844,"*"&amp;F677&amp;"*",$H678:$H$9844,"&lt;&gt;"))</f>
        <v>0</v>
      </c>
      <c r="O677" s="162" t="str">
        <f>IFERROR((-Tabela2[[#This Row],[CUSTO TOTAL]]+Tabela2[[#This Row],[VENDA TOTAL]])/Tabela2[[#This Row],[VENDA TOTAL]]-PARAMETROS!$C$19,"")</f>
        <v/>
      </c>
      <c r="AA677" s="219">
        <f>SUM(Plan_Orc[[#This Row],[01/jan]:[01/dez]])</f>
        <v>0</v>
      </c>
      <c r="AB677" s="15"/>
      <c r="AC677" s="15"/>
      <c r="AD677" s="15"/>
      <c r="AE677" s="15"/>
      <c r="AF677" s="15"/>
      <c r="AG677" s="15"/>
      <c r="AH677" s="15"/>
      <c r="AI677" s="15"/>
      <c r="AJ677" s="15"/>
      <c r="AK677" s="15"/>
      <c r="AL677" s="15"/>
      <c r="AM677" s="15"/>
    </row>
    <row r="678" spans="2:39" ht="25.2" customHeight="1" x14ac:dyDescent="0.3">
      <c r="B678" s="13" t="str">
        <f t="shared" si="14"/>
        <v/>
      </c>
      <c r="C678" s="18"/>
      <c r="D678" s="19" t="str">
        <f>IF(Tabela2[[#This Row],[AGRUPADOR]]&lt;&gt;"",VLOOKUP(Tabela2[[#This Row],[AGRUPADOR]],Tabela1[],2,0),"")</f>
        <v/>
      </c>
      <c r="E678" s="19" t="str">
        <f>IF(Tabela2[[#This Row],[AGRUPADOR]]&lt;&gt;"",VLOOKUP(Tabela2[[#This Row],[AGRUPADOR]],Tabela1[],4,0),"")</f>
        <v/>
      </c>
      <c r="F678" s="14"/>
      <c r="G678" s="6"/>
      <c r="H678" s="6"/>
      <c r="I678" s="25"/>
      <c r="J678" s="7"/>
      <c r="K678" s="15"/>
      <c r="L678" s="379">
        <f>IF(H678&lt;&gt;"",J678*K678,SUMIFS(L679:L$9844,$F679:$F$9844,"*"&amp;F678&amp;"*",$H679:$H$9844,"&lt;&gt;"))</f>
        <v>0</v>
      </c>
      <c r="M678" s="379" t="str">
        <f>IF(Tabela2[[#This Row],[UNID.]]&lt;&gt;"",IFERROR(VLOOKUP(Tabela2[[#This Row],[AGRUPADOR]],Lucratividade!$D$4:$O$129,6,0),0),"")</f>
        <v/>
      </c>
      <c r="N678" s="379">
        <f>IF(H678&lt;&gt;"",J678*M678*I678,SUMIFS(N679:N$9844,$F679:$F$9844,"*"&amp;F678&amp;"*",$H679:$H$9844,"&lt;&gt;"))</f>
        <v>0</v>
      </c>
      <c r="O678" s="162" t="str">
        <f>IFERROR((-Tabela2[[#This Row],[CUSTO TOTAL]]+Tabela2[[#This Row],[VENDA TOTAL]])/Tabela2[[#This Row],[VENDA TOTAL]]-PARAMETROS!$C$19,"")</f>
        <v/>
      </c>
      <c r="AA678" s="218">
        <f>SUM(Plan_Orc[[#This Row],[01/jan]:[01/dez]])</f>
        <v>0</v>
      </c>
      <c r="AB678" s="12"/>
      <c r="AC678" s="12"/>
      <c r="AD678" s="12"/>
      <c r="AE678" s="12"/>
      <c r="AF678" s="12"/>
      <c r="AG678" s="12"/>
      <c r="AH678" s="12"/>
      <c r="AI678" s="12"/>
      <c r="AJ678" s="12"/>
      <c r="AK678" s="12"/>
      <c r="AL678" s="12"/>
      <c r="AM678" s="12"/>
    </row>
    <row r="679" spans="2:39" ht="25.2" customHeight="1" x14ac:dyDescent="0.3">
      <c r="B679" s="13" t="str">
        <f t="shared" si="14"/>
        <v/>
      </c>
      <c r="C679" s="18"/>
      <c r="D679" s="19" t="str">
        <f>IF(Tabela2[[#This Row],[AGRUPADOR]]&lt;&gt;"",VLOOKUP(Tabela2[[#This Row],[AGRUPADOR]],Tabela1[],2,0),"")</f>
        <v/>
      </c>
      <c r="E679" s="19" t="str">
        <f>IF(Tabela2[[#This Row],[AGRUPADOR]]&lt;&gt;"",VLOOKUP(Tabela2[[#This Row],[AGRUPADOR]],Tabela1[],4,0),"")</f>
        <v/>
      </c>
      <c r="F679" s="14"/>
      <c r="G679" s="6"/>
      <c r="H679" s="6"/>
      <c r="I679" s="25"/>
      <c r="J679" s="7"/>
      <c r="K679" s="15"/>
      <c r="L679" s="379">
        <f>IF(H679&lt;&gt;"",J679*K679,SUMIFS(L680:L$9844,$F680:$F$9844,"*"&amp;F679&amp;"*",$H680:$H$9844,"&lt;&gt;"))</f>
        <v>0</v>
      </c>
      <c r="M679" s="379" t="str">
        <f>IF(Tabela2[[#This Row],[UNID.]]&lt;&gt;"",IFERROR(VLOOKUP(Tabela2[[#This Row],[AGRUPADOR]],Lucratividade!$D$4:$O$129,6,0),0),"")</f>
        <v/>
      </c>
      <c r="N679" s="379">
        <f>IF(H679&lt;&gt;"",J679*M679*I679,SUMIFS(N680:N$9844,$F680:$F$9844,"*"&amp;F679&amp;"*",$H680:$H$9844,"&lt;&gt;"))</f>
        <v>0</v>
      </c>
      <c r="O679" s="162" t="str">
        <f>IFERROR((-Tabela2[[#This Row],[CUSTO TOTAL]]+Tabela2[[#This Row],[VENDA TOTAL]])/Tabela2[[#This Row],[VENDA TOTAL]]-PARAMETROS!$C$19,"")</f>
        <v/>
      </c>
      <c r="AA679" s="219">
        <f>SUM(Plan_Orc[[#This Row],[01/jan]:[01/dez]])</f>
        <v>0</v>
      </c>
      <c r="AB679" s="15"/>
      <c r="AC679" s="15"/>
      <c r="AD679" s="15"/>
      <c r="AE679" s="15"/>
      <c r="AF679" s="15"/>
      <c r="AG679" s="15"/>
      <c r="AH679" s="15"/>
      <c r="AI679" s="15"/>
      <c r="AJ679" s="15"/>
      <c r="AK679" s="15"/>
      <c r="AL679" s="15"/>
      <c r="AM679" s="15"/>
    </row>
    <row r="680" spans="2:39" ht="25.2" customHeight="1" x14ac:dyDescent="0.3">
      <c r="B680" s="13" t="str">
        <f t="shared" si="14"/>
        <v/>
      </c>
      <c r="C680" s="18"/>
      <c r="D680" s="19" t="str">
        <f>IF(Tabela2[[#This Row],[AGRUPADOR]]&lt;&gt;"",VLOOKUP(Tabela2[[#This Row],[AGRUPADOR]],Tabela1[],2,0),"")</f>
        <v/>
      </c>
      <c r="E680" s="19" t="str">
        <f>IF(Tabela2[[#This Row],[AGRUPADOR]]&lt;&gt;"",VLOOKUP(Tabela2[[#This Row],[AGRUPADOR]],Tabela1[],4,0),"")</f>
        <v/>
      </c>
      <c r="F680" s="14"/>
      <c r="G680" s="6"/>
      <c r="H680" s="6"/>
      <c r="I680" s="25"/>
      <c r="J680" s="7"/>
      <c r="K680" s="15"/>
      <c r="L680" s="379">
        <f>IF(H680&lt;&gt;"",J680*K680,SUMIFS(L681:L$9844,$F681:$F$9844,"*"&amp;F680&amp;"*",$H681:$H$9844,"&lt;&gt;"))</f>
        <v>0</v>
      </c>
      <c r="M680" s="379" t="str">
        <f>IF(Tabela2[[#This Row],[UNID.]]&lt;&gt;"",IFERROR(VLOOKUP(Tabela2[[#This Row],[AGRUPADOR]],Lucratividade!$D$4:$O$129,6,0),0),"")</f>
        <v/>
      </c>
      <c r="N680" s="379">
        <f>IF(H680&lt;&gt;"",J680*M680*I680,SUMIFS(N681:N$9844,$F681:$F$9844,"*"&amp;F680&amp;"*",$H681:$H$9844,"&lt;&gt;"))</f>
        <v>0</v>
      </c>
      <c r="O680" s="162" t="str">
        <f>IFERROR((-Tabela2[[#This Row],[CUSTO TOTAL]]+Tabela2[[#This Row],[VENDA TOTAL]])/Tabela2[[#This Row],[VENDA TOTAL]]-PARAMETROS!$C$19,"")</f>
        <v/>
      </c>
      <c r="AA680" s="219">
        <f>SUM(Plan_Orc[[#This Row],[01/jan]:[01/dez]])</f>
        <v>0</v>
      </c>
      <c r="AB680" s="15"/>
      <c r="AC680" s="15"/>
      <c r="AD680" s="15"/>
      <c r="AE680" s="15"/>
      <c r="AF680" s="15"/>
      <c r="AG680" s="15"/>
      <c r="AH680" s="15"/>
      <c r="AI680" s="15"/>
      <c r="AJ680" s="15"/>
      <c r="AK680" s="15"/>
      <c r="AL680" s="15"/>
      <c r="AM680" s="15"/>
    </row>
    <row r="681" spans="2:39" ht="25.2" customHeight="1" x14ac:dyDescent="0.3">
      <c r="B681" s="13" t="str">
        <f t="shared" si="14"/>
        <v/>
      </c>
      <c r="C681" s="18"/>
      <c r="D681" s="19" t="str">
        <f>IF(Tabela2[[#This Row],[AGRUPADOR]]&lt;&gt;"",VLOOKUP(Tabela2[[#This Row],[AGRUPADOR]],Tabela1[],2,0),"")</f>
        <v/>
      </c>
      <c r="E681" s="19" t="str">
        <f>IF(Tabela2[[#This Row],[AGRUPADOR]]&lt;&gt;"",VLOOKUP(Tabela2[[#This Row],[AGRUPADOR]],Tabela1[],4,0),"")</f>
        <v/>
      </c>
      <c r="F681" s="14"/>
      <c r="G681" s="6"/>
      <c r="H681" s="6"/>
      <c r="I681" s="25"/>
      <c r="J681" s="7"/>
      <c r="K681" s="15"/>
      <c r="L681" s="379">
        <f>IF(H681&lt;&gt;"",J681*K681,SUMIFS(L682:L$9844,$F682:$F$9844,"*"&amp;F681&amp;"*",$H682:$H$9844,"&lt;&gt;"))</f>
        <v>0</v>
      </c>
      <c r="M681" s="379" t="str">
        <f>IF(Tabela2[[#This Row],[UNID.]]&lt;&gt;"",IFERROR(VLOOKUP(Tabela2[[#This Row],[AGRUPADOR]],Lucratividade!$D$4:$O$129,6,0),0),"")</f>
        <v/>
      </c>
      <c r="N681" s="379">
        <f>IF(H681&lt;&gt;"",J681*M681*I681,SUMIFS(N682:N$9844,$F682:$F$9844,"*"&amp;F681&amp;"*",$H682:$H$9844,"&lt;&gt;"))</f>
        <v>0</v>
      </c>
      <c r="O681" s="162" t="str">
        <f>IFERROR((-Tabela2[[#This Row],[CUSTO TOTAL]]+Tabela2[[#This Row],[VENDA TOTAL]])/Tabela2[[#This Row],[VENDA TOTAL]]-PARAMETROS!$C$19,"")</f>
        <v/>
      </c>
      <c r="AA681" s="219">
        <f>SUM(Plan_Orc[[#This Row],[01/jan]:[01/dez]])</f>
        <v>0</v>
      </c>
      <c r="AB681" s="15"/>
      <c r="AC681" s="15"/>
      <c r="AD681" s="15"/>
      <c r="AE681" s="15"/>
      <c r="AF681" s="15"/>
      <c r="AG681" s="15"/>
      <c r="AH681" s="15"/>
      <c r="AI681" s="15"/>
      <c r="AJ681" s="15"/>
      <c r="AK681" s="15"/>
      <c r="AL681" s="15"/>
      <c r="AM681" s="15"/>
    </row>
    <row r="682" spans="2:39" ht="25.2" customHeight="1" x14ac:dyDescent="0.3">
      <c r="B682" s="13" t="str">
        <f t="shared" si="14"/>
        <v/>
      </c>
      <c r="C682" s="18"/>
      <c r="D682" s="19" t="str">
        <f>IF(Tabela2[[#This Row],[AGRUPADOR]]&lt;&gt;"",VLOOKUP(Tabela2[[#This Row],[AGRUPADOR]],Tabela1[],2,0),"")</f>
        <v/>
      </c>
      <c r="E682" s="19" t="str">
        <f>IF(Tabela2[[#This Row],[AGRUPADOR]]&lt;&gt;"",VLOOKUP(Tabela2[[#This Row],[AGRUPADOR]],Tabela1[],4,0),"")</f>
        <v/>
      </c>
      <c r="F682" s="14"/>
      <c r="G682" s="6"/>
      <c r="H682" s="6"/>
      <c r="I682" s="25"/>
      <c r="J682" s="7"/>
      <c r="K682" s="15"/>
      <c r="L682" s="379">
        <f>IF(H682&lt;&gt;"",J682*K682,SUMIFS(L683:L$9844,$F683:$F$9844,"*"&amp;F682&amp;"*",$H683:$H$9844,"&lt;&gt;"))</f>
        <v>0</v>
      </c>
      <c r="M682" s="379" t="str">
        <f>IF(Tabela2[[#This Row],[UNID.]]&lt;&gt;"",IFERROR(VLOOKUP(Tabela2[[#This Row],[AGRUPADOR]],Lucratividade!$D$4:$O$129,6,0),0),"")</f>
        <v/>
      </c>
      <c r="N682" s="379">
        <f>IF(H682&lt;&gt;"",J682*M682*I682,SUMIFS(N683:N$9844,$F683:$F$9844,"*"&amp;F682&amp;"*",$H683:$H$9844,"&lt;&gt;"))</f>
        <v>0</v>
      </c>
      <c r="O682" s="162" t="str">
        <f>IFERROR((-Tabela2[[#This Row],[CUSTO TOTAL]]+Tabela2[[#This Row],[VENDA TOTAL]])/Tabela2[[#This Row],[VENDA TOTAL]]-PARAMETROS!$C$19,"")</f>
        <v/>
      </c>
      <c r="AA682" s="219">
        <f>SUM(Plan_Orc[[#This Row],[01/jan]:[01/dez]])</f>
        <v>0</v>
      </c>
      <c r="AB682" s="15"/>
      <c r="AC682" s="15"/>
      <c r="AD682" s="15"/>
      <c r="AE682" s="15"/>
      <c r="AF682" s="15"/>
      <c r="AG682" s="15"/>
      <c r="AH682" s="15"/>
      <c r="AI682" s="15"/>
      <c r="AJ682" s="15"/>
      <c r="AK682" s="15"/>
      <c r="AL682" s="15"/>
      <c r="AM682" s="15"/>
    </row>
    <row r="683" spans="2:39" ht="25.2" customHeight="1" x14ac:dyDescent="0.3">
      <c r="B683" s="13" t="str">
        <f t="shared" si="14"/>
        <v/>
      </c>
      <c r="C683" s="18"/>
      <c r="D683" s="19" t="str">
        <f>IF(Tabela2[[#This Row],[AGRUPADOR]]&lt;&gt;"",VLOOKUP(Tabela2[[#This Row],[AGRUPADOR]],Tabela1[],2,0),"")</f>
        <v/>
      </c>
      <c r="E683" s="19" t="str">
        <f>IF(Tabela2[[#This Row],[AGRUPADOR]]&lt;&gt;"",VLOOKUP(Tabela2[[#This Row],[AGRUPADOR]],Tabela1[],4,0),"")</f>
        <v/>
      </c>
      <c r="F683" s="14"/>
      <c r="G683" s="6"/>
      <c r="H683" s="6"/>
      <c r="I683" s="25"/>
      <c r="J683" s="7"/>
      <c r="K683" s="15"/>
      <c r="L683" s="379">
        <f>IF(H683&lt;&gt;"",J683*K683,SUMIFS(L684:L$9844,$F684:$F$9844,"*"&amp;F683&amp;"*",$H684:$H$9844,"&lt;&gt;"))</f>
        <v>0</v>
      </c>
      <c r="M683" s="379" t="str">
        <f>IF(Tabela2[[#This Row],[UNID.]]&lt;&gt;"",IFERROR(VLOOKUP(Tabela2[[#This Row],[AGRUPADOR]],Lucratividade!$D$4:$O$129,6,0),0),"")</f>
        <v/>
      </c>
      <c r="N683" s="379">
        <f>IF(H683&lt;&gt;"",J683*M683*I683,SUMIFS(N684:N$9844,$F684:$F$9844,"*"&amp;F683&amp;"*",$H684:$H$9844,"&lt;&gt;"))</f>
        <v>0</v>
      </c>
      <c r="O683" s="162" t="str">
        <f>IFERROR((-Tabela2[[#This Row],[CUSTO TOTAL]]+Tabela2[[#This Row],[VENDA TOTAL]])/Tabela2[[#This Row],[VENDA TOTAL]]-PARAMETROS!$C$19,"")</f>
        <v/>
      </c>
      <c r="AA683" s="219">
        <f>SUM(Plan_Orc[[#This Row],[01/jan]:[01/dez]])</f>
        <v>0</v>
      </c>
      <c r="AB683" s="15"/>
      <c r="AC683" s="15"/>
      <c r="AD683" s="15"/>
      <c r="AE683" s="15"/>
      <c r="AF683" s="15"/>
      <c r="AG683" s="15"/>
      <c r="AH683" s="15"/>
      <c r="AI683" s="15"/>
      <c r="AJ683" s="15"/>
      <c r="AK683" s="15"/>
      <c r="AL683" s="15"/>
      <c r="AM683" s="15"/>
    </row>
    <row r="684" spans="2:39" ht="25.2" customHeight="1" x14ac:dyDescent="0.3">
      <c r="B684" s="13" t="str">
        <f t="shared" si="14"/>
        <v/>
      </c>
      <c r="C684" s="18"/>
      <c r="D684" s="19" t="str">
        <f>IF(Tabela2[[#This Row],[AGRUPADOR]]&lt;&gt;"",VLOOKUP(Tabela2[[#This Row],[AGRUPADOR]],Tabela1[],2,0),"")</f>
        <v/>
      </c>
      <c r="E684" s="19" t="str">
        <f>IF(Tabela2[[#This Row],[AGRUPADOR]]&lt;&gt;"",VLOOKUP(Tabela2[[#This Row],[AGRUPADOR]],Tabela1[],4,0),"")</f>
        <v/>
      </c>
      <c r="F684" s="14"/>
      <c r="G684" s="6"/>
      <c r="H684" s="6"/>
      <c r="I684" s="25"/>
      <c r="J684" s="7"/>
      <c r="K684" s="15"/>
      <c r="L684" s="379">
        <f>IF(H684&lt;&gt;"",J684*K684,SUMIFS(L685:L$9844,$F685:$F$9844,"*"&amp;F684&amp;"*",$H685:$H$9844,"&lt;&gt;"))</f>
        <v>0</v>
      </c>
      <c r="M684" s="379" t="str">
        <f>IF(Tabela2[[#This Row],[UNID.]]&lt;&gt;"",IFERROR(VLOOKUP(Tabela2[[#This Row],[AGRUPADOR]],Lucratividade!$D$4:$O$129,6,0),0),"")</f>
        <v/>
      </c>
      <c r="N684" s="379">
        <f>IF(H684&lt;&gt;"",J684*M684*I684,SUMIFS(N685:N$9844,$F685:$F$9844,"*"&amp;F684&amp;"*",$H685:$H$9844,"&lt;&gt;"))</f>
        <v>0</v>
      </c>
      <c r="O684" s="162" t="str">
        <f>IFERROR((-Tabela2[[#This Row],[CUSTO TOTAL]]+Tabela2[[#This Row],[VENDA TOTAL]])/Tabela2[[#This Row],[VENDA TOTAL]]-PARAMETROS!$C$19,"")</f>
        <v/>
      </c>
      <c r="AA684" s="219">
        <f>SUM(Plan_Orc[[#This Row],[01/jan]:[01/dez]])</f>
        <v>0</v>
      </c>
      <c r="AB684" s="15"/>
      <c r="AC684" s="15"/>
      <c r="AD684" s="15"/>
      <c r="AE684" s="15"/>
      <c r="AF684" s="15"/>
      <c r="AG684" s="15"/>
      <c r="AH684" s="15"/>
      <c r="AI684" s="15"/>
      <c r="AJ684" s="15"/>
      <c r="AK684" s="15"/>
      <c r="AL684" s="15"/>
      <c r="AM684" s="15"/>
    </row>
    <row r="685" spans="2:39" ht="25.2" customHeight="1" x14ac:dyDescent="0.3">
      <c r="B685" s="13" t="str">
        <f t="shared" si="14"/>
        <v/>
      </c>
      <c r="C685" s="18"/>
      <c r="D685" s="19" t="str">
        <f>IF(Tabela2[[#This Row],[AGRUPADOR]]&lt;&gt;"",VLOOKUP(Tabela2[[#This Row],[AGRUPADOR]],Tabela1[],2,0),"")</f>
        <v/>
      </c>
      <c r="E685" s="19" t="str">
        <f>IF(Tabela2[[#This Row],[AGRUPADOR]]&lt;&gt;"",VLOOKUP(Tabela2[[#This Row],[AGRUPADOR]],Tabela1[],4,0),"")</f>
        <v/>
      </c>
      <c r="F685" s="14"/>
      <c r="G685" s="6"/>
      <c r="H685" s="6"/>
      <c r="I685" s="25"/>
      <c r="J685" s="7"/>
      <c r="K685" s="15"/>
      <c r="L685" s="379">
        <f>IF(H685&lt;&gt;"",J685*K685,SUMIFS(L686:L$9844,$F686:$F$9844,"*"&amp;F685&amp;"*",$H686:$H$9844,"&lt;&gt;"))</f>
        <v>0</v>
      </c>
      <c r="M685" s="379" t="str">
        <f>IF(Tabela2[[#This Row],[UNID.]]&lt;&gt;"",IFERROR(VLOOKUP(Tabela2[[#This Row],[AGRUPADOR]],Lucratividade!$D$4:$O$129,6,0),0),"")</f>
        <v/>
      </c>
      <c r="N685" s="379">
        <f>IF(H685&lt;&gt;"",J685*M685*I685,SUMIFS(N686:N$9844,$F686:$F$9844,"*"&amp;F685&amp;"*",$H686:$H$9844,"&lt;&gt;"))</f>
        <v>0</v>
      </c>
      <c r="O685" s="162" t="str">
        <f>IFERROR((-Tabela2[[#This Row],[CUSTO TOTAL]]+Tabela2[[#This Row],[VENDA TOTAL]])/Tabela2[[#This Row],[VENDA TOTAL]]-PARAMETROS!$C$19,"")</f>
        <v/>
      </c>
      <c r="AA685" s="219">
        <f>SUM(Plan_Orc[[#This Row],[01/jan]:[01/dez]])</f>
        <v>0</v>
      </c>
      <c r="AB685" s="15"/>
      <c r="AC685" s="15"/>
      <c r="AD685" s="15"/>
      <c r="AE685" s="15"/>
      <c r="AF685" s="15"/>
      <c r="AG685" s="15"/>
      <c r="AH685" s="15"/>
      <c r="AI685" s="15"/>
      <c r="AJ685" s="15"/>
      <c r="AK685" s="15"/>
      <c r="AL685" s="15"/>
      <c r="AM685" s="15"/>
    </row>
    <row r="686" spans="2:39" ht="25.2" customHeight="1" x14ac:dyDescent="0.3">
      <c r="B686" s="13" t="str">
        <f t="shared" si="14"/>
        <v/>
      </c>
      <c r="C686" s="18"/>
      <c r="D686" s="19" t="str">
        <f>IF(Tabela2[[#This Row],[AGRUPADOR]]&lt;&gt;"",VLOOKUP(Tabela2[[#This Row],[AGRUPADOR]],Tabela1[],2,0),"")</f>
        <v/>
      </c>
      <c r="E686" s="19" t="str">
        <f>IF(Tabela2[[#This Row],[AGRUPADOR]]&lt;&gt;"",VLOOKUP(Tabela2[[#This Row],[AGRUPADOR]],Tabela1[],4,0),"")</f>
        <v/>
      </c>
      <c r="F686" s="14"/>
      <c r="G686" s="6"/>
      <c r="H686" s="6"/>
      <c r="I686" s="25"/>
      <c r="J686" s="7"/>
      <c r="K686" s="15"/>
      <c r="L686" s="379">
        <f>IF(H686&lt;&gt;"",J686*K686,SUMIFS(L687:L$9844,$F687:$F$9844,"*"&amp;F686&amp;"*",$H687:$H$9844,"&lt;&gt;"))</f>
        <v>0</v>
      </c>
      <c r="M686" s="379" t="str">
        <f>IF(Tabela2[[#This Row],[UNID.]]&lt;&gt;"",IFERROR(VLOOKUP(Tabela2[[#This Row],[AGRUPADOR]],Lucratividade!$D$4:$O$129,6,0),0),"")</f>
        <v/>
      </c>
      <c r="N686" s="379">
        <f>IF(H686&lt;&gt;"",J686*M686*I686,SUMIFS(N687:N$9844,$F687:$F$9844,"*"&amp;F686&amp;"*",$H687:$H$9844,"&lt;&gt;"))</f>
        <v>0</v>
      </c>
      <c r="O686" s="162" t="str">
        <f>IFERROR((-Tabela2[[#This Row],[CUSTO TOTAL]]+Tabela2[[#This Row],[VENDA TOTAL]])/Tabela2[[#This Row],[VENDA TOTAL]]-PARAMETROS!$C$19,"")</f>
        <v/>
      </c>
      <c r="AA686" s="219">
        <f>SUM(Plan_Orc[[#This Row],[01/jan]:[01/dez]])</f>
        <v>0</v>
      </c>
      <c r="AB686" s="15"/>
      <c r="AC686" s="15"/>
      <c r="AD686" s="15"/>
      <c r="AE686" s="15"/>
      <c r="AF686" s="15"/>
      <c r="AG686" s="15"/>
      <c r="AH686" s="15"/>
      <c r="AI686" s="15"/>
      <c r="AJ686" s="15"/>
      <c r="AK686" s="15"/>
      <c r="AL686" s="15"/>
      <c r="AM686" s="15"/>
    </row>
    <row r="687" spans="2:39" ht="25.2" customHeight="1" x14ac:dyDescent="0.3">
      <c r="B687" s="13" t="str">
        <f t="shared" si="14"/>
        <v/>
      </c>
      <c r="C687" s="18"/>
      <c r="D687" s="19" t="str">
        <f>IF(Tabela2[[#This Row],[AGRUPADOR]]&lt;&gt;"",VLOOKUP(Tabela2[[#This Row],[AGRUPADOR]],Tabela1[],2,0),"")</f>
        <v/>
      </c>
      <c r="E687" s="19" t="str">
        <f>IF(Tabela2[[#This Row],[AGRUPADOR]]&lt;&gt;"",VLOOKUP(Tabela2[[#This Row],[AGRUPADOR]],Tabela1[],4,0),"")</f>
        <v/>
      </c>
      <c r="F687" s="14"/>
      <c r="G687" s="6"/>
      <c r="H687" s="6"/>
      <c r="I687" s="25"/>
      <c r="J687" s="7"/>
      <c r="K687" s="15"/>
      <c r="L687" s="379">
        <f>IF(H687&lt;&gt;"",J687*K687,SUMIFS(L688:L$9844,$F688:$F$9844,"*"&amp;F687&amp;"*",$H688:$H$9844,"&lt;&gt;"))</f>
        <v>0</v>
      </c>
      <c r="M687" s="379" t="str">
        <f>IF(Tabela2[[#This Row],[UNID.]]&lt;&gt;"",IFERROR(VLOOKUP(Tabela2[[#This Row],[AGRUPADOR]],Lucratividade!$D$4:$O$129,6,0),0),"")</f>
        <v/>
      </c>
      <c r="N687" s="379">
        <f>IF(H687&lt;&gt;"",J687*M687*I687,SUMIFS(N688:N$9844,$F688:$F$9844,"*"&amp;F687&amp;"*",$H688:$H$9844,"&lt;&gt;"))</f>
        <v>0</v>
      </c>
      <c r="O687" s="162" t="str">
        <f>IFERROR((-Tabela2[[#This Row],[CUSTO TOTAL]]+Tabela2[[#This Row],[VENDA TOTAL]])/Tabela2[[#This Row],[VENDA TOTAL]]-PARAMETROS!$C$19,"")</f>
        <v/>
      </c>
      <c r="AA687" s="219">
        <f>SUM(Plan_Orc[[#This Row],[01/jan]:[01/dez]])</f>
        <v>0</v>
      </c>
      <c r="AB687" s="15"/>
      <c r="AC687" s="15"/>
      <c r="AD687" s="15"/>
      <c r="AE687" s="15"/>
      <c r="AF687" s="15"/>
      <c r="AG687" s="15"/>
      <c r="AH687" s="15"/>
      <c r="AI687" s="15"/>
      <c r="AJ687" s="15"/>
      <c r="AK687" s="15"/>
      <c r="AL687" s="15"/>
      <c r="AM687" s="15"/>
    </row>
    <row r="688" spans="2:39" ht="25.2" customHeight="1" x14ac:dyDescent="0.3">
      <c r="B688" s="13" t="str">
        <f t="shared" si="14"/>
        <v/>
      </c>
      <c r="C688" s="18"/>
      <c r="D688" s="19" t="str">
        <f>IF(Tabela2[[#This Row],[AGRUPADOR]]&lt;&gt;"",VLOOKUP(Tabela2[[#This Row],[AGRUPADOR]],Tabela1[],2,0),"")</f>
        <v/>
      </c>
      <c r="E688" s="19" t="str">
        <f>IF(Tabela2[[#This Row],[AGRUPADOR]]&lt;&gt;"",VLOOKUP(Tabela2[[#This Row],[AGRUPADOR]],Tabela1[],4,0),"")</f>
        <v/>
      </c>
      <c r="F688" s="14"/>
      <c r="G688" s="6"/>
      <c r="H688" s="6"/>
      <c r="I688" s="25"/>
      <c r="J688" s="7"/>
      <c r="K688" s="15"/>
      <c r="L688" s="379">
        <f>IF(H688&lt;&gt;"",J688*K688,SUMIFS(L689:L$9844,$F689:$F$9844,"*"&amp;F688&amp;"*",$H689:$H$9844,"&lt;&gt;"))</f>
        <v>0</v>
      </c>
      <c r="M688" s="379" t="str">
        <f>IF(Tabela2[[#This Row],[UNID.]]&lt;&gt;"",IFERROR(VLOOKUP(Tabela2[[#This Row],[AGRUPADOR]],Lucratividade!$D$4:$O$129,6,0),0),"")</f>
        <v/>
      </c>
      <c r="N688" s="379">
        <f>IF(H688&lt;&gt;"",J688*M688*I688,SUMIFS(N689:N$9844,$F689:$F$9844,"*"&amp;F688&amp;"*",$H689:$H$9844,"&lt;&gt;"))</f>
        <v>0</v>
      </c>
      <c r="O688" s="162" t="str">
        <f>IFERROR((-Tabela2[[#This Row],[CUSTO TOTAL]]+Tabela2[[#This Row],[VENDA TOTAL]])/Tabela2[[#This Row],[VENDA TOTAL]]-PARAMETROS!$C$19,"")</f>
        <v/>
      </c>
      <c r="AA688" s="219">
        <f>SUM(Plan_Orc[[#This Row],[01/jan]:[01/dez]])</f>
        <v>0</v>
      </c>
      <c r="AB688" s="15"/>
      <c r="AC688" s="15"/>
      <c r="AD688" s="15"/>
      <c r="AE688" s="15"/>
      <c r="AF688" s="15"/>
      <c r="AG688" s="15"/>
      <c r="AH688" s="15"/>
      <c r="AI688" s="15"/>
      <c r="AJ688" s="15"/>
      <c r="AK688" s="15"/>
      <c r="AL688" s="15"/>
      <c r="AM688" s="15"/>
    </row>
    <row r="689" spans="2:39" ht="25.2" customHeight="1" x14ac:dyDescent="0.3">
      <c r="B689" s="13" t="str">
        <f t="shared" si="14"/>
        <v/>
      </c>
      <c r="C689" s="18"/>
      <c r="D689" s="19" t="str">
        <f>IF(Tabela2[[#This Row],[AGRUPADOR]]&lt;&gt;"",VLOOKUP(Tabela2[[#This Row],[AGRUPADOR]],Tabela1[],2,0),"")</f>
        <v/>
      </c>
      <c r="E689" s="19" t="str">
        <f>IF(Tabela2[[#This Row],[AGRUPADOR]]&lt;&gt;"",VLOOKUP(Tabela2[[#This Row],[AGRUPADOR]],Tabela1[],4,0),"")</f>
        <v/>
      </c>
      <c r="F689" s="14"/>
      <c r="G689" s="6"/>
      <c r="H689" s="6"/>
      <c r="I689" s="25"/>
      <c r="J689" s="7"/>
      <c r="K689" s="15"/>
      <c r="L689" s="379">
        <f>IF(H689&lt;&gt;"",J689*K689,SUMIFS(L690:L$9844,$F690:$F$9844,"*"&amp;F689&amp;"*",$H690:$H$9844,"&lt;&gt;"))</f>
        <v>0</v>
      </c>
      <c r="M689" s="379" t="str">
        <f>IF(Tabela2[[#This Row],[UNID.]]&lt;&gt;"",IFERROR(VLOOKUP(Tabela2[[#This Row],[AGRUPADOR]],Lucratividade!$D$4:$O$129,6,0),0),"")</f>
        <v/>
      </c>
      <c r="N689" s="379">
        <f>IF(H689&lt;&gt;"",J689*M689*I689,SUMIFS(N690:N$9844,$F690:$F$9844,"*"&amp;F689&amp;"*",$H690:$H$9844,"&lt;&gt;"))</f>
        <v>0</v>
      </c>
      <c r="O689" s="162" t="str">
        <f>IFERROR((-Tabela2[[#This Row],[CUSTO TOTAL]]+Tabela2[[#This Row],[VENDA TOTAL]])/Tabela2[[#This Row],[VENDA TOTAL]]-PARAMETROS!$C$19,"")</f>
        <v/>
      </c>
      <c r="AA689" s="219">
        <f>SUM(Plan_Orc[[#This Row],[01/jan]:[01/dez]])</f>
        <v>0</v>
      </c>
      <c r="AB689" s="15"/>
      <c r="AC689" s="15"/>
      <c r="AD689" s="15"/>
      <c r="AE689" s="15"/>
      <c r="AF689" s="15"/>
      <c r="AG689" s="15"/>
      <c r="AH689" s="15"/>
      <c r="AI689" s="15"/>
      <c r="AJ689" s="15"/>
      <c r="AK689" s="15"/>
      <c r="AL689" s="15"/>
      <c r="AM689" s="15"/>
    </row>
    <row r="690" spans="2:39" ht="25.2" customHeight="1" x14ac:dyDescent="0.3">
      <c r="B690" s="13" t="str">
        <f t="shared" si="14"/>
        <v/>
      </c>
      <c r="C690" s="18"/>
      <c r="D690" s="19" t="str">
        <f>IF(Tabela2[[#This Row],[AGRUPADOR]]&lt;&gt;"",VLOOKUP(Tabela2[[#This Row],[AGRUPADOR]],Tabela1[],2,0),"")</f>
        <v/>
      </c>
      <c r="E690" s="19" t="str">
        <f>IF(Tabela2[[#This Row],[AGRUPADOR]]&lt;&gt;"",VLOOKUP(Tabela2[[#This Row],[AGRUPADOR]],Tabela1[],4,0),"")</f>
        <v/>
      </c>
      <c r="F690" s="14"/>
      <c r="G690" s="6"/>
      <c r="H690" s="6"/>
      <c r="I690" s="25"/>
      <c r="J690" s="7"/>
      <c r="K690" s="15"/>
      <c r="L690" s="379">
        <f>IF(H690&lt;&gt;"",J690*K690,SUMIFS(L691:L$9844,$F691:$F$9844,"*"&amp;F690&amp;"*",$H691:$H$9844,"&lt;&gt;"))</f>
        <v>0</v>
      </c>
      <c r="M690" s="379" t="str">
        <f>IF(Tabela2[[#This Row],[UNID.]]&lt;&gt;"",IFERROR(VLOOKUP(Tabela2[[#This Row],[AGRUPADOR]],Lucratividade!$D$4:$O$129,6,0),0),"")</f>
        <v/>
      </c>
      <c r="N690" s="379">
        <f>IF(H690&lt;&gt;"",J690*M690*I690,SUMIFS(N691:N$9844,$F691:$F$9844,"*"&amp;F690&amp;"*",$H691:$H$9844,"&lt;&gt;"))</f>
        <v>0</v>
      </c>
      <c r="O690" s="162" t="str">
        <f>IFERROR((-Tabela2[[#This Row],[CUSTO TOTAL]]+Tabela2[[#This Row],[VENDA TOTAL]])/Tabela2[[#This Row],[VENDA TOTAL]]-PARAMETROS!$C$19,"")</f>
        <v/>
      </c>
      <c r="AA690" s="219">
        <f>SUM(Plan_Orc[[#This Row],[01/jan]:[01/dez]])</f>
        <v>0</v>
      </c>
      <c r="AB690" s="15"/>
      <c r="AC690" s="15"/>
      <c r="AD690" s="15"/>
      <c r="AE690" s="15"/>
      <c r="AF690" s="15"/>
      <c r="AG690" s="15"/>
      <c r="AH690" s="15"/>
      <c r="AI690" s="15"/>
      <c r="AJ690" s="15"/>
      <c r="AK690" s="15"/>
      <c r="AL690" s="15"/>
      <c r="AM690" s="15"/>
    </row>
    <row r="691" spans="2:39" ht="25.2" customHeight="1" x14ac:dyDescent="0.3">
      <c r="B691" s="13" t="str">
        <f t="shared" si="14"/>
        <v/>
      </c>
      <c r="C691" s="18"/>
      <c r="D691" s="19" t="str">
        <f>IF(Tabela2[[#This Row],[AGRUPADOR]]&lt;&gt;"",VLOOKUP(Tabela2[[#This Row],[AGRUPADOR]],Tabela1[],2,0),"")</f>
        <v/>
      </c>
      <c r="E691" s="19" t="str">
        <f>IF(Tabela2[[#This Row],[AGRUPADOR]]&lt;&gt;"",VLOOKUP(Tabela2[[#This Row],[AGRUPADOR]],Tabela1[],4,0),"")</f>
        <v/>
      </c>
      <c r="F691" s="14"/>
      <c r="G691" s="6"/>
      <c r="H691" s="6"/>
      <c r="I691" s="25"/>
      <c r="J691" s="7"/>
      <c r="K691" s="15"/>
      <c r="L691" s="379">
        <f>IF(H691&lt;&gt;"",J691*K691,SUMIFS(L692:L$9844,$F692:$F$9844,"*"&amp;F691&amp;"*",$H692:$H$9844,"&lt;&gt;"))</f>
        <v>0</v>
      </c>
      <c r="M691" s="379" t="str">
        <f>IF(Tabela2[[#This Row],[UNID.]]&lt;&gt;"",IFERROR(VLOOKUP(Tabela2[[#This Row],[AGRUPADOR]],Lucratividade!$D$4:$O$129,6,0),0),"")</f>
        <v/>
      </c>
      <c r="N691" s="379">
        <f>IF(H691&lt;&gt;"",J691*M691*I691,SUMIFS(N692:N$9844,$F692:$F$9844,"*"&amp;F691&amp;"*",$H692:$H$9844,"&lt;&gt;"))</f>
        <v>0</v>
      </c>
      <c r="O691" s="162" t="str">
        <f>IFERROR((-Tabela2[[#This Row],[CUSTO TOTAL]]+Tabela2[[#This Row],[VENDA TOTAL]])/Tabela2[[#This Row],[VENDA TOTAL]]-PARAMETROS!$C$19,"")</f>
        <v/>
      </c>
      <c r="AA691" s="219">
        <f>SUM(Plan_Orc[[#This Row],[01/jan]:[01/dez]])</f>
        <v>0</v>
      </c>
      <c r="AB691" s="15"/>
      <c r="AC691" s="15"/>
      <c r="AD691" s="15"/>
      <c r="AE691" s="15"/>
      <c r="AF691" s="15"/>
      <c r="AG691" s="15"/>
      <c r="AH691" s="15"/>
      <c r="AI691" s="15"/>
      <c r="AJ691" s="15"/>
      <c r="AK691" s="15"/>
      <c r="AL691" s="15"/>
      <c r="AM691" s="15"/>
    </row>
    <row r="692" spans="2:39" ht="25.2" customHeight="1" x14ac:dyDescent="0.3">
      <c r="B692" s="13" t="str">
        <f t="shared" si="14"/>
        <v/>
      </c>
      <c r="C692" s="18"/>
      <c r="D692" s="19" t="str">
        <f>IF(Tabela2[[#This Row],[AGRUPADOR]]&lt;&gt;"",VLOOKUP(Tabela2[[#This Row],[AGRUPADOR]],Tabela1[],2,0),"")</f>
        <v/>
      </c>
      <c r="E692" s="19" t="str">
        <f>IF(Tabela2[[#This Row],[AGRUPADOR]]&lt;&gt;"",VLOOKUP(Tabela2[[#This Row],[AGRUPADOR]],Tabela1[],4,0),"")</f>
        <v/>
      </c>
      <c r="F692" s="14"/>
      <c r="G692" s="6"/>
      <c r="H692" s="6"/>
      <c r="I692" s="25"/>
      <c r="J692" s="7"/>
      <c r="K692" s="15"/>
      <c r="L692" s="379">
        <f>IF(H692&lt;&gt;"",J692*K692,SUMIFS(L693:L$9844,$F693:$F$9844,"*"&amp;F692&amp;"*",$H693:$H$9844,"&lt;&gt;"))</f>
        <v>0</v>
      </c>
      <c r="M692" s="379" t="str">
        <f>IF(Tabela2[[#This Row],[UNID.]]&lt;&gt;"",IFERROR(VLOOKUP(Tabela2[[#This Row],[AGRUPADOR]],Lucratividade!$D$4:$O$129,6,0),0),"")</f>
        <v/>
      </c>
      <c r="N692" s="379">
        <f>IF(H692&lt;&gt;"",J692*M692*I692,SUMIFS(N693:N$9844,$F693:$F$9844,"*"&amp;F692&amp;"*",$H693:$H$9844,"&lt;&gt;"))</f>
        <v>0</v>
      </c>
      <c r="O692" s="162" t="str">
        <f>IFERROR((-Tabela2[[#This Row],[CUSTO TOTAL]]+Tabela2[[#This Row],[VENDA TOTAL]])/Tabela2[[#This Row],[VENDA TOTAL]]-PARAMETROS!$C$19,"")</f>
        <v/>
      </c>
      <c r="AA692" s="219">
        <f>SUM(Plan_Orc[[#This Row],[01/jan]:[01/dez]])</f>
        <v>0</v>
      </c>
      <c r="AB692" s="15"/>
      <c r="AC692" s="15"/>
      <c r="AD692" s="15"/>
      <c r="AE692" s="15"/>
      <c r="AF692" s="15"/>
      <c r="AG692" s="15"/>
      <c r="AH692" s="15"/>
      <c r="AI692" s="15"/>
      <c r="AJ692" s="15"/>
      <c r="AK692" s="15"/>
      <c r="AL692" s="15"/>
      <c r="AM692" s="15"/>
    </row>
    <row r="693" spans="2:39" ht="25.2" customHeight="1" x14ac:dyDescent="0.3">
      <c r="B693" s="13" t="str">
        <f t="shared" si="14"/>
        <v/>
      </c>
      <c r="C693" s="18"/>
      <c r="D693" s="19" t="str">
        <f>IF(Tabela2[[#This Row],[AGRUPADOR]]&lt;&gt;"",VLOOKUP(Tabela2[[#This Row],[AGRUPADOR]],Tabela1[],2,0),"")</f>
        <v/>
      </c>
      <c r="E693" s="19" t="str">
        <f>IF(Tabela2[[#This Row],[AGRUPADOR]]&lt;&gt;"",VLOOKUP(Tabela2[[#This Row],[AGRUPADOR]],Tabela1[],4,0),"")</f>
        <v/>
      </c>
      <c r="F693" s="14"/>
      <c r="G693" s="6"/>
      <c r="H693" s="6"/>
      <c r="I693" s="25"/>
      <c r="J693" s="7"/>
      <c r="K693" s="15"/>
      <c r="L693" s="379">
        <f>IF(H693&lt;&gt;"",J693*K693,SUMIFS(L694:L$9844,$F694:$F$9844,"*"&amp;F693&amp;"*",$H694:$H$9844,"&lt;&gt;"))</f>
        <v>0</v>
      </c>
      <c r="M693" s="379" t="str">
        <f>IF(Tabela2[[#This Row],[UNID.]]&lt;&gt;"",IFERROR(VLOOKUP(Tabela2[[#This Row],[AGRUPADOR]],Lucratividade!$D$4:$O$129,6,0),0),"")</f>
        <v/>
      </c>
      <c r="N693" s="379">
        <f>IF(H693&lt;&gt;"",J693*M693*I693,SUMIFS(N694:N$9844,$F694:$F$9844,"*"&amp;F693&amp;"*",$H694:$H$9844,"&lt;&gt;"))</f>
        <v>0</v>
      </c>
      <c r="O693" s="162" t="str">
        <f>IFERROR((-Tabela2[[#This Row],[CUSTO TOTAL]]+Tabela2[[#This Row],[VENDA TOTAL]])/Tabela2[[#This Row],[VENDA TOTAL]]-PARAMETROS!$C$19,"")</f>
        <v/>
      </c>
      <c r="AA693" s="219">
        <f>SUM(Plan_Orc[[#This Row],[01/jan]:[01/dez]])</f>
        <v>0</v>
      </c>
      <c r="AB693" s="15"/>
      <c r="AC693" s="15"/>
      <c r="AD693" s="15"/>
      <c r="AE693" s="15"/>
      <c r="AF693" s="15"/>
      <c r="AG693" s="15"/>
      <c r="AH693" s="15"/>
      <c r="AI693" s="15"/>
      <c r="AJ693" s="15"/>
      <c r="AK693" s="15"/>
      <c r="AL693" s="15"/>
      <c r="AM693" s="15"/>
    </row>
    <row r="694" spans="2:39" ht="25.2" customHeight="1" x14ac:dyDescent="0.3">
      <c r="B694" s="13" t="str">
        <f t="shared" si="14"/>
        <v/>
      </c>
      <c r="C694" s="18"/>
      <c r="D694" s="19" t="str">
        <f>IF(Tabela2[[#This Row],[AGRUPADOR]]&lt;&gt;"",VLOOKUP(Tabela2[[#This Row],[AGRUPADOR]],Tabela1[],2,0),"")</f>
        <v/>
      </c>
      <c r="E694" s="19" t="str">
        <f>IF(Tabela2[[#This Row],[AGRUPADOR]]&lt;&gt;"",VLOOKUP(Tabela2[[#This Row],[AGRUPADOR]],Tabela1[],4,0),"")</f>
        <v/>
      </c>
      <c r="F694" s="14"/>
      <c r="G694" s="6"/>
      <c r="H694" s="6"/>
      <c r="I694" s="25"/>
      <c r="J694" s="7"/>
      <c r="K694" s="15"/>
      <c r="L694" s="379">
        <f>IF(H694&lt;&gt;"",J694*K694,SUMIFS(L695:L$9844,$F695:$F$9844,"*"&amp;F694&amp;"*",$H695:$H$9844,"&lt;&gt;"))</f>
        <v>0</v>
      </c>
      <c r="M694" s="379" t="str">
        <f>IF(Tabela2[[#This Row],[UNID.]]&lt;&gt;"",IFERROR(VLOOKUP(Tabela2[[#This Row],[AGRUPADOR]],Lucratividade!$D$4:$O$129,6,0),0),"")</f>
        <v/>
      </c>
      <c r="N694" s="379">
        <f>IF(H694&lt;&gt;"",J694*M694*I694,SUMIFS(N695:N$9844,$F695:$F$9844,"*"&amp;F694&amp;"*",$H695:$H$9844,"&lt;&gt;"))</f>
        <v>0</v>
      </c>
      <c r="O694" s="162" t="str">
        <f>IFERROR((-Tabela2[[#This Row],[CUSTO TOTAL]]+Tabela2[[#This Row],[VENDA TOTAL]])/Tabela2[[#This Row],[VENDA TOTAL]]-PARAMETROS!$C$19,"")</f>
        <v/>
      </c>
      <c r="AA694" s="219">
        <f>SUM(Plan_Orc[[#This Row],[01/jan]:[01/dez]])</f>
        <v>0</v>
      </c>
      <c r="AB694" s="15"/>
      <c r="AC694" s="15"/>
      <c r="AD694" s="15"/>
      <c r="AE694" s="15"/>
      <c r="AF694" s="15"/>
      <c r="AG694" s="15"/>
      <c r="AH694" s="15"/>
      <c r="AI694" s="15"/>
      <c r="AJ694" s="15"/>
      <c r="AK694" s="15"/>
      <c r="AL694" s="15"/>
      <c r="AM694" s="15"/>
    </row>
    <row r="695" spans="2:39" ht="25.2" customHeight="1" x14ac:dyDescent="0.3">
      <c r="B695" s="13" t="str">
        <f t="shared" si="14"/>
        <v/>
      </c>
      <c r="C695" s="18"/>
      <c r="D695" s="19" t="str">
        <f>IF(Tabela2[[#This Row],[AGRUPADOR]]&lt;&gt;"",VLOOKUP(Tabela2[[#This Row],[AGRUPADOR]],Tabela1[],2,0),"")</f>
        <v/>
      </c>
      <c r="E695" s="19" t="str">
        <f>IF(Tabela2[[#This Row],[AGRUPADOR]]&lt;&gt;"",VLOOKUP(Tabela2[[#This Row],[AGRUPADOR]],Tabela1[],4,0),"")</f>
        <v/>
      </c>
      <c r="F695" s="14"/>
      <c r="G695" s="6"/>
      <c r="H695" s="6"/>
      <c r="I695" s="25"/>
      <c r="J695" s="7"/>
      <c r="K695" s="15"/>
      <c r="L695" s="379">
        <f>IF(H695&lt;&gt;"",J695*K695,SUMIFS(L696:L$9844,$F696:$F$9844,"*"&amp;F695&amp;"*",$H696:$H$9844,"&lt;&gt;"))</f>
        <v>0</v>
      </c>
      <c r="M695" s="379" t="str">
        <f>IF(Tabela2[[#This Row],[UNID.]]&lt;&gt;"",IFERROR(VLOOKUP(Tabela2[[#This Row],[AGRUPADOR]],Lucratividade!$D$4:$O$129,6,0),0),"")</f>
        <v/>
      </c>
      <c r="N695" s="379">
        <f>IF(H695&lt;&gt;"",J695*M695*I695,SUMIFS(N696:N$9844,$F696:$F$9844,"*"&amp;F695&amp;"*",$H696:$H$9844,"&lt;&gt;"))</f>
        <v>0</v>
      </c>
      <c r="O695" s="162" t="str">
        <f>IFERROR((-Tabela2[[#This Row],[CUSTO TOTAL]]+Tabela2[[#This Row],[VENDA TOTAL]])/Tabela2[[#This Row],[VENDA TOTAL]]-PARAMETROS!$C$19,"")</f>
        <v/>
      </c>
      <c r="AA695" s="219">
        <f>SUM(Plan_Orc[[#This Row],[01/jan]:[01/dez]])</f>
        <v>0</v>
      </c>
      <c r="AB695" s="15"/>
      <c r="AC695" s="15"/>
      <c r="AD695" s="15"/>
      <c r="AE695" s="15"/>
      <c r="AF695" s="15"/>
      <c r="AG695" s="15"/>
      <c r="AH695" s="15"/>
      <c r="AI695" s="15"/>
      <c r="AJ695" s="15"/>
      <c r="AK695" s="15"/>
      <c r="AL695" s="15"/>
      <c r="AM695" s="15"/>
    </row>
    <row r="696" spans="2:39" ht="25.2" customHeight="1" x14ac:dyDescent="0.3">
      <c r="B696" s="13" t="str">
        <f t="shared" si="14"/>
        <v/>
      </c>
      <c r="C696" s="18"/>
      <c r="D696" s="19" t="str">
        <f>IF(Tabela2[[#This Row],[AGRUPADOR]]&lt;&gt;"",VLOOKUP(Tabela2[[#This Row],[AGRUPADOR]],Tabela1[],2,0),"")</f>
        <v/>
      </c>
      <c r="E696" s="19" t="str">
        <f>IF(Tabela2[[#This Row],[AGRUPADOR]]&lt;&gt;"",VLOOKUP(Tabela2[[#This Row],[AGRUPADOR]],Tabela1[],4,0),"")</f>
        <v/>
      </c>
      <c r="F696" s="14"/>
      <c r="G696" s="6"/>
      <c r="H696" s="6"/>
      <c r="I696" s="25"/>
      <c r="J696" s="7"/>
      <c r="K696" s="15"/>
      <c r="L696" s="379">
        <f>IF(H696&lt;&gt;"",J696*K696,SUMIFS(L697:L$9844,$F697:$F$9844,"*"&amp;F696&amp;"*",$H697:$H$9844,"&lt;&gt;"))</f>
        <v>0</v>
      </c>
      <c r="M696" s="379" t="str">
        <f>IF(Tabela2[[#This Row],[UNID.]]&lt;&gt;"",IFERROR(VLOOKUP(Tabela2[[#This Row],[AGRUPADOR]],Lucratividade!$D$4:$O$129,6,0),0),"")</f>
        <v/>
      </c>
      <c r="N696" s="379">
        <f>IF(H696&lt;&gt;"",J696*M696*I696,SUMIFS(N697:N$9844,$F697:$F$9844,"*"&amp;F696&amp;"*",$H697:$H$9844,"&lt;&gt;"))</f>
        <v>0</v>
      </c>
      <c r="O696" s="162" t="str">
        <f>IFERROR((-Tabela2[[#This Row],[CUSTO TOTAL]]+Tabela2[[#This Row],[VENDA TOTAL]])/Tabela2[[#This Row],[VENDA TOTAL]]-PARAMETROS!$C$19,"")</f>
        <v/>
      </c>
      <c r="AA696" s="219">
        <f>SUM(Plan_Orc[[#This Row],[01/jan]:[01/dez]])</f>
        <v>0</v>
      </c>
      <c r="AB696" s="15"/>
      <c r="AC696" s="15"/>
      <c r="AD696" s="15"/>
      <c r="AE696" s="15"/>
      <c r="AF696" s="15"/>
      <c r="AG696" s="15"/>
      <c r="AH696" s="15"/>
      <c r="AI696" s="15"/>
      <c r="AJ696" s="15"/>
      <c r="AK696" s="15"/>
      <c r="AL696" s="15"/>
      <c r="AM696" s="15"/>
    </row>
    <row r="697" spans="2:39" ht="25.2" customHeight="1" x14ac:dyDescent="0.3">
      <c r="B697" s="13" t="str">
        <f t="shared" si="14"/>
        <v/>
      </c>
      <c r="C697" s="18"/>
      <c r="D697" s="19" t="str">
        <f>IF(Tabela2[[#This Row],[AGRUPADOR]]&lt;&gt;"",VLOOKUP(Tabela2[[#This Row],[AGRUPADOR]],Tabela1[],2,0),"")</f>
        <v/>
      </c>
      <c r="E697" s="19" t="str">
        <f>IF(Tabela2[[#This Row],[AGRUPADOR]]&lt;&gt;"",VLOOKUP(Tabela2[[#This Row],[AGRUPADOR]],Tabela1[],4,0),"")</f>
        <v/>
      </c>
      <c r="F697" s="14"/>
      <c r="G697" s="6"/>
      <c r="H697" s="6"/>
      <c r="I697" s="25"/>
      <c r="J697" s="7"/>
      <c r="K697" s="15"/>
      <c r="L697" s="379">
        <f>IF(H697&lt;&gt;"",J697*K697,SUMIFS(L698:L$9844,$F698:$F$9844,"*"&amp;F697&amp;"*",$H698:$H$9844,"&lt;&gt;"))</f>
        <v>0</v>
      </c>
      <c r="M697" s="379" t="str">
        <f>IF(Tabela2[[#This Row],[UNID.]]&lt;&gt;"",IFERROR(VLOOKUP(Tabela2[[#This Row],[AGRUPADOR]],Lucratividade!$D$4:$O$129,6,0),0),"")</f>
        <v/>
      </c>
      <c r="N697" s="379">
        <f>IF(H697&lt;&gt;"",J697*M697*I697,SUMIFS(N698:N$9844,$F698:$F$9844,"*"&amp;F697&amp;"*",$H698:$H$9844,"&lt;&gt;"))</f>
        <v>0</v>
      </c>
      <c r="O697" s="162" t="str">
        <f>IFERROR((-Tabela2[[#This Row],[CUSTO TOTAL]]+Tabela2[[#This Row],[VENDA TOTAL]])/Tabela2[[#This Row],[VENDA TOTAL]]-PARAMETROS!$C$19,"")</f>
        <v/>
      </c>
      <c r="AA697" s="219">
        <f>SUM(Plan_Orc[[#This Row],[01/jan]:[01/dez]])</f>
        <v>0</v>
      </c>
      <c r="AB697" s="15"/>
      <c r="AC697" s="15"/>
      <c r="AD697" s="15"/>
      <c r="AE697" s="15"/>
      <c r="AF697" s="15"/>
      <c r="AG697" s="15"/>
      <c r="AH697" s="15"/>
      <c r="AI697" s="15"/>
      <c r="AJ697" s="15"/>
      <c r="AK697" s="15"/>
      <c r="AL697" s="15"/>
      <c r="AM697" s="15"/>
    </row>
    <row r="698" spans="2:39" ht="25.2" customHeight="1" x14ac:dyDescent="0.3">
      <c r="B698" s="13" t="str">
        <f t="shared" si="14"/>
        <v/>
      </c>
      <c r="C698" s="18"/>
      <c r="D698" s="19" t="str">
        <f>IF(Tabela2[[#This Row],[AGRUPADOR]]&lt;&gt;"",VLOOKUP(Tabela2[[#This Row],[AGRUPADOR]],Tabela1[],2,0),"")</f>
        <v/>
      </c>
      <c r="E698" s="19" t="str">
        <f>IF(Tabela2[[#This Row],[AGRUPADOR]]&lt;&gt;"",VLOOKUP(Tabela2[[#This Row],[AGRUPADOR]],Tabela1[],4,0),"")</f>
        <v/>
      </c>
      <c r="F698" s="14"/>
      <c r="G698" s="6"/>
      <c r="H698" s="6"/>
      <c r="I698" s="25"/>
      <c r="J698" s="7"/>
      <c r="K698" s="15"/>
      <c r="L698" s="379">
        <f>IF(H698&lt;&gt;"",J698*K698,SUMIFS(L699:L$9844,$F699:$F$9844,"*"&amp;F698&amp;"*",$H699:$H$9844,"&lt;&gt;"))</f>
        <v>0</v>
      </c>
      <c r="M698" s="379" t="str">
        <f>IF(Tabela2[[#This Row],[UNID.]]&lt;&gt;"",IFERROR(VLOOKUP(Tabela2[[#This Row],[AGRUPADOR]],Lucratividade!$D$4:$O$129,6,0),0),"")</f>
        <v/>
      </c>
      <c r="N698" s="379">
        <f>IF(H698&lt;&gt;"",J698*M698*I698,SUMIFS(N699:N$9844,$F699:$F$9844,"*"&amp;F698&amp;"*",$H699:$H$9844,"&lt;&gt;"))</f>
        <v>0</v>
      </c>
      <c r="O698" s="162" t="str">
        <f>IFERROR((-Tabela2[[#This Row],[CUSTO TOTAL]]+Tabela2[[#This Row],[VENDA TOTAL]])/Tabela2[[#This Row],[VENDA TOTAL]]-PARAMETROS!$C$19,"")</f>
        <v/>
      </c>
      <c r="AA698" s="218">
        <f>SUM(Plan_Orc[[#This Row],[01/jan]:[01/dez]])</f>
        <v>0</v>
      </c>
      <c r="AB698" s="12"/>
      <c r="AC698" s="12"/>
      <c r="AD698" s="12"/>
      <c r="AE698" s="12"/>
      <c r="AF698" s="12"/>
      <c r="AG698" s="12"/>
      <c r="AH698" s="12"/>
      <c r="AI698" s="12"/>
      <c r="AJ698" s="12"/>
      <c r="AK698" s="12"/>
      <c r="AL698" s="12"/>
      <c r="AM698" s="12"/>
    </row>
    <row r="699" spans="2:39" ht="25.2" customHeight="1" x14ac:dyDescent="0.3">
      <c r="B699" s="13" t="str">
        <f t="shared" si="14"/>
        <v/>
      </c>
      <c r="C699" s="18"/>
      <c r="D699" s="19" t="str">
        <f>IF(Tabela2[[#This Row],[AGRUPADOR]]&lt;&gt;"",VLOOKUP(Tabela2[[#This Row],[AGRUPADOR]],Tabela1[],2,0),"")</f>
        <v/>
      </c>
      <c r="E699" s="19" t="str">
        <f>IF(Tabela2[[#This Row],[AGRUPADOR]]&lt;&gt;"",VLOOKUP(Tabela2[[#This Row],[AGRUPADOR]],Tabela1[],4,0),"")</f>
        <v/>
      </c>
      <c r="F699" s="14"/>
      <c r="G699" s="6"/>
      <c r="H699" s="6"/>
      <c r="I699" s="25"/>
      <c r="J699" s="7"/>
      <c r="K699" s="15"/>
      <c r="L699" s="379">
        <f>IF(H699&lt;&gt;"",J699*K699,SUMIFS(L700:L$9844,$F700:$F$9844,"*"&amp;F699&amp;"*",$H700:$H$9844,"&lt;&gt;"))</f>
        <v>0</v>
      </c>
      <c r="M699" s="379" t="str">
        <f>IF(Tabela2[[#This Row],[UNID.]]&lt;&gt;"",IFERROR(VLOOKUP(Tabela2[[#This Row],[AGRUPADOR]],Lucratividade!$D$4:$O$129,6,0),0),"")</f>
        <v/>
      </c>
      <c r="N699" s="379">
        <f>IF(H699&lt;&gt;"",J699*M699*I699,SUMIFS(N700:N$9844,$F700:$F$9844,"*"&amp;F699&amp;"*",$H700:$H$9844,"&lt;&gt;"))</f>
        <v>0</v>
      </c>
      <c r="O699" s="162" t="str">
        <f>IFERROR((-Tabela2[[#This Row],[CUSTO TOTAL]]+Tabela2[[#This Row],[VENDA TOTAL]])/Tabela2[[#This Row],[VENDA TOTAL]]-PARAMETROS!$C$19,"")</f>
        <v/>
      </c>
      <c r="AA699" s="219">
        <f>SUM(Plan_Orc[[#This Row],[01/jan]:[01/dez]])</f>
        <v>0</v>
      </c>
      <c r="AB699" s="15"/>
      <c r="AC699" s="15"/>
      <c r="AD699" s="15"/>
      <c r="AE699" s="15"/>
      <c r="AF699" s="15"/>
      <c r="AG699" s="15"/>
      <c r="AH699" s="15"/>
      <c r="AI699" s="15"/>
      <c r="AJ699" s="15"/>
      <c r="AK699" s="15"/>
      <c r="AL699" s="15"/>
      <c r="AM699" s="15"/>
    </row>
    <row r="700" spans="2:39" ht="25.2" customHeight="1" x14ac:dyDescent="0.3">
      <c r="B700" s="13" t="str">
        <f t="shared" si="14"/>
        <v/>
      </c>
      <c r="C700" s="18"/>
      <c r="D700" s="19" t="str">
        <f>IF(Tabela2[[#This Row],[AGRUPADOR]]&lt;&gt;"",VLOOKUP(Tabela2[[#This Row],[AGRUPADOR]],Tabela1[],2,0),"")</f>
        <v/>
      </c>
      <c r="E700" s="19" t="str">
        <f>IF(Tabela2[[#This Row],[AGRUPADOR]]&lt;&gt;"",VLOOKUP(Tabela2[[#This Row],[AGRUPADOR]],Tabela1[],4,0),"")</f>
        <v/>
      </c>
      <c r="F700" s="14"/>
      <c r="G700" s="6"/>
      <c r="H700" s="6"/>
      <c r="I700" s="25"/>
      <c r="J700" s="7"/>
      <c r="K700" s="15"/>
      <c r="L700" s="379">
        <f>IF(H700&lt;&gt;"",J700*K700,SUMIFS(L701:L$9844,$F701:$F$9844,"*"&amp;F700&amp;"*",$H701:$H$9844,"&lt;&gt;"))</f>
        <v>0</v>
      </c>
      <c r="M700" s="379" t="str">
        <f>IF(Tabela2[[#This Row],[UNID.]]&lt;&gt;"",IFERROR(VLOOKUP(Tabela2[[#This Row],[AGRUPADOR]],Lucratividade!$D$4:$O$129,6,0),0),"")</f>
        <v/>
      </c>
      <c r="N700" s="379">
        <f>IF(H700&lt;&gt;"",J700*M700*I700,SUMIFS(N701:N$9844,$F701:$F$9844,"*"&amp;F700&amp;"*",$H701:$H$9844,"&lt;&gt;"))</f>
        <v>0</v>
      </c>
      <c r="O700" s="162" t="str">
        <f>IFERROR((-Tabela2[[#This Row],[CUSTO TOTAL]]+Tabela2[[#This Row],[VENDA TOTAL]])/Tabela2[[#This Row],[VENDA TOTAL]]-PARAMETROS!$C$19,"")</f>
        <v/>
      </c>
      <c r="AA700" s="219">
        <f>SUM(Plan_Orc[[#This Row],[01/jan]:[01/dez]])</f>
        <v>0</v>
      </c>
      <c r="AB700" s="15"/>
      <c r="AC700" s="15"/>
      <c r="AD700" s="15"/>
      <c r="AE700" s="15"/>
      <c r="AF700" s="15"/>
      <c r="AG700" s="15"/>
      <c r="AH700" s="15"/>
      <c r="AI700" s="15"/>
      <c r="AJ700" s="15"/>
      <c r="AK700" s="15"/>
      <c r="AL700" s="15"/>
      <c r="AM700" s="15"/>
    </row>
    <row r="701" spans="2:39" ht="25.2" customHeight="1" x14ac:dyDescent="0.3">
      <c r="B701" s="13" t="str">
        <f t="shared" si="14"/>
        <v/>
      </c>
      <c r="C701" s="18"/>
      <c r="D701" s="19" t="str">
        <f>IF(Tabela2[[#This Row],[AGRUPADOR]]&lt;&gt;"",VLOOKUP(Tabela2[[#This Row],[AGRUPADOR]],Tabela1[],2,0),"")</f>
        <v/>
      </c>
      <c r="E701" s="19" t="str">
        <f>IF(Tabela2[[#This Row],[AGRUPADOR]]&lt;&gt;"",VLOOKUP(Tabela2[[#This Row],[AGRUPADOR]],Tabela1[],4,0),"")</f>
        <v/>
      </c>
      <c r="F701" s="14"/>
      <c r="G701" s="6"/>
      <c r="H701" s="6"/>
      <c r="I701" s="25"/>
      <c r="J701" s="7"/>
      <c r="K701" s="15"/>
      <c r="L701" s="379">
        <f>IF(H701&lt;&gt;"",J701*K701,SUMIFS(L702:L$9844,$F702:$F$9844,"*"&amp;F701&amp;"*",$H702:$H$9844,"&lt;&gt;"))</f>
        <v>0</v>
      </c>
      <c r="M701" s="379" t="str">
        <f>IF(Tabela2[[#This Row],[UNID.]]&lt;&gt;"",IFERROR(VLOOKUP(Tabela2[[#This Row],[AGRUPADOR]],Lucratividade!$D$4:$O$129,6,0),0),"")</f>
        <v/>
      </c>
      <c r="N701" s="379">
        <f>IF(H701&lt;&gt;"",J701*M701*I701,SUMIFS(N702:N$9844,$F702:$F$9844,"*"&amp;F701&amp;"*",$H702:$H$9844,"&lt;&gt;"))</f>
        <v>0</v>
      </c>
      <c r="O701" s="162" t="str">
        <f>IFERROR((-Tabela2[[#This Row],[CUSTO TOTAL]]+Tabela2[[#This Row],[VENDA TOTAL]])/Tabela2[[#This Row],[VENDA TOTAL]]-PARAMETROS!$C$19,"")</f>
        <v/>
      </c>
      <c r="AA701" s="219">
        <f>SUM(Plan_Orc[[#This Row],[01/jan]:[01/dez]])</f>
        <v>0</v>
      </c>
      <c r="AB701" s="15"/>
      <c r="AC701" s="15"/>
      <c r="AD701" s="15"/>
      <c r="AE701" s="15"/>
      <c r="AF701" s="15"/>
      <c r="AG701" s="15"/>
      <c r="AH701" s="15"/>
      <c r="AI701" s="15"/>
      <c r="AJ701" s="15"/>
      <c r="AK701" s="15"/>
      <c r="AL701" s="15"/>
      <c r="AM701" s="15"/>
    </row>
    <row r="702" spans="2:39" ht="25.2" customHeight="1" x14ac:dyDescent="0.3">
      <c r="B702" s="13" t="str">
        <f t="shared" si="14"/>
        <v/>
      </c>
      <c r="C702" s="18"/>
      <c r="D702" s="19" t="str">
        <f>IF(Tabela2[[#This Row],[AGRUPADOR]]&lt;&gt;"",VLOOKUP(Tabela2[[#This Row],[AGRUPADOR]],Tabela1[],2,0),"")</f>
        <v/>
      </c>
      <c r="E702" s="19" t="str">
        <f>IF(Tabela2[[#This Row],[AGRUPADOR]]&lt;&gt;"",VLOOKUP(Tabela2[[#This Row],[AGRUPADOR]],Tabela1[],4,0),"")</f>
        <v/>
      </c>
      <c r="F702" s="14"/>
      <c r="G702" s="6"/>
      <c r="H702" s="6"/>
      <c r="I702" s="25"/>
      <c r="J702" s="7"/>
      <c r="K702" s="15"/>
      <c r="L702" s="379">
        <f>IF(H702&lt;&gt;"",J702*K702,SUMIFS(L703:L$9844,$F703:$F$9844,"*"&amp;F702&amp;"*",$H703:$H$9844,"&lt;&gt;"))</f>
        <v>0</v>
      </c>
      <c r="M702" s="379" t="str">
        <f>IF(Tabela2[[#This Row],[UNID.]]&lt;&gt;"",IFERROR(VLOOKUP(Tabela2[[#This Row],[AGRUPADOR]],Lucratividade!$D$4:$O$129,6,0),0),"")</f>
        <v/>
      </c>
      <c r="N702" s="379">
        <f>IF(H702&lt;&gt;"",J702*M702*I702,SUMIFS(N703:N$9844,$F703:$F$9844,"*"&amp;F702&amp;"*",$H703:$H$9844,"&lt;&gt;"))</f>
        <v>0</v>
      </c>
      <c r="O702" s="162" t="str">
        <f>IFERROR((-Tabela2[[#This Row],[CUSTO TOTAL]]+Tabela2[[#This Row],[VENDA TOTAL]])/Tabela2[[#This Row],[VENDA TOTAL]]-PARAMETROS!$C$19,"")</f>
        <v/>
      </c>
      <c r="AA702" s="219">
        <f>SUM(Plan_Orc[[#This Row],[01/jan]:[01/dez]])</f>
        <v>0</v>
      </c>
      <c r="AB702" s="15"/>
      <c r="AC702" s="15"/>
      <c r="AD702" s="15"/>
      <c r="AE702" s="15"/>
      <c r="AF702" s="15"/>
      <c r="AG702" s="15"/>
      <c r="AH702" s="15"/>
      <c r="AI702" s="15"/>
      <c r="AJ702" s="15"/>
      <c r="AK702" s="15"/>
      <c r="AL702" s="15"/>
      <c r="AM702" s="15"/>
    </row>
    <row r="703" spans="2:39" ht="25.2" customHeight="1" x14ac:dyDescent="0.3">
      <c r="B703" s="13" t="str">
        <f t="shared" si="14"/>
        <v/>
      </c>
      <c r="C703" s="18"/>
      <c r="D703" s="19" t="str">
        <f>IF(Tabela2[[#This Row],[AGRUPADOR]]&lt;&gt;"",VLOOKUP(Tabela2[[#This Row],[AGRUPADOR]],Tabela1[],2,0),"")</f>
        <v/>
      </c>
      <c r="E703" s="19" t="str">
        <f>IF(Tabela2[[#This Row],[AGRUPADOR]]&lt;&gt;"",VLOOKUP(Tabela2[[#This Row],[AGRUPADOR]],Tabela1[],4,0),"")</f>
        <v/>
      </c>
      <c r="F703" s="14"/>
      <c r="G703" s="6"/>
      <c r="H703" s="6"/>
      <c r="I703" s="25"/>
      <c r="J703" s="7"/>
      <c r="K703" s="15"/>
      <c r="L703" s="379">
        <f>IF(H703&lt;&gt;"",J703*K703,SUMIFS(L704:L$9844,$F704:$F$9844,"*"&amp;F703&amp;"*",$H704:$H$9844,"&lt;&gt;"))</f>
        <v>0</v>
      </c>
      <c r="M703" s="379" t="str">
        <f>IF(Tabela2[[#This Row],[UNID.]]&lt;&gt;"",IFERROR(VLOOKUP(Tabela2[[#This Row],[AGRUPADOR]],Lucratividade!$D$4:$O$129,6,0),0),"")</f>
        <v/>
      </c>
      <c r="N703" s="379">
        <f>IF(H703&lt;&gt;"",J703*M703*I703,SUMIFS(N704:N$9844,$F704:$F$9844,"*"&amp;F703&amp;"*",$H704:$H$9844,"&lt;&gt;"))</f>
        <v>0</v>
      </c>
      <c r="O703" s="162" t="str">
        <f>IFERROR((-Tabela2[[#This Row],[CUSTO TOTAL]]+Tabela2[[#This Row],[VENDA TOTAL]])/Tabela2[[#This Row],[VENDA TOTAL]]-PARAMETROS!$C$19,"")</f>
        <v/>
      </c>
      <c r="AA703" s="219">
        <f>SUM(Plan_Orc[[#This Row],[01/jan]:[01/dez]])</f>
        <v>0</v>
      </c>
      <c r="AB703" s="15"/>
      <c r="AC703" s="15"/>
      <c r="AD703" s="15"/>
      <c r="AE703" s="15"/>
      <c r="AF703" s="15"/>
      <c r="AG703" s="15"/>
      <c r="AH703" s="15"/>
      <c r="AI703" s="15"/>
      <c r="AJ703" s="15"/>
      <c r="AK703" s="15"/>
      <c r="AL703" s="15"/>
      <c r="AM703" s="15"/>
    </row>
    <row r="704" spans="2:39" ht="25.2" customHeight="1" x14ac:dyDescent="0.3">
      <c r="B704" s="13" t="str">
        <f t="shared" si="14"/>
        <v/>
      </c>
      <c r="C704" s="18"/>
      <c r="D704" s="19" t="str">
        <f>IF(Tabela2[[#This Row],[AGRUPADOR]]&lt;&gt;"",VLOOKUP(Tabela2[[#This Row],[AGRUPADOR]],Tabela1[],2,0),"")</f>
        <v/>
      </c>
      <c r="E704" s="19" t="str">
        <f>IF(Tabela2[[#This Row],[AGRUPADOR]]&lt;&gt;"",VLOOKUP(Tabela2[[#This Row],[AGRUPADOR]],Tabela1[],4,0),"")</f>
        <v/>
      </c>
      <c r="F704" s="14"/>
      <c r="G704" s="6"/>
      <c r="H704" s="6"/>
      <c r="I704" s="25"/>
      <c r="J704" s="7"/>
      <c r="K704" s="15"/>
      <c r="L704" s="379">
        <f>IF(H704&lt;&gt;"",J704*K704,SUMIFS(L705:L$9844,$F705:$F$9844,"*"&amp;F704&amp;"*",$H705:$H$9844,"&lt;&gt;"))</f>
        <v>0</v>
      </c>
      <c r="M704" s="379" t="str">
        <f>IF(Tabela2[[#This Row],[UNID.]]&lt;&gt;"",IFERROR(VLOOKUP(Tabela2[[#This Row],[AGRUPADOR]],Lucratividade!$D$4:$O$129,6,0),0),"")</f>
        <v/>
      </c>
      <c r="N704" s="379">
        <f>IF(H704&lt;&gt;"",J704*M704*I704,SUMIFS(N705:N$9844,$F705:$F$9844,"*"&amp;F704&amp;"*",$H705:$H$9844,"&lt;&gt;"))</f>
        <v>0</v>
      </c>
      <c r="O704" s="162" t="str">
        <f>IFERROR((-Tabela2[[#This Row],[CUSTO TOTAL]]+Tabela2[[#This Row],[VENDA TOTAL]])/Tabela2[[#This Row],[VENDA TOTAL]]-PARAMETROS!$C$19,"")</f>
        <v/>
      </c>
      <c r="AA704" s="219">
        <f>SUM(Plan_Orc[[#This Row],[01/jan]:[01/dez]])</f>
        <v>0</v>
      </c>
      <c r="AB704" s="15"/>
      <c r="AC704" s="15"/>
      <c r="AD704" s="15"/>
      <c r="AE704" s="15"/>
      <c r="AF704" s="15"/>
      <c r="AG704" s="15"/>
      <c r="AH704" s="15"/>
      <c r="AI704" s="15"/>
      <c r="AJ704" s="15"/>
      <c r="AK704" s="15"/>
      <c r="AL704" s="15"/>
      <c r="AM704" s="15"/>
    </row>
    <row r="705" spans="2:39" ht="25.2" customHeight="1" x14ac:dyDescent="0.3">
      <c r="B705" s="13" t="str">
        <f t="shared" si="14"/>
        <v/>
      </c>
      <c r="C705" s="18"/>
      <c r="D705" s="19" t="str">
        <f>IF(Tabela2[[#This Row],[AGRUPADOR]]&lt;&gt;"",VLOOKUP(Tabela2[[#This Row],[AGRUPADOR]],Tabela1[],2,0),"")</f>
        <v/>
      </c>
      <c r="E705" s="19" t="str">
        <f>IF(Tabela2[[#This Row],[AGRUPADOR]]&lt;&gt;"",VLOOKUP(Tabela2[[#This Row],[AGRUPADOR]],Tabela1[],4,0),"")</f>
        <v/>
      </c>
      <c r="F705" s="14"/>
      <c r="G705" s="6"/>
      <c r="H705" s="6"/>
      <c r="I705" s="25"/>
      <c r="J705" s="7"/>
      <c r="K705" s="15"/>
      <c r="L705" s="379">
        <f>IF(H705&lt;&gt;"",J705*K705,SUMIFS(L706:L$9844,$F706:$F$9844,"*"&amp;F705&amp;"*",$H706:$H$9844,"&lt;&gt;"))</f>
        <v>0</v>
      </c>
      <c r="M705" s="379" t="str">
        <f>IF(Tabela2[[#This Row],[UNID.]]&lt;&gt;"",IFERROR(VLOOKUP(Tabela2[[#This Row],[AGRUPADOR]],Lucratividade!$D$4:$O$129,6,0),0),"")</f>
        <v/>
      </c>
      <c r="N705" s="379">
        <f>IF(H705&lt;&gt;"",J705*M705*I705,SUMIFS(N706:N$9844,$F706:$F$9844,"*"&amp;F705&amp;"*",$H706:$H$9844,"&lt;&gt;"))</f>
        <v>0</v>
      </c>
      <c r="O705" s="162" t="str">
        <f>IFERROR((-Tabela2[[#This Row],[CUSTO TOTAL]]+Tabela2[[#This Row],[VENDA TOTAL]])/Tabela2[[#This Row],[VENDA TOTAL]]-PARAMETROS!$C$19,"")</f>
        <v/>
      </c>
      <c r="AA705" s="219">
        <f>SUM(Plan_Orc[[#This Row],[01/jan]:[01/dez]])</f>
        <v>0</v>
      </c>
      <c r="AB705" s="15"/>
      <c r="AC705" s="15"/>
      <c r="AD705" s="15"/>
      <c r="AE705" s="15"/>
      <c r="AF705" s="15"/>
      <c r="AG705" s="15"/>
      <c r="AH705" s="15"/>
      <c r="AI705" s="15"/>
      <c r="AJ705" s="15"/>
      <c r="AK705" s="15"/>
      <c r="AL705" s="15"/>
      <c r="AM705" s="15"/>
    </row>
    <row r="706" spans="2:39" ht="25.2" customHeight="1" x14ac:dyDescent="0.3">
      <c r="B706" s="13" t="str">
        <f t="shared" si="14"/>
        <v/>
      </c>
      <c r="C706" s="18"/>
      <c r="D706" s="19" t="str">
        <f>IF(Tabela2[[#This Row],[AGRUPADOR]]&lt;&gt;"",VLOOKUP(Tabela2[[#This Row],[AGRUPADOR]],Tabela1[],2,0),"")</f>
        <v/>
      </c>
      <c r="E706" s="19" t="str">
        <f>IF(Tabela2[[#This Row],[AGRUPADOR]]&lt;&gt;"",VLOOKUP(Tabela2[[#This Row],[AGRUPADOR]],Tabela1[],4,0),"")</f>
        <v/>
      </c>
      <c r="F706" s="14"/>
      <c r="G706" s="6"/>
      <c r="H706" s="6"/>
      <c r="I706" s="25"/>
      <c r="J706" s="7"/>
      <c r="K706" s="15"/>
      <c r="L706" s="379">
        <f>IF(H706&lt;&gt;"",J706*K706,SUMIFS(L707:L$9844,$F707:$F$9844,"*"&amp;F706&amp;"*",$H707:$H$9844,"&lt;&gt;"))</f>
        <v>0</v>
      </c>
      <c r="M706" s="379" t="str">
        <f>IF(Tabela2[[#This Row],[UNID.]]&lt;&gt;"",IFERROR(VLOOKUP(Tabela2[[#This Row],[AGRUPADOR]],Lucratividade!$D$4:$O$129,6,0),0),"")</f>
        <v/>
      </c>
      <c r="N706" s="379">
        <f>IF(H706&lt;&gt;"",J706*M706*I706,SUMIFS(N707:N$9844,$F707:$F$9844,"*"&amp;F706&amp;"*",$H707:$H$9844,"&lt;&gt;"))</f>
        <v>0</v>
      </c>
      <c r="O706" s="162" t="str">
        <f>IFERROR((-Tabela2[[#This Row],[CUSTO TOTAL]]+Tabela2[[#This Row],[VENDA TOTAL]])/Tabela2[[#This Row],[VENDA TOTAL]]-PARAMETROS!$C$19,"")</f>
        <v/>
      </c>
      <c r="AA706" s="219">
        <f>SUM(Plan_Orc[[#This Row],[01/jan]:[01/dez]])</f>
        <v>0</v>
      </c>
      <c r="AB706" s="15"/>
      <c r="AC706" s="15"/>
      <c r="AD706" s="15"/>
      <c r="AE706" s="15"/>
      <c r="AF706" s="15"/>
      <c r="AG706" s="15"/>
      <c r="AH706" s="15"/>
      <c r="AI706" s="15"/>
      <c r="AJ706" s="15"/>
      <c r="AK706" s="15"/>
      <c r="AL706" s="15"/>
      <c r="AM706" s="15"/>
    </row>
    <row r="707" spans="2:39" ht="25.2" customHeight="1" x14ac:dyDescent="0.3">
      <c r="B707" s="13" t="str">
        <f t="shared" si="14"/>
        <v/>
      </c>
      <c r="C707" s="18"/>
      <c r="D707" s="19" t="str">
        <f>IF(Tabela2[[#This Row],[AGRUPADOR]]&lt;&gt;"",VLOOKUP(Tabela2[[#This Row],[AGRUPADOR]],Tabela1[],2,0),"")</f>
        <v/>
      </c>
      <c r="E707" s="19" t="str">
        <f>IF(Tabela2[[#This Row],[AGRUPADOR]]&lt;&gt;"",VLOOKUP(Tabela2[[#This Row],[AGRUPADOR]],Tabela1[],4,0),"")</f>
        <v/>
      </c>
      <c r="F707" s="14"/>
      <c r="G707" s="6"/>
      <c r="H707" s="6"/>
      <c r="I707" s="25"/>
      <c r="J707" s="7"/>
      <c r="K707" s="15"/>
      <c r="L707" s="379">
        <f>IF(H707&lt;&gt;"",J707*K707,SUMIFS(L708:L$9844,$F708:$F$9844,"*"&amp;F707&amp;"*",$H708:$H$9844,"&lt;&gt;"))</f>
        <v>0</v>
      </c>
      <c r="M707" s="379" t="str">
        <f>IF(Tabela2[[#This Row],[UNID.]]&lt;&gt;"",IFERROR(VLOOKUP(Tabela2[[#This Row],[AGRUPADOR]],Lucratividade!$D$4:$O$129,6,0),0),"")</f>
        <v/>
      </c>
      <c r="N707" s="379">
        <f>IF(H707&lt;&gt;"",J707*M707*I707,SUMIFS(N708:N$9844,$F708:$F$9844,"*"&amp;F707&amp;"*",$H708:$H$9844,"&lt;&gt;"))</f>
        <v>0</v>
      </c>
      <c r="O707" s="162" t="str">
        <f>IFERROR((-Tabela2[[#This Row],[CUSTO TOTAL]]+Tabela2[[#This Row],[VENDA TOTAL]])/Tabela2[[#This Row],[VENDA TOTAL]]-PARAMETROS!$C$19,"")</f>
        <v/>
      </c>
      <c r="AA707" s="219">
        <f>SUM(Plan_Orc[[#This Row],[01/jan]:[01/dez]])</f>
        <v>0</v>
      </c>
      <c r="AB707" s="15"/>
      <c r="AC707" s="15"/>
      <c r="AD707" s="15"/>
      <c r="AE707" s="15"/>
      <c r="AF707" s="15"/>
      <c r="AG707" s="15"/>
      <c r="AH707" s="15"/>
      <c r="AI707" s="15"/>
      <c r="AJ707" s="15"/>
      <c r="AK707" s="15"/>
      <c r="AL707" s="15"/>
      <c r="AM707" s="15"/>
    </row>
    <row r="708" spans="2:39" ht="25.2" customHeight="1" x14ac:dyDescent="0.3">
      <c r="B708" s="13" t="str">
        <f t="shared" ref="B708:B771" si="15">IF(LEN(F708)=3,1,"")</f>
        <v/>
      </c>
      <c r="C708" s="18"/>
      <c r="D708" s="19" t="str">
        <f>IF(Tabela2[[#This Row],[AGRUPADOR]]&lt;&gt;"",VLOOKUP(Tabela2[[#This Row],[AGRUPADOR]],Tabela1[],2,0),"")</f>
        <v/>
      </c>
      <c r="E708" s="19" t="str">
        <f>IF(Tabela2[[#This Row],[AGRUPADOR]]&lt;&gt;"",VLOOKUP(Tabela2[[#This Row],[AGRUPADOR]],Tabela1[],4,0),"")</f>
        <v/>
      </c>
      <c r="F708" s="14"/>
      <c r="G708" s="6"/>
      <c r="H708" s="6"/>
      <c r="I708" s="25"/>
      <c r="J708" s="7"/>
      <c r="K708" s="15"/>
      <c r="L708" s="379">
        <f>IF(H708&lt;&gt;"",J708*K708,SUMIFS(L709:L$9844,$F709:$F$9844,"*"&amp;F708&amp;"*",$H709:$H$9844,"&lt;&gt;"))</f>
        <v>0</v>
      </c>
      <c r="M708" s="379" t="str">
        <f>IF(Tabela2[[#This Row],[UNID.]]&lt;&gt;"",IFERROR(VLOOKUP(Tabela2[[#This Row],[AGRUPADOR]],Lucratividade!$D$4:$O$129,6,0),0),"")</f>
        <v/>
      </c>
      <c r="N708" s="379">
        <f>IF(H708&lt;&gt;"",J708*M708*I708,SUMIFS(N709:N$9844,$F709:$F$9844,"*"&amp;F708&amp;"*",$H709:$H$9844,"&lt;&gt;"))</f>
        <v>0</v>
      </c>
      <c r="O708" s="162" t="str">
        <f>IFERROR((-Tabela2[[#This Row],[CUSTO TOTAL]]+Tabela2[[#This Row],[VENDA TOTAL]])/Tabela2[[#This Row],[VENDA TOTAL]]-PARAMETROS!$C$19,"")</f>
        <v/>
      </c>
      <c r="AA708" s="219">
        <f>SUM(Plan_Orc[[#This Row],[01/jan]:[01/dez]])</f>
        <v>0</v>
      </c>
      <c r="AB708" s="15"/>
      <c r="AC708" s="15"/>
      <c r="AD708" s="15"/>
      <c r="AE708" s="15"/>
      <c r="AF708" s="15"/>
      <c r="AG708" s="15"/>
      <c r="AH708" s="15"/>
      <c r="AI708" s="15"/>
      <c r="AJ708" s="15"/>
      <c r="AK708" s="15"/>
      <c r="AL708" s="15"/>
      <c r="AM708" s="15"/>
    </row>
    <row r="709" spans="2:39" ht="25.2" customHeight="1" x14ac:dyDescent="0.3">
      <c r="B709" s="13" t="str">
        <f t="shared" si="15"/>
        <v/>
      </c>
      <c r="C709" s="18"/>
      <c r="D709" s="19" t="str">
        <f>IF(Tabela2[[#This Row],[AGRUPADOR]]&lt;&gt;"",VLOOKUP(Tabela2[[#This Row],[AGRUPADOR]],Tabela1[],2,0),"")</f>
        <v/>
      </c>
      <c r="E709" s="19" t="str">
        <f>IF(Tabela2[[#This Row],[AGRUPADOR]]&lt;&gt;"",VLOOKUP(Tabela2[[#This Row],[AGRUPADOR]],Tabela1[],4,0),"")</f>
        <v/>
      </c>
      <c r="F709" s="14"/>
      <c r="G709" s="6"/>
      <c r="H709" s="6"/>
      <c r="I709" s="25"/>
      <c r="J709" s="7"/>
      <c r="K709" s="15"/>
      <c r="L709" s="379">
        <f>IF(H709&lt;&gt;"",J709*K709,SUMIFS(L710:L$9844,$F710:$F$9844,"*"&amp;F709&amp;"*",$H710:$H$9844,"&lt;&gt;"))</f>
        <v>0</v>
      </c>
      <c r="M709" s="379" t="str">
        <f>IF(Tabela2[[#This Row],[UNID.]]&lt;&gt;"",IFERROR(VLOOKUP(Tabela2[[#This Row],[AGRUPADOR]],Lucratividade!$D$4:$O$129,6,0),0),"")</f>
        <v/>
      </c>
      <c r="N709" s="379">
        <f>IF(H709&lt;&gt;"",J709*M709*I709,SUMIFS(N710:N$9844,$F710:$F$9844,"*"&amp;F709&amp;"*",$H710:$H$9844,"&lt;&gt;"))</f>
        <v>0</v>
      </c>
      <c r="O709" s="162" t="str">
        <f>IFERROR((-Tabela2[[#This Row],[CUSTO TOTAL]]+Tabela2[[#This Row],[VENDA TOTAL]])/Tabela2[[#This Row],[VENDA TOTAL]]-PARAMETROS!$C$19,"")</f>
        <v/>
      </c>
      <c r="AA709" s="219">
        <f>SUM(Plan_Orc[[#This Row],[01/jan]:[01/dez]])</f>
        <v>0</v>
      </c>
      <c r="AB709" s="15"/>
      <c r="AC709" s="15"/>
      <c r="AD709" s="15"/>
      <c r="AE709" s="15"/>
      <c r="AF709" s="15"/>
      <c r="AG709" s="15"/>
      <c r="AH709" s="15"/>
      <c r="AI709" s="15"/>
      <c r="AJ709" s="15"/>
      <c r="AK709" s="15"/>
      <c r="AL709" s="15"/>
      <c r="AM709" s="15"/>
    </row>
    <row r="710" spans="2:39" ht="25.2" customHeight="1" x14ac:dyDescent="0.3">
      <c r="B710" s="13" t="str">
        <f t="shared" si="15"/>
        <v/>
      </c>
      <c r="C710" s="18"/>
      <c r="D710" s="19" t="str">
        <f>IF(Tabela2[[#This Row],[AGRUPADOR]]&lt;&gt;"",VLOOKUP(Tabela2[[#This Row],[AGRUPADOR]],Tabela1[],2,0),"")</f>
        <v/>
      </c>
      <c r="E710" s="19" t="str">
        <f>IF(Tabela2[[#This Row],[AGRUPADOR]]&lt;&gt;"",VLOOKUP(Tabela2[[#This Row],[AGRUPADOR]],Tabela1[],4,0),"")</f>
        <v/>
      </c>
      <c r="F710" s="14"/>
      <c r="G710" s="6"/>
      <c r="H710" s="6"/>
      <c r="I710" s="25"/>
      <c r="J710" s="7"/>
      <c r="K710" s="15"/>
      <c r="L710" s="379">
        <f>IF(H710&lt;&gt;"",J710*K710,SUMIFS(L711:L$9844,$F711:$F$9844,"*"&amp;F710&amp;"*",$H711:$H$9844,"&lt;&gt;"))</f>
        <v>0</v>
      </c>
      <c r="M710" s="379" t="str">
        <f>IF(Tabela2[[#This Row],[UNID.]]&lt;&gt;"",IFERROR(VLOOKUP(Tabela2[[#This Row],[AGRUPADOR]],Lucratividade!$D$4:$O$129,6,0),0),"")</f>
        <v/>
      </c>
      <c r="N710" s="379">
        <f>IF(H710&lt;&gt;"",J710*M710*I710,SUMIFS(N711:N$9844,$F711:$F$9844,"*"&amp;F710&amp;"*",$H711:$H$9844,"&lt;&gt;"))</f>
        <v>0</v>
      </c>
      <c r="O710" s="162" t="str">
        <f>IFERROR((-Tabela2[[#This Row],[CUSTO TOTAL]]+Tabela2[[#This Row],[VENDA TOTAL]])/Tabela2[[#This Row],[VENDA TOTAL]]-PARAMETROS!$C$19,"")</f>
        <v/>
      </c>
      <c r="AA710" s="219">
        <f>SUM(Plan_Orc[[#This Row],[01/jan]:[01/dez]])</f>
        <v>0</v>
      </c>
      <c r="AB710" s="15"/>
      <c r="AC710" s="15"/>
      <c r="AD710" s="15"/>
      <c r="AE710" s="15"/>
      <c r="AF710" s="15"/>
      <c r="AG710" s="15"/>
      <c r="AH710" s="15"/>
      <c r="AI710" s="15"/>
      <c r="AJ710" s="15"/>
      <c r="AK710" s="15"/>
      <c r="AL710" s="15"/>
      <c r="AM710" s="15"/>
    </row>
    <row r="711" spans="2:39" ht="25.2" customHeight="1" x14ac:dyDescent="0.3">
      <c r="B711" s="13" t="str">
        <f t="shared" si="15"/>
        <v/>
      </c>
      <c r="C711" s="18"/>
      <c r="D711" s="19" t="str">
        <f>IF(Tabela2[[#This Row],[AGRUPADOR]]&lt;&gt;"",VLOOKUP(Tabela2[[#This Row],[AGRUPADOR]],Tabela1[],2,0),"")</f>
        <v/>
      </c>
      <c r="E711" s="19" t="str">
        <f>IF(Tabela2[[#This Row],[AGRUPADOR]]&lt;&gt;"",VLOOKUP(Tabela2[[#This Row],[AGRUPADOR]],Tabela1[],4,0),"")</f>
        <v/>
      </c>
      <c r="F711" s="14"/>
      <c r="G711" s="6"/>
      <c r="H711" s="6"/>
      <c r="I711" s="25"/>
      <c r="J711" s="7"/>
      <c r="K711" s="15"/>
      <c r="L711" s="379">
        <f>IF(H711&lt;&gt;"",J711*K711,SUMIFS(L712:L$9844,$F712:$F$9844,"*"&amp;F711&amp;"*",$H712:$H$9844,"&lt;&gt;"))</f>
        <v>0</v>
      </c>
      <c r="M711" s="379" t="str">
        <f>IF(Tabela2[[#This Row],[UNID.]]&lt;&gt;"",IFERROR(VLOOKUP(Tabela2[[#This Row],[AGRUPADOR]],Lucratividade!$D$4:$O$129,6,0),0),"")</f>
        <v/>
      </c>
      <c r="N711" s="379">
        <f>IF(H711&lt;&gt;"",J711*M711*I711,SUMIFS(N712:N$9844,$F712:$F$9844,"*"&amp;F711&amp;"*",$H712:$H$9844,"&lt;&gt;"))</f>
        <v>0</v>
      </c>
      <c r="O711" s="162" t="str">
        <f>IFERROR((-Tabela2[[#This Row],[CUSTO TOTAL]]+Tabela2[[#This Row],[VENDA TOTAL]])/Tabela2[[#This Row],[VENDA TOTAL]]-PARAMETROS!$C$19,"")</f>
        <v/>
      </c>
      <c r="AA711" s="219">
        <f>SUM(Plan_Orc[[#This Row],[01/jan]:[01/dez]])</f>
        <v>0</v>
      </c>
      <c r="AB711" s="15"/>
      <c r="AC711" s="15"/>
      <c r="AD711" s="15"/>
      <c r="AE711" s="15"/>
      <c r="AF711" s="15"/>
      <c r="AG711" s="15"/>
      <c r="AH711" s="15"/>
      <c r="AI711" s="15"/>
      <c r="AJ711" s="15"/>
      <c r="AK711" s="15"/>
      <c r="AL711" s="15"/>
      <c r="AM711" s="15"/>
    </row>
    <row r="712" spans="2:39" ht="25.2" customHeight="1" x14ac:dyDescent="0.3">
      <c r="B712" s="13" t="str">
        <f t="shared" si="15"/>
        <v/>
      </c>
      <c r="C712" s="18"/>
      <c r="D712" s="19" t="str">
        <f>IF(Tabela2[[#This Row],[AGRUPADOR]]&lt;&gt;"",VLOOKUP(Tabela2[[#This Row],[AGRUPADOR]],Tabela1[],2,0),"")</f>
        <v/>
      </c>
      <c r="E712" s="19" t="str">
        <f>IF(Tabela2[[#This Row],[AGRUPADOR]]&lt;&gt;"",VLOOKUP(Tabela2[[#This Row],[AGRUPADOR]],Tabela1[],4,0),"")</f>
        <v/>
      </c>
      <c r="F712" s="14"/>
      <c r="G712" s="6"/>
      <c r="H712" s="6"/>
      <c r="I712" s="25"/>
      <c r="J712" s="7"/>
      <c r="K712" s="15"/>
      <c r="L712" s="379">
        <f>IF(H712&lt;&gt;"",J712*K712,SUMIFS(L713:L$9844,$F713:$F$9844,"*"&amp;F712&amp;"*",$H713:$H$9844,"&lt;&gt;"))</f>
        <v>0</v>
      </c>
      <c r="M712" s="379" t="str">
        <f>IF(Tabela2[[#This Row],[UNID.]]&lt;&gt;"",IFERROR(VLOOKUP(Tabela2[[#This Row],[AGRUPADOR]],Lucratividade!$D$4:$O$129,6,0),0),"")</f>
        <v/>
      </c>
      <c r="N712" s="379">
        <f>IF(H712&lt;&gt;"",J712*M712*I712,SUMIFS(N713:N$9844,$F713:$F$9844,"*"&amp;F712&amp;"*",$H713:$H$9844,"&lt;&gt;"))</f>
        <v>0</v>
      </c>
      <c r="O712" s="162" t="str">
        <f>IFERROR((-Tabela2[[#This Row],[CUSTO TOTAL]]+Tabela2[[#This Row],[VENDA TOTAL]])/Tabela2[[#This Row],[VENDA TOTAL]]-PARAMETROS!$C$19,"")</f>
        <v/>
      </c>
      <c r="AA712" s="219">
        <f>SUM(Plan_Orc[[#This Row],[01/jan]:[01/dez]])</f>
        <v>0</v>
      </c>
      <c r="AB712" s="15"/>
      <c r="AC712" s="15"/>
      <c r="AD712" s="15"/>
      <c r="AE712" s="15"/>
      <c r="AF712" s="15"/>
      <c r="AG712" s="15"/>
      <c r="AH712" s="15"/>
      <c r="AI712" s="15"/>
      <c r="AJ712" s="15"/>
      <c r="AK712" s="15"/>
      <c r="AL712" s="15"/>
      <c r="AM712" s="15"/>
    </row>
    <row r="713" spans="2:39" ht="25.2" customHeight="1" x14ac:dyDescent="0.3">
      <c r="B713" s="13" t="str">
        <f t="shared" si="15"/>
        <v/>
      </c>
      <c r="C713" s="18"/>
      <c r="D713" s="19" t="str">
        <f>IF(Tabela2[[#This Row],[AGRUPADOR]]&lt;&gt;"",VLOOKUP(Tabela2[[#This Row],[AGRUPADOR]],Tabela1[],2,0),"")</f>
        <v/>
      </c>
      <c r="E713" s="19" t="str">
        <f>IF(Tabela2[[#This Row],[AGRUPADOR]]&lt;&gt;"",VLOOKUP(Tabela2[[#This Row],[AGRUPADOR]],Tabela1[],4,0),"")</f>
        <v/>
      </c>
      <c r="F713" s="14"/>
      <c r="G713" s="6"/>
      <c r="H713" s="6"/>
      <c r="I713" s="25"/>
      <c r="J713" s="7"/>
      <c r="K713" s="15"/>
      <c r="L713" s="379">
        <f>IF(H713&lt;&gt;"",J713*K713,SUMIFS(L714:L$9844,$F714:$F$9844,"*"&amp;F713&amp;"*",$H714:$H$9844,"&lt;&gt;"))</f>
        <v>0</v>
      </c>
      <c r="M713" s="379" t="str">
        <f>IF(Tabela2[[#This Row],[UNID.]]&lt;&gt;"",IFERROR(VLOOKUP(Tabela2[[#This Row],[AGRUPADOR]],Lucratividade!$D$4:$O$129,6,0),0),"")</f>
        <v/>
      </c>
      <c r="N713" s="379">
        <f>IF(H713&lt;&gt;"",J713*M713*I713,SUMIFS(N714:N$9844,$F714:$F$9844,"*"&amp;F713&amp;"*",$H714:$H$9844,"&lt;&gt;"))</f>
        <v>0</v>
      </c>
      <c r="O713" s="162" t="str">
        <f>IFERROR((-Tabela2[[#This Row],[CUSTO TOTAL]]+Tabela2[[#This Row],[VENDA TOTAL]])/Tabela2[[#This Row],[VENDA TOTAL]]-PARAMETROS!$C$19,"")</f>
        <v/>
      </c>
      <c r="AA713" s="219">
        <f>SUM(Plan_Orc[[#This Row],[01/jan]:[01/dez]])</f>
        <v>0</v>
      </c>
      <c r="AB713" s="15"/>
      <c r="AC713" s="15"/>
      <c r="AD713" s="15"/>
      <c r="AE713" s="15"/>
      <c r="AF713" s="15"/>
      <c r="AG713" s="15"/>
      <c r="AH713" s="15"/>
      <c r="AI713" s="15"/>
      <c r="AJ713" s="15"/>
      <c r="AK713" s="15"/>
      <c r="AL713" s="15"/>
      <c r="AM713" s="15"/>
    </row>
    <row r="714" spans="2:39" ht="25.2" customHeight="1" x14ac:dyDescent="0.3">
      <c r="B714" s="13" t="str">
        <f t="shared" si="15"/>
        <v/>
      </c>
      <c r="C714" s="18"/>
      <c r="D714" s="19" t="str">
        <f>IF(Tabela2[[#This Row],[AGRUPADOR]]&lt;&gt;"",VLOOKUP(Tabela2[[#This Row],[AGRUPADOR]],Tabela1[],2,0),"")</f>
        <v/>
      </c>
      <c r="E714" s="19" t="str">
        <f>IF(Tabela2[[#This Row],[AGRUPADOR]]&lt;&gt;"",VLOOKUP(Tabela2[[#This Row],[AGRUPADOR]],Tabela1[],4,0),"")</f>
        <v/>
      </c>
      <c r="F714" s="14"/>
      <c r="G714" s="6"/>
      <c r="H714" s="6"/>
      <c r="I714" s="25"/>
      <c r="J714" s="7"/>
      <c r="K714" s="15"/>
      <c r="L714" s="379">
        <f>IF(H714&lt;&gt;"",J714*K714,SUMIFS(L715:L$9844,$F715:$F$9844,"*"&amp;F714&amp;"*",$H715:$H$9844,"&lt;&gt;"))</f>
        <v>0</v>
      </c>
      <c r="M714" s="379" t="str">
        <f>IF(Tabela2[[#This Row],[UNID.]]&lt;&gt;"",IFERROR(VLOOKUP(Tabela2[[#This Row],[AGRUPADOR]],Lucratividade!$D$4:$O$129,6,0),0),"")</f>
        <v/>
      </c>
      <c r="N714" s="379">
        <f>IF(H714&lt;&gt;"",J714*M714*I714,SUMIFS(N715:N$9844,$F715:$F$9844,"*"&amp;F714&amp;"*",$H715:$H$9844,"&lt;&gt;"))</f>
        <v>0</v>
      </c>
      <c r="O714" s="162" t="str">
        <f>IFERROR((-Tabela2[[#This Row],[CUSTO TOTAL]]+Tabela2[[#This Row],[VENDA TOTAL]])/Tabela2[[#This Row],[VENDA TOTAL]]-PARAMETROS!$C$19,"")</f>
        <v/>
      </c>
      <c r="AA714" s="219">
        <f>SUM(Plan_Orc[[#This Row],[01/jan]:[01/dez]])</f>
        <v>0</v>
      </c>
      <c r="AB714" s="15"/>
      <c r="AC714" s="15"/>
      <c r="AD714" s="15"/>
      <c r="AE714" s="15"/>
      <c r="AF714" s="15"/>
      <c r="AG714" s="15"/>
      <c r="AH714" s="15"/>
      <c r="AI714" s="15"/>
      <c r="AJ714" s="15"/>
      <c r="AK714" s="15"/>
      <c r="AL714" s="15"/>
      <c r="AM714" s="15"/>
    </row>
    <row r="715" spans="2:39" ht="25.2" customHeight="1" x14ac:dyDescent="0.3">
      <c r="B715" s="13" t="str">
        <f t="shared" si="15"/>
        <v/>
      </c>
      <c r="C715" s="18"/>
      <c r="D715" s="19" t="str">
        <f>IF(Tabela2[[#This Row],[AGRUPADOR]]&lt;&gt;"",VLOOKUP(Tabela2[[#This Row],[AGRUPADOR]],Tabela1[],2,0),"")</f>
        <v/>
      </c>
      <c r="E715" s="19" t="str">
        <f>IF(Tabela2[[#This Row],[AGRUPADOR]]&lt;&gt;"",VLOOKUP(Tabela2[[#This Row],[AGRUPADOR]],Tabela1[],4,0),"")</f>
        <v/>
      </c>
      <c r="F715" s="14"/>
      <c r="G715" s="6"/>
      <c r="H715" s="6"/>
      <c r="I715" s="25"/>
      <c r="J715" s="7"/>
      <c r="K715" s="15"/>
      <c r="L715" s="379">
        <f>IF(H715&lt;&gt;"",J715*K715,SUMIFS(L716:L$9844,$F716:$F$9844,"*"&amp;F715&amp;"*",$H716:$H$9844,"&lt;&gt;"))</f>
        <v>0</v>
      </c>
      <c r="M715" s="379" t="str">
        <f>IF(Tabela2[[#This Row],[UNID.]]&lt;&gt;"",IFERROR(VLOOKUP(Tabela2[[#This Row],[AGRUPADOR]],Lucratividade!$D$4:$O$129,6,0),0),"")</f>
        <v/>
      </c>
      <c r="N715" s="379">
        <f>IF(H715&lt;&gt;"",J715*M715*I715,SUMIFS(N716:N$9844,$F716:$F$9844,"*"&amp;F715&amp;"*",$H716:$H$9844,"&lt;&gt;"))</f>
        <v>0</v>
      </c>
      <c r="O715" s="162" t="str">
        <f>IFERROR((-Tabela2[[#This Row],[CUSTO TOTAL]]+Tabela2[[#This Row],[VENDA TOTAL]])/Tabela2[[#This Row],[VENDA TOTAL]]-PARAMETROS!$C$19,"")</f>
        <v/>
      </c>
      <c r="AA715" s="219">
        <f>SUM(Plan_Orc[[#This Row],[01/jan]:[01/dez]])</f>
        <v>0</v>
      </c>
      <c r="AB715" s="15"/>
      <c r="AC715" s="15"/>
      <c r="AD715" s="15"/>
      <c r="AE715" s="15"/>
      <c r="AF715" s="15"/>
      <c r="AG715" s="15"/>
      <c r="AH715" s="15"/>
      <c r="AI715" s="15"/>
      <c r="AJ715" s="15"/>
      <c r="AK715" s="15"/>
      <c r="AL715" s="15"/>
      <c r="AM715" s="15"/>
    </row>
    <row r="716" spans="2:39" ht="25.2" customHeight="1" x14ac:dyDescent="0.3">
      <c r="B716" s="13" t="str">
        <f t="shared" si="15"/>
        <v/>
      </c>
      <c r="C716" s="18"/>
      <c r="D716" s="19" t="str">
        <f>IF(Tabela2[[#This Row],[AGRUPADOR]]&lt;&gt;"",VLOOKUP(Tabela2[[#This Row],[AGRUPADOR]],Tabela1[],2,0),"")</f>
        <v/>
      </c>
      <c r="E716" s="19" t="str">
        <f>IF(Tabela2[[#This Row],[AGRUPADOR]]&lt;&gt;"",VLOOKUP(Tabela2[[#This Row],[AGRUPADOR]],Tabela1[],4,0),"")</f>
        <v/>
      </c>
      <c r="F716" s="14"/>
      <c r="G716" s="6"/>
      <c r="H716" s="6"/>
      <c r="I716" s="25"/>
      <c r="J716" s="7"/>
      <c r="K716" s="15"/>
      <c r="L716" s="379">
        <f>IF(H716&lt;&gt;"",J716*K716,SUMIFS(L717:L$9844,$F717:$F$9844,"*"&amp;F716&amp;"*",$H717:$H$9844,"&lt;&gt;"))</f>
        <v>0</v>
      </c>
      <c r="M716" s="379" t="str">
        <f>IF(Tabela2[[#This Row],[UNID.]]&lt;&gt;"",IFERROR(VLOOKUP(Tabela2[[#This Row],[AGRUPADOR]],Lucratividade!$D$4:$O$129,6,0),0),"")</f>
        <v/>
      </c>
      <c r="N716" s="379">
        <f>IF(H716&lt;&gt;"",J716*M716*I716,SUMIFS(N717:N$9844,$F717:$F$9844,"*"&amp;F716&amp;"*",$H717:$H$9844,"&lt;&gt;"))</f>
        <v>0</v>
      </c>
      <c r="O716" s="162" t="str">
        <f>IFERROR((-Tabela2[[#This Row],[CUSTO TOTAL]]+Tabela2[[#This Row],[VENDA TOTAL]])/Tabela2[[#This Row],[VENDA TOTAL]]-PARAMETROS!$C$19,"")</f>
        <v/>
      </c>
      <c r="AA716" s="219">
        <f>SUM(Plan_Orc[[#This Row],[01/jan]:[01/dez]])</f>
        <v>0</v>
      </c>
      <c r="AB716" s="15"/>
      <c r="AC716" s="15"/>
      <c r="AD716" s="15"/>
      <c r="AE716" s="15"/>
      <c r="AF716" s="15"/>
      <c r="AG716" s="15"/>
      <c r="AH716" s="15"/>
      <c r="AI716" s="15"/>
      <c r="AJ716" s="15"/>
      <c r="AK716" s="15"/>
      <c r="AL716" s="15"/>
      <c r="AM716" s="15"/>
    </row>
    <row r="717" spans="2:39" ht="25.2" customHeight="1" x14ac:dyDescent="0.3">
      <c r="B717" s="13" t="str">
        <f t="shared" si="15"/>
        <v/>
      </c>
      <c r="C717" s="18"/>
      <c r="D717" s="19" t="str">
        <f>IF(Tabela2[[#This Row],[AGRUPADOR]]&lt;&gt;"",VLOOKUP(Tabela2[[#This Row],[AGRUPADOR]],Tabela1[],2,0),"")</f>
        <v/>
      </c>
      <c r="E717" s="19" t="str">
        <f>IF(Tabela2[[#This Row],[AGRUPADOR]]&lt;&gt;"",VLOOKUP(Tabela2[[#This Row],[AGRUPADOR]],Tabela1[],4,0),"")</f>
        <v/>
      </c>
      <c r="F717" s="14"/>
      <c r="G717" s="6"/>
      <c r="H717" s="6"/>
      <c r="I717" s="25"/>
      <c r="J717" s="7"/>
      <c r="K717" s="15"/>
      <c r="L717" s="379">
        <f>IF(H717&lt;&gt;"",J717*K717,SUMIFS(L718:L$9844,$F718:$F$9844,"*"&amp;F717&amp;"*",$H718:$H$9844,"&lt;&gt;"))</f>
        <v>0</v>
      </c>
      <c r="M717" s="379" t="str">
        <f>IF(Tabela2[[#This Row],[UNID.]]&lt;&gt;"",IFERROR(VLOOKUP(Tabela2[[#This Row],[AGRUPADOR]],Lucratividade!$D$4:$O$129,6,0),0),"")</f>
        <v/>
      </c>
      <c r="N717" s="379">
        <f>IF(H717&lt;&gt;"",J717*M717*I717,SUMIFS(N718:N$9844,$F718:$F$9844,"*"&amp;F717&amp;"*",$H718:$H$9844,"&lt;&gt;"))</f>
        <v>0</v>
      </c>
      <c r="O717" s="162" t="str">
        <f>IFERROR((-Tabela2[[#This Row],[CUSTO TOTAL]]+Tabela2[[#This Row],[VENDA TOTAL]])/Tabela2[[#This Row],[VENDA TOTAL]]-PARAMETROS!$C$19,"")</f>
        <v/>
      </c>
      <c r="AA717" s="219">
        <f>SUM(Plan_Orc[[#This Row],[01/jan]:[01/dez]])</f>
        <v>0</v>
      </c>
      <c r="AB717" s="15"/>
      <c r="AC717" s="15"/>
      <c r="AD717" s="15"/>
      <c r="AE717" s="15"/>
      <c r="AF717" s="15"/>
      <c r="AG717" s="15"/>
      <c r="AH717" s="15"/>
      <c r="AI717" s="15"/>
      <c r="AJ717" s="15"/>
      <c r="AK717" s="15"/>
      <c r="AL717" s="15"/>
      <c r="AM717" s="15"/>
    </row>
    <row r="718" spans="2:39" ht="25.2" customHeight="1" x14ac:dyDescent="0.3">
      <c r="B718" s="13" t="str">
        <f t="shared" si="15"/>
        <v/>
      </c>
      <c r="C718" s="18"/>
      <c r="D718" s="19" t="str">
        <f>IF(Tabela2[[#This Row],[AGRUPADOR]]&lt;&gt;"",VLOOKUP(Tabela2[[#This Row],[AGRUPADOR]],Tabela1[],2,0),"")</f>
        <v/>
      </c>
      <c r="E718" s="19" t="str">
        <f>IF(Tabela2[[#This Row],[AGRUPADOR]]&lt;&gt;"",VLOOKUP(Tabela2[[#This Row],[AGRUPADOR]],Tabela1[],4,0),"")</f>
        <v/>
      </c>
      <c r="F718" s="14"/>
      <c r="G718" s="6"/>
      <c r="H718" s="6"/>
      <c r="I718" s="25"/>
      <c r="J718" s="7"/>
      <c r="K718" s="15"/>
      <c r="L718" s="379">
        <f>IF(H718&lt;&gt;"",J718*K718,SUMIFS(L719:L$9844,$F719:$F$9844,"*"&amp;F718&amp;"*",$H719:$H$9844,"&lt;&gt;"))</f>
        <v>0</v>
      </c>
      <c r="M718" s="379" t="str">
        <f>IF(Tabela2[[#This Row],[UNID.]]&lt;&gt;"",IFERROR(VLOOKUP(Tabela2[[#This Row],[AGRUPADOR]],Lucratividade!$D$4:$O$129,6,0),0),"")</f>
        <v/>
      </c>
      <c r="N718" s="379">
        <f>IF(H718&lt;&gt;"",J718*M718*I718,SUMIFS(N719:N$9844,$F719:$F$9844,"*"&amp;F718&amp;"*",$H719:$H$9844,"&lt;&gt;"))</f>
        <v>0</v>
      </c>
      <c r="O718" s="162" t="str">
        <f>IFERROR((-Tabela2[[#This Row],[CUSTO TOTAL]]+Tabela2[[#This Row],[VENDA TOTAL]])/Tabela2[[#This Row],[VENDA TOTAL]]-PARAMETROS!$C$19,"")</f>
        <v/>
      </c>
      <c r="AA718" s="219">
        <f>SUM(Plan_Orc[[#This Row],[01/jan]:[01/dez]])</f>
        <v>0</v>
      </c>
      <c r="AB718" s="15"/>
      <c r="AC718" s="15"/>
      <c r="AD718" s="15"/>
      <c r="AE718" s="15"/>
      <c r="AF718" s="15"/>
      <c r="AG718" s="15"/>
      <c r="AH718" s="15"/>
      <c r="AI718" s="15"/>
      <c r="AJ718" s="15"/>
      <c r="AK718" s="15"/>
      <c r="AL718" s="15"/>
      <c r="AM718" s="15"/>
    </row>
    <row r="719" spans="2:39" ht="25.2" customHeight="1" x14ac:dyDescent="0.3">
      <c r="B719" s="13" t="str">
        <f t="shared" si="15"/>
        <v/>
      </c>
      <c r="C719" s="18"/>
      <c r="D719" s="19" t="str">
        <f>IF(Tabela2[[#This Row],[AGRUPADOR]]&lt;&gt;"",VLOOKUP(Tabela2[[#This Row],[AGRUPADOR]],Tabela1[],2,0),"")</f>
        <v/>
      </c>
      <c r="E719" s="19" t="str">
        <f>IF(Tabela2[[#This Row],[AGRUPADOR]]&lt;&gt;"",VLOOKUP(Tabela2[[#This Row],[AGRUPADOR]],Tabela1[],4,0),"")</f>
        <v/>
      </c>
      <c r="F719" s="14"/>
      <c r="G719" s="6"/>
      <c r="H719" s="6"/>
      <c r="I719" s="25"/>
      <c r="J719" s="7"/>
      <c r="K719" s="15"/>
      <c r="L719" s="379">
        <f>IF(H719&lt;&gt;"",J719*K719,SUMIFS(L720:L$9844,$F720:$F$9844,"*"&amp;F719&amp;"*",$H720:$H$9844,"&lt;&gt;"))</f>
        <v>0</v>
      </c>
      <c r="M719" s="379" t="str">
        <f>IF(Tabela2[[#This Row],[UNID.]]&lt;&gt;"",IFERROR(VLOOKUP(Tabela2[[#This Row],[AGRUPADOR]],Lucratividade!$D$4:$O$129,6,0),0),"")</f>
        <v/>
      </c>
      <c r="N719" s="379">
        <f>IF(H719&lt;&gt;"",J719*M719*I719,SUMIFS(N720:N$9844,$F720:$F$9844,"*"&amp;F719&amp;"*",$H720:$H$9844,"&lt;&gt;"))</f>
        <v>0</v>
      </c>
      <c r="O719" s="162" t="str">
        <f>IFERROR((-Tabela2[[#This Row],[CUSTO TOTAL]]+Tabela2[[#This Row],[VENDA TOTAL]])/Tabela2[[#This Row],[VENDA TOTAL]]-PARAMETROS!$C$19,"")</f>
        <v/>
      </c>
      <c r="AA719" s="219">
        <f>SUM(Plan_Orc[[#This Row],[01/jan]:[01/dez]])</f>
        <v>0</v>
      </c>
      <c r="AB719" s="15"/>
      <c r="AC719" s="15"/>
      <c r="AD719" s="15"/>
      <c r="AE719" s="15"/>
      <c r="AF719" s="15"/>
      <c r="AG719" s="15"/>
      <c r="AH719" s="15"/>
      <c r="AI719" s="15"/>
      <c r="AJ719" s="15"/>
      <c r="AK719" s="15"/>
      <c r="AL719" s="15"/>
      <c r="AM719" s="15"/>
    </row>
    <row r="720" spans="2:39" ht="25.2" customHeight="1" x14ac:dyDescent="0.3">
      <c r="B720" s="13" t="str">
        <f t="shared" si="15"/>
        <v/>
      </c>
      <c r="C720" s="18"/>
      <c r="D720" s="19" t="str">
        <f>IF(Tabela2[[#This Row],[AGRUPADOR]]&lt;&gt;"",VLOOKUP(Tabela2[[#This Row],[AGRUPADOR]],Tabela1[],2,0),"")</f>
        <v/>
      </c>
      <c r="E720" s="19" t="str">
        <f>IF(Tabela2[[#This Row],[AGRUPADOR]]&lt;&gt;"",VLOOKUP(Tabela2[[#This Row],[AGRUPADOR]],Tabela1[],4,0),"")</f>
        <v/>
      </c>
      <c r="F720" s="14"/>
      <c r="G720" s="6"/>
      <c r="H720" s="6"/>
      <c r="I720" s="25"/>
      <c r="J720" s="7"/>
      <c r="K720" s="15"/>
      <c r="L720" s="379">
        <f>IF(H720&lt;&gt;"",J720*K720,SUMIFS(L721:L$9844,$F721:$F$9844,"*"&amp;F720&amp;"*",$H721:$H$9844,"&lt;&gt;"))</f>
        <v>0</v>
      </c>
      <c r="M720" s="379" t="str">
        <f>IF(Tabela2[[#This Row],[UNID.]]&lt;&gt;"",IFERROR(VLOOKUP(Tabela2[[#This Row],[AGRUPADOR]],Lucratividade!$D$4:$O$129,6,0),0),"")</f>
        <v/>
      </c>
      <c r="N720" s="379">
        <f>IF(H720&lt;&gt;"",J720*M720*I720,SUMIFS(N721:N$9844,$F721:$F$9844,"*"&amp;F720&amp;"*",$H721:$H$9844,"&lt;&gt;"))</f>
        <v>0</v>
      </c>
      <c r="O720" s="162" t="str">
        <f>IFERROR((-Tabela2[[#This Row],[CUSTO TOTAL]]+Tabela2[[#This Row],[VENDA TOTAL]])/Tabela2[[#This Row],[VENDA TOTAL]]-PARAMETROS!$C$19,"")</f>
        <v/>
      </c>
      <c r="AA720" s="219">
        <f>SUM(Plan_Orc[[#This Row],[01/jan]:[01/dez]])</f>
        <v>0</v>
      </c>
      <c r="AB720" s="15"/>
      <c r="AC720" s="15"/>
      <c r="AD720" s="15"/>
      <c r="AE720" s="15"/>
      <c r="AF720" s="15"/>
      <c r="AG720" s="15"/>
      <c r="AH720" s="15"/>
      <c r="AI720" s="15"/>
      <c r="AJ720" s="15"/>
      <c r="AK720" s="15"/>
      <c r="AL720" s="15"/>
      <c r="AM720" s="15"/>
    </row>
    <row r="721" spans="2:39" ht="25.2" customHeight="1" x14ac:dyDescent="0.3">
      <c r="B721" s="13" t="str">
        <f t="shared" si="15"/>
        <v/>
      </c>
      <c r="C721" s="18"/>
      <c r="D721" s="19" t="str">
        <f>IF(Tabela2[[#This Row],[AGRUPADOR]]&lt;&gt;"",VLOOKUP(Tabela2[[#This Row],[AGRUPADOR]],Tabela1[],2,0),"")</f>
        <v/>
      </c>
      <c r="E721" s="19" t="str">
        <f>IF(Tabela2[[#This Row],[AGRUPADOR]]&lt;&gt;"",VLOOKUP(Tabela2[[#This Row],[AGRUPADOR]],Tabela1[],4,0),"")</f>
        <v/>
      </c>
      <c r="F721" s="14"/>
      <c r="G721" s="6"/>
      <c r="H721" s="6"/>
      <c r="I721" s="25"/>
      <c r="J721" s="7"/>
      <c r="K721" s="15"/>
      <c r="L721" s="379">
        <f>IF(H721&lt;&gt;"",J721*K721,SUMIFS(L722:L$9844,$F722:$F$9844,"*"&amp;F721&amp;"*",$H722:$H$9844,"&lt;&gt;"))</f>
        <v>0</v>
      </c>
      <c r="M721" s="379" t="str">
        <f>IF(Tabela2[[#This Row],[UNID.]]&lt;&gt;"",IFERROR(VLOOKUP(Tabela2[[#This Row],[AGRUPADOR]],Lucratividade!$D$4:$O$129,6,0),0),"")</f>
        <v/>
      </c>
      <c r="N721" s="379">
        <f>IF(H721&lt;&gt;"",J721*M721*I721,SUMIFS(N722:N$9844,$F722:$F$9844,"*"&amp;F721&amp;"*",$H722:$H$9844,"&lt;&gt;"))</f>
        <v>0</v>
      </c>
      <c r="O721" s="162" t="str">
        <f>IFERROR((-Tabela2[[#This Row],[CUSTO TOTAL]]+Tabela2[[#This Row],[VENDA TOTAL]])/Tabela2[[#This Row],[VENDA TOTAL]]-PARAMETROS!$C$19,"")</f>
        <v/>
      </c>
      <c r="AA721" s="219">
        <f>SUM(Plan_Orc[[#This Row],[01/jan]:[01/dez]])</f>
        <v>0</v>
      </c>
      <c r="AB721" s="15"/>
      <c r="AC721" s="15"/>
      <c r="AD721" s="15"/>
      <c r="AE721" s="15"/>
      <c r="AF721" s="15"/>
      <c r="AG721" s="15"/>
      <c r="AH721" s="15"/>
      <c r="AI721" s="15"/>
      <c r="AJ721" s="15"/>
      <c r="AK721" s="15"/>
      <c r="AL721" s="15"/>
      <c r="AM721" s="15"/>
    </row>
    <row r="722" spans="2:39" ht="25.2" customHeight="1" x14ac:dyDescent="0.3">
      <c r="B722" s="13" t="str">
        <f t="shared" si="15"/>
        <v/>
      </c>
      <c r="C722" s="18"/>
      <c r="D722" s="19" t="str">
        <f>IF(Tabela2[[#This Row],[AGRUPADOR]]&lt;&gt;"",VLOOKUP(Tabela2[[#This Row],[AGRUPADOR]],Tabela1[],2,0),"")</f>
        <v/>
      </c>
      <c r="E722" s="19" t="str">
        <f>IF(Tabela2[[#This Row],[AGRUPADOR]]&lt;&gt;"",VLOOKUP(Tabela2[[#This Row],[AGRUPADOR]],Tabela1[],4,0),"")</f>
        <v/>
      </c>
      <c r="F722" s="14"/>
      <c r="G722" s="6"/>
      <c r="H722" s="6"/>
      <c r="I722" s="25"/>
      <c r="J722" s="7"/>
      <c r="K722" s="15"/>
      <c r="L722" s="379">
        <f>IF(H722&lt;&gt;"",J722*K722,SUMIFS(L723:L$9844,$F723:$F$9844,"*"&amp;F722&amp;"*",$H723:$H$9844,"&lt;&gt;"))</f>
        <v>0</v>
      </c>
      <c r="M722" s="379" t="str">
        <f>IF(Tabela2[[#This Row],[UNID.]]&lt;&gt;"",IFERROR(VLOOKUP(Tabela2[[#This Row],[AGRUPADOR]],Lucratividade!$D$4:$O$129,6,0),0),"")</f>
        <v/>
      </c>
      <c r="N722" s="379">
        <f>IF(H722&lt;&gt;"",J722*M722*I722,SUMIFS(N723:N$9844,$F723:$F$9844,"*"&amp;F722&amp;"*",$H723:$H$9844,"&lt;&gt;"))</f>
        <v>0</v>
      </c>
      <c r="O722" s="162" t="str">
        <f>IFERROR((-Tabela2[[#This Row],[CUSTO TOTAL]]+Tabela2[[#This Row],[VENDA TOTAL]])/Tabela2[[#This Row],[VENDA TOTAL]]-PARAMETROS!$C$19,"")</f>
        <v/>
      </c>
      <c r="AA722" s="219">
        <f>SUM(Plan_Orc[[#This Row],[01/jan]:[01/dez]])</f>
        <v>0</v>
      </c>
      <c r="AB722" s="15"/>
      <c r="AC722" s="15"/>
      <c r="AD722" s="15"/>
      <c r="AE722" s="15"/>
      <c r="AF722" s="15"/>
      <c r="AG722" s="15"/>
      <c r="AH722" s="15"/>
      <c r="AI722" s="15"/>
      <c r="AJ722" s="15"/>
      <c r="AK722" s="15"/>
      <c r="AL722" s="15"/>
      <c r="AM722" s="15"/>
    </row>
    <row r="723" spans="2:39" ht="25.2" customHeight="1" x14ac:dyDescent="0.3">
      <c r="B723" s="13" t="str">
        <f t="shared" si="15"/>
        <v/>
      </c>
      <c r="C723" s="18"/>
      <c r="D723" s="19" t="str">
        <f>IF(Tabela2[[#This Row],[AGRUPADOR]]&lt;&gt;"",VLOOKUP(Tabela2[[#This Row],[AGRUPADOR]],Tabela1[],2,0),"")</f>
        <v/>
      </c>
      <c r="E723" s="19" t="str">
        <f>IF(Tabela2[[#This Row],[AGRUPADOR]]&lt;&gt;"",VLOOKUP(Tabela2[[#This Row],[AGRUPADOR]],Tabela1[],4,0),"")</f>
        <v/>
      </c>
      <c r="F723" s="14"/>
      <c r="G723" s="6"/>
      <c r="H723" s="6"/>
      <c r="I723" s="25"/>
      <c r="J723" s="7"/>
      <c r="K723" s="15"/>
      <c r="L723" s="379">
        <f>IF(H723&lt;&gt;"",J723*K723,SUMIFS(L724:L$9844,$F724:$F$9844,"*"&amp;F723&amp;"*",$H724:$H$9844,"&lt;&gt;"))</f>
        <v>0</v>
      </c>
      <c r="M723" s="379" t="str">
        <f>IF(Tabela2[[#This Row],[UNID.]]&lt;&gt;"",IFERROR(VLOOKUP(Tabela2[[#This Row],[AGRUPADOR]],Lucratividade!$D$4:$O$129,6,0),0),"")</f>
        <v/>
      </c>
      <c r="N723" s="379">
        <f>IF(H723&lt;&gt;"",J723*M723*I723,SUMIFS(N724:N$9844,$F724:$F$9844,"*"&amp;F723&amp;"*",$H724:$H$9844,"&lt;&gt;"))</f>
        <v>0</v>
      </c>
      <c r="O723" s="162" t="str">
        <f>IFERROR((-Tabela2[[#This Row],[CUSTO TOTAL]]+Tabela2[[#This Row],[VENDA TOTAL]])/Tabela2[[#This Row],[VENDA TOTAL]]-PARAMETROS!$C$19,"")</f>
        <v/>
      </c>
      <c r="AA723" s="219">
        <f>SUM(Plan_Orc[[#This Row],[01/jan]:[01/dez]])</f>
        <v>0</v>
      </c>
      <c r="AB723" s="15"/>
      <c r="AC723" s="15"/>
      <c r="AD723" s="15"/>
      <c r="AE723" s="15"/>
      <c r="AF723" s="15"/>
      <c r="AG723" s="15"/>
      <c r="AH723" s="15"/>
      <c r="AI723" s="15"/>
      <c r="AJ723" s="15"/>
      <c r="AK723" s="15"/>
      <c r="AL723" s="15"/>
      <c r="AM723" s="15"/>
    </row>
    <row r="724" spans="2:39" ht="25.2" customHeight="1" x14ac:dyDescent="0.3">
      <c r="B724" s="13" t="str">
        <f t="shared" si="15"/>
        <v/>
      </c>
      <c r="C724" s="18"/>
      <c r="D724" s="19" t="str">
        <f>IF(Tabela2[[#This Row],[AGRUPADOR]]&lt;&gt;"",VLOOKUP(Tabela2[[#This Row],[AGRUPADOR]],Tabela1[],2,0),"")</f>
        <v/>
      </c>
      <c r="E724" s="19" t="str">
        <f>IF(Tabela2[[#This Row],[AGRUPADOR]]&lt;&gt;"",VLOOKUP(Tabela2[[#This Row],[AGRUPADOR]],Tabela1[],4,0),"")</f>
        <v/>
      </c>
      <c r="F724" s="14"/>
      <c r="G724" s="6"/>
      <c r="H724" s="6"/>
      <c r="I724" s="25"/>
      <c r="J724" s="7"/>
      <c r="K724" s="15"/>
      <c r="L724" s="379">
        <f>IF(H724&lt;&gt;"",J724*K724,SUMIFS(L725:L$9844,$F725:$F$9844,"*"&amp;F724&amp;"*",$H725:$H$9844,"&lt;&gt;"))</f>
        <v>0</v>
      </c>
      <c r="M724" s="379" t="str">
        <f>IF(Tabela2[[#This Row],[UNID.]]&lt;&gt;"",IFERROR(VLOOKUP(Tabela2[[#This Row],[AGRUPADOR]],Lucratividade!$D$4:$O$129,6,0),0),"")</f>
        <v/>
      </c>
      <c r="N724" s="379">
        <f>IF(H724&lt;&gt;"",J724*M724*I724,SUMIFS(N725:N$9844,$F725:$F$9844,"*"&amp;F724&amp;"*",$H725:$H$9844,"&lt;&gt;"))</f>
        <v>0</v>
      </c>
      <c r="O724" s="162" t="str">
        <f>IFERROR((-Tabela2[[#This Row],[CUSTO TOTAL]]+Tabela2[[#This Row],[VENDA TOTAL]])/Tabela2[[#This Row],[VENDA TOTAL]]-PARAMETROS!$C$19,"")</f>
        <v/>
      </c>
      <c r="AA724" s="219">
        <f>SUM(Plan_Orc[[#This Row],[01/jan]:[01/dez]])</f>
        <v>0</v>
      </c>
      <c r="AB724" s="15"/>
      <c r="AC724" s="15"/>
      <c r="AD724" s="15"/>
      <c r="AE724" s="15"/>
      <c r="AF724" s="15"/>
      <c r="AG724" s="15"/>
      <c r="AH724" s="15"/>
      <c r="AI724" s="15"/>
      <c r="AJ724" s="15"/>
      <c r="AK724" s="15"/>
      <c r="AL724" s="15"/>
      <c r="AM724" s="15"/>
    </row>
    <row r="725" spans="2:39" ht="25.2" customHeight="1" x14ac:dyDescent="0.3">
      <c r="B725" s="13" t="str">
        <f t="shared" si="15"/>
        <v/>
      </c>
      <c r="C725" s="18"/>
      <c r="D725" s="19" t="str">
        <f>IF(Tabela2[[#This Row],[AGRUPADOR]]&lt;&gt;"",VLOOKUP(Tabela2[[#This Row],[AGRUPADOR]],Tabela1[],2,0),"")</f>
        <v/>
      </c>
      <c r="E725" s="19" t="str">
        <f>IF(Tabela2[[#This Row],[AGRUPADOR]]&lt;&gt;"",VLOOKUP(Tabela2[[#This Row],[AGRUPADOR]],Tabela1[],4,0),"")</f>
        <v/>
      </c>
      <c r="F725" s="14"/>
      <c r="G725" s="6"/>
      <c r="H725" s="6"/>
      <c r="I725" s="25"/>
      <c r="J725" s="7"/>
      <c r="K725" s="15"/>
      <c r="L725" s="379">
        <f>IF(H725&lt;&gt;"",J725*K725,SUMIFS(L726:L$9844,$F726:$F$9844,"*"&amp;F725&amp;"*",$H726:$H$9844,"&lt;&gt;"))</f>
        <v>0</v>
      </c>
      <c r="M725" s="379" t="str">
        <f>IF(Tabela2[[#This Row],[UNID.]]&lt;&gt;"",IFERROR(VLOOKUP(Tabela2[[#This Row],[AGRUPADOR]],Lucratividade!$D$4:$O$129,6,0),0),"")</f>
        <v/>
      </c>
      <c r="N725" s="379">
        <f>IF(H725&lt;&gt;"",J725*M725*I725,SUMIFS(N726:N$9844,$F726:$F$9844,"*"&amp;F725&amp;"*",$H726:$H$9844,"&lt;&gt;"))</f>
        <v>0</v>
      </c>
      <c r="O725" s="162" t="str">
        <f>IFERROR((-Tabela2[[#This Row],[CUSTO TOTAL]]+Tabela2[[#This Row],[VENDA TOTAL]])/Tabela2[[#This Row],[VENDA TOTAL]]-PARAMETROS!$C$19,"")</f>
        <v/>
      </c>
      <c r="AA725" s="219">
        <f>SUM(Plan_Orc[[#This Row],[01/jan]:[01/dez]])</f>
        <v>0</v>
      </c>
      <c r="AB725" s="15"/>
      <c r="AC725" s="15"/>
      <c r="AD725" s="15"/>
      <c r="AE725" s="15"/>
      <c r="AF725" s="15"/>
      <c r="AG725" s="15"/>
      <c r="AH725" s="15"/>
      <c r="AI725" s="15"/>
      <c r="AJ725" s="15"/>
      <c r="AK725" s="15"/>
      <c r="AL725" s="15"/>
      <c r="AM725" s="15"/>
    </row>
    <row r="726" spans="2:39" ht="25.2" customHeight="1" x14ac:dyDescent="0.3">
      <c r="B726" s="13" t="str">
        <f t="shared" si="15"/>
        <v/>
      </c>
      <c r="C726" s="18"/>
      <c r="D726" s="19" t="str">
        <f>IF(Tabela2[[#This Row],[AGRUPADOR]]&lt;&gt;"",VLOOKUP(Tabela2[[#This Row],[AGRUPADOR]],Tabela1[],2,0),"")</f>
        <v/>
      </c>
      <c r="E726" s="19" t="str">
        <f>IF(Tabela2[[#This Row],[AGRUPADOR]]&lt;&gt;"",VLOOKUP(Tabela2[[#This Row],[AGRUPADOR]],Tabela1[],4,0),"")</f>
        <v/>
      </c>
      <c r="F726" s="14"/>
      <c r="G726" s="6"/>
      <c r="H726" s="6"/>
      <c r="I726" s="25"/>
      <c r="J726" s="7"/>
      <c r="K726" s="15"/>
      <c r="L726" s="379">
        <f>IF(H726&lt;&gt;"",J726*K726,SUMIFS(L727:L$9844,$F727:$F$9844,"*"&amp;F726&amp;"*",$H727:$H$9844,"&lt;&gt;"))</f>
        <v>0</v>
      </c>
      <c r="M726" s="379" t="str">
        <f>IF(Tabela2[[#This Row],[UNID.]]&lt;&gt;"",IFERROR(VLOOKUP(Tabela2[[#This Row],[AGRUPADOR]],Lucratividade!$D$4:$O$129,6,0),0),"")</f>
        <v/>
      </c>
      <c r="N726" s="379">
        <f>IF(H726&lt;&gt;"",J726*M726*I726,SUMIFS(N727:N$9844,$F727:$F$9844,"*"&amp;F726&amp;"*",$H727:$H$9844,"&lt;&gt;"))</f>
        <v>0</v>
      </c>
      <c r="O726" s="162" t="str">
        <f>IFERROR((-Tabela2[[#This Row],[CUSTO TOTAL]]+Tabela2[[#This Row],[VENDA TOTAL]])/Tabela2[[#This Row],[VENDA TOTAL]]-PARAMETROS!$C$19,"")</f>
        <v/>
      </c>
      <c r="AA726" s="218">
        <f>SUM(Plan_Orc[[#This Row],[01/jan]:[01/dez]])</f>
        <v>0</v>
      </c>
      <c r="AB726" s="12"/>
      <c r="AC726" s="12"/>
      <c r="AD726" s="12"/>
      <c r="AE726" s="12"/>
      <c r="AF726" s="12"/>
      <c r="AG726" s="12"/>
      <c r="AH726" s="12"/>
      <c r="AI726" s="12"/>
      <c r="AJ726" s="12"/>
      <c r="AK726" s="12"/>
      <c r="AL726" s="12"/>
      <c r="AM726" s="12"/>
    </row>
    <row r="727" spans="2:39" ht="25.2" customHeight="1" x14ac:dyDescent="0.3">
      <c r="B727" s="13" t="str">
        <f t="shared" si="15"/>
        <v/>
      </c>
      <c r="C727" s="18"/>
      <c r="D727" s="19" t="str">
        <f>IF(Tabela2[[#This Row],[AGRUPADOR]]&lt;&gt;"",VLOOKUP(Tabela2[[#This Row],[AGRUPADOR]],Tabela1[],2,0),"")</f>
        <v/>
      </c>
      <c r="E727" s="19" t="str">
        <f>IF(Tabela2[[#This Row],[AGRUPADOR]]&lt;&gt;"",VLOOKUP(Tabela2[[#This Row],[AGRUPADOR]],Tabela1[],4,0),"")</f>
        <v/>
      </c>
      <c r="F727" s="14"/>
      <c r="G727" s="6"/>
      <c r="H727" s="6"/>
      <c r="I727" s="25"/>
      <c r="J727" s="7"/>
      <c r="K727" s="15"/>
      <c r="L727" s="379">
        <f>IF(H727&lt;&gt;"",J727*K727,SUMIFS(L728:L$9844,$F728:$F$9844,"*"&amp;F727&amp;"*",$H728:$H$9844,"&lt;&gt;"))</f>
        <v>0</v>
      </c>
      <c r="M727" s="379" t="str">
        <f>IF(Tabela2[[#This Row],[UNID.]]&lt;&gt;"",IFERROR(VLOOKUP(Tabela2[[#This Row],[AGRUPADOR]],Lucratividade!$D$4:$O$129,6,0),0),"")</f>
        <v/>
      </c>
      <c r="N727" s="379">
        <f>IF(H727&lt;&gt;"",J727*M727*I727,SUMIFS(N728:N$9844,$F728:$F$9844,"*"&amp;F727&amp;"*",$H728:$H$9844,"&lt;&gt;"))</f>
        <v>0</v>
      </c>
      <c r="O727" s="162" t="str">
        <f>IFERROR((-Tabela2[[#This Row],[CUSTO TOTAL]]+Tabela2[[#This Row],[VENDA TOTAL]])/Tabela2[[#This Row],[VENDA TOTAL]]-PARAMETROS!$C$19,"")</f>
        <v/>
      </c>
      <c r="AA727" s="219">
        <f>SUM(Plan_Orc[[#This Row],[01/jan]:[01/dez]])</f>
        <v>0</v>
      </c>
      <c r="AB727" s="15"/>
      <c r="AC727" s="15"/>
      <c r="AD727" s="15"/>
      <c r="AE727" s="15"/>
      <c r="AF727" s="15"/>
      <c r="AG727" s="15"/>
      <c r="AH727" s="15"/>
      <c r="AI727" s="15"/>
      <c r="AJ727" s="15"/>
      <c r="AK727" s="15"/>
      <c r="AL727" s="15"/>
      <c r="AM727" s="15"/>
    </row>
    <row r="728" spans="2:39" ht="25.2" customHeight="1" x14ac:dyDescent="0.3">
      <c r="B728" s="13" t="str">
        <f t="shared" si="15"/>
        <v/>
      </c>
      <c r="C728" s="18"/>
      <c r="D728" s="19" t="str">
        <f>IF(Tabela2[[#This Row],[AGRUPADOR]]&lt;&gt;"",VLOOKUP(Tabela2[[#This Row],[AGRUPADOR]],Tabela1[],2,0),"")</f>
        <v/>
      </c>
      <c r="E728" s="19" t="str">
        <f>IF(Tabela2[[#This Row],[AGRUPADOR]]&lt;&gt;"",VLOOKUP(Tabela2[[#This Row],[AGRUPADOR]],Tabela1[],4,0),"")</f>
        <v/>
      </c>
      <c r="F728" s="14"/>
      <c r="G728" s="6"/>
      <c r="H728" s="6"/>
      <c r="I728" s="25"/>
      <c r="J728" s="7"/>
      <c r="K728" s="15"/>
      <c r="L728" s="379">
        <f>IF(H728&lt;&gt;"",J728*K728,SUMIFS(L729:L$9844,$F729:$F$9844,"*"&amp;F728&amp;"*",$H729:$H$9844,"&lt;&gt;"))</f>
        <v>0</v>
      </c>
      <c r="M728" s="379" t="str">
        <f>IF(Tabela2[[#This Row],[UNID.]]&lt;&gt;"",IFERROR(VLOOKUP(Tabela2[[#This Row],[AGRUPADOR]],Lucratividade!$D$4:$O$129,6,0),0),"")</f>
        <v/>
      </c>
      <c r="N728" s="379">
        <f>IF(H728&lt;&gt;"",J728*M728*I728,SUMIFS(N729:N$9844,$F729:$F$9844,"*"&amp;F728&amp;"*",$H729:$H$9844,"&lt;&gt;"))</f>
        <v>0</v>
      </c>
      <c r="O728" s="162" t="str">
        <f>IFERROR((-Tabela2[[#This Row],[CUSTO TOTAL]]+Tabela2[[#This Row],[VENDA TOTAL]])/Tabela2[[#This Row],[VENDA TOTAL]]-PARAMETROS!$C$19,"")</f>
        <v/>
      </c>
      <c r="AA728" s="219">
        <f>SUM(Plan_Orc[[#This Row],[01/jan]:[01/dez]])</f>
        <v>0</v>
      </c>
      <c r="AB728" s="15"/>
      <c r="AC728" s="15"/>
      <c r="AD728" s="15"/>
      <c r="AE728" s="15"/>
      <c r="AF728" s="15"/>
      <c r="AG728" s="15"/>
      <c r="AH728" s="15"/>
      <c r="AI728" s="15"/>
      <c r="AJ728" s="15"/>
      <c r="AK728" s="15"/>
      <c r="AL728" s="15"/>
      <c r="AM728" s="15"/>
    </row>
    <row r="729" spans="2:39" ht="25.2" customHeight="1" x14ac:dyDescent="0.3">
      <c r="B729" s="13" t="str">
        <f t="shared" si="15"/>
        <v/>
      </c>
      <c r="C729" s="18"/>
      <c r="D729" s="19" t="str">
        <f>IF(Tabela2[[#This Row],[AGRUPADOR]]&lt;&gt;"",VLOOKUP(Tabela2[[#This Row],[AGRUPADOR]],Tabela1[],2,0),"")</f>
        <v/>
      </c>
      <c r="E729" s="19" t="str">
        <f>IF(Tabela2[[#This Row],[AGRUPADOR]]&lt;&gt;"",VLOOKUP(Tabela2[[#This Row],[AGRUPADOR]],Tabela1[],4,0),"")</f>
        <v/>
      </c>
      <c r="F729" s="14"/>
      <c r="G729" s="6"/>
      <c r="H729" s="6"/>
      <c r="I729" s="25"/>
      <c r="J729" s="7"/>
      <c r="K729" s="15"/>
      <c r="L729" s="379">
        <f>IF(H729&lt;&gt;"",J729*K729,SUMIFS(L730:L$9844,$F730:$F$9844,"*"&amp;F729&amp;"*",$H730:$H$9844,"&lt;&gt;"))</f>
        <v>0</v>
      </c>
      <c r="M729" s="379" t="str">
        <f>IF(Tabela2[[#This Row],[UNID.]]&lt;&gt;"",IFERROR(VLOOKUP(Tabela2[[#This Row],[AGRUPADOR]],Lucratividade!$D$4:$O$129,6,0),0),"")</f>
        <v/>
      </c>
      <c r="N729" s="379">
        <f>IF(H729&lt;&gt;"",J729*M729*I729,SUMIFS(N730:N$9844,$F730:$F$9844,"*"&amp;F729&amp;"*",$H730:$H$9844,"&lt;&gt;"))</f>
        <v>0</v>
      </c>
      <c r="O729" s="162" t="str">
        <f>IFERROR((-Tabela2[[#This Row],[CUSTO TOTAL]]+Tabela2[[#This Row],[VENDA TOTAL]])/Tabela2[[#This Row],[VENDA TOTAL]]-PARAMETROS!$C$19,"")</f>
        <v/>
      </c>
      <c r="AA729" s="219">
        <f>SUM(Plan_Orc[[#This Row],[01/jan]:[01/dez]])</f>
        <v>0</v>
      </c>
      <c r="AB729" s="15"/>
      <c r="AC729" s="15"/>
      <c r="AD729" s="15"/>
      <c r="AE729" s="15"/>
      <c r="AF729" s="15"/>
      <c r="AG729" s="15"/>
      <c r="AH729" s="15"/>
      <c r="AI729" s="15"/>
      <c r="AJ729" s="15"/>
      <c r="AK729" s="15"/>
      <c r="AL729" s="15"/>
      <c r="AM729" s="15"/>
    </row>
    <row r="730" spans="2:39" ht="25.2" customHeight="1" x14ac:dyDescent="0.3">
      <c r="B730" s="13" t="str">
        <f t="shared" si="15"/>
        <v/>
      </c>
      <c r="C730" s="18"/>
      <c r="D730" s="19" t="str">
        <f>IF(Tabela2[[#This Row],[AGRUPADOR]]&lt;&gt;"",VLOOKUP(Tabela2[[#This Row],[AGRUPADOR]],Tabela1[],2,0),"")</f>
        <v/>
      </c>
      <c r="E730" s="19" t="str">
        <f>IF(Tabela2[[#This Row],[AGRUPADOR]]&lt;&gt;"",VLOOKUP(Tabela2[[#This Row],[AGRUPADOR]],Tabela1[],4,0),"")</f>
        <v/>
      </c>
      <c r="F730" s="14"/>
      <c r="G730" s="6"/>
      <c r="H730" s="6"/>
      <c r="I730" s="25"/>
      <c r="J730" s="7"/>
      <c r="K730" s="15"/>
      <c r="L730" s="379">
        <f>IF(H730&lt;&gt;"",J730*K730,SUMIFS(L731:L$9844,$F731:$F$9844,"*"&amp;F730&amp;"*",$H731:$H$9844,"&lt;&gt;"))</f>
        <v>0</v>
      </c>
      <c r="M730" s="379" t="str">
        <f>IF(Tabela2[[#This Row],[UNID.]]&lt;&gt;"",IFERROR(VLOOKUP(Tabela2[[#This Row],[AGRUPADOR]],Lucratividade!$D$4:$O$129,6,0),0),"")</f>
        <v/>
      </c>
      <c r="N730" s="379">
        <f>IF(H730&lt;&gt;"",J730*M730*I730,SUMIFS(N731:N$9844,$F731:$F$9844,"*"&amp;F730&amp;"*",$H731:$H$9844,"&lt;&gt;"))</f>
        <v>0</v>
      </c>
      <c r="O730" s="162" t="str">
        <f>IFERROR((-Tabela2[[#This Row],[CUSTO TOTAL]]+Tabela2[[#This Row],[VENDA TOTAL]])/Tabela2[[#This Row],[VENDA TOTAL]]-PARAMETROS!$C$19,"")</f>
        <v/>
      </c>
      <c r="AA730" s="219">
        <f>SUM(Plan_Orc[[#This Row],[01/jan]:[01/dez]])</f>
        <v>0</v>
      </c>
      <c r="AB730" s="15"/>
      <c r="AC730" s="15"/>
      <c r="AD730" s="15"/>
      <c r="AE730" s="15"/>
      <c r="AF730" s="15"/>
      <c r="AG730" s="15"/>
      <c r="AH730" s="15"/>
      <c r="AI730" s="15"/>
      <c r="AJ730" s="15"/>
      <c r="AK730" s="15"/>
      <c r="AL730" s="15"/>
      <c r="AM730" s="15"/>
    </row>
    <row r="731" spans="2:39" ht="25.2" customHeight="1" x14ac:dyDescent="0.3">
      <c r="B731" s="13" t="str">
        <f t="shared" si="15"/>
        <v/>
      </c>
      <c r="C731" s="18"/>
      <c r="D731" s="19" t="str">
        <f>IF(Tabela2[[#This Row],[AGRUPADOR]]&lt;&gt;"",VLOOKUP(Tabela2[[#This Row],[AGRUPADOR]],Tabela1[],2,0),"")</f>
        <v/>
      </c>
      <c r="E731" s="19" t="str">
        <f>IF(Tabela2[[#This Row],[AGRUPADOR]]&lt;&gt;"",VLOOKUP(Tabela2[[#This Row],[AGRUPADOR]],Tabela1[],4,0),"")</f>
        <v/>
      </c>
      <c r="F731" s="14"/>
      <c r="G731" s="6"/>
      <c r="H731" s="6"/>
      <c r="I731" s="25"/>
      <c r="J731" s="7"/>
      <c r="K731" s="15"/>
      <c r="L731" s="379">
        <f>IF(H731&lt;&gt;"",J731*K731,SUMIFS(L732:L$9844,$F732:$F$9844,"*"&amp;F731&amp;"*",$H732:$H$9844,"&lt;&gt;"))</f>
        <v>0</v>
      </c>
      <c r="M731" s="379" t="str">
        <f>IF(Tabela2[[#This Row],[UNID.]]&lt;&gt;"",IFERROR(VLOOKUP(Tabela2[[#This Row],[AGRUPADOR]],Lucratividade!$D$4:$O$129,6,0),0),"")</f>
        <v/>
      </c>
      <c r="N731" s="379">
        <f>IF(H731&lt;&gt;"",J731*M731*I731,SUMIFS(N732:N$9844,$F732:$F$9844,"*"&amp;F731&amp;"*",$H732:$H$9844,"&lt;&gt;"))</f>
        <v>0</v>
      </c>
      <c r="O731" s="162" t="str">
        <f>IFERROR((-Tabela2[[#This Row],[CUSTO TOTAL]]+Tabela2[[#This Row],[VENDA TOTAL]])/Tabela2[[#This Row],[VENDA TOTAL]]-PARAMETROS!$C$19,"")</f>
        <v/>
      </c>
      <c r="AA731" s="219">
        <f>SUM(Plan_Orc[[#This Row],[01/jan]:[01/dez]])</f>
        <v>0</v>
      </c>
      <c r="AB731" s="15"/>
      <c r="AC731" s="15"/>
      <c r="AD731" s="15"/>
      <c r="AE731" s="15"/>
      <c r="AF731" s="15"/>
      <c r="AG731" s="15"/>
      <c r="AH731" s="15"/>
      <c r="AI731" s="15"/>
      <c r="AJ731" s="15"/>
      <c r="AK731" s="15"/>
      <c r="AL731" s="15"/>
      <c r="AM731" s="15"/>
    </row>
    <row r="732" spans="2:39" ht="25.2" customHeight="1" x14ac:dyDescent="0.3">
      <c r="B732" s="13" t="str">
        <f t="shared" si="15"/>
        <v/>
      </c>
      <c r="C732" s="18"/>
      <c r="D732" s="19" t="str">
        <f>IF(Tabela2[[#This Row],[AGRUPADOR]]&lt;&gt;"",VLOOKUP(Tabela2[[#This Row],[AGRUPADOR]],Tabela1[],2,0),"")</f>
        <v/>
      </c>
      <c r="E732" s="19" t="str">
        <f>IF(Tabela2[[#This Row],[AGRUPADOR]]&lt;&gt;"",VLOOKUP(Tabela2[[#This Row],[AGRUPADOR]],Tabela1[],4,0),"")</f>
        <v/>
      </c>
      <c r="F732" s="14"/>
      <c r="G732" s="6"/>
      <c r="H732" s="6"/>
      <c r="I732" s="25"/>
      <c r="J732" s="7"/>
      <c r="K732" s="15"/>
      <c r="L732" s="379">
        <f>IF(H732&lt;&gt;"",J732*K732,SUMIFS(L733:L$9844,$F733:$F$9844,"*"&amp;F732&amp;"*",$H733:$H$9844,"&lt;&gt;"))</f>
        <v>0</v>
      </c>
      <c r="M732" s="379" t="str">
        <f>IF(Tabela2[[#This Row],[UNID.]]&lt;&gt;"",IFERROR(VLOOKUP(Tabela2[[#This Row],[AGRUPADOR]],Lucratividade!$D$4:$O$129,6,0),0),"")</f>
        <v/>
      </c>
      <c r="N732" s="379">
        <f>IF(H732&lt;&gt;"",J732*M732*I732,SUMIFS(N733:N$9844,$F733:$F$9844,"*"&amp;F732&amp;"*",$H733:$H$9844,"&lt;&gt;"))</f>
        <v>0</v>
      </c>
      <c r="O732" s="162" t="str">
        <f>IFERROR((-Tabela2[[#This Row],[CUSTO TOTAL]]+Tabela2[[#This Row],[VENDA TOTAL]])/Tabela2[[#This Row],[VENDA TOTAL]]-PARAMETROS!$C$19,"")</f>
        <v/>
      </c>
      <c r="AA732" s="219">
        <f>SUM(Plan_Orc[[#This Row],[01/jan]:[01/dez]])</f>
        <v>0</v>
      </c>
      <c r="AB732" s="15"/>
      <c r="AC732" s="15"/>
      <c r="AD732" s="15"/>
      <c r="AE732" s="15"/>
      <c r="AF732" s="15"/>
      <c r="AG732" s="15"/>
      <c r="AH732" s="15"/>
      <c r="AI732" s="15"/>
      <c r="AJ732" s="15"/>
      <c r="AK732" s="15"/>
      <c r="AL732" s="15"/>
      <c r="AM732" s="15"/>
    </row>
    <row r="733" spans="2:39" ht="25.2" customHeight="1" x14ac:dyDescent="0.3">
      <c r="B733" s="13" t="str">
        <f t="shared" si="15"/>
        <v/>
      </c>
      <c r="C733" s="18"/>
      <c r="D733" s="19" t="str">
        <f>IF(Tabela2[[#This Row],[AGRUPADOR]]&lt;&gt;"",VLOOKUP(Tabela2[[#This Row],[AGRUPADOR]],Tabela1[],2,0),"")</f>
        <v/>
      </c>
      <c r="E733" s="19" t="str">
        <f>IF(Tabela2[[#This Row],[AGRUPADOR]]&lt;&gt;"",VLOOKUP(Tabela2[[#This Row],[AGRUPADOR]],Tabela1[],4,0),"")</f>
        <v/>
      </c>
      <c r="F733" s="14"/>
      <c r="G733" s="6"/>
      <c r="H733" s="6"/>
      <c r="I733" s="25"/>
      <c r="J733" s="7"/>
      <c r="K733" s="15"/>
      <c r="L733" s="379">
        <f>IF(H733&lt;&gt;"",J733*K733,SUMIFS(L734:L$9844,$F734:$F$9844,"*"&amp;F733&amp;"*",$H734:$H$9844,"&lt;&gt;"))</f>
        <v>0</v>
      </c>
      <c r="M733" s="379" t="str">
        <f>IF(Tabela2[[#This Row],[UNID.]]&lt;&gt;"",IFERROR(VLOOKUP(Tabela2[[#This Row],[AGRUPADOR]],Lucratividade!$D$4:$O$129,6,0),0),"")</f>
        <v/>
      </c>
      <c r="N733" s="379">
        <f>IF(H733&lt;&gt;"",J733*M733*I733,SUMIFS(N734:N$9844,$F734:$F$9844,"*"&amp;F733&amp;"*",$H734:$H$9844,"&lt;&gt;"))</f>
        <v>0</v>
      </c>
      <c r="O733" s="162" t="str">
        <f>IFERROR((-Tabela2[[#This Row],[CUSTO TOTAL]]+Tabela2[[#This Row],[VENDA TOTAL]])/Tabela2[[#This Row],[VENDA TOTAL]]-PARAMETROS!$C$19,"")</f>
        <v/>
      </c>
      <c r="AA733" s="219">
        <f>SUM(Plan_Orc[[#This Row],[01/jan]:[01/dez]])</f>
        <v>0</v>
      </c>
      <c r="AB733" s="15"/>
      <c r="AC733" s="15"/>
      <c r="AD733" s="15"/>
      <c r="AE733" s="15"/>
      <c r="AF733" s="15"/>
      <c r="AG733" s="15"/>
      <c r="AH733" s="15"/>
      <c r="AI733" s="15"/>
      <c r="AJ733" s="15"/>
      <c r="AK733" s="15"/>
      <c r="AL733" s="15"/>
      <c r="AM733" s="15"/>
    </row>
    <row r="734" spans="2:39" ht="25.2" customHeight="1" x14ac:dyDescent="0.3">
      <c r="B734" s="13" t="str">
        <f t="shared" si="15"/>
        <v/>
      </c>
      <c r="C734" s="18"/>
      <c r="D734" s="19" t="str">
        <f>IF(Tabela2[[#This Row],[AGRUPADOR]]&lt;&gt;"",VLOOKUP(Tabela2[[#This Row],[AGRUPADOR]],Tabela1[],2,0),"")</f>
        <v/>
      </c>
      <c r="E734" s="19" t="str">
        <f>IF(Tabela2[[#This Row],[AGRUPADOR]]&lt;&gt;"",VLOOKUP(Tabela2[[#This Row],[AGRUPADOR]],Tabela1[],4,0),"")</f>
        <v/>
      </c>
      <c r="F734" s="14"/>
      <c r="G734" s="6"/>
      <c r="H734" s="6"/>
      <c r="I734" s="25"/>
      <c r="J734" s="7"/>
      <c r="K734" s="15"/>
      <c r="L734" s="379">
        <f>IF(H734&lt;&gt;"",J734*K734,SUMIFS(L735:L$9844,$F735:$F$9844,"*"&amp;F734&amp;"*",$H735:$H$9844,"&lt;&gt;"))</f>
        <v>0</v>
      </c>
      <c r="M734" s="379" t="str">
        <f>IF(Tabela2[[#This Row],[UNID.]]&lt;&gt;"",IFERROR(VLOOKUP(Tabela2[[#This Row],[AGRUPADOR]],Lucratividade!$D$4:$O$129,6,0),0),"")</f>
        <v/>
      </c>
      <c r="N734" s="379">
        <f>IF(H734&lt;&gt;"",J734*M734*I734,SUMIFS(N735:N$9844,$F735:$F$9844,"*"&amp;F734&amp;"*",$H735:$H$9844,"&lt;&gt;"))</f>
        <v>0</v>
      </c>
      <c r="O734" s="162" t="str">
        <f>IFERROR((-Tabela2[[#This Row],[CUSTO TOTAL]]+Tabela2[[#This Row],[VENDA TOTAL]])/Tabela2[[#This Row],[VENDA TOTAL]]-PARAMETROS!$C$19,"")</f>
        <v/>
      </c>
      <c r="AA734" s="219">
        <f>SUM(Plan_Orc[[#This Row],[01/jan]:[01/dez]])</f>
        <v>0</v>
      </c>
      <c r="AB734" s="15"/>
      <c r="AC734" s="15"/>
      <c r="AD734" s="15"/>
      <c r="AE734" s="15"/>
      <c r="AF734" s="15"/>
      <c r="AG734" s="15"/>
      <c r="AH734" s="15"/>
      <c r="AI734" s="15"/>
      <c r="AJ734" s="15"/>
      <c r="AK734" s="15"/>
      <c r="AL734" s="15"/>
      <c r="AM734" s="15"/>
    </row>
    <row r="735" spans="2:39" ht="25.2" customHeight="1" x14ac:dyDescent="0.3">
      <c r="B735" s="13" t="str">
        <f t="shared" si="15"/>
        <v/>
      </c>
      <c r="C735" s="18"/>
      <c r="D735" s="19" t="str">
        <f>IF(Tabela2[[#This Row],[AGRUPADOR]]&lt;&gt;"",VLOOKUP(Tabela2[[#This Row],[AGRUPADOR]],Tabela1[],2,0),"")</f>
        <v/>
      </c>
      <c r="E735" s="19" t="str">
        <f>IF(Tabela2[[#This Row],[AGRUPADOR]]&lt;&gt;"",VLOOKUP(Tabela2[[#This Row],[AGRUPADOR]],Tabela1[],4,0),"")</f>
        <v/>
      </c>
      <c r="F735" s="14"/>
      <c r="G735" s="6"/>
      <c r="H735" s="6"/>
      <c r="I735" s="25"/>
      <c r="J735" s="7"/>
      <c r="K735" s="15"/>
      <c r="L735" s="379">
        <f>IF(H735&lt;&gt;"",J735*K735,SUMIFS(L736:L$9844,$F736:$F$9844,"*"&amp;F735&amp;"*",$H736:$H$9844,"&lt;&gt;"))</f>
        <v>0</v>
      </c>
      <c r="M735" s="379" t="str">
        <f>IF(Tabela2[[#This Row],[UNID.]]&lt;&gt;"",IFERROR(VLOOKUP(Tabela2[[#This Row],[AGRUPADOR]],Lucratividade!$D$4:$O$129,6,0),0),"")</f>
        <v/>
      </c>
      <c r="N735" s="379">
        <f>IF(H735&lt;&gt;"",J735*M735*I735,SUMIFS(N736:N$9844,$F736:$F$9844,"*"&amp;F735&amp;"*",$H736:$H$9844,"&lt;&gt;"))</f>
        <v>0</v>
      </c>
      <c r="O735" s="162" t="str">
        <f>IFERROR((-Tabela2[[#This Row],[CUSTO TOTAL]]+Tabela2[[#This Row],[VENDA TOTAL]])/Tabela2[[#This Row],[VENDA TOTAL]]-PARAMETROS!$C$19,"")</f>
        <v/>
      </c>
      <c r="AA735" s="219">
        <f>SUM(Plan_Orc[[#This Row],[01/jan]:[01/dez]])</f>
        <v>0</v>
      </c>
      <c r="AB735" s="15"/>
      <c r="AC735" s="15"/>
      <c r="AD735" s="15"/>
      <c r="AE735" s="15"/>
      <c r="AF735" s="15"/>
      <c r="AG735" s="15"/>
      <c r="AH735" s="15"/>
      <c r="AI735" s="15"/>
      <c r="AJ735" s="15"/>
      <c r="AK735" s="15"/>
      <c r="AL735" s="15"/>
      <c r="AM735" s="15"/>
    </row>
    <row r="736" spans="2:39" ht="25.2" customHeight="1" x14ac:dyDescent="0.3">
      <c r="B736" s="13" t="str">
        <f t="shared" si="15"/>
        <v/>
      </c>
      <c r="C736" s="18"/>
      <c r="D736" s="19" t="str">
        <f>IF(Tabela2[[#This Row],[AGRUPADOR]]&lt;&gt;"",VLOOKUP(Tabela2[[#This Row],[AGRUPADOR]],Tabela1[],2,0),"")</f>
        <v/>
      </c>
      <c r="E736" s="19" t="str">
        <f>IF(Tabela2[[#This Row],[AGRUPADOR]]&lt;&gt;"",VLOOKUP(Tabela2[[#This Row],[AGRUPADOR]],Tabela1[],4,0),"")</f>
        <v/>
      </c>
      <c r="F736" s="14"/>
      <c r="G736" s="6"/>
      <c r="H736" s="6"/>
      <c r="I736" s="25"/>
      <c r="J736" s="7"/>
      <c r="K736" s="15"/>
      <c r="L736" s="379">
        <f>IF(H736&lt;&gt;"",J736*K736,SUMIFS(L737:L$9844,$F737:$F$9844,"*"&amp;F736&amp;"*",$H737:$H$9844,"&lt;&gt;"))</f>
        <v>0</v>
      </c>
      <c r="M736" s="379" t="str">
        <f>IF(Tabela2[[#This Row],[UNID.]]&lt;&gt;"",IFERROR(VLOOKUP(Tabela2[[#This Row],[AGRUPADOR]],Lucratividade!$D$4:$O$129,6,0),0),"")</f>
        <v/>
      </c>
      <c r="N736" s="379">
        <f>IF(H736&lt;&gt;"",J736*M736*I736,SUMIFS(N737:N$9844,$F737:$F$9844,"*"&amp;F736&amp;"*",$H737:$H$9844,"&lt;&gt;"))</f>
        <v>0</v>
      </c>
      <c r="O736" s="162" t="str">
        <f>IFERROR((-Tabela2[[#This Row],[CUSTO TOTAL]]+Tabela2[[#This Row],[VENDA TOTAL]])/Tabela2[[#This Row],[VENDA TOTAL]]-PARAMETROS!$C$19,"")</f>
        <v/>
      </c>
      <c r="AA736" s="219">
        <f>SUM(Plan_Orc[[#This Row],[01/jan]:[01/dez]])</f>
        <v>0</v>
      </c>
      <c r="AB736" s="15"/>
      <c r="AC736" s="15"/>
      <c r="AD736" s="15"/>
      <c r="AE736" s="15"/>
      <c r="AF736" s="15"/>
      <c r="AG736" s="15"/>
      <c r="AH736" s="15"/>
      <c r="AI736" s="15"/>
      <c r="AJ736" s="15"/>
      <c r="AK736" s="15"/>
      <c r="AL736" s="15"/>
      <c r="AM736" s="15"/>
    </row>
    <row r="737" spans="2:39" ht="25.2" customHeight="1" x14ac:dyDescent="0.3">
      <c r="B737" s="13" t="str">
        <f t="shared" si="15"/>
        <v/>
      </c>
      <c r="C737" s="18"/>
      <c r="D737" s="19" t="str">
        <f>IF(Tabela2[[#This Row],[AGRUPADOR]]&lt;&gt;"",VLOOKUP(Tabela2[[#This Row],[AGRUPADOR]],Tabela1[],2,0),"")</f>
        <v/>
      </c>
      <c r="E737" s="19" t="str">
        <f>IF(Tabela2[[#This Row],[AGRUPADOR]]&lt;&gt;"",VLOOKUP(Tabela2[[#This Row],[AGRUPADOR]],Tabela1[],4,0),"")</f>
        <v/>
      </c>
      <c r="F737" s="14"/>
      <c r="G737" s="6"/>
      <c r="H737" s="6"/>
      <c r="I737" s="25"/>
      <c r="J737" s="7"/>
      <c r="K737" s="15"/>
      <c r="L737" s="379">
        <f>IF(H737&lt;&gt;"",J737*K737,SUMIFS(L738:L$9844,$F738:$F$9844,"*"&amp;F737&amp;"*",$H738:$H$9844,"&lt;&gt;"))</f>
        <v>0</v>
      </c>
      <c r="M737" s="379" t="str">
        <f>IF(Tabela2[[#This Row],[UNID.]]&lt;&gt;"",IFERROR(VLOOKUP(Tabela2[[#This Row],[AGRUPADOR]],Lucratividade!$D$4:$O$129,6,0),0),"")</f>
        <v/>
      </c>
      <c r="N737" s="379">
        <f>IF(H737&lt;&gt;"",J737*M737*I737,SUMIFS(N738:N$9844,$F738:$F$9844,"*"&amp;F737&amp;"*",$H738:$H$9844,"&lt;&gt;"))</f>
        <v>0</v>
      </c>
      <c r="O737" s="162" t="str">
        <f>IFERROR((-Tabela2[[#This Row],[CUSTO TOTAL]]+Tabela2[[#This Row],[VENDA TOTAL]])/Tabela2[[#This Row],[VENDA TOTAL]]-PARAMETROS!$C$19,"")</f>
        <v/>
      </c>
      <c r="AA737" s="219">
        <f>SUM(Plan_Orc[[#This Row],[01/jan]:[01/dez]])</f>
        <v>0</v>
      </c>
      <c r="AB737" s="15"/>
      <c r="AC737" s="15"/>
      <c r="AD737" s="15"/>
      <c r="AE737" s="15"/>
      <c r="AF737" s="15"/>
      <c r="AG737" s="15"/>
      <c r="AH737" s="15"/>
      <c r="AI737" s="15"/>
      <c r="AJ737" s="15"/>
      <c r="AK737" s="15"/>
      <c r="AL737" s="15"/>
      <c r="AM737" s="15"/>
    </row>
    <row r="738" spans="2:39" ht="25.2" customHeight="1" x14ac:dyDescent="0.3">
      <c r="B738" s="13" t="str">
        <f t="shared" si="15"/>
        <v/>
      </c>
      <c r="C738" s="18"/>
      <c r="D738" s="19" t="str">
        <f>IF(Tabela2[[#This Row],[AGRUPADOR]]&lt;&gt;"",VLOOKUP(Tabela2[[#This Row],[AGRUPADOR]],Tabela1[],2,0),"")</f>
        <v/>
      </c>
      <c r="E738" s="19" t="str">
        <f>IF(Tabela2[[#This Row],[AGRUPADOR]]&lt;&gt;"",VLOOKUP(Tabela2[[#This Row],[AGRUPADOR]],Tabela1[],4,0),"")</f>
        <v/>
      </c>
      <c r="F738" s="14"/>
      <c r="G738" s="6"/>
      <c r="H738" s="6"/>
      <c r="I738" s="25"/>
      <c r="J738" s="7"/>
      <c r="K738" s="15"/>
      <c r="L738" s="379">
        <f>IF(H738&lt;&gt;"",J738*K738,SUMIFS(L739:L$9844,$F739:$F$9844,"*"&amp;F738&amp;"*",$H739:$H$9844,"&lt;&gt;"))</f>
        <v>0</v>
      </c>
      <c r="M738" s="379" t="str">
        <f>IF(Tabela2[[#This Row],[UNID.]]&lt;&gt;"",IFERROR(VLOOKUP(Tabela2[[#This Row],[AGRUPADOR]],Lucratividade!$D$4:$O$129,6,0),0),"")</f>
        <v/>
      </c>
      <c r="N738" s="379">
        <f>IF(H738&lt;&gt;"",J738*M738*I738,SUMIFS(N739:N$9844,$F739:$F$9844,"*"&amp;F738&amp;"*",$H739:$H$9844,"&lt;&gt;"))</f>
        <v>0</v>
      </c>
      <c r="O738" s="162" t="str">
        <f>IFERROR((-Tabela2[[#This Row],[CUSTO TOTAL]]+Tabela2[[#This Row],[VENDA TOTAL]])/Tabela2[[#This Row],[VENDA TOTAL]]-PARAMETROS!$C$19,"")</f>
        <v/>
      </c>
      <c r="AA738" s="219">
        <f>SUM(Plan_Orc[[#This Row],[01/jan]:[01/dez]])</f>
        <v>0</v>
      </c>
      <c r="AB738" s="15"/>
      <c r="AC738" s="15"/>
      <c r="AD738" s="15"/>
      <c r="AE738" s="15"/>
      <c r="AF738" s="15"/>
      <c r="AG738" s="15"/>
      <c r="AH738" s="15"/>
      <c r="AI738" s="15"/>
      <c r="AJ738" s="15"/>
      <c r="AK738" s="15"/>
      <c r="AL738" s="15"/>
      <c r="AM738" s="15"/>
    </row>
    <row r="739" spans="2:39" ht="25.2" customHeight="1" x14ac:dyDescent="0.3">
      <c r="B739" s="13" t="str">
        <f t="shared" si="15"/>
        <v/>
      </c>
      <c r="C739" s="18"/>
      <c r="D739" s="19" t="str">
        <f>IF(Tabela2[[#This Row],[AGRUPADOR]]&lt;&gt;"",VLOOKUP(Tabela2[[#This Row],[AGRUPADOR]],Tabela1[],2,0),"")</f>
        <v/>
      </c>
      <c r="E739" s="19" t="str">
        <f>IF(Tabela2[[#This Row],[AGRUPADOR]]&lt;&gt;"",VLOOKUP(Tabela2[[#This Row],[AGRUPADOR]],Tabela1[],4,0),"")</f>
        <v/>
      </c>
      <c r="F739" s="14"/>
      <c r="G739" s="6"/>
      <c r="H739" s="6"/>
      <c r="I739" s="25"/>
      <c r="J739" s="7"/>
      <c r="K739" s="15"/>
      <c r="L739" s="379">
        <f>IF(H739&lt;&gt;"",J739*K739,SUMIFS(L740:L$9844,$F740:$F$9844,"*"&amp;F739&amp;"*",$H740:$H$9844,"&lt;&gt;"))</f>
        <v>0</v>
      </c>
      <c r="M739" s="379" t="str">
        <f>IF(Tabela2[[#This Row],[UNID.]]&lt;&gt;"",IFERROR(VLOOKUP(Tabela2[[#This Row],[AGRUPADOR]],Lucratividade!$D$4:$O$129,6,0),0),"")</f>
        <v/>
      </c>
      <c r="N739" s="379">
        <f>IF(H739&lt;&gt;"",J739*M739*I739,SUMIFS(N740:N$9844,$F740:$F$9844,"*"&amp;F739&amp;"*",$H740:$H$9844,"&lt;&gt;"))</f>
        <v>0</v>
      </c>
      <c r="O739" s="162" t="str">
        <f>IFERROR((-Tabela2[[#This Row],[CUSTO TOTAL]]+Tabela2[[#This Row],[VENDA TOTAL]])/Tabela2[[#This Row],[VENDA TOTAL]]-PARAMETROS!$C$19,"")</f>
        <v/>
      </c>
      <c r="AA739" s="219">
        <f>SUM(Plan_Orc[[#This Row],[01/jan]:[01/dez]])</f>
        <v>0</v>
      </c>
      <c r="AB739" s="15"/>
      <c r="AC739" s="15"/>
      <c r="AD739" s="15"/>
      <c r="AE739" s="15"/>
      <c r="AF739" s="15"/>
      <c r="AG739" s="15"/>
      <c r="AH739" s="15"/>
      <c r="AI739" s="15"/>
      <c r="AJ739" s="15"/>
      <c r="AK739" s="15"/>
      <c r="AL739" s="15"/>
      <c r="AM739" s="15"/>
    </row>
    <row r="740" spans="2:39" ht="25.2" customHeight="1" x14ac:dyDescent="0.3">
      <c r="B740" s="13" t="str">
        <f t="shared" si="15"/>
        <v/>
      </c>
      <c r="C740" s="18"/>
      <c r="D740" s="19" t="str">
        <f>IF(Tabela2[[#This Row],[AGRUPADOR]]&lt;&gt;"",VLOOKUP(Tabela2[[#This Row],[AGRUPADOR]],Tabela1[],2,0),"")</f>
        <v/>
      </c>
      <c r="E740" s="19" t="str">
        <f>IF(Tabela2[[#This Row],[AGRUPADOR]]&lt;&gt;"",VLOOKUP(Tabela2[[#This Row],[AGRUPADOR]],Tabela1[],4,0),"")</f>
        <v/>
      </c>
      <c r="F740" s="14"/>
      <c r="G740" s="6"/>
      <c r="H740" s="6"/>
      <c r="I740" s="25"/>
      <c r="J740" s="7"/>
      <c r="K740" s="15"/>
      <c r="L740" s="379">
        <f>IF(H740&lt;&gt;"",J740*K740,SUMIFS(L741:L$9844,$F741:$F$9844,"*"&amp;F740&amp;"*",$H741:$H$9844,"&lt;&gt;"))</f>
        <v>0</v>
      </c>
      <c r="M740" s="379" t="str">
        <f>IF(Tabela2[[#This Row],[UNID.]]&lt;&gt;"",IFERROR(VLOOKUP(Tabela2[[#This Row],[AGRUPADOR]],Lucratividade!$D$4:$O$129,6,0),0),"")</f>
        <v/>
      </c>
      <c r="N740" s="379">
        <f>IF(H740&lt;&gt;"",J740*M740*I740,SUMIFS(N741:N$9844,$F741:$F$9844,"*"&amp;F740&amp;"*",$H741:$H$9844,"&lt;&gt;"))</f>
        <v>0</v>
      </c>
      <c r="O740" s="162" t="str">
        <f>IFERROR((-Tabela2[[#This Row],[CUSTO TOTAL]]+Tabela2[[#This Row],[VENDA TOTAL]])/Tabela2[[#This Row],[VENDA TOTAL]]-PARAMETROS!$C$19,"")</f>
        <v/>
      </c>
      <c r="AA740" s="219">
        <f>SUM(Plan_Orc[[#This Row],[01/jan]:[01/dez]])</f>
        <v>0</v>
      </c>
      <c r="AB740" s="15"/>
      <c r="AC740" s="15"/>
      <c r="AD740" s="15"/>
      <c r="AE740" s="15"/>
      <c r="AF740" s="15"/>
      <c r="AG740" s="15"/>
      <c r="AH740" s="15"/>
      <c r="AI740" s="15"/>
      <c r="AJ740" s="15"/>
      <c r="AK740" s="15"/>
      <c r="AL740" s="15"/>
      <c r="AM740" s="15"/>
    </row>
    <row r="741" spans="2:39" ht="25.2" customHeight="1" x14ac:dyDescent="0.3">
      <c r="B741" s="13" t="str">
        <f t="shared" si="15"/>
        <v/>
      </c>
      <c r="C741" s="18"/>
      <c r="D741" s="19" t="str">
        <f>IF(Tabela2[[#This Row],[AGRUPADOR]]&lt;&gt;"",VLOOKUP(Tabela2[[#This Row],[AGRUPADOR]],Tabela1[],2,0),"")</f>
        <v/>
      </c>
      <c r="E741" s="19" t="str">
        <f>IF(Tabela2[[#This Row],[AGRUPADOR]]&lt;&gt;"",VLOOKUP(Tabela2[[#This Row],[AGRUPADOR]],Tabela1[],4,0),"")</f>
        <v/>
      </c>
      <c r="F741" s="14"/>
      <c r="G741" s="6"/>
      <c r="H741" s="6"/>
      <c r="I741" s="25"/>
      <c r="J741" s="7"/>
      <c r="K741" s="15"/>
      <c r="L741" s="379">
        <f>IF(H741&lt;&gt;"",J741*K741,SUMIFS(L742:L$9844,$F742:$F$9844,"*"&amp;F741&amp;"*",$H742:$H$9844,"&lt;&gt;"))</f>
        <v>0</v>
      </c>
      <c r="M741" s="379" t="str">
        <f>IF(Tabela2[[#This Row],[UNID.]]&lt;&gt;"",IFERROR(VLOOKUP(Tabela2[[#This Row],[AGRUPADOR]],Lucratividade!$D$4:$O$129,6,0),0),"")</f>
        <v/>
      </c>
      <c r="N741" s="379">
        <f>IF(H741&lt;&gt;"",J741*M741*I741,SUMIFS(N742:N$9844,$F742:$F$9844,"*"&amp;F741&amp;"*",$H742:$H$9844,"&lt;&gt;"))</f>
        <v>0</v>
      </c>
      <c r="O741" s="162" t="str">
        <f>IFERROR((-Tabela2[[#This Row],[CUSTO TOTAL]]+Tabela2[[#This Row],[VENDA TOTAL]])/Tabela2[[#This Row],[VENDA TOTAL]]-PARAMETROS!$C$19,"")</f>
        <v/>
      </c>
      <c r="AA741" s="219">
        <f>SUM(Plan_Orc[[#This Row],[01/jan]:[01/dez]])</f>
        <v>0</v>
      </c>
      <c r="AB741" s="15"/>
      <c r="AC741" s="15"/>
      <c r="AD741" s="15"/>
      <c r="AE741" s="15"/>
      <c r="AF741" s="15"/>
      <c r="AG741" s="15"/>
      <c r="AH741" s="15"/>
      <c r="AI741" s="15"/>
      <c r="AJ741" s="15"/>
      <c r="AK741" s="15"/>
      <c r="AL741" s="15"/>
      <c r="AM741" s="15"/>
    </row>
    <row r="742" spans="2:39" ht="25.2" customHeight="1" x14ac:dyDescent="0.3">
      <c r="B742" s="13" t="str">
        <f t="shared" si="15"/>
        <v/>
      </c>
      <c r="C742" s="18"/>
      <c r="D742" s="19" t="str">
        <f>IF(Tabela2[[#This Row],[AGRUPADOR]]&lt;&gt;"",VLOOKUP(Tabela2[[#This Row],[AGRUPADOR]],Tabela1[],2,0),"")</f>
        <v/>
      </c>
      <c r="E742" s="19" t="str">
        <f>IF(Tabela2[[#This Row],[AGRUPADOR]]&lt;&gt;"",VLOOKUP(Tabela2[[#This Row],[AGRUPADOR]],Tabela1[],4,0),"")</f>
        <v/>
      </c>
      <c r="F742" s="14"/>
      <c r="G742" s="6"/>
      <c r="H742" s="6"/>
      <c r="I742" s="25"/>
      <c r="J742" s="7"/>
      <c r="K742" s="15"/>
      <c r="L742" s="379">
        <f>IF(H742&lt;&gt;"",J742*K742,SUMIFS(L743:L$9844,$F743:$F$9844,"*"&amp;F742&amp;"*",$H743:$H$9844,"&lt;&gt;"))</f>
        <v>0</v>
      </c>
      <c r="M742" s="379" t="str">
        <f>IF(Tabela2[[#This Row],[UNID.]]&lt;&gt;"",IFERROR(VLOOKUP(Tabela2[[#This Row],[AGRUPADOR]],Lucratividade!$D$4:$O$129,6,0),0),"")</f>
        <v/>
      </c>
      <c r="N742" s="379">
        <f>IF(H742&lt;&gt;"",J742*M742*I742,SUMIFS(N743:N$9844,$F743:$F$9844,"*"&amp;F742&amp;"*",$H743:$H$9844,"&lt;&gt;"))</f>
        <v>0</v>
      </c>
      <c r="O742" s="162" t="str">
        <f>IFERROR((-Tabela2[[#This Row],[CUSTO TOTAL]]+Tabela2[[#This Row],[VENDA TOTAL]])/Tabela2[[#This Row],[VENDA TOTAL]]-PARAMETROS!$C$19,"")</f>
        <v/>
      </c>
      <c r="AA742" s="219">
        <f>SUM(Plan_Orc[[#This Row],[01/jan]:[01/dez]])</f>
        <v>0</v>
      </c>
      <c r="AB742" s="15"/>
      <c r="AC742" s="15"/>
      <c r="AD742" s="15"/>
      <c r="AE742" s="15"/>
      <c r="AF742" s="15"/>
      <c r="AG742" s="15"/>
      <c r="AH742" s="15"/>
      <c r="AI742" s="15"/>
      <c r="AJ742" s="15"/>
      <c r="AK742" s="15"/>
      <c r="AL742" s="15"/>
      <c r="AM742" s="15"/>
    </row>
    <row r="743" spans="2:39" ht="25.2" customHeight="1" x14ac:dyDescent="0.3">
      <c r="B743" s="13" t="str">
        <f t="shared" si="15"/>
        <v/>
      </c>
      <c r="C743" s="18"/>
      <c r="D743" s="19" t="str">
        <f>IF(Tabela2[[#This Row],[AGRUPADOR]]&lt;&gt;"",VLOOKUP(Tabela2[[#This Row],[AGRUPADOR]],Tabela1[],2,0),"")</f>
        <v/>
      </c>
      <c r="E743" s="19" t="str">
        <f>IF(Tabela2[[#This Row],[AGRUPADOR]]&lt;&gt;"",VLOOKUP(Tabela2[[#This Row],[AGRUPADOR]],Tabela1[],4,0),"")</f>
        <v/>
      </c>
      <c r="F743" s="14"/>
      <c r="G743" s="6"/>
      <c r="H743" s="6"/>
      <c r="I743" s="25"/>
      <c r="J743" s="7"/>
      <c r="K743" s="15"/>
      <c r="L743" s="379">
        <f>IF(H743&lt;&gt;"",J743*K743,SUMIFS(L744:L$9844,$F744:$F$9844,"*"&amp;F743&amp;"*",$H744:$H$9844,"&lt;&gt;"))</f>
        <v>0</v>
      </c>
      <c r="M743" s="379" t="str">
        <f>IF(Tabela2[[#This Row],[UNID.]]&lt;&gt;"",IFERROR(VLOOKUP(Tabela2[[#This Row],[AGRUPADOR]],Lucratividade!$D$4:$O$129,6,0),0),"")</f>
        <v/>
      </c>
      <c r="N743" s="379">
        <f>IF(H743&lt;&gt;"",J743*M743*I743,SUMIFS(N744:N$9844,$F744:$F$9844,"*"&amp;F743&amp;"*",$H744:$H$9844,"&lt;&gt;"))</f>
        <v>0</v>
      </c>
      <c r="O743" s="162" t="str">
        <f>IFERROR((-Tabela2[[#This Row],[CUSTO TOTAL]]+Tabela2[[#This Row],[VENDA TOTAL]])/Tabela2[[#This Row],[VENDA TOTAL]]-PARAMETROS!$C$19,"")</f>
        <v/>
      </c>
      <c r="AA743" s="219">
        <f>SUM(Plan_Orc[[#This Row],[01/jan]:[01/dez]])</f>
        <v>0</v>
      </c>
      <c r="AB743" s="15"/>
      <c r="AC743" s="15"/>
      <c r="AD743" s="15"/>
      <c r="AE743" s="15"/>
      <c r="AF743" s="15"/>
      <c r="AG743" s="15"/>
      <c r="AH743" s="15"/>
      <c r="AI743" s="15"/>
      <c r="AJ743" s="15"/>
      <c r="AK743" s="15"/>
      <c r="AL743" s="15"/>
      <c r="AM743" s="15"/>
    </row>
    <row r="744" spans="2:39" ht="25.2" customHeight="1" x14ac:dyDescent="0.3">
      <c r="B744" s="13" t="str">
        <f t="shared" si="15"/>
        <v/>
      </c>
      <c r="C744" s="18"/>
      <c r="D744" s="19" t="str">
        <f>IF(Tabela2[[#This Row],[AGRUPADOR]]&lt;&gt;"",VLOOKUP(Tabela2[[#This Row],[AGRUPADOR]],Tabela1[],2,0),"")</f>
        <v/>
      </c>
      <c r="E744" s="19" t="str">
        <f>IF(Tabela2[[#This Row],[AGRUPADOR]]&lt;&gt;"",VLOOKUP(Tabela2[[#This Row],[AGRUPADOR]],Tabela1[],4,0),"")</f>
        <v/>
      </c>
      <c r="F744" s="14"/>
      <c r="G744" s="6"/>
      <c r="H744" s="6"/>
      <c r="I744" s="25"/>
      <c r="J744" s="7"/>
      <c r="K744" s="15"/>
      <c r="L744" s="379">
        <f>IF(H744&lt;&gt;"",J744*K744,SUMIFS(L745:L$9844,$F745:$F$9844,"*"&amp;F744&amp;"*",$H745:$H$9844,"&lt;&gt;"))</f>
        <v>0</v>
      </c>
      <c r="M744" s="379" t="str">
        <f>IF(Tabela2[[#This Row],[UNID.]]&lt;&gt;"",IFERROR(VLOOKUP(Tabela2[[#This Row],[AGRUPADOR]],Lucratividade!$D$4:$O$129,6,0),0),"")</f>
        <v/>
      </c>
      <c r="N744" s="379">
        <f>IF(H744&lt;&gt;"",J744*M744*I744,SUMIFS(N745:N$9844,$F745:$F$9844,"*"&amp;F744&amp;"*",$H745:$H$9844,"&lt;&gt;"))</f>
        <v>0</v>
      </c>
      <c r="O744" s="162" t="str">
        <f>IFERROR((-Tabela2[[#This Row],[CUSTO TOTAL]]+Tabela2[[#This Row],[VENDA TOTAL]])/Tabela2[[#This Row],[VENDA TOTAL]]-PARAMETROS!$C$19,"")</f>
        <v/>
      </c>
      <c r="AA744" s="219">
        <f>SUM(Plan_Orc[[#This Row],[01/jan]:[01/dez]])</f>
        <v>0</v>
      </c>
      <c r="AB744" s="15"/>
      <c r="AC744" s="15"/>
      <c r="AD744" s="15"/>
      <c r="AE744" s="15"/>
      <c r="AF744" s="15"/>
      <c r="AG744" s="15"/>
      <c r="AH744" s="15"/>
      <c r="AI744" s="15"/>
      <c r="AJ744" s="15"/>
      <c r="AK744" s="15"/>
      <c r="AL744" s="15"/>
      <c r="AM744" s="15"/>
    </row>
    <row r="745" spans="2:39" ht="25.2" customHeight="1" x14ac:dyDescent="0.3">
      <c r="B745" s="13" t="str">
        <f t="shared" si="15"/>
        <v/>
      </c>
      <c r="C745" s="18"/>
      <c r="D745" s="19" t="str">
        <f>IF(Tabela2[[#This Row],[AGRUPADOR]]&lt;&gt;"",VLOOKUP(Tabela2[[#This Row],[AGRUPADOR]],Tabela1[],2,0),"")</f>
        <v/>
      </c>
      <c r="E745" s="19" t="str">
        <f>IF(Tabela2[[#This Row],[AGRUPADOR]]&lt;&gt;"",VLOOKUP(Tabela2[[#This Row],[AGRUPADOR]],Tabela1[],4,0),"")</f>
        <v/>
      </c>
      <c r="F745" s="14"/>
      <c r="G745" s="6"/>
      <c r="H745" s="6"/>
      <c r="I745" s="25"/>
      <c r="J745" s="7"/>
      <c r="K745" s="15"/>
      <c r="L745" s="379">
        <f>IF(H745&lt;&gt;"",J745*K745,SUMIFS(L746:L$9844,$F746:$F$9844,"*"&amp;F745&amp;"*",$H746:$H$9844,"&lt;&gt;"))</f>
        <v>0</v>
      </c>
      <c r="M745" s="379" t="str">
        <f>IF(Tabela2[[#This Row],[UNID.]]&lt;&gt;"",IFERROR(VLOOKUP(Tabela2[[#This Row],[AGRUPADOR]],Lucratividade!$D$4:$O$129,6,0),0),"")</f>
        <v/>
      </c>
      <c r="N745" s="379">
        <f>IF(H745&lt;&gt;"",J745*M745*I745,SUMIFS(N746:N$9844,$F746:$F$9844,"*"&amp;F745&amp;"*",$H746:$H$9844,"&lt;&gt;"))</f>
        <v>0</v>
      </c>
      <c r="O745" s="162" t="str">
        <f>IFERROR((-Tabela2[[#This Row],[CUSTO TOTAL]]+Tabela2[[#This Row],[VENDA TOTAL]])/Tabela2[[#This Row],[VENDA TOTAL]]-PARAMETROS!$C$19,"")</f>
        <v/>
      </c>
      <c r="AA745" s="218">
        <f>SUM(Plan_Orc[[#This Row],[01/jan]:[01/dez]])</f>
        <v>0</v>
      </c>
      <c r="AB745" s="12"/>
      <c r="AC745" s="12"/>
      <c r="AD745" s="12"/>
      <c r="AE745" s="12"/>
      <c r="AF745" s="12"/>
      <c r="AG745" s="12"/>
      <c r="AH745" s="12"/>
      <c r="AI745" s="12"/>
      <c r="AJ745" s="12"/>
      <c r="AK745" s="12"/>
      <c r="AL745" s="12"/>
      <c r="AM745" s="12"/>
    </row>
    <row r="746" spans="2:39" ht="25.2" customHeight="1" x14ac:dyDescent="0.3">
      <c r="B746" s="13" t="str">
        <f t="shared" si="15"/>
        <v/>
      </c>
      <c r="C746" s="18"/>
      <c r="D746" s="19" t="str">
        <f>IF(Tabela2[[#This Row],[AGRUPADOR]]&lt;&gt;"",VLOOKUP(Tabela2[[#This Row],[AGRUPADOR]],Tabela1[],2,0),"")</f>
        <v/>
      </c>
      <c r="E746" s="19" t="str">
        <f>IF(Tabela2[[#This Row],[AGRUPADOR]]&lt;&gt;"",VLOOKUP(Tabela2[[#This Row],[AGRUPADOR]],Tabela1[],4,0),"")</f>
        <v/>
      </c>
      <c r="F746" s="14"/>
      <c r="G746" s="6"/>
      <c r="H746" s="6"/>
      <c r="I746" s="25"/>
      <c r="J746" s="7"/>
      <c r="K746" s="15"/>
      <c r="L746" s="379">
        <f>IF(H746&lt;&gt;"",J746*K746,SUMIFS(L747:L$9844,$F747:$F$9844,"*"&amp;F746&amp;"*",$H747:$H$9844,"&lt;&gt;"))</f>
        <v>0</v>
      </c>
      <c r="M746" s="379" t="str">
        <f>IF(Tabela2[[#This Row],[UNID.]]&lt;&gt;"",IFERROR(VLOOKUP(Tabela2[[#This Row],[AGRUPADOR]],Lucratividade!$D$4:$O$129,6,0),0),"")</f>
        <v/>
      </c>
      <c r="N746" s="379">
        <f>IF(H746&lt;&gt;"",J746*M746*I746,SUMIFS(N747:N$9844,$F747:$F$9844,"*"&amp;F746&amp;"*",$H747:$H$9844,"&lt;&gt;"))</f>
        <v>0</v>
      </c>
      <c r="O746" s="162" t="str">
        <f>IFERROR((-Tabela2[[#This Row],[CUSTO TOTAL]]+Tabela2[[#This Row],[VENDA TOTAL]])/Tabela2[[#This Row],[VENDA TOTAL]]-PARAMETROS!$C$19,"")</f>
        <v/>
      </c>
      <c r="AA746" s="219">
        <f>SUM(Plan_Orc[[#This Row],[01/jan]:[01/dez]])</f>
        <v>0</v>
      </c>
      <c r="AB746" s="15"/>
      <c r="AC746" s="15"/>
      <c r="AD746" s="15"/>
      <c r="AE746" s="15"/>
      <c r="AF746" s="15"/>
      <c r="AG746" s="15"/>
      <c r="AH746" s="15"/>
      <c r="AI746" s="15"/>
      <c r="AJ746" s="15"/>
      <c r="AK746" s="15"/>
      <c r="AL746" s="15"/>
      <c r="AM746" s="15"/>
    </row>
    <row r="747" spans="2:39" ht="25.2" customHeight="1" x14ac:dyDescent="0.3">
      <c r="B747" s="13" t="str">
        <f t="shared" si="15"/>
        <v/>
      </c>
      <c r="C747" s="18"/>
      <c r="D747" s="19" t="str">
        <f>IF(Tabela2[[#This Row],[AGRUPADOR]]&lt;&gt;"",VLOOKUP(Tabela2[[#This Row],[AGRUPADOR]],Tabela1[],2,0),"")</f>
        <v/>
      </c>
      <c r="E747" s="19" t="str">
        <f>IF(Tabela2[[#This Row],[AGRUPADOR]]&lt;&gt;"",VLOOKUP(Tabela2[[#This Row],[AGRUPADOR]],Tabela1[],4,0),"")</f>
        <v/>
      </c>
      <c r="F747" s="14"/>
      <c r="G747" s="6"/>
      <c r="H747" s="6"/>
      <c r="I747" s="25"/>
      <c r="J747" s="7"/>
      <c r="K747" s="15"/>
      <c r="L747" s="379">
        <f>IF(H747&lt;&gt;"",J747*K747,SUMIFS(L748:L$9844,$F748:$F$9844,"*"&amp;F747&amp;"*",$H748:$H$9844,"&lt;&gt;"))</f>
        <v>0</v>
      </c>
      <c r="M747" s="379" t="str">
        <f>IF(Tabela2[[#This Row],[UNID.]]&lt;&gt;"",IFERROR(VLOOKUP(Tabela2[[#This Row],[AGRUPADOR]],Lucratividade!$D$4:$O$129,6,0),0),"")</f>
        <v/>
      </c>
      <c r="N747" s="379">
        <f>IF(H747&lt;&gt;"",J747*M747*I747,SUMIFS(N748:N$9844,$F748:$F$9844,"*"&amp;F747&amp;"*",$H748:$H$9844,"&lt;&gt;"))</f>
        <v>0</v>
      </c>
      <c r="O747" s="162" t="str">
        <f>IFERROR((-Tabela2[[#This Row],[CUSTO TOTAL]]+Tabela2[[#This Row],[VENDA TOTAL]])/Tabela2[[#This Row],[VENDA TOTAL]]-PARAMETROS!$C$19,"")</f>
        <v/>
      </c>
      <c r="AA747" s="220">
        <f>SUM(Plan_Orc[[#This Row],[01/jan]:[01/dez]])</f>
        <v>0</v>
      </c>
      <c r="AB747" s="9"/>
      <c r="AC747" s="9"/>
      <c r="AD747" s="9"/>
      <c r="AE747" s="9"/>
      <c r="AF747" s="9"/>
      <c r="AG747" s="9"/>
      <c r="AH747" s="9"/>
      <c r="AI747" s="9"/>
      <c r="AJ747" s="9"/>
      <c r="AK747" s="9"/>
      <c r="AL747" s="9"/>
      <c r="AM747" s="9"/>
    </row>
    <row r="748" spans="2:39" ht="25.2" customHeight="1" x14ac:dyDescent="0.3">
      <c r="B748" s="13" t="str">
        <f t="shared" si="15"/>
        <v/>
      </c>
      <c r="C748" s="18"/>
      <c r="D748" s="19" t="str">
        <f>IF(Tabela2[[#This Row],[AGRUPADOR]]&lt;&gt;"",VLOOKUP(Tabela2[[#This Row],[AGRUPADOR]],Tabela1[],2,0),"")</f>
        <v/>
      </c>
      <c r="E748" s="19" t="str">
        <f>IF(Tabela2[[#This Row],[AGRUPADOR]]&lt;&gt;"",VLOOKUP(Tabela2[[#This Row],[AGRUPADOR]],Tabela1[],4,0),"")</f>
        <v/>
      </c>
      <c r="F748" s="14"/>
      <c r="G748" s="6"/>
      <c r="H748" s="6"/>
      <c r="I748" s="25"/>
      <c r="J748" s="7"/>
      <c r="K748" s="15"/>
      <c r="L748" s="379">
        <f>IF(H748&lt;&gt;"",J748*K748,SUMIFS(L749:L$9844,$F749:$F$9844,"*"&amp;F748&amp;"*",$H749:$H$9844,"&lt;&gt;"))</f>
        <v>0</v>
      </c>
      <c r="M748" s="379" t="str">
        <f>IF(Tabela2[[#This Row],[UNID.]]&lt;&gt;"",IFERROR(VLOOKUP(Tabela2[[#This Row],[AGRUPADOR]],Lucratividade!$D$4:$O$129,6,0),0),"")</f>
        <v/>
      </c>
      <c r="N748" s="379">
        <f>IF(H748&lt;&gt;"",J748*M748*I748,SUMIFS(N749:N$9844,$F749:$F$9844,"*"&amp;F748&amp;"*",$H749:$H$9844,"&lt;&gt;"))</f>
        <v>0</v>
      </c>
      <c r="O748" s="162" t="str">
        <f>IFERROR((-Tabela2[[#This Row],[CUSTO TOTAL]]+Tabela2[[#This Row],[VENDA TOTAL]])/Tabela2[[#This Row],[VENDA TOTAL]]-PARAMETROS!$C$19,"")</f>
        <v/>
      </c>
      <c r="AA748" s="219">
        <f>SUM(Plan_Orc[[#This Row],[01/jan]:[01/dez]])</f>
        <v>0</v>
      </c>
      <c r="AB748" s="15"/>
      <c r="AC748" s="15"/>
      <c r="AD748" s="15"/>
      <c r="AE748" s="15"/>
      <c r="AF748" s="15"/>
      <c r="AG748" s="15"/>
      <c r="AH748" s="15"/>
      <c r="AI748" s="15"/>
      <c r="AJ748" s="15"/>
      <c r="AK748" s="15"/>
      <c r="AL748" s="15"/>
      <c r="AM748" s="15"/>
    </row>
    <row r="749" spans="2:39" ht="25.2" customHeight="1" x14ac:dyDescent="0.3">
      <c r="B749" s="13" t="str">
        <f t="shared" si="15"/>
        <v/>
      </c>
      <c r="C749" s="18"/>
      <c r="D749" s="19" t="str">
        <f>IF(Tabela2[[#This Row],[AGRUPADOR]]&lt;&gt;"",VLOOKUP(Tabela2[[#This Row],[AGRUPADOR]],Tabela1[],2,0),"")</f>
        <v/>
      </c>
      <c r="E749" s="19" t="str">
        <f>IF(Tabela2[[#This Row],[AGRUPADOR]]&lt;&gt;"",VLOOKUP(Tabela2[[#This Row],[AGRUPADOR]],Tabela1[],4,0),"")</f>
        <v/>
      </c>
      <c r="F749" s="14"/>
      <c r="G749" s="6"/>
      <c r="H749" s="6"/>
      <c r="I749" s="25"/>
      <c r="J749" s="7"/>
      <c r="K749" s="15"/>
      <c r="L749" s="379">
        <f>IF(H749&lt;&gt;"",J749*K749,SUMIFS(L750:L$9844,$F750:$F$9844,"*"&amp;F749&amp;"*",$H750:$H$9844,"&lt;&gt;"))</f>
        <v>0</v>
      </c>
      <c r="M749" s="379" t="str">
        <f>IF(Tabela2[[#This Row],[UNID.]]&lt;&gt;"",IFERROR(VLOOKUP(Tabela2[[#This Row],[AGRUPADOR]],Lucratividade!$D$4:$O$129,6,0),0),"")</f>
        <v/>
      </c>
      <c r="N749" s="379">
        <f>IF(H749&lt;&gt;"",J749*M749*I749,SUMIFS(N750:N$9844,$F750:$F$9844,"*"&amp;F749&amp;"*",$H750:$H$9844,"&lt;&gt;"))</f>
        <v>0</v>
      </c>
      <c r="O749" s="162" t="str">
        <f>IFERROR((-Tabela2[[#This Row],[CUSTO TOTAL]]+Tabela2[[#This Row],[VENDA TOTAL]])/Tabela2[[#This Row],[VENDA TOTAL]]-PARAMETROS!$C$19,"")</f>
        <v/>
      </c>
      <c r="AA749" s="219">
        <f>SUM(Plan_Orc[[#This Row],[01/jan]:[01/dez]])</f>
        <v>0</v>
      </c>
      <c r="AB749" s="15"/>
      <c r="AC749" s="15"/>
      <c r="AD749" s="15"/>
      <c r="AE749" s="15"/>
      <c r="AF749" s="15"/>
      <c r="AG749" s="15"/>
      <c r="AH749" s="15"/>
      <c r="AI749" s="15"/>
      <c r="AJ749" s="15"/>
      <c r="AK749" s="15"/>
      <c r="AL749" s="15"/>
      <c r="AM749" s="15"/>
    </row>
    <row r="750" spans="2:39" ht="25.2" customHeight="1" x14ac:dyDescent="0.3">
      <c r="B750" s="13" t="str">
        <f t="shared" si="15"/>
        <v/>
      </c>
      <c r="C750" s="18"/>
      <c r="D750" s="19" t="str">
        <f>IF(Tabela2[[#This Row],[AGRUPADOR]]&lt;&gt;"",VLOOKUP(Tabela2[[#This Row],[AGRUPADOR]],Tabela1[],2,0),"")</f>
        <v/>
      </c>
      <c r="E750" s="19" t="str">
        <f>IF(Tabela2[[#This Row],[AGRUPADOR]]&lt;&gt;"",VLOOKUP(Tabela2[[#This Row],[AGRUPADOR]],Tabela1[],4,0),"")</f>
        <v/>
      </c>
      <c r="F750" s="14"/>
      <c r="G750" s="6"/>
      <c r="H750" s="6"/>
      <c r="I750" s="25"/>
      <c r="J750" s="7"/>
      <c r="K750" s="15"/>
      <c r="L750" s="379">
        <f>IF(H750&lt;&gt;"",J750*K750,SUMIFS(L751:L$9844,$F751:$F$9844,"*"&amp;F750&amp;"*",$H751:$H$9844,"&lt;&gt;"))</f>
        <v>0</v>
      </c>
      <c r="M750" s="379" t="str">
        <f>IF(Tabela2[[#This Row],[UNID.]]&lt;&gt;"",IFERROR(VLOOKUP(Tabela2[[#This Row],[AGRUPADOR]],Lucratividade!$D$4:$O$129,6,0),0),"")</f>
        <v/>
      </c>
      <c r="N750" s="379">
        <f>IF(H750&lt;&gt;"",J750*M750*I750,SUMIFS(N751:N$9844,$F751:$F$9844,"*"&amp;F750&amp;"*",$H751:$H$9844,"&lt;&gt;"))</f>
        <v>0</v>
      </c>
      <c r="O750" s="162" t="str">
        <f>IFERROR((-Tabela2[[#This Row],[CUSTO TOTAL]]+Tabela2[[#This Row],[VENDA TOTAL]])/Tabela2[[#This Row],[VENDA TOTAL]]-PARAMETROS!$C$19,"")</f>
        <v/>
      </c>
      <c r="AA750" s="219">
        <f>SUM(Plan_Orc[[#This Row],[01/jan]:[01/dez]])</f>
        <v>0</v>
      </c>
      <c r="AB750" s="15"/>
      <c r="AC750" s="15"/>
      <c r="AD750" s="15"/>
      <c r="AE750" s="15"/>
      <c r="AF750" s="15"/>
      <c r="AG750" s="15"/>
      <c r="AH750" s="15"/>
      <c r="AI750" s="15"/>
      <c r="AJ750" s="15"/>
      <c r="AK750" s="15"/>
      <c r="AL750" s="15"/>
      <c r="AM750" s="15"/>
    </row>
    <row r="751" spans="2:39" ht="25.2" customHeight="1" x14ac:dyDescent="0.3">
      <c r="B751" s="13" t="str">
        <f t="shared" si="15"/>
        <v/>
      </c>
      <c r="C751" s="18"/>
      <c r="D751" s="19" t="str">
        <f>IF(Tabela2[[#This Row],[AGRUPADOR]]&lt;&gt;"",VLOOKUP(Tabela2[[#This Row],[AGRUPADOR]],Tabela1[],2,0),"")</f>
        <v/>
      </c>
      <c r="E751" s="19" t="str">
        <f>IF(Tabela2[[#This Row],[AGRUPADOR]]&lt;&gt;"",VLOOKUP(Tabela2[[#This Row],[AGRUPADOR]],Tabela1[],4,0),"")</f>
        <v/>
      </c>
      <c r="F751" s="14"/>
      <c r="G751" s="6"/>
      <c r="H751" s="6"/>
      <c r="I751" s="25"/>
      <c r="J751" s="7"/>
      <c r="K751" s="15"/>
      <c r="L751" s="379">
        <f>IF(H751&lt;&gt;"",J751*K751,SUMIFS(L752:L$9844,$F752:$F$9844,"*"&amp;F751&amp;"*",$H752:$H$9844,"&lt;&gt;"))</f>
        <v>0</v>
      </c>
      <c r="M751" s="379" t="str">
        <f>IF(Tabela2[[#This Row],[UNID.]]&lt;&gt;"",IFERROR(VLOOKUP(Tabela2[[#This Row],[AGRUPADOR]],Lucratividade!$D$4:$O$129,6,0),0),"")</f>
        <v/>
      </c>
      <c r="N751" s="379">
        <f>IF(H751&lt;&gt;"",J751*M751*I751,SUMIFS(N752:N$9844,$F752:$F$9844,"*"&amp;F751&amp;"*",$H752:$H$9844,"&lt;&gt;"))</f>
        <v>0</v>
      </c>
      <c r="O751" s="162" t="str">
        <f>IFERROR((-Tabela2[[#This Row],[CUSTO TOTAL]]+Tabela2[[#This Row],[VENDA TOTAL]])/Tabela2[[#This Row],[VENDA TOTAL]]-PARAMETROS!$C$19,"")</f>
        <v/>
      </c>
      <c r="AA751" s="219">
        <f>SUM(Plan_Orc[[#This Row],[01/jan]:[01/dez]])</f>
        <v>0</v>
      </c>
      <c r="AB751" s="15"/>
      <c r="AC751" s="15"/>
      <c r="AD751" s="15"/>
      <c r="AE751" s="15"/>
      <c r="AF751" s="15"/>
      <c r="AG751" s="15"/>
      <c r="AH751" s="15"/>
      <c r="AI751" s="15"/>
      <c r="AJ751" s="15"/>
      <c r="AK751" s="15"/>
      <c r="AL751" s="15"/>
      <c r="AM751" s="15"/>
    </row>
    <row r="752" spans="2:39" ht="25.2" customHeight="1" x14ac:dyDescent="0.3">
      <c r="B752" s="13" t="str">
        <f t="shared" si="15"/>
        <v/>
      </c>
      <c r="C752" s="18"/>
      <c r="D752" s="19" t="str">
        <f>IF(Tabela2[[#This Row],[AGRUPADOR]]&lt;&gt;"",VLOOKUP(Tabela2[[#This Row],[AGRUPADOR]],Tabela1[],2,0),"")</f>
        <v/>
      </c>
      <c r="E752" s="19" t="str">
        <f>IF(Tabela2[[#This Row],[AGRUPADOR]]&lt;&gt;"",VLOOKUP(Tabela2[[#This Row],[AGRUPADOR]],Tabela1[],4,0),"")</f>
        <v/>
      </c>
      <c r="F752" s="14"/>
      <c r="G752" s="6"/>
      <c r="H752" s="6"/>
      <c r="I752" s="25"/>
      <c r="J752" s="7"/>
      <c r="K752" s="15"/>
      <c r="L752" s="379">
        <f>IF(H752&lt;&gt;"",J752*K752,SUMIFS(L753:L$9844,$F753:$F$9844,"*"&amp;F752&amp;"*",$H753:$H$9844,"&lt;&gt;"))</f>
        <v>0</v>
      </c>
      <c r="M752" s="379" t="str">
        <f>IF(Tabela2[[#This Row],[UNID.]]&lt;&gt;"",IFERROR(VLOOKUP(Tabela2[[#This Row],[AGRUPADOR]],Lucratividade!$D$4:$O$129,6,0),0),"")</f>
        <v/>
      </c>
      <c r="N752" s="379">
        <f>IF(H752&lt;&gt;"",J752*M752*I752,SUMIFS(N753:N$9844,$F753:$F$9844,"*"&amp;F752&amp;"*",$H753:$H$9844,"&lt;&gt;"))</f>
        <v>0</v>
      </c>
      <c r="O752" s="162" t="str">
        <f>IFERROR((-Tabela2[[#This Row],[CUSTO TOTAL]]+Tabela2[[#This Row],[VENDA TOTAL]])/Tabela2[[#This Row],[VENDA TOTAL]]-PARAMETROS!$C$19,"")</f>
        <v/>
      </c>
      <c r="AA752" s="220">
        <f>SUM(Plan_Orc[[#This Row],[01/jan]:[01/dez]])</f>
        <v>0</v>
      </c>
      <c r="AB752" s="9"/>
      <c r="AC752" s="9"/>
      <c r="AD752" s="9"/>
      <c r="AE752" s="9"/>
      <c r="AF752" s="9"/>
      <c r="AG752" s="9"/>
      <c r="AH752" s="9"/>
      <c r="AI752" s="9"/>
      <c r="AJ752" s="9"/>
      <c r="AK752" s="9"/>
      <c r="AL752" s="9"/>
      <c r="AM752" s="9"/>
    </row>
    <row r="753" spans="2:39" ht="25.2" customHeight="1" x14ac:dyDescent="0.3">
      <c r="B753" s="13" t="str">
        <f t="shared" si="15"/>
        <v/>
      </c>
      <c r="C753" s="18"/>
      <c r="D753" s="19" t="str">
        <f>IF(Tabela2[[#This Row],[AGRUPADOR]]&lt;&gt;"",VLOOKUP(Tabela2[[#This Row],[AGRUPADOR]],Tabela1[],2,0),"")</f>
        <v/>
      </c>
      <c r="E753" s="19" t="str">
        <f>IF(Tabela2[[#This Row],[AGRUPADOR]]&lt;&gt;"",VLOOKUP(Tabela2[[#This Row],[AGRUPADOR]],Tabela1[],4,0),"")</f>
        <v/>
      </c>
      <c r="F753" s="14"/>
      <c r="G753" s="6"/>
      <c r="H753" s="6"/>
      <c r="I753" s="25"/>
      <c r="J753" s="7"/>
      <c r="K753" s="15"/>
      <c r="L753" s="379">
        <f>IF(H753&lt;&gt;"",J753*K753,SUMIFS(L754:L$9844,$F754:$F$9844,"*"&amp;F753&amp;"*",$H754:$H$9844,"&lt;&gt;"))</f>
        <v>0</v>
      </c>
      <c r="M753" s="379" t="str">
        <f>IF(Tabela2[[#This Row],[UNID.]]&lt;&gt;"",IFERROR(VLOOKUP(Tabela2[[#This Row],[AGRUPADOR]],Lucratividade!$D$4:$O$129,6,0),0),"")</f>
        <v/>
      </c>
      <c r="N753" s="379">
        <f>IF(H753&lt;&gt;"",J753*M753*I753,SUMIFS(N754:N$9844,$F754:$F$9844,"*"&amp;F753&amp;"*",$H754:$H$9844,"&lt;&gt;"))</f>
        <v>0</v>
      </c>
      <c r="O753" s="162" t="str">
        <f>IFERROR((-Tabela2[[#This Row],[CUSTO TOTAL]]+Tabela2[[#This Row],[VENDA TOTAL]])/Tabela2[[#This Row],[VENDA TOTAL]]-PARAMETROS!$C$19,"")</f>
        <v/>
      </c>
      <c r="AA753" s="218">
        <f>SUM(Plan_Orc[[#This Row],[01/jan]:[01/dez]])</f>
        <v>0</v>
      </c>
      <c r="AB753" s="12"/>
      <c r="AC753" s="12"/>
      <c r="AD753" s="12"/>
      <c r="AE753" s="12"/>
      <c r="AF753" s="12"/>
      <c r="AG753" s="12"/>
      <c r="AH753" s="12"/>
      <c r="AI753" s="12"/>
      <c r="AJ753" s="12"/>
      <c r="AK753" s="12"/>
      <c r="AL753" s="12"/>
      <c r="AM753" s="12"/>
    </row>
    <row r="754" spans="2:39" ht="25.2" customHeight="1" x14ac:dyDescent="0.3">
      <c r="B754" s="13" t="str">
        <f t="shared" si="15"/>
        <v/>
      </c>
      <c r="C754" s="18"/>
      <c r="D754" s="19" t="str">
        <f>IF(Tabela2[[#This Row],[AGRUPADOR]]&lt;&gt;"",VLOOKUP(Tabela2[[#This Row],[AGRUPADOR]],Tabela1[],2,0),"")</f>
        <v/>
      </c>
      <c r="E754" s="19" t="str">
        <f>IF(Tabela2[[#This Row],[AGRUPADOR]]&lt;&gt;"",VLOOKUP(Tabela2[[#This Row],[AGRUPADOR]],Tabela1[],4,0),"")</f>
        <v/>
      </c>
      <c r="F754" s="14"/>
      <c r="G754" s="6"/>
      <c r="H754" s="6"/>
      <c r="I754" s="25"/>
      <c r="J754" s="7"/>
      <c r="K754" s="15"/>
      <c r="L754" s="379">
        <f>IF(H754&lt;&gt;"",J754*K754,SUMIFS(L755:L$9844,$F755:$F$9844,"*"&amp;F754&amp;"*",$H755:$H$9844,"&lt;&gt;"))</f>
        <v>0</v>
      </c>
      <c r="M754" s="379" t="str">
        <f>IF(Tabela2[[#This Row],[UNID.]]&lt;&gt;"",IFERROR(VLOOKUP(Tabela2[[#This Row],[AGRUPADOR]],Lucratividade!$D$4:$O$129,6,0),0),"")</f>
        <v/>
      </c>
      <c r="N754" s="379">
        <f>IF(H754&lt;&gt;"",J754*M754*I754,SUMIFS(N755:N$9844,$F755:$F$9844,"*"&amp;F754&amp;"*",$H755:$H$9844,"&lt;&gt;"))</f>
        <v>0</v>
      </c>
      <c r="O754" s="162" t="str">
        <f>IFERROR((-Tabela2[[#This Row],[CUSTO TOTAL]]+Tabela2[[#This Row],[VENDA TOTAL]])/Tabela2[[#This Row],[VENDA TOTAL]]-PARAMETROS!$C$19,"")</f>
        <v/>
      </c>
      <c r="AA754" s="219">
        <f>SUM(Plan_Orc[[#This Row],[01/jan]:[01/dez]])</f>
        <v>0</v>
      </c>
      <c r="AB754" s="15"/>
      <c r="AC754" s="15"/>
      <c r="AD754" s="15"/>
      <c r="AE754" s="15"/>
      <c r="AF754" s="15"/>
      <c r="AG754" s="15"/>
      <c r="AH754" s="15"/>
      <c r="AI754" s="15"/>
      <c r="AJ754" s="15"/>
      <c r="AK754" s="15"/>
      <c r="AL754" s="15"/>
      <c r="AM754" s="15"/>
    </row>
    <row r="755" spans="2:39" ht="25.2" customHeight="1" x14ac:dyDescent="0.3">
      <c r="B755" s="13" t="str">
        <f t="shared" si="15"/>
        <v/>
      </c>
      <c r="C755" s="18"/>
      <c r="D755" s="19" t="str">
        <f>IF(Tabela2[[#This Row],[AGRUPADOR]]&lt;&gt;"",VLOOKUP(Tabela2[[#This Row],[AGRUPADOR]],Tabela1[],2,0),"")</f>
        <v/>
      </c>
      <c r="E755" s="19" t="str">
        <f>IF(Tabela2[[#This Row],[AGRUPADOR]]&lt;&gt;"",VLOOKUP(Tabela2[[#This Row],[AGRUPADOR]],Tabela1[],4,0),"")</f>
        <v/>
      </c>
      <c r="F755" s="14"/>
      <c r="G755" s="6"/>
      <c r="H755" s="6"/>
      <c r="I755" s="25"/>
      <c r="J755" s="7"/>
      <c r="K755" s="15"/>
      <c r="L755" s="379">
        <f>IF(H755&lt;&gt;"",J755*K755,SUMIFS(L756:L$9844,$F756:$F$9844,"*"&amp;F755&amp;"*",$H756:$H$9844,"&lt;&gt;"))</f>
        <v>0</v>
      </c>
      <c r="M755" s="379" t="str">
        <f>IF(Tabela2[[#This Row],[UNID.]]&lt;&gt;"",IFERROR(VLOOKUP(Tabela2[[#This Row],[AGRUPADOR]],Lucratividade!$D$4:$O$129,6,0),0),"")</f>
        <v/>
      </c>
      <c r="N755" s="379">
        <f>IF(H755&lt;&gt;"",J755*M755*I755,SUMIFS(N756:N$9844,$F756:$F$9844,"*"&amp;F755&amp;"*",$H756:$H$9844,"&lt;&gt;"))</f>
        <v>0</v>
      </c>
      <c r="O755" s="162" t="str">
        <f>IFERROR((-Tabela2[[#This Row],[CUSTO TOTAL]]+Tabela2[[#This Row],[VENDA TOTAL]])/Tabela2[[#This Row],[VENDA TOTAL]]-PARAMETROS!$C$19,"")</f>
        <v/>
      </c>
      <c r="AA755" s="222">
        <f>SUM(Plan_Orc[[#This Row],[01/jan]:[01/dez]])</f>
        <v>0</v>
      </c>
      <c r="AB755" s="161"/>
      <c r="AC755" s="161"/>
      <c r="AD755" s="161"/>
      <c r="AE755" s="161"/>
      <c r="AF755" s="161"/>
      <c r="AG755" s="161"/>
      <c r="AH755" s="161"/>
      <c r="AI755" s="161"/>
      <c r="AJ755" s="161"/>
      <c r="AK755" s="161"/>
      <c r="AL755" s="161"/>
      <c r="AM755" s="161"/>
    </row>
    <row r="756" spans="2:39" ht="25.2" customHeight="1" x14ac:dyDescent="0.3">
      <c r="B756" s="13" t="str">
        <f t="shared" si="15"/>
        <v/>
      </c>
      <c r="C756" s="18"/>
      <c r="D756" s="19" t="str">
        <f>IF(Tabela2[[#This Row],[AGRUPADOR]]&lt;&gt;"",VLOOKUP(Tabela2[[#This Row],[AGRUPADOR]],Tabela1[],2,0),"")</f>
        <v/>
      </c>
      <c r="E756" s="19" t="str">
        <f>IF(Tabela2[[#This Row],[AGRUPADOR]]&lt;&gt;"",VLOOKUP(Tabela2[[#This Row],[AGRUPADOR]],Tabela1[],4,0),"")</f>
        <v/>
      </c>
      <c r="F756" s="14"/>
      <c r="G756" s="6"/>
      <c r="H756" s="6"/>
      <c r="I756" s="25"/>
      <c r="J756" s="7"/>
      <c r="K756" s="15"/>
      <c r="L756" s="379">
        <f>IF(H756&lt;&gt;"",J756*K756,SUMIFS(L757:L$9844,$F757:$F$9844,"*"&amp;F756&amp;"*",$H757:$H$9844,"&lt;&gt;"))</f>
        <v>0</v>
      </c>
      <c r="M756" s="379" t="str">
        <f>IF(Tabela2[[#This Row],[UNID.]]&lt;&gt;"",IFERROR(VLOOKUP(Tabela2[[#This Row],[AGRUPADOR]],Lucratividade!$D$4:$O$129,6,0),0),"")</f>
        <v/>
      </c>
      <c r="N756" s="379">
        <f>IF(H756&lt;&gt;"",J756*M756*I756,SUMIFS(N757:N$9844,$F757:$F$9844,"*"&amp;F756&amp;"*",$H757:$H$9844,"&lt;&gt;"))</f>
        <v>0</v>
      </c>
      <c r="O756" s="162" t="str">
        <f>IFERROR((-Tabela2[[#This Row],[CUSTO TOTAL]]+Tabela2[[#This Row],[VENDA TOTAL]])/Tabela2[[#This Row],[VENDA TOTAL]]-PARAMETROS!$C$19,"")</f>
        <v/>
      </c>
      <c r="AA756" s="217">
        <f>SUM(Plan_Orc[[#This Row],[01/jan]:[01/dez]])</f>
        <v>0</v>
      </c>
      <c r="AB756" s="202"/>
      <c r="AC756" s="202"/>
      <c r="AD756" s="202"/>
      <c r="AE756" s="202"/>
      <c r="AF756" s="202"/>
      <c r="AG756" s="202"/>
      <c r="AH756" s="202"/>
      <c r="AI756" s="202"/>
      <c r="AJ756" s="202"/>
      <c r="AK756" s="202"/>
      <c r="AL756" s="202"/>
      <c r="AM756" s="202"/>
    </row>
    <row r="757" spans="2:39" ht="25.2" customHeight="1" x14ac:dyDescent="0.3">
      <c r="B757" s="13" t="str">
        <f t="shared" si="15"/>
        <v/>
      </c>
      <c r="C757" s="18"/>
      <c r="D757" s="19" t="str">
        <f>IF(Tabela2[[#This Row],[AGRUPADOR]]&lt;&gt;"",VLOOKUP(Tabela2[[#This Row],[AGRUPADOR]],Tabela1[],2,0),"")</f>
        <v/>
      </c>
      <c r="E757" s="19" t="str">
        <f>IF(Tabela2[[#This Row],[AGRUPADOR]]&lt;&gt;"",VLOOKUP(Tabela2[[#This Row],[AGRUPADOR]],Tabela1[],4,0),"")</f>
        <v/>
      </c>
      <c r="F757" s="14"/>
      <c r="G757" s="6"/>
      <c r="H757" s="6"/>
      <c r="I757" s="25"/>
      <c r="J757" s="7"/>
      <c r="K757" s="15"/>
      <c r="L757" s="379">
        <f>IF(H757&lt;&gt;"",J757*K757,SUMIFS(L758:L$9844,$F758:$F$9844,"*"&amp;F757&amp;"*",$H758:$H$9844,"&lt;&gt;"))</f>
        <v>0</v>
      </c>
      <c r="M757" s="379" t="str">
        <f>IF(Tabela2[[#This Row],[UNID.]]&lt;&gt;"",IFERROR(VLOOKUP(Tabela2[[#This Row],[AGRUPADOR]],Lucratividade!$D$4:$O$129,6,0),0),"")</f>
        <v/>
      </c>
      <c r="N757" s="379">
        <f>IF(H757&lt;&gt;"",J757*M757*I757,SUMIFS(N758:N$9844,$F758:$F$9844,"*"&amp;F757&amp;"*",$H758:$H$9844,"&lt;&gt;"))</f>
        <v>0</v>
      </c>
      <c r="O757" s="162" t="str">
        <f>IFERROR((-Tabela2[[#This Row],[CUSTO TOTAL]]+Tabela2[[#This Row],[VENDA TOTAL]])/Tabela2[[#This Row],[VENDA TOTAL]]-PARAMETROS!$C$19,"")</f>
        <v/>
      </c>
      <c r="AA757" s="218">
        <f>SUM(Plan_Orc[[#This Row],[01/jan]:[01/dez]])</f>
        <v>0</v>
      </c>
      <c r="AB757" s="12"/>
      <c r="AC757" s="12"/>
      <c r="AD757" s="12"/>
      <c r="AE757" s="12"/>
      <c r="AF757" s="12"/>
      <c r="AG757" s="12"/>
      <c r="AH757" s="12"/>
      <c r="AI757" s="12"/>
      <c r="AJ757" s="12"/>
      <c r="AK757" s="12"/>
      <c r="AL757" s="12"/>
      <c r="AM757" s="12"/>
    </row>
    <row r="758" spans="2:39" ht="25.2" customHeight="1" x14ac:dyDescent="0.3">
      <c r="B758" s="13" t="str">
        <f t="shared" si="15"/>
        <v/>
      </c>
      <c r="C758" s="18"/>
      <c r="D758" s="19" t="str">
        <f>IF(Tabela2[[#This Row],[AGRUPADOR]]&lt;&gt;"",VLOOKUP(Tabela2[[#This Row],[AGRUPADOR]],Tabela1[],2,0),"")</f>
        <v/>
      </c>
      <c r="E758" s="19" t="str">
        <f>IF(Tabela2[[#This Row],[AGRUPADOR]]&lt;&gt;"",VLOOKUP(Tabela2[[#This Row],[AGRUPADOR]],Tabela1[],4,0),"")</f>
        <v/>
      </c>
      <c r="F758" s="14"/>
      <c r="G758" s="6"/>
      <c r="H758" s="6"/>
      <c r="I758" s="25"/>
      <c r="J758" s="7"/>
      <c r="K758" s="15"/>
      <c r="L758" s="379">
        <f>IF(H758&lt;&gt;"",J758*K758,SUMIFS(L759:L$9844,$F759:$F$9844,"*"&amp;F758&amp;"*",$H759:$H$9844,"&lt;&gt;"))</f>
        <v>0</v>
      </c>
      <c r="M758" s="379" t="str">
        <f>IF(Tabela2[[#This Row],[UNID.]]&lt;&gt;"",IFERROR(VLOOKUP(Tabela2[[#This Row],[AGRUPADOR]],Lucratividade!$D$4:$O$129,6,0),0),"")</f>
        <v/>
      </c>
      <c r="N758" s="379">
        <f>IF(H758&lt;&gt;"",J758*M758*I758,SUMIFS(N759:N$9844,$F759:$F$9844,"*"&amp;F758&amp;"*",$H759:$H$9844,"&lt;&gt;"))</f>
        <v>0</v>
      </c>
      <c r="O758" s="162" t="str">
        <f>IFERROR((-Tabela2[[#This Row],[CUSTO TOTAL]]+Tabela2[[#This Row],[VENDA TOTAL]])/Tabela2[[#This Row],[VENDA TOTAL]]-PARAMETROS!$C$19,"")</f>
        <v/>
      </c>
      <c r="AA758" s="219">
        <f>SUM(Plan_Orc[[#This Row],[01/jan]:[01/dez]])</f>
        <v>0</v>
      </c>
      <c r="AB758" s="15"/>
      <c r="AC758" s="15"/>
      <c r="AD758" s="15"/>
      <c r="AE758" s="15"/>
      <c r="AF758" s="15"/>
      <c r="AG758" s="15"/>
      <c r="AH758" s="15"/>
      <c r="AI758" s="15"/>
      <c r="AJ758" s="15"/>
      <c r="AK758" s="15"/>
      <c r="AL758" s="15"/>
      <c r="AM758" s="15"/>
    </row>
    <row r="759" spans="2:39" ht="25.2" customHeight="1" x14ac:dyDescent="0.3">
      <c r="B759" s="13" t="str">
        <f t="shared" si="15"/>
        <v/>
      </c>
      <c r="C759" s="18"/>
      <c r="D759" s="19" t="str">
        <f>IF(Tabela2[[#This Row],[AGRUPADOR]]&lt;&gt;"",VLOOKUP(Tabela2[[#This Row],[AGRUPADOR]],Tabela1[],2,0),"")</f>
        <v/>
      </c>
      <c r="E759" s="19" t="str">
        <f>IF(Tabela2[[#This Row],[AGRUPADOR]]&lt;&gt;"",VLOOKUP(Tabela2[[#This Row],[AGRUPADOR]],Tabela1[],4,0),"")</f>
        <v/>
      </c>
      <c r="F759" s="14"/>
      <c r="G759" s="6"/>
      <c r="H759" s="6"/>
      <c r="I759" s="25"/>
      <c r="J759" s="7"/>
      <c r="K759" s="15"/>
      <c r="L759" s="379">
        <f>IF(H759&lt;&gt;"",J759*K759,SUMIFS(L760:L$9844,$F760:$F$9844,"*"&amp;F759&amp;"*",$H760:$H$9844,"&lt;&gt;"))</f>
        <v>0</v>
      </c>
      <c r="M759" s="379" t="str">
        <f>IF(Tabela2[[#This Row],[UNID.]]&lt;&gt;"",IFERROR(VLOOKUP(Tabela2[[#This Row],[AGRUPADOR]],Lucratividade!$D$4:$O$129,6,0),0),"")</f>
        <v/>
      </c>
      <c r="N759" s="379">
        <f>IF(H759&lt;&gt;"",J759*M759*I759,SUMIFS(N760:N$9844,$F760:$F$9844,"*"&amp;F759&amp;"*",$H760:$H$9844,"&lt;&gt;"))</f>
        <v>0</v>
      </c>
      <c r="O759" s="162" t="str">
        <f>IFERROR((-Tabela2[[#This Row],[CUSTO TOTAL]]+Tabela2[[#This Row],[VENDA TOTAL]])/Tabela2[[#This Row],[VENDA TOTAL]]-PARAMETROS!$C$19,"")</f>
        <v/>
      </c>
      <c r="AA759" s="217">
        <f>SUM(Plan_Orc[[#This Row],[01/jan]:[01/dez]])</f>
        <v>0</v>
      </c>
      <c r="AB759" s="202"/>
      <c r="AC759" s="202"/>
      <c r="AD759" s="202"/>
      <c r="AE759" s="202"/>
      <c r="AF759" s="202"/>
      <c r="AG759" s="202"/>
      <c r="AH759" s="202"/>
      <c r="AI759" s="202"/>
      <c r="AJ759" s="202"/>
      <c r="AK759" s="202"/>
      <c r="AL759" s="202"/>
      <c r="AM759" s="202"/>
    </row>
    <row r="760" spans="2:39" ht="25.2" customHeight="1" x14ac:dyDescent="0.3">
      <c r="B760" s="13" t="str">
        <f t="shared" si="15"/>
        <v/>
      </c>
      <c r="C760" s="18"/>
      <c r="D760" s="19" t="str">
        <f>IF(Tabela2[[#This Row],[AGRUPADOR]]&lt;&gt;"",VLOOKUP(Tabela2[[#This Row],[AGRUPADOR]],Tabela1[],2,0),"")</f>
        <v/>
      </c>
      <c r="E760" s="19" t="str">
        <f>IF(Tabela2[[#This Row],[AGRUPADOR]]&lt;&gt;"",VLOOKUP(Tabela2[[#This Row],[AGRUPADOR]],Tabela1[],4,0),"")</f>
        <v/>
      </c>
      <c r="F760" s="14"/>
      <c r="G760" s="6"/>
      <c r="H760" s="6"/>
      <c r="I760" s="25"/>
      <c r="J760" s="7"/>
      <c r="K760" s="15"/>
      <c r="L760" s="379">
        <f>IF(H760&lt;&gt;"",J760*K760,SUMIFS(L761:L$9844,$F761:$F$9844,"*"&amp;F760&amp;"*",$H761:$H$9844,"&lt;&gt;"))</f>
        <v>0</v>
      </c>
      <c r="M760" s="379" t="str">
        <f>IF(Tabela2[[#This Row],[UNID.]]&lt;&gt;"",IFERROR(VLOOKUP(Tabela2[[#This Row],[AGRUPADOR]],Lucratividade!$D$4:$O$129,6,0),0),"")</f>
        <v/>
      </c>
      <c r="N760" s="379">
        <f>IF(H760&lt;&gt;"",J760*M760*I760,SUMIFS(N761:N$9844,$F761:$F$9844,"*"&amp;F760&amp;"*",$H761:$H$9844,"&lt;&gt;"))</f>
        <v>0</v>
      </c>
      <c r="O760" s="162" t="str">
        <f>IFERROR((-Tabela2[[#This Row],[CUSTO TOTAL]]+Tabela2[[#This Row],[VENDA TOTAL]])/Tabela2[[#This Row],[VENDA TOTAL]]-PARAMETROS!$C$19,"")</f>
        <v/>
      </c>
      <c r="AA760" s="218">
        <f>SUM(Plan_Orc[[#This Row],[01/jan]:[01/dez]])</f>
        <v>0</v>
      </c>
      <c r="AB760" s="12"/>
      <c r="AC760" s="12"/>
      <c r="AD760" s="12"/>
      <c r="AE760" s="12"/>
      <c r="AF760" s="12"/>
      <c r="AG760" s="12"/>
      <c r="AH760" s="12"/>
      <c r="AI760" s="12"/>
      <c r="AJ760" s="12"/>
      <c r="AK760" s="12"/>
      <c r="AL760" s="12"/>
      <c r="AM760" s="12"/>
    </row>
    <row r="761" spans="2:39" ht="25.2" customHeight="1" x14ac:dyDescent="0.3">
      <c r="B761" s="13" t="str">
        <f t="shared" si="15"/>
        <v/>
      </c>
      <c r="C761" s="18"/>
      <c r="D761" s="19" t="str">
        <f>IF(Tabela2[[#This Row],[AGRUPADOR]]&lt;&gt;"",VLOOKUP(Tabela2[[#This Row],[AGRUPADOR]],Tabela1[],2,0),"")</f>
        <v/>
      </c>
      <c r="E761" s="19" t="str">
        <f>IF(Tabela2[[#This Row],[AGRUPADOR]]&lt;&gt;"",VLOOKUP(Tabela2[[#This Row],[AGRUPADOR]],Tabela1[],4,0),"")</f>
        <v/>
      </c>
      <c r="F761" s="14"/>
      <c r="G761" s="6"/>
      <c r="H761" s="6"/>
      <c r="I761" s="25"/>
      <c r="J761" s="7"/>
      <c r="K761" s="15"/>
      <c r="L761" s="379">
        <f>IF(H761&lt;&gt;"",J761*K761,SUMIFS(L762:L$9844,$F762:$F$9844,"*"&amp;F761&amp;"*",$H762:$H$9844,"&lt;&gt;"))</f>
        <v>0</v>
      </c>
      <c r="M761" s="379" t="str">
        <f>IF(Tabela2[[#This Row],[UNID.]]&lt;&gt;"",IFERROR(VLOOKUP(Tabela2[[#This Row],[AGRUPADOR]],Lucratividade!$D$4:$O$129,6,0),0),"")</f>
        <v/>
      </c>
      <c r="N761" s="379">
        <f>IF(H761&lt;&gt;"",J761*M761*I761,SUMIFS(N762:N$9844,$F762:$F$9844,"*"&amp;F761&amp;"*",$H762:$H$9844,"&lt;&gt;"))</f>
        <v>0</v>
      </c>
      <c r="O761" s="162" t="str">
        <f>IFERROR((-Tabela2[[#This Row],[CUSTO TOTAL]]+Tabela2[[#This Row],[VENDA TOTAL]])/Tabela2[[#This Row],[VENDA TOTAL]]-PARAMETROS!$C$19,"")</f>
        <v/>
      </c>
      <c r="AA761" s="219">
        <f>SUM(Plan_Orc[[#This Row],[01/jan]:[01/dez]])</f>
        <v>0</v>
      </c>
      <c r="AB761" s="15"/>
      <c r="AC761" s="15"/>
      <c r="AD761" s="15"/>
      <c r="AE761" s="15"/>
      <c r="AF761" s="15"/>
      <c r="AG761" s="15"/>
      <c r="AH761" s="15"/>
      <c r="AI761" s="15"/>
      <c r="AJ761" s="15"/>
      <c r="AK761" s="15"/>
      <c r="AL761" s="15"/>
      <c r="AM761" s="15"/>
    </row>
    <row r="762" spans="2:39" ht="25.2" customHeight="1" x14ac:dyDescent="0.3">
      <c r="B762" s="13" t="str">
        <f t="shared" si="15"/>
        <v/>
      </c>
      <c r="C762" s="18"/>
      <c r="D762" s="19" t="str">
        <f>IF(Tabela2[[#This Row],[AGRUPADOR]]&lt;&gt;"",VLOOKUP(Tabela2[[#This Row],[AGRUPADOR]],Tabela1[],2,0),"")</f>
        <v/>
      </c>
      <c r="E762" s="19" t="str">
        <f>IF(Tabela2[[#This Row],[AGRUPADOR]]&lt;&gt;"",VLOOKUP(Tabela2[[#This Row],[AGRUPADOR]],Tabela1[],4,0),"")</f>
        <v/>
      </c>
      <c r="F762" s="14"/>
      <c r="G762" s="6"/>
      <c r="H762" s="6"/>
      <c r="I762" s="25"/>
      <c r="J762" s="7"/>
      <c r="K762" s="15"/>
      <c r="L762" s="379">
        <f>IF(H762&lt;&gt;"",J762*K762,SUMIFS(L763:L$9844,$F763:$F$9844,"*"&amp;F762&amp;"*",$H763:$H$9844,"&lt;&gt;"))</f>
        <v>0</v>
      </c>
      <c r="M762" s="379" t="str">
        <f>IF(Tabela2[[#This Row],[UNID.]]&lt;&gt;"",IFERROR(VLOOKUP(Tabela2[[#This Row],[AGRUPADOR]],Lucratividade!$D$4:$O$129,6,0),0),"")</f>
        <v/>
      </c>
      <c r="N762" s="379">
        <f>IF(H762&lt;&gt;"",J762*M762*I762,SUMIFS(N763:N$9844,$F763:$F$9844,"*"&amp;F762&amp;"*",$H763:$H$9844,"&lt;&gt;"))</f>
        <v>0</v>
      </c>
      <c r="O762" s="162" t="str">
        <f>IFERROR((-Tabela2[[#This Row],[CUSTO TOTAL]]+Tabela2[[#This Row],[VENDA TOTAL]])/Tabela2[[#This Row],[VENDA TOTAL]]-PARAMETROS!$C$19,"")</f>
        <v/>
      </c>
      <c r="AA762" s="219">
        <f>SUM(Plan_Orc[[#This Row],[01/jan]:[01/dez]])</f>
        <v>0</v>
      </c>
      <c r="AB762" s="15"/>
      <c r="AC762" s="15"/>
      <c r="AD762" s="15"/>
      <c r="AE762" s="15"/>
      <c r="AF762" s="15"/>
      <c r="AG762" s="15"/>
      <c r="AH762" s="15"/>
      <c r="AI762" s="15"/>
      <c r="AJ762" s="15"/>
      <c r="AK762" s="15"/>
      <c r="AL762" s="15"/>
      <c r="AM762" s="15"/>
    </row>
    <row r="763" spans="2:39" ht="25.2" customHeight="1" x14ac:dyDescent="0.3">
      <c r="B763" s="13" t="str">
        <f t="shared" si="15"/>
        <v/>
      </c>
      <c r="C763" s="18"/>
      <c r="D763" s="19" t="str">
        <f>IF(Tabela2[[#This Row],[AGRUPADOR]]&lt;&gt;"",VLOOKUP(Tabela2[[#This Row],[AGRUPADOR]],Tabela1[],2,0),"")</f>
        <v/>
      </c>
      <c r="E763" s="19" t="str">
        <f>IF(Tabela2[[#This Row],[AGRUPADOR]]&lt;&gt;"",VLOOKUP(Tabela2[[#This Row],[AGRUPADOR]],Tabela1[],4,0),"")</f>
        <v/>
      </c>
      <c r="F763" s="14"/>
      <c r="G763" s="6"/>
      <c r="H763" s="6"/>
      <c r="I763" s="25"/>
      <c r="J763" s="7"/>
      <c r="K763" s="15"/>
      <c r="L763" s="379">
        <f>IF(H763&lt;&gt;"",J763*K763,SUMIFS(L764:L$9844,$F764:$F$9844,"*"&amp;F763&amp;"*",$H764:$H$9844,"&lt;&gt;"))</f>
        <v>0</v>
      </c>
      <c r="M763" s="379" t="str">
        <f>IF(Tabela2[[#This Row],[UNID.]]&lt;&gt;"",IFERROR(VLOOKUP(Tabela2[[#This Row],[AGRUPADOR]],Lucratividade!$D$4:$O$129,6,0),0),"")</f>
        <v/>
      </c>
      <c r="N763" s="379">
        <f>IF(H763&lt;&gt;"",J763*M763*I763,SUMIFS(N764:N$9844,$F764:$F$9844,"*"&amp;F763&amp;"*",$H764:$H$9844,"&lt;&gt;"))</f>
        <v>0</v>
      </c>
      <c r="O763" s="162" t="str">
        <f>IFERROR((-Tabela2[[#This Row],[CUSTO TOTAL]]+Tabela2[[#This Row],[VENDA TOTAL]])/Tabela2[[#This Row],[VENDA TOTAL]]-PARAMETROS!$C$19,"")</f>
        <v/>
      </c>
      <c r="AA763" s="219">
        <f>SUM(Plan_Orc[[#This Row],[01/jan]:[01/dez]])</f>
        <v>0</v>
      </c>
      <c r="AB763" s="15"/>
      <c r="AC763" s="15"/>
      <c r="AD763" s="15"/>
      <c r="AE763" s="15"/>
      <c r="AF763" s="15"/>
      <c r="AG763" s="15"/>
      <c r="AH763" s="15"/>
      <c r="AI763" s="15"/>
      <c r="AJ763" s="15"/>
      <c r="AK763" s="15"/>
      <c r="AL763" s="15"/>
      <c r="AM763" s="15"/>
    </row>
    <row r="764" spans="2:39" ht="25.2" customHeight="1" x14ac:dyDescent="0.3">
      <c r="B764" s="13" t="str">
        <f t="shared" si="15"/>
        <v/>
      </c>
      <c r="C764" s="18"/>
      <c r="D764" s="19" t="str">
        <f>IF(Tabela2[[#This Row],[AGRUPADOR]]&lt;&gt;"",VLOOKUP(Tabela2[[#This Row],[AGRUPADOR]],Tabela1[],2,0),"")</f>
        <v/>
      </c>
      <c r="E764" s="19" t="str">
        <f>IF(Tabela2[[#This Row],[AGRUPADOR]]&lt;&gt;"",VLOOKUP(Tabela2[[#This Row],[AGRUPADOR]],Tabela1[],4,0),"")</f>
        <v/>
      </c>
      <c r="F764" s="14"/>
      <c r="G764" s="6"/>
      <c r="H764" s="6"/>
      <c r="I764" s="25"/>
      <c r="J764" s="7"/>
      <c r="K764" s="15"/>
      <c r="L764" s="379">
        <f>IF(H764&lt;&gt;"",J764*K764,SUMIFS(L765:L$9844,$F765:$F$9844,"*"&amp;F764&amp;"*",$H765:$H$9844,"&lt;&gt;"))</f>
        <v>0</v>
      </c>
      <c r="M764" s="379" t="str">
        <f>IF(Tabela2[[#This Row],[UNID.]]&lt;&gt;"",IFERROR(VLOOKUP(Tabela2[[#This Row],[AGRUPADOR]],Lucratividade!$D$4:$O$129,6,0),0),"")</f>
        <v/>
      </c>
      <c r="N764" s="379">
        <f>IF(H764&lt;&gt;"",J764*M764*I764,SUMIFS(N765:N$9844,$F765:$F$9844,"*"&amp;F764&amp;"*",$H765:$H$9844,"&lt;&gt;"))</f>
        <v>0</v>
      </c>
      <c r="O764" s="162" t="str">
        <f>IFERROR((-Tabela2[[#This Row],[CUSTO TOTAL]]+Tabela2[[#This Row],[VENDA TOTAL]])/Tabela2[[#This Row],[VENDA TOTAL]]-PARAMETROS!$C$19,"")</f>
        <v/>
      </c>
      <c r="AA764" s="219">
        <f>SUM(Plan_Orc[[#This Row],[01/jan]:[01/dez]])</f>
        <v>0</v>
      </c>
      <c r="AB764" s="15"/>
      <c r="AC764" s="15"/>
      <c r="AD764" s="15"/>
      <c r="AE764" s="15"/>
      <c r="AF764" s="15"/>
      <c r="AG764" s="15"/>
      <c r="AH764" s="15"/>
      <c r="AI764" s="15"/>
      <c r="AJ764" s="15"/>
      <c r="AK764" s="15"/>
      <c r="AL764" s="15"/>
      <c r="AM764" s="15"/>
    </row>
    <row r="765" spans="2:39" ht="25.2" customHeight="1" x14ac:dyDescent="0.3">
      <c r="B765" s="13" t="str">
        <f t="shared" si="15"/>
        <v/>
      </c>
      <c r="C765" s="18"/>
      <c r="D765" s="19" t="str">
        <f>IF(Tabela2[[#This Row],[AGRUPADOR]]&lt;&gt;"",VLOOKUP(Tabela2[[#This Row],[AGRUPADOR]],Tabela1[],2,0),"")</f>
        <v/>
      </c>
      <c r="E765" s="19" t="str">
        <f>IF(Tabela2[[#This Row],[AGRUPADOR]]&lt;&gt;"",VLOOKUP(Tabela2[[#This Row],[AGRUPADOR]],Tabela1[],4,0),"")</f>
        <v/>
      </c>
      <c r="F765" s="14"/>
      <c r="G765" s="6"/>
      <c r="H765" s="6"/>
      <c r="I765" s="25"/>
      <c r="J765" s="7"/>
      <c r="K765" s="15"/>
      <c r="L765" s="379">
        <f>IF(H765&lt;&gt;"",J765*K765,SUMIFS(L766:L$9844,$F766:$F$9844,"*"&amp;F765&amp;"*",$H766:$H$9844,"&lt;&gt;"))</f>
        <v>0</v>
      </c>
      <c r="M765" s="379" t="str">
        <f>IF(Tabela2[[#This Row],[UNID.]]&lt;&gt;"",IFERROR(VLOOKUP(Tabela2[[#This Row],[AGRUPADOR]],Lucratividade!$D$4:$O$129,6,0),0),"")</f>
        <v/>
      </c>
      <c r="N765" s="379">
        <f>IF(H765&lt;&gt;"",J765*M765*I765,SUMIFS(N766:N$9844,$F766:$F$9844,"*"&amp;F765&amp;"*",$H766:$H$9844,"&lt;&gt;"))</f>
        <v>0</v>
      </c>
      <c r="O765" s="162" t="str">
        <f>IFERROR((-Tabela2[[#This Row],[CUSTO TOTAL]]+Tabela2[[#This Row],[VENDA TOTAL]])/Tabela2[[#This Row],[VENDA TOTAL]]-PARAMETROS!$C$19,"")</f>
        <v/>
      </c>
      <c r="AA765" s="219">
        <f>SUM(Plan_Orc[[#This Row],[01/jan]:[01/dez]])</f>
        <v>0</v>
      </c>
      <c r="AB765" s="15"/>
      <c r="AC765" s="15"/>
      <c r="AD765" s="15"/>
      <c r="AE765" s="15"/>
      <c r="AF765" s="15"/>
      <c r="AG765" s="15"/>
      <c r="AH765" s="15"/>
      <c r="AI765" s="15"/>
      <c r="AJ765" s="15"/>
      <c r="AK765" s="15"/>
      <c r="AL765" s="15"/>
      <c r="AM765" s="15"/>
    </row>
    <row r="766" spans="2:39" ht="25.2" customHeight="1" x14ac:dyDescent="0.3">
      <c r="B766" s="13" t="str">
        <f t="shared" si="15"/>
        <v/>
      </c>
      <c r="C766" s="18"/>
      <c r="D766" s="19" t="str">
        <f>IF(Tabela2[[#This Row],[AGRUPADOR]]&lt;&gt;"",VLOOKUP(Tabela2[[#This Row],[AGRUPADOR]],Tabela1[],2,0),"")</f>
        <v/>
      </c>
      <c r="E766" s="19" t="str">
        <f>IF(Tabela2[[#This Row],[AGRUPADOR]]&lt;&gt;"",VLOOKUP(Tabela2[[#This Row],[AGRUPADOR]],Tabela1[],4,0),"")</f>
        <v/>
      </c>
      <c r="F766" s="14"/>
      <c r="G766" s="6"/>
      <c r="H766" s="6"/>
      <c r="I766" s="25"/>
      <c r="J766" s="7"/>
      <c r="K766" s="15"/>
      <c r="L766" s="379">
        <f>IF(H766&lt;&gt;"",J766*K766,SUMIFS(L767:L$9844,$F767:$F$9844,"*"&amp;F766&amp;"*",$H767:$H$9844,"&lt;&gt;"))</f>
        <v>0</v>
      </c>
      <c r="M766" s="379" t="str">
        <f>IF(Tabela2[[#This Row],[UNID.]]&lt;&gt;"",IFERROR(VLOOKUP(Tabela2[[#This Row],[AGRUPADOR]],Lucratividade!$D$4:$O$129,6,0),0),"")</f>
        <v/>
      </c>
      <c r="N766" s="379">
        <f>IF(H766&lt;&gt;"",J766*M766*I766,SUMIFS(N767:N$9844,$F767:$F$9844,"*"&amp;F766&amp;"*",$H767:$H$9844,"&lt;&gt;"))</f>
        <v>0</v>
      </c>
      <c r="O766" s="162" t="str">
        <f>IFERROR((-Tabela2[[#This Row],[CUSTO TOTAL]]+Tabela2[[#This Row],[VENDA TOTAL]])/Tabela2[[#This Row],[VENDA TOTAL]]-PARAMETROS!$C$19,"")</f>
        <v/>
      </c>
      <c r="AA766" s="219">
        <f>SUM(Plan_Orc[[#This Row],[01/jan]:[01/dez]])</f>
        <v>0</v>
      </c>
      <c r="AB766" s="15"/>
      <c r="AC766" s="15"/>
      <c r="AD766" s="15"/>
      <c r="AE766" s="15"/>
      <c r="AF766" s="15"/>
      <c r="AG766" s="15"/>
      <c r="AH766" s="15"/>
      <c r="AI766" s="15"/>
      <c r="AJ766" s="15"/>
      <c r="AK766" s="15"/>
      <c r="AL766" s="15"/>
      <c r="AM766" s="15"/>
    </row>
    <row r="767" spans="2:39" ht="25.2" customHeight="1" x14ac:dyDescent="0.3">
      <c r="B767" s="13" t="str">
        <f t="shared" si="15"/>
        <v/>
      </c>
      <c r="C767" s="18"/>
      <c r="D767" s="19" t="str">
        <f>IF(Tabela2[[#This Row],[AGRUPADOR]]&lt;&gt;"",VLOOKUP(Tabela2[[#This Row],[AGRUPADOR]],Tabela1[],2,0),"")</f>
        <v/>
      </c>
      <c r="E767" s="19" t="str">
        <f>IF(Tabela2[[#This Row],[AGRUPADOR]]&lt;&gt;"",VLOOKUP(Tabela2[[#This Row],[AGRUPADOR]],Tabela1[],4,0),"")</f>
        <v/>
      </c>
      <c r="F767" s="14"/>
      <c r="G767" s="6"/>
      <c r="H767" s="6"/>
      <c r="I767" s="25"/>
      <c r="J767" s="7"/>
      <c r="K767" s="15"/>
      <c r="L767" s="379">
        <f>IF(H767&lt;&gt;"",J767*K767,SUMIFS(L768:L$9844,$F768:$F$9844,"*"&amp;F767&amp;"*",$H768:$H$9844,"&lt;&gt;"))</f>
        <v>0</v>
      </c>
      <c r="M767" s="379" t="str">
        <f>IF(Tabela2[[#This Row],[UNID.]]&lt;&gt;"",IFERROR(VLOOKUP(Tabela2[[#This Row],[AGRUPADOR]],Lucratividade!$D$4:$O$129,6,0),0),"")</f>
        <v/>
      </c>
      <c r="N767" s="379">
        <f>IF(H767&lt;&gt;"",J767*M767*I767,SUMIFS(N768:N$9844,$F768:$F$9844,"*"&amp;F767&amp;"*",$H768:$H$9844,"&lt;&gt;"))</f>
        <v>0</v>
      </c>
      <c r="O767" s="162" t="str">
        <f>IFERROR((-Tabela2[[#This Row],[CUSTO TOTAL]]+Tabela2[[#This Row],[VENDA TOTAL]])/Tabela2[[#This Row],[VENDA TOTAL]]-PARAMETROS!$C$19,"")</f>
        <v/>
      </c>
      <c r="AA767" s="219">
        <f>SUM(Plan_Orc[[#This Row],[01/jan]:[01/dez]])</f>
        <v>0</v>
      </c>
      <c r="AB767" s="15"/>
      <c r="AC767" s="15"/>
      <c r="AD767" s="15"/>
      <c r="AE767" s="15"/>
      <c r="AF767" s="15"/>
      <c r="AG767" s="15"/>
      <c r="AH767" s="15"/>
      <c r="AI767" s="15"/>
      <c r="AJ767" s="15"/>
      <c r="AK767" s="15"/>
      <c r="AL767" s="15"/>
      <c r="AM767" s="15"/>
    </row>
    <row r="768" spans="2:39" ht="25.2" customHeight="1" x14ac:dyDescent="0.3">
      <c r="B768" s="13" t="str">
        <f t="shared" si="15"/>
        <v/>
      </c>
      <c r="C768" s="18"/>
      <c r="D768" s="19" t="str">
        <f>IF(Tabela2[[#This Row],[AGRUPADOR]]&lt;&gt;"",VLOOKUP(Tabela2[[#This Row],[AGRUPADOR]],Tabela1[],2,0),"")</f>
        <v/>
      </c>
      <c r="E768" s="19" t="str">
        <f>IF(Tabela2[[#This Row],[AGRUPADOR]]&lt;&gt;"",VLOOKUP(Tabela2[[#This Row],[AGRUPADOR]],Tabela1[],4,0),"")</f>
        <v/>
      </c>
      <c r="F768" s="14"/>
      <c r="G768" s="6"/>
      <c r="H768" s="6"/>
      <c r="I768" s="25"/>
      <c r="J768" s="7"/>
      <c r="K768" s="15"/>
      <c r="L768" s="379">
        <f>IF(H768&lt;&gt;"",J768*K768,SUMIFS(L769:L$9844,$F769:$F$9844,"*"&amp;F768&amp;"*",$H769:$H$9844,"&lt;&gt;"))</f>
        <v>0</v>
      </c>
      <c r="M768" s="379" t="str">
        <f>IF(Tabela2[[#This Row],[UNID.]]&lt;&gt;"",IFERROR(VLOOKUP(Tabela2[[#This Row],[AGRUPADOR]],Lucratividade!$D$4:$O$129,6,0),0),"")</f>
        <v/>
      </c>
      <c r="N768" s="379">
        <f>IF(H768&lt;&gt;"",J768*M768*I768,SUMIFS(N769:N$9844,$F769:$F$9844,"*"&amp;F768&amp;"*",$H769:$H$9844,"&lt;&gt;"))</f>
        <v>0</v>
      </c>
      <c r="O768" s="162" t="str">
        <f>IFERROR((-Tabela2[[#This Row],[CUSTO TOTAL]]+Tabela2[[#This Row],[VENDA TOTAL]])/Tabela2[[#This Row],[VENDA TOTAL]]-PARAMETROS!$C$19,"")</f>
        <v/>
      </c>
      <c r="AA768" s="219">
        <f>SUM(Plan_Orc[[#This Row],[01/jan]:[01/dez]])</f>
        <v>0</v>
      </c>
      <c r="AB768" s="15"/>
      <c r="AC768" s="15"/>
      <c r="AD768" s="15"/>
      <c r="AE768" s="15"/>
      <c r="AF768" s="15"/>
      <c r="AG768" s="15"/>
      <c r="AH768" s="15"/>
      <c r="AI768" s="15"/>
      <c r="AJ768" s="15"/>
      <c r="AK768" s="15"/>
      <c r="AL768" s="15"/>
      <c r="AM768" s="15"/>
    </row>
    <row r="769" spans="2:39" ht="25.2" customHeight="1" x14ac:dyDescent="0.3">
      <c r="B769" s="13" t="str">
        <f t="shared" si="15"/>
        <v/>
      </c>
      <c r="C769" s="18"/>
      <c r="D769" s="19" t="str">
        <f>IF(Tabela2[[#This Row],[AGRUPADOR]]&lt;&gt;"",VLOOKUP(Tabela2[[#This Row],[AGRUPADOR]],Tabela1[],2,0),"")</f>
        <v/>
      </c>
      <c r="E769" s="19" t="str">
        <f>IF(Tabela2[[#This Row],[AGRUPADOR]]&lt;&gt;"",VLOOKUP(Tabela2[[#This Row],[AGRUPADOR]],Tabela1[],4,0),"")</f>
        <v/>
      </c>
      <c r="F769" s="14"/>
      <c r="G769" s="6"/>
      <c r="H769" s="6"/>
      <c r="I769" s="25"/>
      <c r="J769" s="7"/>
      <c r="K769" s="15"/>
      <c r="L769" s="379">
        <f>IF(H769&lt;&gt;"",J769*K769,SUMIFS(L770:L$9844,$F770:$F$9844,"*"&amp;F769&amp;"*",$H770:$H$9844,"&lt;&gt;"))</f>
        <v>0</v>
      </c>
      <c r="M769" s="379" t="str">
        <f>IF(Tabela2[[#This Row],[UNID.]]&lt;&gt;"",IFERROR(VLOOKUP(Tabela2[[#This Row],[AGRUPADOR]],Lucratividade!$D$4:$O$129,6,0),0),"")</f>
        <v/>
      </c>
      <c r="N769" s="379">
        <f>IF(H769&lt;&gt;"",J769*M769*I769,SUMIFS(N770:N$9844,$F770:$F$9844,"*"&amp;F769&amp;"*",$H770:$H$9844,"&lt;&gt;"))</f>
        <v>0</v>
      </c>
      <c r="O769" s="162" t="str">
        <f>IFERROR((-Tabela2[[#This Row],[CUSTO TOTAL]]+Tabela2[[#This Row],[VENDA TOTAL]])/Tabela2[[#This Row],[VENDA TOTAL]]-PARAMETROS!$C$19,"")</f>
        <v/>
      </c>
      <c r="AA769" s="219">
        <f>SUM(Plan_Orc[[#This Row],[01/jan]:[01/dez]])</f>
        <v>0</v>
      </c>
      <c r="AB769" s="15"/>
      <c r="AC769" s="15"/>
      <c r="AD769" s="15"/>
      <c r="AE769" s="15"/>
      <c r="AF769" s="15"/>
      <c r="AG769" s="15"/>
      <c r="AH769" s="15"/>
      <c r="AI769" s="15"/>
      <c r="AJ769" s="15"/>
      <c r="AK769" s="15"/>
      <c r="AL769" s="15"/>
      <c r="AM769" s="15"/>
    </row>
    <row r="770" spans="2:39" ht="25.2" customHeight="1" x14ac:dyDescent="0.3">
      <c r="B770" s="13" t="str">
        <f t="shared" si="15"/>
        <v/>
      </c>
      <c r="C770" s="18"/>
      <c r="D770" s="19" t="str">
        <f>IF(Tabela2[[#This Row],[AGRUPADOR]]&lt;&gt;"",VLOOKUP(Tabela2[[#This Row],[AGRUPADOR]],Tabela1[],2,0),"")</f>
        <v/>
      </c>
      <c r="E770" s="19" t="str">
        <f>IF(Tabela2[[#This Row],[AGRUPADOR]]&lt;&gt;"",VLOOKUP(Tabela2[[#This Row],[AGRUPADOR]],Tabela1[],4,0),"")</f>
        <v/>
      </c>
      <c r="F770" s="14"/>
      <c r="G770" s="6"/>
      <c r="H770" s="6"/>
      <c r="I770" s="25"/>
      <c r="J770" s="7"/>
      <c r="K770" s="15"/>
      <c r="L770" s="379">
        <f>IF(H770&lt;&gt;"",J770*K770,SUMIFS(L771:L$9844,$F771:$F$9844,"*"&amp;F770&amp;"*",$H771:$H$9844,"&lt;&gt;"))</f>
        <v>0</v>
      </c>
      <c r="M770" s="379" t="str">
        <f>IF(Tabela2[[#This Row],[UNID.]]&lt;&gt;"",IFERROR(VLOOKUP(Tabela2[[#This Row],[AGRUPADOR]],Lucratividade!$D$4:$O$129,6,0),0),"")</f>
        <v/>
      </c>
      <c r="N770" s="379">
        <f>IF(H770&lt;&gt;"",J770*M770*I770,SUMIFS(N771:N$9844,$F771:$F$9844,"*"&amp;F770&amp;"*",$H771:$H$9844,"&lt;&gt;"))</f>
        <v>0</v>
      </c>
      <c r="O770" s="162" t="str">
        <f>IFERROR((-Tabela2[[#This Row],[CUSTO TOTAL]]+Tabela2[[#This Row],[VENDA TOTAL]])/Tabela2[[#This Row],[VENDA TOTAL]]-PARAMETROS!$C$19,"")</f>
        <v/>
      </c>
      <c r="AA770" s="219">
        <f>SUM(Plan_Orc[[#This Row],[01/jan]:[01/dez]])</f>
        <v>0</v>
      </c>
      <c r="AB770" s="15"/>
      <c r="AC770" s="15"/>
      <c r="AD770" s="15"/>
      <c r="AE770" s="15"/>
      <c r="AF770" s="15"/>
      <c r="AG770" s="15"/>
      <c r="AH770" s="15"/>
      <c r="AI770" s="15"/>
      <c r="AJ770" s="15"/>
      <c r="AK770" s="15"/>
      <c r="AL770" s="15"/>
      <c r="AM770" s="15"/>
    </row>
    <row r="771" spans="2:39" ht="25.2" customHeight="1" x14ac:dyDescent="0.3">
      <c r="B771" s="13" t="str">
        <f t="shared" si="15"/>
        <v/>
      </c>
      <c r="C771" s="18"/>
      <c r="D771" s="19" t="str">
        <f>IF(Tabela2[[#This Row],[AGRUPADOR]]&lt;&gt;"",VLOOKUP(Tabela2[[#This Row],[AGRUPADOR]],Tabela1[],2,0),"")</f>
        <v/>
      </c>
      <c r="E771" s="19" t="str">
        <f>IF(Tabela2[[#This Row],[AGRUPADOR]]&lt;&gt;"",VLOOKUP(Tabela2[[#This Row],[AGRUPADOR]],Tabela1[],4,0),"")</f>
        <v/>
      </c>
      <c r="F771" s="14"/>
      <c r="G771" s="6"/>
      <c r="H771" s="6"/>
      <c r="I771" s="25"/>
      <c r="J771" s="7"/>
      <c r="K771" s="15"/>
      <c r="L771" s="379">
        <f>IF(H771&lt;&gt;"",J771*K771,SUMIFS(L772:L$9844,$F772:$F$9844,"*"&amp;F771&amp;"*",$H772:$H$9844,"&lt;&gt;"))</f>
        <v>0</v>
      </c>
      <c r="M771" s="379" t="str">
        <f>IF(Tabela2[[#This Row],[UNID.]]&lt;&gt;"",IFERROR(VLOOKUP(Tabela2[[#This Row],[AGRUPADOR]],Lucratividade!$D$4:$O$129,6,0),0),"")</f>
        <v/>
      </c>
      <c r="N771" s="379">
        <f>IF(H771&lt;&gt;"",J771*M771*I771,SUMIFS(N772:N$9844,$F772:$F$9844,"*"&amp;F771&amp;"*",$H772:$H$9844,"&lt;&gt;"))</f>
        <v>0</v>
      </c>
      <c r="O771" s="162" t="str">
        <f>IFERROR((-Tabela2[[#This Row],[CUSTO TOTAL]]+Tabela2[[#This Row],[VENDA TOTAL]])/Tabela2[[#This Row],[VENDA TOTAL]]-PARAMETROS!$C$19,"")</f>
        <v/>
      </c>
      <c r="AA771" s="219">
        <f>SUM(Plan_Orc[[#This Row],[01/jan]:[01/dez]])</f>
        <v>0</v>
      </c>
      <c r="AB771" s="15"/>
      <c r="AC771" s="15"/>
      <c r="AD771" s="15"/>
      <c r="AE771" s="15"/>
      <c r="AF771" s="15"/>
      <c r="AG771" s="15"/>
      <c r="AH771" s="15"/>
      <c r="AI771" s="15"/>
      <c r="AJ771" s="15"/>
      <c r="AK771" s="15"/>
      <c r="AL771" s="15"/>
      <c r="AM771" s="15"/>
    </row>
    <row r="772" spans="2:39" ht="25.2" customHeight="1" x14ac:dyDescent="0.3">
      <c r="B772" s="13" t="str">
        <f t="shared" ref="B772:B835" si="16">IF(LEN(F772)=3,1,"")</f>
        <v/>
      </c>
      <c r="C772" s="18"/>
      <c r="D772" s="19" t="str">
        <f>IF(Tabela2[[#This Row],[AGRUPADOR]]&lt;&gt;"",VLOOKUP(Tabela2[[#This Row],[AGRUPADOR]],Tabela1[],2,0),"")</f>
        <v/>
      </c>
      <c r="E772" s="19" t="str">
        <f>IF(Tabela2[[#This Row],[AGRUPADOR]]&lt;&gt;"",VLOOKUP(Tabela2[[#This Row],[AGRUPADOR]],Tabela1[],4,0),"")</f>
        <v/>
      </c>
      <c r="F772" s="14"/>
      <c r="G772" s="6"/>
      <c r="H772" s="6"/>
      <c r="I772" s="25"/>
      <c r="J772" s="7"/>
      <c r="K772" s="15"/>
      <c r="L772" s="379">
        <f>IF(H772&lt;&gt;"",J772*K772,SUMIFS(L773:L$9844,$F773:$F$9844,"*"&amp;F772&amp;"*",$H773:$H$9844,"&lt;&gt;"))</f>
        <v>0</v>
      </c>
      <c r="M772" s="379" t="str">
        <f>IF(Tabela2[[#This Row],[UNID.]]&lt;&gt;"",IFERROR(VLOOKUP(Tabela2[[#This Row],[AGRUPADOR]],Lucratividade!$D$4:$O$129,6,0),0),"")</f>
        <v/>
      </c>
      <c r="N772" s="379">
        <f>IF(H772&lt;&gt;"",J772*M772*I772,SUMIFS(N773:N$9844,$F773:$F$9844,"*"&amp;F772&amp;"*",$H773:$H$9844,"&lt;&gt;"))</f>
        <v>0</v>
      </c>
      <c r="O772" s="162" t="str">
        <f>IFERROR((-Tabela2[[#This Row],[CUSTO TOTAL]]+Tabela2[[#This Row],[VENDA TOTAL]])/Tabela2[[#This Row],[VENDA TOTAL]]-PARAMETROS!$C$19,"")</f>
        <v/>
      </c>
      <c r="AA772" s="219">
        <f>SUM(Plan_Orc[[#This Row],[01/jan]:[01/dez]])</f>
        <v>0</v>
      </c>
      <c r="AB772" s="15"/>
      <c r="AC772" s="15"/>
      <c r="AD772" s="15"/>
      <c r="AE772" s="15"/>
      <c r="AF772" s="15"/>
      <c r="AG772" s="15"/>
      <c r="AH772" s="15"/>
      <c r="AI772" s="15"/>
      <c r="AJ772" s="15"/>
      <c r="AK772" s="15"/>
      <c r="AL772" s="15"/>
      <c r="AM772" s="15"/>
    </row>
    <row r="773" spans="2:39" ht="25.2" customHeight="1" x14ac:dyDescent="0.3">
      <c r="B773" s="13" t="str">
        <f t="shared" si="16"/>
        <v/>
      </c>
      <c r="C773" s="18"/>
      <c r="D773" s="19" t="str">
        <f>IF(Tabela2[[#This Row],[AGRUPADOR]]&lt;&gt;"",VLOOKUP(Tabela2[[#This Row],[AGRUPADOR]],Tabela1[],2,0),"")</f>
        <v/>
      </c>
      <c r="E773" s="19" t="str">
        <f>IF(Tabela2[[#This Row],[AGRUPADOR]]&lt;&gt;"",VLOOKUP(Tabela2[[#This Row],[AGRUPADOR]],Tabela1[],4,0),"")</f>
        <v/>
      </c>
      <c r="F773" s="14"/>
      <c r="G773" s="6"/>
      <c r="H773" s="6"/>
      <c r="I773" s="25"/>
      <c r="J773" s="7"/>
      <c r="K773" s="15"/>
      <c r="L773" s="379">
        <f>IF(H773&lt;&gt;"",J773*K773,SUMIFS(L774:L$9844,$F774:$F$9844,"*"&amp;F773&amp;"*",$H774:$H$9844,"&lt;&gt;"))</f>
        <v>0</v>
      </c>
      <c r="M773" s="379" t="str">
        <f>IF(Tabela2[[#This Row],[UNID.]]&lt;&gt;"",IFERROR(VLOOKUP(Tabela2[[#This Row],[AGRUPADOR]],Lucratividade!$D$4:$O$129,6,0),0),"")</f>
        <v/>
      </c>
      <c r="N773" s="379">
        <f>IF(H773&lt;&gt;"",J773*M773*I773,SUMIFS(N774:N$9844,$F774:$F$9844,"*"&amp;F773&amp;"*",$H774:$H$9844,"&lt;&gt;"))</f>
        <v>0</v>
      </c>
      <c r="O773" s="162" t="str">
        <f>IFERROR((-Tabela2[[#This Row],[CUSTO TOTAL]]+Tabela2[[#This Row],[VENDA TOTAL]])/Tabela2[[#This Row],[VENDA TOTAL]]-PARAMETROS!$C$19,"")</f>
        <v/>
      </c>
      <c r="AA773" s="219">
        <f>SUM(Plan_Orc[[#This Row],[01/jan]:[01/dez]])</f>
        <v>0</v>
      </c>
      <c r="AB773" s="15"/>
      <c r="AC773" s="15"/>
      <c r="AD773" s="15"/>
      <c r="AE773" s="15"/>
      <c r="AF773" s="15"/>
      <c r="AG773" s="15"/>
      <c r="AH773" s="15"/>
      <c r="AI773" s="15"/>
      <c r="AJ773" s="15"/>
      <c r="AK773" s="15"/>
      <c r="AL773" s="15"/>
      <c r="AM773" s="15"/>
    </row>
    <row r="774" spans="2:39" ht="25.2" customHeight="1" x14ac:dyDescent="0.3">
      <c r="B774" s="13" t="str">
        <f t="shared" si="16"/>
        <v/>
      </c>
      <c r="C774" s="18"/>
      <c r="D774" s="19" t="str">
        <f>IF(Tabela2[[#This Row],[AGRUPADOR]]&lt;&gt;"",VLOOKUP(Tabela2[[#This Row],[AGRUPADOR]],Tabela1[],2,0),"")</f>
        <v/>
      </c>
      <c r="E774" s="19" t="str">
        <f>IF(Tabela2[[#This Row],[AGRUPADOR]]&lt;&gt;"",VLOOKUP(Tabela2[[#This Row],[AGRUPADOR]],Tabela1[],4,0),"")</f>
        <v/>
      </c>
      <c r="F774" s="14"/>
      <c r="G774" s="6"/>
      <c r="H774" s="6"/>
      <c r="I774" s="25"/>
      <c r="J774" s="7"/>
      <c r="K774" s="15"/>
      <c r="L774" s="379">
        <f>IF(H774&lt;&gt;"",J774*K774,SUMIFS(L775:L$9844,$F775:$F$9844,"*"&amp;F774&amp;"*",$H775:$H$9844,"&lt;&gt;"))</f>
        <v>0</v>
      </c>
      <c r="M774" s="379" t="str">
        <f>IF(Tabela2[[#This Row],[UNID.]]&lt;&gt;"",IFERROR(VLOOKUP(Tabela2[[#This Row],[AGRUPADOR]],Lucratividade!$D$4:$O$129,6,0),0),"")</f>
        <v/>
      </c>
      <c r="N774" s="379">
        <f>IF(H774&lt;&gt;"",J774*M774*I774,SUMIFS(N775:N$9844,$F775:$F$9844,"*"&amp;F774&amp;"*",$H775:$H$9844,"&lt;&gt;"))</f>
        <v>0</v>
      </c>
      <c r="O774" s="162" t="str">
        <f>IFERROR((-Tabela2[[#This Row],[CUSTO TOTAL]]+Tabela2[[#This Row],[VENDA TOTAL]])/Tabela2[[#This Row],[VENDA TOTAL]]-PARAMETROS!$C$19,"")</f>
        <v/>
      </c>
      <c r="AA774" s="219">
        <f>SUM(Plan_Orc[[#This Row],[01/jan]:[01/dez]])</f>
        <v>0</v>
      </c>
      <c r="AB774" s="15"/>
      <c r="AC774" s="15"/>
      <c r="AD774" s="15"/>
      <c r="AE774" s="15"/>
      <c r="AF774" s="15"/>
      <c r="AG774" s="15"/>
      <c r="AH774" s="15"/>
      <c r="AI774" s="15"/>
      <c r="AJ774" s="15"/>
      <c r="AK774" s="15"/>
      <c r="AL774" s="15"/>
      <c r="AM774" s="15"/>
    </row>
    <row r="775" spans="2:39" ht="25.2" customHeight="1" x14ac:dyDescent="0.3">
      <c r="B775" s="13" t="str">
        <f t="shared" si="16"/>
        <v/>
      </c>
      <c r="C775" s="18"/>
      <c r="D775" s="19" t="str">
        <f>IF(Tabela2[[#This Row],[AGRUPADOR]]&lt;&gt;"",VLOOKUP(Tabela2[[#This Row],[AGRUPADOR]],Tabela1[],2,0),"")</f>
        <v/>
      </c>
      <c r="E775" s="19" t="str">
        <f>IF(Tabela2[[#This Row],[AGRUPADOR]]&lt;&gt;"",VLOOKUP(Tabela2[[#This Row],[AGRUPADOR]],Tabela1[],4,0),"")</f>
        <v/>
      </c>
      <c r="F775" s="14"/>
      <c r="G775" s="6"/>
      <c r="H775" s="6"/>
      <c r="I775" s="25"/>
      <c r="J775" s="7"/>
      <c r="K775" s="15"/>
      <c r="L775" s="379">
        <f>IF(H775&lt;&gt;"",J775*K775,SUMIFS(L776:L$9844,$F776:$F$9844,"*"&amp;F775&amp;"*",$H776:$H$9844,"&lt;&gt;"))</f>
        <v>0</v>
      </c>
      <c r="M775" s="379" t="str">
        <f>IF(Tabela2[[#This Row],[UNID.]]&lt;&gt;"",IFERROR(VLOOKUP(Tabela2[[#This Row],[AGRUPADOR]],Lucratividade!$D$4:$O$129,6,0),0),"")</f>
        <v/>
      </c>
      <c r="N775" s="379">
        <f>IF(H775&lt;&gt;"",J775*M775*I775,SUMIFS(N776:N$9844,$F776:$F$9844,"*"&amp;F775&amp;"*",$H776:$H$9844,"&lt;&gt;"))</f>
        <v>0</v>
      </c>
      <c r="O775" s="162" t="str">
        <f>IFERROR((-Tabela2[[#This Row],[CUSTO TOTAL]]+Tabela2[[#This Row],[VENDA TOTAL]])/Tabela2[[#This Row],[VENDA TOTAL]]-PARAMETROS!$C$19,"")</f>
        <v/>
      </c>
      <c r="AA775" s="219">
        <f>SUM(Plan_Orc[[#This Row],[01/jan]:[01/dez]])</f>
        <v>0</v>
      </c>
      <c r="AB775" s="15"/>
      <c r="AC775" s="15"/>
      <c r="AD775" s="15"/>
      <c r="AE775" s="15"/>
      <c r="AF775" s="15"/>
      <c r="AG775" s="15"/>
      <c r="AH775" s="15"/>
      <c r="AI775" s="15"/>
      <c r="AJ775" s="15"/>
      <c r="AK775" s="15"/>
      <c r="AL775" s="15"/>
      <c r="AM775" s="15"/>
    </row>
    <row r="776" spans="2:39" ht="25.2" customHeight="1" x14ac:dyDescent="0.3">
      <c r="B776" s="13" t="str">
        <f t="shared" si="16"/>
        <v/>
      </c>
      <c r="C776" s="18"/>
      <c r="D776" s="19" t="str">
        <f>IF(Tabela2[[#This Row],[AGRUPADOR]]&lt;&gt;"",VLOOKUP(Tabela2[[#This Row],[AGRUPADOR]],Tabela1[],2,0),"")</f>
        <v/>
      </c>
      <c r="E776" s="19" t="str">
        <f>IF(Tabela2[[#This Row],[AGRUPADOR]]&lt;&gt;"",VLOOKUP(Tabela2[[#This Row],[AGRUPADOR]],Tabela1[],4,0),"")</f>
        <v/>
      </c>
      <c r="F776" s="14"/>
      <c r="G776" s="6"/>
      <c r="H776" s="6"/>
      <c r="I776" s="25"/>
      <c r="J776" s="7"/>
      <c r="K776" s="15"/>
      <c r="L776" s="379">
        <f>IF(H776&lt;&gt;"",J776*K776,SUMIFS(L777:L$9844,$F777:$F$9844,"*"&amp;F776&amp;"*",$H777:$H$9844,"&lt;&gt;"))</f>
        <v>0</v>
      </c>
      <c r="M776" s="379" t="str">
        <f>IF(Tabela2[[#This Row],[UNID.]]&lt;&gt;"",IFERROR(VLOOKUP(Tabela2[[#This Row],[AGRUPADOR]],Lucratividade!$D$4:$O$129,6,0),0),"")</f>
        <v/>
      </c>
      <c r="N776" s="379">
        <f>IF(H776&lt;&gt;"",J776*M776*I776,SUMIFS(N777:N$9844,$F777:$F$9844,"*"&amp;F776&amp;"*",$H777:$H$9844,"&lt;&gt;"))</f>
        <v>0</v>
      </c>
      <c r="O776" s="162" t="str">
        <f>IFERROR((-Tabela2[[#This Row],[CUSTO TOTAL]]+Tabela2[[#This Row],[VENDA TOTAL]])/Tabela2[[#This Row],[VENDA TOTAL]]-PARAMETROS!$C$19,"")</f>
        <v/>
      </c>
      <c r="AA776" s="219">
        <f>SUM(Plan_Orc[[#This Row],[01/jan]:[01/dez]])</f>
        <v>0</v>
      </c>
      <c r="AB776" s="15"/>
      <c r="AC776" s="15"/>
      <c r="AD776" s="15"/>
      <c r="AE776" s="15"/>
      <c r="AF776" s="15"/>
      <c r="AG776" s="15"/>
      <c r="AH776" s="15"/>
      <c r="AI776" s="15"/>
      <c r="AJ776" s="15"/>
      <c r="AK776" s="15"/>
      <c r="AL776" s="15"/>
      <c r="AM776" s="15"/>
    </row>
    <row r="777" spans="2:39" ht="25.2" customHeight="1" x14ac:dyDescent="0.3">
      <c r="B777" s="13" t="str">
        <f t="shared" si="16"/>
        <v/>
      </c>
      <c r="C777" s="18"/>
      <c r="D777" s="19" t="str">
        <f>IF(Tabela2[[#This Row],[AGRUPADOR]]&lt;&gt;"",VLOOKUP(Tabela2[[#This Row],[AGRUPADOR]],Tabela1[],2,0),"")</f>
        <v/>
      </c>
      <c r="E777" s="19" t="str">
        <f>IF(Tabela2[[#This Row],[AGRUPADOR]]&lt;&gt;"",VLOOKUP(Tabela2[[#This Row],[AGRUPADOR]],Tabela1[],4,0),"")</f>
        <v/>
      </c>
      <c r="F777" s="14"/>
      <c r="G777" s="6"/>
      <c r="H777" s="6"/>
      <c r="I777" s="25"/>
      <c r="J777" s="7"/>
      <c r="K777" s="15"/>
      <c r="L777" s="379">
        <f>IF(H777&lt;&gt;"",J777*K777,SUMIFS(L778:L$9844,$F778:$F$9844,"*"&amp;F777&amp;"*",$H778:$H$9844,"&lt;&gt;"))</f>
        <v>0</v>
      </c>
      <c r="M777" s="379" t="str">
        <f>IF(Tabela2[[#This Row],[UNID.]]&lt;&gt;"",IFERROR(VLOOKUP(Tabela2[[#This Row],[AGRUPADOR]],Lucratividade!$D$4:$O$129,6,0),0),"")</f>
        <v/>
      </c>
      <c r="N777" s="379">
        <f>IF(H777&lt;&gt;"",J777*M777*I777,SUMIFS(N778:N$9844,$F778:$F$9844,"*"&amp;F777&amp;"*",$H778:$H$9844,"&lt;&gt;"))</f>
        <v>0</v>
      </c>
      <c r="O777" s="162" t="str">
        <f>IFERROR((-Tabela2[[#This Row],[CUSTO TOTAL]]+Tabela2[[#This Row],[VENDA TOTAL]])/Tabela2[[#This Row],[VENDA TOTAL]]-PARAMETROS!$C$19,"")</f>
        <v/>
      </c>
      <c r="AA777" s="219">
        <f>SUM(Plan_Orc[[#This Row],[01/jan]:[01/dez]])</f>
        <v>0</v>
      </c>
      <c r="AB777" s="15"/>
      <c r="AC777" s="15"/>
      <c r="AD777" s="15"/>
      <c r="AE777" s="15"/>
      <c r="AF777" s="15"/>
      <c r="AG777" s="15"/>
      <c r="AH777" s="15"/>
      <c r="AI777" s="15"/>
      <c r="AJ777" s="15"/>
      <c r="AK777" s="15"/>
      <c r="AL777" s="15"/>
      <c r="AM777" s="15"/>
    </row>
    <row r="778" spans="2:39" ht="25.2" customHeight="1" x14ac:dyDescent="0.3">
      <c r="B778" s="13" t="str">
        <f t="shared" si="16"/>
        <v/>
      </c>
      <c r="C778" s="18"/>
      <c r="D778" s="19" t="str">
        <f>IF(Tabela2[[#This Row],[AGRUPADOR]]&lt;&gt;"",VLOOKUP(Tabela2[[#This Row],[AGRUPADOR]],Tabela1[],2,0),"")</f>
        <v/>
      </c>
      <c r="E778" s="19" t="str">
        <f>IF(Tabela2[[#This Row],[AGRUPADOR]]&lt;&gt;"",VLOOKUP(Tabela2[[#This Row],[AGRUPADOR]],Tabela1[],4,0),"")</f>
        <v/>
      </c>
      <c r="F778" s="14"/>
      <c r="G778" s="6"/>
      <c r="H778" s="6"/>
      <c r="I778" s="25"/>
      <c r="J778" s="7"/>
      <c r="K778" s="15"/>
      <c r="L778" s="379">
        <f>IF(H778&lt;&gt;"",J778*K778,SUMIFS(L779:L$9844,$F779:$F$9844,"*"&amp;F778&amp;"*",$H779:$H$9844,"&lt;&gt;"))</f>
        <v>0</v>
      </c>
      <c r="M778" s="379" t="str">
        <f>IF(Tabela2[[#This Row],[UNID.]]&lt;&gt;"",IFERROR(VLOOKUP(Tabela2[[#This Row],[AGRUPADOR]],Lucratividade!$D$4:$O$129,6,0),0),"")</f>
        <v/>
      </c>
      <c r="N778" s="379">
        <f>IF(H778&lt;&gt;"",J778*M778*I778,SUMIFS(N779:N$9844,$F779:$F$9844,"*"&amp;F778&amp;"*",$H779:$H$9844,"&lt;&gt;"))</f>
        <v>0</v>
      </c>
      <c r="O778" s="162" t="str">
        <f>IFERROR((-Tabela2[[#This Row],[CUSTO TOTAL]]+Tabela2[[#This Row],[VENDA TOTAL]])/Tabela2[[#This Row],[VENDA TOTAL]]-PARAMETROS!$C$19,"")</f>
        <v/>
      </c>
      <c r="AA778" s="219">
        <f>SUM(Plan_Orc[[#This Row],[01/jan]:[01/dez]])</f>
        <v>0</v>
      </c>
      <c r="AB778" s="15"/>
      <c r="AC778" s="15"/>
      <c r="AD778" s="15"/>
      <c r="AE778" s="15"/>
      <c r="AF778" s="15"/>
      <c r="AG778" s="15"/>
      <c r="AH778" s="15"/>
      <c r="AI778" s="15"/>
      <c r="AJ778" s="15"/>
      <c r="AK778" s="15"/>
      <c r="AL778" s="15"/>
      <c r="AM778" s="15"/>
    </row>
    <row r="779" spans="2:39" ht="25.2" customHeight="1" x14ac:dyDescent="0.3">
      <c r="B779" s="13" t="str">
        <f t="shared" si="16"/>
        <v/>
      </c>
      <c r="C779" s="18"/>
      <c r="D779" s="19" t="str">
        <f>IF(Tabela2[[#This Row],[AGRUPADOR]]&lt;&gt;"",VLOOKUP(Tabela2[[#This Row],[AGRUPADOR]],Tabela1[],2,0),"")</f>
        <v/>
      </c>
      <c r="E779" s="19" t="str">
        <f>IF(Tabela2[[#This Row],[AGRUPADOR]]&lt;&gt;"",VLOOKUP(Tabela2[[#This Row],[AGRUPADOR]],Tabela1[],4,0),"")</f>
        <v/>
      </c>
      <c r="F779" s="14"/>
      <c r="G779" s="6"/>
      <c r="H779" s="6"/>
      <c r="I779" s="25"/>
      <c r="J779" s="7"/>
      <c r="K779" s="15"/>
      <c r="L779" s="379">
        <f>IF(H779&lt;&gt;"",J779*K779,SUMIFS(L780:L$9844,$F780:$F$9844,"*"&amp;F779&amp;"*",$H780:$H$9844,"&lt;&gt;"))</f>
        <v>0</v>
      </c>
      <c r="M779" s="379" t="str">
        <f>IF(Tabela2[[#This Row],[UNID.]]&lt;&gt;"",IFERROR(VLOOKUP(Tabela2[[#This Row],[AGRUPADOR]],Lucratividade!$D$4:$O$129,6,0),0),"")</f>
        <v/>
      </c>
      <c r="N779" s="379">
        <f>IF(H779&lt;&gt;"",J779*M779*I779,SUMIFS(N780:N$9844,$F780:$F$9844,"*"&amp;F779&amp;"*",$H780:$H$9844,"&lt;&gt;"))</f>
        <v>0</v>
      </c>
      <c r="O779" s="162" t="str">
        <f>IFERROR((-Tabela2[[#This Row],[CUSTO TOTAL]]+Tabela2[[#This Row],[VENDA TOTAL]])/Tabela2[[#This Row],[VENDA TOTAL]]-PARAMETROS!$C$19,"")</f>
        <v/>
      </c>
      <c r="AA779" s="219">
        <f>SUM(Plan_Orc[[#This Row],[01/jan]:[01/dez]])</f>
        <v>0</v>
      </c>
      <c r="AB779" s="15"/>
      <c r="AC779" s="15"/>
      <c r="AD779" s="15"/>
      <c r="AE779" s="15"/>
      <c r="AF779" s="15"/>
      <c r="AG779" s="15"/>
      <c r="AH779" s="15"/>
      <c r="AI779" s="15"/>
      <c r="AJ779" s="15"/>
      <c r="AK779" s="15"/>
      <c r="AL779" s="15"/>
      <c r="AM779" s="15"/>
    </row>
    <row r="780" spans="2:39" ht="25.2" customHeight="1" x14ac:dyDescent="0.3">
      <c r="B780" s="13" t="str">
        <f t="shared" si="16"/>
        <v/>
      </c>
      <c r="C780" s="18"/>
      <c r="D780" s="19" t="str">
        <f>IF(Tabela2[[#This Row],[AGRUPADOR]]&lt;&gt;"",VLOOKUP(Tabela2[[#This Row],[AGRUPADOR]],Tabela1[],2,0),"")</f>
        <v/>
      </c>
      <c r="E780" s="19" t="str">
        <f>IF(Tabela2[[#This Row],[AGRUPADOR]]&lt;&gt;"",VLOOKUP(Tabela2[[#This Row],[AGRUPADOR]],Tabela1[],4,0),"")</f>
        <v/>
      </c>
      <c r="F780" s="14"/>
      <c r="G780" s="6"/>
      <c r="H780" s="6"/>
      <c r="I780" s="25"/>
      <c r="J780" s="7"/>
      <c r="K780" s="15"/>
      <c r="L780" s="379">
        <f>IF(H780&lt;&gt;"",J780*K780,SUMIFS(L781:L$9844,$F781:$F$9844,"*"&amp;F780&amp;"*",$H781:$H$9844,"&lt;&gt;"))</f>
        <v>0</v>
      </c>
      <c r="M780" s="379" t="str">
        <f>IF(Tabela2[[#This Row],[UNID.]]&lt;&gt;"",IFERROR(VLOOKUP(Tabela2[[#This Row],[AGRUPADOR]],Lucratividade!$D$4:$O$129,6,0),0),"")</f>
        <v/>
      </c>
      <c r="N780" s="379">
        <f>IF(H780&lt;&gt;"",J780*M780*I780,SUMIFS(N781:N$9844,$F781:$F$9844,"*"&amp;F780&amp;"*",$H781:$H$9844,"&lt;&gt;"))</f>
        <v>0</v>
      </c>
      <c r="O780" s="162" t="str">
        <f>IFERROR((-Tabela2[[#This Row],[CUSTO TOTAL]]+Tabela2[[#This Row],[VENDA TOTAL]])/Tabela2[[#This Row],[VENDA TOTAL]]-PARAMETROS!$C$19,"")</f>
        <v/>
      </c>
      <c r="AA780" s="218">
        <f>SUM(Plan_Orc[[#This Row],[01/jan]:[01/dez]])</f>
        <v>0</v>
      </c>
      <c r="AB780" s="12"/>
      <c r="AC780" s="12"/>
      <c r="AD780" s="12"/>
      <c r="AE780" s="12"/>
      <c r="AF780" s="12"/>
      <c r="AG780" s="12"/>
      <c r="AH780" s="12"/>
      <c r="AI780" s="12"/>
      <c r="AJ780" s="12"/>
      <c r="AK780" s="12"/>
      <c r="AL780" s="12"/>
      <c r="AM780" s="12"/>
    </row>
    <row r="781" spans="2:39" ht="25.2" customHeight="1" x14ac:dyDescent="0.3">
      <c r="B781" s="13" t="str">
        <f t="shared" si="16"/>
        <v/>
      </c>
      <c r="C781" s="18"/>
      <c r="D781" s="19" t="str">
        <f>IF(Tabela2[[#This Row],[AGRUPADOR]]&lt;&gt;"",VLOOKUP(Tabela2[[#This Row],[AGRUPADOR]],Tabela1[],2,0),"")</f>
        <v/>
      </c>
      <c r="E781" s="19" t="str">
        <f>IF(Tabela2[[#This Row],[AGRUPADOR]]&lt;&gt;"",VLOOKUP(Tabela2[[#This Row],[AGRUPADOR]],Tabela1[],4,0),"")</f>
        <v/>
      </c>
      <c r="F781" s="14"/>
      <c r="G781" s="6"/>
      <c r="H781" s="6"/>
      <c r="I781" s="25"/>
      <c r="J781" s="7"/>
      <c r="K781" s="15"/>
      <c r="L781" s="379">
        <f>IF(H781&lt;&gt;"",J781*K781,SUMIFS(L782:L$9844,$F782:$F$9844,"*"&amp;F781&amp;"*",$H782:$H$9844,"&lt;&gt;"))</f>
        <v>0</v>
      </c>
      <c r="M781" s="379" t="str">
        <f>IF(Tabela2[[#This Row],[UNID.]]&lt;&gt;"",IFERROR(VLOOKUP(Tabela2[[#This Row],[AGRUPADOR]],Lucratividade!$D$4:$O$129,6,0),0),"")</f>
        <v/>
      </c>
      <c r="N781" s="379">
        <f>IF(H781&lt;&gt;"",J781*M781*I781,SUMIFS(N782:N$9844,$F782:$F$9844,"*"&amp;F781&amp;"*",$H782:$H$9844,"&lt;&gt;"))</f>
        <v>0</v>
      </c>
      <c r="O781" s="162" t="str">
        <f>IFERROR((-Tabela2[[#This Row],[CUSTO TOTAL]]+Tabela2[[#This Row],[VENDA TOTAL]])/Tabela2[[#This Row],[VENDA TOTAL]]-PARAMETROS!$C$19,"")</f>
        <v/>
      </c>
      <c r="AA781" s="219">
        <f>SUM(Plan_Orc[[#This Row],[01/jan]:[01/dez]])</f>
        <v>0</v>
      </c>
      <c r="AB781" s="15"/>
      <c r="AC781" s="15"/>
      <c r="AD781" s="15"/>
      <c r="AE781" s="15"/>
      <c r="AF781" s="15"/>
      <c r="AG781" s="15"/>
      <c r="AH781" s="15"/>
      <c r="AI781" s="15"/>
      <c r="AJ781" s="15"/>
      <c r="AK781" s="15"/>
      <c r="AL781" s="15"/>
      <c r="AM781" s="15"/>
    </row>
    <row r="782" spans="2:39" ht="25.2" customHeight="1" x14ac:dyDescent="0.3">
      <c r="B782" s="13" t="str">
        <f t="shared" si="16"/>
        <v/>
      </c>
      <c r="C782" s="18"/>
      <c r="D782" s="19" t="str">
        <f>IF(Tabela2[[#This Row],[AGRUPADOR]]&lt;&gt;"",VLOOKUP(Tabela2[[#This Row],[AGRUPADOR]],Tabela1[],2,0),"")</f>
        <v/>
      </c>
      <c r="E782" s="19" t="str">
        <f>IF(Tabela2[[#This Row],[AGRUPADOR]]&lt;&gt;"",VLOOKUP(Tabela2[[#This Row],[AGRUPADOR]],Tabela1[],4,0),"")</f>
        <v/>
      </c>
      <c r="F782" s="14"/>
      <c r="G782" s="6"/>
      <c r="H782" s="6"/>
      <c r="I782" s="25"/>
      <c r="J782" s="7"/>
      <c r="K782" s="15"/>
      <c r="L782" s="379">
        <f>IF(H782&lt;&gt;"",J782*K782,SUMIFS(L783:L$9844,$F783:$F$9844,"*"&amp;F782&amp;"*",$H783:$H$9844,"&lt;&gt;"))</f>
        <v>0</v>
      </c>
      <c r="M782" s="379" t="str">
        <f>IF(Tabela2[[#This Row],[UNID.]]&lt;&gt;"",IFERROR(VLOOKUP(Tabela2[[#This Row],[AGRUPADOR]],Lucratividade!$D$4:$O$129,6,0),0),"")</f>
        <v/>
      </c>
      <c r="N782" s="379">
        <f>IF(H782&lt;&gt;"",J782*M782*I782,SUMIFS(N783:N$9844,$F783:$F$9844,"*"&amp;F782&amp;"*",$H783:$H$9844,"&lt;&gt;"))</f>
        <v>0</v>
      </c>
      <c r="O782" s="162" t="str">
        <f>IFERROR((-Tabela2[[#This Row],[CUSTO TOTAL]]+Tabela2[[#This Row],[VENDA TOTAL]])/Tabela2[[#This Row],[VENDA TOTAL]]-PARAMETROS!$C$19,"")</f>
        <v/>
      </c>
      <c r="AA782" s="219">
        <f>SUM(Plan_Orc[[#This Row],[01/jan]:[01/dez]])</f>
        <v>0</v>
      </c>
      <c r="AB782" s="15"/>
      <c r="AC782" s="15"/>
      <c r="AD782" s="15"/>
      <c r="AE782" s="15"/>
      <c r="AF782" s="15"/>
      <c r="AG782" s="15"/>
      <c r="AH782" s="15"/>
      <c r="AI782" s="15"/>
      <c r="AJ782" s="15"/>
      <c r="AK782" s="15"/>
      <c r="AL782" s="15"/>
      <c r="AM782" s="15"/>
    </row>
    <row r="783" spans="2:39" ht="25.2" customHeight="1" x14ac:dyDescent="0.3">
      <c r="B783" s="13" t="str">
        <f t="shared" si="16"/>
        <v/>
      </c>
      <c r="C783" s="18"/>
      <c r="D783" s="19" t="str">
        <f>IF(Tabela2[[#This Row],[AGRUPADOR]]&lt;&gt;"",VLOOKUP(Tabela2[[#This Row],[AGRUPADOR]],Tabela1[],2,0),"")</f>
        <v/>
      </c>
      <c r="E783" s="19" t="str">
        <f>IF(Tabela2[[#This Row],[AGRUPADOR]]&lt;&gt;"",VLOOKUP(Tabela2[[#This Row],[AGRUPADOR]],Tabela1[],4,0),"")</f>
        <v/>
      </c>
      <c r="F783" s="14"/>
      <c r="G783" s="6"/>
      <c r="H783" s="6"/>
      <c r="I783" s="25"/>
      <c r="J783" s="7"/>
      <c r="K783" s="15"/>
      <c r="L783" s="379">
        <f>IF(H783&lt;&gt;"",J783*K783,SUMIFS(L784:L$9844,$F784:$F$9844,"*"&amp;F783&amp;"*",$H784:$H$9844,"&lt;&gt;"))</f>
        <v>0</v>
      </c>
      <c r="M783" s="379" t="str">
        <f>IF(Tabela2[[#This Row],[UNID.]]&lt;&gt;"",IFERROR(VLOOKUP(Tabela2[[#This Row],[AGRUPADOR]],Lucratividade!$D$4:$O$129,6,0),0),"")</f>
        <v/>
      </c>
      <c r="N783" s="379">
        <f>IF(H783&lt;&gt;"",J783*M783*I783,SUMIFS(N784:N$9844,$F784:$F$9844,"*"&amp;F783&amp;"*",$H784:$H$9844,"&lt;&gt;"))</f>
        <v>0</v>
      </c>
      <c r="O783" s="162" t="str">
        <f>IFERROR((-Tabela2[[#This Row],[CUSTO TOTAL]]+Tabela2[[#This Row],[VENDA TOTAL]])/Tabela2[[#This Row],[VENDA TOTAL]]-PARAMETROS!$C$19,"")</f>
        <v/>
      </c>
      <c r="AA783" s="219">
        <f>SUM(Plan_Orc[[#This Row],[01/jan]:[01/dez]])</f>
        <v>0</v>
      </c>
      <c r="AB783" s="15"/>
      <c r="AC783" s="15"/>
      <c r="AD783" s="15"/>
      <c r="AE783" s="15"/>
      <c r="AF783" s="15"/>
      <c r="AG783" s="15"/>
      <c r="AH783" s="15"/>
      <c r="AI783" s="15"/>
      <c r="AJ783" s="15"/>
      <c r="AK783" s="15"/>
      <c r="AL783" s="15"/>
      <c r="AM783" s="15"/>
    </row>
    <row r="784" spans="2:39" ht="25.2" customHeight="1" x14ac:dyDescent="0.3">
      <c r="B784" s="13" t="str">
        <f t="shared" si="16"/>
        <v/>
      </c>
      <c r="C784" s="18"/>
      <c r="D784" s="19" t="str">
        <f>IF(Tabela2[[#This Row],[AGRUPADOR]]&lt;&gt;"",VLOOKUP(Tabela2[[#This Row],[AGRUPADOR]],Tabela1[],2,0),"")</f>
        <v/>
      </c>
      <c r="E784" s="19" t="str">
        <f>IF(Tabela2[[#This Row],[AGRUPADOR]]&lt;&gt;"",VLOOKUP(Tabela2[[#This Row],[AGRUPADOR]],Tabela1[],4,0),"")</f>
        <v/>
      </c>
      <c r="F784" s="14"/>
      <c r="G784" s="6"/>
      <c r="H784" s="6"/>
      <c r="I784" s="25"/>
      <c r="J784" s="7"/>
      <c r="K784" s="15"/>
      <c r="L784" s="379">
        <f>IF(H784&lt;&gt;"",J784*K784,SUMIFS(L785:L$9844,$F785:$F$9844,"*"&amp;F784&amp;"*",$H785:$H$9844,"&lt;&gt;"))</f>
        <v>0</v>
      </c>
      <c r="M784" s="379" t="str">
        <f>IF(Tabela2[[#This Row],[UNID.]]&lt;&gt;"",IFERROR(VLOOKUP(Tabela2[[#This Row],[AGRUPADOR]],Lucratividade!$D$4:$O$129,6,0),0),"")</f>
        <v/>
      </c>
      <c r="N784" s="379">
        <f>IF(H784&lt;&gt;"",J784*M784*I784,SUMIFS(N785:N$9844,$F785:$F$9844,"*"&amp;F784&amp;"*",$H785:$H$9844,"&lt;&gt;"))</f>
        <v>0</v>
      </c>
      <c r="O784" s="162" t="str">
        <f>IFERROR((-Tabela2[[#This Row],[CUSTO TOTAL]]+Tabela2[[#This Row],[VENDA TOTAL]])/Tabela2[[#This Row],[VENDA TOTAL]]-PARAMETROS!$C$19,"")</f>
        <v/>
      </c>
      <c r="AA784" s="219">
        <f>SUM(Plan_Orc[[#This Row],[01/jan]:[01/dez]])</f>
        <v>0</v>
      </c>
      <c r="AB784" s="15"/>
      <c r="AC784" s="15"/>
      <c r="AD784" s="15"/>
      <c r="AE784" s="15"/>
      <c r="AF784" s="15"/>
      <c r="AG784" s="15"/>
      <c r="AH784" s="15"/>
      <c r="AI784" s="15"/>
      <c r="AJ784" s="15"/>
      <c r="AK784" s="15"/>
      <c r="AL784" s="15"/>
      <c r="AM784" s="15"/>
    </row>
    <row r="785" spans="2:39" ht="25.2" customHeight="1" x14ac:dyDescent="0.3">
      <c r="B785" s="13" t="str">
        <f t="shared" si="16"/>
        <v/>
      </c>
      <c r="C785" s="18"/>
      <c r="D785" s="19" t="str">
        <f>IF(Tabela2[[#This Row],[AGRUPADOR]]&lt;&gt;"",VLOOKUP(Tabela2[[#This Row],[AGRUPADOR]],Tabela1[],2,0),"")</f>
        <v/>
      </c>
      <c r="E785" s="19" t="str">
        <f>IF(Tabela2[[#This Row],[AGRUPADOR]]&lt;&gt;"",VLOOKUP(Tabela2[[#This Row],[AGRUPADOR]],Tabela1[],4,0),"")</f>
        <v/>
      </c>
      <c r="F785" s="14"/>
      <c r="G785" s="6"/>
      <c r="H785" s="6"/>
      <c r="I785" s="25"/>
      <c r="J785" s="7"/>
      <c r="K785" s="15"/>
      <c r="L785" s="379">
        <f>IF(H785&lt;&gt;"",J785*K785,SUMIFS(L786:L$9844,$F786:$F$9844,"*"&amp;F785&amp;"*",$H786:$H$9844,"&lt;&gt;"))</f>
        <v>0</v>
      </c>
      <c r="M785" s="379" t="str">
        <f>IF(Tabela2[[#This Row],[UNID.]]&lt;&gt;"",IFERROR(VLOOKUP(Tabela2[[#This Row],[AGRUPADOR]],Lucratividade!$D$4:$O$129,6,0),0),"")</f>
        <v/>
      </c>
      <c r="N785" s="379">
        <f>IF(H785&lt;&gt;"",J785*M785*I785,SUMIFS(N786:N$9844,$F786:$F$9844,"*"&amp;F785&amp;"*",$H786:$H$9844,"&lt;&gt;"))</f>
        <v>0</v>
      </c>
      <c r="O785" s="162" t="str">
        <f>IFERROR((-Tabela2[[#This Row],[CUSTO TOTAL]]+Tabela2[[#This Row],[VENDA TOTAL]])/Tabela2[[#This Row],[VENDA TOTAL]]-PARAMETROS!$C$19,"")</f>
        <v/>
      </c>
      <c r="AA785" s="219">
        <f>SUM(Plan_Orc[[#This Row],[01/jan]:[01/dez]])</f>
        <v>0</v>
      </c>
      <c r="AB785" s="15"/>
      <c r="AC785" s="15"/>
      <c r="AD785" s="15"/>
      <c r="AE785" s="15"/>
      <c r="AF785" s="15"/>
      <c r="AG785" s="15"/>
      <c r="AH785" s="15"/>
      <c r="AI785" s="15"/>
      <c r="AJ785" s="15"/>
      <c r="AK785" s="15"/>
      <c r="AL785" s="15"/>
      <c r="AM785" s="15"/>
    </row>
    <row r="786" spans="2:39" ht="25.2" customHeight="1" x14ac:dyDescent="0.3">
      <c r="B786" s="13" t="str">
        <f t="shared" si="16"/>
        <v/>
      </c>
      <c r="C786" s="18"/>
      <c r="D786" s="19" t="str">
        <f>IF(Tabela2[[#This Row],[AGRUPADOR]]&lt;&gt;"",VLOOKUP(Tabela2[[#This Row],[AGRUPADOR]],Tabela1[],2,0),"")</f>
        <v/>
      </c>
      <c r="E786" s="19" t="str">
        <f>IF(Tabela2[[#This Row],[AGRUPADOR]]&lt;&gt;"",VLOOKUP(Tabela2[[#This Row],[AGRUPADOR]],Tabela1[],4,0),"")</f>
        <v/>
      </c>
      <c r="F786" s="14"/>
      <c r="G786" s="6"/>
      <c r="H786" s="6"/>
      <c r="I786" s="25"/>
      <c r="J786" s="7"/>
      <c r="K786" s="15"/>
      <c r="L786" s="379">
        <f>IF(H786&lt;&gt;"",J786*K786,SUMIFS(L787:L$9844,$F787:$F$9844,"*"&amp;F786&amp;"*",$H787:$H$9844,"&lt;&gt;"))</f>
        <v>0</v>
      </c>
      <c r="M786" s="379" t="str">
        <f>IF(Tabela2[[#This Row],[UNID.]]&lt;&gt;"",IFERROR(VLOOKUP(Tabela2[[#This Row],[AGRUPADOR]],Lucratividade!$D$4:$O$129,6,0),0),"")</f>
        <v/>
      </c>
      <c r="N786" s="379">
        <f>IF(H786&lt;&gt;"",J786*M786*I786,SUMIFS(N787:N$9844,$F787:$F$9844,"*"&amp;F786&amp;"*",$H787:$H$9844,"&lt;&gt;"))</f>
        <v>0</v>
      </c>
      <c r="O786" s="162" t="str">
        <f>IFERROR((-Tabela2[[#This Row],[CUSTO TOTAL]]+Tabela2[[#This Row],[VENDA TOTAL]])/Tabela2[[#This Row],[VENDA TOTAL]]-PARAMETROS!$C$19,"")</f>
        <v/>
      </c>
      <c r="AA786" s="219">
        <f>SUM(Plan_Orc[[#This Row],[01/jan]:[01/dez]])</f>
        <v>0</v>
      </c>
      <c r="AB786" s="15"/>
      <c r="AC786" s="15"/>
      <c r="AD786" s="15"/>
      <c r="AE786" s="15"/>
      <c r="AF786" s="15"/>
      <c r="AG786" s="15"/>
      <c r="AH786" s="15"/>
      <c r="AI786" s="15"/>
      <c r="AJ786" s="15"/>
      <c r="AK786" s="15"/>
      <c r="AL786" s="15"/>
      <c r="AM786" s="15"/>
    </row>
    <row r="787" spans="2:39" ht="25.2" customHeight="1" x14ac:dyDescent="0.3">
      <c r="B787" s="13" t="str">
        <f t="shared" si="16"/>
        <v/>
      </c>
      <c r="C787" s="18"/>
      <c r="D787" s="19" t="str">
        <f>IF(Tabela2[[#This Row],[AGRUPADOR]]&lt;&gt;"",VLOOKUP(Tabela2[[#This Row],[AGRUPADOR]],Tabela1[],2,0),"")</f>
        <v/>
      </c>
      <c r="E787" s="19" t="str">
        <f>IF(Tabela2[[#This Row],[AGRUPADOR]]&lt;&gt;"",VLOOKUP(Tabela2[[#This Row],[AGRUPADOR]],Tabela1[],4,0),"")</f>
        <v/>
      </c>
      <c r="F787" s="14"/>
      <c r="G787" s="6"/>
      <c r="H787" s="6"/>
      <c r="I787" s="25"/>
      <c r="J787" s="7"/>
      <c r="K787" s="15"/>
      <c r="L787" s="379">
        <f>IF(H787&lt;&gt;"",J787*K787,SUMIFS(L788:L$9844,$F788:$F$9844,"*"&amp;F787&amp;"*",$H788:$H$9844,"&lt;&gt;"))</f>
        <v>0</v>
      </c>
      <c r="M787" s="379" t="str">
        <f>IF(Tabela2[[#This Row],[UNID.]]&lt;&gt;"",IFERROR(VLOOKUP(Tabela2[[#This Row],[AGRUPADOR]],Lucratividade!$D$4:$O$129,6,0),0),"")</f>
        <v/>
      </c>
      <c r="N787" s="379">
        <f>IF(H787&lt;&gt;"",J787*M787*I787,SUMIFS(N788:N$9844,$F788:$F$9844,"*"&amp;F787&amp;"*",$H788:$H$9844,"&lt;&gt;"))</f>
        <v>0</v>
      </c>
      <c r="O787" s="162" t="str">
        <f>IFERROR((-Tabela2[[#This Row],[CUSTO TOTAL]]+Tabela2[[#This Row],[VENDA TOTAL]])/Tabela2[[#This Row],[VENDA TOTAL]]-PARAMETROS!$C$19,"")</f>
        <v/>
      </c>
      <c r="AA787" s="219">
        <f>SUM(Plan_Orc[[#This Row],[01/jan]:[01/dez]])</f>
        <v>0</v>
      </c>
      <c r="AB787" s="15"/>
      <c r="AC787" s="15"/>
      <c r="AD787" s="15"/>
      <c r="AE787" s="15"/>
      <c r="AF787" s="15"/>
      <c r="AG787" s="15"/>
      <c r="AH787" s="15"/>
      <c r="AI787" s="15"/>
      <c r="AJ787" s="15"/>
      <c r="AK787" s="15"/>
      <c r="AL787" s="15"/>
      <c r="AM787" s="15"/>
    </row>
    <row r="788" spans="2:39" ht="25.2" customHeight="1" x14ac:dyDescent="0.3">
      <c r="B788" s="13" t="str">
        <f t="shared" si="16"/>
        <v/>
      </c>
      <c r="C788" s="18"/>
      <c r="D788" s="19" t="str">
        <f>IF(Tabela2[[#This Row],[AGRUPADOR]]&lt;&gt;"",VLOOKUP(Tabela2[[#This Row],[AGRUPADOR]],Tabela1[],2,0),"")</f>
        <v/>
      </c>
      <c r="E788" s="19" t="str">
        <f>IF(Tabela2[[#This Row],[AGRUPADOR]]&lt;&gt;"",VLOOKUP(Tabela2[[#This Row],[AGRUPADOR]],Tabela1[],4,0),"")</f>
        <v/>
      </c>
      <c r="F788" s="14"/>
      <c r="G788" s="6"/>
      <c r="H788" s="6"/>
      <c r="I788" s="25"/>
      <c r="J788" s="7"/>
      <c r="K788" s="15"/>
      <c r="L788" s="379">
        <f>IF(H788&lt;&gt;"",J788*K788,SUMIFS(L789:L$9844,$F789:$F$9844,"*"&amp;F788&amp;"*",$H789:$H$9844,"&lt;&gt;"))</f>
        <v>0</v>
      </c>
      <c r="M788" s="379" t="str">
        <f>IF(Tabela2[[#This Row],[UNID.]]&lt;&gt;"",IFERROR(VLOOKUP(Tabela2[[#This Row],[AGRUPADOR]],Lucratividade!$D$4:$O$129,6,0),0),"")</f>
        <v/>
      </c>
      <c r="N788" s="379">
        <f>IF(H788&lt;&gt;"",J788*M788*I788,SUMIFS(N789:N$9844,$F789:$F$9844,"*"&amp;F788&amp;"*",$H789:$H$9844,"&lt;&gt;"))</f>
        <v>0</v>
      </c>
      <c r="O788" s="162" t="str">
        <f>IFERROR((-Tabela2[[#This Row],[CUSTO TOTAL]]+Tabela2[[#This Row],[VENDA TOTAL]])/Tabela2[[#This Row],[VENDA TOTAL]]-PARAMETROS!$C$19,"")</f>
        <v/>
      </c>
      <c r="AA788" s="219">
        <f>SUM(Plan_Orc[[#This Row],[01/jan]:[01/dez]])</f>
        <v>0</v>
      </c>
      <c r="AB788" s="15"/>
      <c r="AC788" s="15"/>
      <c r="AD788" s="15"/>
      <c r="AE788" s="15"/>
      <c r="AF788" s="15"/>
      <c r="AG788" s="15"/>
      <c r="AH788" s="15"/>
      <c r="AI788" s="15"/>
      <c r="AJ788" s="15"/>
      <c r="AK788" s="15"/>
      <c r="AL788" s="15"/>
      <c r="AM788" s="15"/>
    </row>
    <row r="789" spans="2:39" ht="25.2" customHeight="1" x14ac:dyDescent="0.3">
      <c r="B789" s="13" t="str">
        <f t="shared" si="16"/>
        <v/>
      </c>
      <c r="C789" s="18"/>
      <c r="D789" s="19" t="str">
        <f>IF(Tabela2[[#This Row],[AGRUPADOR]]&lt;&gt;"",VLOOKUP(Tabela2[[#This Row],[AGRUPADOR]],Tabela1[],2,0),"")</f>
        <v/>
      </c>
      <c r="E789" s="19" t="str">
        <f>IF(Tabela2[[#This Row],[AGRUPADOR]]&lt;&gt;"",VLOOKUP(Tabela2[[#This Row],[AGRUPADOR]],Tabela1[],4,0),"")</f>
        <v/>
      </c>
      <c r="F789" s="14"/>
      <c r="G789" s="6"/>
      <c r="H789" s="6"/>
      <c r="I789" s="25"/>
      <c r="J789" s="7"/>
      <c r="K789" s="15"/>
      <c r="L789" s="379">
        <f>IF(H789&lt;&gt;"",J789*K789,SUMIFS(L790:L$9844,$F790:$F$9844,"*"&amp;F789&amp;"*",$H790:$H$9844,"&lt;&gt;"))</f>
        <v>0</v>
      </c>
      <c r="M789" s="379" t="str">
        <f>IF(Tabela2[[#This Row],[UNID.]]&lt;&gt;"",IFERROR(VLOOKUP(Tabela2[[#This Row],[AGRUPADOR]],Lucratividade!$D$4:$O$129,6,0),0),"")</f>
        <v/>
      </c>
      <c r="N789" s="379">
        <f>IF(H789&lt;&gt;"",J789*M789*I789,SUMIFS(N790:N$9844,$F790:$F$9844,"*"&amp;F789&amp;"*",$H790:$H$9844,"&lt;&gt;"))</f>
        <v>0</v>
      </c>
      <c r="O789" s="162" t="str">
        <f>IFERROR((-Tabela2[[#This Row],[CUSTO TOTAL]]+Tabela2[[#This Row],[VENDA TOTAL]])/Tabela2[[#This Row],[VENDA TOTAL]]-PARAMETROS!$C$19,"")</f>
        <v/>
      </c>
      <c r="AA789" s="219">
        <f>SUM(Plan_Orc[[#This Row],[01/jan]:[01/dez]])</f>
        <v>0</v>
      </c>
      <c r="AB789" s="15"/>
      <c r="AC789" s="15"/>
      <c r="AD789" s="15"/>
      <c r="AE789" s="15"/>
      <c r="AF789" s="15"/>
      <c r="AG789" s="15"/>
      <c r="AH789" s="15"/>
      <c r="AI789" s="15"/>
      <c r="AJ789" s="15"/>
      <c r="AK789" s="15"/>
      <c r="AL789" s="15"/>
      <c r="AM789" s="15"/>
    </row>
    <row r="790" spans="2:39" ht="25.2" customHeight="1" x14ac:dyDescent="0.3">
      <c r="B790" s="13" t="str">
        <f t="shared" si="16"/>
        <v/>
      </c>
      <c r="C790" s="18"/>
      <c r="D790" s="19" t="str">
        <f>IF(Tabela2[[#This Row],[AGRUPADOR]]&lt;&gt;"",VLOOKUP(Tabela2[[#This Row],[AGRUPADOR]],Tabela1[],2,0),"")</f>
        <v/>
      </c>
      <c r="E790" s="19" t="str">
        <f>IF(Tabela2[[#This Row],[AGRUPADOR]]&lt;&gt;"",VLOOKUP(Tabela2[[#This Row],[AGRUPADOR]],Tabela1[],4,0),"")</f>
        <v/>
      </c>
      <c r="F790" s="14"/>
      <c r="G790" s="6"/>
      <c r="H790" s="6"/>
      <c r="I790" s="25"/>
      <c r="J790" s="7"/>
      <c r="K790" s="15"/>
      <c r="L790" s="379">
        <f>IF(H790&lt;&gt;"",J790*K790,SUMIFS(L791:L$9844,$F791:$F$9844,"*"&amp;F790&amp;"*",$H791:$H$9844,"&lt;&gt;"))</f>
        <v>0</v>
      </c>
      <c r="M790" s="379" t="str">
        <f>IF(Tabela2[[#This Row],[UNID.]]&lt;&gt;"",IFERROR(VLOOKUP(Tabela2[[#This Row],[AGRUPADOR]],Lucratividade!$D$4:$O$129,6,0),0),"")</f>
        <v/>
      </c>
      <c r="N790" s="379">
        <f>IF(H790&lt;&gt;"",J790*M790*I790,SUMIFS(N791:N$9844,$F791:$F$9844,"*"&amp;F790&amp;"*",$H791:$H$9844,"&lt;&gt;"))</f>
        <v>0</v>
      </c>
      <c r="O790" s="162" t="str">
        <f>IFERROR((-Tabela2[[#This Row],[CUSTO TOTAL]]+Tabela2[[#This Row],[VENDA TOTAL]])/Tabela2[[#This Row],[VENDA TOTAL]]-PARAMETROS!$C$19,"")</f>
        <v/>
      </c>
      <c r="AA790" s="224">
        <f>SUM(Plan_Orc[[#This Row],[01/jan]:[01/dez]])</f>
        <v>0</v>
      </c>
      <c r="AB790" s="203"/>
      <c r="AC790" s="203"/>
      <c r="AD790" s="203"/>
      <c r="AE790" s="203"/>
      <c r="AF790" s="203"/>
      <c r="AG790" s="203"/>
      <c r="AH790" s="203"/>
      <c r="AI790" s="203"/>
      <c r="AJ790" s="203"/>
      <c r="AK790" s="203"/>
      <c r="AL790" s="203"/>
      <c r="AM790" s="203"/>
    </row>
    <row r="791" spans="2:39" ht="25.2" customHeight="1" x14ac:dyDescent="0.3">
      <c r="B791" s="13" t="str">
        <f t="shared" si="16"/>
        <v/>
      </c>
      <c r="C791" s="18"/>
      <c r="D791" s="19" t="str">
        <f>IF(Tabela2[[#This Row],[AGRUPADOR]]&lt;&gt;"",VLOOKUP(Tabela2[[#This Row],[AGRUPADOR]],Tabela1[],2,0),"")</f>
        <v/>
      </c>
      <c r="E791" s="19" t="str">
        <f>IF(Tabela2[[#This Row],[AGRUPADOR]]&lt;&gt;"",VLOOKUP(Tabela2[[#This Row],[AGRUPADOR]],Tabela1[],4,0),"")</f>
        <v/>
      </c>
      <c r="F791" s="14"/>
      <c r="G791" s="6"/>
      <c r="H791" s="6"/>
      <c r="I791" s="25"/>
      <c r="J791" s="7"/>
      <c r="K791" s="15"/>
      <c r="L791" s="379">
        <f>IF(H791&lt;&gt;"",J791*K791,SUMIFS(L792:L$9844,$F792:$F$9844,"*"&amp;F791&amp;"*",$H792:$H$9844,"&lt;&gt;"))</f>
        <v>0</v>
      </c>
      <c r="M791" s="379" t="str">
        <f>IF(Tabela2[[#This Row],[UNID.]]&lt;&gt;"",IFERROR(VLOOKUP(Tabela2[[#This Row],[AGRUPADOR]],Lucratividade!$D$4:$O$129,6,0),0),"")</f>
        <v/>
      </c>
      <c r="N791" s="379">
        <f>IF(H791&lt;&gt;"",J791*M791*I791,SUMIFS(N792:N$9844,$F792:$F$9844,"*"&amp;F791&amp;"*",$H792:$H$9844,"&lt;&gt;"))</f>
        <v>0</v>
      </c>
      <c r="O791" s="162" t="str">
        <f>IFERROR((-Tabela2[[#This Row],[CUSTO TOTAL]]+Tabela2[[#This Row],[VENDA TOTAL]])/Tabela2[[#This Row],[VENDA TOTAL]]-PARAMETROS!$C$19,"")</f>
        <v/>
      </c>
      <c r="AA791" s="218">
        <f>SUM(Plan_Orc[[#This Row],[01/jan]:[01/dez]])</f>
        <v>0</v>
      </c>
      <c r="AB791" s="12"/>
      <c r="AC791" s="12"/>
      <c r="AD791" s="12"/>
      <c r="AE791" s="12"/>
      <c r="AF791" s="12"/>
      <c r="AG791" s="12"/>
      <c r="AH791" s="12"/>
      <c r="AI791" s="12"/>
      <c r="AJ791" s="12"/>
      <c r="AK791" s="12"/>
      <c r="AL791" s="12"/>
      <c r="AM791" s="12"/>
    </row>
    <row r="792" spans="2:39" ht="25.2" customHeight="1" x14ac:dyDescent="0.3">
      <c r="B792" s="13" t="str">
        <f t="shared" si="16"/>
        <v/>
      </c>
      <c r="C792" s="18"/>
      <c r="D792" s="19" t="str">
        <f>IF(Tabela2[[#This Row],[AGRUPADOR]]&lt;&gt;"",VLOOKUP(Tabela2[[#This Row],[AGRUPADOR]],Tabela1[],2,0),"")</f>
        <v/>
      </c>
      <c r="E792" s="19" t="str">
        <f>IF(Tabela2[[#This Row],[AGRUPADOR]]&lt;&gt;"",VLOOKUP(Tabela2[[#This Row],[AGRUPADOR]],Tabela1[],4,0),"")</f>
        <v/>
      </c>
      <c r="F792" s="14"/>
      <c r="G792" s="6"/>
      <c r="H792" s="6"/>
      <c r="I792" s="25"/>
      <c r="J792" s="7"/>
      <c r="K792" s="15"/>
      <c r="L792" s="379">
        <f>IF(H792&lt;&gt;"",J792*K792,SUMIFS(L793:L$9844,$F793:$F$9844,"*"&amp;F792&amp;"*",$H793:$H$9844,"&lt;&gt;"))</f>
        <v>0</v>
      </c>
      <c r="M792" s="379" t="str">
        <f>IF(Tabela2[[#This Row],[UNID.]]&lt;&gt;"",IFERROR(VLOOKUP(Tabela2[[#This Row],[AGRUPADOR]],Lucratividade!$D$4:$O$129,6,0),0),"")</f>
        <v/>
      </c>
      <c r="N792" s="379">
        <f>IF(H792&lt;&gt;"",J792*M792*I792,SUMIFS(N793:N$9844,$F793:$F$9844,"*"&amp;F792&amp;"*",$H793:$H$9844,"&lt;&gt;"))</f>
        <v>0</v>
      </c>
      <c r="O792" s="162" t="str">
        <f>IFERROR((-Tabela2[[#This Row],[CUSTO TOTAL]]+Tabela2[[#This Row],[VENDA TOTAL]])/Tabela2[[#This Row],[VENDA TOTAL]]-PARAMETROS!$C$19,"")</f>
        <v/>
      </c>
      <c r="AA792" s="219">
        <f>SUM(Plan_Orc[[#This Row],[01/jan]:[01/dez]])</f>
        <v>0</v>
      </c>
      <c r="AB792" s="15"/>
      <c r="AC792" s="15"/>
      <c r="AD792" s="15"/>
      <c r="AE792" s="15"/>
      <c r="AF792" s="15"/>
      <c r="AG792" s="15"/>
      <c r="AH792" s="15"/>
      <c r="AI792" s="15"/>
      <c r="AJ792" s="15"/>
      <c r="AK792" s="15"/>
      <c r="AL792" s="15"/>
      <c r="AM792" s="15"/>
    </row>
    <row r="793" spans="2:39" ht="25.2" customHeight="1" x14ac:dyDescent="0.3">
      <c r="B793" s="13" t="str">
        <f t="shared" si="16"/>
        <v/>
      </c>
      <c r="C793" s="18"/>
      <c r="D793" s="19" t="str">
        <f>IF(Tabela2[[#This Row],[AGRUPADOR]]&lt;&gt;"",VLOOKUP(Tabela2[[#This Row],[AGRUPADOR]],Tabela1[],2,0),"")</f>
        <v/>
      </c>
      <c r="E793" s="19" t="str">
        <f>IF(Tabela2[[#This Row],[AGRUPADOR]]&lt;&gt;"",VLOOKUP(Tabela2[[#This Row],[AGRUPADOR]],Tabela1[],4,0),"")</f>
        <v/>
      </c>
      <c r="F793" s="14"/>
      <c r="G793" s="6"/>
      <c r="H793" s="6"/>
      <c r="I793" s="25"/>
      <c r="J793" s="7"/>
      <c r="K793" s="15"/>
      <c r="L793" s="379">
        <f>IF(H793&lt;&gt;"",J793*K793,SUMIFS(L794:L$9844,$F794:$F$9844,"*"&amp;F793&amp;"*",$H794:$H$9844,"&lt;&gt;"))</f>
        <v>0</v>
      </c>
      <c r="M793" s="379" t="str">
        <f>IF(Tabela2[[#This Row],[UNID.]]&lt;&gt;"",IFERROR(VLOOKUP(Tabela2[[#This Row],[AGRUPADOR]],Lucratividade!$D$4:$O$129,6,0),0),"")</f>
        <v/>
      </c>
      <c r="N793" s="379">
        <f>IF(H793&lt;&gt;"",J793*M793*I793,SUMIFS(N794:N$9844,$F794:$F$9844,"*"&amp;F793&amp;"*",$H794:$H$9844,"&lt;&gt;"))</f>
        <v>0</v>
      </c>
      <c r="O793" s="162" t="str">
        <f>IFERROR((-Tabela2[[#This Row],[CUSTO TOTAL]]+Tabela2[[#This Row],[VENDA TOTAL]])/Tabela2[[#This Row],[VENDA TOTAL]]-PARAMETROS!$C$19,"")</f>
        <v/>
      </c>
      <c r="AA793" s="219">
        <f>SUM(Plan_Orc[[#This Row],[01/jan]:[01/dez]])</f>
        <v>0</v>
      </c>
      <c r="AB793" s="15"/>
      <c r="AC793" s="15"/>
      <c r="AD793" s="15"/>
      <c r="AE793" s="15"/>
      <c r="AF793" s="15"/>
      <c r="AG793" s="15"/>
      <c r="AH793" s="15"/>
      <c r="AI793" s="15"/>
      <c r="AJ793" s="15"/>
      <c r="AK793" s="15"/>
      <c r="AL793" s="15"/>
      <c r="AM793" s="15"/>
    </row>
    <row r="794" spans="2:39" ht="25.2" customHeight="1" x14ac:dyDescent="0.3">
      <c r="B794" s="13" t="str">
        <f t="shared" si="16"/>
        <v/>
      </c>
      <c r="C794" s="18"/>
      <c r="D794" s="19" t="str">
        <f>IF(Tabela2[[#This Row],[AGRUPADOR]]&lt;&gt;"",VLOOKUP(Tabela2[[#This Row],[AGRUPADOR]],Tabela1[],2,0),"")</f>
        <v/>
      </c>
      <c r="E794" s="19" t="str">
        <f>IF(Tabela2[[#This Row],[AGRUPADOR]]&lt;&gt;"",VLOOKUP(Tabela2[[#This Row],[AGRUPADOR]],Tabela1[],4,0),"")</f>
        <v/>
      </c>
      <c r="F794" s="14"/>
      <c r="G794" s="6"/>
      <c r="H794" s="6"/>
      <c r="I794" s="25"/>
      <c r="J794" s="7"/>
      <c r="K794" s="15"/>
      <c r="L794" s="379">
        <f>IF(H794&lt;&gt;"",J794*K794,SUMIFS(L795:L$9844,$F795:$F$9844,"*"&amp;F794&amp;"*",$H795:$H$9844,"&lt;&gt;"))</f>
        <v>0</v>
      </c>
      <c r="M794" s="379" t="str">
        <f>IF(Tabela2[[#This Row],[UNID.]]&lt;&gt;"",IFERROR(VLOOKUP(Tabela2[[#This Row],[AGRUPADOR]],Lucratividade!$D$4:$O$129,6,0),0),"")</f>
        <v/>
      </c>
      <c r="N794" s="379">
        <f>IF(H794&lt;&gt;"",J794*M794*I794,SUMIFS(N795:N$9844,$F795:$F$9844,"*"&amp;F794&amp;"*",$H795:$H$9844,"&lt;&gt;"))</f>
        <v>0</v>
      </c>
      <c r="O794" s="162" t="str">
        <f>IFERROR((-Tabela2[[#This Row],[CUSTO TOTAL]]+Tabela2[[#This Row],[VENDA TOTAL]])/Tabela2[[#This Row],[VENDA TOTAL]]-PARAMETROS!$C$19,"")</f>
        <v/>
      </c>
      <c r="AA794" s="219">
        <f>SUM(Plan_Orc[[#This Row],[01/jan]:[01/dez]])</f>
        <v>0</v>
      </c>
      <c r="AB794" s="15"/>
      <c r="AC794" s="15"/>
      <c r="AD794" s="15"/>
      <c r="AE794" s="15"/>
      <c r="AF794" s="15"/>
      <c r="AG794" s="15"/>
      <c r="AH794" s="15"/>
      <c r="AI794" s="15"/>
      <c r="AJ794" s="15"/>
      <c r="AK794" s="15"/>
      <c r="AL794" s="15"/>
      <c r="AM794" s="15"/>
    </row>
    <row r="795" spans="2:39" ht="25.2" customHeight="1" x14ac:dyDescent="0.3">
      <c r="B795" s="13" t="str">
        <f t="shared" si="16"/>
        <v/>
      </c>
      <c r="C795" s="18"/>
      <c r="D795" s="19" t="str">
        <f>IF(Tabela2[[#This Row],[AGRUPADOR]]&lt;&gt;"",VLOOKUP(Tabela2[[#This Row],[AGRUPADOR]],Tabela1[],2,0),"")</f>
        <v/>
      </c>
      <c r="E795" s="19" t="str">
        <f>IF(Tabela2[[#This Row],[AGRUPADOR]]&lt;&gt;"",VLOOKUP(Tabela2[[#This Row],[AGRUPADOR]],Tabela1[],4,0),"")</f>
        <v/>
      </c>
      <c r="F795" s="14"/>
      <c r="G795" s="6"/>
      <c r="H795" s="6"/>
      <c r="I795" s="25"/>
      <c r="J795" s="7"/>
      <c r="K795" s="15"/>
      <c r="L795" s="379">
        <f>IF(H795&lt;&gt;"",J795*K795,SUMIFS(L796:L$9844,$F796:$F$9844,"*"&amp;F795&amp;"*",$H796:$H$9844,"&lt;&gt;"))</f>
        <v>0</v>
      </c>
      <c r="M795" s="379" t="str">
        <f>IF(Tabela2[[#This Row],[UNID.]]&lt;&gt;"",IFERROR(VLOOKUP(Tabela2[[#This Row],[AGRUPADOR]],Lucratividade!$D$4:$O$129,6,0),0),"")</f>
        <v/>
      </c>
      <c r="N795" s="379">
        <f>IF(H795&lt;&gt;"",J795*M795*I795,SUMIFS(N796:N$9844,$F796:$F$9844,"*"&amp;F795&amp;"*",$H796:$H$9844,"&lt;&gt;"))</f>
        <v>0</v>
      </c>
      <c r="O795" s="162" t="str">
        <f>IFERROR((-Tabela2[[#This Row],[CUSTO TOTAL]]+Tabela2[[#This Row],[VENDA TOTAL]])/Tabela2[[#This Row],[VENDA TOTAL]]-PARAMETROS!$C$19,"")</f>
        <v/>
      </c>
      <c r="AA795" s="219">
        <f>SUM(Plan_Orc[[#This Row],[01/jan]:[01/dez]])</f>
        <v>0</v>
      </c>
      <c r="AB795" s="15"/>
      <c r="AC795" s="15"/>
      <c r="AD795" s="15"/>
      <c r="AE795" s="15"/>
      <c r="AF795" s="15"/>
      <c r="AG795" s="15"/>
      <c r="AH795" s="15"/>
      <c r="AI795" s="15"/>
      <c r="AJ795" s="15"/>
      <c r="AK795" s="15"/>
      <c r="AL795" s="15"/>
      <c r="AM795" s="15"/>
    </row>
    <row r="796" spans="2:39" ht="25.2" customHeight="1" x14ac:dyDescent="0.3">
      <c r="B796" s="13" t="str">
        <f t="shared" si="16"/>
        <v/>
      </c>
      <c r="C796" s="18"/>
      <c r="D796" s="19" t="str">
        <f>IF(Tabela2[[#This Row],[AGRUPADOR]]&lt;&gt;"",VLOOKUP(Tabela2[[#This Row],[AGRUPADOR]],Tabela1[],2,0),"")</f>
        <v/>
      </c>
      <c r="E796" s="19" t="str">
        <f>IF(Tabela2[[#This Row],[AGRUPADOR]]&lt;&gt;"",VLOOKUP(Tabela2[[#This Row],[AGRUPADOR]],Tabela1[],4,0),"")</f>
        <v/>
      </c>
      <c r="F796" s="14"/>
      <c r="G796" s="6"/>
      <c r="H796" s="6"/>
      <c r="I796" s="25"/>
      <c r="J796" s="7"/>
      <c r="K796" s="15"/>
      <c r="L796" s="379">
        <f>IF(H796&lt;&gt;"",J796*K796,SUMIFS(L797:L$9844,$F797:$F$9844,"*"&amp;F796&amp;"*",$H797:$H$9844,"&lt;&gt;"))</f>
        <v>0</v>
      </c>
      <c r="M796" s="379" t="str">
        <f>IF(Tabela2[[#This Row],[UNID.]]&lt;&gt;"",IFERROR(VLOOKUP(Tabela2[[#This Row],[AGRUPADOR]],Lucratividade!$D$4:$O$129,6,0),0),"")</f>
        <v/>
      </c>
      <c r="N796" s="379">
        <f>IF(H796&lt;&gt;"",J796*M796*I796,SUMIFS(N797:N$9844,$F797:$F$9844,"*"&amp;F796&amp;"*",$H797:$H$9844,"&lt;&gt;"))</f>
        <v>0</v>
      </c>
      <c r="O796" s="162" t="str">
        <f>IFERROR((-Tabela2[[#This Row],[CUSTO TOTAL]]+Tabela2[[#This Row],[VENDA TOTAL]])/Tabela2[[#This Row],[VENDA TOTAL]]-PARAMETROS!$C$19,"")</f>
        <v/>
      </c>
      <c r="AA796" s="219">
        <f>SUM(Plan_Orc[[#This Row],[01/jan]:[01/dez]])</f>
        <v>0</v>
      </c>
      <c r="AB796" s="15"/>
      <c r="AC796" s="15"/>
      <c r="AD796" s="15"/>
      <c r="AE796" s="15"/>
      <c r="AF796" s="15"/>
      <c r="AG796" s="15"/>
      <c r="AH796" s="15"/>
      <c r="AI796" s="15"/>
      <c r="AJ796" s="15"/>
      <c r="AK796" s="15"/>
      <c r="AL796" s="15"/>
      <c r="AM796" s="15"/>
    </row>
    <row r="797" spans="2:39" ht="25.2" customHeight="1" x14ac:dyDescent="0.3">
      <c r="B797" s="13" t="str">
        <f t="shared" si="16"/>
        <v/>
      </c>
      <c r="C797" s="18"/>
      <c r="D797" s="19" t="str">
        <f>IF(Tabela2[[#This Row],[AGRUPADOR]]&lt;&gt;"",VLOOKUP(Tabela2[[#This Row],[AGRUPADOR]],Tabela1[],2,0),"")</f>
        <v/>
      </c>
      <c r="E797" s="19" t="str">
        <f>IF(Tabela2[[#This Row],[AGRUPADOR]]&lt;&gt;"",VLOOKUP(Tabela2[[#This Row],[AGRUPADOR]],Tabela1[],4,0),"")</f>
        <v/>
      </c>
      <c r="F797" s="14"/>
      <c r="G797" s="6"/>
      <c r="H797" s="6"/>
      <c r="I797" s="25"/>
      <c r="J797" s="7"/>
      <c r="K797" s="15"/>
      <c r="L797" s="379">
        <f>IF(H797&lt;&gt;"",J797*K797,SUMIFS(L798:L$9844,$F798:$F$9844,"*"&amp;F797&amp;"*",$H798:$H$9844,"&lt;&gt;"))</f>
        <v>0</v>
      </c>
      <c r="M797" s="379" t="str">
        <f>IF(Tabela2[[#This Row],[UNID.]]&lt;&gt;"",IFERROR(VLOOKUP(Tabela2[[#This Row],[AGRUPADOR]],Lucratividade!$D$4:$O$129,6,0),0),"")</f>
        <v/>
      </c>
      <c r="N797" s="379">
        <f>IF(H797&lt;&gt;"",J797*M797*I797,SUMIFS(N798:N$9844,$F798:$F$9844,"*"&amp;F797&amp;"*",$H798:$H$9844,"&lt;&gt;"))</f>
        <v>0</v>
      </c>
      <c r="O797" s="162" t="str">
        <f>IFERROR((-Tabela2[[#This Row],[CUSTO TOTAL]]+Tabela2[[#This Row],[VENDA TOTAL]])/Tabela2[[#This Row],[VENDA TOTAL]]-PARAMETROS!$C$19,"")</f>
        <v/>
      </c>
      <c r="AA797" s="219">
        <f>SUM(Plan_Orc[[#This Row],[01/jan]:[01/dez]])</f>
        <v>0</v>
      </c>
      <c r="AB797" s="15"/>
      <c r="AC797" s="15"/>
      <c r="AD797" s="15"/>
      <c r="AE797" s="15"/>
      <c r="AF797" s="15"/>
      <c r="AG797" s="15"/>
      <c r="AH797" s="15"/>
      <c r="AI797" s="15"/>
      <c r="AJ797" s="15"/>
      <c r="AK797" s="15"/>
      <c r="AL797" s="15"/>
      <c r="AM797" s="15"/>
    </row>
    <row r="798" spans="2:39" ht="25.2" customHeight="1" x14ac:dyDescent="0.3">
      <c r="B798" s="13" t="str">
        <f t="shared" si="16"/>
        <v/>
      </c>
      <c r="C798" s="18"/>
      <c r="D798" s="19" t="str">
        <f>IF(Tabela2[[#This Row],[AGRUPADOR]]&lt;&gt;"",VLOOKUP(Tabela2[[#This Row],[AGRUPADOR]],Tabela1[],2,0),"")</f>
        <v/>
      </c>
      <c r="E798" s="19" t="str">
        <f>IF(Tabela2[[#This Row],[AGRUPADOR]]&lt;&gt;"",VLOOKUP(Tabela2[[#This Row],[AGRUPADOR]],Tabela1[],4,0),"")</f>
        <v/>
      </c>
      <c r="F798" s="14"/>
      <c r="G798" s="6"/>
      <c r="H798" s="6"/>
      <c r="I798" s="25"/>
      <c r="J798" s="7"/>
      <c r="K798" s="15"/>
      <c r="L798" s="379">
        <f>IF(H798&lt;&gt;"",J798*K798,SUMIFS(L799:L$9844,$F799:$F$9844,"*"&amp;F798&amp;"*",$H799:$H$9844,"&lt;&gt;"))</f>
        <v>0</v>
      </c>
      <c r="M798" s="379" t="str">
        <f>IF(Tabela2[[#This Row],[UNID.]]&lt;&gt;"",IFERROR(VLOOKUP(Tabela2[[#This Row],[AGRUPADOR]],Lucratividade!$D$4:$O$129,6,0),0),"")</f>
        <v/>
      </c>
      <c r="N798" s="379">
        <f>IF(H798&lt;&gt;"",J798*M798*I798,SUMIFS(N799:N$9844,$F799:$F$9844,"*"&amp;F798&amp;"*",$H799:$H$9844,"&lt;&gt;"))</f>
        <v>0</v>
      </c>
      <c r="O798" s="162" t="str">
        <f>IFERROR((-Tabela2[[#This Row],[CUSTO TOTAL]]+Tabela2[[#This Row],[VENDA TOTAL]])/Tabela2[[#This Row],[VENDA TOTAL]]-PARAMETROS!$C$19,"")</f>
        <v/>
      </c>
      <c r="AA798" s="219">
        <f>SUM(Plan_Orc[[#This Row],[01/jan]:[01/dez]])</f>
        <v>0</v>
      </c>
      <c r="AB798" s="15"/>
      <c r="AC798" s="15"/>
      <c r="AD798" s="15"/>
      <c r="AE798" s="15"/>
      <c r="AF798" s="15"/>
      <c r="AG798" s="15"/>
      <c r="AH798" s="15"/>
      <c r="AI798" s="15"/>
      <c r="AJ798" s="15"/>
      <c r="AK798" s="15"/>
      <c r="AL798" s="15"/>
      <c r="AM798" s="15"/>
    </row>
    <row r="799" spans="2:39" ht="25.2" customHeight="1" x14ac:dyDescent="0.3">
      <c r="B799" s="13" t="str">
        <f t="shared" si="16"/>
        <v/>
      </c>
      <c r="C799" s="18"/>
      <c r="D799" s="19" t="str">
        <f>IF(Tabela2[[#This Row],[AGRUPADOR]]&lt;&gt;"",VLOOKUP(Tabela2[[#This Row],[AGRUPADOR]],Tabela1[],2,0),"")</f>
        <v/>
      </c>
      <c r="E799" s="19" t="str">
        <f>IF(Tabela2[[#This Row],[AGRUPADOR]]&lt;&gt;"",VLOOKUP(Tabela2[[#This Row],[AGRUPADOR]],Tabela1[],4,0),"")</f>
        <v/>
      </c>
      <c r="F799" s="14"/>
      <c r="G799" s="6"/>
      <c r="H799" s="6"/>
      <c r="I799" s="25"/>
      <c r="J799" s="7"/>
      <c r="K799" s="15"/>
      <c r="L799" s="379">
        <f>IF(H799&lt;&gt;"",J799*K799,SUMIFS(L800:L$9844,$F800:$F$9844,"*"&amp;F799&amp;"*",$H800:$H$9844,"&lt;&gt;"))</f>
        <v>0</v>
      </c>
      <c r="M799" s="379" t="str">
        <f>IF(Tabela2[[#This Row],[UNID.]]&lt;&gt;"",IFERROR(VLOOKUP(Tabela2[[#This Row],[AGRUPADOR]],Lucratividade!$D$4:$O$129,6,0),0),"")</f>
        <v/>
      </c>
      <c r="N799" s="379">
        <f>IF(H799&lt;&gt;"",J799*M799*I799,SUMIFS(N800:N$9844,$F800:$F$9844,"*"&amp;F799&amp;"*",$H800:$H$9844,"&lt;&gt;"))</f>
        <v>0</v>
      </c>
      <c r="O799" s="162" t="str">
        <f>IFERROR((-Tabela2[[#This Row],[CUSTO TOTAL]]+Tabela2[[#This Row],[VENDA TOTAL]])/Tabela2[[#This Row],[VENDA TOTAL]]-PARAMETROS!$C$19,"")</f>
        <v/>
      </c>
      <c r="AA799" s="219">
        <f>SUM(Plan_Orc[[#This Row],[01/jan]:[01/dez]])</f>
        <v>0</v>
      </c>
      <c r="AB799" s="15"/>
      <c r="AC799" s="15"/>
      <c r="AD799" s="15"/>
      <c r="AE799" s="15"/>
      <c r="AF799" s="15"/>
      <c r="AG799" s="15"/>
      <c r="AH799" s="15"/>
      <c r="AI799" s="15"/>
      <c r="AJ799" s="15"/>
      <c r="AK799" s="15"/>
      <c r="AL799" s="15"/>
      <c r="AM799" s="15"/>
    </row>
    <row r="800" spans="2:39" ht="25.2" customHeight="1" x14ac:dyDescent="0.3">
      <c r="B800" s="13" t="str">
        <f t="shared" si="16"/>
        <v/>
      </c>
      <c r="C800" s="18"/>
      <c r="D800" s="19" t="str">
        <f>IF(Tabela2[[#This Row],[AGRUPADOR]]&lt;&gt;"",VLOOKUP(Tabela2[[#This Row],[AGRUPADOR]],Tabela1[],2,0),"")</f>
        <v/>
      </c>
      <c r="E800" s="19" t="str">
        <f>IF(Tabela2[[#This Row],[AGRUPADOR]]&lt;&gt;"",VLOOKUP(Tabela2[[#This Row],[AGRUPADOR]],Tabela1[],4,0),"")</f>
        <v/>
      </c>
      <c r="F800" s="14"/>
      <c r="G800" s="6"/>
      <c r="H800" s="6"/>
      <c r="I800" s="25"/>
      <c r="J800" s="7"/>
      <c r="K800" s="15"/>
      <c r="L800" s="379">
        <f>IF(H800&lt;&gt;"",J800*K800,SUMIFS(L801:L$9844,$F801:$F$9844,"*"&amp;F800&amp;"*",$H801:$H$9844,"&lt;&gt;"))</f>
        <v>0</v>
      </c>
      <c r="M800" s="379" t="str">
        <f>IF(Tabela2[[#This Row],[UNID.]]&lt;&gt;"",IFERROR(VLOOKUP(Tabela2[[#This Row],[AGRUPADOR]],Lucratividade!$D$4:$O$129,6,0),0),"")</f>
        <v/>
      </c>
      <c r="N800" s="379">
        <f>IF(H800&lt;&gt;"",J800*M800*I800,SUMIFS(N801:N$9844,$F801:$F$9844,"*"&amp;F800&amp;"*",$H801:$H$9844,"&lt;&gt;"))</f>
        <v>0</v>
      </c>
      <c r="O800" s="162" t="str">
        <f>IFERROR((-Tabela2[[#This Row],[CUSTO TOTAL]]+Tabela2[[#This Row],[VENDA TOTAL]])/Tabela2[[#This Row],[VENDA TOTAL]]-PARAMETROS!$C$19,"")</f>
        <v/>
      </c>
      <c r="AA800" s="219">
        <f>SUM(Plan_Orc[[#This Row],[01/jan]:[01/dez]])</f>
        <v>0</v>
      </c>
      <c r="AB800" s="15"/>
      <c r="AC800" s="15"/>
      <c r="AD800" s="15"/>
      <c r="AE800" s="15"/>
      <c r="AF800" s="15"/>
      <c r="AG800" s="15"/>
      <c r="AH800" s="15"/>
      <c r="AI800" s="15"/>
      <c r="AJ800" s="15"/>
      <c r="AK800" s="15"/>
      <c r="AL800" s="15"/>
      <c r="AM800" s="15"/>
    </row>
    <row r="801" spans="2:39" ht="25.2" customHeight="1" x14ac:dyDescent="0.3">
      <c r="B801" s="13" t="str">
        <f t="shared" si="16"/>
        <v/>
      </c>
      <c r="C801" s="18"/>
      <c r="D801" s="19" t="str">
        <f>IF(Tabela2[[#This Row],[AGRUPADOR]]&lt;&gt;"",VLOOKUP(Tabela2[[#This Row],[AGRUPADOR]],Tabela1[],2,0),"")</f>
        <v/>
      </c>
      <c r="E801" s="19" t="str">
        <f>IF(Tabela2[[#This Row],[AGRUPADOR]]&lt;&gt;"",VLOOKUP(Tabela2[[#This Row],[AGRUPADOR]],Tabela1[],4,0),"")</f>
        <v/>
      </c>
      <c r="F801" s="14"/>
      <c r="G801" s="6"/>
      <c r="H801" s="6"/>
      <c r="I801" s="25"/>
      <c r="J801" s="7"/>
      <c r="K801" s="15"/>
      <c r="L801" s="379">
        <f>IF(H801&lt;&gt;"",J801*K801,SUMIFS(L802:L$9844,$F802:$F$9844,"*"&amp;F801&amp;"*",$H802:$H$9844,"&lt;&gt;"))</f>
        <v>0</v>
      </c>
      <c r="M801" s="379" t="str">
        <f>IF(Tabela2[[#This Row],[UNID.]]&lt;&gt;"",IFERROR(VLOOKUP(Tabela2[[#This Row],[AGRUPADOR]],Lucratividade!$D$4:$O$129,6,0),0),"")</f>
        <v/>
      </c>
      <c r="N801" s="379">
        <f>IF(H801&lt;&gt;"",J801*M801*I801,SUMIFS(N802:N$9844,$F802:$F$9844,"*"&amp;F801&amp;"*",$H802:$H$9844,"&lt;&gt;"))</f>
        <v>0</v>
      </c>
      <c r="O801" s="162" t="str">
        <f>IFERROR((-Tabela2[[#This Row],[CUSTO TOTAL]]+Tabela2[[#This Row],[VENDA TOTAL]])/Tabela2[[#This Row],[VENDA TOTAL]]-PARAMETROS!$C$19,"")</f>
        <v/>
      </c>
      <c r="AA801" s="219">
        <f>SUM(Plan_Orc[[#This Row],[01/jan]:[01/dez]])</f>
        <v>0</v>
      </c>
      <c r="AB801" s="15"/>
      <c r="AC801" s="15"/>
      <c r="AD801" s="15"/>
      <c r="AE801" s="15"/>
      <c r="AF801" s="15"/>
      <c r="AG801" s="15"/>
      <c r="AH801" s="15"/>
      <c r="AI801" s="15"/>
      <c r="AJ801" s="15"/>
      <c r="AK801" s="15"/>
      <c r="AL801" s="15"/>
      <c r="AM801" s="15"/>
    </row>
    <row r="802" spans="2:39" ht="25.2" customHeight="1" x14ac:dyDescent="0.3">
      <c r="B802" s="13" t="str">
        <f t="shared" si="16"/>
        <v/>
      </c>
      <c r="C802" s="18"/>
      <c r="D802" s="19" t="str">
        <f>IF(Tabela2[[#This Row],[AGRUPADOR]]&lt;&gt;"",VLOOKUP(Tabela2[[#This Row],[AGRUPADOR]],Tabela1[],2,0),"")</f>
        <v/>
      </c>
      <c r="E802" s="19" t="str">
        <f>IF(Tabela2[[#This Row],[AGRUPADOR]]&lt;&gt;"",VLOOKUP(Tabela2[[#This Row],[AGRUPADOR]],Tabela1[],4,0),"")</f>
        <v/>
      </c>
      <c r="F802" s="14"/>
      <c r="G802" s="6"/>
      <c r="H802" s="6"/>
      <c r="I802" s="25"/>
      <c r="J802" s="7"/>
      <c r="K802" s="15"/>
      <c r="L802" s="379">
        <f>IF(H802&lt;&gt;"",J802*K802,SUMIFS(L803:L$9844,$F803:$F$9844,"*"&amp;F802&amp;"*",$H803:$H$9844,"&lt;&gt;"))</f>
        <v>0</v>
      </c>
      <c r="M802" s="379" t="str">
        <f>IF(Tabela2[[#This Row],[UNID.]]&lt;&gt;"",IFERROR(VLOOKUP(Tabela2[[#This Row],[AGRUPADOR]],Lucratividade!$D$4:$O$129,6,0),0),"")</f>
        <v/>
      </c>
      <c r="N802" s="379">
        <f>IF(H802&lt;&gt;"",J802*M802*I802,SUMIFS(N803:N$9844,$F803:$F$9844,"*"&amp;F802&amp;"*",$H803:$H$9844,"&lt;&gt;"))</f>
        <v>0</v>
      </c>
      <c r="O802" s="162" t="str">
        <f>IFERROR((-Tabela2[[#This Row],[CUSTO TOTAL]]+Tabela2[[#This Row],[VENDA TOTAL]])/Tabela2[[#This Row],[VENDA TOTAL]]-PARAMETROS!$C$19,"")</f>
        <v/>
      </c>
      <c r="AA802" s="219">
        <f>SUM(Plan_Orc[[#This Row],[01/jan]:[01/dez]])</f>
        <v>0</v>
      </c>
      <c r="AB802" s="15"/>
      <c r="AC802" s="15"/>
      <c r="AD802" s="15"/>
      <c r="AE802" s="15"/>
      <c r="AF802" s="15"/>
      <c r="AG802" s="15"/>
      <c r="AH802" s="15"/>
      <c r="AI802" s="15"/>
      <c r="AJ802" s="15"/>
      <c r="AK802" s="15"/>
      <c r="AL802" s="15"/>
      <c r="AM802" s="15"/>
    </row>
    <row r="803" spans="2:39" ht="25.2" customHeight="1" x14ac:dyDescent="0.3">
      <c r="B803" s="13" t="str">
        <f t="shared" si="16"/>
        <v/>
      </c>
      <c r="C803" s="18"/>
      <c r="D803" s="19" t="str">
        <f>IF(Tabela2[[#This Row],[AGRUPADOR]]&lt;&gt;"",VLOOKUP(Tabela2[[#This Row],[AGRUPADOR]],Tabela1[],2,0),"")</f>
        <v/>
      </c>
      <c r="E803" s="19" t="str">
        <f>IF(Tabela2[[#This Row],[AGRUPADOR]]&lt;&gt;"",VLOOKUP(Tabela2[[#This Row],[AGRUPADOR]],Tabela1[],4,0),"")</f>
        <v/>
      </c>
      <c r="F803" s="14"/>
      <c r="G803" s="6"/>
      <c r="H803" s="6"/>
      <c r="I803" s="25"/>
      <c r="J803" s="7"/>
      <c r="K803" s="15"/>
      <c r="L803" s="379">
        <f>IF(H803&lt;&gt;"",J803*K803,SUMIFS(L804:L$9844,$F804:$F$9844,"*"&amp;F803&amp;"*",$H804:$H$9844,"&lt;&gt;"))</f>
        <v>0</v>
      </c>
      <c r="M803" s="379" t="str">
        <f>IF(Tabela2[[#This Row],[UNID.]]&lt;&gt;"",IFERROR(VLOOKUP(Tabela2[[#This Row],[AGRUPADOR]],Lucratividade!$D$4:$O$129,6,0),0),"")</f>
        <v/>
      </c>
      <c r="N803" s="379">
        <f>IF(H803&lt;&gt;"",J803*M803*I803,SUMIFS(N804:N$9844,$F804:$F$9844,"*"&amp;F803&amp;"*",$H804:$H$9844,"&lt;&gt;"))</f>
        <v>0</v>
      </c>
      <c r="O803" s="162" t="str">
        <f>IFERROR((-Tabela2[[#This Row],[CUSTO TOTAL]]+Tabela2[[#This Row],[VENDA TOTAL]])/Tabela2[[#This Row],[VENDA TOTAL]]-PARAMETROS!$C$19,"")</f>
        <v/>
      </c>
      <c r="AA803" s="218">
        <f>SUM(Plan_Orc[[#This Row],[01/jan]:[01/dez]])</f>
        <v>0</v>
      </c>
      <c r="AB803" s="12"/>
      <c r="AC803" s="12"/>
      <c r="AD803" s="12"/>
      <c r="AE803" s="12"/>
      <c r="AF803" s="12"/>
      <c r="AG803" s="12"/>
      <c r="AH803" s="12"/>
      <c r="AI803" s="12"/>
      <c r="AJ803" s="12"/>
      <c r="AK803" s="12"/>
      <c r="AL803" s="12"/>
      <c r="AM803" s="12"/>
    </row>
    <row r="804" spans="2:39" ht="25.2" customHeight="1" x14ac:dyDescent="0.3">
      <c r="B804" s="13" t="str">
        <f t="shared" si="16"/>
        <v/>
      </c>
      <c r="C804" s="18"/>
      <c r="D804" s="19" t="str">
        <f>IF(Tabela2[[#This Row],[AGRUPADOR]]&lt;&gt;"",VLOOKUP(Tabela2[[#This Row],[AGRUPADOR]],Tabela1[],2,0),"")</f>
        <v/>
      </c>
      <c r="E804" s="19" t="str">
        <f>IF(Tabela2[[#This Row],[AGRUPADOR]]&lt;&gt;"",VLOOKUP(Tabela2[[#This Row],[AGRUPADOR]],Tabela1[],4,0),"")</f>
        <v/>
      </c>
      <c r="F804" s="14"/>
      <c r="G804" s="6"/>
      <c r="H804" s="6"/>
      <c r="I804" s="25"/>
      <c r="J804" s="7"/>
      <c r="K804" s="15"/>
      <c r="L804" s="379">
        <f>IF(H804&lt;&gt;"",J804*K804,SUMIFS(L805:L$9844,$F805:$F$9844,"*"&amp;F804&amp;"*",$H805:$H$9844,"&lt;&gt;"))</f>
        <v>0</v>
      </c>
      <c r="M804" s="379" t="str">
        <f>IF(Tabela2[[#This Row],[UNID.]]&lt;&gt;"",IFERROR(VLOOKUP(Tabela2[[#This Row],[AGRUPADOR]],Lucratividade!$D$4:$O$129,6,0),0),"")</f>
        <v/>
      </c>
      <c r="N804" s="379">
        <f>IF(H804&lt;&gt;"",J804*M804*I804,SUMIFS(N805:N$9844,$F805:$F$9844,"*"&amp;F804&amp;"*",$H805:$H$9844,"&lt;&gt;"))</f>
        <v>0</v>
      </c>
      <c r="O804" s="162" t="str">
        <f>IFERROR((-Tabela2[[#This Row],[CUSTO TOTAL]]+Tabela2[[#This Row],[VENDA TOTAL]])/Tabela2[[#This Row],[VENDA TOTAL]]-PARAMETROS!$C$19,"")</f>
        <v/>
      </c>
      <c r="AA804" s="219">
        <f>SUM(Plan_Orc[[#This Row],[01/jan]:[01/dez]])</f>
        <v>0</v>
      </c>
      <c r="AB804" s="15"/>
      <c r="AC804" s="15"/>
      <c r="AD804" s="15"/>
      <c r="AE804" s="15"/>
      <c r="AF804" s="15"/>
      <c r="AG804" s="15"/>
      <c r="AH804" s="15"/>
      <c r="AI804" s="15"/>
      <c r="AJ804" s="15"/>
      <c r="AK804" s="15"/>
      <c r="AL804" s="15"/>
      <c r="AM804" s="15"/>
    </row>
    <row r="805" spans="2:39" ht="25.2" customHeight="1" x14ac:dyDescent="0.3">
      <c r="B805" s="13" t="str">
        <f t="shared" si="16"/>
        <v/>
      </c>
      <c r="C805" s="18"/>
      <c r="D805" s="19" t="str">
        <f>IF(Tabela2[[#This Row],[AGRUPADOR]]&lt;&gt;"",VLOOKUP(Tabela2[[#This Row],[AGRUPADOR]],Tabela1[],2,0),"")</f>
        <v/>
      </c>
      <c r="E805" s="19" t="str">
        <f>IF(Tabela2[[#This Row],[AGRUPADOR]]&lt;&gt;"",VLOOKUP(Tabela2[[#This Row],[AGRUPADOR]],Tabela1[],4,0),"")</f>
        <v/>
      </c>
      <c r="F805" s="14"/>
      <c r="G805" s="6"/>
      <c r="H805" s="6"/>
      <c r="I805" s="25"/>
      <c r="J805" s="7"/>
      <c r="K805" s="15"/>
      <c r="L805" s="379">
        <f>IF(H805&lt;&gt;"",J805*K805,SUMIFS(L806:L$9844,$F806:$F$9844,"*"&amp;F805&amp;"*",$H806:$H$9844,"&lt;&gt;"))</f>
        <v>0</v>
      </c>
      <c r="M805" s="379" t="str">
        <f>IF(Tabela2[[#This Row],[UNID.]]&lt;&gt;"",IFERROR(VLOOKUP(Tabela2[[#This Row],[AGRUPADOR]],Lucratividade!$D$4:$O$129,6,0),0),"")</f>
        <v/>
      </c>
      <c r="N805" s="379">
        <f>IF(H805&lt;&gt;"",J805*M805*I805,SUMIFS(N806:N$9844,$F806:$F$9844,"*"&amp;F805&amp;"*",$H806:$H$9844,"&lt;&gt;"))</f>
        <v>0</v>
      </c>
      <c r="O805" s="162" t="str">
        <f>IFERROR((-Tabela2[[#This Row],[CUSTO TOTAL]]+Tabela2[[#This Row],[VENDA TOTAL]])/Tabela2[[#This Row],[VENDA TOTAL]]-PARAMETROS!$C$19,"")</f>
        <v/>
      </c>
      <c r="AA805" s="219">
        <f>SUM(Plan_Orc[[#This Row],[01/jan]:[01/dez]])</f>
        <v>0</v>
      </c>
      <c r="AB805" s="15"/>
      <c r="AC805" s="15"/>
      <c r="AD805" s="15"/>
      <c r="AE805" s="15"/>
      <c r="AF805" s="15"/>
      <c r="AG805" s="15"/>
      <c r="AH805" s="15"/>
      <c r="AI805" s="15"/>
      <c r="AJ805" s="15"/>
      <c r="AK805" s="15"/>
      <c r="AL805" s="15"/>
      <c r="AM805" s="15"/>
    </row>
    <row r="806" spans="2:39" ht="25.2" customHeight="1" x14ac:dyDescent="0.3">
      <c r="B806" s="13" t="str">
        <f t="shared" si="16"/>
        <v/>
      </c>
      <c r="C806" s="18"/>
      <c r="D806" s="19" t="str">
        <f>IF(Tabela2[[#This Row],[AGRUPADOR]]&lt;&gt;"",VLOOKUP(Tabela2[[#This Row],[AGRUPADOR]],Tabela1[],2,0),"")</f>
        <v/>
      </c>
      <c r="E806" s="19" t="str">
        <f>IF(Tabela2[[#This Row],[AGRUPADOR]]&lt;&gt;"",VLOOKUP(Tabela2[[#This Row],[AGRUPADOR]],Tabela1[],4,0),"")</f>
        <v/>
      </c>
      <c r="F806" s="14"/>
      <c r="G806" s="6"/>
      <c r="H806" s="6"/>
      <c r="I806" s="25"/>
      <c r="J806" s="7"/>
      <c r="K806" s="15"/>
      <c r="L806" s="379">
        <f>IF(H806&lt;&gt;"",J806*K806,SUMIFS(L807:L$9844,$F807:$F$9844,"*"&amp;F806&amp;"*",$H807:$H$9844,"&lt;&gt;"))</f>
        <v>0</v>
      </c>
      <c r="M806" s="379" t="str">
        <f>IF(Tabela2[[#This Row],[UNID.]]&lt;&gt;"",IFERROR(VLOOKUP(Tabela2[[#This Row],[AGRUPADOR]],Lucratividade!$D$4:$O$129,6,0),0),"")</f>
        <v/>
      </c>
      <c r="N806" s="379">
        <f>IF(H806&lt;&gt;"",J806*M806*I806,SUMIFS(N807:N$9844,$F807:$F$9844,"*"&amp;F806&amp;"*",$H807:$H$9844,"&lt;&gt;"))</f>
        <v>0</v>
      </c>
      <c r="O806" s="162" t="str">
        <f>IFERROR((-Tabela2[[#This Row],[CUSTO TOTAL]]+Tabela2[[#This Row],[VENDA TOTAL]])/Tabela2[[#This Row],[VENDA TOTAL]]-PARAMETROS!$C$19,"")</f>
        <v/>
      </c>
      <c r="AA806" s="219">
        <f>SUM(Plan_Orc[[#This Row],[01/jan]:[01/dez]])</f>
        <v>0</v>
      </c>
      <c r="AB806" s="15"/>
      <c r="AC806" s="15"/>
      <c r="AD806" s="15"/>
      <c r="AE806" s="15"/>
      <c r="AF806" s="15"/>
      <c r="AG806" s="15"/>
      <c r="AH806" s="15"/>
      <c r="AI806" s="15"/>
      <c r="AJ806" s="15"/>
      <c r="AK806" s="15"/>
      <c r="AL806" s="15"/>
      <c r="AM806" s="15"/>
    </row>
    <row r="807" spans="2:39" ht="25.2" customHeight="1" x14ac:dyDescent="0.3">
      <c r="B807" s="13" t="str">
        <f t="shared" si="16"/>
        <v/>
      </c>
      <c r="C807" s="18"/>
      <c r="D807" s="19" t="str">
        <f>IF(Tabela2[[#This Row],[AGRUPADOR]]&lt;&gt;"",VLOOKUP(Tabela2[[#This Row],[AGRUPADOR]],Tabela1[],2,0),"")</f>
        <v/>
      </c>
      <c r="E807" s="19" t="str">
        <f>IF(Tabela2[[#This Row],[AGRUPADOR]]&lt;&gt;"",VLOOKUP(Tabela2[[#This Row],[AGRUPADOR]],Tabela1[],4,0),"")</f>
        <v/>
      </c>
      <c r="F807" s="14"/>
      <c r="G807" s="6"/>
      <c r="H807" s="6"/>
      <c r="I807" s="25"/>
      <c r="J807" s="7"/>
      <c r="K807" s="15"/>
      <c r="L807" s="379">
        <f>IF(H807&lt;&gt;"",J807*K807,SUMIFS(L808:L$9844,$F808:$F$9844,"*"&amp;F807&amp;"*",$H808:$H$9844,"&lt;&gt;"))</f>
        <v>0</v>
      </c>
      <c r="M807" s="379" t="str">
        <f>IF(Tabela2[[#This Row],[UNID.]]&lt;&gt;"",IFERROR(VLOOKUP(Tabela2[[#This Row],[AGRUPADOR]],Lucratividade!$D$4:$O$129,6,0),0),"")</f>
        <v/>
      </c>
      <c r="N807" s="379">
        <f>IF(H807&lt;&gt;"",J807*M807*I807,SUMIFS(N808:N$9844,$F808:$F$9844,"*"&amp;F807&amp;"*",$H808:$H$9844,"&lt;&gt;"))</f>
        <v>0</v>
      </c>
      <c r="O807" s="162" t="str">
        <f>IFERROR((-Tabela2[[#This Row],[CUSTO TOTAL]]+Tabela2[[#This Row],[VENDA TOTAL]])/Tabela2[[#This Row],[VENDA TOTAL]]-PARAMETROS!$C$19,"")</f>
        <v/>
      </c>
      <c r="AA807" s="219">
        <f>SUM(Plan_Orc[[#This Row],[01/jan]:[01/dez]])</f>
        <v>0</v>
      </c>
      <c r="AB807" s="15"/>
      <c r="AC807" s="15"/>
      <c r="AD807" s="15"/>
      <c r="AE807" s="15"/>
      <c r="AF807" s="15"/>
      <c r="AG807" s="15"/>
      <c r="AH807" s="15"/>
      <c r="AI807" s="15"/>
      <c r="AJ807" s="15"/>
      <c r="AK807" s="15"/>
      <c r="AL807" s="15"/>
      <c r="AM807" s="15"/>
    </row>
    <row r="808" spans="2:39" ht="25.2" customHeight="1" x14ac:dyDescent="0.3">
      <c r="B808" s="13" t="str">
        <f t="shared" si="16"/>
        <v/>
      </c>
      <c r="C808" s="18"/>
      <c r="D808" s="19" t="str">
        <f>IF(Tabela2[[#This Row],[AGRUPADOR]]&lt;&gt;"",VLOOKUP(Tabela2[[#This Row],[AGRUPADOR]],Tabela1[],2,0),"")</f>
        <v/>
      </c>
      <c r="E808" s="19" t="str">
        <f>IF(Tabela2[[#This Row],[AGRUPADOR]]&lt;&gt;"",VLOOKUP(Tabela2[[#This Row],[AGRUPADOR]],Tabela1[],4,0),"")</f>
        <v/>
      </c>
      <c r="F808" s="14"/>
      <c r="G808" s="6"/>
      <c r="H808" s="6"/>
      <c r="I808" s="25"/>
      <c r="J808" s="7"/>
      <c r="K808" s="15"/>
      <c r="L808" s="379">
        <f>IF(H808&lt;&gt;"",J808*K808,SUMIFS(L809:L$9844,$F809:$F$9844,"*"&amp;F808&amp;"*",$H809:$H$9844,"&lt;&gt;"))</f>
        <v>0</v>
      </c>
      <c r="M808" s="379" t="str">
        <f>IF(Tabela2[[#This Row],[UNID.]]&lt;&gt;"",IFERROR(VLOOKUP(Tabela2[[#This Row],[AGRUPADOR]],Lucratividade!$D$4:$O$129,6,0),0),"")</f>
        <v/>
      </c>
      <c r="N808" s="379">
        <f>IF(H808&lt;&gt;"",J808*M808*I808,SUMIFS(N809:N$9844,$F809:$F$9844,"*"&amp;F808&amp;"*",$H809:$H$9844,"&lt;&gt;"))</f>
        <v>0</v>
      </c>
      <c r="O808" s="162" t="str">
        <f>IFERROR((-Tabela2[[#This Row],[CUSTO TOTAL]]+Tabela2[[#This Row],[VENDA TOTAL]])/Tabela2[[#This Row],[VENDA TOTAL]]-PARAMETROS!$C$19,"")</f>
        <v/>
      </c>
      <c r="AA808" s="219">
        <f>SUM(Plan_Orc[[#This Row],[01/jan]:[01/dez]])</f>
        <v>0</v>
      </c>
      <c r="AB808" s="15"/>
      <c r="AC808" s="15"/>
      <c r="AD808" s="15"/>
      <c r="AE808" s="15"/>
      <c r="AF808" s="15"/>
      <c r="AG808" s="15"/>
      <c r="AH808" s="15"/>
      <c r="AI808" s="15"/>
      <c r="AJ808" s="15"/>
      <c r="AK808" s="15"/>
      <c r="AL808" s="15"/>
      <c r="AM808" s="15"/>
    </row>
    <row r="809" spans="2:39" ht="25.2" customHeight="1" x14ac:dyDescent="0.3">
      <c r="B809" s="13" t="str">
        <f t="shared" si="16"/>
        <v/>
      </c>
      <c r="C809" s="18"/>
      <c r="D809" s="19" t="str">
        <f>IF(Tabela2[[#This Row],[AGRUPADOR]]&lt;&gt;"",VLOOKUP(Tabela2[[#This Row],[AGRUPADOR]],Tabela1[],2,0),"")</f>
        <v/>
      </c>
      <c r="E809" s="19" t="str">
        <f>IF(Tabela2[[#This Row],[AGRUPADOR]]&lt;&gt;"",VLOOKUP(Tabela2[[#This Row],[AGRUPADOR]],Tabela1[],4,0),"")</f>
        <v/>
      </c>
      <c r="F809" s="14"/>
      <c r="G809" s="6"/>
      <c r="H809" s="6"/>
      <c r="I809" s="25"/>
      <c r="J809" s="7"/>
      <c r="K809" s="15"/>
      <c r="L809" s="379">
        <f>IF(H809&lt;&gt;"",J809*K809,SUMIFS(L810:L$9844,$F810:$F$9844,"*"&amp;F809&amp;"*",$H810:$H$9844,"&lt;&gt;"))</f>
        <v>0</v>
      </c>
      <c r="M809" s="379" t="str">
        <f>IF(Tabela2[[#This Row],[UNID.]]&lt;&gt;"",IFERROR(VLOOKUP(Tabela2[[#This Row],[AGRUPADOR]],Lucratividade!$D$4:$O$129,6,0),0),"")</f>
        <v/>
      </c>
      <c r="N809" s="379">
        <f>IF(H809&lt;&gt;"",J809*M809*I809,SUMIFS(N810:N$9844,$F810:$F$9844,"*"&amp;F809&amp;"*",$H810:$H$9844,"&lt;&gt;"))</f>
        <v>0</v>
      </c>
      <c r="O809" s="162" t="str">
        <f>IFERROR((-Tabela2[[#This Row],[CUSTO TOTAL]]+Tabela2[[#This Row],[VENDA TOTAL]])/Tabela2[[#This Row],[VENDA TOTAL]]-PARAMETROS!$C$19,"")</f>
        <v/>
      </c>
      <c r="AA809" s="219">
        <f>SUM(Plan_Orc[[#This Row],[01/jan]:[01/dez]])</f>
        <v>0</v>
      </c>
      <c r="AB809" s="15"/>
      <c r="AC809" s="15"/>
      <c r="AD809" s="15"/>
      <c r="AE809" s="15"/>
      <c r="AF809" s="15"/>
      <c r="AG809" s="15"/>
      <c r="AH809" s="15"/>
      <c r="AI809" s="15"/>
      <c r="AJ809" s="15"/>
      <c r="AK809" s="15"/>
      <c r="AL809" s="15"/>
      <c r="AM809" s="15"/>
    </row>
    <row r="810" spans="2:39" ht="25.2" customHeight="1" x14ac:dyDescent="0.3">
      <c r="B810" s="13" t="str">
        <f t="shared" si="16"/>
        <v/>
      </c>
      <c r="C810" s="18"/>
      <c r="D810" s="19" t="str">
        <f>IF(Tabela2[[#This Row],[AGRUPADOR]]&lt;&gt;"",VLOOKUP(Tabela2[[#This Row],[AGRUPADOR]],Tabela1[],2,0),"")</f>
        <v/>
      </c>
      <c r="E810" s="19" t="str">
        <f>IF(Tabela2[[#This Row],[AGRUPADOR]]&lt;&gt;"",VLOOKUP(Tabela2[[#This Row],[AGRUPADOR]],Tabela1[],4,0),"")</f>
        <v/>
      </c>
      <c r="F810" s="14"/>
      <c r="G810" s="6"/>
      <c r="H810" s="6"/>
      <c r="I810" s="25"/>
      <c r="J810" s="7"/>
      <c r="K810" s="15"/>
      <c r="L810" s="379">
        <f>IF(H810&lt;&gt;"",J810*K810,SUMIFS(L811:L$9844,$F811:$F$9844,"*"&amp;F810&amp;"*",$H811:$H$9844,"&lt;&gt;"))</f>
        <v>0</v>
      </c>
      <c r="M810" s="379" t="str">
        <f>IF(Tabela2[[#This Row],[UNID.]]&lt;&gt;"",IFERROR(VLOOKUP(Tabela2[[#This Row],[AGRUPADOR]],Lucratividade!$D$4:$O$129,6,0),0),"")</f>
        <v/>
      </c>
      <c r="N810" s="379">
        <f>IF(H810&lt;&gt;"",J810*M810*I810,SUMIFS(N811:N$9844,$F811:$F$9844,"*"&amp;F810&amp;"*",$H811:$H$9844,"&lt;&gt;"))</f>
        <v>0</v>
      </c>
      <c r="O810" s="162" t="str">
        <f>IFERROR((-Tabela2[[#This Row],[CUSTO TOTAL]]+Tabela2[[#This Row],[VENDA TOTAL]])/Tabela2[[#This Row],[VENDA TOTAL]]-PARAMETROS!$C$19,"")</f>
        <v/>
      </c>
      <c r="AA810" s="219">
        <f>SUM(Plan_Orc[[#This Row],[01/jan]:[01/dez]])</f>
        <v>0</v>
      </c>
      <c r="AB810" s="15"/>
      <c r="AC810" s="15"/>
      <c r="AD810" s="15"/>
      <c r="AE810" s="15"/>
      <c r="AF810" s="15"/>
      <c r="AG810" s="15"/>
      <c r="AH810" s="15"/>
      <c r="AI810" s="15"/>
      <c r="AJ810" s="15"/>
      <c r="AK810" s="15"/>
      <c r="AL810" s="15"/>
      <c r="AM810" s="15"/>
    </row>
    <row r="811" spans="2:39" ht="25.2" customHeight="1" x14ac:dyDescent="0.3">
      <c r="B811" s="13" t="str">
        <f t="shared" si="16"/>
        <v/>
      </c>
      <c r="C811" s="18"/>
      <c r="D811" s="19" t="str">
        <f>IF(Tabela2[[#This Row],[AGRUPADOR]]&lt;&gt;"",VLOOKUP(Tabela2[[#This Row],[AGRUPADOR]],Tabela1[],2,0),"")</f>
        <v/>
      </c>
      <c r="E811" s="19" t="str">
        <f>IF(Tabela2[[#This Row],[AGRUPADOR]]&lt;&gt;"",VLOOKUP(Tabela2[[#This Row],[AGRUPADOR]],Tabela1[],4,0),"")</f>
        <v/>
      </c>
      <c r="F811" s="14"/>
      <c r="G811" s="6"/>
      <c r="H811" s="6"/>
      <c r="I811" s="25"/>
      <c r="J811" s="7"/>
      <c r="K811" s="15"/>
      <c r="L811" s="379">
        <f>IF(H811&lt;&gt;"",J811*K811,SUMIFS(L812:L$9844,$F812:$F$9844,"*"&amp;F811&amp;"*",$H812:$H$9844,"&lt;&gt;"))</f>
        <v>0</v>
      </c>
      <c r="M811" s="379" t="str">
        <f>IF(Tabela2[[#This Row],[UNID.]]&lt;&gt;"",IFERROR(VLOOKUP(Tabela2[[#This Row],[AGRUPADOR]],Lucratividade!$D$4:$O$129,6,0),0),"")</f>
        <v/>
      </c>
      <c r="N811" s="379">
        <f>IF(H811&lt;&gt;"",J811*M811*I811,SUMIFS(N812:N$9844,$F812:$F$9844,"*"&amp;F811&amp;"*",$H812:$H$9844,"&lt;&gt;"))</f>
        <v>0</v>
      </c>
      <c r="O811" s="162" t="str">
        <f>IFERROR((-Tabela2[[#This Row],[CUSTO TOTAL]]+Tabela2[[#This Row],[VENDA TOTAL]])/Tabela2[[#This Row],[VENDA TOTAL]]-PARAMETROS!$C$19,"")</f>
        <v/>
      </c>
      <c r="AA811" s="219">
        <f>SUM(Plan_Orc[[#This Row],[01/jan]:[01/dez]])</f>
        <v>0</v>
      </c>
      <c r="AB811" s="15"/>
      <c r="AC811" s="15"/>
      <c r="AD811" s="15"/>
      <c r="AE811" s="15"/>
      <c r="AF811" s="15"/>
      <c r="AG811" s="15"/>
      <c r="AH811" s="15"/>
      <c r="AI811" s="15"/>
      <c r="AJ811" s="15"/>
      <c r="AK811" s="15"/>
      <c r="AL811" s="15"/>
      <c r="AM811" s="15"/>
    </row>
    <row r="812" spans="2:39" ht="25.2" customHeight="1" x14ac:dyDescent="0.3">
      <c r="B812" s="13" t="str">
        <f t="shared" si="16"/>
        <v/>
      </c>
      <c r="C812" s="18"/>
      <c r="D812" s="19" t="str">
        <f>IF(Tabela2[[#This Row],[AGRUPADOR]]&lt;&gt;"",VLOOKUP(Tabela2[[#This Row],[AGRUPADOR]],Tabela1[],2,0),"")</f>
        <v/>
      </c>
      <c r="E812" s="19" t="str">
        <f>IF(Tabela2[[#This Row],[AGRUPADOR]]&lt;&gt;"",VLOOKUP(Tabela2[[#This Row],[AGRUPADOR]],Tabela1[],4,0),"")</f>
        <v/>
      </c>
      <c r="F812" s="14"/>
      <c r="G812" s="6"/>
      <c r="H812" s="6"/>
      <c r="I812" s="25"/>
      <c r="J812" s="7"/>
      <c r="K812" s="15"/>
      <c r="L812" s="379">
        <f>IF(H812&lt;&gt;"",J812*K812,SUMIFS(L813:L$9844,$F813:$F$9844,"*"&amp;F812&amp;"*",$H813:$H$9844,"&lt;&gt;"))</f>
        <v>0</v>
      </c>
      <c r="M812" s="379" t="str">
        <f>IF(Tabela2[[#This Row],[UNID.]]&lt;&gt;"",IFERROR(VLOOKUP(Tabela2[[#This Row],[AGRUPADOR]],Lucratividade!$D$4:$O$129,6,0),0),"")</f>
        <v/>
      </c>
      <c r="N812" s="379">
        <f>IF(H812&lt;&gt;"",J812*M812*I812,SUMIFS(N813:N$9844,$F813:$F$9844,"*"&amp;F812&amp;"*",$H813:$H$9844,"&lt;&gt;"))</f>
        <v>0</v>
      </c>
      <c r="O812" s="162" t="str">
        <f>IFERROR((-Tabela2[[#This Row],[CUSTO TOTAL]]+Tabela2[[#This Row],[VENDA TOTAL]])/Tabela2[[#This Row],[VENDA TOTAL]]-PARAMETROS!$C$19,"")</f>
        <v/>
      </c>
      <c r="AA812" s="219">
        <f>SUM(Plan_Orc[[#This Row],[01/jan]:[01/dez]])</f>
        <v>0</v>
      </c>
      <c r="AB812" s="15"/>
      <c r="AC812" s="15"/>
      <c r="AD812" s="15"/>
      <c r="AE812" s="15"/>
      <c r="AF812" s="15"/>
      <c r="AG812" s="15"/>
      <c r="AH812" s="15"/>
      <c r="AI812" s="15"/>
      <c r="AJ812" s="15"/>
      <c r="AK812" s="15"/>
      <c r="AL812" s="15"/>
      <c r="AM812" s="15"/>
    </row>
    <row r="813" spans="2:39" ht="25.2" customHeight="1" x14ac:dyDescent="0.3">
      <c r="B813" s="13" t="str">
        <f t="shared" si="16"/>
        <v/>
      </c>
      <c r="C813" s="18"/>
      <c r="D813" s="19" t="str">
        <f>IF(Tabela2[[#This Row],[AGRUPADOR]]&lt;&gt;"",VLOOKUP(Tabela2[[#This Row],[AGRUPADOR]],Tabela1[],2,0),"")</f>
        <v/>
      </c>
      <c r="E813" s="19" t="str">
        <f>IF(Tabela2[[#This Row],[AGRUPADOR]]&lt;&gt;"",VLOOKUP(Tabela2[[#This Row],[AGRUPADOR]],Tabela1[],4,0),"")</f>
        <v/>
      </c>
      <c r="F813" s="14"/>
      <c r="G813" s="6"/>
      <c r="H813" s="6"/>
      <c r="I813" s="25"/>
      <c r="J813" s="7"/>
      <c r="K813" s="15"/>
      <c r="L813" s="379">
        <f>IF(H813&lt;&gt;"",J813*K813,SUMIFS(L814:L$9844,$F814:$F$9844,"*"&amp;F813&amp;"*",$H814:$H$9844,"&lt;&gt;"))</f>
        <v>0</v>
      </c>
      <c r="M813" s="379" t="str">
        <f>IF(Tabela2[[#This Row],[UNID.]]&lt;&gt;"",IFERROR(VLOOKUP(Tabela2[[#This Row],[AGRUPADOR]],Lucratividade!$D$4:$O$129,6,0),0),"")</f>
        <v/>
      </c>
      <c r="N813" s="379">
        <f>IF(H813&lt;&gt;"",J813*M813*I813,SUMIFS(N814:N$9844,$F814:$F$9844,"*"&amp;F813&amp;"*",$H814:$H$9844,"&lt;&gt;"))</f>
        <v>0</v>
      </c>
      <c r="O813" s="162" t="str">
        <f>IFERROR((-Tabela2[[#This Row],[CUSTO TOTAL]]+Tabela2[[#This Row],[VENDA TOTAL]])/Tabela2[[#This Row],[VENDA TOTAL]]-PARAMETROS!$C$19,"")</f>
        <v/>
      </c>
      <c r="AA813" s="219">
        <f>SUM(Plan_Orc[[#This Row],[01/jan]:[01/dez]])</f>
        <v>0</v>
      </c>
      <c r="AB813" s="15"/>
      <c r="AC813" s="15"/>
      <c r="AD813" s="15"/>
      <c r="AE813" s="15"/>
      <c r="AF813" s="15"/>
      <c r="AG813" s="15"/>
      <c r="AH813" s="15"/>
      <c r="AI813" s="15"/>
      <c r="AJ813" s="15"/>
      <c r="AK813" s="15"/>
      <c r="AL813" s="15"/>
      <c r="AM813" s="15"/>
    </row>
    <row r="814" spans="2:39" ht="25.2" customHeight="1" x14ac:dyDescent="0.3">
      <c r="B814" s="13" t="str">
        <f t="shared" si="16"/>
        <v/>
      </c>
      <c r="C814" s="18"/>
      <c r="D814" s="19" t="str">
        <f>IF(Tabela2[[#This Row],[AGRUPADOR]]&lt;&gt;"",VLOOKUP(Tabela2[[#This Row],[AGRUPADOR]],Tabela1[],2,0),"")</f>
        <v/>
      </c>
      <c r="E814" s="19" t="str">
        <f>IF(Tabela2[[#This Row],[AGRUPADOR]]&lt;&gt;"",VLOOKUP(Tabela2[[#This Row],[AGRUPADOR]],Tabela1[],4,0),"")</f>
        <v/>
      </c>
      <c r="F814" s="14"/>
      <c r="G814" s="6"/>
      <c r="H814" s="6"/>
      <c r="I814" s="25"/>
      <c r="J814" s="7"/>
      <c r="K814" s="15"/>
      <c r="L814" s="379">
        <f>IF(H814&lt;&gt;"",J814*K814,SUMIFS(L815:L$9844,$F815:$F$9844,"*"&amp;F814&amp;"*",$H815:$H$9844,"&lt;&gt;"))</f>
        <v>0</v>
      </c>
      <c r="M814" s="379" t="str">
        <f>IF(Tabela2[[#This Row],[UNID.]]&lt;&gt;"",IFERROR(VLOOKUP(Tabela2[[#This Row],[AGRUPADOR]],Lucratividade!$D$4:$O$129,6,0),0),"")</f>
        <v/>
      </c>
      <c r="N814" s="379">
        <f>IF(H814&lt;&gt;"",J814*M814*I814,SUMIFS(N815:N$9844,$F815:$F$9844,"*"&amp;F814&amp;"*",$H815:$H$9844,"&lt;&gt;"))</f>
        <v>0</v>
      </c>
      <c r="O814" s="162" t="str">
        <f>IFERROR((-Tabela2[[#This Row],[CUSTO TOTAL]]+Tabela2[[#This Row],[VENDA TOTAL]])/Tabela2[[#This Row],[VENDA TOTAL]]-PARAMETROS!$C$19,"")</f>
        <v/>
      </c>
      <c r="AA814" s="219">
        <f>SUM(Plan_Orc[[#This Row],[01/jan]:[01/dez]])</f>
        <v>0</v>
      </c>
      <c r="AB814" s="15"/>
      <c r="AC814" s="15"/>
      <c r="AD814" s="15"/>
      <c r="AE814" s="15"/>
      <c r="AF814" s="15"/>
      <c r="AG814" s="15"/>
      <c r="AH814" s="15"/>
      <c r="AI814" s="15"/>
      <c r="AJ814" s="15"/>
      <c r="AK814" s="15"/>
      <c r="AL814" s="15"/>
      <c r="AM814" s="15"/>
    </row>
    <row r="815" spans="2:39" ht="25.2" customHeight="1" x14ac:dyDescent="0.3">
      <c r="B815" s="13" t="str">
        <f t="shared" si="16"/>
        <v/>
      </c>
      <c r="C815" s="18"/>
      <c r="D815" s="19" t="str">
        <f>IF(Tabela2[[#This Row],[AGRUPADOR]]&lt;&gt;"",VLOOKUP(Tabela2[[#This Row],[AGRUPADOR]],Tabela1[],2,0),"")</f>
        <v/>
      </c>
      <c r="E815" s="19" t="str">
        <f>IF(Tabela2[[#This Row],[AGRUPADOR]]&lt;&gt;"",VLOOKUP(Tabela2[[#This Row],[AGRUPADOR]],Tabela1[],4,0),"")</f>
        <v/>
      </c>
      <c r="F815" s="14"/>
      <c r="G815" s="6"/>
      <c r="H815" s="6"/>
      <c r="I815" s="25"/>
      <c r="J815" s="7"/>
      <c r="K815" s="15"/>
      <c r="L815" s="379">
        <f>IF(H815&lt;&gt;"",J815*K815,SUMIFS(L816:L$9844,$F816:$F$9844,"*"&amp;F815&amp;"*",$H816:$H$9844,"&lt;&gt;"))</f>
        <v>0</v>
      </c>
      <c r="M815" s="379" t="str">
        <f>IF(Tabela2[[#This Row],[UNID.]]&lt;&gt;"",IFERROR(VLOOKUP(Tabela2[[#This Row],[AGRUPADOR]],Lucratividade!$D$4:$O$129,6,0),0),"")</f>
        <v/>
      </c>
      <c r="N815" s="379">
        <f>IF(H815&lt;&gt;"",J815*M815*I815,SUMIFS(N816:N$9844,$F816:$F$9844,"*"&amp;F815&amp;"*",$H816:$H$9844,"&lt;&gt;"))</f>
        <v>0</v>
      </c>
      <c r="O815" s="162" t="str">
        <f>IFERROR((-Tabela2[[#This Row],[CUSTO TOTAL]]+Tabela2[[#This Row],[VENDA TOTAL]])/Tabela2[[#This Row],[VENDA TOTAL]]-PARAMETROS!$C$19,"")</f>
        <v/>
      </c>
      <c r="AA815" s="219">
        <f>SUM(Plan_Orc[[#This Row],[01/jan]:[01/dez]])</f>
        <v>0</v>
      </c>
      <c r="AB815" s="15"/>
      <c r="AC815" s="15"/>
      <c r="AD815" s="15"/>
      <c r="AE815" s="15"/>
      <c r="AF815" s="15"/>
      <c r="AG815" s="15"/>
      <c r="AH815" s="15"/>
      <c r="AI815" s="15"/>
      <c r="AJ815" s="15"/>
      <c r="AK815" s="15"/>
      <c r="AL815" s="15"/>
      <c r="AM815" s="15"/>
    </row>
    <row r="816" spans="2:39" ht="25.2" customHeight="1" x14ac:dyDescent="0.3">
      <c r="B816" s="13" t="str">
        <f t="shared" si="16"/>
        <v/>
      </c>
      <c r="C816" s="18"/>
      <c r="D816" s="19" t="str">
        <f>IF(Tabela2[[#This Row],[AGRUPADOR]]&lt;&gt;"",VLOOKUP(Tabela2[[#This Row],[AGRUPADOR]],Tabela1[],2,0),"")</f>
        <v/>
      </c>
      <c r="E816" s="19" t="str">
        <f>IF(Tabela2[[#This Row],[AGRUPADOR]]&lt;&gt;"",VLOOKUP(Tabela2[[#This Row],[AGRUPADOR]],Tabela1[],4,0),"")</f>
        <v/>
      </c>
      <c r="F816" s="14"/>
      <c r="G816" s="6"/>
      <c r="H816" s="6"/>
      <c r="I816" s="25"/>
      <c r="J816" s="7"/>
      <c r="K816" s="15"/>
      <c r="L816" s="379">
        <f>IF(H816&lt;&gt;"",J816*K816,SUMIFS(L817:L$9844,$F817:$F$9844,"*"&amp;F816&amp;"*",$H817:$H$9844,"&lt;&gt;"))</f>
        <v>0</v>
      </c>
      <c r="M816" s="379" t="str">
        <f>IF(Tabela2[[#This Row],[UNID.]]&lt;&gt;"",IFERROR(VLOOKUP(Tabela2[[#This Row],[AGRUPADOR]],Lucratividade!$D$4:$O$129,6,0),0),"")</f>
        <v/>
      </c>
      <c r="N816" s="379">
        <f>IF(H816&lt;&gt;"",J816*M816*I816,SUMIFS(N817:N$9844,$F817:$F$9844,"*"&amp;F816&amp;"*",$H817:$H$9844,"&lt;&gt;"))</f>
        <v>0</v>
      </c>
      <c r="O816" s="162" t="str">
        <f>IFERROR((-Tabela2[[#This Row],[CUSTO TOTAL]]+Tabela2[[#This Row],[VENDA TOTAL]])/Tabela2[[#This Row],[VENDA TOTAL]]-PARAMETROS!$C$19,"")</f>
        <v/>
      </c>
      <c r="AA816" s="219">
        <f>SUM(Plan_Orc[[#This Row],[01/jan]:[01/dez]])</f>
        <v>0</v>
      </c>
      <c r="AB816" s="15"/>
      <c r="AC816" s="15"/>
      <c r="AD816" s="15"/>
      <c r="AE816" s="15"/>
      <c r="AF816" s="15"/>
      <c r="AG816" s="15"/>
      <c r="AH816" s="15"/>
      <c r="AI816" s="15"/>
      <c r="AJ816" s="15"/>
      <c r="AK816" s="15"/>
      <c r="AL816" s="15"/>
      <c r="AM816" s="15"/>
    </row>
    <row r="817" spans="2:39" ht="25.2" customHeight="1" x14ac:dyDescent="0.3">
      <c r="B817" s="13" t="str">
        <f t="shared" si="16"/>
        <v/>
      </c>
      <c r="C817" s="18"/>
      <c r="D817" s="19" t="str">
        <f>IF(Tabela2[[#This Row],[AGRUPADOR]]&lt;&gt;"",VLOOKUP(Tabela2[[#This Row],[AGRUPADOR]],Tabela1[],2,0),"")</f>
        <v/>
      </c>
      <c r="E817" s="19" t="str">
        <f>IF(Tabela2[[#This Row],[AGRUPADOR]]&lt;&gt;"",VLOOKUP(Tabela2[[#This Row],[AGRUPADOR]],Tabela1[],4,0),"")</f>
        <v/>
      </c>
      <c r="F817" s="14"/>
      <c r="G817" s="6"/>
      <c r="H817" s="6"/>
      <c r="I817" s="25"/>
      <c r="J817" s="7"/>
      <c r="K817" s="15"/>
      <c r="L817" s="379">
        <f>IF(H817&lt;&gt;"",J817*K817,SUMIFS(L818:L$9844,$F818:$F$9844,"*"&amp;F817&amp;"*",$H818:$H$9844,"&lt;&gt;"))</f>
        <v>0</v>
      </c>
      <c r="M817" s="379" t="str">
        <f>IF(Tabela2[[#This Row],[UNID.]]&lt;&gt;"",IFERROR(VLOOKUP(Tabela2[[#This Row],[AGRUPADOR]],Lucratividade!$D$4:$O$129,6,0),0),"")</f>
        <v/>
      </c>
      <c r="N817" s="379">
        <f>IF(H817&lt;&gt;"",J817*M817*I817,SUMIFS(N818:N$9844,$F818:$F$9844,"*"&amp;F817&amp;"*",$H818:$H$9844,"&lt;&gt;"))</f>
        <v>0</v>
      </c>
      <c r="O817" s="162" t="str">
        <f>IFERROR((-Tabela2[[#This Row],[CUSTO TOTAL]]+Tabela2[[#This Row],[VENDA TOTAL]])/Tabela2[[#This Row],[VENDA TOTAL]]-PARAMETROS!$C$19,"")</f>
        <v/>
      </c>
      <c r="AA817" s="219">
        <f>SUM(Plan_Orc[[#This Row],[01/jan]:[01/dez]])</f>
        <v>0</v>
      </c>
      <c r="AB817" s="15"/>
      <c r="AC817" s="15"/>
      <c r="AD817" s="15"/>
      <c r="AE817" s="15"/>
      <c r="AF817" s="15"/>
      <c r="AG817" s="15"/>
      <c r="AH817" s="15"/>
      <c r="AI817" s="15"/>
      <c r="AJ817" s="15"/>
      <c r="AK817" s="15"/>
      <c r="AL817" s="15"/>
      <c r="AM817" s="15"/>
    </row>
    <row r="818" spans="2:39" ht="25.2" customHeight="1" x14ac:dyDescent="0.3">
      <c r="B818" s="13" t="str">
        <f t="shared" si="16"/>
        <v/>
      </c>
      <c r="C818" s="18"/>
      <c r="D818" s="19" t="str">
        <f>IF(Tabela2[[#This Row],[AGRUPADOR]]&lt;&gt;"",VLOOKUP(Tabela2[[#This Row],[AGRUPADOR]],Tabela1[],2,0),"")</f>
        <v/>
      </c>
      <c r="E818" s="19" t="str">
        <f>IF(Tabela2[[#This Row],[AGRUPADOR]]&lt;&gt;"",VLOOKUP(Tabela2[[#This Row],[AGRUPADOR]],Tabela1[],4,0),"")</f>
        <v/>
      </c>
      <c r="F818" s="14"/>
      <c r="G818" s="6"/>
      <c r="H818" s="6"/>
      <c r="I818" s="25"/>
      <c r="J818" s="7"/>
      <c r="K818" s="15"/>
      <c r="L818" s="379">
        <f>IF(H818&lt;&gt;"",J818*K818,SUMIFS(L819:L$9844,$F819:$F$9844,"*"&amp;F818&amp;"*",$H819:$H$9844,"&lt;&gt;"))</f>
        <v>0</v>
      </c>
      <c r="M818" s="379" t="str">
        <f>IF(Tabela2[[#This Row],[UNID.]]&lt;&gt;"",IFERROR(VLOOKUP(Tabela2[[#This Row],[AGRUPADOR]],Lucratividade!$D$4:$O$129,6,0),0),"")</f>
        <v/>
      </c>
      <c r="N818" s="379">
        <f>IF(H818&lt;&gt;"",J818*M818*I818,SUMIFS(N819:N$9844,$F819:$F$9844,"*"&amp;F818&amp;"*",$H819:$H$9844,"&lt;&gt;"))</f>
        <v>0</v>
      </c>
      <c r="O818" s="162" t="str">
        <f>IFERROR((-Tabela2[[#This Row],[CUSTO TOTAL]]+Tabela2[[#This Row],[VENDA TOTAL]])/Tabela2[[#This Row],[VENDA TOTAL]]-PARAMETROS!$C$19,"")</f>
        <v/>
      </c>
      <c r="AA818" s="219">
        <f>SUM(Plan_Orc[[#This Row],[01/jan]:[01/dez]])</f>
        <v>0</v>
      </c>
      <c r="AB818" s="15"/>
      <c r="AC818" s="15"/>
      <c r="AD818" s="15"/>
      <c r="AE818" s="15"/>
      <c r="AF818" s="15"/>
      <c r="AG818" s="15"/>
      <c r="AH818" s="15"/>
      <c r="AI818" s="15"/>
      <c r="AJ818" s="15"/>
      <c r="AK818" s="15"/>
      <c r="AL818" s="15"/>
      <c r="AM818" s="15"/>
    </row>
    <row r="819" spans="2:39" ht="25.2" customHeight="1" x14ac:dyDescent="0.3">
      <c r="B819" s="13" t="str">
        <f t="shared" si="16"/>
        <v/>
      </c>
      <c r="C819" s="18"/>
      <c r="D819" s="19" t="str">
        <f>IF(Tabela2[[#This Row],[AGRUPADOR]]&lt;&gt;"",VLOOKUP(Tabela2[[#This Row],[AGRUPADOR]],Tabela1[],2,0),"")</f>
        <v/>
      </c>
      <c r="E819" s="19" t="str">
        <f>IF(Tabela2[[#This Row],[AGRUPADOR]]&lt;&gt;"",VLOOKUP(Tabela2[[#This Row],[AGRUPADOR]],Tabela1[],4,0),"")</f>
        <v/>
      </c>
      <c r="F819" s="14"/>
      <c r="G819" s="6"/>
      <c r="H819" s="6"/>
      <c r="I819" s="25"/>
      <c r="J819" s="7"/>
      <c r="K819" s="15"/>
      <c r="L819" s="379">
        <f>IF(H819&lt;&gt;"",J819*K819,SUMIFS(L820:L$9844,$F820:$F$9844,"*"&amp;F819&amp;"*",$H820:$H$9844,"&lt;&gt;"))</f>
        <v>0</v>
      </c>
      <c r="M819" s="379" t="str">
        <f>IF(Tabela2[[#This Row],[UNID.]]&lt;&gt;"",IFERROR(VLOOKUP(Tabela2[[#This Row],[AGRUPADOR]],Lucratividade!$D$4:$O$129,6,0),0),"")</f>
        <v/>
      </c>
      <c r="N819" s="379">
        <f>IF(H819&lt;&gt;"",J819*M819*I819,SUMIFS(N820:N$9844,$F820:$F$9844,"*"&amp;F819&amp;"*",$H820:$H$9844,"&lt;&gt;"))</f>
        <v>0</v>
      </c>
      <c r="O819" s="162" t="str">
        <f>IFERROR((-Tabela2[[#This Row],[CUSTO TOTAL]]+Tabela2[[#This Row],[VENDA TOTAL]])/Tabela2[[#This Row],[VENDA TOTAL]]-PARAMETROS!$C$19,"")</f>
        <v/>
      </c>
      <c r="AA819" s="219">
        <f>SUM(Plan_Orc[[#This Row],[01/jan]:[01/dez]])</f>
        <v>0</v>
      </c>
      <c r="AB819" s="15"/>
      <c r="AC819" s="15"/>
      <c r="AD819" s="15"/>
      <c r="AE819" s="15"/>
      <c r="AF819" s="15"/>
      <c r="AG819" s="15"/>
      <c r="AH819" s="15"/>
      <c r="AI819" s="15"/>
      <c r="AJ819" s="15"/>
      <c r="AK819" s="15"/>
      <c r="AL819" s="15"/>
      <c r="AM819" s="15"/>
    </row>
    <row r="820" spans="2:39" ht="25.2" customHeight="1" x14ac:dyDescent="0.3">
      <c r="B820" s="13" t="str">
        <f t="shared" si="16"/>
        <v/>
      </c>
      <c r="C820" s="18"/>
      <c r="D820" s="19" t="str">
        <f>IF(Tabela2[[#This Row],[AGRUPADOR]]&lt;&gt;"",VLOOKUP(Tabela2[[#This Row],[AGRUPADOR]],Tabela1[],2,0),"")</f>
        <v/>
      </c>
      <c r="E820" s="19" t="str">
        <f>IF(Tabela2[[#This Row],[AGRUPADOR]]&lt;&gt;"",VLOOKUP(Tabela2[[#This Row],[AGRUPADOR]],Tabela1[],4,0),"")</f>
        <v/>
      </c>
      <c r="F820" s="14"/>
      <c r="G820" s="6"/>
      <c r="H820" s="6"/>
      <c r="I820" s="25"/>
      <c r="J820" s="7"/>
      <c r="K820" s="15"/>
      <c r="L820" s="379">
        <f>IF(H820&lt;&gt;"",J820*K820,SUMIFS(L821:L$9844,$F821:$F$9844,"*"&amp;F820&amp;"*",$H821:$H$9844,"&lt;&gt;"))</f>
        <v>0</v>
      </c>
      <c r="M820" s="379" t="str">
        <f>IF(Tabela2[[#This Row],[UNID.]]&lt;&gt;"",IFERROR(VLOOKUP(Tabela2[[#This Row],[AGRUPADOR]],Lucratividade!$D$4:$O$129,6,0),0),"")</f>
        <v/>
      </c>
      <c r="N820" s="379">
        <f>IF(H820&lt;&gt;"",J820*M820*I820,SUMIFS(N821:N$9844,$F821:$F$9844,"*"&amp;F820&amp;"*",$H821:$H$9844,"&lt;&gt;"))</f>
        <v>0</v>
      </c>
      <c r="O820" s="162" t="str">
        <f>IFERROR((-Tabela2[[#This Row],[CUSTO TOTAL]]+Tabela2[[#This Row],[VENDA TOTAL]])/Tabela2[[#This Row],[VENDA TOTAL]]-PARAMETROS!$C$19,"")</f>
        <v/>
      </c>
      <c r="AA820" s="219">
        <f>SUM(Plan_Orc[[#This Row],[01/jan]:[01/dez]])</f>
        <v>0</v>
      </c>
      <c r="AB820" s="15"/>
      <c r="AC820" s="15"/>
      <c r="AD820" s="15"/>
      <c r="AE820" s="15"/>
      <c r="AF820" s="15"/>
      <c r="AG820" s="15"/>
      <c r="AH820" s="15"/>
      <c r="AI820" s="15"/>
      <c r="AJ820" s="15"/>
      <c r="AK820" s="15"/>
      <c r="AL820" s="15"/>
      <c r="AM820" s="15"/>
    </row>
    <row r="821" spans="2:39" ht="25.2" customHeight="1" x14ac:dyDescent="0.3">
      <c r="B821" s="13" t="str">
        <f t="shared" si="16"/>
        <v/>
      </c>
      <c r="C821" s="18"/>
      <c r="D821" s="19" t="str">
        <f>IF(Tabela2[[#This Row],[AGRUPADOR]]&lt;&gt;"",VLOOKUP(Tabela2[[#This Row],[AGRUPADOR]],Tabela1[],2,0),"")</f>
        <v/>
      </c>
      <c r="E821" s="19" t="str">
        <f>IF(Tabela2[[#This Row],[AGRUPADOR]]&lt;&gt;"",VLOOKUP(Tabela2[[#This Row],[AGRUPADOR]],Tabela1[],4,0),"")</f>
        <v/>
      </c>
      <c r="F821" s="14"/>
      <c r="G821" s="6"/>
      <c r="H821" s="6"/>
      <c r="I821" s="25"/>
      <c r="J821" s="7"/>
      <c r="K821" s="15"/>
      <c r="L821" s="379">
        <f>IF(H821&lt;&gt;"",J821*K821,SUMIFS(L822:L$9844,$F822:$F$9844,"*"&amp;F821&amp;"*",$H822:$H$9844,"&lt;&gt;"))</f>
        <v>0</v>
      </c>
      <c r="M821" s="379" t="str">
        <f>IF(Tabela2[[#This Row],[UNID.]]&lt;&gt;"",IFERROR(VLOOKUP(Tabela2[[#This Row],[AGRUPADOR]],Lucratividade!$D$4:$O$129,6,0),0),"")</f>
        <v/>
      </c>
      <c r="N821" s="379">
        <f>IF(H821&lt;&gt;"",J821*M821*I821,SUMIFS(N822:N$9844,$F822:$F$9844,"*"&amp;F821&amp;"*",$H822:$H$9844,"&lt;&gt;"))</f>
        <v>0</v>
      </c>
      <c r="O821" s="162" t="str">
        <f>IFERROR((-Tabela2[[#This Row],[CUSTO TOTAL]]+Tabela2[[#This Row],[VENDA TOTAL]])/Tabela2[[#This Row],[VENDA TOTAL]]-PARAMETROS!$C$19,"")</f>
        <v/>
      </c>
      <c r="AA821" s="219">
        <f>SUM(Plan_Orc[[#This Row],[01/jan]:[01/dez]])</f>
        <v>0</v>
      </c>
      <c r="AB821" s="15"/>
      <c r="AC821" s="15"/>
      <c r="AD821" s="15"/>
      <c r="AE821" s="15"/>
      <c r="AF821" s="15"/>
      <c r="AG821" s="15"/>
      <c r="AH821" s="15"/>
      <c r="AI821" s="15"/>
      <c r="AJ821" s="15"/>
      <c r="AK821" s="15"/>
      <c r="AL821" s="15"/>
      <c r="AM821" s="15"/>
    </row>
    <row r="822" spans="2:39" ht="25.2" customHeight="1" x14ac:dyDescent="0.3">
      <c r="B822" s="13" t="str">
        <f t="shared" si="16"/>
        <v/>
      </c>
      <c r="C822" s="18"/>
      <c r="D822" s="19" t="str">
        <f>IF(Tabela2[[#This Row],[AGRUPADOR]]&lt;&gt;"",VLOOKUP(Tabela2[[#This Row],[AGRUPADOR]],Tabela1[],2,0),"")</f>
        <v/>
      </c>
      <c r="E822" s="19" t="str">
        <f>IF(Tabela2[[#This Row],[AGRUPADOR]]&lt;&gt;"",VLOOKUP(Tabela2[[#This Row],[AGRUPADOR]],Tabela1[],4,0),"")</f>
        <v/>
      </c>
      <c r="F822" s="14"/>
      <c r="G822" s="6"/>
      <c r="H822" s="6"/>
      <c r="I822" s="25"/>
      <c r="J822" s="7"/>
      <c r="K822" s="15"/>
      <c r="L822" s="379">
        <f>IF(H822&lt;&gt;"",J822*K822,SUMIFS(L823:L$9844,$F823:$F$9844,"*"&amp;F822&amp;"*",$H823:$H$9844,"&lt;&gt;"))</f>
        <v>0</v>
      </c>
      <c r="M822" s="379" t="str">
        <f>IF(Tabela2[[#This Row],[UNID.]]&lt;&gt;"",IFERROR(VLOOKUP(Tabela2[[#This Row],[AGRUPADOR]],Lucratividade!$D$4:$O$129,6,0),0),"")</f>
        <v/>
      </c>
      <c r="N822" s="379">
        <f>IF(H822&lt;&gt;"",J822*M822*I822,SUMIFS(N823:N$9844,$F823:$F$9844,"*"&amp;F822&amp;"*",$H823:$H$9844,"&lt;&gt;"))</f>
        <v>0</v>
      </c>
      <c r="O822" s="162" t="str">
        <f>IFERROR((-Tabela2[[#This Row],[CUSTO TOTAL]]+Tabela2[[#This Row],[VENDA TOTAL]])/Tabela2[[#This Row],[VENDA TOTAL]]-PARAMETROS!$C$19,"")</f>
        <v/>
      </c>
      <c r="AA822" s="219">
        <f>SUM(Plan_Orc[[#This Row],[01/jan]:[01/dez]])</f>
        <v>0</v>
      </c>
      <c r="AB822" s="15"/>
      <c r="AC822" s="15"/>
      <c r="AD822" s="15"/>
      <c r="AE822" s="15"/>
      <c r="AF822" s="15"/>
      <c r="AG822" s="15"/>
      <c r="AH822" s="15"/>
      <c r="AI822" s="15"/>
      <c r="AJ822" s="15"/>
      <c r="AK822" s="15"/>
      <c r="AL822" s="15"/>
      <c r="AM822" s="15"/>
    </row>
    <row r="823" spans="2:39" ht="25.2" customHeight="1" x14ac:dyDescent="0.3">
      <c r="B823" s="13" t="str">
        <f t="shared" si="16"/>
        <v/>
      </c>
      <c r="C823" s="18"/>
      <c r="D823" s="19" t="str">
        <f>IF(Tabela2[[#This Row],[AGRUPADOR]]&lt;&gt;"",VLOOKUP(Tabela2[[#This Row],[AGRUPADOR]],Tabela1[],2,0),"")</f>
        <v/>
      </c>
      <c r="E823" s="19" t="str">
        <f>IF(Tabela2[[#This Row],[AGRUPADOR]]&lt;&gt;"",VLOOKUP(Tabela2[[#This Row],[AGRUPADOR]],Tabela1[],4,0),"")</f>
        <v/>
      </c>
      <c r="F823" s="14"/>
      <c r="G823" s="6"/>
      <c r="H823" s="6"/>
      <c r="I823" s="25"/>
      <c r="J823" s="7"/>
      <c r="K823" s="15"/>
      <c r="L823" s="379">
        <f>IF(H823&lt;&gt;"",J823*K823,SUMIFS(L824:L$9844,$F824:$F$9844,"*"&amp;F823&amp;"*",$H824:$H$9844,"&lt;&gt;"))</f>
        <v>0</v>
      </c>
      <c r="M823" s="379" t="str">
        <f>IF(Tabela2[[#This Row],[UNID.]]&lt;&gt;"",IFERROR(VLOOKUP(Tabela2[[#This Row],[AGRUPADOR]],Lucratividade!$D$4:$O$129,6,0),0),"")</f>
        <v/>
      </c>
      <c r="N823" s="379">
        <f>IF(H823&lt;&gt;"",J823*M823*I823,SUMIFS(N824:N$9844,$F824:$F$9844,"*"&amp;F823&amp;"*",$H824:$H$9844,"&lt;&gt;"))</f>
        <v>0</v>
      </c>
      <c r="O823" s="162" t="str">
        <f>IFERROR((-Tabela2[[#This Row],[CUSTO TOTAL]]+Tabela2[[#This Row],[VENDA TOTAL]])/Tabela2[[#This Row],[VENDA TOTAL]]-PARAMETROS!$C$19,"")</f>
        <v/>
      </c>
      <c r="AA823" s="218">
        <f>SUM(Plan_Orc[[#This Row],[01/jan]:[01/dez]])</f>
        <v>0</v>
      </c>
      <c r="AB823" s="12"/>
      <c r="AC823" s="12"/>
      <c r="AD823" s="12"/>
      <c r="AE823" s="12"/>
      <c r="AF823" s="12"/>
      <c r="AG823" s="12"/>
      <c r="AH823" s="12"/>
      <c r="AI823" s="12"/>
      <c r="AJ823" s="12"/>
      <c r="AK823" s="12"/>
      <c r="AL823" s="12"/>
      <c r="AM823" s="12"/>
    </row>
    <row r="824" spans="2:39" ht="25.2" customHeight="1" x14ac:dyDescent="0.3">
      <c r="B824" s="13" t="str">
        <f t="shared" si="16"/>
        <v/>
      </c>
      <c r="C824" s="18"/>
      <c r="D824" s="19" t="str">
        <f>IF(Tabela2[[#This Row],[AGRUPADOR]]&lt;&gt;"",VLOOKUP(Tabela2[[#This Row],[AGRUPADOR]],Tabela1[],2,0),"")</f>
        <v/>
      </c>
      <c r="E824" s="19" t="str">
        <f>IF(Tabela2[[#This Row],[AGRUPADOR]]&lt;&gt;"",VLOOKUP(Tabela2[[#This Row],[AGRUPADOR]],Tabela1[],4,0),"")</f>
        <v/>
      </c>
      <c r="F824" s="14"/>
      <c r="G824" s="6"/>
      <c r="H824" s="6"/>
      <c r="I824" s="25"/>
      <c r="J824" s="7"/>
      <c r="K824" s="15"/>
      <c r="L824" s="379">
        <f>IF(H824&lt;&gt;"",J824*K824,SUMIFS(L825:L$9844,$F825:$F$9844,"*"&amp;F824&amp;"*",$H825:$H$9844,"&lt;&gt;"))</f>
        <v>0</v>
      </c>
      <c r="M824" s="379" t="str">
        <f>IF(Tabela2[[#This Row],[UNID.]]&lt;&gt;"",IFERROR(VLOOKUP(Tabela2[[#This Row],[AGRUPADOR]],Lucratividade!$D$4:$O$129,6,0),0),"")</f>
        <v/>
      </c>
      <c r="N824" s="379">
        <f>IF(H824&lt;&gt;"",J824*M824*I824,SUMIFS(N825:N$9844,$F825:$F$9844,"*"&amp;F824&amp;"*",$H825:$H$9844,"&lt;&gt;"))</f>
        <v>0</v>
      </c>
      <c r="O824" s="162" t="str">
        <f>IFERROR((-Tabela2[[#This Row],[CUSTO TOTAL]]+Tabela2[[#This Row],[VENDA TOTAL]])/Tabela2[[#This Row],[VENDA TOTAL]]-PARAMETROS!$C$19,"")</f>
        <v/>
      </c>
      <c r="AA824" s="219">
        <f>SUM(Plan_Orc[[#This Row],[01/jan]:[01/dez]])</f>
        <v>0</v>
      </c>
      <c r="AB824" s="15"/>
      <c r="AC824" s="15"/>
      <c r="AD824" s="15"/>
      <c r="AE824" s="15"/>
      <c r="AF824" s="15"/>
      <c r="AG824" s="15"/>
      <c r="AH824" s="15"/>
      <c r="AI824" s="15"/>
      <c r="AJ824" s="15"/>
      <c r="AK824" s="15"/>
      <c r="AL824" s="15"/>
      <c r="AM824" s="15"/>
    </row>
    <row r="825" spans="2:39" ht="25.2" customHeight="1" x14ac:dyDescent="0.3">
      <c r="B825" s="13" t="str">
        <f t="shared" si="16"/>
        <v/>
      </c>
      <c r="C825" s="18"/>
      <c r="D825" s="19" t="str">
        <f>IF(Tabela2[[#This Row],[AGRUPADOR]]&lt;&gt;"",VLOOKUP(Tabela2[[#This Row],[AGRUPADOR]],Tabela1[],2,0),"")</f>
        <v/>
      </c>
      <c r="E825" s="19" t="str">
        <f>IF(Tabela2[[#This Row],[AGRUPADOR]]&lt;&gt;"",VLOOKUP(Tabela2[[#This Row],[AGRUPADOR]],Tabela1[],4,0),"")</f>
        <v/>
      </c>
      <c r="F825" s="14"/>
      <c r="G825" s="6"/>
      <c r="H825" s="6"/>
      <c r="I825" s="25"/>
      <c r="J825" s="7"/>
      <c r="K825" s="15"/>
      <c r="L825" s="379">
        <f>IF(H825&lt;&gt;"",J825*K825,SUMIFS(L826:L$9844,$F826:$F$9844,"*"&amp;F825&amp;"*",$H826:$H$9844,"&lt;&gt;"))</f>
        <v>0</v>
      </c>
      <c r="M825" s="379" t="str">
        <f>IF(Tabela2[[#This Row],[UNID.]]&lt;&gt;"",IFERROR(VLOOKUP(Tabela2[[#This Row],[AGRUPADOR]],Lucratividade!$D$4:$O$129,6,0),0),"")</f>
        <v/>
      </c>
      <c r="N825" s="379">
        <f>IF(H825&lt;&gt;"",J825*M825*I825,SUMIFS(N826:N$9844,$F826:$F$9844,"*"&amp;F825&amp;"*",$H826:$H$9844,"&lt;&gt;"))</f>
        <v>0</v>
      </c>
      <c r="O825" s="162" t="str">
        <f>IFERROR((-Tabela2[[#This Row],[CUSTO TOTAL]]+Tabela2[[#This Row],[VENDA TOTAL]])/Tabela2[[#This Row],[VENDA TOTAL]]-PARAMETROS!$C$19,"")</f>
        <v/>
      </c>
      <c r="AA825" s="219">
        <f>SUM(Plan_Orc[[#This Row],[01/jan]:[01/dez]])</f>
        <v>0</v>
      </c>
      <c r="AB825" s="15"/>
      <c r="AC825" s="15"/>
      <c r="AD825" s="15"/>
      <c r="AE825" s="15"/>
      <c r="AF825" s="15"/>
      <c r="AG825" s="15"/>
      <c r="AH825" s="15"/>
      <c r="AI825" s="15"/>
      <c r="AJ825" s="15"/>
      <c r="AK825" s="15"/>
      <c r="AL825" s="15"/>
      <c r="AM825" s="15"/>
    </row>
    <row r="826" spans="2:39" ht="25.2" customHeight="1" x14ac:dyDescent="0.3">
      <c r="B826" s="13" t="str">
        <f t="shared" si="16"/>
        <v/>
      </c>
      <c r="C826" s="18"/>
      <c r="D826" s="19" t="str">
        <f>IF(Tabela2[[#This Row],[AGRUPADOR]]&lt;&gt;"",VLOOKUP(Tabela2[[#This Row],[AGRUPADOR]],Tabela1[],2,0),"")</f>
        <v/>
      </c>
      <c r="E826" s="19" t="str">
        <f>IF(Tabela2[[#This Row],[AGRUPADOR]]&lt;&gt;"",VLOOKUP(Tabela2[[#This Row],[AGRUPADOR]],Tabela1[],4,0),"")</f>
        <v/>
      </c>
      <c r="F826" s="14"/>
      <c r="G826" s="6"/>
      <c r="H826" s="6"/>
      <c r="I826" s="25"/>
      <c r="J826" s="7"/>
      <c r="K826" s="15"/>
      <c r="L826" s="379">
        <f>IF(H826&lt;&gt;"",J826*K826,SUMIFS(L827:L$9844,$F827:$F$9844,"*"&amp;F826&amp;"*",$H827:$H$9844,"&lt;&gt;"))</f>
        <v>0</v>
      </c>
      <c r="M826" s="379" t="str">
        <f>IF(Tabela2[[#This Row],[UNID.]]&lt;&gt;"",IFERROR(VLOOKUP(Tabela2[[#This Row],[AGRUPADOR]],Lucratividade!$D$4:$O$129,6,0),0),"")</f>
        <v/>
      </c>
      <c r="N826" s="379">
        <f>IF(H826&lt;&gt;"",J826*M826*I826,SUMIFS(N827:N$9844,$F827:$F$9844,"*"&amp;F826&amp;"*",$H827:$H$9844,"&lt;&gt;"))</f>
        <v>0</v>
      </c>
      <c r="O826" s="162" t="str">
        <f>IFERROR((-Tabela2[[#This Row],[CUSTO TOTAL]]+Tabela2[[#This Row],[VENDA TOTAL]])/Tabela2[[#This Row],[VENDA TOTAL]]-PARAMETROS!$C$19,"")</f>
        <v/>
      </c>
      <c r="AA826" s="219">
        <f>SUM(Plan_Orc[[#This Row],[01/jan]:[01/dez]])</f>
        <v>0</v>
      </c>
      <c r="AB826" s="15"/>
      <c r="AC826" s="15"/>
      <c r="AD826" s="15"/>
      <c r="AE826" s="15"/>
      <c r="AF826" s="15"/>
      <c r="AG826" s="15"/>
      <c r="AH826" s="15"/>
      <c r="AI826" s="15"/>
      <c r="AJ826" s="15"/>
      <c r="AK826" s="15"/>
      <c r="AL826" s="15"/>
      <c r="AM826" s="15"/>
    </row>
    <row r="827" spans="2:39" ht="25.2" customHeight="1" x14ac:dyDescent="0.3">
      <c r="B827" s="13" t="str">
        <f t="shared" si="16"/>
        <v/>
      </c>
      <c r="C827" s="18"/>
      <c r="D827" s="19" t="str">
        <f>IF(Tabela2[[#This Row],[AGRUPADOR]]&lt;&gt;"",VLOOKUP(Tabela2[[#This Row],[AGRUPADOR]],Tabela1[],2,0),"")</f>
        <v/>
      </c>
      <c r="E827" s="19" t="str">
        <f>IF(Tabela2[[#This Row],[AGRUPADOR]]&lt;&gt;"",VLOOKUP(Tabela2[[#This Row],[AGRUPADOR]],Tabela1[],4,0),"")</f>
        <v/>
      </c>
      <c r="F827" s="14"/>
      <c r="G827" s="6"/>
      <c r="H827" s="6"/>
      <c r="I827" s="25"/>
      <c r="J827" s="7"/>
      <c r="K827" s="15"/>
      <c r="L827" s="379">
        <f>IF(H827&lt;&gt;"",J827*K827,SUMIFS(L828:L$9844,$F828:$F$9844,"*"&amp;F827&amp;"*",$H828:$H$9844,"&lt;&gt;"))</f>
        <v>0</v>
      </c>
      <c r="M827" s="379" t="str">
        <f>IF(Tabela2[[#This Row],[UNID.]]&lt;&gt;"",IFERROR(VLOOKUP(Tabela2[[#This Row],[AGRUPADOR]],Lucratividade!$D$4:$O$129,6,0),0),"")</f>
        <v/>
      </c>
      <c r="N827" s="379">
        <f>IF(H827&lt;&gt;"",J827*M827*I827,SUMIFS(N828:N$9844,$F828:$F$9844,"*"&amp;F827&amp;"*",$H828:$H$9844,"&lt;&gt;"))</f>
        <v>0</v>
      </c>
      <c r="O827" s="162" t="str">
        <f>IFERROR((-Tabela2[[#This Row],[CUSTO TOTAL]]+Tabela2[[#This Row],[VENDA TOTAL]])/Tabela2[[#This Row],[VENDA TOTAL]]-PARAMETROS!$C$19,"")</f>
        <v/>
      </c>
      <c r="AA827" s="219">
        <f>SUM(Plan_Orc[[#This Row],[01/jan]:[01/dez]])</f>
        <v>0</v>
      </c>
      <c r="AB827" s="15"/>
      <c r="AC827" s="15"/>
      <c r="AD827" s="15"/>
      <c r="AE827" s="15"/>
      <c r="AF827" s="15"/>
      <c r="AG827" s="15"/>
      <c r="AH827" s="15"/>
      <c r="AI827" s="15"/>
      <c r="AJ827" s="15"/>
      <c r="AK827" s="15"/>
      <c r="AL827" s="15"/>
      <c r="AM827" s="15"/>
    </row>
    <row r="828" spans="2:39" ht="25.2" customHeight="1" x14ac:dyDescent="0.3">
      <c r="B828" s="13" t="str">
        <f t="shared" si="16"/>
        <v/>
      </c>
      <c r="C828" s="18"/>
      <c r="D828" s="19" t="str">
        <f>IF(Tabela2[[#This Row],[AGRUPADOR]]&lt;&gt;"",VLOOKUP(Tabela2[[#This Row],[AGRUPADOR]],Tabela1[],2,0),"")</f>
        <v/>
      </c>
      <c r="E828" s="19" t="str">
        <f>IF(Tabela2[[#This Row],[AGRUPADOR]]&lt;&gt;"",VLOOKUP(Tabela2[[#This Row],[AGRUPADOR]],Tabela1[],4,0),"")</f>
        <v/>
      </c>
      <c r="F828" s="14"/>
      <c r="G828" s="6"/>
      <c r="H828" s="6"/>
      <c r="I828" s="25"/>
      <c r="J828" s="7"/>
      <c r="K828" s="15"/>
      <c r="L828" s="379">
        <f>IF(H828&lt;&gt;"",J828*K828,SUMIFS(L829:L$9844,$F829:$F$9844,"*"&amp;F828&amp;"*",$H829:$H$9844,"&lt;&gt;"))</f>
        <v>0</v>
      </c>
      <c r="M828" s="379" t="str">
        <f>IF(Tabela2[[#This Row],[UNID.]]&lt;&gt;"",IFERROR(VLOOKUP(Tabela2[[#This Row],[AGRUPADOR]],Lucratividade!$D$4:$O$129,6,0),0),"")</f>
        <v/>
      </c>
      <c r="N828" s="379">
        <f>IF(H828&lt;&gt;"",J828*M828*I828,SUMIFS(N829:N$9844,$F829:$F$9844,"*"&amp;F828&amp;"*",$H829:$H$9844,"&lt;&gt;"))</f>
        <v>0</v>
      </c>
      <c r="O828" s="162" t="str">
        <f>IFERROR((-Tabela2[[#This Row],[CUSTO TOTAL]]+Tabela2[[#This Row],[VENDA TOTAL]])/Tabela2[[#This Row],[VENDA TOTAL]]-PARAMETROS!$C$19,"")</f>
        <v/>
      </c>
      <c r="AA828" s="219">
        <f>SUM(Plan_Orc[[#This Row],[01/jan]:[01/dez]])</f>
        <v>0</v>
      </c>
      <c r="AB828" s="15"/>
      <c r="AC828" s="15"/>
      <c r="AD828" s="15"/>
      <c r="AE828" s="15"/>
      <c r="AF828" s="15"/>
      <c r="AG828" s="15"/>
      <c r="AH828" s="15"/>
      <c r="AI828" s="15"/>
      <c r="AJ828" s="15"/>
      <c r="AK828" s="15"/>
      <c r="AL828" s="15"/>
      <c r="AM828" s="15"/>
    </row>
    <row r="829" spans="2:39" ht="25.2" customHeight="1" x14ac:dyDescent="0.3">
      <c r="B829" s="13" t="str">
        <f t="shared" si="16"/>
        <v/>
      </c>
      <c r="C829" s="18"/>
      <c r="D829" s="19" t="str">
        <f>IF(Tabela2[[#This Row],[AGRUPADOR]]&lt;&gt;"",VLOOKUP(Tabela2[[#This Row],[AGRUPADOR]],Tabela1[],2,0),"")</f>
        <v/>
      </c>
      <c r="E829" s="19" t="str">
        <f>IF(Tabela2[[#This Row],[AGRUPADOR]]&lt;&gt;"",VLOOKUP(Tabela2[[#This Row],[AGRUPADOR]],Tabela1[],4,0),"")</f>
        <v/>
      </c>
      <c r="F829" s="14"/>
      <c r="G829" s="6"/>
      <c r="H829" s="6"/>
      <c r="I829" s="25"/>
      <c r="J829" s="7"/>
      <c r="K829" s="15"/>
      <c r="L829" s="379">
        <f>IF(H829&lt;&gt;"",J829*K829,SUMIFS(L830:L$9844,$F830:$F$9844,"*"&amp;F829&amp;"*",$H830:$H$9844,"&lt;&gt;"))</f>
        <v>0</v>
      </c>
      <c r="M829" s="379" t="str">
        <f>IF(Tabela2[[#This Row],[UNID.]]&lt;&gt;"",IFERROR(VLOOKUP(Tabela2[[#This Row],[AGRUPADOR]],Lucratividade!$D$4:$O$129,6,0),0),"")</f>
        <v/>
      </c>
      <c r="N829" s="379">
        <f>IF(H829&lt;&gt;"",J829*M829*I829,SUMIFS(N830:N$9844,$F830:$F$9844,"*"&amp;F829&amp;"*",$H830:$H$9844,"&lt;&gt;"))</f>
        <v>0</v>
      </c>
      <c r="O829" s="162" t="str">
        <f>IFERROR((-Tabela2[[#This Row],[CUSTO TOTAL]]+Tabela2[[#This Row],[VENDA TOTAL]])/Tabela2[[#This Row],[VENDA TOTAL]]-PARAMETROS!$C$19,"")</f>
        <v/>
      </c>
      <c r="AA829" s="219">
        <f>SUM(Plan_Orc[[#This Row],[01/jan]:[01/dez]])</f>
        <v>0</v>
      </c>
      <c r="AB829" s="15"/>
      <c r="AC829" s="15"/>
      <c r="AD829" s="15"/>
      <c r="AE829" s="15"/>
      <c r="AF829" s="15"/>
      <c r="AG829" s="15"/>
      <c r="AH829" s="15"/>
      <c r="AI829" s="15"/>
      <c r="AJ829" s="15"/>
      <c r="AK829" s="15"/>
      <c r="AL829" s="15"/>
      <c r="AM829" s="15"/>
    </row>
    <row r="830" spans="2:39" ht="25.2" customHeight="1" x14ac:dyDescent="0.3">
      <c r="B830" s="13" t="str">
        <f t="shared" si="16"/>
        <v/>
      </c>
      <c r="C830" s="18"/>
      <c r="D830" s="19" t="str">
        <f>IF(Tabela2[[#This Row],[AGRUPADOR]]&lt;&gt;"",VLOOKUP(Tabela2[[#This Row],[AGRUPADOR]],Tabela1[],2,0),"")</f>
        <v/>
      </c>
      <c r="E830" s="19" t="str">
        <f>IF(Tabela2[[#This Row],[AGRUPADOR]]&lt;&gt;"",VLOOKUP(Tabela2[[#This Row],[AGRUPADOR]],Tabela1[],4,0),"")</f>
        <v/>
      </c>
      <c r="F830" s="14"/>
      <c r="G830" s="6"/>
      <c r="H830" s="6"/>
      <c r="I830" s="25"/>
      <c r="J830" s="7"/>
      <c r="K830" s="15"/>
      <c r="L830" s="379">
        <f>IF(H830&lt;&gt;"",J830*K830,SUMIFS(L831:L$9844,$F831:$F$9844,"*"&amp;F830&amp;"*",$H831:$H$9844,"&lt;&gt;"))</f>
        <v>0</v>
      </c>
      <c r="M830" s="379" t="str">
        <f>IF(Tabela2[[#This Row],[UNID.]]&lt;&gt;"",IFERROR(VLOOKUP(Tabela2[[#This Row],[AGRUPADOR]],Lucratividade!$D$4:$O$129,6,0),0),"")</f>
        <v/>
      </c>
      <c r="N830" s="379">
        <f>IF(H830&lt;&gt;"",J830*M830*I830,SUMIFS(N831:N$9844,$F831:$F$9844,"*"&amp;F830&amp;"*",$H831:$H$9844,"&lt;&gt;"))</f>
        <v>0</v>
      </c>
      <c r="O830" s="162" t="str">
        <f>IFERROR((-Tabela2[[#This Row],[CUSTO TOTAL]]+Tabela2[[#This Row],[VENDA TOTAL]])/Tabela2[[#This Row],[VENDA TOTAL]]-PARAMETROS!$C$19,"")</f>
        <v/>
      </c>
      <c r="AA830" s="219">
        <f>SUM(Plan_Orc[[#This Row],[01/jan]:[01/dez]])</f>
        <v>0</v>
      </c>
      <c r="AB830" s="15"/>
      <c r="AC830" s="15"/>
      <c r="AD830" s="15"/>
      <c r="AE830" s="15"/>
      <c r="AF830" s="15"/>
      <c r="AG830" s="15"/>
      <c r="AH830" s="15"/>
      <c r="AI830" s="15"/>
      <c r="AJ830" s="15"/>
      <c r="AK830" s="15"/>
      <c r="AL830" s="15"/>
      <c r="AM830" s="15"/>
    </row>
    <row r="831" spans="2:39" ht="25.2" customHeight="1" x14ac:dyDescent="0.3">
      <c r="B831" s="13" t="str">
        <f t="shared" si="16"/>
        <v/>
      </c>
      <c r="C831" s="18"/>
      <c r="D831" s="19" t="str">
        <f>IF(Tabela2[[#This Row],[AGRUPADOR]]&lt;&gt;"",VLOOKUP(Tabela2[[#This Row],[AGRUPADOR]],Tabela1[],2,0),"")</f>
        <v/>
      </c>
      <c r="E831" s="19" t="str">
        <f>IF(Tabela2[[#This Row],[AGRUPADOR]]&lt;&gt;"",VLOOKUP(Tabela2[[#This Row],[AGRUPADOR]],Tabela1[],4,0),"")</f>
        <v/>
      </c>
      <c r="F831" s="14"/>
      <c r="G831" s="6"/>
      <c r="H831" s="6"/>
      <c r="I831" s="25"/>
      <c r="J831" s="7"/>
      <c r="K831" s="15"/>
      <c r="L831" s="379">
        <f>IF(H831&lt;&gt;"",J831*K831,SUMIFS(L832:L$9844,$F832:$F$9844,"*"&amp;F831&amp;"*",$H832:$H$9844,"&lt;&gt;"))</f>
        <v>0</v>
      </c>
      <c r="M831" s="379" t="str">
        <f>IF(Tabela2[[#This Row],[UNID.]]&lt;&gt;"",IFERROR(VLOOKUP(Tabela2[[#This Row],[AGRUPADOR]],Lucratividade!$D$4:$O$129,6,0),0),"")</f>
        <v/>
      </c>
      <c r="N831" s="379">
        <f>IF(H831&lt;&gt;"",J831*M831*I831,SUMIFS(N832:N$9844,$F832:$F$9844,"*"&amp;F831&amp;"*",$H832:$H$9844,"&lt;&gt;"))</f>
        <v>0</v>
      </c>
      <c r="O831" s="162" t="str">
        <f>IFERROR((-Tabela2[[#This Row],[CUSTO TOTAL]]+Tabela2[[#This Row],[VENDA TOTAL]])/Tabela2[[#This Row],[VENDA TOTAL]]-PARAMETROS!$C$19,"")</f>
        <v/>
      </c>
      <c r="AA831" s="219">
        <f>SUM(Plan_Orc[[#This Row],[01/jan]:[01/dez]])</f>
        <v>0</v>
      </c>
      <c r="AB831" s="15"/>
      <c r="AC831" s="15"/>
      <c r="AD831" s="15"/>
      <c r="AE831" s="15"/>
      <c r="AF831" s="15"/>
      <c r="AG831" s="15"/>
      <c r="AH831" s="15"/>
      <c r="AI831" s="15"/>
      <c r="AJ831" s="15"/>
      <c r="AK831" s="15"/>
      <c r="AL831" s="15"/>
      <c r="AM831" s="15"/>
    </row>
    <row r="832" spans="2:39" ht="25.2" customHeight="1" x14ac:dyDescent="0.3">
      <c r="B832" s="13" t="str">
        <f t="shared" si="16"/>
        <v/>
      </c>
      <c r="C832" s="18"/>
      <c r="D832" s="19" t="str">
        <f>IF(Tabela2[[#This Row],[AGRUPADOR]]&lt;&gt;"",VLOOKUP(Tabela2[[#This Row],[AGRUPADOR]],Tabela1[],2,0),"")</f>
        <v/>
      </c>
      <c r="E832" s="19" t="str">
        <f>IF(Tabela2[[#This Row],[AGRUPADOR]]&lt;&gt;"",VLOOKUP(Tabela2[[#This Row],[AGRUPADOR]],Tabela1[],4,0),"")</f>
        <v/>
      </c>
      <c r="F832" s="14"/>
      <c r="G832" s="6"/>
      <c r="H832" s="6"/>
      <c r="I832" s="25"/>
      <c r="J832" s="7"/>
      <c r="K832" s="15"/>
      <c r="L832" s="379">
        <f>IF(H832&lt;&gt;"",J832*K832,SUMIFS(L833:L$9844,$F833:$F$9844,"*"&amp;F832&amp;"*",$H833:$H$9844,"&lt;&gt;"))</f>
        <v>0</v>
      </c>
      <c r="M832" s="379" t="str">
        <f>IF(Tabela2[[#This Row],[UNID.]]&lt;&gt;"",IFERROR(VLOOKUP(Tabela2[[#This Row],[AGRUPADOR]],Lucratividade!$D$4:$O$129,6,0),0),"")</f>
        <v/>
      </c>
      <c r="N832" s="379">
        <f>IF(H832&lt;&gt;"",J832*M832*I832,SUMIFS(N833:N$9844,$F833:$F$9844,"*"&amp;F832&amp;"*",$H833:$H$9844,"&lt;&gt;"))</f>
        <v>0</v>
      </c>
      <c r="O832" s="162" t="str">
        <f>IFERROR((-Tabela2[[#This Row],[CUSTO TOTAL]]+Tabela2[[#This Row],[VENDA TOTAL]])/Tabela2[[#This Row],[VENDA TOTAL]]-PARAMETROS!$C$19,"")</f>
        <v/>
      </c>
      <c r="AA832" s="219">
        <f>SUM(Plan_Orc[[#This Row],[01/jan]:[01/dez]])</f>
        <v>0</v>
      </c>
      <c r="AB832" s="15"/>
      <c r="AC832" s="15"/>
      <c r="AD832" s="15"/>
      <c r="AE832" s="15"/>
      <c r="AF832" s="15"/>
      <c r="AG832" s="15"/>
      <c r="AH832" s="15"/>
      <c r="AI832" s="15"/>
      <c r="AJ832" s="15"/>
      <c r="AK832" s="15"/>
      <c r="AL832" s="15"/>
      <c r="AM832" s="15"/>
    </row>
    <row r="833" spans="2:39" ht="25.2" customHeight="1" x14ac:dyDescent="0.3">
      <c r="B833" s="13" t="str">
        <f t="shared" si="16"/>
        <v/>
      </c>
      <c r="C833" s="18"/>
      <c r="D833" s="19" t="str">
        <f>IF(Tabela2[[#This Row],[AGRUPADOR]]&lt;&gt;"",VLOOKUP(Tabela2[[#This Row],[AGRUPADOR]],Tabela1[],2,0),"")</f>
        <v/>
      </c>
      <c r="E833" s="19" t="str">
        <f>IF(Tabela2[[#This Row],[AGRUPADOR]]&lt;&gt;"",VLOOKUP(Tabela2[[#This Row],[AGRUPADOR]],Tabela1[],4,0),"")</f>
        <v/>
      </c>
      <c r="F833" s="14"/>
      <c r="G833" s="6"/>
      <c r="H833" s="6"/>
      <c r="I833" s="25"/>
      <c r="J833" s="7"/>
      <c r="K833" s="15"/>
      <c r="L833" s="379">
        <f>IF(H833&lt;&gt;"",J833*K833,SUMIFS(L834:L$9844,$F834:$F$9844,"*"&amp;F833&amp;"*",$H834:$H$9844,"&lt;&gt;"))</f>
        <v>0</v>
      </c>
      <c r="M833" s="379" t="str">
        <f>IF(Tabela2[[#This Row],[UNID.]]&lt;&gt;"",IFERROR(VLOOKUP(Tabela2[[#This Row],[AGRUPADOR]],Lucratividade!$D$4:$O$129,6,0),0),"")</f>
        <v/>
      </c>
      <c r="N833" s="379">
        <f>IF(H833&lt;&gt;"",J833*M833*I833,SUMIFS(N834:N$9844,$F834:$F$9844,"*"&amp;F833&amp;"*",$H834:$H$9844,"&lt;&gt;"))</f>
        <v>0</v>
      </c>
      <c r="O833" s="162" t="str">
        <f>IFERROR((-Tabela2[[#This Row],[CUSTO TOTAL]]+Tabela2[[#This Row],[VENDA TOTAL]])/Tabela2[[#This Row],[VENDA TOTAL]]-PARAMETROS!$C$19,"")</f>
        <v/>
      </c>
      <c r="AA833" s="219">
        <f>SUM(Plan_Orc[[#This Row],[01/jan]:[01/dez]])</f>
        <v>0</v>
      </c>
      <c r="AB833" s="15"/>
      <c r="AC833" s="15"/>
      <c r="AD833" s="15"/>
      <c r="AE833" s="15"/>
      <c r="AF833" s="15"/>
      <c r="AG833" s="15"/>
      <c r="AH833" s="15"/>
      <c r="AI833" s="15"/>
      <c r="AJ833" s="15"/>
      <c r="AK833" s="15"/>
      <c r="AL833" s="15"/>
      <c r="AM833" s="15"/>
    </row>
    <row r="834" spans="2:39" ht="25.2" customHeight="1" x14ac:dyDescent="0.3">
      <c r="B834" s="13" t="str">
        <f t="shared" si="16"/>
        <v/>
      </c>
      <c r="C834" s="18"/>
      <c r="D834" s="19" t="str">
        <f>IF(Tabela2[[#This Row],[AGRUPADOR]]&lt;&gt;"",VLOOKUP(Tabela2[[#This Row],[AGRUPADOR]],Tabela1[],2,0),"")</f>
        <v/>
      </c>
      <c r="E834" s="19" t="str">
        <f>IF(Tabela2[[#This Row],[AGRUPADOR]]&lt;&gt;"",VLOOKUP(Tabela2[[#This Row],[AGRUPADOR]],Tabela1[],4,0),"")</f>
        <v/>
      </c>
      <c r="F834" s="14"/>
      <c r="G834" s="6"/>
      <c r="H834" s="6"/>
      <c r="I834" s="25"/>
      <c r="J834" s="7"/>
      <c r="K834" s="15"/>
      <c r="L834" s="379">
        <f>IF(H834&lt;&gt;"",J834*K834,SUMIFS(L835:L$9844,$F835:$F$9844,"*"&amp;F834&amp;"*",$H835:$H$9844,"&lt;&gt;"))</f>
        <v>0</v>
      </c>
      <c r="M834" s="379" t="str">
        <f>IF(Tabela2[[#This Row],[UNID.]]&lt;&gt;"",IFERROR(VLOOKUP(Tabela2[[#This Row],[AGRUPADOR]],Lucratividade!$D$4:$O$129,6,0),0),"")</f>
        <v/>
      </c>
      <c r="N834" s="379">
        <f>IF(H834&lt;&gt;"",J834*M834*I834,SUMIFS(N835:N$9844,$F835:$F$9844,"*"&amp;F834&amp;"*",$H835:$H$9844,"&lt;&gt;"))</f>
        <v>0</v>
      </c>
      <c r="O834" s="162" t="str">
        <f>IFERROR((-Tabela2[[#This Row],[CUSTO TOTAL]]+Tabela2[[#This Row],[VENDA TOTAL]])/Tabela2[[#This Row],[VENDA TOTAL]]-PARAMETROS!$C$19,"")</f>
        <v/>
      </c>
      <c r="AA834" s="219">
        <f>SUM(Plan_Orc[[#This Row],[01/jan]:[01/dez]])</f>
        <v>0</v>
      </c>
      <c r="AB834" s="15"/>
      <c r="AC834" s="15"/>
      <c r="AD834" s="15"/>
      <c r="AE834" s="15"/>
      <c r="AF834" s="15"/>
      <c r="AG834" s="15"/>
      <c r="AH834" s="15"/>
      <c r="AI834" s="15"/>
      <c r="AJ834" s="15"/>
      <c r="AK834" s="15"/>
      <c r="AL834" s="15"/>
      <c r="AM834" s="15"/>
    </row>
    <row r="835" spans="2:39" ht="25.2" customHeight="1" x14ac:dyDescent="0.3">
      <c r="B835" s="13" t="str">
        <f t="shared" si="16"/>
        <v/>
      </c>
      <c r="C835" s="18"/>
      <c r="D835" s="19" t="str">
        <f>IF(Tabela2[[#This Row],[AGRUPADOR]]&lt;&gt;"",VLOOKUP(Tabela2[[#This Row],[AGRUPADOR]],Tabela1[],2,0),"")</f>
        <v/>
      </c>
      <c r="E835" s="19" t="str">
        <f>IF(Tabela2[[#This Row],[AGRUPADOR]]&lt;&gt;"",VLOOKUP(Tabela2[[#This Row],[AGRUPADOR]],Tabela1[],4,0),"")</f>
        <v/>
      </c>
      <c r="F835" s="14"/>
      <c r="G835" s="6"/>
      <c r="H835" s="6"/>
      <c r="I835" s="25"/>
      <c r="J835" s="7"/>
      <c r="K835" s="15"/>
      <c r="L835" s="379">
        <f>IF(H835&lt;&gt;"",J835*K835,SUMIFS(L836:L$9844,$F836:$F$9844,"*"&amp;F835&amp;"*",$H836:$H$9844,"&lt;&gt;"))</f>
        <v>0</v>
      </c>
      <c r="M835" s="379" t="str">
        <f>IF(Tabela2[[#This Row],[UNID.]]&lt;&gt;"",IFERROR(VLOOKUP(Tabela2[[#This Row],[AGRUPADOR]],Lucratividade!$D$4:$O$129,6,0),0),"")</f>
        <v/>
      </c>
      <c r="N835" s="379">
        <f>IF(H835&lt;&gt;"",J835*M835*I835,SUMIFS(N836:N$9844,$F836:$F$9844,"*"&amp;F835&amp;"*",$H836:$H$9844,"&lt;&gt;"))</f>
        <v>0</v>
      </c>
      <c r="O835" s="162" t="str">
        <f>IFERROR((-Tabela2[[#This Row],[CUSTO TOTAL]]+Tabela2[[#This Row],[VENDA TOTAL]])/Tabela2[[#This Row],[VENDA TOTAL]]-PARAMETROS!$C$19,"")</f>
        <v/>
      </c>
      <c r="AA835" s="219">
        <f>SUM(Plan_Orc[[#This Row],[01/jan]:[01/dez]])</f>
        <v>0</v>
      </c>
      <c r="AB835" s="15"/>
      <c r="AC835" s="15"/>
      <c r="AD835" s="15"/>
      <c r="AE835" s="15"/>
      <c r="AF835" s="15"/>
      <c r="AG835" s="15"/>
      <c r="AH835" s="15"/>
      <c r="AI835" s="15"/>
      <c r="AJ835" s="15"/>
      <c r="AK835" s="15"/>
      <c r="AL835" s="15"/>
      <c r="AM835" s="15"/>
    </row>
    <row r="836" spans="2:39" ht="25.2" customHeight="1" x14ac:dyDescent="0.3">
      <c r="B836" s="13" t="str">
        <f t="shared" ref="B836:B899" si="17">IF(LEN(F836)=3,1,"")</f>
        <v/>
      </c>
      <c r="C836" s="18"/>
      <c r="D836" s="19" t="str">
        <f>IF(Tabela2[[#This Row],[AGRUPADOR]]&lt;&gt;"",VLOOKUP(Tabela2[[#This Row],[AGRUPADOR]],Tabela1[],2,0),"")</f>
        <v/>
      </c>
      <c r="E836" s="19" t="str">
        <f>IF(Tabela2[[#This Row],[AGRUPADOR]]&lt;&gt;"",VLOOKUP(Tabela2[[#This Row],[AGRUPADOR]],Tabela1[],4,0),"")</f>
        <v/>
      </c>
      <c r="F836" s="14"/>
      <c r="G836" s="6"/>
      <c r="H836" s="6"/>
      <c r="I836" s="25"/>
      <c r="J836" s="7"/>
      <c r="K836" s="15"/>
      <c r="L836" s="379">
        <f>IF(H836&lt;&gt;"",J836*K836,SUMIFS(L837:L$9844,$F837:$F$9844,"*"&amp;F836&amp;"*",$H837:$H$9844,"&lt;&gt;"))</f>
        <v>0</v>
      </c>
      <c r="M836" s="379" t="str">
        <f>IF(Tabela2[[#This Row],[UNID.]]&lt;&gt;"",IFERROR(VLOOKUP(Tabela2[[#This Row],[AGRUPADOR]],Lucratividade!$D$4:$O$129,6,0),0),"")</f>
        <v/>
      </c>
      <c r="N836" s="379">
        <f>IF(H836&lt;&gt;"",J836*M836*I836,SUMIFS(N837:N$9844,$F837:$F$9844,"*"&amp;F836&amp;"*",$H837:$H$9844,"&lt;&gt;"))</f>
        <v>0</v>
      </c>
      <c r="O836" s="162" t="str">
        <f>IFERROR((-Tabela2[[#This Row],[CUSTO TOTAL]]+Tabela2[[#This Row],[VENDA TOTAL]])/Tabela2[[#This Row],[VENDA TOTAL]]-PARAMETROS!$C$19,"")</f>
        <v/>
      </c>
      <c r="AA836" s="219">
        <f>SUM(Plan_Orc[[#This Row],[01/jan]:[01/dez]])</f>
        <v>0</v>
      </c>
      <c r="AB836" s="15"/>
      <c r="AC836" s="15"/>
      <c r="AD836" s="15"/>
      <c r="AE836" s="15"/>
      <c r="AF836" s="15"/>
      <c r="AG836" s="15"/>
      <c r="AH836" s="15"/>
      <c r="AI836" s="15"/>
      <c r="AJ836" s="15"/>
      <c r="AK836" s="15"/>
      <c r="AL836" s="15"/>
      <c r="AM836" s="15"/>
    </row>
    <row r="837" spans="2:39" ht="25.2" customHeight="1" x14ac:dyDescent="0.3">
      <c r="B837" s="13" t="str">
        <f t="shared" si="17"/>
        <v/>
      </c>
      <c r="C837" s="18"/>
      <c r="D837" s="19" t="str">
        <f>IF(Tabela2[[#This Row],[AGRUPADOR]]&lt;&gt;"",VLOOKUP(Tabela2[[#This Row],[AGRUPADOR]],Tabela1[],2,0),"")</f>
        <v/>
      </c>
      <c r="E837" s="19" t="str">
        <f>IF(Tabela2[[#This Row],[AGRUPADOR]]&lt;&gt;"",VLOOKUP(Tabela2[[#This Row],[AGRUPADOR]],Tabela1[],4,0),"")</f>
        <v/>
      </c>
      <c r="F837" s="14"/>
      <c r="G837" s="6"/>
      <c r="H837" s="6"/>
      <c r="I837" s="25"/>
      <c r="J837" s="7"/>
      <c r="K837" s="15"/>
      <c r="L837" s="379">
        <f>IF(H837&lt;&gt;"",J837*K837,SUMIFS(L838:L$9844,$F838:$F$9844,"*"&amp;F837&amp;"*",$H838:$H$9844,"&lt;&gt;"))</f>
        <v>0</v>
      </c>
      <c r="M837" s="379" t="str">
        <f>IF(Tabela2[[#This Row],[UNID.]]&lt;&gt;"",IFERROR(VLOOKUP(Tabela2[[#This Row],[AGRUPADOR]],Lucratividade!$D$4:$O$129,6,0),0),"")</f>
        <v/>
      </c>
      <c r="N837" s="379">
        <f>IF(H837&lt;&gt;"",J837*M837*I837,SUMIFS(N838:N$9844,$F838:$F$9844,"*"&amp;F837&amp;"*",$H838:$H$9844,"&lt;&gt;"))</f>
        <v>0</v>
      </c>
      <c r="O837" s="162" t="str">
        <f>IFERROR((-Tabela2[[#This Row],[CUSTO TOTAL]]+Tabela2[[#This Row],[VENDA TOTAL]])/Tabela2[[#This Row],[VENDA TOTAL]]-PARAMETROS!$C$19,"")</f>
        <v/>
      </c>
      <c r="AA837" s="219">
        <f>SUM(Plan_Orc[[#This Row],[01/jan]:[01/dez]])</f>
        <v>0</v>
      </c>
      <c r="AB837" s="15"/>
      <c r="AC837" s="15"/>
      <c r="AD837" s="15"/>
      <c r="AE837" s="15"/>
      <c r="AF837" s="15"/>
      <c r="AG837" s="15"/>
      <c r="AH837" s="15"/>
      <c r="AI837" s="15"/>
      <c r="AJ837" s="15"/>
      <c r="AK837" s="15"/>
      <c r="AL837" s="15"/>
      <c r="AM837" s="15"/>
    </row>
    <row r="838" spans="2:39" ht="25.2" customHeight="1" x14ac:dyDescent="0.3">
      <c r="B838" s="13" t="str">
        <f t="shared" si="17"/>
        <v/>
      </c>
      <c r="C838" s="18"/>
      <c r="D838" s="19" t="str">
        <f>IF(Tabela2[[#This Row],[AGRUPADOR]]&lt;&gt;"",VLOOKUP(Tabela2[[#This Row],[AGRUPADOR]],Tabela1[],2,0),"")</f>
        <v/>
      </c>
      <c r="E838" s="19" t="str">
        <f>IF(Tabela2[[#This Row],[AGRUPADOR]]&lt;&gt;"",VLOOKUP(Tabela2[[#This Row],[AGRUPADOR]],Tabela1[],4,0),"")</f>
        <v/>
      </c>
      <c r="F838" s="14"/>
      <c r="G838" s="6"/>
      <c r="H838" s="6"/>
      <c r="I838" s="25"/>
      <c r="J838" s="7"/>
      <c r="K838" s="15"/>
      <c r="L838" s="379">
        <f>IF(H838&lt;&gt;"",J838*K838,SUMIFS(L839:L$9844,$F839:$F$9844,"*"&amp;F838&amp;"*",$H839:$H$9844,"&lt;&gt;"))</f>
        <v>0</v>
      </c>
      <c r="M838" s="379" t="str">
        <f>IF(Tabela2[[#This Row],[UNID.]]&lt;&gt;"",IFERROR(VLOOKUP(Tabela2[[#This Row],[AGRUPADOR]],Lucratividade!$D$4:$O$129,6,0),0),"")</f>
        <v/>
      </c>
      <c r="N838" s="379">
        <f>IF(H838&lt;&gt;"",J838*M838*I838,SUMIFS(N839:N$9844,$F839:$F$9844,"*"&amp;F838&amp;"*",$H839:$H$9844,"&lt;&gt;"))</f>
        <v>0</v>
      </c>
      <c r="O838" s="162" t="str">
        <f>IFERROR((-Tabela2[[#This Row],[CUSTO TOTAL]]+Tabela2[[#This Row],[VENDA TOTAL]])/Tabela2[[#This Row],[VENDA TOTAL]]-PARAMETROS!$C$19,"")</f>
        <v/>
      </c>
      <c r="AA838" s="219">
        <f>SUM(Plan_Orc[[#This Row],[01/jan]:[01/dez]])</f>
        <v>0</v>
      </c>
      <c r="AB838" s="15"/>
      <c r="AC838" s="15"/>
      <c r="AD838" s="15"/>
      <c r="AE838" s="15"/>
      <c r="AF838" s="15"/>
      <c r="AG838" s="15"/>
      <c r="AH838" s="15"/>
      <c r="AI838" s="15"/>
      <c r="AJ838" s="15"/>
      <c r="AK838" s="15"/>
      <c r="AL838" s="15"/>
      <c r="AM838" s="15"/>
    </row>
    <row r="839" spans="2:39" ht="25.2" customHeight="1" x14ac:dyDescent="0.3">
      <c r="B839" s="13" t="str">
        <f t="shared" si="17"/>
        <v/>
      </c>
      <c r="C839" s="18"/>
      <c r="D839" s="19" t="str">
        <f>IF(Tabela2[[#This Row],[AGRUPADOR]]&lt;&gt;"",VLOOKUP(Tabela2[[#This Row],[AGRUPADOR]],Tabela1[],2,0),"")</f>
        <v/>
      </c>
      <c r="E839" s="19" t="str">
        <f>IF(Tabela2[[#This Row],[AGRUPADOR]]&lt;&gt;"",VLOOKUP(Tabela2[[#This Row],[AGRUPADOR]],Tabela1[],4,0),"")</f>
        <v/>
      </c>
      <c r="F839" s="14"/>
      <c r="G839" s="6"/>
      <c r="H839" s="6"/>
      <c r="I839" s="25"/>
      <c r="J839" s="7"/>
      <c r="K839" s="15"/>
      <c r="L839" s="379">
        <f>IF(H839&lt;&gt;"",J839*K839,SUMIFS(L840:L$9844,$F840:$F$9844,"*"&amp;F839&amp;"*",$H840:$H$9844,"&lt;&gt;"))</f>
        <v>0</v>
      </c>
      <c r="M839" s="379" t="str">
        <f>IF(Tabela2[[#This Row],[UNID.]]&lt;&gt;"",IFERROR(VLOOKUP(Tabela2[[#This Row],[AGRUPADOR]],Lucratividade!$D$4:$O$129,6,0),0),"")</f>
        <v/>
      </c>
      <c r="N839" s="379">
        <f>IF(H839&lt;&gt;"",J839*M839*I839,SUMIFS(N840:N$9844,$F840:$F$9844,"*"&amp;F839&amp;"*",$H840:$H$9844,"&lt;&gt;"))</f>
        <v>0</v>
      </c>
      <c r="O839" s="162" t="str">
        <f>IFERROR((-Tabela2[[#This Row],[CUSTO TOTAL]]+Tabela2[[#This Row],[VENDA TOTAL]])/Tabela2[[#This Row],[VENDA TOTAL]]-PARAMETROS!$C$19,"")</f>
        <v/>
      </c>
      <c r="AA839" s="219">
        <f>SUM(Plan_Orc[[#This Row],[01/jan]:[01/dez]])</f>
        <v>0</v>
      </c>
      <c r="AB839" s="15"/>
      <c r="AC839" s="15"/>
      <c r="AD839" s="15"/>
      <c r="AE839" s="15"/>
      <c r="AF839" s="15"/>
      <c r="AG839" s="15"/>
      <c r="AH839" s="15"/>
      <c r="AI839" s="15"/>
      <c r="AJ839" s="15"/>
      <c r="AK839" s="15"/>
      <c r="AL839" s="15"/>
      <c r="AM839" s="15"/>
    </row>
    <row r="840" spans="2:39" ht="25.2" customHeight="1" x14ac:dyDescent="0.3">
      <c r="B840" s="13" t="str">
        <f t="shared" si="17"/>
        <v/>
      </c>
      <c r="C840" s="18"/>
      <c r="D840" s="19" t="str">
        <f>IF(Tabela2[[#This Row],[AGRUPADOR]]&lt;&gt;"",VLOOKUP(Tabela2[[#This Row],[AGRUPADOR]],Tabela1[],2,0),"")</f>
        <v/>
      </c>
      <c r="E840" s="19" t="str">
        <f>IF(Tabela2[[#This Row],[AGRUPADOR]]&lt;&gt;"",VLOOKUP(Tabela2[[#This Row],[AGRUPADOR]],Tabela1[],4,0),"")</f>
        <v/>
      </c>
      <c r="F840" s="14"/>
      <c r="G840" s="6"/>
      <c r="H840" s="6"/>
      <c r="I840" s="25"/>
      <c r="J840" s="7"/>
      <c r="K840" s="15"/>
      <c r="L840" s="379">
        <f>IF(H840&lt;&gt;"",J840*K840,SUMIFS(L841:L$9844,$F841:$F$9844,"*"&amp;F840&amp;"*",$H841:$H$9844,"&lt;&gt;"))</f>
        <v>0</v>
      </c>
      <c r="M840" s="379" t="str">
        <f>IF(Tabela2[[#This Row],[UNID.]]&lt;&gt;"",IFERROR(VLOOKUP(Tabela2[[#This Row],[AGRUPADOR]],Lucratividade!$D$4:$O$129,6,0),0),"")</f>
        <v/>
      </c>
      <c r="N840" s="379">
        <f>IF(H840&lt;&gt;"",J840*M840*I840,SUMIFS(N841:N$9844,$F841:$F$9844,"*"&amp;F840&amp;"*",$H841:$H$9844,"&lt;&gt;"))</f>
        <v>0</v>
      </c>
      <c r="O840" s="162" t="str">
        <f>IFERROR((-Tabela2[[#This Row],[CUSTO TOTAL]]+Tabela2[[#This Row],[VENDA TOTAL]])/Tabela2[[#This Row],[VENDA TOTAL]]-PARAMETROS!$C$19,"")</f>
        <v/>
      </c>
      <c r="AA840" s="219">
        <f>SUM(Plan_Orc[[#This Row],[01/jan]:[01/dez]])</f>
        <v>0</v>
      </c>
      <c r="AB840" s="15"/>
      <c r="AC840" s="15"/>
      <c r="AD840" s="15"/>
      <c r="AE840" s="15"/>
      <c r="AF840" s="15"/>
      <c r="AG840" s="15"/>
      <c r="AH840" s="15"/>
      <c r="AI840" s="15"/>
      <c r="AJ840" s="15"/>
      <c r="AK840" s="15"/>
      <c r="AL840" s="15"/>
      <c r="AM840" s="15"/>
    </row>
    <row r="841" spans="2:39" ht="25.2" customHeight="1" x14ac:dyDescent="0.3">
      <c r="B841" s="13" t="str">
        <f t="shared" si="17"/>
        <v/>
      </c>
      <c r="C841" s="18"/>
      <c r="D841" s="19" t="str">
        <f>IF(Tabela2[[#This Row],[AGRUPADOR]]&lt;&gt;"",VLOOKUP(Tabela2[[#This Row],[AGRUPADOR]],Tabela1[],2,0),"")</f>
        <v/>
      </c>
      <c r="E841" s="19" t="str">
        <f>IF(Tabela2[[#This Row],[AGRUPADOR]]&lt;&gt;"",VLOOKUP(Tabela2[[#This Row],[AGRUPADOR]],Tabela1[],4,0),"")</f>
        <v/>
      </c>
      <c r="F841" s="14"/>
      <c r="G841" s="6"/>
      <c r="H841" s="6"/>
      <c r="I841" s="25"/>
      <c r="J841" s="7"/>
      <c r="K841" s="15"/>
      <c r="L841" s="379">
        <f>IF(H841&lt;&gt;"",J841*K841,SUMIFS(L842:L$9844,$F842:$F$9844,"*"&amp;F841&amp;"*",$H842:$H$9844,"&lt;&gt;"))</f>
        <v>0</v>
      </c>
      <c r="M841" s="379" t="str">
        <f>IF(Tabela2[[#This Row],[UNID.]]&lt;&gt;"",IFERROR(VLOOKUP(Tabela2[[#This Row],[AGRUPADOR]],Lucratividade!$D$4:$O$129,6,0),0),"")</f>
        <v/>
      </c>
      <c r="N841" s="379">
        <f>IF(H841&lt;&gt;"",J841*M841*I841,SUMIFS(N842:N$9844,$F842:$F$9844,"*"&amp;F841&amp;"*",$H842:$H$9844,"&lt;&gt;"))</f>
        <v>0</v>
      </c>
      <c r="O841" s="162" t="str">
        <f>IFERROR((-Tabela2[[#This Row],[CUSTO TOTAL]]+Tabela2[[#This Row],[VENDA TOTAL]])/Tabela2[[#This Row],[VENDA TOTAL]]-PARAMETROS!$C$19,"")</f>
        <v/>
      </c>
      <c r="AA841" s="219">
        <f>SUM(Plan_Orc[[#This Row],[01/jan]:[01/dez]])</f>
        <v>0</v>
      </c>
      <c r="AB841" s="15"/>
      <c r="AC841" s="15"/>
      <c r="AD841" s="15"/>
      <c r="AE841" s="15"/>
      <c r="AF841" s="15"/>
      <c r="AG841" s="15"/>
      <c r="AH841" s="15"/>
      <c r="AI841" s="15"/>
      <c r="AJ841" s="15"/>
      <c r="AK841" s="15"/>
      <c r="AL841" s="15"/>
      <c r="AM841" s="15"/>
    </row>
    <row r="842" spans="2:39" ht="25.2" customHeight="1" x14ac:dyDescent="0.3">
      <c r="B842" s="13" t="str">
        <f t="shared" si="17"/>
        <v/>
      </c>
      <c r="C842" s="18"/>
      <c r="D842" s="19" t="str">
        <f>IF(Tabela2[[#This Row],[AGRUPADOR]]&lt;&gt;"",VLOOKUP(Tabela2[[#This Row],[AGRUPADOR]],Tabela1[],2,0),"")</f>
        <v/>
      </c>
      <c r="E842" s="19" t="str">
        <f>IF(Tabela2[[#This Row],[AGRUPADOR]]&lt;&gt;"",VLOOKUP(Tabela2[[#This Row],[AGRUPADOR]],Tabela1[],4,0),"")</f>
        <v/>
      </c>
      <c r="F842" s="14"/>
      <c r="G842" s="6"/>
      <c r="H842" s="6"/>
      <c r="I842" s="25"/>
      <c r="J842" s="7"/>
      <c r="K842" s="15"/>
      <c r="L842" s="379">
        <f>IF(H842&lt;&gt;"",J842*K842,SUMIFS(L843:L$9844,$F843:$F$9844,"*"&amp;F842&amp;"*",$H843:$H$9844,"&lt;&gt;"))</f>
        <v>0</v>
      </c>
      <c r="M842" s="379" t="str">
        <f>IF(Tabela2[[#This Row],[UNID.]]&lt;&gt;"",IFERROR(VLOOKUP(Tabela2[[#This Row],[AGRUPADOR]],Lucratividade!$D$4:$O$129,6,0),0),"")</f>
        <v/>
      </c>
      <c r="N842" s="379">
        <f>IF(H842&lt;&gt;"",J842*M842*I842,SUMIFS(N843:N$9844,$F843:$F$9844,"*"&amp;F842&amp;"*",$H843:$H$9844,"&lt;&gt;"))</f>
        <v>0</v>
      </c>
      <c r="O842" s="162" t="str">
        <f>IFERROR((-Tabela2[[#This Row],[CUSTO TOTAL]]+Tabela2[[#This Row],[VENDA TOTAL]])/Tabela2[[#This Row],[VENDA TOTAL]]-PARAMETROS!$C$19,"")</f>
        <v/>
      </c>
      <c r="AA842" s="219">
        <f>SUM(Plan_Orc[[#This Row],[01/jan]:[01/dez]])</f>
        <v>0</v>
      </c>
      <c r="AB842" s="15"/>
      <c r="AC842" s="15"/>
      <c r="AD842" s="15"/>
      <c r="AE842" s="15"/>
      <c r="AF842" s="15"/>
      <c r="AG842" s="15"/>
      <c r="AH842" s="15"/>
      <c r="AI842" s="15"/>
      <c r="AJ842" s="15"/>
      <c r="AK842" s="15"/>
      <c r="AL842" s="15"/>
      <c r="AM842" s="15"/>
    </row>
    <row r="843" spans="2:39" ht="25.2" customHeight="1" x14ac:dyDescent="0.3">
      <c r="B843" s="13" t="str">
        <f t="shared" si="17"/>
        <v/>
      </c>
      <c r="C843" s="18"/>
      <c r="D843" s="19" t="str">
        <f>IF(Tabela2[[#This Row],[AGRUPADOR]]&lt;&gt;"",VLOOKUP(Tabela2[[#This Row],[AGRUPADOR]],Tabela1[],2,0),"")</f>
        <v/>
      </c>
      <c r="E843" s="19" t="str">
        <f>IF(Tabela2[[#This Row],[AGRUPADOR]]&lt;&gt;"",VLOOKUP(Tabela2[[#This Row],[AGRUPADOR]],Tabela1[],4,0),"")</f>
        <v/>
      </c>
      <c r="F843" s="14"/>
      <c r="G843" s="6"/>
      <c r="H843" s="6"/>
      <c r="I843" s="25"/>
      <c r="J843" s="7"/>
      <c r="K843" s="15"/>
      <c r="L843" s="379">
        <f>IF(H843&lt;&gt;"",J843*K843,SUMIFS(L844:L$9844,$F844:$F$9844,"*"&amp;F843&amp;"*",$H844:$H$9844,"&lt;&gt;"))</f>
        <v>0</v>
      </c>
      <c r="M843" s="379" t="str">
        <f>IF(Tabela2[[#This Row],[UNID.]]&lt;&gt;"",IFERROR(VLOOKUP(Tabela2[[#This Row],[AGRUPADOR]],Lucratividade!$D$4:$O$129,6,0),0),"")</f>
        <v/>
      </c>
      <c r="N843" s="379">
        <f>IF(H843&lt;&gt;"",J843*M843*I843,SUMIFS(N844:N$9844,$F844:$F$9844,"*"&amp;F843&amp;"*",$H844:$H$9844,"&lt;&gt;"))</f>
        <v>0</v>
      </c>
      <c r="O843" s="162" t="str">
        <f>IFERROR((-Tabela2[[#This Row],[CUSTO TOTAL]]+Tabela2[[#This Row],[VENDA TOTAL]])/Tabela2[[#This Row],[VENDA TOTAL]]-PARAMETROS!$C$19,"")</f>
        <v/>
      </c>
      <c r="AA843" s="219">
        <f>SUM(Plan_Orc[[#This Row],[01/jan]:[01/dez]])</f>
        <v>0</v>
      </c>
      <c r="AB843" s="15"/>
      <c r="AC843" s="15"/>
      <c r="AD843" s="15"/>
      <c r="AE843" s="15"/>
      <c r="AF843" s="15"/>
      <c r="AG843" s="15"/>
      <c r="AH843" s="15"/>
      <c r="AI843" s="15"/>
      <c r="AJ843" s="15"/>
      <c r="AK843" s="15"/>
      <c r="AL843" s="15"/>
      <c r="AM843" s="15"/>
    </row>
    <row r="844" spans="2:39" ht="25.2" customHeight="1" x14ac:dyDescent="0.3">
      <c r="B844" s="13" t="str">
        <f t="shared" si="17"/>
        <v/>
      </c>
      <c r="C844" s="18"/>
      <c r="D844" s="19" t="str">
        <f>IF(Tabela2[[#This Row],[AGRUPADOR]]&lt;&gt;"",VLOOKUP(Tabela2[[#This Row],[AGRUPADOR]],Tabela1[],2,0),"")</f>
        <v/>
      </c>
      <c r="E844" s="19" t="str">
        <f>IF(Tabela2[[#This Row],[AGRUPADOR]]&lt;&gt;"",VLOOKUP(Tabela2[[#This Row],[AGRUPADOR]],Tabela1[],4,0),"")</f>
        <v/>
      </c>
      <c r="F844" s="14"/>
      <c r="G844" s="6"/>
      <c r="H844" s="6"/>
      <c r="I844" s="25"/>
      <c r="J844" s="7"/>
      <c r="K844" s="15"/>
      <c r="L844" s="379">
        <f>IF(H844&lt;&gt;"",J844*K844,SUMIFS(L845:L$9844,$F845:$F$9844,"*"&amp;F844&amp;"*",$H845:$H$9844,"&lt;&gt;"))</f>
        <v>0</v>
      </c>
      <c r="M844" s="379" t="str">
        <f>IF(Tabela2[[#This Row],[UNID.]]&lt;&gt;"",IFERROR(VLOOKUP(Tabela2[[#This Row],[AGRUPADOR]],Lucratividade!$D$4:$O$129,6,0),0),"")</f>
        <v/>
      </c>
      <c r="N844" s="379">
        <f>IF(H844&lt;&gt;"",J844*M844*I844,SUMIFS(N845:N$9844,$F845:$F$9844,"*"&amp;F844&amp;"*",$H845:$H$9844,"&lt;&gt;"))</f>
        <v>0</v>
      </c>
      <c r="O844" s="162" t="str">
        <f>IFERROR((-Tabela2[[#This Row],[CUSTO TOTAL]]+Tabela2[[#This Row],[VENDA TOTAL]])/Tabela2[[#This Row],[VENDA TOTAL]]-PARAMETROS!$C$19,"")</f>
        <v/>
      </c>
      <c r="AA844" s="219">
        <f>SUM(Plan_Orc[[#This Row],[01/jan]:[01/dez]])</f>
        <v>0</v>
      </c>
      <c r="AB844" s="15"/>
      <c r="AC844" s="15"/>
      <c r="AD844" s="15"/>
      <c r="AE844" s="15"/>
      <c r="AF844" s="15"/>
      <c r="AG844" s="15"/>
      <c r="AH844" s="15"/>
      <c r="AI844" s="15"/>
      <c r="AJ844" s="15"/>
      <c r="AK844" s="15"/>
      <c r="AL844" s="15"/>
      <c r="AM844" s="15"/>
    </row>
    <row r="845" spans="2:39" ht="25.2" customHeight="1" x14ac:dyDescent="0.3">
      <c r="B845" s="13" t="str">
        <f t="shared" si="17"/>
        <v/>
      </c>
      <c r="C845" s="18"/>
      <c r="D845" s="19" t="str">
        <f>IF(Tabela2[[#This Row],[AGRUPADOR]]&lt;&gt;"",VLOOKUP(Tabela2[[#This Row],[AGRUPADOR]],Tabela1[],2,0),"")</f>
        <v/>
      </c>
      <c r="E845" s="19" t="str">
        <f>IF(Tabela2[[#This Row],[AGRUPADOR]]&lt;&gt;"",VLOOKUP(Tabela2[[#This Row],[AGRUPADOR]],Tabela1[],4,0),"")</f>
        <v/>
      </c>
      <c r="F845" s="14"/>
      <c r="G845" s="6"/>
      <c r="H845" s="6"/>
      <c r="I845" s="25"/>
      <c r="J845" s="7"/>
      <c r="K845" s="15"/>
      <c r="L845" s="379">
        <f>IF(H845&lt;&gt;"",J845*K845,SUMIFS(L846:L$9844,$F846:$F$9844,"*"&amp;F845&amp;"*",$H846:$H$9844,"&lt;&gt;"))</f>
        <v>0</v>
      </c>
      <c r="M845" s="379" t="str">
        <f>IF(Tabela2[[#This Row],[UNID.]]&lt;&gt;"",IFERROR(VLOOKUP(Tabela2[[#This Row],[AGRUPADOR]],Lucratividade!$D$4:$O$129,6,0),0),"")</f>
        <v/>
      </c>
      <c r="N845" s="379">
        <f>IF(H845&lt;&gt;"",J845*M845*I845,SUMIFS(N846:N$9844,$F846:$F$9844,"*"&amp;F845&amp;"*",$H846:$H$9844,"&lt;&gt;"))</f>
        <v>0</v>
      </c>
      <c r="O845" s="162" t="str">
        <f>IFERROR((-Tabela2[[#This Row],[CUSTO TOTAL]]+Tabela2[[#This Row],[VENDA TOTAL]])/Tabela2[[#This Row],[VENDA TOTAL]]-PARAMETROS!$C$19,"")</f>
        <v/>
      </c>
      <c r="AA845" s="219">
        <f>SUM(Plan_Orc[[#This Row],[01/jan]:[01/dez]])</f>
        <v>0</v>
      </c>
      <c r="AB845" s="15"/>
      <c r="AC845" s="15"/>
      <c r="AD845" s="15"/>
      <c r="AE845" s="15"/>
      <c r="AF845" s="15"/>
      <c r="AG845" s="15"/>
      <c r="AH845" s="15"/>
      <c r="AI845" s="15"/>
      <c r="AJ845" s="15"/>
      <c r="AK845" s="15"/>
      <c r="AL845" s="15"/>
      <c r="AM845" s="15"/>
    </row>
    <row r="846" spans="2:39" ht="25.2" customHeight="1" x14ac:dyDescent="0.3">
      <c r="B846" s="13" t="str">
        <f t="shared" si="17"/>
        <v/>
      </c>
      <c r="C846" s="18"/>
      <c r="D846" s="19" t="str">
        <f>IF(Tabela2[[#This Row],[AGRUPADOR]]&lt;&gt;"",VLOOKUP(Tabela2[[#This Row],[AGRUPADOR]],Tabela1[],2,0),"")</f>
        <v/>
      </c>
      <c r="E846" s="19" t="str">
        <f>IF(Tabela2[[#This Row],[AGRUPADOR]]&lt;&gt;"",VLOOKUP(Tabela2[[#This Row],[AGRUPADOR]],Tabela1[],4,0),"")</f>
        <v/>
      </c>
      <c r="F846" s="14"/>
      <c r="G846" s="6"/>
      <c r="H846" s="6"/>
      <c r="I846" s="25"/>
      <c r="J846" s="7"/>
      <c r="K846" s="15"/>
      <c r="L846" s="379">
        <f>IF(H846&lt;&gt;"",J846*K846,SUMIFS(L847:L$9844,$F847:$F$9844,"*"&amp;F846&amp;"*",$H847:$H$9844,"&lt;&gt;"))</f>
        <v>0</v>
      </c>
      <c r="M846" s="379" t="str">
        <f>IF(Tabela2[[#This Row],[UNID.]]&lt;&gt;"",IFERROR(VLOOKUP(Tabela2[[#This Row],[AGRUPADOR]],Lucratividade!$D$4:$O$129,6,0),0),"")</f>
        <v/>
      </c>
      <c r="N846" s="379">
        <f>IF(H846&lt;&gt;"",J846*M846*I846,SUMIFS(N847:N$9844,$F847:$F$9844,"*"&amp;F846&amp;"*",$H847:$H$9844,"&lt;&gt;"))</f>
        <v>0</v>
      </c>
      <c r="O846" s="162" t="str">
        <f>IFERROR((-Tabela2[[#This Row],[CUSTO TOTAL]]+Tabela2[[#This Row],[VENDA TOTAL]])/Tabela2[[#This Row],[VENDA TOTAL]]-PARAMETROS!$C$19,"")</f>
        <v/>
      </c>
      <c r="AA846" s="219">
        <f>SUM(Plan_Orc[[#This Row],[01/jan]:[01/dez]])</f>
        <v>0</v>
      </c>
      <c r="AB846" s="15"/>
      <c r="AC846" s="15"/>
      <c r="AD846" s="15"/>
      <c r="AE846" s="15"/>
      <c r="AF846" s="15"/>
      <c r="AG846" s="15"/>
      <c r="AH846" s="15"/>
      <c r="AI846" s="15"/>
      <c r="AJ846" s="15"/>
      <c r="AK846" s="15"/>
      <c r="AL846" s="15"/>
      <c r="AM846" s="15"/>
    </row>
    <row r="847" spans="2:39" ht="25.2" customHeight="1" x14ac:dyDescent="0.3">
      <c r="B847" s="13" t="str">
        <f t="shared" si="17"/>
        <v/>
      </c>
      <c r="C847" s="18"/>
      <c r="D847" s="19" t="str">
        <f>IF(Tabela2[[#This Row],[AGRUPADOR]]&lt;&gt;"",VLOOKUP(Tabela2[[#This Row],[AGRUPADOR]],Tabela1[],2,0),"")</f>
        <v/>
      </c>
      <c r="E847" s="19" t="str">
        <f>IF(Tabela2[[#This Row],[AGRUPADOR]]&lt;&gt;"",VLOOKUP(Tabela2[[#This Row],[AGRUPADOR]],Tabela1[],4,0),"")</f>
        <v/>
      </c>
      <c r="F847" s="14"/>
      <c r="G847" s="6"/>
      <c r="H847" s="6"/>
      <c r="I847" s="25"/>
      <c r="J847" s="7"/>
      <c r="K847" s="15"/>
      <c r="L847" s="379">
        <f>IF(H847&lt;&gt;"",J847*K847,SUMIFS(L848:L$9844,$F848:$F$9844,"*"&amp;F847&amp;"*",$H848:$H$9844,"&lt;&gt;"))</f>
        <v>0</v>
      </c>
      <c r="M847" s="379" t="str">
        <f>IF(Tabela2[[#This Row],[UNID.]]&lt;&gt;"",IFERROR(VLOOKUP(Tabela2[[#This Row],[AGRUPADOR]],Lucratividade!$D$4:$O$129,6,0),0),"")</f>
        <v/>
      </c>
      <c r="N847" s="379">
        <f>IF(H847&lt;&gt;"",J847*M847*I847,SUMIFS(N848:N$9844,$F848:$F$9844,"*"&amp;F847&amp;"*",$H848:$H$9844,"&lt;&gt;"))</f>
        <v>0</v>
      </c>
      <c r="O847" s="162" t="str">
        <f>IFERROR((-Tabela2[[#This Row],[CUSTO TOTAL]]+Tabela2[[#This Row],[VENDA TOTAL]])/Tabela2[[#This Row],[VENDA TOTAL]]-PARAMETROS!$C$19,"")</f>
        <v/>
      </c>
      <c r="AA847" s="219">
        <f>SUM(Plan_Orc[[#This Row],[01/jan]:[01/dez]])</f>
        <v>0</v>
      </c>
      <c r="AB847" s="15"/>
      <c r="AC847" s="15"/>
      <c r="AD847" s="15"/>
      <c r="AE847" s="15"/>
      <c r="AF847" s="15"/>
      <c r="AG847" s="15"/>
      <c r="AH847" s="15"/>
      <c r="AI847" s="15"/>
      <c r="AJ847" s="15"/>
      <c r="AK847" s="15"/>
      <c r="AL847" s="15"/>
      <c r="AM847" s="15"/>
    </row>
    <row r="848" spans="2:39" ht="25.2" customHeight="1" x14ac:dyDescent="0.3">
      <c r="B848" s="13" t="str">
        <f t="shared" si="17"/>
        <v/>
      </c>
      <c r="C848" s="18"/>
      <c r="D848" s="19" t="str">
        <f>IF(Tabela2[[#This Row],[AGRUPADOR]]&lt;&gt;"",VLOOKUP(Tabela2[[#This Row],[AGRUPADOR]],Tabela1[],2,0),"")</f>
        <v/>
      </c>
      <c r="E848" s="19" t="str">
        <f>IF(Tabela2[[#This Row],[AGRUPADOR]]&lt;&gt;"",VLOOKUP(Tabela2[[#This Row],[AGRUPADOR]],Tabela1[],4,0),"")</f>
        <v/>
      </c>
      <c r="F848" s="14"/>
      <c r="G848" s="6"/>
      <c r="H848" s="6"/>
      <c r="I848" s="25"/>
      <c r="J848" s="7"/>
      <c r="K848" s="15"/>
      <c r="L848" s="379">
        <f>IF(H848&lt;&gt;"",J848*K848,SUMIFS(L849:L$9844,$F849:$F$9844,"*"&amp;F848&amp;"*",$H849:$H$9844,"&lt;&gt;"))</f>
        <v>0</v>
      </c>
      <c r="M848" s="379" t="str">
        <f>IF(Tabela2[[#This Row],[UNID.]]&lt;&gt;"",IFERROR(VLOOKUP(Tabela2[[#This Row],[AGRUPADOR]],Lucratividade!$D$4:$O$129,6,0),0),"")</f>
        <v/>
      </c>
      <c r="N848" s="379">
        <f>IF(H848&lt;&gt;"",J848*M848*I848,SUMIFS(N849:N$9844,$F849:$F$9844,"*"&amp;F848&amp;"*",$H849:$H$9844,"&lt;&gt;"))</f>
        <v>0</v>
      </c>
      <c r="O848" s="162" t="str">
        <f>IFERROR((-Tabela2[[#This Row],[CUSTO TOTAL]]+Tabela2[[#This Row],[VENDA TOTAL]])/Tabela2[[#This Row],[VENDA TOTAL]]-PARAMETROS!$C$19,"")</f>
        <v/>
      </c>
      <c r="AA848" s="219">
        <f>SUM(Plan_Orc[[#This Row],[01/jan]:[01/dez]])</f>
        <v>0</v>
      </c>
      <c r="AB848" s="15"/>
      <c r="AC848" s="15"/>
      <c r="AD848" s="15"/>
      <c r="AE848" s="15"/>
      <c r="AF848" s="15"/>
      <c r="AG848" s="15"/>
      <c r="AH848" s="15"/>
      <c r="AI848" s="15"/>
      <c r="AJ848" s="15"/>
      <c r="AK848" s="15"/>
      <c r="AL848" s="15"/>
      <c r="AM848" s="15"/>
    </row>
    <row r="849" spans="2:39" ht="25.2" customHeight="1" x14ac:dyDescent="0.3">
      <c r="B849" s="13" t="str">
        <f t="shared" si="17"/>
        <v/>
      </c>
      <c r="C849" s="18"/>
      <c r="D849" s="19" t="str">
        <f>IF(Tabela2[[#This Row],[AGRUPADOR]]&lt;&gt;"",VLOOKUP(Tabela2[[#This Row],[AGRUPADOR]],Tabela1[],2,0),"")</f>
        <v/>
      </c>
      <c r="E849" s="19" t="str">
        <f>IF(Tabela2[[#This Row],[AGRUPADOR]]&lt;&gt;"",VLOOKUP(Tabela2[[#This Row],[AGRUPADOR]],Tabela1[],4,0),"")</f>
        <v/>
      </c>
      <c r="F849" s="14"/>
      <c r="G849" s="6"/>
      <c r="H849" s="6"/>
      <c r="I849" s="25"/>
      <c r="J849" s="7"/>
      <c r="K849" s="15"/>
      <c r="L849" s="379">
        <f>IF(H849&lt;&gt;"",J849*K849,SUMIFS(L850:L$9844,$F850:$F$9844,"*"&amp;F849&amp;"*",$H850:$H$9844,"&lt;&gt;"))</f>
        <v>0</v>
      </c>
      <c r="M849" s="379" t="str">
        <f>IF(Tabela2[[#This Row],[UNID.]]&lt;&gt;"",IFERROR(VLOOKUP(Tabela2[[#This Row],[AGRUPADOR]],Lucratividade!$D$4:$O$129,6,0),0),"")</f>
        <v/>
      </c>
      <c r="N849" s="379">
        <f>IF(H849&lt;&gt;"",J849*M849*I849,SUMIFS(N850:N$9844,$F850:$F$9844,"*"&amp;F849&amp;"*",$H850:$H$9844,"&lt;&gt;"))</f>
        <v>0</v>
      </c>
      <c r="O849" s="162" t="str">
        <f>IFERROR((-Tabela2[[#This Row],[CUSTO TOTAL]]+Tabela2[[#This Row],[VENDA TOTAL]])/Tabela2[[#This Row],[VENDA TOTAL]]-PARAMETROS!$C$19,"")</f>
        <v/>
      </c>
      <c r="AA849" s="219">
        <f>SUM(Plan_Orc[[#This Row],[01/jan]:[01/dez]])</f>
        <v>0</v>
      </c>
      <c r="AB849" s="15"/>
      <c r="AC849" s="15"/>
      <c r="AD849" s="15"/>
      <c r="AE849" s="15"/>
      <c r="AF849" s="15"/>
      <c r="AG849" s="15"/>
      <c r="AH849" s="15"/>
      <c r="AI849" s="15"/>
      <c r="AJ849" s="15"/>
      <c r="AK849" s="15"/>
      <c r="AL849" s="15"/>
      <c r="AM849" s="15"/>
    </row>
    <row r="850" spans="2:39" ht="25.2" customHeight="1" x14ac:dyDescent="0.3">
      <c r="B850" s="13" t="str">
        <f t="shared" si="17"/>
        <v/>
      </c>
      <c r="C850" s="18"/>
      <c r="D850" s="19" t="str">
        <f>IF(Tabela2[[#This Row],[AGRUPADOR]]&lt;&gt;"",VLOOKUP(Tabela2[[#This Row],[AGRUPADOR]],Tabela1[],2,0),"")</f>
        <v/>
      </c>
      <c r="E850" s="19" t="str">
        <f>IF(Tabela2[[#This Row],[AGRUPADOR]]&lt;&gt;"",VLOOKUP(Tabela2[[#This Row],[AGRUPADOR]],Tabela1[],4,0),"")</f>
        <v/>
      </c>
      <c r="F850" s="14"/>
      <c r="G850" s="6"/>
      <c r="H850" s="6"/>
      <c r="I850" s="25"/>
      <c r="J850" s="7"/>
      <c r="K850" s="15"/>
      <c r="L850" s="379">
        <f>IF(H850&lt;&gt;"",J850*K850,SUMIFS(L851:L$9844,$F851:$F$9844,"*"&amp;F850&amp;"*",$H851:$H$9844,"&lt;&gt;"))</f>
        <v>0</v>
      </c>
      <c r="M850" s="379" t="str">
        <f>IF(Tabela2[[#This Row],[UNID.]]&lt;&gt;"",IFERROR(VLOOKUP(Tabela2[[#This Row],[AGRUPADOR]],Lucratividade!$D$4:$O$129,6,0),0),"")</f>
        <v/>
      </c>
      <c r="N850" s="379">
        <f>IF(H850&lt;&gt;"",J850*M850*I850,SUMIFS(N851:N$9844,$F851:$F$9844,"*"&amp;F850&amp;"*",$H851:$H$9844,"&lt;&gt;"))</f>
        <v>0</v>
      </c>
      <c r="O850" s="162" t="str">
        <f>IFERROR((-Tabela2[[#This Row],[CUSTO TOTAL]]+Tabela2[[#This Row],[VENDA TOTAL]])/Tabela2[[#This Row],[VENDA TOTAL]]-PARAMETROS!$C$19,"")</f>
        <v/>
      </c>
      <c r="AA850" s="219">
        <f>SUM(Plan_Orc[[#This Row],[01/jan]:[01/dez]])</f>
        <v>0</v>
      </c>
      <c r="AB850" s="15"/>
      <c r="AC850" s="15"/>
      <c r="AD850" s="15"/>
      <c r="AE850" s="15"/>
      <c r="AF850" s="15"/>
      <c r="AG850" s="15"/>
      <c r="AH850" s="15"/>
      <c r="AI850" s="15"/>
      <c r="AJ850" s="15"/>
      <c r="AK850" s="15"/>
      <c r="AL850" s="15"/>
      <c r="AM850" s="15"/>
    </row>
    <row r="851" spans="2:39" ht="25.2" customHeight="1" x14ac:dyDescent="0.3">
      <c r="B851" s="13" t="str">
        <f t="shared" si="17"/>
        <v/>
      </c>
      <c r="C851" s="18"/>
      <c r="D851" s="19" t="str">
        <f>IF(Tabela2[[#This Row],[AGRUPADOR]]&lt;&gt;"",VLOOKUP(Tabela2[[#This Row],[AGRUPADOR]],Tabela1[],2,0),"")</f>
        <v/>
      </c>
      <c r="E851" s="19" t="str">
        <f>IF(Tabela2[[#This Row],[AGRUPADOR]]&lt;&gt;"",VLOOKUP(Tabela2[[#This Row],[AGRUPADOR]],Tabela1[],4,0),"")</f>
        <v/>
      </c>
      <c r="F851" s="14"/>
      <c r="G851" s="6"/>
      <c r="H851" s="6"/>
      <c r="I851" s="25"/>
      <c r="J851" s="7"/>
      <c r="K851" s="15"/>
      <c r="L851" s="379">
        <f>IF(H851&lt;&gt;"",J851*K851,SUMIFS(L852:L$9844,$F852:$F$9844,"*"&amp;F851&amp;"*",$H852:$H$9844,"&lt;&gt;"))</f>
        <v>0</v>
      </c>
      <c r="M851" s="379" t="str">
        <f>IF(Tabela2[[#This Row],[UNID.]]&lt;&gt;"",IFERROR(VLOOKUP(Tabela2[[#This Row],[AGRUPADOR]],Lucratividade!$D$4:$O$129,6,0),0),"")</f>
        <v/>
      </c>
      <c r="N851" s="379">
        <f>IF(H851&lt;&gt;"",J851*M851*I851,SUMIFS(N852:N$9844,$F852:$F$9844,"*"&amp;F851&amp;"*",$H852:$H$9844,"&lt;&gt;"))</f>
        <v>0</v>
      </c>
      <c r="O851" s="162" t="str">
        <f>IFERROR((-Tabela2[[#This Row],[CUSTO TOTAL]]+Tabela2[[#This Row],[VENDA TOTAL]])/Tabela2[[#This Row],[VENDA TOTAL]]-PARAMETROS!$C$19,"")</f>
        <v/>
      </c>
      <c r="AA851" s="218">
        <f>SUM(Plan_Orc[[#This Row],[01/jan]:[01/dez]])</f>
        <v>0</v>
      </c>
      <c r="AB851" s="12"/>
      <c r="AC851" s="12"/>
      <c r="AD851" s="12"/>
      <c r="AE851" s="12"/>
      <c r="AF851" s="12"/>
      <c r="AG851" s="12"/>
      <c r="AH851" s="12"/>
      <c r="AI851" s="12"/>
      <c r="AJ851" s="12"/>
      <c r="AK851" s="12"/>
      <c r="AL851" s="12"/>
      <c r="AM851" s="12"/>
    </row>
    <row r="852" spans="2:39" ht="25.2" customHeight="1" x14ac:dyDescent="0.3">
      <c r="B852" s="13" t="str">
        <f t="shared" si="17"/>
        <v/>
      </c>
      <c r="C852" s="18"/>
      <c r="D852" s="19" t="str">
        <f>IF(Tabela2[[#This Row],[AGRUPADOR]]&lt;&gt;"",VLOOKUP(Tabela2[[#This Row],[AGRUPADOR]],Tabela1[],2,0),"")</f>
        <v/>
      </c>
      <c r="E852" s="19" t="str">
        <f>IF(Tabela2[[#This Row],[AGRUPADOR]]&lt;&gt;"",VLOOKUP(Tabela2[[#This Row],[AGRUPADOR]],Tabela1[],4,0),"")</f>
        <v/>
      </c>
      <c r="F852" s="14"/>
      <c r="G852" s="6"/>
      <c r="H852" s="6"/>
      <c r="I852" s="25"/>
      <c r="J852" s="7"/>
      <c r="K852" s="15"/>
      <c r="L852" s="379">
        <f>IF(H852&lt;&gt;"",J852*K852,SUMIFS(L853:L$9844,$F853:$F$9844,"*"&amp;F852&amp;"*",$H853:$H$9844,"&lt;&gt;"))</f>
        <v>0</v>
      </c>
      <c r="M852" s="379" t="str">
        <f>IF(Tabela2[[#This Row],[UNID.]]&lt;&gt;"",IFERROR(VLOOKUP(Tabela2[[#This Row],[AGRUPADOR]],Lucratividade!$D$4:$O$129,6,0),0),"")</f>
        <v/>
      </c>
      <c r="N852" s="379">
        <f>IF(H852&lt;&gt;"",J852*M852*I852,SUMIFS(N853:N$9844,$F853:$F$9844,"*"&amp;F852&amp;"*",$H853:$H$9844,"&lt;&gt;"))</f>
        <v>0</v>
      </c>
      <c r="O852" s="162" t="str">
        <f>IFERROR((-Tabela2[[#This Row],[CUSTO TOTAL]]+Tabela2[[#This Row],[VENDA TOTAL]])/Tabela2[[#This Row],[VENDA TOTAL]]-PARAMETROS!$C$19,"")</f>
        <v/>
      </c>
      <c r="AA852" s="219">
        <f>SUM(Plan_Orc[[#This Row],[01/jan]:[01/dez]])</f>
        <v>0</v>
      </c>
      <c r="AB852" s="15"/>
      <c r="AC852" s="15"/>
      <c r="AD852" s="15"/>
      <c r="AE852" s="15"/>
      <c r="AF852" s="15"/>
      <c r="AG852" s="15"/>
      <c r="AH852" s="15"/>
      <c r="AI852" s="15"/>
      <c r="AJ852" s="15"/>
      <c r="AK852" s="15"/>
      <c r="AL852" s="15"/>
      <c r="AM852" s="15"/>
    </row>
    <row r="853" spans="2:39" ht="25.2" customHeight="1" x14ac:dyDescent="0.3">
      <c r="B853" s="13" t="str">
        <f t="shared" si="17"/>
        <v/>
      </c>
      <c r="C853" s="18"/>
      <c r="D853" s="19" t="str">
        <f>IF(Tabela2[[#This Row],[AGRUPADOR]]&lt;&gt;"",VLOOKUP(Tabela2[[#This Row],[AGRUPADOR]],Tabela1[],2,0),"")</f>
        <v/>
      </c>
      <c r="E853" s="19" t="str">
        <f>IF(Tabela2[[#This Row],[AGRUPADOR]]&lt;&gt;"",VLOOKUP(Tabela2[[#This Row],[AGRUPADOR]],Tabela1[],4,0),"")</f>
        <v/>
      </c>
      <c r="F853" s="14"/>
      <c r="G853" s="6"/>
      <c r="H853" s="6"/>
      <c r="I853" s="25"/>
      <c r="J853" s="7"/>
      <c r="K853" s="15"/>
      <c r="L853" s="379">
        <f>IF(H853&lt;&gt;"",J853*K853,SUMIFS(L854:L$9844,$F854:$F$9844,"*"&amp;F853&amp;"*",$H854:$H$9844,"&lt;&gt;"))</f>
        <v>0</v>
      </c>
      <c r="M853" s="379" t="str">
        <f>IF(Tabela2[[#This Row],[UNID.]]&lt;&gt;"",IFERROR(VLOOKUP(Tabela2[[#This Row],[AGRUPADOR]],Lucratividade!$D$4:$O$129,6,0),0),"")</f>
        <v/>
      </c>
      <c r="N853" s="379">
        <f>IF(H853&lt;&gt;"",J853*M853*I853,SUMIFS(N854:N$9844,$F854:$F$9844,"*"&amp;F853&amp;"*",$H854:$H$9844,"&lt;&gt;"))</f>
        <v>0</v>
      </c>
      <c r="O853" s="162" t="str">
        <f>IFERROR((-Tabela2[[#This Row],[CUSTO TOTAL]]+Tabela2[[#This Row],[VENDA TOTAL]])/Tabela2[[#This Row],[VENDA TOTAL]]-PARAMETROS!$C$19,"")</f>
        <v/>
      </c>
      <c r="AA853" s="219">
        <f>SUM(Plan_Orc[[#This Row],[01/jan]:[01/dez]])</f>
        <v>0</v>
      </c>
      <c r="AB853" s="15"/>
      <c r="AC853" s="15"/>
      <c r="AD853" s="15"/>
      <c r="AE853" s="15"/>
      <c r="AF853" s="15"/>
      <c r="AG853" s="15"/>
      <c r="AH853" s="15"/>
      <c r="AI853" s="15"/>
      <c r="AJ853" s="15"/>
      <c r="AK853" s="15"/>
      <c r="AL853" s="15"/>
      <c r="AM853" s="15"/>
    </row>
    <row r="854" spans="2:39" ht="25.2" customHeight="1" x14ac:dyDescent="0.3">
      <c r="B854" s="13" t="str">
        <f t="shared" si="17"/>
        <v/>
      </c>
      <c r="C854" s="18"/>
      <c r="D854" s="19" t="str">
        <f>IF(Tabela2[[#This Row],[AGRUPADOR]]&lt;&gt;"",VLOOKUP(Tabela2[[#This Row],[AGRUPADOR]],Tabela1[],2,0),"")</f>
        <v/>
      </c>
      <c r="E854" s="19" t="str">
        <f>IF(Tabela2[[#This Row],[AGRUPADOR]]&lt;&gt;"",VLOOKUP(Tabela2[[#This Row],[AGRUPADOR]],Tabela1[],4,0),"")</f>
        <v/>
      </c>
      <c r="F854" s="14"/>
      <c r="G854" s="6"/>
      <c r="H854" s="6"/>
      <c r="I854" s="25"/>
      <c r="J854" s="7"/>
      <c r="K854" s="15"/>
      <c r="L854" s="379">
        <f>IF(H854&lt;&gt;"",J854*K854,SUMIFS(L855:L$9844,$F855:$F$9844,"*"&amp;F854&amp;"*",$H855:$H$9844,"&lt;&gt;"))</f>
        <v>0</v>
      </c>
      <c r="M854" s="379" t="str">
        <f>IF(Tabela2[[#This Row],[UNID.]]&lt;&gt;"",IFERROR(VLOOKUP(Tabela2[[#This Row],[AGRUPADOR]],Lucratividade!$D$4:$O$129,6,0),0),"")</f>
        <v/>
      </c>
      <c r="N854" s="379">
        <f>IF(H854&lt;&gt;"",J854*M854*I854,SUMIFS(N855:N$9844,$F855:$F$9844,"*"&amp;F854&amp;"*",$H855:$H$9844,"&lt;&gt;"))</f>
        <v>0</v>
      </c>
      <c r="O854" s="162" t="str">
        <f>IFERROR((-Tabela2[[#This Row],[CUSTO TOTAL]]+Tabela2[[#This Row],[VENDA TOTAL]])/Tabela2[[#This Row],[VENDA TOTAL]]-PARAMETROS!$C$19,"")</f>
        <v/>
      </c>
      <c r="AA854" s="219">
        <f>SUM(Plan_Orc[[#This Row],[01/jan]:[01/dez]])</f>
        <v>0</v>
      </c>
      <c r="AB854" s="15"/>
      <c r="AC854" s="15"/>
      <c r="AD854" s="15"/>
      <c r="AE854" s="15"/>
      <c r="AF854" s="15"/>
      <c r="AG854" s="15"/>
      <c r="AH854" s="15"/>
      <c r="AI854" s="15"/>
      <c r="AJ854" s="15"/>
      <c r="AK854" s="15"/>
      <c r="AL854" s="15"/>
      <c r="AM854" s="15"/>
    </row>
    <row r="855" spans="2:39" ht="25.2" customHeight="1" x14ac:dyDescent="0.3">
      <c r="B855" s="13" t="str">
        <f t="shared" si="17"/>
        <v/>
      </c>
      <c r="C855" s="18"/>
      <c r="D855" s="19" t="str">
        <f>IF(Tabela2[[#This Row],[AGRUPADOR]]&lt;&gt;"",VLOOKUP(Tabela2[[#This Row],[AGRUPADOR]],Tabela1[],2,0),"")</f>
        <v/>
      </c>
      <c r="E855" s="19" t="str">
        <f>IF(Tabela2[[#This Row],[AGRUPADOR]]&lt;&gt;"",VLOOKUP(Tabela2[[#This Row],[AGRUPADOR]],Tabela1[],4,0),"")</f>
        <v/>
      </c>
      <c r="F855" s="14"/>
      <c r="G855" s="6"/>
      <c r="H855" s="6"/>
      <c r="I855" s="25"/>
      <c r="J855" s="7"/>
      <c r="K855" s="15"/>
      <c r="L855" s="379">
        <f>IF(H855&lt;&gt;"",J855*K855,SUMIFS(L856:L$9844,$F856:$F$9844,"*"&amp;F855&amp;"*",$H856:$H$9844,"&lt;&gt;"))</f>
        <v>0</v>
      </c>
      <c r="M855" s="379" t="str">
        <f>IF(Tabela2[[#This Row],[UNID.]]&lt;&gt;"",IFERROR(VLOOKUP(Tabela2[[#This Row],[AGRUPADOR]],Lucratividade!$D$4:$O$129,6,0),0),"")</f>
        <v/>
      </c>
      <c r="N855" s="379">
        <f>IF(H855&lt;&gt;"",J855*M855*I855,SUMIFS(N856:N$9844,$F856:$F$9844,"*"&amp;F855&amp;"*",$H856:$H$9844,"&lt;&gt;"))</f>
        <v>0</v>
      </c>
      <c r="O855" s="162" t="str">
        <f>IFERROR((-Tabela2[[#This Row],[CUSTO TOTAL]]+Tabela2[[#This Row],[VENDA TOTAL]])/Tabela2[[#This Row],[VENDA TOTAL]]-PARAMETROS!$C$19,"")</f>
        <v/>
      </c>
      <c r="AA855" s="219">
        <f>SUM(Plan_Orc[[#This Row],[01/jan]:[01/dez]])</f>
        <v>0</v>
      </c>
      <c r="AB855" s="15"/>
      <c r="AC855" s="15"/>
      <c r="AD855" s="15"/>
      <c r="AE855" s="15"/>
      <c r="AF855" s="15"/>
      <c r="AG855" s="15"/>
      <c r="AH855" s="15"/>
      <c r="AI855" s="15"/>
      <c r="AJ855" s="15"/>
      <c r="AK855" s="15"/>
      <c r="AL855" s="15"/>
      <c r="AM855" s="15"/>
    </row>
    <row r="856" spans="2:39" ht="25.2" customHeight="1" x14ac:dyDescent="0.3">
      <c r="B856" s="13" t="str">
        <f t="shared" si="17"/>
        <v/>
      </c>
      <c r="C856" s="18"/>
      <c r="D856" s="19" t="str">
        <f>IF(Tabela2[[#This Row],[AGRUPADOR]]&lt;&gt;"",VLOOKUP(Tabela2[[#This Row],[AGRUPADOR]],Tabela1[],2,0),"")</f>
        <v/>
      </c>
      <c r="E856" s="19" t="str">
        <f>IF(Tabela2[[#This Row],[AGRUPADOR]]&lt;&gt;"",VLOOKUP(Tabela2[[#This Row],[AGRUPADOR]],Tabela1[],4,0),"")</f>
        <v/>
      </c>
      <c r="F856" s="14"/>
      <c r="G856" s="6"/>
      <c r="H856" s="6"/>
      <c r="I856" s="25"/>
      <c r="J856" s="7"/>
      <c r="K856" s="15"/>
      <c r="L856" s="379">
        <f>IF(H856&lt;&gt;"",J856*K856,SUMIFS(L857:L$9844,$F857:$F$9844,"*"&amp;F856&amp;"*",$H857:$H$9844,"&lt;&gt;"))</f>
        <v>0</v>
      </c>
      <c r="M856" s="379" t="str">
        <f>IF(Tabela2[[#This Row],[UNID.]]&lt;&gt;"",IFERROR(VLOOKUP(Tabela2[[#This Row],[AGRUPADOR]],Lucratividade!$D$4:$O$129,6,0),0),"")</f>
        <v/>
      </c>
      <c r="N856" s="379">
        <f>IF(H856&lt;&gt;"",J856*M856*I856,SUMIFS(N857:N$9844,$F857:$F$9844,"*"&amp;F856&amp;"*",$H857:$H$9844,"&lt;&gt;"))</f>
        <v>0</v>
      </c>
      <c r="O856" s="162" t="str">
        <f>IFERROR((-Tabela2[[#This Row],[CUSTO TOTAL]]+Tabela2[[#This Row],[VENDA TOTAL]])/Tabela2[[#This Row],[VENDA TOTAL]]-PARAMETROS!$C$19,"")</f>
        <v/>
      </c>
      <c r="AA856" s="219">
        <f>SUM(Plan_Orc[[#This Row],[01/jan]:[01/dez]])</f>
        <v>0</v>
      </c>
      <c r="AB856" s="15"/>
      <c r="AC856" s="15"/>
      <c r="AD856" s="15"/>
      <c r="AE856" s="15"/>
      <c r="AF856" s="15"/>
      <c r="AG856" s="15"/>
      <c r="AH856" s="15"/>
      <c r="AI856" s="15"/>
      <c r="AJ856" s="15"/>
      <c r="AK856" s="15"/>
      <c r="AL856" s="15"/>
      <c r="AM856" s="15"/>
    </row>
    <row r="857" spans="2:39" ht="25.2" customHeight="1" x14ac:dyDescent="0.3">
      <c r="B857" s="13" t="str">
        <f t="shared" si="17"/>
        <v/>
      </c>
      <c r="C857" s="18"/>
      <c r="D857" s="19" t="str">
        <f>IF(Tabela2[[#This Row],[AGRUPADOR]]&lt;&gt;"",VLOOKUP(Tabela2[[#This Row],[AGRUPADOR]],Tabela1[],2,0),"")</f>
        <v/>
      </c>
      <c r="E857" s="19" t="str">
        <f>IF(Tabela2[[#This Row],[AGRUPADOR]]&lt;&gt;"",VLOOKUP(Tabela2[[#This Row],[AGRUPADOR]],Tabela1[],4,0),"")</f>
        <v/>
      </c>
      <c r="F857" s="14"/>
      <c r="G857" s="6"/>
      <c r="H857" s="6"/>
      <c r="I857" s="25"/>
      <c r="J857" s="7"/>
      <c r="K857" s="15"/>
      <c r="L857" s="379">
        <f>IF(H857&lt;&gt;"",J857*K857,SUMIFS(L858:L$9844,$F858:$F$9844,"*"&amp;F857&amp;"*",$H858:$H$9844,"&lt;&gt;"))</f>
        <v>0</v>
      </c>
      <c r="M857" s="379" t="str">
        <f>IF(Tabela2[[#This Row],[UNID.]]&lt;&gt;"",IFERROR(VLOOKUP(Tabela2[[#This Row],[AGRUPADOR]],Lucratividade!$D$4:$O$129,6,0),0),"")</f>
        <v/>
      </c>
      <c r="N857" s="379">
        <f>IF(H857&lt;&gt;"",J857*M857*I857,SUMIFS(N858:N$9844,$F858:$F$9844,"*"&amp;F857&amp;"*",$H858:$H$9844,"&lt;&gt;"))</f>
        <v>0</v>
      </c>
      <c r="O857" s="162" t="str">
        <f>IFERROR((-Tabela2[[#This Row],[CUSTO TOTAL]]+Tabela2[[#This Row],[VENDA TOTAL]])/Tabela2[[#This Row],[VENDA TOTAL]]-PARAMETROS!$C$19,"")</f>
        <v/>
      </c>
      <c r="AA857" s="219">
        <f>SUM(Plan_Orc[[#This Row],[01/jan]:[01/dez]])</f>
        <v>0</v>
      </c>
      <c r="AB857" s="15"/>
      <c r="AC857" s="15"/>
      <c r="AD857" s="15"/>
      <c r="AE857" s="15"/>
      <c r="AF857" s="15"/>
      <c r="AG857" s="15"/>
      <c r="AH857" s="15"/>
      <c r="AI857" s="15"/>
      <c r="AJ857" s="15"/>
      <c r="AK857" s="15"/>
      <c r="AL857" s="15"/>
      <c r="AM857" s="15"/>
    </row>
    <row r="858" spans="2:39" ht="25.2" customHeight="1" x14ac:dyDescent="0.3">
      <c r="B858" s="13" t="str">
        <f t="shared" si="17"/>
        <v/>
      </c>
      <c r="C858" s="18"/>
      <c r="D858" s="19" t="str">
        <f>IF(Tabela2[[#This Row],[AGRUPADOR]]&lt;&gt;"",VLOOKUP(Tabela2[[#This Row],[AGRUPADOR]],Tabela1[],2,0),"")</f>
        <v/>
      </c>
      <c r="E858" s="19" t="str">
        <f>IF(Tabela2[[#This Row],[AGRUPADOR]]&lt;&gt;"",VLOOKUP(Tabela2[[#This Row],[AGRUPADOR]],Tabela1[],4,0),"")</f>
        <v/>
      </c>
      <c r="F858" s="14"/>
      <c r="G858" s="6"/>
      <c r="H858" s="6"/>
      <c r="I858" s="25"/>
      <c r="J858" s="7"/>
      <c r="K858" s="15"/>
      <c r="L858" s="379">
        <f>IF(H858&lt;&gt;"",J858*K858,SUMIFS(L859:L$9844,$F859:$F$9844,"*"&amp;F858&amp;"*",$H859:$H$9844,"&lt;&gt;"))</f>
        <v>0</v>
      </c>
      <c r="M858" s="379" t="str">
        <f>IF(Tabela2[[#This Row],[UNID.]]&lt;&gt;"",IFERROR(VLOOKUP(Tabela2[[#This Row],[AGRUPADOR]],Lucratividade!$D$4:$O$129,6,0),0),"")</f>
        <v/>
      </c>
      <c r="N858" s="379">
        <f>IF(H858&lt;&gt;"",J858*M858*I858,SUMIFS(N859:N$9844,$F859:$F$9844,"*"&amp;F858&amp;"*",$H859:$H$9844,"&lt;&gt;"))</f>
        <v>0</v>
      </c>
      <c r="O858" s="162" t="str">
        <f>IFERROR((-Tabela2[[#This Row],[CUSTO TOTAL]]+Tabela2[[#This Row],[VENDA TOTAL]])/Tabela2[[#This Row],[VENDA TOTAL]]-PARAMETROS!$C$19,"")</f>
        <v/>
      </c>
      <c r="AA858" s="219">
        <f>SUM(Plan_Orc[[#This Row],[01/jan]:[01/dez]])</f>
        <v>0</v>
      </c>
      <c r="AB858" s="15"/>
      <c r="AC858" s="15"/>
      <c r="AD858" s="15"/>
      <c r="AE858" s="15"/>
      <c r="AF858" s="15"/>
      <c r="AG858" s="15"/>
      <c r="AH858" s="15"/>
      <c r="AI858" s="15"/>
      <c r="AJ858" s="15"/>
      <c r="AK858" s="15"/>
      <c r="AL858" s="15"/>
      <c r="AM858" s="15"/>
    </row>
    <row r="859" spans="2:39" ht="25.2" customHeight="1" x14ac:dyDescent="0.3">
      <c r="B859" s="13" t="str">
        <f t="shared" si="17"/>
        <v/>
      </c>
      <c r="C859" s="18"/>
      <c r="D859" s="19" t="str">
        <f>IF(Tabela2[[#This Row],[AGRUPADOR]]&lt;&gt;"",VLOOKUP(Tabela2[[#This Row],[AGRUPADOR]],Tabela1[],2,0),"")</f>
        <v/>
      </c>
      <c r="E859" s="19" t="str">
        <f>IF(Tabela2[[#This Row],[AGRUPADOR]]&lt;&gt;"",VLOOKUP(Tabela2[[#This Row],[AGRUPADOR]],Tabela1[],4,0),"")</f>
        <v/>
      </c>
      <c r="F859" s="14"/>
      <c r="G859" s="6"/>
      <c r="H859" s="6"/>
      <c r="I859" s="25"/>
      <c r="J859" s="7"/>
      <c r="K859" s="15"/>
      <c r="L859" s="379">
        <f>IF(H859&lt;&gt;"",J859*K859,SUMIFS(L860:L$9844,$F860:$F$9844,"*"&amp;F859&amp;"*",$H860:$H$9844,"&lt;&gt;"))</f>
        <v>0</v>
      </c>
      <c r="M859" s="379" t="str">
        <f>IF(Tabela2[[#This Row],[UNID.]]&lt;&gt;"",IFERROR(VLOOKUP(Tabela2[[#This Row],[AGRUPADOR]],Lucratividade!$D$4:$O$129,6,0),0),"")</f>
        <v/>
      </c>
      <c r="N859" s="379">
        <f>IF(H859&lt;&gt;"",J859*M859*I859,SUMIFS(N860:N$9844,$F860:$F$9844,"*"&amp;F859&amp;"*",$H860:$H$9844,"&lt;&gt;"))</f>
        <v>0</v>
      </c>
      <c r="O859" s="162" t="str">
        <f>IFERROR((-Tabela2[[#This Row],[CUSTO TOTAL]]+Tabela2[[#This Row],[VENDA TOTAL]])/Tabela2[[#This Row],[VENDA TOTAL]]-PARAMETROS!$C$19,"")</f>
        <v/>
      </c>
      <c r="AA859" s="219">
        <f>SUM(Plan_Orc[[#This Row],[01/jan]:[01/dez]])</f>
        <v>0</v>
      </c>
      <c r="AB859" s="15"/>
      <c r="AC859" s="15"/>
      <c r="AD859" s="15"/>
      <c r="AE859" s="15"/>
      <c r="AF859" s="15"/>
      <c r="AG859" s="15"/>
      <c r="AH859" s="15"/>
      <c r="AI859" s="15"/>
      <c r="AJ859" s="15"/>
      <c r="AK859" s="15"/>
      <c r="AL859" s="15"/>
      <c r="AM859" s="15"/>
    </row>
    <row r="860" spans="2:39" ht="25.2" customHeight="1" x14ac:dyDescent="0.3">
      <c r="B860" s="13" t="str">
        <f t="shared" si="17"/>
        <v/>
      </c>
      <c r="C860" s="18"/>
      <c r="D860" s="19" t="str">
        <f>IF(Tabela2[[#This Row],[AGRUPADOR]]&lt;&gt;"",VLOOKUP(Tabela2[[#This Row],[AGRUPADOR]],Tabela1[],2,0),"")</f>
        <v/>
      </c>
      <c r="E860" s="19" t="str">
        <f>IF(Tabela2[[#This Row],[AGRUPADOR]]&lt;&gt;"",VLOOKUP(Tabela2[[#This Row],[AGRUPADOR]],Tabela1[],4,0),"")</f>
        <v/>
      </c>
      <c r="F860" s="14"/>
      <c r="G860" s="6"/>
      <c r="H860" s="6"/>
      <c r="I860" s="25"/>
      <c r="J860" s="7"/>
      <c r="K860" s="15"/>
      <c r="L860" s="379">
        <f>IF(H860&lt;&gt;"",J860*K860,SUMIFS(L861:L$9844,$F861:$F$9844,"*"&amp;F860&amp;"*",$H861:$H$9844,"&lt;&gt;"))</f>
        <v>0</v>
      </c>
      <c r="M860" s="379" t="str">
        <f>IF(Tabela2[[#This Row],[UNID.]]&lt;&gt;"",IFERROR(VLOOKUP(Tabela2[[#This Row],[AGRUPADOR]],Lucratividade!$D$4:$O$129,6,0),0),"")</f>
        <v/>
      </c>
      <c r="N860" s="379">
        <f>IF(H860&lt;&gt;"",J860*M860*I860,SUMIFS(N861:N$9844,$F861:$F$9844,"*"&amp;F860&amp;"*",$H861:$H$9844,"&lt;&gt;"))</f>
        <v>0</v>
      </c>
      <c r="O860" s="162" t="str">
        <f>IFERROR((-Tabela2[[#This Row],[CUSTO TOTAL]]+Tabela2[[#This Row],[VENDA TOTAL]])/Tabela2[[#This Row],[VENDA TOTAL]]-PARAMETROS!$C$19,"")</f>
        <v/>
      </c>
      <c r="AA860" s="219">
        <f>SUM(Plan_Orc[[#This Row],[01/jan]:[01/dez]])</f>
        <v>0</v>
      </c>
      <c r="AB860" s="15"/>
      <c r="AC860" s="15"/>
      <c r="AD860" s="15"/>
      <c r="AE860" s="15"/>
      <c r="AF860" s="15"/>
      <c r="AG860" s="15"/>
      <c r="AH860" s="15"/>
      <c r="AI860" s="15"/>
      <c r="AJ860" s="15"/>
      <c r="AK860" s="15"/>
      <c r="AL860" s="15"/>
      <c r="AM860" s="15"/>
    </row>
    <row r="861" spans="2:39" ht="25.2" customHeight="1" x14ac:dyDescent="0.3">
      <c r="B861" s="13" t="str">
        <f t="shared" si="17"/>
        <v/>
      </c>
      <c r="C861" s="18"/>
      <c r="D861" s="19" t="str">
        <f>IF(Tabela2[[#This Row],[AGRUPADOR]]&lt;&gt;"",VLOOKUP(Tabela2[[#This Row],[AGRUPADOR]],Tabela1[],2,0),"")</f>
        <v/>
      </c>
      <c r="E861" s="19" t="str">
        <f>IF(Tabela2[[#This Row],[AGRUPADOR]]&lt;&gt;"",VLOOKUP(Tabela2[[#This Row],[AGRUPADOR]],Tabela1[],4,0),"")</f>
        <v/>
      </c>
      <c r="F861" s="14"/>
      <c r="G861" s="6"/>
      <c r="H861" s="6"/>
      <c r="I861" s="25"/>
      <c r="J861" s="7"/>
      <c r="K861" s="15"/>
      <c r="L861" s="379">
        <f>IF(H861&lt;&gt;"",J861*K861,SUMIFS(L862:L$9844,$F862:$F$9844,"*"&amp;F861&amp;"*",$H862:$H$9844,"&lt;&gt;"))</f>
        <v>0</v>
      </c>
      <c r="M861" s="379" t="str">
        <f>IF(Tabela2[[#This Row],[UNID.]]&lt;&gt;"",IFERROR(VLOOKUP(Tabela2[[#This Row],[AGRUPADOR]],Lucratividade!$D$4:$O$129,6,0),0),"")</f>
        <v/>
      </c>
      <c r="N861" s="379">
        <f>IF(H861&lt;&gt;"",J861*M861*I861,SUMIFS(N862:N$9844,$F862:$F$9844,"*"&amp;F861&amp;"*",$H862:$H$9844,"&lt;&gt;"))</f>
        <v>0</v>
      </c>
      <c r="O861" s="162" t="str">
        <f>IFERROR((-Tabela2[[#This Row],[CUSTO TOTAL]]+Tabela2[[#This Row],[VENDA TOTAL]])/Tabela2[[#This Row],[VENDA TOTAL]]-PARAMETROS!$C$19,"")</f>
        <v/>
      </c>
      <c r="AA861" s="219">
        <f>SUM(Plan_Orc[[#This Row],[01/jan]:[01/dez]])</f>
        <v>0</v>
      </c>
      <c r="AB861" s="15"/>
      <c r="AC861" s="15"/>
      <c r="AD861" s="15"/>
      <c r="AE861" s="15"/>
      <c r="AF861" s="15"/>
      <c r="AG861" s="15"/>
      <c r="AH861" s="15"/>
      <c r="AI861" s="15"/>
      <c r="AJ861" s="15"/>
      <c r="AK861" s="15"/>
      <c r="AL861" s="15"/>
      <c r="AM861" s="15"/>
    </row>
    <row r="862" spans="2:39" ht="25.2" customHeight="1" x14ac:dyDescent="0.3">
      <c r="B862" s="13" t="str">
        <f t="shared" si="17"/>
        <v/>
      </c>
      <c r="C862" s="18"/>
      <c r="D862" s="19" t="str">
        <f>IF(Tabela2[[#This Row],[AGRUPADOR]]&lt;&gt;"",VLOOKUP(Tabela2[[#This Row],[AGRUPADOR]],Tabela1[],2,0),"")</f>
        <v/>
      </c>
      <c r="E862" s="19" t="str">
        <f>IF(Tabela2[[#This Row],[AGRUPADOR]]&lt;&gt;"",VLOOKUP(Tabela2[[#This Row],[AGRUPADOR]],Tabela1[],4,0),"")</f>
        <v/>
      </c>
      <c r="F862" s="14"/>
      <c r="G862" s="6"/>
      <c r="H862" s="6"/>
      <c r="I862" s="25"/>
      <c r="J862" s="7"/>
      <c r="K862" s="15"/>
      <c r="L862" s="379">
        <f>IF(H862&lt;&gt;"",J862*K862,SUMIFS(L863:L$9844,$F863:$F$9844,"*"&amp;F862&amp;"*",$H863:$H$9844,"&lt;&gt;"))</f>
        <v>0</v>
      </c>
      <c r="M862" s="379" t="str">
        <f>IF(Tabela2[[#This Row],[UNID.]]&lt;&gt;"",IFERROR(VLOOKUP(Tabela2[[#This Row],[AGRUPADOR]],Lucratividade!$D$4:$O$129,6,0),0),"")</f>
        <v/>
      </c>
      <c r="N862" s="379">
        <f>IF(H862&lt;&gt;"",J862*M862*I862,SUMIFS(N863:N$9844,$F863:$F$9844,"*"&amp;F862&amp;"*",$H863:$H$9844,"&lt;&gt;"))</f>
        <v>0</v>
      </c>
      <c r="O862" s="162" t="str">
        <f>IFERROR((-Tabela2[[#This Row],[CUSTO TOTAL]]+Tabela2[[#This Row],[VENDA TOTAL]])/Tabela2[[#This Row],[VENDA TOTAL]]-PARAMETROS!$C$19,"")</f>
        <v/>
      </c>
      <c r="AA862" s="219">
        <f>SUM(Plan_Orc[[#This Row],[01/jan]:[01/dez]])</f>
        <v>0</v>
      </c>
      <c r="AB862" s="15"/>
      <c r="AC862" s="15"/>
      <c r="AD862" s="15"/>
      <c r="AE862" s="15"/>
      <c r="AF862" s="15"/>
      <c r="AG862" s="15"/>
      <c r="AH862" s="15"/>
      <c r="AI862" s="15"/>
      <c r="AJ862" s="15"/>
      <c r="AK862" s="15"/>
      <c r="AL862" s="15"/>
      <c r="AM862" s="15"/>
    </row>
    <row r="863" spans="2:39" ht="25.2" customHeight="1" x14ac:dyDescent="0.3">
      <c r="B863" s="13" t="str">
        <f t="shared" si="17"/>
        <v/>
      </c>
      <c r="C863" s="18"/>
      <c r="D863" s="19" t="str">
        <f>IF(Tabela2[[#This Row],[AGRUPADOR]]&lt;&gt;"",VLOOKUP(Tabela2[[#This Row],[AGRUPADOR]],Tabela1[],2,0),"")</f>
        <v/>
      </c>
      <c r="E863" s="19" t="str">
        <f>IF(Tabela2[[#This Row],[AGRUPADOR]]&lt;&gt;"",VLOOKUP(Tabela2[[#This Row],[AGRUPADOR]],Tabela1[],4,0),"")</f>
        <v/>
      </c>
      <c r="F863" s="14"/>
      <c r="G863" s="6"/>
      <c r="H863" s="6"/>
      <c r="I863" s="25"/>
      <c r="J863" s="7"/>
      <c r="K863" s="15"/>
      <c r="L863" s="379">
        <f>IF(H863&lt;&gt;"",J863*K863,SUMIFS(L864:L$9844,$F864:$F$9844,"*"&amp;F863&amp;"*",$H864:$H$9844,"&lt;&gt;"))</f>
        <v>0</v>
      </c>
      <c r="M863" s="379" t="str">
        <f>IF(Tabela2[[#This Row],[UNID.]]&lt;&gt;"",IFERROR(VLOOKUP(Tabela2[[#This Row],[AGRUPADOR]],Lucratividade!$D$4:$O$129,6,0),0),"")</f>
        <v/>
      </c>
      <c r="N863" s="379">
        <f>IF(H863&lt;&gt;"",J863*M863*I863,SUMIFS(N864:N$9844,$F864:$F$9844,"*"&amp;F863&amp;"*",$H864:$H$9844,"&lt;&gt;"))</f>
        <v>0</v>
      </c>
      <c r="O863" s="162" t="str">
        <f>IFERROR((-Tabela2[[#This Row],[CUSTO TOTAL]]+Tabela2[[#This Row],[VENDA TOTAL]])/Tabela2[[#This Row],[VENDA TOTAL]]-PARAMETROS!$C$19,"")</f>
        <v/>
      </c>
      <c r="AA863" s="219">
        <f>SUM(Plan_Orc[[#This Row],[01/jan]:[01/dez]])</f>
        <v>0</v>
      </c>
      <c r="AB863" s="15"/>
      <c r="AC863" s="15"/>
      <c r="AD863" s="15"/>
      <c r="AE863" s="15"/>
      <c r="AF863" s="15"/>
      <c r="AG863" s="15"/>
      <c r="AH863" s="15"/>
      <c r="AI863" s="15"/>
      <c r="AJ863" s="15"/>
      <c r="AK863" s="15"/>
      <c r="AL863" s="15"/>
      <c r="AM863" s="15"/>
    </row>
    <row r="864" spans="2:39" ht="25.2" customHeight="1" x14ac:dyDescent="0.3">
      <c r="B864" s="13" t="str">
        <f t="shared" si="17"/>
        <v/>
      </c>
      <c r="C864" s="18"/>
      <c r="D864" s="19" t="str">
        <f>IF(Tabela2[[#This Row],[AGRUPADOR]]&lt;&gt;"",VLOOKUP(Tabela2[[#This Row],[AGRUPADOR]],Tabela1[],2,0),"")</f>
        <v/>
      </c>
      <c r="E864" s="19" t="str">
        <f>IF(Tabela2[[#This Row],[AGRUPADOR]]&lt;&gt;"",VLOOKUP(Tabela2[[#This Row],[AGRUPADOR]],Tabela1[],4,0),"")</f>
        <v/>
      </c>
      <c r="F864" s="14"/>
      <c r="G864" s="6"/>
      <c r="H864" s="6"/>
      <c r="I864" s="25"/>
      <c r="J864" s="7"/>
      <c r="K864" s="15"/>
      <c r="L864" s="379">
        <f>IF(H864&lt;&gt;"",J864*K864,SUMIFS(L865:L$9844,$F865:$F$9844,"*"&amp;F864&amp;"*",$H865:$H$9844,"&lt;&gt;"))</f>
        <v>0</v>
      </c>
      <c r="M864" s="379" t="str">
        <f>IF(Tabela2[[#This Row],[UNID.]]&lt;&gt;"",IFERROR(VLOOKUP(Tabela2[[#This Row],[AGRUPADOR]],Lucratividade!$D$4:$O$129,6,0),0),"")</f>
        <v/>
      </c>
      <c r="N864" s="379">
        <f>IF(H864&lt;&gt;"",J864*M864*I864,SUMIFS(N865:N$9844,$F865:$F$9844,"*"&amp;F864&amp;"*",$H865:$H$9844,"&lt;&gt;"))</f>
        <v>0</v>
      </c>
      <c r="O864" s="162" t="str">
        <f>IFERROR((-Tabela2[[#This Row],[CUSTO TOTAL]]+Tabela2[[#This Row],[VENDA TOTAL]])/Tabela2[[#This Row],[VENDA TOTAL]]-PARAMETROS!$C$19,"")</f>
        <v/>
      </c>
      <c r="AA864" s="219">
        <f>SUM(Plan_Orc[[#This Row],[01/jan]:[01/dez]])</f>
        <v>0</v>
      </c>
      <c r="AB864" s="15"/>
      <c r="AC864" s="15"/>
      <c r="AD864" s="15"/>
      <c r="AE864" s="15"/>
      <c r="AF864" s="15"/>
      <c r="AG864" s="15"/>
      <c r="AH864" s="15"/>
      <c r="AI864" s="15"/>
      <c r="AJ864" s="15"/>
      <c r="AK864" s="15"/>
      <c r="AL864" s="15"/>
      <c r="AM864" s="15"/>
    </row>
    <row r="865" spans="2:39" ht="25.2" customHeight="1" x14ac:dyDescent="0.3">
      <c r="B865" s="13" t="str">
        <f t="shared" si="17"/>
        <v/>
      </c>
      <c r="C865" s="18"/>
      <c r="D865" s="19" t="str">
        <f>IF(Tabela2[[#This Row],[AGRUPADOR]]&lt;&gt;"",VLOOKUP(Tabela2[[#This Row],[AGRUPADOR]],Tabela1[],2,0),"")</f>
        <v/>
      </c>
      <c r="E865" s="19" t="str">
        <f>IF(Tabela2[[#This Row],[AGRUPADOR]]&lt;&gt;"",VLOOKUP(Tabela2[[#This Row],[AGRUPADOR]],Tabela1[],4,0),"")</f>
        <v/>
      </c>
      <c r="F865" s="14"/>
      <c r="G865" s="6"/>
      <c r="H865" s="6"/>
      <c r="I865" s="25"/>
      <c r="J865" s="7"/>
      <c r="K865" s="15"/>
      <c r="L865" s="379">
        <f>IF(H865&lt;&gt;"",J865*K865,SUMIFS(L866:L$9844,$F866:$F$9844,"*"&amp;F865&amp;"*",$H866:$H$9844,"&lt;&gt;"))</f>
        <v>0</v>
      </c>
      <c r="M865" s="379" t="str">
        <f>IF(Tabela2[[#This Row],[UNID.]]&lt;&gt;"",IFERROR(VLOOKUP(Tabela2[[#This Row],[AGRUPADOR]],Lucratividade!$D$4:$O$129,6,0),0),"")</f>
        <v/>
      </c>
      <c r="N865" s="379">
        <f>IF(H865&lt;&gt;"",J865*M865*I865,SUMIFS(N866:N$9844,$F866:$F$9844,"*"&amp;F865&amp;"*",$H866:$H$9844,"&lt;&gt;"))</f>
        <v>0</v>
      </c>
      <c r="O865" s="162" t="str">
        <f>IFERROR((-Tabela2[[#This Row],[CUSTO TOTAL]]+Tabela2[[#This Row],[VENDA TOTAL]])/Tabela2[[#This Row],[VENDA TOTAL]]-PARAMETROS!$C$19,"")</f>
        <v/>
      </c>
      <c r="AA865" s="219">
        <f>SUM(Plan_Orc[[#This Row],[01/jan]:[01/dez]])</f>
        <v>0</v>
      </c>
      <c r="AB865" s="15"/>
      <c r="AC865" s="15"/>
      <c r="AD865" s="15"/>
      <c r="AE865" s="15"/>
      <c r="AF865" s="15"/>
      <c r="AG865" s="15"/>
      <c r="AH865" s="15"/>
      <c r="AI865" s="15"/>
      <c r="AJ865" s="15"/>
      <c r="AK865" s="15"/>
      <c r="AL865" s="15"/>
      <c r="AM865" s="15"/>
    </row>
    <row r="866" spans="2:39" ht="25.2" customHeight="1" x14ac:dyDescent="0.3">
      <c r="B866" s="13" t="str">
        <f t="shared" si="17"/>
        <v/>
      </c>
      <c r="C866" s="18"/>
      <c r="D866" s="19" t="str">
        <f>IF(Tabela2[[#This Row],[AGRUPADOR]]&lt;&gt;"",VLOOKUP(Tabela2[[#This Row],[AGRUPADOR]],Tabela1[],2,0),"")</f>
        <v/>
      </c>
      <c r="E866" s="19" t="str">
        <f>IF(Tabela2[[#This Row],[AGRUPADOR]]&lt;&gt;"",VLOOKUP(Tabela2[[#This Row],[AGRUPADOR]],Tabela1[],4,0),"")</f>
        <v/>
      </c>
      <c r="F866" s="14"/>
      <c r="G866" s="6"/>
      <c r="H866" s="6"/>
      <c r="I866" s="25"/>
      <c r="J866" s="7"/>
      <c r="K866" s="15"/>
      <c r="L866" s="379">
        <f>IF(H866&lt;&gt;"",J866*K866,SUMIFS(L867:L$9844,$F867:$F$9844,"*"&amp;F866&amp;"*",$H867:$H$9844,"&lt;&gt;"))</f>
        <v>0</v>
      </c>
      <c r="M866" s="379" t="str">
        <f>IF(Tabela2[[#This Row],[UNID.]]&lt;&gt;"",IFERROR(VLOOKUP(Tabela2[[#This Row],[AGRUPADOR]],Lucratividade!$D$4:$O$129,6,0),0),"")</f>
        <v/>
      </c>
      <c r="N866" s="379">
        <f>IF(H866&lt;&gt;"",J866*M866*I866,SUMIFS(N867:N$9844,$F867:$F$9844,"*"&amp;F866&amp;"*",$H867:$H$9844,"&lt;&gt;"))</f>
        <v>0</v>
      </c>
      <c r="O866" s="162" t="str">
        <f>IFERROR((-Tabela2[[#This Row],[CUSTO TOTAL]]+Tabela2[[#This Row],[VENDA TOTAL]])/Tabela2[[#This Row],[VENDA TOTAL]]-PARAMETROS!$C$19,"")</f>
        <v/>
      </c>
      <c r="AA866" s="219">
        <f>SUM(Plan_Orc[[#This Row],[01/jan]:[01/dez]])</f>
        <v>0</v>
      </c>
      <c r="AB866" s="15"/>
      <c r="AC866" s="15"/>
      <c r="AD866" s="15"/>
      <c r="AE866" s="15"/>
      <c r="AF866" s="15"/>
      <c r="AG866" s="15"/>
      <c r="AH866" s="15"/>
      <c r="AI866" s="15"/>
      <c r="AJ866" s="15"/>
      <c r="AK866" s="15"/>
      <c r="AL866" s="15"/>
      <c r="AM866" s="15"/>
    </row>
    <row r="867" spans="2:39" ht="25.2" customHeight="1" x14ac:dyDescent="0.3">
      <c r="B867" s="13" t="str">
        <f t="shared" si="17"/>
        <v/>
      </c>
      <c r="C867" s="18"/>
      <c r="D867" s="19" t="str">
        <f>IF(Tabela2[[#This Row],[AGRUPADOR]]&lt;&gt;"",VLOOKUP(Tabela2[[#This Row],[AGRUPADOR]],Tabela1[],2,0),"")</f>
        <v/>
      </c>
      <c r="E867" s="19" t="str">
        <f>IF(Tabela2[[#This Row],[AGRUPADOR]]&lt;&gt;"",VLOOKUP(Tabela2[[#This Row],[AGRUPADOR]],Tabela1[],4,0),"")</f>
        <v/>
      </c>
      <c r="F867" s="14"/>
      <c r="G867" s="6"/>
      <c r="H867" s="6"/>
      <c r="I867" s="25"/>
      <c r="J867" s="7"/>
      <c r="K867" s="15"/>
      <c r="L867" s="379">
        <f>IF(H867&lt;&gt;"",J867*K867,SUMIFS(L868:L$9844,$F868:$F$9844,"*"&amp;F867&amp;"*",$H868:$H$9844,"&lt;&gt;"))</f>
        <v>0</v>
      </c>
      <c r="M867" s="379" t="str">
        <f>IF(Tabela2[[#This Row],[UNID.]]&lt;&gt;"",IFERROR(VLOOKUP(Tabela2[[#This Row],[AGRUPADOR]],Lucratividade!$D$4:$O$129,6,0),0),"")</f>
        <v/>
      </c>
      <c r="N867" s="379">
        <f>IF(H867&lt;&gt;"",J867*M867*I867,SUMIFS(N868:N$9844,$F868:$F$9844,"*"&amp;F867&amp;"*",$H868:$H$9844,"&lt;&gt;"))</f>
        <v>0</v>
      </c>
      <c r="O867" s="162" t="str">
        <f>IFERROR((-Tabela2[[#This Row],[CUSTO TOTAL]]+Tabela2[[#This Row],[VENDA TOTAL]])/Tabela2[[#This Row],[VENDA TOTAL]]-PARAMETROS!$C$19,"")</f>
        <v/>
      </c>
      <c r="AA867" s="219">
        <f>SUM(Plan_Orc[[#This Row],[01/jan]:[01/dez]])</f>
        <v>0</v>
      </c>
      <c r="AB867" s="15"/>
      <c r="AC867" s="15"/>
      <c r="AD867" s="15"/>
      <c r="AE867" s="15"/>
      <c r="AF867" s="15"/>
      <c r="AG867" s="15"/>
      <c r="AH867" s="15"/>
      <c r="AI867" s="15"/>
      <c r="AJ867" s="15"/>
      <c r="AK867" s="15"/>
      <c r="AL867" s="15"/>
      <c r="AM867" s="15"/>
    </row>
    <row r="868" spans="2:39" ht="25.2" customHeight="1" x14ac:dyDescent="0.3">
      <c r="B868" s="13" t="str">
        <f t="shared" si="17"/>
        <v/>
      </c>
      <c r="C868" s="18"/>
      <c r="D868" s="19" t="str">
        <f>IF(Tabela2[[#This Row],[AGRUPADOR]]&lt;&gt;"",VLOOKUP(Tabela2[[#This Row],[AGRUPADOR]],Tabela1[],2,0),"")</f>
        <v/>
      </c>
      <c r="E868" s="19" t="str">
        <f>IF(Tabela2[[#This Row],[AGRUPADOR]]&lt;&gt;"",VLOOKUP(Tabela2[[#This Row],[AGRUPADOR]],Tabela1[],4,0),"")</f>
        <v/>
      </c>
      <c r="F868" s="14"/>
      <c r="G868" s="6"/>
      <c r="H868" s="6"/>
      <c r="I868" s="25"/>
      <c r="J868" s="7"/>
      <c r="K868" s="15"/>
      <c r="L868" s="379">
        <f>IF(H868&lt;&gt;"",J868*K868,SUMIFS(L869:L$9844,$F869:$F$9844,"*"&amp;F868&amp;"*",$H869:$H$9844,"&lt;&gt;"))</f>
        <v>0</v>
      </c>
      <c r="M868" s="379" t="str">
        <f>IF(Tabela2[[#This Row],[UNID.]]&lt;&gt;"",IFERROR(VLOOKUP(Tabela2[[#This Row],[AGRUPADOR]],Lucratividade!$D$4:$O$129,6,0),0),"")</f>
        <v/>
      </c>
      <c r="N868" s="379">
        <f>IF(H868&lt;&gt;"",J868*M868*I868,SUMIFS(N869:N$9844,$F869:$F$9844,"*"&amp;F868&amp;"*",$H869:$H$9844,"&lt;&gt;"))</f>
        <v>0</v>
      </c>
      <c r="O868" s="162" t="str">
        <f>IFERROR((-Tabela2[[#This Row],[CUSTO TOTAL]]+Tabela2[[#This Row],[VENDA TOTAL]])/Tabela2[[#This Row],[VENDA TOTAL]]-PARAMETROS!$C$19,"")</f>
        <v/>
      </c>
      <c r="AA868" s="219">
        <f>SUM(Plan_Orc[[#This Row],[01/jan]:[01/dez]])</f>
        <v>0</v>
      </c>
      <c r="AB868" s="15"/>
      <c r="AC868" s="15"/>
      <c r="AD868" s="15"/>
      <c r="AE868" s="15"/>
      <c r="AF868" s="15"/>
      <c r="AG868" s="15"/>
      <c r="AH868" s="15"/>
      <c r="AI868" s="15"/>
      <c r="AJ868" s="15"/>
      <c r="AK868" s="15"/>
      <c r="AL868" s="15"/>
      <c r="AM868" s="15"/>
    </row>
    <row r="869" spans="2:39" ht="25.2" customHeight="1" x14ac:dyDescent="0.3">
      <c r="B869" s="13" t="str">
        <f t="shared" si="17"/>
        <v/>
      </c>
      <c r="C869" s="18"/>
      <c r="D869" s="19" t="str">
        <f>IF(Tabela2[[#This Row],[AGRUPADOR]]&lt;&gt;"",VLOOKUP(Tabela2[[#This Row],[AGRUPADOR]],Tabela1[],2,0),"")</f>
        <v/>
      </c>
      <c r="E869" s="19" t="str">
        <f>IF(Tabela2[[#This Row],[AGRUPADOR]]&lt;&gt;"",VLOOKUP(Tabela2[[#This Row],[AGRUPADOR]],Tabela1[],4,0),"")</f>
        <v/>
      </c>
      <c r="F869" s="14"/>
      <c r="G869" s="6"/>
      <c r="H869" s="6"/>
      <c r="I869" s="25"/>
      <c r="J869" s="7"/>
      <c r="K869" s="15"/>
      <c r="L869" s="379">
        <f>IF(H869&lt;&gt;"",J869*K869,SUMIFS(L870:L$9844,$F870:$F$9844,"*"&amp;F869&amp;"*",$H870:$H$9844,"&lt;&gt;"))</f>
        <v>0</v>
      </c>
      <c r="M869" s="379" t="str">
        <f>IF(Tabela2[[#This Row],[UNID.]]&lt;&gt;"",IFERROR(VLOOKUP(Tabela2[[#This Row],[AGRUPADOR]],Lucratividade!$D$4:$O$129,6,0),0),"")</f>
        <v/>
      </c>
      <c r="N869" s="379">
        <f>IF(H869&lt;&gt;"",J869*M869*I869,SUMIFS(N870:N$9844,$F870:$F$9844,"*"&amp;F869&amp;"*",$H870:$H$9844,"&lt;&gt;"))</f>
        <v>0</v>
      </c>
      <c r="O869" s="162" t="str">
        <f>IFERROR((-Tabela2[[#This Row],[CUSTO TOTAL]]+Tabela2[[#This Row],[VENDA TOTAL]])/Tabela2[[#This Row],[VENDA TOTAL]]-PARAMETROS!$C$19,"")</f>
        <v/>
      </c>
      <c r="AA869" s="219">
        <f>SUM(Plan_Orc[[#This Row],[01/jan]:[01/dez]])</f>
        <v>0</v>
      </c>
      <c r="AB869" s="15"/>
      <c r="AC869" s="15"/>
      <c r="AD869" s="15"/>
      <c r="AE869" s="15"/>
      <c r="AF869" s="15"/>
      <c r="AG869" s="15"/>
      <c r="AH869" s="15"/>
      <c r="AI869" s="15"/>
      <c r="AJ869" s="15"/>
      <c r="AK869" s="15"/>
      <c r="AL869" s="15"/>
      <c r="AM869" s="15"/>
    </row>
    <row r="870" spans="2:39" ht="25.2" customHeight="1" x14ac:dyDescent="0.3">
      <c r="B870" s="13" t="str">
        <f t="shared" si="17"/>
        <v/>
      </c>
      <c r="C870" s="18"/>
      <c r="D870" s="19" t="str">
        <f>IF(Tabela2[[#This Row],[AGRUPADOR]]&lt;&gt;"",VLOOKUP(Tabela2[[#This Row],[AGRUPADOR]],Tabela1[],2,0),"")</f>
        <v/>
      </c>
      <c r="E870" s="19" t="str">
        <f>IF(Tabela2[[#This Row],[AGRUPADOR]]&lt;&gt;"",VLOOKUP(Tabela2[[#This Row],[AGRUPADOR]],Tabela1[],4,0),"")</f>
        <v/>
      </c>
      <c r="F870" s="14"/>
      <c r="G870" s="6"/>
      <c r="H870" s="6"/>
      <c r="I870" s="25"/>
      <c r="J870" s="7"/>
      <c r="K870" s="15"/>
      <c r="L870" s="379">
        <f>IF(H870&lt;&gt;"",J870*K870,SUMIFS(L871:L$9844,$F871:$F$9844,"*"&amp;F870&amp;"*",$H871:$H$9844,"&lt;&gt;"))</f>
        <v>0</v>
      </c>
      <c r="M870" s="379" t="str">
        <f>IF(Tabela2[[#This Row],[UNID.]]&lt;&gt;"",IFERROR(VLOOKUP(Tabela2[[#This Row],[AGRUPADOR]],Lucratividade!$D$4:$O$129,6,0),0),"")</f>
        <v/>
      </c>
      <c r="N870" s="379">
        <f>IF(H870&lt;&gt;"",J870*M870*I870,SUMIFS(N871:N$9844,$F871:$F$9844,"*"&amp;F870&amp;"*",$H871:$H$9844,"&lt;&gt;"))</f>
        <v>0</v>
      </c>
      <c r="O870" s="162" t="str">
        <f>IFERROR((-Tabela2[[#This Row],[CUSTO TOTAL]]+Tabela2[[#This Row],[VENDA TOTAL]])/Tabela2[[#This Row],[VENDA TOTAL]]-PARAMETROS!$C$19,"")</f>
        <v/>
      </c>
      <c r="AA870" s="218">
        <f>SUM(Plan_Orc[[#This Row],[01/jan]:[01/dez]])</f>
        <v>0</v>
      </c>
      <c r="AB870" s="12"/>
      <c r="AC870" s="12"/>
      <c r="AD870" s="12"/>
      <c r="AE870" s="12"/>
      <c r="AF870" s="12"/>
      <c r="AG870" s="12"/>
      <c r="AH870" s="12"/>
      <c r="AI870" s="12"/>
      <c r="AJ870" s="12"/>
      <c r="AK870" s="12"/>
      <c r="AL870" s="12"/>
      <c r="AM870" s="12"/>
    </row>
    <row r="871" spans="2:39" ht="25.2" customHeight="1" x14ac:dyDescent="0.3">
      <c r="B871" s="13" t="str">
        <f t="shared" si="17"/>
        <v/>
      </c>
      <c r="C871" s="18"/>
      <c r="D871" s="19" t="str">
        <f>IF(Tabela2[[#This Row],[AGRUPADOR]]&lt;&gt;"",VLOOKUP(Tabela2[[#This Row],[AGRUPADOR]],Tabela1[],2,0),"")</f>
        <v/>
      </c>
      <c r="E871" s="19" t="str">
        <f>IF(Tabela2[[#This Row],[AGRUPADOR]]&lt;&gt;"",VLOOKUP(Tabela2[[#This Row],[AGRUPADOR]],Tabela1[],4,0),"")</f>
        <v/>
      </c>
      <c r="F871" s="14"/>
      <c r="G871" s="6"/>
      <c r="H871" s="6"/>
      <c r="I871" s="25"/>
      <c r="J871" s="7"/>
      <c r="K871" s="15"/>
      <c r="L871" s="379">
        <f>IF(H871&lt;&gt;"",J871*K871,SUMIFS(L872:L$9844,$F872:$F$9844,"*"&amp;F871&amp;"*",$H872:$H$9844,"&lt;&gt;"))</f>
        <v>0</v>
      </c>
      <c r="M871" s="379" t="str">
        <f>IF(Tabela2[[#This Row],[UNID.]]&lt;&gt;"",IFERROR(VLOOKUP(Tabela2[[#This Row],[AGRUPADOR]],Lucratividade!$D$4:$O$129,6,0),0),"")</f>
        <v/>
      </c>
      <c r="N871" s="379">
        <f>IF(H871&lt;&gt;"",J871*M871*I871,SUMIFS(N872:N$9844,$F872:$F$9844,"*"&amp;F871&amp;"*",$H872:$H$9844,"&lt;&gt;"))</f>
        <v>0</v>
      </c>
      <c r="O871" s="162" t="str">
        <f>IFERROR((-Tabela2[[#This Row],[CUSTO TOTAL]]+Tabela2[[#This Row],[VENDA TOTAL]])/Tabela2[[#This Row],[VENDA TOTAL]]-PARAMETROS!$C$19,"")</f>
        <v/>
      </c>
      <c r="AA871" s="219">
        <f>SUM(Plan_Orc[[#This Row],[01/jan]:[01/dez]])</f>
        <v>0</v>
      </c>
      <c r="AB871" s="15"/>
      <c r="AC871" s="15"/>
      <c r="AD871" s="15"/>
      <c r="AE871" s="15"/>
      <c r="AF871" s="15"/>
      <c r="AG871" s="15"/>
      <c r="AH871" s="15"/>
      <c r="AI871" s="15"/>
      <c r="AJ871" s="15"/>
      <c r="AK871" s="15"/>
      <c r="AL871" s="15"/>
      <c r="AM871" s="15"/>
    </row>
    <row r="872" spans="2:39" ht="25.2" customHeight="1" x14ac:dyDescent="0.3">
      <c r="B872" s="13" t="str">
        <f t="shared" si="17"/>
        <v/>
      </c>
      <c r="C872" s="18"/>
      <c r="D872" s="19" t="str">
        <f>IF(Tabela2[[#This Row],[AGRUPADOR]]&lt;&gt;"",VLOOKUP(Tabela2[[#This Row],[AGRUPADOR]],Tabela1[],2,0),"")</f>
        <v/>
      </c>
      <c r="E872" s="19" t="str">
        <f>IF(Tabela2[[#This Row],[AGRUPADOR]]&lt;&gt;"",VLOOKUP(Tabela2[[#This Row],[AGRUPADOR]],Tabela1[],4,0),"")</f>
        <v/>
      </c>
      <c r="F872" s="14"/>
      <c r="G872" s="6"/>
      <c r="H872" s="6"/>
      <c r="I872" s="25"/>
      <c r="J872" s="7"/>
      <c r="K872" s="15"/>
      <c r="L872" s="379">
        <f>IF(H872&lt;&gt;"",J872*K872,SUMIFS(L873:L$9844,$F873:$F$9844,"*"&amp;F872&amp;"*",$H873:$H$9844,"&lt;&gt;"))</f>
        <v>0</v>
      </c>
      <c r="M872" s="379" t="str">
        <f>IF(Tabela2[[#This Row],[UNID.]]&lt;&gt;"",IFERROR(VLOOKUP(Tabela2[[#This Row],[AGRUPADOR]],Lucratividade!$D$4:$O$129,6,0),0),"")</f>
        <v/>
      </c>
      <c r="N872" s="379">
        <f>IF(H872&lt;&gt;"",J872*M872*I872,SUMIFS(N873:N$9844,$F873:$F$9844,"*"&amp;F872&amp;"*",$H873:$H$9844,"&lt;&gt;"))</f>
        <v>0</v>
      </c>
      <c r="O872" s="162" t="str">
        <f>IFERROR((-Tabela2[[#This Row],[CUSTO TOTAL]]+Tabela2[[#This Row],[VENDA TOTAL]])/Tabela2[[#This Row],[VENDA TOTAL]]-PARAMETROS!$C$19,"")</f>
        <v/>
      </c>
      <c r="AA872" s="220">
        <f>SUM(Plan_Orc[[#This Row],[01/jan]:[01/dez]])</f>
        <v>0</v>
      </c>
      <c r="AB872" s="9"/>
      <c r="AC872" s="9"/>
      <c r="AD872" s="9"/>
      <c r="AE872" s="9"/>
      <c r="AF872" s="9"/>
      <c r="AG872" s="9"/>
      <c r="AH872" s="9"/>
      <c r="AI872" s="9"/>
      <c r="AJ872" s="9"/>
      <c r="AK872" s="9"/>
      <c r="AL872" s="9"/>
      <c r="AM872" s="9"/>
    </row>
    <row r="873" spans="2:39" ht="25.2" customHeight="1" x14ac:dyDescent="0.3">
      <c r="B873" s="13" t="str">
        <f t="shared" si="17"/>
        <v/>
      </c>
      <c r="C873" s="18"/>
      <c r="D873" s="19" t="str">
        <f>IF(Tabela2[[#This Row],[AGRUPADOR]]&lt;&gt;"",VLOOKUP(Tabela2[[#This Row],[AGRUPADOR]],Tabela1[],2,0),"")</f>
        <v/>
      </c>
      <c r="E873" s="19" t="str">
        <f>IF(Tabela2[[#This Row],[AGRUPADOR]]&lt;&gt;"",VLOOKUP(Tabela2[[#This Row],[AGRUPADOR]],Tabela1[],4,0),"")</f>
        <v/>
      </c>
      <c r="F873" s="14"/>
      <c r="G873" s="6"/>
      <c r="H873" s="6"/>
      <c r="I873" s="25"/>
      <c r="J873" s="7"/>
      <c r="K873" s="15"/>
      <c r="L873" s="379">
        <f>IF(H873&lt;&gt;"",J873*K873,SUMIFS(L874:L$9844,$F874:$F$9844,"*"&amp;F873&amp;"*",$H874:$H$9844,"&lt;&gt;"))</f>
        <v>0</v>
      </c>
      <c r="M873" s="379" t="str">
        <f>IF(Tabela2[[#This Row],[UNID.]]&lt;&gt;"",IFERROR(VLOOKUP(Tabela2[[#This Row],[AGRUPADOR]],Lucratividade!$D$4:$O$129,6,0),0),"")</f>
        <v/>
      </c>
      <c r="N873" s="379">
        <f>IF(H873&lt;&gt;"",J873*M873*I873,SUMIFS(N874:N$9844,$F874:$F$9844,"*"&amp;F873&amp;"*",$H874:$H$9844,"&lt;&gt;"))</f>
        <v>0</v>
      </c>
      <c r="O873" s="162" t="str">
        <f>IFERROR((-Tabela2[[#This Row],[CUSTO TOTAL]]+Tabela2[[#This Row],[VENDA TOTAL]])/Tabela2[[#This Row],[VENDA TOTAL]]-PARAMETROS!$C$19,"")</f>
        <v/>
      </c>
      <c r="AA873" s="219">
        <f>SUM(Plan_Orc[[#This Row],[01/jan]:[01/dez]])</f>
        <v>0</v>
      </c>
      <c r="AB873" s="15"/>
      <c r="AC873" s="15"/>
      <c r="AD873" s="15"/>
      <c r="AE873" s="15"/>
      <c r="AF873" s="15"/>
      <c r="AG873" s="15"/>
      <c r="AH873" s="15"/>
      <c r="AI873" s="15"/>
      <c r="AJ873" s="15"/>
      <c r="AK873" s="15"/>
      <c r="AL873" s="15"/>
      <c r="AM873" s="15"/>
    </row>
    <row r="874" spans="2:39" ht="25.2" customHeight="1" x14ac:dyDescent="0.3">
      <c r="B874" s="13" t="str">
        <f t="shared" si="17"/>
        <v/>
      </c>
      <c r="C874" s="18"/>
      <c r="D874" s="19" t="str">
        <f>IF(Tabela2[[#This Row],[AGRUPADOR]]&lt;&gt;"",VLOOKUP(Tabela2[[#This Row],[AGRUPADOR]],Tabela1[],2,0),"")</f>
        <v/>
      </c>
      <c r="E874" s="19" t="str">
        <f>IF(Tabela2[[#This Row],[AGRUPADOR]]&lt;&gt;"",VLOOKUP(Tabela2[[#This Row],[AGRUPADOR]],Tabela1[],4,0),"")</f>
        <v/>
      </c>
      <c r="F874" s="14"/>
      <c r="G874" s="6"/>
      <c r="H874" s="6"/>
      <c r="I874" s="25"/>
      <c r="J874" s="7"/>
      <c r="K874" s="15"/>
      <c r="L874" s="379">
        <f>IF(H874&lt;&gt;"",J874*K874,SUMIFS(L875:L$9844,$F875:$F$9844,"*"&amp;F874&amp;"*",$H875:$H$9844,"&lt;&gt;"))</f>
        <v>0</v>
      </c>
      <c r="M874" s="379" t="str">
        <f>IF(Tabela2[[#This Row],[UNID.]]&lt;&gt;"",IFERROR(VLOOKUP(Tabela2[[#This Row],[AGRUPADOR]],Lucratividade!$D$4:$O$129,6,0),0),"")</f>
        <v/>
      </c>
      <c r="N874" s="379">
        <f>IF(H874&lt;&gt;"",J874*M874*I874,SUMIFS(N875:N$9844,$F875:$F$9844,"*"&amp;F874&amp;"*",$H875:$H$9844,"&lt;&gt;"))</f>
        <v>0</v>
      </c>
      <c r="O874" s="162" t="str">
        <f>IFERROR((-Tabela2[[#This Row],[CUSTO TOTAL]]+Tabela2[[#This Row],[VENDA TOTAL]])/Tabela2[[#This Row],[VENDA TOTAL]]-PARAMETROS!$C$19,"")</f>
        <v/>
      </c>
      <c r="AA874" s="219">
        <f>SUM(Plan_Orc[[#This Row],[01/jan]:[01/dez]])</f>
        <v>0</v>
      </c>
      <c r="AB874" s="15"/>
      <c r="AC874" s="15"/>
      <c r="AD874" s="15"/>
      <c r="AE874" s="15"/>
      <c r="AF874" s="15"/>
      <c r="AG874" s="15"/>
      <c r="AH874" s="15"/>
      <c r="AI874" s="15"/>
      <c r="AJ874" s="15"/>
      <c r="AK874" s="15"/>
      <c r="AL874" s="15"/>
      <c r="AM874" s="15"/>
    </row>
    <row r="875" spans="2:39" ht="25.2" customHeight="1" x14ac:dyDescent="0.3">
      <c r="B875" s="13" t="str">
        <f t="shared" si="17"/>
        <v/>
      </c>
      <c r="C875" s="18"/>
      <c r="D875" s="19" t="str">
        <f>IF(Tabela2[[#This Row],[AGRUPADOR]]&lt;&gt;"",VLOOKUP(Tabela2[[#This Row],[AGRUPADOR]],Tabela1[],2,0),"")</f>
        <v/>
      </c>
      <c r="E875" s="19" t="str">
        <f>IF(Tabela2[[#This Row],[AGRUPADOR]]&lt;&gt;"",VLOOKUP(Tabela2[[#This Row],[AGRUPADOR]],Tabela1[],4,0),"")</f>
        <v/>
      </c>
      <c r="F875" s="14"/>
      <c r="G875" s="6"/>
      <c r="H875" s="6"/>
      <c r="I875" s="25"/>
      <c r="J875" s="7"/>
      <c r="K875" s="15"/>
      <c r="L875" s="379">
        <f>IF(H875&lt;&gt;"",J875*K875,SUMIFS(L876:L$9844,$F876:$F$9844,"*"&amp;F875&amp;"*",$H876:$H$9844,"&lt;&gt;"))</f>
        <v>0</v>
      </c>
      <c r="M875" s="379" t="str">
        <f>IF(Tabela2[[#This Row],[UNID.]]&lt;&gt;"",IFERROR(VLOOKUP(Tabela2[[#This Row],[AGRUPADOR]],Lucratividade!$D$4:$O$129,6,0),0),"")</f>
        <v/>
      </c>
      <c r="N875" s="379">
        <f>IF(H875&lt;&gt;"",J875*M875*I875,SUMIFS(N876:N$9844,$F876:$F$9844,"*"&amp;F875&amp;"*",$H876:$H$9844,"&lt;&gt;"))</f>
        <v>0</v>
      </c>
      <c r="O875" s="162" t="str">
        <f>IFERROR((-Tabela2[[#This Row],[CUSTO TOTAL]]+Tabela2[[#This Row],[VENDA TOTAL]])/Tabela2[[#This Row],[VENDA TOTAL]]-PARAMETROS!$C$19,"")</f>
        <v/>
      </c>
      <c r="AA875" s="219">
        <f>SUM(Plan_Orc[[#This Row],[01/jan]:[01/dez]])</f>
        <v>0</v>
      </c>
      <c r="AB875" s="15"/>
      <c r="AC875" s="15"/>
      <c r="AD875" s="15"/>
      <c r="AE875" s="15"/>
      <c r="AF875" s="15"/>
      <c r="AG875" s="15"/>
      <c r="AH875" s="15"/>
      <c r="AI875" s="15"/>
      <c r="AJ875" s="15"/>
      <c r="AK875" s="15"/>
      <c r="AL875" s="15"/>
      <c r="AM875" s="15"/>
    </row>
    <row r="876" spans="2:39" ht="25.2" customHeight="1" x14ac:dyDescent="0.3">
      <c r="B876" s="13" t="str">
        <f t="shared" si="17"/>
        <v/>
      </c>
      <c r="C876" s="18"/>
      <c r="D876" s="19" t="str">
        <f>IF(Tabela2[[#This Row],[AGRUPADOR]]&lt;&gt;"",VLOOKUP(Tabela2[[#This Row],[AGRUPADOR]],Tabela1[],2,0),"")</f>
        <v/>
      </c>
      <c r="E876" s="19" t="str">
        <f>IF(Tabela2[[#This Row],[AGRUPADOR]]&lt;&gt;"",VLOOKUP(Tabela2[[#This Row],[AGRUPADOR]],Tabela1[],4,0),"")</f>
        <v/>
      </c>
      <c r="F876" s="14"/>
      <c r="G876" s="6"/>
      <c r="H876" s="6"/>
      <c r="I876" s="25"/>
      <c r="J876" s="7"/>
      <c r="K876" s="15"/>
      <c r="L876" s="379">
        <f>IF(H876&lt;&gt;"",J876*K876,SUMIFS(L877:L$9844,$F877:$F$9844,"*"&amp;F876&amp;"*",$H877:$H$9844,"&lt;&gt;"))</f>
        <v>0</v>
      </c>
      <c r="M876" s="379" t="str">
        <f>IF(Tabela2[[#This Row],[UNID.]]&lt;&gt;"",IFERROR(VLOOKUP(Tabela2[[#This Row],[AGRUPADOR]],Lucratividade!$D$4:$O$129,6,0),0),"")</f>
        <v/>
      </c>
      <c r="N876" s="379">
        <f>IF(H876&lt;&gt;"",J876*M876*I876,SUMIFS(N877:N$9844,$F877:$F$9844,"*"&amp;F876&amp;"*",$H877:$H$9844,"&lt;&gt;"))</f>
        <v>0</v>
      </c>
      <c r="O876" s="162" t="str">
        <f>IFERROR((-Tabela2[[#This Row],[CUSTO TOTAL]]+Tabela2[[#This Row],[VENDA TOTAL]])/Tabela2[[#This Row],[VENDA TOTAL]]-PARAMETROS!$C$19,"")</f>
        <v/>
      </c>
      <c r="AA876" s="219">
        <f>SUM(Plan_Orc[[#This Row],[01/jan]:[01/dez]])</f>
        <v>0</v>
      </c>
      <c r="AB876" s="15"/>
      <c r="AC876" s="15"/>
      <c r="AD876" s="15"/>
      <c r="AE876" s="15"/>
      <c r="AF876" s="15"/>
      <c r="AG876" s="15"/>
      <c r="AH876" s="15"/>
      <c r="AI876" s="15"/>
      <c r="AJ876" s="15"/>
      <c r="AK876" s="15"/>
      <c r="AL876" s="15"/>
      <c r="AM876" s="15"/>
    </row>
    <row r="877" spans="2:39" ht="25.2" customHeight="1" x14ac:dyDescent="0.3">
      <c r="B877" s="13" t="str">
        <f t="shared" si="17"/>
        <v/>
      </c>
      <c r="C877" s="18"/>
      <c r="D877" s="19" t="str">
        <f>IF(Tabela2[[#This Row],[AGRUPADOR]]&lt;&gt;"",VLOOKUP(Tabela2[[#This Row],[AGRUPADOR]],Tabela1[],2,0),"")</f>
        <v/>
      </c>
      <c r="E877" s="19" t="str">
        <f>IF(Tabela2[[#This Row],[AGRUPADOR]]&lt;&gt;"",VLOOKUP(Tabela2[[#This Row],[AGRUPADOR]],Tabela1[],4,0),"")</f>
        <v/>
      </c>
      <c r="F877" s="14"/>
      <c r="G877" s="6"/>
      <c r="H877" s="6"/>
      <c r="I877" s="25"/>
      <c r="J877" s="7"/>
      <c r="K877" s="15"/>
      <c r="L877" s="379">
        <f>IF(H877&lt;&gt;"",J877*K877,SUMIFS(L878:L$9844,$F878:$F$9844,"*"&amp;F877&amp;"*",$H878:$H$9844,"&lt;&gt;"))</f>
        <v>0</v>
      </c>
      <c r="M877" s="379" t="str">
        <f>IF(Tabela2[[#This Row],[UNID.]]&lt;&gt;"",IFERROR(VLOOKUP(Tabela2[[#This Row],[AGRUPADOR]],Lucratividade!$D$4:$O$129,6,0),0),"")</f>
        <v/>
      </c>
      <c r="N877" s="379">
        <f>IF(H877&lt;&gt;"",J877*M877*I877,SUMIFS(N878:N$9844,$F878:$F$9844,"*"&amp;F877&amp;"*",$H878:$H$9844,"&lt;&gt;"))</f>
        <v>0</v>
      </c>
      <c r="O877" s="162" t="str">
        <f>IFERROR((-Tabela2[[#This Row],[CUSTO TOTAL]]+Tabela2[[#This Row],[VENDA TOTAL]])/Tabela2[[#This Row],[VENDA TOTAL]]-PARAMETROS!$C$19,"")</f>
        <v/>
      </c>
      <c r="AA877" s="220">
        <f>SUM(Plan_Orc[[#This Row],[01/jan]:[01/dez]])</f>
        <v>0</v>
      </c>
      <c r="AB877" s="9"/>
      <c r="AC877" s="9"/>
      <c r="AD877" s="9"/>
      <c r="AE877" s="9"/>
      <c r="AF877" s="9"/>
      <c r="AG877" s="9"/>
      <c r="AH877" s="9"/>
      <c r="AI877" s="9"/>
      <c r="AJ877" s="9"/>
      <c r="AK877" s="9"/>
      <c r="AL877" s="9"/>
      <c r="AM877" s="9"/>
    </row>
    <row r="878" spans="2:39" ht="25.2" customHeight="1" x14ac:dyDescent="0.3">
      <c r="B878" s="13" t="str">
        <f t="shared" si="17"/>
        <v/>
      </c>
      <c r="C878" s="18"/>
      <c r="D878" s="19" t="str">
        <f>IF(Tabela2[[#This Row],[AGRUPADOR]]&lt;&gt;"",VLOOKUP(Tabela2[[#This Row],[AGRUPADOR]],Tabela1[],2,0),"")</f>
        <v/>
      </c>
      <c r="E878" s="19" t="str">
        <f>IF(Tabela2[[#This Row],[AGRUPADOR]]&lt;&gt;"",VLOOKUP(Tabela2[[#This Row],[AGRUPADOR]],Tabela1[],4,0),"")</f>
        <v/>
      </c>
      <c r="F878" s="14"/>
      <c r="G878" s="6"/>
      <c r="H878" s="6"/>
      <c r="I878" s="25"/>
      <c r="J878" s="7"/>
      <c r="K878" s="15"/>
      <c r="L878" s="379">
        <f>IF(H878&lt;&gt;"",J878*K878,SUMIFS(L879:L$9844,$F879:$F$9844,"*"&amp;F878&amp;"*",$H879:$H$9844,"&lt;&gt;"))</f>
        <v>0</v>
      </c>
      <c r="M878" s="379" t="str">
        <f>IF(Tabela2[[#This Row],[UNID.]]&lt;&gt;"",IFERROR(VLOOKUP(Tabela2[[#This Row],[AGRUPADOR]],Lucratividade!$D$4:$O$129,6,0),0),"")</f>
        <v/>
      </c>
      <c r="N878" s="379">
        <f>IF(H878&lt;&gt;"",J878*M878*I878,SUMIFS(N879:N$9844,$F879:$F$9844,"*"&amp;F878&amp;"*",$H879:$H$9844,"&lt;&gt;"))</f>
        <v>0</v>
      </c>
      <c r="O878" s="162" t="str">
        <f>IFERROR((-Tabela2[[#This Row],[CUSTO TOTAL]]+Tabela2[[#This Row],[VENDA TOTAL]])/Tabela2[[#This Row],[VENDA TOTAL]]-PARAMETROS!$C$19,"")</f>
        <v/>
      </c>
      <c r="AA878" s="218">
        <f>SUM(Plan_Orc[[#This Row],[01/jan]:[01/dez]])</f>
        <v>0</v>
      </c>
      <c r="AB878" s="12"/>
      <c r="AC878" s="12"/>
      <c r="AD878" s="12"/>
      <c r="AE878" s="12"/>
      <c r="AF878" s="12"/>
      <c r="AG878" s="12"/>
      <c r="AH878" s="12"/>
      <c r="AI878" s="12"/>
      <c r="AJ878" s="12"/>
      <c r="AK878" s="12"/>
      <c r="AL878" s="12"/>
      <c r="AM878" s="12"/>
    </row>
    <row r="879" spans="2:39" ht="25.2" customHeight="1" x14ac:dyDescent="0.3">
      <c r="B879" s="13" t="str">
        <f t="shared" si="17"/>
        <v/>
      </c>
      <c r="C879" s="18"/>
      <c r="D879" s="19" t="str">
        <f>IF(Tabela2[[#This Row],[AGRUPADOR]]&lt;&gt;"",VLOOKUP(Tabela2[[#This Row],[AGRUPADOR]],Tabela1[],2,0),"")</f>
        <v/>
      </c>
      <c r="E879" s="19" t="str">
        <f>IF(Tabela2[[#This Row],[AGRUPADOR]]&lt;&gt;"",VLOOKUP(Tabela2[[#This Row],[AGRUPADOR]],Tabela1[],4,0),"")</f>
        <v/>
      </c>
      <c r="F879" s="14"/>
      <c r="G879" s="6"/>
      <c r="H879" s="6"/>
      <c r="I879" s="25"/>
      <c r="J879" s="7"/>
      <c r="K879" s="15"/>
      <c r="L879" s="379">
        <f>IF(H879&lt;&gt;"",J879*K879,SUMIFS(L880:L$9844,$F880:$F$9844,"*"&amp;F879&amp;"*",$H880:$H$9844,"&lt;&gt;"))</f>
        <v>0</v>
      </c>
      <c r="M879" s="379" t="str">
        <f>IF(Tabela2[[#This Row],[UNID.]]&lt;&gt;"",IFERROR(VLOOKUP(Tabela2[[#This Row],[AGRUPADOR]],Lucratividade!$D$4:$O$129,6,0),0),"")</f>
        <v/>
      </c>
      <c r="N879" s="379">
        <f>IF(H879&lt;&gt;"",J879*M879*I879,SUMIFS(N880:N$9844,$F880:$F$9844,"*"&amp;F879&amp;"*",$H880:$H$9844,"&lt;&gt;"))</f>
        <v>0</v>
      </c>
      <c r="O879" s="162" t="str">
        <f>IFERROR((-Tabela2[[#This Row],[CUSTO TOTAL]]+Tabela2[[#This Row],[VENDA TOTAL]])/Tabela2[[#This Row],[VENDA TOTAL]]-PARAMETROS!$C$19,"")</f>
        <v/>
      </c>
      <c r="AA879" s="219">
        <f>SUM(Plan_Orc[[#This Row],[01/jan]:[01/dez]])</f>
        <v>0</v>
      </c>
      <c r="AB879" s="15"/>
      <c r="AC879" s="15"/>
      <c r="AD879" s="15"/>
      <c r="AE879" s="15"/>
      <c r="AF879" s="15"/>
      <c r="AG879" s="15"/>
      <c r="AH879" s="15"/>
      <c r="AI879" s="15"/>
      <c r="AJ879" s="15"/>
      <c r="AK879" s="15"/>
      <c r="AL879" s="15"/>
      <c r="AM879" s="15"/>
    </row>
    <row r="880" spans="2:39" ht="25.2" customHeight="1" x14ac:dyDescent="0.3">
      <c r="B880" s="13" t="str">
        <f t="shared" si="17"/>
        <v/>
      </c>
      <c r="C880" s="18"/>
      <c r="D880" s="19" t="str">
        <f>IF(Tabela2[[#This Row],[AGRUPADOR]]&lt;&gt;"",VLOOKUP(Tabela2[[#This Row],[AGRUPADOR]],Tabela1[],2,0),"")</f>
        <v/>
      </c>
      <c r="E880" s="19" t="str">
        <f>IF(Tabela2[[#This Row],[AGRUPADOR]]&lt;&gt;"",VLOOKUP(Tabela2[[#This Row],[AGRUPADOR]],Tabela1[],4,0),"")</f>
        <v/>
      </c>
      <c r="F880" s="14"/>
      <c r="G880" s="6"/>
      <c r="H880" s="6"/>
      <c r="I880" s="25"/>
      <c r="J880" s="7"/>
      <c r="K880" s="15"/>
      <c r="L880" s="379">
        <f>IF(H880&lt;&gt;"",J880*K880,SUMIFS(L881:L$9844,$F881:$F$9844,"*"&amp;F880&amp;"*",$H881:$H$9844,"&lt;&gt;"))</f>
        <v>0</v>
      </c>
      <c r="M880" s="379" t="str">
        <f>IF(Tabela2[[#This Row],[UNID.]]&lt;&gt;"",IFERROR(VLOOKUP(Tabela2[[#This Row],[AGRUPADOR]],Lucratividade!$D$4:$O$129,6,0),0),"")</f>
        <v/>
      </c>
      <c r="N880" s="379">
        <f>IF(H880&lt;&gt;"",J880*M880*I880,SUMIFS(N881:N$9844,$F881:$F$9844,"*"&amp;F880&amp;"*",$H881:$H$9844,"&lt;&gt;"))</f>
        <v>0</v>
      </c>
      <c r="O880" s="162" t="str">
        <f>IFERROR((-Tabela2[[#This Row],[CUSTO TOTAL]]+Tabela2[[#This Row],[VENDA TOTAL]])/Tabela2[[#This Row],[VENDA TOTAL]]-PARAMETROS!$C$19,"")</f>
        <v/>
      </c>
      <c r="AA880" s="222">
        <f>SUM(Plan_Orc[[#This Row],[01/jan]:[01/dez]])</f>
        <v>0</v>
      </c>
      <c r="AB880" s="161"/>
      <c r="AC880" s="161"/>
      <c r="AD880" s="161"/>
      <c r="AE880" s="161"/>
      <c r="AF880" s="161"/>
      <c r="AG880" s="161"/>
      <c r="AH880" s="161"/>
      <c r="AI880" s="161"/>
      <c r="AJ880" s="161"/>
      <c r="AK880" s="161"/>
      <c r="AL880" s="161"/>
      <c r="AM880" s="161"/>
    </row>
    <row r="881" spans="2:39" ht="25.2" customHeight="1" x14ac:dyDescent="0.3">
      <c r="B881" s="13" t="str">
        <f t="shared" si="17"/>
        <v/>
      </c>
      <c r="C881" s="18"/>
      <c r="D881" s="19" t="str">
        <f>IF(Tabela2[[#This Row],[AGRUPADOR]]&lt;&gt;"",VLOOKUP(Tabela2[[#This Row],[AGRUPADOR]],Tabela1[],2,0),"")</f>
        <v/>
      </c>
      <c r="E881" s="19" t="str">
        <f>IF(Tabela2[[#This Row],[AGRUPADOR]]&lt;&gt;"",VLOOKUP(Tabela2[[#This Row],[AGRUPADOR]],Tabela1[],4,0),"")</f>
        <v/>
      </c>
      <c r="F881" s="14"/>
      <c r="G881" s="6"/>
      <c r="H881" s="6"/>
      <c r="I881" s="25"/>
      <c r="J881" s="7"/>
      <c r="K881" s="15"/>
      <c r="L881" s="379">
        <f>IF(H881&lt;&gt;"",J881*K881,SUMIFS(L882:L$9844,$F882:$F$9844,"*"&amp;F881&amp;"*",$H882:$H$9844,"&lt;&gt;"))</f>
        <v>0</v>
      </c>
      <c r="M881" s="379" t="str">
        <f>IF(Tabela2[[#This Row],[UNID.]]&lt;&gt;"",IFERROR(VLOOKUP(Tabela2[[#This Row],[AGRUPADOR]],Lucratividade!$D$4:$O$129,6,0),0),"")</f>
        <v/>
      </c>
      <c r="N881" s="379">
        <f>IF(H881&lt;&gt;"",J881*M881*I881,SUMIFS(N882:N$9844,$F882:$F$9844,"*"&amp;F881&amp;"*",$H882:$H$9844,"&lt;&gt;"))</f>
        <v>0</v>
      </c>
      <c r="O881" s="162" t="str">
        <f>IFERROR((-Tabela2[[#This Row],[CUSTO TOTAL]]+Tabela2[[#This Row],[VENDA TOTAL]])/Tabela2[[#This Row],[VENDA TOTAL]]-PARAMETROS!$C$19,"")</f>
        <v/>
      </c>
      <c r="AA881" s="217">
        <f>SUM(Plan_Orc[[#This Row],[01/jan]:[01/dez]])</f>
        <v>0</v>
      </c>
      <c r="AB881" s="202"/>
      <c r="AC881" s="202"/>
      <c r="AD881" s="202"/>
      <c r="AE881" s="202"/>
      <c r="AF881" s="202"/>
      <c r="AG881" s="202"/>
      <c r="AH881" s="202"/>
      <c r="AI881" s="202"/>
      <c r="AJ881" s="202"/>
      <c r="AK881" s="202"/>
      <c r="AL881" s="202"/>
      <c r="AM881" s="202"/>
    </row>
    <row r="882" spans="2:39" ht="25.2" customHeight="1" x14ac:dyDescent="0.3">
      <c r="B882" s="13" t="str">
        <f t="shared" si="17"/>
        <v/>
      </c>
      <c r="C882" s="18"/>
      <c r="D882" s="19" t="str">
        <f>IF(Tabela2[[#This Row],[AGRUPADOR]]&lt;&gt;"",VLOOKUP(Tabela2[[#This Row],[AGRUPADOR]],Tabela1[],2,0),"")</f>
        <v/>
      </c>
      <c r="E882" s="19" t="str">
        <f>IF(Tabela2[[#This Row],[AGRUPADOR]]&lt;&gt;"",VLOOKUP(Tabela2[[#This Row],[AGRUPADOR]],Tabela1[],4,0),"")</f>
        <v/>
      </c>
      <c r="F882" s="14"/>
      <c r="G882" s="6"/>
      <c r="H882" s="6"/>
      <c r="I882" s="25"/>
      <c r="J882" s="7"/>
      <c r="K882" s="15"/>
      <c r="L882" s="379">
        <f>IF(H882&lt;&gt;"",J882*K882,SUMIFS(L883:L$9844,$F883:$F$9844,"*"&amp;F882&amp;"*",$H883:$H$9844,"&lt;&gt;"))</f>
        <v>0</v>
      </c>
      <c r="M882" s="379" t="str">
        <f>IF(Tabela2[[#This Row],[UNID.]]&lt;&gt;"",IFERROR(VLOOKUP(Tabela2[[#This Row],[AGRUPADOR]],Lucratividade!$D$4:$O$129,6,0),0),"")</f>
        <v/>
      </c>
      <c r="N882" s="379">
        <f>IF(H882&lt;&gt;"",J882*M882*I882,SUMIFS(N883:N$9844,$F883:$F$9844,"*"&amp;F882&amp;"*",$H883:$H$9844,"&lt;&gt;"))</f>
        <v>0</v>
      </c>
      <c r="O882" s="162" t="str">
        <f>IFERROR((-Tabela2[[#This Row],[CUSTO TOTAL]]+Tabela2[[#This Row],[VENDA TOTAL]])/Tabela2[[#This Row],[VENDA TOTAL]]-PARAMETROS!$C$19,"")</f>
        <v/>
      </c>
      <c r="AA882" s="218">
        <f>SUM(Plan_Orc[[#This Row],[01/jan]:[01/dez]])</f>
        <v>0</v>
      </c>
      <c r="AB882" s="12"/>
      <c r="AC882" s="12"/>
      <c r="AD882" s="12"/>
      <c r="AE882" s="12"/>
      <c r="AF882" s="12"/>
      <c r="AG882" s="12"/>
      <c r="AH882" s="12"/>
      <c r="AI882" s="12"/>
      <c r="AJ882" s="12"/>
      <c r="AK882" s="12"/>
      <c r="AL882" s="12"/>
      <c r="AM882" s="12"/>
    </row>
    <row r="883" spans="2:39" ht="25.2" customHeight="1" x14ac:dyDescent="0.3">
      <c r="B883" s="13" t="str">
        <f t="shared" si="17"/>
        <v/>
      </c>
      <c r="C883" s="18"/>
      <c r="D883" s="19" t="str">
        <f>IF(Tabela2[[#This Row],[AGRUPADOR]]&lt;&gt;"",VLOOKUP(Tabela2[[#This Row],[AGRUPADOR]],Tabela1[],2,0),"")</f>
        <v/>
      </c>
      <c r="E883" s="19" t="str">
        <f>IF(Tabela2[[#This Row],[AGRUPADOR]]&lt;&gt;"",VLOOKUP(Tabela2[[#This Row],[AGRUPADOR]],Tabela1[],4,0),"")</f>
        <v/>
      </c>
      <c r="F883" s="14"/>
      <c r="G883" s="6"/>
      <c r="H883" s="6"/>
      <c r="I883" s="25"/>
      <c r="J883" s="7"/>
      <c r="K883" s="15"/>
      <c r="L883" s="379">
        <f>IF(H883&lt;&gt;"",J883*K883,SUMIFS(L884:L$9844,$F884:$F$9844,"*"&amp;F883&amp;"*",$H884:$H$9844,"&lt;&gt;"))</f>
        <v>0</v>
      </c>
      <c r="M883" s="379" t="str">
        <f>IF(Tabela2[[#This Row],[UNID.]]&lt;&gt;"",IFERROR(VLOOKUP(Tabela2[[#This Row],[AGRUPADOR]],Lucratividade!$D$4:$O$129,6,0),0),"")</f>
        <v/>
      </c>
      <c r="N883" s="379">
        <f>IF(H883&lt;&gt;"",J883*M883*I883,SUMIFS(N884:N$9844,$F884:$F$9844,"*"&amp;F883&amp;"*",$H884:$H$9844,"&lt;&gt;"))</f>
        <v>0</v>
      </c>
      <c r="O883" s="162" t="str">
        <f>IFERROR((-Tabela2[[#This Row],[CUSTO TOTAL]]+Tabela2[[#This Row],[VENDA TOTAL]])/Tabela2[[#This Row],[VENDA TOTAL]]-PARAMETROS!$C$19,"")</f>
        <v/>
      </c>
      <c r="AA883" s="219">
        <f>SUM(Plan_Orc[[#This Row],[01/jan]:[01/dez]])</f>
        <v>0</v>
      </c>
      <c r="AB883" s="15"/>
      <c r="AC883" s="15"/>
      <c r="AD883" s="15"/>
      <c r="AE883" s="15"/>
      <c r="AF883" s="15"/>
      <c r="AG883" s="15"/>
      <c r="AH883" s="15"/>
      <c r="AI883" s="15"/>
      <c r="AJ883" s="15"/>
      <c r="AK883" s="15"/>
      <c r="AL883" s="15"/>
      <c r="AM883" s="15"/>
    </row>
    <row r="884" spans="2:39" ht="25.2" customHeight="1" x14ac:dyDescent="0.3">
      <c r="B884" s="13" t="str">
        <f t="shared" si="17"/>
        <v/>
      </c>
      <c r="C884" s="18"/>
      <c r="D884" s="19" t="str">
        <f>IF(Tabela2[[#This Row],[AGRUPADOR]]&lt;&gt;"",VLOOKUP(Tabela2[[#This Row],[AGRUPADOR]],Tabela1[],2,0),"")</f>
        <v/>
      </c>
      <c r="E884" s="19" t="str">
        <f>IF(Tabela2[[#This Row],[AGRUPADOR]]&lt;&gt;"",VLOOKUP(Tabela2[[#This Row],[AGRUPADOR]],Tabela1[],4,0),"")</f>
        <v/>
      </c>
      <c r="F884" s="14"/>
      <c r="G884" s="6"/>
      <c r="H884" s="6"/>
      <c r="I884" s="25"/>
      <c r="J884" s="7"/>
      <c r="K884" s="15"/>
      <c r="L884" s="379">
        <f>IF(H884&lt;&gt;"",J884*K884,SUMIFS(L885:L$9844,$F885:$F$9844,"*"&amp;F884&amp;"*",$H885:$H$9844,"&lt;&gt;"))</f>
        <v>0</v>
      </c>
      <c r="M884" s="379" t="str">
        <f>IF(Tabela2[[#This Row],[UNID.]]&lt;&gt;"",IFERROR(VLOOKUP(Tabela2[[#This Row],[AGRUPADOR]],Lucratividade!$D$4:$O$129,6,0),0),"")</f>
        <v/>
      </c>
      <c r="N884" s="379">
        <f>IF(H884&lt;&gt;"",J884*M884*I884,SUMIFS(N885:N$9844,$F885:$F$9844,"*"&amp;F884&amp;"*",$H885:$H$9844,"&lt;&gt;"))</f>
        <v>0</v>
      </c>
      <c r="O884" s="162" t="str">
        <f>IFERROR((-Tabela2[[#This Row],[CUSTO TOTAL]]+Tabela2[[#This Row],[VENDA TOTAL]])/Tabela2[[#This Row],[VENDA TOTAL]]-PARAMETROS!$C$19,"")</f>
        <v/>
      </c>
      <c r="AA884" s="217">
        <f>SUM(Plan_Orc[[#This Row],[01/jan]:[01/dez]])</f>
        <v>0</v>
      </c>
      <c r="AB884" s="202"/>
      <c r="AC884" s="202"/>
      <c r="AD884" s="202"/>
      <c r="AE884" s="202"/>
      <c r="AF884" s="202"/>
      <c r="AG884" s="202"/>
      <c r="AH884" s="202"/>
      <c r="AI884" s="202"/>
      <c r="AJ884" s="202"/>
      <c r="AK884" s="202"/>
      <c r="AL884" s="202"/>
      <c r="AM884" s="202"/>
    </row>
    <row r="885" spans="2:39" ht="25.2" customHeight="1" x14ac:dyDescent="0.3">
      <c r="B885" s="13" t="str">
        <f t="shared" si="17"/>
        <v/>
      </c>
      <c r="C885" s="18"/>
      <c r="D885" s="19" t="str">
        <f>IF(Tabela2[[#This Row],[AGRUPADOR]]&lt;&gt;"",VLOOKUP(Tabela2[[#This Row],[AGRUPADOR]],Tabela1[],2,0),"")</f>
        <v/>
      </c>
      <c r="E885" s="19" t="str">
        <f>IF(Tabela2[[#This Row],[AGRUPADOR]]&lt;&gt;"",VLOOKUP(Tabela2[[#This Row],[AGRUPADOR]],Tabela1[],4,0),"")</f>
        <v/>
      </c>
      <c r="F885" s="14"/>
      <c r="G885" s="6"/>
      <c r="H885" s="6"/>
      <c r="I885" s="25"/>
      <c r="J885" s="7"/>
      <c r="K885" s="15"/>
      <c r="L885" s="379">
        <f>IF(H885&lt;&gt;"",J885*K885,SUMIFS(L886:L$9844,$F886:$F$9844,"*"&amp;F885&amp;"*",$H886:$H$9844,"&lt;&gt;"))</f>
        <v>0</v>
      </c>
      <c r="M885" s="379" t="str">
        <f>IF(Tabela2[[#This Row],[UNID.]]&lt;&gt;"",IFERROR(VLOOKUP(Tabela2[[#This Row],[AGRUPADOR]],Lucratividade!$D$4:$O$129,6,0),0),"")</f>
        <v/>
      </c>
      <c r="N885" s="379">
        <f>IF(H885&lt;&gt;"",J885*M885*I885,SUMIFS(N886:N$9844,$F886:$F$9844,"*"&amp;F885&amp;"*",$H886:$H$9844,"&lt;&gt;"))</f>
        <v>0</v>
      </c>
      <c r="O885" s="162" t="str">
        <f>IFERROR((-Tabela2[[#This Row],[CUSTO TOTAL]]+Tabela2[[#This Row],[VENDA TOTAL]])/Tabela2[[#This Row],[VENDA TOTAL]]-PARAMETROS!$C$19,"")</f>
        <v/>
      </c>
      <c r="AA885" s="218">
        <f>SUM(Plan_Orc[[#This Row],[01/jan]:[01/dez]])</f>
        <v>0</v>
      </c>
      <c r="AB885" s="12"/>
      <c r="AC885" s="12"/>
      <c r="AD885" s="12"/>
      <c r="AE885" s="12"/>
      <c r="AF885" s="12"/>
      <c r="AG885" s="12"/>
      <c r="AH885" s="12"/>
      <c r="AI885" s="12"/>
      <c r="AJ885" s="12"/>
      <c r="AK885" s="12"/>
      <c r="AL885" s="12"/>
      <c r="AM885" s="12"/>
    </row>
    <row r="886" spans="2:39" ht="25.2" customHeight="1" x14ac:dyDescent="0.3">
      <c r="B886" s="13" t="str">
        <f t="shared" si="17"/>
        <v/>
      </c>
      <c r="C886" s="18"/>
      <c r="D886" s="19" t="str">
        <f>IF(Tabela2[[#This Row],[AGRUPADOR]]&lt;&gt;"",VLOOKUP(Tabela2[[#This Row],[AGRUPADOR]],Tabela1[],2,0),"")</f>
        <v/>
      </c>
      <c r="E886" s="19" t="str">
        <f>IF(Tabela2[[#This Row],[AGRUPADOR]]&lt;&gt;"",VLOOKUP(Tabela2[[#This Row],[AGRUPADOR]],Tabela1[],4,0),"")</f>
        <v/>
      </c>
      <c r="F886" s="14"/>
      <c r="G886" s="6"/>
      <c r="H886" s="6"/>
      <c r="I886" s="25"/>
      <c r="J886" s="7"/>
      <c r="K886" s="15"/>
      <c r="L886" s="379">
        <f>IF(H886&lt;&gt;"",J886*K886,SUMIFS(L887:L$9844,$F887:$F$9844,"*"&amp;F886&amp;"*",$H887:$H$9844,"&lt;&gt;"))</f>
        <v>0</v>
      </c>
      <c r="M886" s="379" t="str">
        <f>IF(Tabela2[[#This Row],[UNID.]]&lt;&gt;"",IFERROR(VLOOKUP(Tabela2[[#This Row],[AGRUPADOR]],Lucratividade!$D$4:$O$129,6,0),0),"")</f>
        <v/>
      </c>
      <c r="N886" s="379">
        <f>IF(H886&lt;&gt;"",J886*M886*I886,SUMIFS(N887:N$9844,$F887:$F$9844,"*"&amp;F886&amp;"*",$H887:$H$9844,"&lt;&gt;"))</f>
        <v>0</v>
      </c>
      <c r="O886" s="162" t="str">
        <f>IFERROR((-Tabela2[[#This Row],[CUSTO TOTAL]]+Tabela2[[#This Row],[VENDA TOTAL]])/Tabela2[[#This Row],[VENDA TOTAL]]-PARAMETROS!$C$19,"")</f>
        <v/>
      </c>
      <c r="AA886" s="219">
        <f>SUM(Plan_Orc[[#This Row],[01/jan]:[01/dez]])</f>
        <v>0</v>
      </c>
      <c r="AB886" s="15"/>
      <c r="AC886" s="15"/>
      <c r="AD886" s="15"/>
      <c r="AE886" s="15"/>
      <c r="AF886" s="15"/>
      <c r="AG886" s="15"/>
      <c r="AH886" s="15"/>
      <c r="AI886" s="15"/>
      <c r="AJ886" s="15"/>
      <c r="AK886" s="15"/>
      <c r="AL886" s="15"/>
      <c r="AM886" s="15"/>
    </row>
    <row r="887" spans="2:39" ht="25.2" customHeight="1" x14ac:dyDescent="0.3">
      <c r="B887" s="13" t="str">
        <f t="shared" si="17"/>
        <v/>
      </c>
      <c r="C887" s="18"/>
      <c r="D887" s="19" t="str">
        <f>IF(Tabela2[[#This Row],[AGRUPADOR]]&lt;&gt;"",VLOOKUP(Tabela2[[#This Row],[AGRUPADOR]],Tabela1[],2,0),"")</f>
        <v/>
      </c>
      <c r="E887" s="19" t="str">
        <f>IF(Tabela2[[#This Row],[AGRUPADOR]]&lt;&gt;"",VLOOKUP(Tabela2[[#This Row],[AGRUPADOR]],Tabela1[],4,0),"")</f>
        <v/>
      </c>
      <c r="F887" s="14"/>
      <c r="G887" s="6"/>
      <c r="H887" s="6"/>
      <c r="I887" s="25"/>
      <c r="J887" s="7"/>
      <c r="K887" s="15"/>
      <c r="L887" s="379">
        <f>IF(H887&lt;&gt;"",J887*K887,SUMIFS(L888:L$9844,$F888:$F$9844,"*"&amp;F887&amp;"*",$H888:$H$9844,"&lt;&gt;"))</f>
        <v>0</v>
      </c>
      <c r="M887" s="379" t="str">
        <f>IF(Tabela2[[#This Row],[UNID.]]&lt;&gt;"",IFERROR(VLOOKUP(Tabela2[[#This Row],[AGRUPADOR]],Lucratividade!$D$4:$O$129,6,0),0),"")</f>
        <v/>
      </c>
      <c r="N887" s="379">
        <f>IF(H887&lt;&gt;"",J887*M887*I887,SUMIFS(N888:N$9844,$F888:$F$9844,"*"&amp;F887&amp;"*",$H888:$H$9844,"&lt;&gt;"))</f>
        <v>0</v>
      </c>
      <c r="O887" s="162" t="str">
        <f>IFERROR((-Tabela2[[#This Row],[CUSTO TOTAL]]+Tabela2[[#This Row],[VENDA TOTAL]])/Tabela2[[#This Row],[VENDA TOTAL]]-PARAMETROS!$C$19,"")</f>
        <v/>
      </c>
      <c r="AA887" s="219">
        <f>SUM(Plan_Orc[[#This Row],[01/jan]:[01/dez]])</f>
        <v>0</v>
      </c>
      <c r="AB887" s="15"/>
      <c r="AC887" s="15"/>
      <c r="AD887" s="15"/>
      <c r="AE887" s="15"/>
      <c r="AF887" s="15"/>
      <c r="AG887" s="15"/>
      <c r="AH887" s="15"/>
      <c r="AI887" s="15"/>
      <c r="AJ887" s="15"/>
      <c r="AK887" s="15"/>
      <c r="AL887" s="15"/>
      <c r="AM887" s="15"/>
    </row>
    <row r="888" spans="2:39" ht="25.2" customHeight="1" x14ac:dyDescent="0.3">
      <c r="B888" s="13" t="str">
        <f t="shared" si="17"/>
        <v/>
      </c>
      <c r="C888" s="18"/>
      <c r="D888" s="19" t="str">
        <f>IF(Tabela2[[#This Row],[AGRUPADOR]]&lt;&gt;"",VLOOKUP(Tabela2[[#This Row],[AGRUPADOR]],Tabela1[],2,0),"")</f>
        <v/>
      </c>
      <c r="E888" s="19" t="str">
        <f>IF(Tabela2[[#This Row],[AGRUPADOR]]&lt;&gt;"",VLOOKUP(Tabela2[[#This Row],[AGRUPADOR]],Tabela1[],4,0),"")</f>
        <v/>
      </c>
      <c r="F888" s="14"/>
      <c r="G888" s="6"/>
      <c r="H888" s="6"/>
      <c r="I888" s="25"/>
      <c r="J888" s="7"/>
      <c r="K888" s="15"/>
      <c r="L888" s="379">
        <f>IF(H888&lt;&gt;"",J888*K888,SUMIFS(L889:L$9844,$F889:$F$9844,"*"&amp;F888&amp;"*",$H889:$H$9844,"&lt;&gt;"))</f>
        <v>0</v>
      </c>
      <c r="M888" s="379" t="str">
        <f>IF(Tabela2[[#This Row],[UNID.]]&lt;&gt;"",IFERROR(VLOOKUP(Tabela2[[#This Row],[AGRUPADOR]],Lucratividade!$D$4:$O$129,6,0),0),"")</f>
        <v/>
      </c>
      <c r="N888" s="379">
        <f>IF(H888&lt;&gt;"",J888*M888*I888,SUMIFS(N889:N$9844,$F889:$F$9844,"*"&amp;F888&amp;"*",$H889:$H$9844,"&lt;&gt;"))</f>
        <v>0</v>
      </c>
      <c r="O888" s="162" t="str">
        <f>IFERROR((-Tabela2[[#This Row],[CUSTO TOTAL]]+Tabela2[[#This Row],[VENDA TOTAL]])/Tabela2[[#This Row],[VENDA TOTAL]]-PARAMETROS!$C$19,"")</f>
        <v/>
      </c>
      <c r="AA888" s="219">
        <f>SUM(Plan_Orc[[#This Row],[01/jan]:[01/dez]])</f>
        <v>0</v>
      </c>
      <c r="AB888" s="15"/>
      <c r="AC888" s="15"/>
      <c r="AD888" s="15"/>
      <c r="AE888" s="15"/>
      <c r="AF888" s="15"/>
      <c r="AG888" s="15"/>
      <c r="AH888" s="15"/>
      <c r="AI888" s="15"/>
      <c r="AJ888" s="15"/>
      <c r="AK888" s="15"/>
      <c r="AL888" s="15"/>
      <c r="AM888" s="15"/>
    </row>
    <row r="889" spans="2:39" ht="25.2" customHeight="1" x14ac:dyDescent="0.3">
      <c r="B889" s="13" t="str">
        <f t="shared" si="17"/>
        <v/>
      </c>
      <c r="C889" s="18"/>
      <c r="D889" s="19" t="str">
        <f>IF(Tabela2[[#This Row],[AGRUPADOR]]&lt;&gt;"",VLOOKUP(Tabela2[[#This Row],[AGRUPADOR]],Tabela1[],2,0),"")</f>
        <v/>
      </c>
      <c r="E889" s="19" t="str">
        <f>IF(Tabela2[[#This Row],[AGRUPADOR]]&lt;&gt;"",VLOOKUP(Tabela2[[#This Row],[AGRUPADOR]],Tabela1[],4,0),"")</f>
        <v/>
      </c>
      <c r="F889" s="14"/>
      <c r="G889" s="6"/>
      <c r="H889" s="6"/>
      <c r="I889" s="25"/>
      <c r="J889" s="7"/>
      <c r="K889" s="15"/>
      <c r="L889" s="379">
        <f>IF(H889&lt;&gt;"",J889*K889,SUMIFS(L890:L$9844,$F890:$F$9844,"*"&amp;F889&amp;"*",$H890:$H$9844,"&lt;&gt;"))</f>
        <v>0</v>
      </c>
      <c r="M889" s="379" t="str">
        <f>IF(Tabela2[[#This Row],[UNID.]]&lt;&gt;"",IFERROR(VLOOKUP(Tabela2[[#This Row],[AGRUPADOR]],Lucratividade!$D$4:$O$129,6,0),0),"")</f>
        <v/>
      </c>
      <c r="N889" s="379">
        <f>IF(H889&lt;&gt;"",J889*M889*I889,SUMIFS(N890:N$9844,$F890:$F$9844,"*"&amp;F889&amp;"*",$H890:$H$9844,"&lt;&gt;"))</f>
        <v>0</v>
      </c>
      <c r="O889" s="162" t="str">
        <f>IFERROR((-Tabela2[[#This Row],[CUSTO TOTAL]]+Tabela2[[#This Row],[VENDA TOTAL]])/Tabela2[[#This Row],[VENDA TOTAL]]-PARAMETROS!$C$19,"")</f>
        <v/>
      </c>
      <c r="AA889" s="219">
        <f>SUM(Plan_Orc[[#This Row],[01/jan]:[01/dez]])</f>
        <v>0</v>
      </c>
      <c r="AB889" s="15"/>
      <c r="AC889" s="15"/>
      <c r="AD889" s="15"/>
      <c r="AE889" s="15"/>
      <c r="AF889" s="15"/>
      <c r="AG889" s="15"/>
      <c r="AH889" s="15"/>
      <c r="AI889" s="15"/>
      <c r="AJ889" s="15"/>
      <c r="AK889" s="15"/>
      <c r="AL889" s="15"/>
      <c r="AM889" s="15"/>
    </row>
    <row r="890" spans="2:39" ht="25.2" customHeight="1" x14ac:dyDescent="0.3">
      <c r="B890" s="13" t="str">
        <f t="shared" si="17"/>
        <v/>
      </c>
      <c r="C890" s="18"/>
      <c r="D890" s="19" t="str">
        <f>IF(Tabela2[[#This Row],[AGRUPADOR]]&lt;&gt;"",VLOOKUP(Tabela2[[#This Row],[AGRUPADOR]],Tabela1[],2,0),"")</f>
        <v/>
      </c>
      <c r="E890" s="19" t="str">
        <f>IF(Tabela2[[#This Row],[AGRUPADOR]]&lt;&gt;"",VLOOKUP(Tabela2[[#This Row],[AGRUPADOR]],Tabela1[],4,0),"")</f>
        <v/>
      </c>
      <c r="F890" s="14"/>
      <c r="G890" s="6"/>
      <c r="H890" s="6"/>
      <c r="I890" s="25"/>
      <c r="J890" s="7"/>
      <c r="K890" s="15"/>
      <c r="L890" s="379">
        <f>IF(H890&lt;&gt;"",J890*K890,SUMIFS(L891:L$9844,$F891:$F$9844,"*"&amp;F890&amp;"*",$H891:$H$9844,"&lt;&gt;"))</f>
        <v>0</v>
      </c>
      <c r="M890" s="379" t="str">
        <f>IF(Tabela2[[#This Row],[UNID.]]&lt;&gt;"",IFERROR(VLOOKUP(Tabela2[[#This Row],[AGRUPADOR]],Lucratividade!$D$4:$O$129,6,0),0),"")</f>
        <v/>
      </c>
      <c r="N890" s="379">
        <f>IF(H890&lt;&gt;"",J890*M890*I890,SUMIFS(N891:N$9844,$F891:$F$9844,"*"&amp;F890&amp;"*",$H891:$H$9844,"&lt;&gt;"))</f>
        <v>0</v>
      </c>
      <c r="O890" s="162" t="str">
        <f>IFERROR((-Tabela2[[#This Row],[CUSTO TOTAL]]+Tabela2[[#This Row],[VENDA TOTAL]])/Tabela2[[#This Row],[VENDA TOTAL]]-PARAMETROS!$C$19,"")</f>
        <v/>
      </c>
      <c r="AA890" s="219">
        <f>SUM(Plan_Orc[[#This Row],[01/jan]:[01/dez]])</f>
        <v>0</v>
      </c>
      <c r="AB890" s="15"/>
      <c r="AC890" s="15"/>
      <c r="AD890" s="15"/>
      <c r="AE890" s="15"/>
      <c r="AF890" s="15"/>
      <c r="AG890" s="15"/>
      <c r="AH890" s="15"/>
      <c r="AI890" s="15"/>
      <c r="AJ890" s="15"/>
      <c r="AK890" s="15"/>
      <c r="AL890" s="15"/>
      <c r="AM890" s="15"/>
    </row>
    <row r="891" spans="2:39" ht="25.2" customHeight="1" x14ac:dyDescent="0.3">
      <c r="B891" s="13" t="str">
        <f t="shared" si="17"/>
        <v/>
      </c>
      <c r="C891" s="18"/>
      <c r="D891" s="19" t="str">
        <f>IF(Tabela2[[#This Row],[AGRUPADOR]]&lt;&gt;"",VLOOKUP(Tabela2[[#This Row],[AGRUPADOR]],Tabela1[],2,0),"")</f>
        <v/>
      </c>
      <c r="E891" s="19" t="str">
        <f>IF(Tabela2[[#This Row],[AGRUPADOR]]&lt;&gt;"",VLOOKUP(Tabela2[[#This Row],[AGRUPADOR]],Tabela1[],4,0),"")</f>
        <v/>
      </c>
      <c r="F891" s="14"/>
      <c r="G891" s="6"/>
      <c r="H891" s="6"/>
      <c r="I891" s="25"/>
      <c r="J891" s="7"/>
      <c r="K891" s="15"/>
      <c r="L891" s="379">
        <f>IF(H891&lt;&gt;"",J891*K891,SUMIFS(L892:L$9844,$F892:$F$9844,"*"&amp;F891&amp;"*",$H892:$H$9844,"&lt;&gt;"))</f>
        <v>0</v>
      </c>
      <c r="M891" s="379" t="str">
        <f>IF(Tabela2[[#This Row],[UNID.]]&lt;&gt;"",IFERROR(VLOOKUP(Tabela2[[#This Row],[AGRUPADOR]],Lucratividade!$D$4:$O$129,6,0),0),"")</f>
        <v/>
      </c>
      <c r="N891" s="379">
        <f>IF(H891&lt;&gt;"",J891*M891*I891,SUMIFS(N892:N$9844,$F892:$F$9844,"*"&amp;F891&amp;"*",$H892:$H$9844,"&lt;&gt;"))</f>
        <v>0</v>
      </c>
      <c r="O891" s="162" t="str">
        <f>IFERROR((-Tabela2[[#This Row],[CUSTO TOTAL]]+Tabela2[[#This Row],[VENDA TOTAL]])/Tabela2[[#This Row],[VENDA TOTAL]]-PARAMETROS!$C$19,"")</f>
        <v/>
      </c>
      <c r="AA891" s="219">
        <f>SUM(Plan_Orc[[#This Row],[01/jan]:[01/dez]])</f>
        <v>0</v>
      </c>
      <c r="AB891" s="15"/>
      <c r="AC891" s="15"/>
      <c r="AD891" s="15"/>
      <c r="AE891" s="15"/>
      <c r="AF891" s="15"/>
      <c r="AG891" s="15"/>
      <c r="AH891" s="15"/>
      <c r="AI891" s="15"/>
      <c r="AJ891" s="15"/>
      <c r="AK891" s="15"/>
      <c r="AL891" s="15"/>
      <c r="AM891" s="15"/>
    </row>
    <row r="892" spans="2:39" ht="25.2" customHeight="1" x14ac:dyDescent="0.3">
      <c r="B892" s="13" t="str">
        <f t="shared" si="17"/>
        <v/>
      </c>
      <c r="C892" s="18"/>
      <c r="D892" s="19" t="str">
        <f>IF(Tabela2[[#This Row],[AGRUPADOR]]&lt;&gt;"",VLOOKUP(Tabela2[[#This Row],[AGRUPADOR]],Tabela1[],2,0),"")</f>
        <v/>
      </c>
      <c r="E892" s="19" t="str">
        <f>IF(Tabela2[[#This Row],[AGRUPADOR]]&lt;&gt;"",VLOOKUP(Tabela2[[#This Row],[AGRUPADOR]],Tabela1[],4,0),"")</f>
        <v/>
      </c>
      <c r="F892" s="14"/>
      <c r="G892" s="6"/>
      <c r="H892" s="6"/>
      <c r="I892" s="25"/>
      <c r="J892" s="7"/>
      <c r="K892" s="15"/>
      <c r="L892" s="379">
        <f>IF(H892&lt;&gt;"",J892*K892,SUMIFS(L893:L$9844,$F893:$F$9844,"*"&amp;F892&amp;"*",$H893:$H$9844,"&lt;&gt;"))</f>
        <v>0</v>
      </c>
      <c r="M892" s="379" t="str">
        <f>IF(Tabela2[[#This Row],[UNID.]]&lt;&gt;"",IFERROR(VLOOKUP(Tabela2[[#This Row],[AGRUPADOR]],Lucratividade!$D$4:$O$129,6,0),0),"")</f>
        <v/>
      </c>
      <c r="N892" s="379">
        <f>IF(H892&lt;&gt;"",J892*M892*I892,SUMIFS(N893:N$9844,$F893:$F$9844,"*"&amp;F892&amp;"*",$H893:$H$9844,"&lt;&gt;"))</f>
        <v>0</v>
      </c>
      <c r="O892" s="162" t="str">
        <f>IFERROR((-Tabela2[[#This Row],[CUSTO TOTAL]]+Tabela2[[#This Row],[VENDA TOTAL]])/Tabela2[[#This Row],[VENDA TOTAL]]-PARAMETROS!$C$19,"")</f>
        <v/>
      </c>
      <c r="AA892" s="219">
        <f>SUM(Plan_Orc[[#This Row],[01/jan]:[01/dez]])</f>
        <v>0</v>
      </c>
      <c r="AB892" s="15"/>
      <c r="AC892" s="15"/>
      <c r="AD892" s="15"/>
      <c r="AE892" s="15"/>
      <c r="AF892" s="15"/>
      <c r="AG892" s="15"/>
      <c r="AH892" s="15"/>
      <c r="AI892" s="15"/>
      <c r="AJ892" s="15"/>
      <c r="AK892" s="15"/>
      <c r="AL892" s="15"/>
      <c r="AM892" s="15"/>
    </row>
    <row r="893" spans="2:39" ht="25.2" customHeight="1" x14ac:dyDescent="0.3">
      <c r="B893" s="13" t="str">
        <f t="shared" si="17"/>
        <v/>
      </c>
      <c r="C893" s="18"/>
      <c r="D893" s="19" t="str">
        <f>IF(Tabela2[[#This Row],[AGRUPADOR]]&lt;&gt;"",VLOOKUP(Tabela2[[#This Row],[AGRUPADOR]],Tabela1[],2,0),"")</f>
        <v/>
      </c>
      <c r="E893" s="19" t="str">
        <f>IF(Tabela2[[#This Row],[AGRUPADOR]]&lt;&gt;"",VLOOKUP(Tabela2[[#This Row],[AGRUPADOR]],Tabela1[],4,0),"")</f>
        <v/>
      </c>
      <c r="F893" s="14"/>
      <c r="G893" s="6"/>
      <c r="H893" s="6"/>
      <c r="I893" s="25"/>
      <c r="J893" s="7"/>
      <c r="K893" s="15"/>
      <c r="L893" s="379">
        <f>IF(H893&lt;&gt;"",J893*K893,SUMIFS(L894:L$9844,$F894:$F$9844,"*"&amp;F893&amp;"*",$H894:$H$9844,"&lt;&gt;"))</f>
        <v>0</v>
      </c>
      <c r="M893" s="379" t="str">
        <f>IF(Tabela2[[#This Row],[UNID.]]&lt;&gt;"",IFERROR(VLOOKUP(Tabela2[[#This Row],[AGRUPADOR]],Lucratividade!$D$4:$O$129,6,0),0),"")</f>
        <v/>
      </c>
      <c r="N893" s="379">
        <f>IF(H893&lt;&gt;"",J893*M893*I893,SUMIFS(N894:N$9844,$F894:$F$9844,"*"&amp;F893&amp;"*",$H894:$H$9844,"&lt;&gt;"))</f>
        <v>0</v>
      </c>
      <c r="O893" s="162" t="str">
        <f>IFERROR((-Tabela2[[#This Row],[CUSTO TOTAL]]+Tabela2[[#This Row],[VENDA TOTAL]])/Tabela2[[#This Row],[VENDA TOTAL]]-PARAMETROS!$C$19,"")</f>
        <v/>
      </c>
      <c r="AA893" s="219">
        <f>SUM(Plan_Orc[[#This Row],[01/jan]:[01/dez]])</f>
        <v>0</v>
      </c>
      <c r="AB893" s="15"/>
      <c r="AC893" s="15"/>
      <c r="AD893" s="15"/>
      <c r="AE893" s="15"/>
      <c r="AF893" s="15"/>
      <c r="AG893" s="15"/>
      <c r="AH893" s="15"/>
      <c r="AI893" s="15"/>
      <c r="AJ893" s="15"/>
      <c r="AK893" s="15"/>
      <c r="AL893" s="15"/>
      <c r="AM893" s="15"/>
    </row>
    <row r="894" spans="2:39" ht="25.2" customHeight="1" x14ac:dyDescent="0.3">
      <c r="B894" s="13" t="str">
        <f t="shared" si="17"/>
        <v/>
      </c>
      <c r="C894" s="18"/>
      <c r="D894" s="19" t="str">
        <f>IF(Tabela2[[#This Row],[AGRUPADOR]]&lt;&gt;"",VLOOKUP(Tabela2[[#This Row],[AGRUPADOR]],Tabela1[],2,0),"")</f>
        <v/>
      </c>
      <c r="E894" s="19" t="str">
        <f>IF(Tabela2[[#This Row],[AGRUPADOR]]&lt;&gt;"",VLOOKUP(Tabela2[[#This Row],[AGRUPADOR]],Tabela1[],4,0),"")</f>
        <v/>
      </c>
      <c r="F894" s="14"/>
      <c r="G894" s="6"/>
      <c r="H894" s="6"/>
      <c r="I894" s="25"/>
      <c r="J894" s="7"/>
      <c r="K894" s="15"/>
      <c r="L894" s="379">
        <f>IF(H894&lt;&gt;"",J894*K894,SUMIFS(L895:L$9844,$F895:$F$9844,"*"&amp;F894&amp;"*",$H895:$H$9844,"&lt;&gt;"))</f>
        <v>0</v>
      </c>
      <c r="M894" s="379" t="str">
        <f>IF(Tabela2[[#This Row],[UNID.]]&lt;&gt;"",IFERROR(VLOOKUP(Tabela2[[#This Row],[AGRUPADOR]],Lucratividade!$D$4:$O$129,6,0),0),"")</f>
        <v/>
      </c>
      <c r="N894" s="379">
        <f>IF(H894&lt;&gt;"",J894*M894*I894,SUMIFS(N895:N$9844,$F895:$F$9844,"*"&amp;F894&amp;"*",$H895:$H$9844,"&lt;&gt;"))</f>
        <v>0</v>
      </c>
      <c r="O894" s="162" t="str">
        <f>IFERROR((-Tabela2[[#This Row],[CUSTO TOTAL]]+Tabela2[[#This Row],[VENDA TOTAL]])/Tabela2[[#This Row],[VENDA TOTAL]]-PARAMETROS!$C$19,"")</f>
        <v/>
      </c>
      <c r="AA894" s="219">
        <f>SUM(Plan_Orc[[#This Row],[01/jan]:[01/dez]])</f>
        <v>0</v>
      </c>
      <c r="AB894" s="15"/>
      <c r="AC894" s="15"/>
      <c r="AD894" s="15"/>
      <c r="AE894" s="15"/>
      <c r="AF894" s="15"/>
      <c r="AG894" s="15"/>
      <c r="AH894" s="15"/>
      <c r="AI894" s="15"/>
      <c r="AJ894" s="15"/>
      <c r="AK894" s="15"/>
      <c r="AL894" s="15"/>
      <c r="AM894" s="15"/>
    </row>
    <row r="895" spans="2:39" ht="25.2" customHeight="1" x14ac:dyDescent="0.3">
      <c r="B895" s="13" t="str">
        <f t="shared" si="17"/>
        <v/>
      </c>
      <c r="C895" s="18"/>
      <c r="D895" s="19" t="str">
        <f>IF(Tabela2[[#This Row],[AGRUPADOR]]&lt;&gt;"",VLOOKUP(Tabela2[[#This Row],[AGRUPADOR]],Tabela1[],2,0),"")</f>
        <v/>
      </c>
      <c r="E895" s="19" t="str">
        <f>IF(Tabela2[[#This Row],[AGRUPADOR]]&lt;&gt;"",VLOOKUP(Tabela2[[#This Row],[AGRUPADOR]],Tabela1[],4,0),"")</f>
        <v/>
      </c>
      <c r="F895" s="14"/>
      <c r="G895" s="6"/>
      <c r="H895" s="6"/>
      <c r="I895" s="25"/>
      <c r="J895" s="7"/>
      <c r="K895" s="15"/>
      <c r="L895" s="379">
        <f>IF(H895&lt;&gt;"",J895*K895,SUMIFS(L896:L$9844,$F896:$F$9844,"*"&amp;F895&amp;"*",$H896:$H$9844,"&lt;&gt;"))</f>
        <v>0</v>
      </c>
      <c r="M895" s="379" t="str">
        <f>IF(Tabela2[[#This Row],[UNID.]]&lt;&gt;"",IFERROR(VLOOKUP(Tabela2[[#This Row],[AGRUPADOR]],Lucratividade!$D$4:$O$129,6,0),0),"")</f>
        <v/>
      </c>
      <c r="N895" s="379">
        <f>IF(H895&lt;&gt;"",J895*M895*I895,SUMIFS(N896:N$9844,$F896:$F$9844,"*"&amp;F895&amp;"*",$H896:$H$9844,"&lt;&gt;"))</f>
        <v>0</v>
      </c>
      <c r="O895" s="162" t="str">
        <f>IFERROR((-Tabela2[[#This Row],[CUSTO TOTAL]]+Tabela2[[#This Row],[VENDA TOTAL]])/Tabela2[[#This Row],[VENDA TOTAL]]-PARAMETROS!$C$19,"")</f>
        <v/>
      </c>
      <c r="AA895" s="219">
        <f>SUM(Plan_Orc[[#This Row],[01/jan]:[01/dez]])</f>
        <v>0</v>
      </c>
      <c r="AB895" s="15"/>
      <c r="AC895" s="15"/>
      <c r="AD895" s="15"/>
      <c r="AE895" s="15"/>
      <c r="AF895" s="15"/>
      <c r="AG895" s="15"/>
      <c r="AH895" s="15"/>
      <c r="AI895" s="15"/>
      <c r="AJ895" s="15"/>
      <c r="AK895" s="15"/>
      <c r="AL895" s="15"/>
      <c r="AM895" s="15"/>
    </row>
    <row r="896" spans="2:39" ht="25.2" customHeight="1" x14ac:dyDescent="0.3">
      <c r="B896" s="13" t="str">
        <f t="shared" si="17"/>
        <v/>
      </c>
      <c r="C896" s="18"/>
      <c r="D896" s="19" t="str">
        <f>IF(Tabela2[[#This Row],[AGRUPADOR]]&lt;&gt;"",VLOOKUP(Tabela2[[#This Row],[AGRUPADOR]],Tabela1[],2,0),"")</f>
        <v/>
      </c>
      <c r="E896" s="19" t="str">
        <f>IF(Tabela2[[#This Row],[AGRUPADOR]]&lt;&gt;"",VLOOKUP(Tabela2[[#This Row],[AGRUPADOR]],Tabela1[],4,0),"")</f>
        <v/>
      </c>
      <c r="F896" s="14"/>
      <c r="G896" s="6"/>
      <c r="H896" s="6"/>
      <c r="I896" s="25"/>
      <c r="J896" s="7"/>
      <c r="K896" s="15"/>
      <c r="L896" s="379">
        <f>IF(H896&lt;&gt;"",J896*K896,SUMIFS(L897:L$9844,$F897:$F$9844,"*"&amp;F896&amp;"*",$H897:$H$9844,"&lt;&gt;"))</f>
        <v>0</v>
      </c>
      <c r="M896" s="379" t="str">
        <f>IF(Tabela2[[#This Row],[UNID.]]&lt;&gt;"",IFERROR(VLOOKUP(Tabela2[[#This Row],[AGRUPADOR]],Lucratividade!$D$4:$O$129,6,0),0),"")</f>
        <v/>
      </c>
      <c r="N896" s="379">
        <f>IF(H896&lt;&gt;"",J896*M896*I896,SUMIFS(N897:N$9844,$F897:$F$9844,"*"&amp;F896&amp;"*",$H897:$H$9844,"&lt;&gt;"))</f>
        <v>0</v>
      </c>
      <c r="O896" s="162" t="str">
        <f>IFERROR((-Tabela2[[#This Row],[CUSTO TOTAL]]+Tabela2[[#This Row],[VENDA TOTAL]])/Tabela2[[#This Row],[VENDA TOTAL]]-PARAMETROS!$C$19,"")</f>
        <v/>
      </c>
      <c r="AA896" s="219">
        <f>SUM(Plan_Orc[[#This Row],[01/jan]:[01/dez]])</f>
        <v>0</v>
      </c>
      <c r="AB896" s="15"/>
      <c r="AC896" s="15"/>
      <c r="AD896" s="15"/>
      <c r="AE896" s="15"/>
      <c r="AF896" s="15"/>
      <c r="AG896" s="15"/>
      <c r="AH896" s="15"/>
      <c r="AI896" s="15"/>
      <c r="AJ896" s="15"/>
      <c r="AK896" s="15"/>
      <c r="AL896" s="15"/>
      <c r="AM896" s="15"/>
    </row>
    <row r="897" spans="2:39" ht="25.2" customHeight="1" x14ac:dyDescent="0.3">
      <c r="B897" s="13" t="str">
        <f t="shared" si="17"/>
        <v/>
      </c>
      <c r="C897" s="18"/>
      <c r="D897" s="19" t="str">
        <f>IF(Tabela2[[#This Row],[AGRUPADOR]]&lt;&gt;"",VLOOKUP(Tabela2[[#This Row],[AGRUPADOR]],Tabela1[],2,0),"")</f>
        <v/>
      </c>
      <c r="E897" s="19" t="str">
        <f>IF(Tabela2[[#This Row],[AGRUPADOR]]&lt;&gt;"",VLOOKUP(Tabela2[[#This Row],[AGRUPADOR]],Tabela1[],4,0),"")</f>
        <v/>
      </c>
      <c r="F897" s="14"/>
      <c r="G897" s="6"/>
      <c r="H897" s="6"/>
      <c r="I897" s="25"/>
      <c r="J897" s="7"/>
      <c r="K897" s="15"/>
      <c r="L897" s="379">
        <f>IF(H897&lt;&gt;"",J897*K897,SUMIFS(L898:L$9844,$F898:$F$9844,"*"&amp;F897&amp;"*",$H898:$H$9844,"&lt;&gt;"))</f>
        <v>0</v>
      </c>
      <c r="M897" s="379" t="str">
        <f>IF(Tabela2[[#This Row],[UNID.]]&lt;&gt;"",IFERROR(VLOOKUP(Tabela2[[#This Row],[AGRUPADOR]],Lucratividade!$D$4:$O$129,6,0),0),"")</f>
        <v/>
      </c>
      <c r="N897" s="379">
        <f>IF(H897&lt;&gt;"",J897*M897*I897,SUMIFS(N898:N$9844,$F898:$F$9844,"*"&amp;F897&amp;"*",$H898:$H$9844,"&lt;&gt;"))</f>
        <v>0</v>
      </c>
      <c r="O897" s="162" t="str">
        <f>IFERROR((-Tabela2[[#This Row],[CUSTO TOTAL]]+Tabela2[[#This Row],[VENDA TOTAL]])/Tabela2[[#This Row],[VENDA TOTAL]]-PARAMETROS!$C$19,"")</f>
        <v/>
      </c>
      <c r="AA897" s="219">
        <f>SUM(Plan_Orc[[#This Row],[01/jan]:[01/dez]])</f>
        <v>0</v>
      </c>
      <c r="AB897" s="15"/>
      <c r="AC897" s="15"/>
      <c r="AD897" s="15"/>
      <c r="AE897" s="15"/>
      <c r="AF897" s="15"/>
      <c r="AG897" s="15"/>
      <c r="AH897" s="15"/>
      <c r="AI897" s="15"/>
      <c r="AJ897" s="15"/>
      <c r="AK897" s="15"/>
      <c r="AL897" s="15"/>
      <c r="AM897" s="15"/>
    </row>
    <row r="898" spans="2:39" ht="25.2" customHeight="1" x14ac:dyDescent="0.3">
      <c r="B898" s="13" t="str">
        <f t="shared" si="17"/>
        <v/>
      </c>
      <c r="C898" s="18"/>
      <c r="D898" s="19" t="str">
        <f>IF(Tabela2[[#This Row],[AGRUPADOR]]&lt;&gt;"",VLOOKUP(Tabela2[[#This Row],[AGRUPADOR]],Tabela1[],2,0),"")</f>
        <v/>
      </c>
      <c r="E898" s="19" t="str">
        <f>IF(Tabela2[[#This Row],[AGRUPADOR]]&lt;&gt;"",VLOOKUP(Tabela2[[#This Row],[AGRUPADOR]],Tabela1[],4,0),"")</f>
        <v/>
      </c>
      <c r="F898" s="14"/>
      <c r="G898" s="6"/>
      <c r="H898" s="6"/>
      <c r="I898" s="25"/>
      <c r="J898" s="7"/>
      <c r="K898" s="15"/>
      <c r="L898" s="379">
        <f>IF(H898&lt;&gt;"",J898*K898,SUMIFS(L899:L$9844,$F899:$F$9844,"*"&amp;F898&amp;"*",$H899:$H$9844,"&lt;&gt;"))</f>
        <v>0</v>
      </c>
      <c r="M898" s="379" t="str">
        <f>IF(Tabela2[[#This Row],[UNID.]]&lt;&gt;"",IFERROR(VLOOKUP(Tabela2[[#This Row],[AGRUPADOR]],Lucratividade!$D$4:$O$129,6,0),0),"")</f>
        <v/>
      </c>
      <c r="N898" s="379">
        <f>IF(H898&lt;&gt;"",J898*M898*I898,SUMIFS(N899:N$9844,$F899:$F$9844,"*"&amp;F898&amp;"*",$H899:$H$9844,"&lt;&gt;"))</f>
        <v>0</v>
      </c>
      <c r="O898" s="162" t="str">
        <f>IFERROR((-Tabela2[[#This Row],[CUSTO TOTAL]]+Tabela2[[#This Row],[VENDA TOTAL]])/Tabela2[[#This Row],[VENDA TOTAL]]-PARAMETROS!$C$19,"")</f>
        <v/>
      </c>
      <c r="AA898" s="219">
        <f>SUM(Plan_Orc[[#This Row],[01/jan]:[01/dez]])</f>
        <v>0</v>
      </c>
      <c r="AB898" s="15"/>
      <c r="AC898" s="15"/>
      <c r="AD898" s="15"/>
      <c r="AE898" s="15"/>
      <c r="AF898" s="15"/>
      <c r="AG898" s="15"/>
      <c r="AH898" s="15"/>
      <c r="AI898" s="15"/>
      <c r="AJ898" s="15"/>
      <c r="AK898" s="15"/>
      <c r="AL898" s="15"/>
      <c r="AM898" s="15"/>
    </row>
    <row r="899" spans="2:39" ht="25.2" customHeight="1" x14ac:dyDescent="0.3">
      <c r="B899" s="13" t="str">
        <f t="shared" si="17"/>
        <v/>
      </c>
      <c r="C899" s="18"/>
      <c r="D899" s="19" t="str">
        <f>IF(Tabela2[[#This Row],[AGRUPADOR]]&lt;&gt;"",VLOOKUP(Tabela2[[#This Row],[AGRUPADOR]],Tabela1[],2,0),"")</f>
        <v/>
      </c>
      <c r="E899" s="19" t="str">
        <f>IF(Tabela2[[#This Row],[AGRUPADOR]]&lt;&gt;"",VLOOKUP(Tabela2[[#This Row],[AGRUPADOR]],Tabela1[],4,0),"")</f>
        <v/>
      </c>
      <c r="F899" s="14"/>
      <c r="G899" s="6"/>
      <c r="H899" s="6"/>
      <c r="I899" s="25"/>
      <c r="J899" s="7"/>
      <c r="K899" s="15"/>
      <c r="L899" s="379">
        <f>IF(H899&lt;&gt;"",J899*K899,SUMIFS(L900:L$9844,$F900:$F$9844,"*"&amp;F899&amp;"*",$H900:$H$9844,"&lt;&gt;"))</f>
        <v>0</v>
      </c>
      <c r="M899" s="379" t="str">
        <f>IF(Tabela2[[#This Row],[UNID.]]&lt;&gt;"",IFERROR(VLOOKUP(Tabela2[[#This Row],[AGRUPADOR]],Lucratividade!$D$4:$O$129,6,0),0),"")</f>
        <v/>
      </c>
      <c r="N899" s="379">
        <f>IF(H899&lt;&gt;"",J899*M899*I899,SUMIFS(N900:N$9844,$F900:$F$9844,"*"&amp;F899&amp;"*",$H900:$H$9844,"&lt;&gt;"))</f>
        <v>0</v>
      </c>
      <c r="O899" s="162" t="str">
        <f>IFERROR((-Tabela2[[#This Row],[CUSTO TOTAL]]+Tabela2[[#This Row],[VENDA TOTAL]])/Tabela2[[#This Row],[VENDA TOTAL]]-PARAMETROS!$C$19,"")</f>
        <v/>
      </c>
      <c r="AA899" s="219">
        <f>SUM(Plan_Orc[[#This Row],[01/jan]:[01/dez]])</f>
        <v>0</v>
      </c>
      <c r="AB899" s="15"/>
      <c r="AC899" s="15"/>
      <c r="AD899" s="15"/>
      <c r="AE899" s="15"/>
      <c r="AF899" s="15"/>
      <c r="AG899" s="15"/>
      <c r="AH899" s="15"/>
      <c r="AI899" s="15"/>
      <c r="AJ899" s="15"/>
      <c r="AK899" s="15"/>
      <c r="AL899" s="15"/>
      <c r="AM899" s="15"/>
    </row>
    <row r="900" spans="2:39" ht="25.2" customHeight="1" x14ac:dyDescent="0.3">
      <c r="B900" s="13" t="str">
        <f t="shared" ref="B900:B963" si="18">IF(LEN(F900)=3,1,"")</f>
        <v/>
      </c>
      <c r="C900" s="18"/>
      <c r="D900" s="19" t="str">
        <f>IF(Tabela2[[#This Row],[AGRUPADOR]]&lt;&gt;"",VLOOKUP(Tabela2[[#This Row],[AGRUPADOR]],Tabela1[],2,0),"")</f>
        <v/>
      </c>
      <c r="E900" s="19" t="str">
        <f>IF(Tabela2[[#This Row],[AGRUPADOR]]&lt;&gt;"",VLOOKUP(Tabela2[[#This Row],[AGRUPADOR]],Tabela1[],4,0),"")</f>
        <v/>
      </c>
      <c r="F900" s="14"/>
      <c r="G900" s="6"/>
      <c r="H900" s="6"/>
      <c r="I900" s="25"/>
      <c r="J900" s="7"/>
      <c r="K900" s="15"/>
      <c r="L900" s="379">
        <f>IF(H900&lt;&gt;"",J900*K900,SUMIFS(L901:L$9844,$F901:$F$9844,"*"&amp;F900&amp;"*",$H901:$H$9844,"&lt;&gt;"))</f>
        <v>0</v>
      </c>
      <c r="M900" s="379" t="str">
        <f>IF(Tabela2[[#This Row],[UNID.]]&lt;&gt;"",IFERROR(VLOOKUP(Tabela2[[#This Row],[AGRUPADOR]],Lucratividade!$D$4:$O$129,6,0),0),"")</f>
        <v/>
      </c>
      <c r="N900" s="379">
        <f>IF(H900&lt;&gt;"",J900*M900*I900,SUMIFS(N901:N$9844,$F901:$F$9844,"*"&amp;F900&amp;"*",$H901:$H$9844,"&lt;&gt;"))</f>
        <v>0</v>
      </c>
      <c r="O900" s="162" t="str">
        <f>IFERROR((-Tabela2[[#This Row],[CUSTO TOTAL]]+Tabela2[[#This Row],[VENDA TOTAL]])/Tabela2[[#This Row],[VENDA TOTAL]]-PARAMETROS!$C$19,"")</f>
        <v/>
      </c>
      <c r="AA900" s="219">
        <f>SUM(Plan_Orc[[#This Row],[01/jan]:[01/dez]])</f>
        <v>0</v>
      </c>
      <c r="AB900" s="15"/>
      <c r="AC900" s="15"/>
      <c r="AD900" s="15"/>
      <c r="AE900" s="15"/>
      <c r="AF900" s="15"/>
      <c r="AG900" s="15"/>
      <c r="AH900" s="15"/>
      <c r="AI900" s="15"/>
      <c r="AJ900" s="15"/>
      <c r="AK900" s="15"/>
      <c r="AL900" s="15"/>
      <c r="AM900" s="15"/>
    </row>
    <row r="901" spans="2:39" ht="25.2" customHeight="1" x14ac:dyDescent="0.3">
      <c r="B901" s="13" t="str">
        <f t="shared" si="18"/>
        <v/>
      </c>
      <c r="C901" s="18"/>
      <c r="D901" s="19" t="str">
        <f>IF(Tabela2[[#This Row],[AGRUPADOR]]&lt;&gt;"",VLOOKUP(Tabela2[[#This Row],[AGRUPADOR]],Tabela1[],2,0),"")</f>
        <v/>
      </c>
      <c r="E901" s="19" t="str">
        <f>IF(Tabela2[[#This Row],[AGRUPADOR]]&lt;&gt;"",VLOOKUP(Tabela2[[#This Row],[AGRUPADOR]],Tabela1[],4,0),"")</f>
        <v/>
      </c>
      <c r="F901" s="14"/>
      <c r="G901" s="6"/>
      <c r="H901" s="6"/>
      <c r="I901" s="25"/>
      <c r="J901" s="7"/>
      <c r="K901" s="15"/>
      <c r="L901" s="379">
        <f>IF(H901&lt;&gt;"",J901*K901,SUMIFS(L902:L$9844,$F902:$F$9844,"*"&amp;F901&amp;"*",$H902:$H$9844,"&lt;&gt;"))</f>
        <v>0</v>
      </c>
      <c r="M901" s="379" t="str">
        <f>IF(Tabela2[[#This Row],[UNID.]]&lt;&gt;"",IFERROR(VLOOKUP(Tabela2[[#This Row],[AGRUPADOR]],Lucratividade!$D$4:$O$129,6,0),0),"")</f>
        <v/>
      </c>
      <c r="N901" s="379">
        <f>IF(H901&lt;&gt;"",J901*M901*I901,SUMIFS(N902:N$9844,$F902:$F$9844,"*"&amp;F901&amp;"*",$H902:$H$9844,"&lt;&gt;"))</f>
        <v>0</v>
      </c>
      <c r="O901" s="162" t="str">
        <f>IFERROR((-Tabela2[[#This Row],[CUSTO TOTAL]]+Tabela2[[#This Row],[VENDA TOTAL]])/Tabela2[[#This Row],[VENDA TOTAL]]-PARAMETROS!$C$19,"")</f>
        <v/>
      </c>
      <c r="AA901" s="219">
        <f>SUM(Plan_Orc[[#This Row],[01/jan]:[01/dez]])</f>
        <v>0</v>
      </c>
      <c r="AB901" s="15"/>
      <c r="AC901" s="15"/>
      <c r="AD901" s="15"/>
      <c r="AE901" s="15"/>
      <c r="AF901" s="15"/>
      <c r="AG901" s="15"/>
      <c r="AH901" s="15"/>
      <c r="AI901" s="15"/>
      <c r="AJ901" s="15"/>
      <c r="AK901" s="15"/>
      <c r="AL901" s="15"/>
      <c r="AM901" s="15"/>
    </row>
    <row r="902" spans="2:39" ht="25.2" customHeight="1" x14ac:dyDescent="0.3">
      <c r="B902" s="13" t="str">
        <f t="shared" si="18"/>
        <v/>
      </c>
      <c r="C902" s="18"/>
      <c r="D902" s="19" t="str">
        <f>IF(Tabela2[[#This Row],[AGRUPADOR]]&lt;&gt;"",VLOOKUP(Tabela2[[#This Row],[AGRUPADOR]],Tabela1[],2,0),"")</f>
        <v/>
      </c>
      <c r="E902" s="19" t="str">
        <f>IF(Tabela2[[#This Row],[AGRUPADOR]]&lt;&gt;"",VLOOKUP(Tabela2[[#This Row],[AGRUPADOR]],Tabela1[],4,0),"")</f>
        <v/>
      </c>
      <c r="F902" s="14"/>
      <c r="G902" s="6"/>
      <c r="H902" s="6"/>
      <c r="I902" s="25"/>
      <c r="J902" s="7"/>
      <c r="K902" s="15"/>
      <c r="L902" s="379">
        <f>IF(H902&lt;&gt;"",J902*K902,SUMIFS(L903:L$9844,$F903:$F$9844,"*"&amp;F902&amp;"*",$H903:$H$9844,"&lt;&gt;"))</f>
        <v>0</v>
      </c>
      <c r="M902" s="379" t="str">
        <f>IF(Tabela2[[#This Row],[UNID.]]&lt;&gt;"",IFERROR(VLOOKUP(Tabela2[[#This Row],[AGRUPADOR]],Lucratividade!$D$4:$O$129,6,0),0),"")</f>
        <v/>
      </c>
      <c r="N902" s="379">
        <f>IF(H902&lt;&gt;"",J902*M902*I902,SUMIFS(N903:N$9844,$F903:$F$9844,"*"&amp;F902&amp;"*",$H903:$H$9844,"&lt;&gt;"))</f>
        <v>0</v>
      </c>
      <c r="O902" s="162" t="str">
        <f>IFERROR((-Tabela2[[#This Row],[CUSTO TOTAL]]+Tabela2[[#This Row],[VENDA TOTAL]])/Tabela2[[#This Row],[VENDA TOTAL]]-PARAMETROS!$C$19,"")</f>
        <v/>
      </c>
      <c r="AA902" s="219">
        <f>SUM(Plan_Orc[[#This Row],[01/jan]:[01/dez]])</f>
        <v>0</v>
      </c>
      <c r="AB902" s="15"/>
      <c r="AC902" s="15"/>
      <c r="AD902" s="15"/>
      <c r="AE902" s="15"/>
      <c r="AF902" s="15"/>
      <c r="AG902" s="15"/>
      <c r="AH902" s="15"/>
      <c r="AI902" s="15"/>
      <c r="AJ902" s="15"/>
      <c r="AK902" s="15"/>
      <c r="AL902" s="15"/>
      <c r="AM902" s="15"/>
    </row>
    <row r="903" spans="2:39" ht="25.2" customHeight="1" x14ac:dyDescent="0.3">
      <c r="B903" s="13" t="str">
        <f t="shared" si="18"/>
        <v/>
      </c>
      <c r="C903" s="18"/>
      <c r="D903" s="19" t="str">
        <f>IF(Tabela2[[#This Row],[AGRUPADOR]]&lt;&gt;"",VLOOKUP(Tabela2[[#This Row],[AGRUPADOR]],Tabela1[],2,0),"")</f>
        <v/>
      </c>
      <c r="E903" s="19" t="str">
        <f>IF(Tabela2[[#This Row],[AGRUPADOR]]&lt;&gt;"",VLOOKUP(Tabela2[[#This Row],[AGRUPADOR]],Tabela1[],4,0),"")</f>
        <v/>
      </c>
      <c r="F903" s="14"/>
      <c r="G903" s="6"/>
      <c r="H903" s="6"/>
      <c r="I903" s="25"/>
      <c r="J903" s="7"/>
      <c r="K903" s="15"/>
      <c r="L903" s="379">
        <f>IF(H903&lt;&gt;"",J903*K903,SUMIFS(L904:L$9844,$F904:$F$9844,"*"&amp;F903&amp;"*",$H904:$H$9844,"&lt;&gt;"))</f>
        <v>0</v>
      </c>
      <c r="M903" s="379" t="str">
        <f>IF(Tabela2[[#This Row],[UNID.]]&lt;&gt;"",IFERROR(VLOOKUP(Tabela2[[#This Row],[AGRUPADOR]],Lucratividade!$D$4:$O$129,6,0),0),"")</f>
        <v/>
      </c>
      <c r="N903" s="379">
        <f>IF(H903&lt;&gt;"",J903*M903*I903,SUMIFS(N904:N$9844,$F904:$F$9844,"*"&amp;F903&amp;"*",$H904:$H$9844,"&lt;&gt;"))</f>
        <v>0</v>
      </c>
      <c r="O903" s="162" t="str">
        <f>IFERROR((-Tabela2[[#This Row],[CUSTO TOTAL]]+Tabela2[[#This Row],[VENDA TOTAL]])/Tabela2[[#This Row],[VENDA TOTAL]]-PARAMETROS!$C$19,"")</f>
        <v/>
      </c>
      <c r="AA903" s="219">
        <f>SUM(Plan_Orc[[#This Row],[01/jan]:[01/dez]])</f>
        <v>0</v>
      </c>
      <c r="AB903" s="15"/>
      <c r="AC903" s="15"/>
      <c r="AD903" s="15"/>
      <c r="AE903" s="15"/>
      <c r="AF903" s="15"/>
      <c r="AG903" s="15"/>
      <c r="AH903" s="15"/>
      <c r="AI903" s="15"/>
      <c r="AJ903" s="15"/>
      <c r="AK903" s="15"/>
      <c r="AL903" s="15"/>
      <c r="AM903" s="15"/>
    </row>
    <row r="904" spans="2:39" ht="25.2" customHeight="1" x14ac:dyDescent="0.3">
      <c r="B904" s="13" t="str">
        <f t="shared" si="18"/>
        <v/>
      </c>
      <c r="C904" s="18"/>
      <c r="D904" s="19" t="str">
        <f>IF(Tabela2[[#This Row],[AGRUPADOR]]&lt;&gt;"",VLOOKUP(Tabela2[[#This Row],[AGRUPADOR]],Tabela1[],2,0),"")</f>
        <v/>
      </c>
      <c r="E904" s="19" t="str">
        <f>IF(Tabela2[[#This Row],[AGRUPADOR]]&lt;&gt;"",VLOOKUP(Tabela2[[#This Row],[AGRUPADOR]],Tabela1[],4,0),"")</f>
        <v/>
      </c>
      <c r="F904" s="14"/>
      <c r="G904" s="6"/>
      <c r="H904" s="6"/>
      <c r="I904" s="25"/>
      <c r="J904" s="7"/>
      <c r="K904" s="15"/>
      <c r="L904" s="379">
        <f>IF(H904&lt;&gt;"",J904*K904,SUMIFS(L905:L$9844,$F905:$F$9844,"*"&amp;F904&amp;"*",$H905:$H$9844,"&lt;&gt;"))</f>
        <v>0</v>
      </c>
      <c r="M904" s="379" t="str">
        <f>IF(Tabela2[[#This Row],[UNID.]]&lt;&gt;"",IFERROR(VLOOKUP(Tabela2[[#This Row],[AGRUPADOR]],Lucratividade!$D$4:$O$129,6,0),0),"")</f>
        <v/>
      </c>
      <c r="N904" s="379">
        <f>IF(H904&lt;&gt;"",J904*M904*I904,SUMIFS(N905:N$9844,$F905:$F$9844,"*"&amp;F904&amp;"*",$H905:$H$9844,"&lt;&gt;"))</f>
        <v>0</v>
      </c>
      <c r="O904" s="162" t="str">
        <f>IFERROR((-Tabela2[[#This Row],[CUSTO TOTAL]]+Tabela2[[#This Row],[VENDA TOTAL]])/Tabela2[[#This Row],[VENDA TOTAL]]-PARAMETROS!$C$19,"")</f>
        <v/>
      </c>
      <c r="AA904" s="219">
        <f>SUM(Plan_Orc[[#This Row],[01/jan]:[01/dez]])</f>
        <v>0</v>
      </c>
      <c r="AB904" s="15"/>
      <c r="AC904" s="15"/>
      <c r="AD904" s="15"/>
      <c r="AE904" s="15"/>
      <c r="AF904" s="15"/>
      <c r="AG904" s="15"/>
      <c r="AH904" s="15"/>
      <c r="AI904" s="15"/>
      <c r="AJ904" s="15"/>
      <c r="AK904" s="15"/>
      <c r="AL904" s="15"/>
      <c r="AM904" s="15"/>
    </row>
    <row r="905" spans="2:39" ht="25.2" customHeight="1" x14ac:dyDescent="0.3">
      <c r="B905" s="13" t="str">
        <f t="shared" si="18"/>
        <v/>
      </c>
      <c r="C905" s="18"/>
      <c r="D905" s="19" t="str">
        <f>IF(Tabela2[[#This Row],[AGRUPADOR]]&lt;&gt;"",VLOOKUP(Tabela2[[#This Row],[AGRUPADOR]],Tabela1[],2,0),"")</f>
        <v/>
      </c>
      <c r="E905" s="19" t="str">
        <f>IF(Tabela2[[#This Row],[AGRUPADOR]]&lt;&gt;"",VLOOKUP(Tabela2[[#This Row],[AGRUPADOR]],Tabela1[],4,0),"")</f>
        <v/>
      </c>
      <c r="F905" s="14"/>
      <c r="G905" s="6"/>
      <c r="H905" s="6"/>
      <c r="I905" s="25"/>
      <c r="J905" s="7"/>
      <c r="K905" s="15"/>
      <c r="L905" s="379">
        <f>IF(H905&lt;&gt;"",J905*K905,SUMIFS(L906:L$9844,$F906:$F$9844,"*"&amp;F905&amp;"*",$H906:$H$9844,"&lt;&gt;"))</f>
        <v>0</v>
      </c>
      <c r="M905" s="379" t="str">
        <f>IF(Tabela2[[#This Row],[UNID.]]&lt;&gt;"",IFERROR(VLOOKUP(Tabela2[[#This Row],[AGRUPADOR]],Lucratividade!$D$4:$O$129,6,0),0),"")</f>
        <v/>
      </c>
      <c r="N905" s="379">
        <f>IF(H905&lt;&gt;"",J905*M905*I905,SUMIFS(N906:N$9844,$F906:$F$9844,"*"&amp;F905&amp;"*",$H906:$H$9844,"&lt;&gt;"))</f>
        <v>0</v>
      </c>
      <c r="O905" s="162" t="str">
        <f>IFERROR((-Tabela2[[#This Row],[CUSTO TOTAL]]+Tabela2[[#This Row],[VENDA TOTAL]])/Tabela2[[#This Row],[VENDA TOTAL]]-PARAMETROS!$C$19,"")</f>
        <v/>
      </c>
      <c r="AA905" s="218">
        <f>SUM(Plan_Orc[[#This Row],[01/jan]:[01/dez]])</f>
        <v>0</v>
      </c>
      <c r="AB905" s="12"/>
      <c r="AC905" s="12"/>
      <c r="AD905" s="12"/>
      <c r="AE905" s="12"/>
      <c r="AF905" s="12"/>
      <c r="AG905" s="12"/>
      <c r="AH905" s="12"/>
      <c r="AI905" s="12"/>
      <c r="AJ905" s="12"/>
      <c r="AK905" s="12"/>
      <c r="AL905" s="12"/>
      <c r="AM905" s="12"/>
    </row>
    <row r="906" spans="2:39" ht="25.2" customHeight="1" x14ac:dyDescent="0.3">
      <c r="B906" s="13" t="str">
        <f t="shared" si="18"/>
        <v/>
      </c>
      <c r="C906" s="18"/>
      <c r="D906" s="19" t="str">
        <f>IF(Tabela2[[#This Row],[AGRUPADOR]]&lt;&gt;"",VLOOKUP(Tabela2[[#This Row],[AGRUPADOR]],Tabela1[],2,0),"")</f>
        <v/>
      </c>
      <c r="E906" s="19" t="str">
        <f>IF(Tabela2[[#This Row],[AGRUPADOR]]&lt;&gt;"",VLOOKUP(Tabela2[[#This Row],[AGRUPADOR]],Tabela1[],4,0),"")</f>
        <v/>
      </c>
      <c r="F906" s="14"/>
      <c r="G906" s="6"/>
      <c r="H906" s="6"/>
      <c r="I906" s="25"/>
      <c r="J906" s="7"/>
      <c r="K906" s="15"/>
      <c r="L906" s="379">
        <f>IF(H906&lt;&gt;"",J906*K906,SUMIFS(L907:L$9844,$F907:$F$9844,"*"&amp;F906&amp;"*",$H907:$H$9844,"&lt;&gt;"))</f>
        <v>0</v>
      </c>
      <c r="M906" s="379" t="str">
        <f>IF(Tabela2[[#This Row],[UNID.]]&lt;&gt;"",IFERROR(VLOOKUP(Tabela2[[#This Row],[AGRUPADOR]],Lucratividade!$D$4:$O$129,6,0),0),"")</f>
        <v/>
      </c>
      <c r="N906" s="379">
        <f>IF(H906&lt;&gt;"",J906*M906*I906,SUMIFS(N907:N$9844,$F907:$F$9844,"*"&amp;F906&amp;"*",$H907:$H$9844,"&lt;&gt;"))</f>
        <v>0</v>
      </c>
      <c r="O906" s="162" t="str">
        <f>IFERROR((-Tabela2[[#This Row],[CUSTO TOTAL]]+Tabela2[[#This Row],[VENDA TOTAL]])/Tabela2[[#This Row],[VENDA TOTAL]]-PARAMETROS!$C$19,"")</f>
        <v/>
      </c>
      <c r="AA906" s="219">
        <f>SUM(Plan_Orc[[#This Row],[01/jan]:[01/dez]])</f>
        <v>0</v>
      </c>
      <c r="AB906" s="15"/>
      <c r="AC906" s="15"/>
      <c r="AD906" s="15"/>
      <c r="AE906" s="15"/>
      <c r="AF906" s="15"/>
      <c r="AG906" s="15"/>
      <c r="AH906" s="15"/>
      <c r="AI906" s="15"/>
      <c r="AJ906" s="15"/>
      <c r="AK906" s="15"/>
      <c r="AL906" s="15"/>
      <c r="AM906" s="15"/>
    </row>
    <row r="907" spans="2:39" ht="25.2" customHeight="1" x14ac:dyDescent="0.3">
      <c r="B907" s="13" t="str">
        <f t="shared" si="18"/>
        <v/>
      </c>
      <c r="C907" s="18"/>
      <c r="D907" s="19" t="str">
        <f>IF(Tabela2[[#This Row],[AGRUPADOR]]&lt;&gt;"",VLOOKUP(Tabela2[[#This Row],[AGRUPADOR]],Tabela1[],2,0),"")</f>
        <v/>
      </c>
      <c r="E907" s="19" t="str">
        <f>IF(Tabela2[[#This Row],[AGRUPADOR]]&lt;&gt;"",VLOOKUP(Tabela2[[#This Row],[AGRUPADOR]],Tabela1[],4,0),"")</f>
        <v/>
      </c>
      <c r="F907" s="14"/>
      <c r="G907" s="6"/>
      <c r="H907" s="6"/>
      <c r="I907" s="25"/>
      <c r="J907" s="7"/>
      <c r="K907" s="15"/>
      <c r="L907" s="379">
        <f>IF(H907&lt;&gt;"",J907*K907,SUMIFS(L908:L$9844,$F908:$F$9844,"*"&amp;F907&amp;"*",$H908:$H$9844,"&lt;&gt;"))</f>
        <v>0</v>
      </c>
      <c r="M907" s="379" t="str">
        <f>IF(Tabela2[[#This Row],[UNID.]]&lt;&gt;"",IFERROR(VLOOKUP(Tabela2[[#This Row],[AGRUPADOR]],Lucratividade!$D$4:$O$129,6,0),0),"")</f>
        <v/>
      </c>
      <c r="N907" s="379">
        <f>IF(H907&lt;&gt;"",J907*M907*I907,SUMIFS(N908:N$9844,$F908:$F$9844,"*"&amp;F907&amp;"*",$H908:$H$9844,"&lt;&gt;"))</f>
        <v>0</v>
      </c>
      <c r="O907" s="162" t="str">
        <f>IFERROR((-Tabela2[[#This Row],[CUSTO TOTAL]]+Tabela2[[#This Row],[VENDA TOTAL]])/Tabela2[[#This Row],[VENDA TOTAL]]-PARAMETROS!$C$19,"")</f>
        <v/>
      </c>
      <c r="AA907" s="219">
        <f>SUM(Plan_Orc[[#This Row],[01/jan]:[01/dez]])</f>
        <v>0</v>
      </c>
      <c r="AB907" s="15"/>
      <c r="AC907" s="15"/>
      <c r="AD907" s="15"/>
      <c r="AE907" s="15"/>
      <c r="AF907" s="15"/>
      <c r="AG907" s="15"/>
      <c r="AH907" s="15"/>
      <c r="AI907" s="15"/>
      <c r="AJ907" s="15"/>
      <c r="AK907" s="15"/>
      <c r="AL907" s="15"/>
      <c r="AM907" s="15"/>
    </row>
    <row r="908" spans="2:39" ht="25.2" customHeight="1" x14ac:dyDescent="0.3">
      <c r="B908" s="13" t="str">
        <f t="shared" si="18"/>
        <v/>
      </c>
      <c r="C908" s="18"/>
      <c r="D908" s="19" t="str">
        <f>IF(Tabela2[[#This Row],[AGRUPADOR]]&lt;&gt;"",VLOOKUP(Tabela2[[#This Row],[AGRUPADOR]],Tabela1[],2,0),"")</f>
        <v/>
      </c>
      <c r="E908" s="19" t="str">
        <f>IF(Tabela2[[#This Row],[AGRUPADOR]]&lt;&gt;"",VLOOKUP(Tabela2[[#This Row],[AGRUPADOR]],Tabela1[],4,0),"")</f>
        <v/>
      </c>
      <c r="F908" s="14"/>
      <c r="G908" s="6"/>
      <c r="H908" s="6"/>
      <c r="I908" s="25"/>
      <c r="J908" s="7"/>
      <c r="K908" s="15"/>
      <c r="L908" s="379">
        <f>IF(H908&lt;&gt;"",J908*K908,SUMIFS(L909:L$9844,$F909:$F$9844,"*"&amp;F908&amp;"*",$H909:$H$9844,"&lt;&gt;"))</f>
        <v>0</v>
      </c>
      <c r="M908" s="379" t="str">
        <f>IF(Tabela2[[#This Row],[UNID.]]&lt;&gt;"",IFERROR(VLOOKUP(Tabela2[[#This Row],[AGRUPADOR]],Lucratividade!$D$4:$O$129,6,0),0),"")</f>
        <v/>
      </c>
      <c r="N908" s="379">
        <f>IF(H908&lt;&gt;"",J908*M908*I908,SUMIFS(N909:N$9844,$F909:$F$9844,"*"&amp;F908&amp;"*",$H909:$H$9844,"&lt;&gt;"))</f>
        <v>0</v>
      </c>
      <c r="O908" s="162" t="str">
        <f>IFERROR((-Tabela2[[#This Row],[CUSTO TOTAL]]+Tabela2[[#This Row],[VENDA TOTAL]])/Tabela2[[#This Row],[VENDA TOTAL]]-PARAMETROS!$C$19,"")</f>
        <v/>
      </c>
      <c r="AA908" s="219">
        <f>SUM(Plan_Orc[[#This Row],[01/jan]:[01/dez]])</f>
        <v>0</v>
      </c>
      <c r="AB908" s="15"/>
      <c r="AC908" s="15"/>
      <c r="AD908" s="15"/>
      <c r="AE908" s="15"/>
      <c r="AF908" s="15"/>
      <c r="AG908" s="15"/>
      <c r="AH908" s="15"/>
      <c r="AI908" s="15"/>
      <c r="AJ908" s="15"/>
      <c r="AK908" s="15"/>
      <c r="AL908" s="15"/>
      <c r="AM908" s="15"/>
    </row>
    <row r="909" spans="2:39" ht="25.2" customHeight="1" x14ac:dyDescent="0.3">
      <c r="B909" s="13" t="str">
        <f t="shared" si="18"/>
        <v/>
      </c>
      <c r="C909" s="18"/>
      <c r="D909" s="19" t="str">
        <f>IF(Tabela2[[#This Row],[AGRUPADOR]]&lt;&gt;"",VLOOKUP(Tabela2[[#This Row],[AGRUPADOR]],Tabela1[],2,0),"")</f>
        <v/>
      </c>
      <c r="E909" s="19" t="str">
        <f>IF(Tabela2[[#This Row],[AGRUPADOR]]&lt;&gt;"",VLOOKUP(Tabela2[[#This Row],[AGRUPADOR]],Tabela1[],4,0),"")</f>
        <v/>
      </c>
      <c r="F909" s="14"/>
      <c r="G909" s="6"/>
      <c r="H909" s="6"/>
      <c r="I909" s="25"/>
      <c r="J909" s="7"/>
      <c r="K909" s="15"/>
      <c r="L909" s="379">
        <f>IF(H909&lt;&gt;"",J909*K909,SUMIFS(L910:L$9844,$F910:$F$9844,"*"&amp;F909&amp;"*",$H910:$H$9844,"&lt;&gt;"))</f>
        <v>0</v>
      </c>
      <c r="M909" s="379" t="str">
        <f>IF(Tabela2[[#This Row],[UNID.]]&lt;&gt;"",IFERROR(VLOOKUP(Tabela2[[#This Row],[AGRUPADOR]],Lucratividade!$D$4:$O$129,6,0),0),"")</f>
        <v/>
      </c>
      <c r="N909" s="379">
        <f>IF(H909&lt;&gt;"",J909*M909*I909,SUMIFS(N910:N$9844,$F910:$F$9844,"*"&amp;F909&amp;"*",$H910:$H$9844,"&lt;&gt;"))</f>
        <v>0</v>
      </c>
      <c r="O909" s="162" t="str">
        <f>IFERROR((-Tabela2[[#This Row],[CUSTO TOTAL]]+Tabela2[[#This Row],[VENDA TOTAL]])/Tabela2[[#This Row],[VENDA TOTAL]]-PARAMETROS!$C$19,"")</f>
        <v/>
      </c>
      <c r="AA909" s="219">
        <f>SUM(Plan_Orc[[#This Row],[01/jan]:[01/dez]])</f>
        <v>0</v>
      </c>
      <c r="AB909" s="15"/>
      <c r="AC909" s="15"/>
      <c r="AD909" s="15"/>
      <c r="AE909" s="15"/>
      <c r="AF909" s="15"/>
      <c r="AG909" s="15"/>
      <c r="AH909" s="15"/>
      <c r="AI909" s="15"/>
      <c r="AJ909" s="15"/>
      <c r="AK909" s="15"/>
      <c r="AL909" s="15"/>
      <c r="AM909" s="15"/>
    </row>
    <row r="910" spans="2:39" ht="25.2" customHeight="1" x14ac:dyDescent="0.3">
      <c r="B910" s="13" t="str">
        <f t="shared" si="18"/>
        <v/>
      </c>
      <c r="C910" s="18"/>
      <c r="D910" s="19" t="str">
        <f>IF(Tabela2[[#This Row],[AGRUPADOR]]&lt;&gt;"",VLOOKUP(Tabela2[[#This Row],[AGRUPADOR]],Tabela1[],2,0),"")</f>
        <v/>
      </c>
      <c r="E910" s="19" t="str">
        <f>IF(Tabela2[[#This Row],[AGRUPADOR]]&lt;&gt;"",VLOOKUP(Tabela2[[#This Row],[AGRUPADOR]],Tabela1[],4,0),"")</f>
        <v/>
      </c>
      <c r="F910" s="14"/>
      <c r="G910" s="6"/>
      <c r="H910" s="6"/>
      <c r="I910" s="25"/>
      <c r="J910" s="7"/>
      <c r="K910" s="15"/>
      <c r="L910" s="379">
        <f>IF(H910&lt;&gt;"",J910*K910,SUMIFS(L911:L$9844,$F911:$F$9844,"*"&amp;F910&amp;"*",$H911:$H$9844,"&lt;&gt;"))</f>
        <v>0</v>
      </c>
      <c r="M910" s="379" t="str">
        <f>IF(Tabela2[[#This Row],[UNID.]]&lt;&gt;"",IFERROR(VLOOKUP(Tabela2[[#This Row],[AGRUPADOR]],Lucratividade!$D$4:$O$129,6,0),0),"")</f>
        <v/>
      </c>
      <c r="N910" s="379">
        <f>IF(H910&lt;&gt;"",J910*M910*I910,SUMIFS(N911:N$9844,$F911:$F$9844,"*"&amp;F910&amp;"*",$H911:$H$9844,"&lt;&gt;"))</f>
        <v>0</v>
      </c>
      <c r="O910" s="162" t="str">
        <f>IFERROR((-Tabela2[[#This Row],[CUSTO TOTAL]]+Tabela2[[#This Row],[VENDA TOTAL]])/Tabela2[[#This Row],[VENDA TOTAL]]-PARAMETROS!$C$19,"")</f>
        <v/>
      </c>
      <c r="AA910" s="219">
        <f>SUM(Plan_Orc[[#This Row],[01/jan]:[01/dez]])</f>
        <v>0</v>
      </c>
      <c r="AB910" s="15"/>
      <c r="AC910" s="15"/>
      <c r="AD910" s="15"/>
      <c r="AE910" s="15"/>
      <c r="AF910" s="15"/>
      <c r="AG910" s="15"/>
      <c r="AH910" s="15"/>
      <c r="AI910" s="15"/>
      <c r="AJ910" s="15"/>
      <c r="AK910" s="15"/>
      <c r="AL910" s="15"/>
      <c r="AM910" s="15"/>
    </row>
    <row r="911" spans="2:39" ht="25.2" customHeight="1" x14ac:dyDescent="0.3">
      <c r="B911" s="13" t="str">
        <f t="shared" si="18"/>
        <v/>
      </c>
      <c r="C911" s="18"/>
      <c r="D911" s="19" t="str">
        <f>IF(Tabela2[[#This Row],[AGRUPADOR]]&lt;&gt;"",VLOOKUP(Tabela2[[#This Row],[AGRUPADOR]],Tabela1[],2,0),"")</f>
        <v/>
      </c>
      <c r="E911" s="19" t="str">
        <f>IF(Tabela2[[#This Row],[AGRUPADOR]]&lt;&gt;"",VLOOKUP(Tabela2[[#This Row],[AGRUPADOR]],Tabela1[],4,0),"")</f>
        <v/>
      </c>
      <c r="F911" s="14"/>
      <c r="G911" s="6"/>
      <c r="H911" s="6"/>
      <c r="I911" s="25"/>
      <c r="J911" s="7"/>
      <c r="K911" s="15"/>
      <c r="L911" s="379">
        <f>IF(H911&lt;&gt;"",J911*K911,SUMIFS(L912:L$9844,$F912:$F$9844,"*"&amp;F911&amp;"*",$H912:$H$9844,"&lt;&gt;"))</f>
        <v>0</v>
      </c>
      <c r="M911" s="379" t="str">
        <f>IF(Tabela2[[#This Row],[UNID.]]&lt;&gt;"",IFERROR(VLOOKUP(Tabela2[[#This Row],[AGRUPADOR]],Lucratividade!$D$4:$O$129,6,0),0),"")</f>
        <v/>
      </c>
      <c r="N911" s="379">
        <f>IF(H911&lt;&gt;"",J911*M911*I911,SUMIFS(N912:N$9844,$F912:$F$9844,"*"&amp;F911&amp;"*",$H912:$H$9844,"&lt;&gt;"))</f>
        <v>0</v>
      </c>
      <c r="O911" s="162" t="str">
        <f>IFERROR((-Tabela2[[#This Row],[CUSTO TOTAL]]+Tabela2[[#This Row],[VENDA TOTAL]])/Tabela2[[#This Row],[VENDA TOTAL]]-PARAMETROS!$C$19,"")</f>
        <v/>
      </c>
      <c r="AA911" s="219">
        <f>SUM(Plan_Orc[[#This Row],[01/jan]:[01/dez]])</f>
        <v>0</v>
      </c>
      <c r="AB911" s="15"/>
      <c r="AC911" s="15"/>
      <c r="AD911" s="15"/>
      <c r="AE911" s="15"/>
      <c r="AF911" s="15"/>
      <c r="AG911" s="15"/>
      <c r="AH911" s="15"/>
      <c r="AI911" s="15"/>
      <c r="AJ911" s="15"/>
      <c r="AK911" s="15"/>
      <c r="AL911" s="15"/>
      <c r="AM911" s="15"/>
    </row>
    <row r="912" spans="2:39" ht="25.2" customHeight="1" x14ac:dyDescent="0.3">
      <c r="B912" s="13" t="str">
        <f t="shared" si="18"/>
        <v/>
      </c>
      <c r="C912" s="18"/>
      <c r="D912" s="19" t="str">
        <f>IF(Tabela2[[#This Row],[AGRUPADOR]]&lt;&gt;"",VLOOKUP(Tabela2[[#This Row],[AGRUPADOR]],Tabela1[],2,0),"")</f>
        <v/>
      </c>
      <c r="E912" s="19" t="str">
        <f>IF(Tabela2[[#This Row],[AGRUPADOR]]&lt;&gt;"",VLOOKUP(Tabela2[[#This Row],[AGRUPADOR]],Tabela1[],4,0),"")</f>
        <v/>
      </c>
      <c r="F912" s="14"/>
      <c r="G912" s="6"/>
      <c r="H912" s="6"/>
      <c r="I912" s="25"/>
      <c r="J912" s="7"/>
      <c r="K912" s="15"/>
      <c r="L912" s="379">
        <f>IF(H912&lt;&gt;"",J912*K912,SUMIFS(L913:L$9844,$F913:$F$9844,"*"&amp;F912&amp;"*",$H913:$H$9844,"&lt;&gt;"))</f>
        <v>0</v>
      </c>
      <c r="M912" s="379" t="str">
        <f>IF(Tabela2[[#This Row],[UNID.]]&lt;&gt;"",IFERROR(VLOOKUP(Tabela2[[#This Row],[AGRUPADOR]],Lucratividade!$D$4:$O$129,6,0),0),"")</f>
        <v/>
      </c>
      <c r="N912" s="379">
        <f>IF(H912&lt;&gt;"",J912*M912*I912,SUMIFS(N913:N$9844,$F913:$F$9844,"*"&amp;F912&amp;"*",$H913:$H$9844,"&lt;&gt;"))</f>
        <v>0</v>
      </c>
      <c r="O912" s="162" t="str">
        <f>IFERROR((-Tabela2[[#This Row],[CUSTO TOTAL]]+Tabela2[[#This Row],[VENDA TOTAL]])/Tabela2[[#This Row],[VENDA TOTAL]]-PARAMETROS!$C$19,"")</f>
        <v/>
      </c>
      <c r="AA912" s="219">
        <f>SUM(Plan_Orc[[#This Row],[01/jan]:[01/dez]])</f>
        <v>0</v>
      </c>
      <c r="AB912" s="15"/>
      <c r="AC912" s="15"/>
      <c r="AD912" s="15"/>
      <c r="AE912" s="15"/>
      <c r="AF912" s="15"/>
      <c r="AG912" s="15"/>
      <c r="AH912" s="15"/>
      <c r="AI912" s="15"/>
      <c r="AJ912" s="15"/>
      <c r="AK912" s="15"/>
      <c r="AL912" s="15"/>
      <c r="AM912" s="15"/>
    </row>
    <row r="913" spans="2:39" ht="25.2" customHeight="1" x14ac:dyDescent="0.3">
      <c r="B913" s="13" t="str">
        <f t="shared" si="18"/>
        <v/>
      </c>
      <c r="C913" s="18"/>
      <c r="D913" s="19" t="str">
        <f>IF(Tabela2[[#This Row],[AGRUPADOR]]&lt;&gt;"",VLOOKUP(Tabela2[[#This Row],[AGRUPADOR]],Tabela1[],2,0),"")</f>
        <v/>
      </c>
      <c r="E913" s="19" t="str">
        <f>IF(Tabela2[[#This Row],[AGRUPADOR]]&lt;&gt;"",VLOOKUP(Tabela2[[#This Row],[AGRUPADOR]],Tabela1[],4,0),"")</f>
        <v/>
      </c>
      <c r="F913" s="14"/>
      <c r="G913" s="6"/>
      <c r="H913" s="6"/>
      <c r="I913" s="25"/>
      <c r="J913" s="7"/>
      <c r="K913" s="15"/>
      <c r="L913" s="379">
        <f>IF(H913&lt;&gt;"",J913*K913,SUMIFS(L914:L$9844,$F914:$F$9844,"*"&amp;F913&amp;"*",$H914:$H$9844,"&lt;&gt;"))</f>
        <v>0</v>
      </c>
      <c r="M913" s="379" t="str">
        <f>IF(Tabela2[[#This Row],[UNID.]]&lt;&gt;"",IFERROR(VLOOKUP(Tabela2[[#This Row],[AGRUPADOR]],Lucratividade!$D$4:$O$129,6,0),0),"")</f>
        <v/>
      </c>
      <c r="N913" s="379">
        <f>IF(H913&lt;&gt;"",J913*M913*I913,SUMIFS(N914:N$9844,$F914:$F$9844,"*"&amp;F913&amp;"*",$H914:$H$9844,"&lt;&gt;"))</f>
        <v>0</v>
      </c>
      <c r="O913" s="162" t="str">
        <f>IFERROR((-Tabela2[[#This Row],[CUSTO TOTAL]]+Tabela2[[#This Row],[VENDA TOTAL]])/Tabela2[[#This Row],[VENDA TOTAL]]-PARAMETROS!$C$19,"")</f>
        <v/>
      </c>
      <c r="AA913" s="219">
        <f>SUM(Plan_Orc[[#This Row],[01/jan]:[01/dez]])</f>
        <v>0</v>
      </c>
      <c r="AB913" s="15"/>
      <c r="AC913" s="15"/>
      <c r="AD913" s="15"/>
      <c r="AE913" s="15"/>
      <c r="AF913" s="15"/>
      <c r="AG913" s="15"/>
      <c r="AH913" s="15"/>
      <c r="AI913" s="15"/>
      <c r="AJ913" s="15"/>
      <c r="AK913" s="15"/>
      <c r="AL913" s="15"/>
      <c r="AM913" s="15"/>
    </row>
    <row r="914" spans="2:39" ht="25.2" customHeight="1" x14ac:dyDescent="0.3">
      <c r="B914" s="13" t="str">
        <f t="shared" si="18"/>
        <v/>
      </c>
      <c r="C914" s="18"/>
      <c r="D914" s="19" t="str">
        <f>IF(Tabela2[[#This Row],[AGRUPADOR]]&lt;&gt;"",VLOOKUP(Tabela2[[#This Row],[AGRUPADOR]],Tabela1[],2,0),"")</f>
        <v/>
      </c>
      <c r="E914" s="19" t="str">
        <f>IF(Tabela2[[#This Row],[AGRUPADOR]]&lt;&gt;"",VLOOKUP(Tabela2[[#This Row],[AGRUPADOR]],Tabela1[],4,0),"")</f>
        <v/>
      </c>
      <c r="F914" s="14"/>
      <c r="G914" s="6"/>
      <c r="H914" s="6"/>
      <c r="I914" s="25"/>
      <c r="J914" s="7"/>
      <c r="K914" s="15"/>
      <c r="L914" s="379">
        <f>IF(H914&lt;&gt;"",J914*K914,SUMIFS(L915:L$9844,$F915:$F$9844,"*"&amp;F914&amp;"*",$H915:$H$9844,"&lt;&gt;"))</f>
        <v>0</v>
      </c>
      <c r="M914" s="379" t="str">
        <f>IF(Tabela2[[#This Row],[UNID.]]&lt;&gt;"",IFERROR(VLOOKUP(Tabela2[[#This Row],[AGRUPADOR]],Lucratividade!$D$4:$O$129,6,0),0),"")</f>
        <v/>
      </c>
      <c r="N914" s="379">
        <f>IF(H914&lt;&gt;"",J914*M914*I914,SUMIFS(N915:N$9844,$F915:$F$9844,"*"&amp;F914&amp;"*",$H915:$H$9844,"&lt;&gt;"))</f>
        <v>0</v>
      </c>
      <c r="O914" s="162" t="str">
        <f>IFERROR((-Tabela2[[#This Row],[CUSTO TOTAL]]+Tabela2[[#This Row],[VENDA TOTAL]])/Tabela2[[#This Row],[VENDA TOTAL]]-PARAMETROS!$C$19,"")</f>
        <v/>
      </c>
      <c r="AA914" s="219">
        <f>SUM(Plan_Orc[[#This Row],[01/jan]:[01/dez]])</f>
        <v>0</v>
      </c>
      <c r="AB914" s="15"/>
      <c r="AC914" s="15"/>
      <c r="AD914" s="15"/>
      <c r="AE914" s="15"/>
      <c r="AF914" s="15"/>
      <c r="AG914" s="15"/>
      <c r="AH914" s="15"/>
      <c r="AI914" s="15"/>
      <c r="AJ914" s="15"/>
      <c r="AK914" s="15"/>
      <c r="AL914" s="15"/>
      <c r="AM914" s="15"/>
    </row>
    <row r="915" spans="2:39" ht="25.2" customHeight="1" x14ac:dyDescent="0.3">
      <c r="B915" s="13" t="str">
        <f t="shared" si="18"/>
        <v/>
      </c>
      <c r="C915" s="18"/>
      <c r="D915" s="19" t="str">
        <f>IF(Tabela2[[#This Row],[AGRUPADOR]]&lt;&gt;"",VLOOKUP(Tabela2[[#This Row],[AGRUPADOR]],Tabela1[],2,0),"")</f>
        <v/>
      </c>
      <c r="E915" s="19" t="str">
        <f>IF(Tabela2[[#This Row],[AGRUPADOR]]&lt;&gt;"",VLOOKUP(Tabela2[[#This Row],[AGRUPADOR]],Tabela1[],4,0),"")</f>
        <v/>
      </c>
      <c r="F915" s="14"/>
      <c r="G915" s="6"/>
      <c r="H915" s="6"/>
      <c r="I915" s="25"/>
      <c r="J915" s="7"/>
      <c r="K915" s="15"/>
      <c r="L915" s="379">
        <f>IF(H915&lt;&gt;"",J915*K915,SUMIFS(L916:L$9844,$F916:$F$9844,"*"&amp;F915&amp;"*",$H916:$H$9844,"&lt;&gt;"))</f>
        <v>0</v>
      </c>
      <c r="M915" s="379" t="str">
        <f>IF(Tabela2[[#This Row],[UNID.]]&lt;&gt;"",IFERROR(VLOOKUP(Tabela2[[#This Row],[AGRUPADOR]],Lucratividade!$D$4:$O$129,6,0),0),"")</f>
        <v/>
      </c>
      <c r="N915" s="379">
        <f>IF(H915&lt;&gt;"",J915*M915*I915,SUMIFS(N916:N$9844,$F916:$F$9844,"*"&amp;F915&amp;"*",$H916:$H$9844,"&lt;&gt;"))</f>
        <v>0</v>
      </c>
      <c r="O915" s="162" t="str">
        <f>IFERROR((-Tabela2[[#This Row],[CUSTO TOTAL]]+Tabela2[[#This Row],[VENDA TOTAL]])/Tabela2[[#This Row],[VENDA TOTAL]]-PARAMETROS!$C$19,"")</f>
        <v/>
      </c>
      <c r="AA915" s="224">
        <f>SUM(Plan_Orc[[#This Row],[01/jan]:[01/dez]])</f>
        <v>0</v>
      </c>
      <c r="AB915" s="203"/>
      <c r="AC915" s="203"/>
      <c r="AD915" s="203"/>
      <c r="AE915" s="203"/>
      <c r="AF915" s="203"/>
      <c r="AG915" s="203"/>
      <c r="AH915" s="203"/>
      <c r="AI915" s="203"/>
      <c r="AJ915" s="203"/>
      <c r="AK915" s="203"/>
      <c r="AL915" s="203"/>
      <c r="AM915" s="203"/>
    </row>
    <row r="916" spans="2:39" ht="25.2" customHeight="1" x14ac:dyDescent="0.3">
      <c r="B916" s="13" t="str">
        <f t="shared" si="18"/>
        <v/>
      </c>
      <c r="C916" s="18"/>
      <c r="D916" s="19" t="str">
        <f>IF(Tabela2[[#This Row],[AGRUPADOR]]&lt;&gt;"",VLOOKUP(Tabela2[[#This Row],[AGRUPADOR]],Tabela1[],2,0),"")</f>
        <v/>
      </c>
      <c r="E916" s="19" t="str">
        <f>IF(Tabela2[[#This Row],[AGRUPADOR]]&lt;&gt;"",VLOOKUP(Tabela2[[#This Row],[AGRUPADOR]],Tabela1[],4,0),"")</f>
        <v/>
      </c>
      <c r="F916" s="14"/>
      <c r="G916" s="6"/>
      <c r="H916" s="6"/>
      <c r="I916" s="25"/>
      <c r="J916" s="7"/>
      <c r="K916" s="15"/>
      <c r="L916" s="379">
        <f>IF(H916&lt;&gt;"",J916*K916,SUMIFS(L917:L$9844,$F917:$F$9844,"*"&amp;F916&amp;"*",$H917:$H$9844,"&lt;&gt;"))</f>
        <v>0</v>
      </c>
      <c r="M916" s="379" t="str">
        <f>IF(Tabela2[[#This Row],[UNID.]]&lt;&gt;"",IFERROR(VLOOKUP(Tabela2[[#This Row],[AGRUPADOR]],Lucratividade!$D$4:$O$129,6,0),0),"")</f>
        <v/>
      </c>
      <c r="N916" s="379">
        <f>IF(H916&lt;&gt;"",J916*M916*I916,SUMIFS(N917:N$9844,$F917:$F$9844,"*"&amp;F916&amp;"*",$H917:$H$9844,"&lt;&gt;"))</f>
        <v>0</v>
      </c>
      <c r="O916" s="162" t="str">
        <f>IFERROR((-Tabela2[[#This Row],[CUSTO TOTAL]]+Tabela2[[#This Row],[VENDA TOTAL]])/Tabela2[[#This Row],[VENDA TOTAL]]-PARAMETROS!$C$19,"")</f>
        <v/>
      </c>
      <c r="AA916" s="218">
        <f>SUM(Plan_Orc[[#This Row],[01/jan]:[01/dez]])</f>
        <v>0</v>
      </c>
      <c r="AB916" s="12"/>
      <c r="AC916" s="12"/>
      <c r="AD916" s="12"/>
      <c r="AE916" s="12"/>
      <c r="AF916" s="12"/>
      <c r="AG916" s="12"/>
      <c r="AH916" s="12"/>
      <c r="AI916" s="12"/>
      <c r="AJ916" s="12"/>
      <c r="AK916" s="12"/>
      <c r="AL916" s="12"/>
      <c r="AM916" s="12"/>
    </row>
    <row r="917" spans="2:39" ht="25.2" customHeight="1" x14ac:dyDescent="0.3">
      <c r="B917" s="13" t="str">
        <f t="shared" si="18"/>
        <v/>
      </c>
      <c r="C917" s="18"/>
      <c r="D917" s="19" t="str">
        <f>IF(Tabela2[[#This Row],[AGRUPADOR]]&lt;&gt;"",VLOOKUP(Tabela2[[#This Row],[AGRUPADOR]],Tabela1[],2,0),"")</f>
        <v/>
      </c>
      <c r="E917" s="19" t="str">
        <f>IF(Tabela2[[#This Row],[AGRUPADOR]]&lt;&gt;"",VLOOKUP(Tabela2[[#This Row],[AGRUPADOR]],Tabela1[],4,0),"")</f>
        <v/>
      </c>
      <c r="F917" s="14"/>
      <c r="G917" s="6"/>
      <c r="H917" s="6"/>
      <c r="I917" s="25"/>
      <c r="J917" s="7"/>
      <c r="K917" s="15"/>
      <c r="L917" s="379">
        <f>IF(H917&lt;&gt;"",J917*K917,SUMIFS(L918:L$9844,$F918:$F$9844,"*"&amp;F917&amp;"*",$H918:$H$9844,"&lt;&gt;"))</f>
        <v>0</v>
      </c>
      <c r="M917" s="379" t="str">
        <f>IF(Tabela2[[#This Row],[UNID.]]&lt;&gt;"",IFERROR(VLOOKUP(Tabela2[[#This Row],[AGRUPADOR]],Lucratividade!$D$4:$O$129,6,0),0),"")</f>
        <v/>
      </c>
      <c r="N917" s="379">
        <f>IF(H917&lt;&gt;"",J917*M917*I917,SUMIFS(N918:N$9844,$F918:$F$9844,"*"&amp;F917&amp;"*",$H918:$H$9844,"&lt;&gt;"))</f>
        <v>0</v>
      </c>
      <c r="O917" s="162" t="str">
        <f>IFERROR((-Tabela2[[#This Row],[CUSTO TOTAL]]+Tabela2[[#This Row],[VENDA TOTAL]])/Tabela2[[#This Row],[VENDA TOTAL]]-PARAMETROS!$C$19,"")</f>
        <v/>
      </c>
      <c r="AA917" s="219">
        <f>SUM(Plan_Orc[[#This Row],[01/jan]:[01/dez]])</f>
        <v>0</v>
      </c>
      <c r="AB917" s="15"/>
      <c r="AC917" s="15"/>
      <c r="AD917" s="15"/>
      <c r="AE917" s="15"/>
      <c r="AF917" s="15"/>
      <c r="AG917" s="15"/>
      <c r="AH917" s="15"/>
      <c r="AI917" s="15"/>
      <c r="AJ917" s="15"/>
      <c r="AK917" s="15"/>
      <c r="AL917" s="15"/>
      <c r="AM917" s="15"/>
    </row>
    <row r="918" spans="2:39" ht="25.2" customHeight="1" x14ac:dyDescent="0.3">
      <c r="B918" s="13" t="str">
        <f t="shared" si="18"/>
        <v/>
      </c>
      <c r="C918" s="18"/>
      <c r="D918" s="19" t="str">
        <f>IF(Tabela2[[#This Row],[AGRUPADOR]]&lt;&gt;"",VLOOKUP(Tabela2[[#This Row],[AGRUPADOR]],Tabela1[],2,0),"")</f>
        <v/>
      </c>
      <c r="E918" s="19" t="str">
        <f>IF(Tabela2[[#This Row],[AGRUPADOR]]&lt;&gt;"",VLOOKUP(Tabela2[[#This Row],[AGRUPADOR]],Tabela1[],4,0),"")</f>
        <v/>
      </c>
      <c r="F918" s="14"/>
      <c r="G918" s="6"/>
      <c r="H918" s="6"/>
      <c r="I918" s="25"/>
      <c r="J918" s="7"/>
      <c r="K918" s="15"/>
      <c r="L918" s="379">
        <f>IF(H918&lt;&gt;"",J918*K918,SUMIFS(L919:L$9844,$F919:$F$9844,"*"&amp;F918&amp;"*",$H919:$H$9844,"&lt;&gt;"))</f>
        <v>0</v>
      </c>
      <c r="M918" s="379" t="str">
        <f>IF(Tabela2[[#This Row],[UNID.]]&lt;&gt;"",IFERROR(VLOOKUP(Tabela2[[#This Row],[AGRUPADOR]],Lucratividade!$D$4:$O$129,6,0),0),"")</f>
        <v/>
      </c>
      <c r="N918" s="379">
        <f>IF(H918&lt;&gt;"",J918*M918*I918,SUMIFS(N919:N$9844,$F919:$F$9844,"*"&amp;F918&amp;"*",$H919:$H$9844,"&lt;&gt;"))</f>
        <v>0</v>
      </c>
      <c r="O918" s="162" t="str">
        <f>IFERROR((-Tabela2[[#This Row],[CUSTO TOTAL]]+Tabela2[[#This Row],[VENDA TOTAL]])/Tabela2[[#This Row],[VENDA TOTAL]]-PARAMETROS!$C$19,"")</f>
        <v/>
      </c>
      <c r="AA918" s="219">
        <f>SUM(Plan_Orc[[#This Row],[01/jan]:[01/dez]])</f>
        <v>0</v>
      </c>
      <c r="AB918" s="15"/>
      <c r="AC918" s="15"/>
      <c r="AD918" s="15"/>
      <c r="AE918" s="15"/>
      <c r="AF918" s="15"/>
      <c r="AG918" s="15"/>
      <c r="AH918" s="15"/>
      <c r="AI918" s="15"/>
      <c r="AJ918" s="15"/>
      <c r="AK918" s="15"/>
      <c r="AL918" s="15"/>
      <c r="AM918" s="15"/>
    </row>
    <row r="919" spans="2:39" ht="25.2" customHeight="1" x14ac:dyDescent="0.3">
      <c r="B919" s="13" t="str">
        <f t="shared" si="18"/>
        <v/>
      </c>
      <c r="C919" s="18"/>
      <c r="D919" s="19" t="str">
        <f>IF(Tabela2[[#This Row],[AGRUPADOR]]&lt;&gt;"",VLOOKUP(Tabela2[[#This Row],[AGRUPADOR]],Tabela1[],2,0),"")</f>
        <v/>
      </c>
      <c r="E919" s="19" t="str">
        <f>IF(Tabela2[[#This Row],[AGRUPADOR]]&lt;&gt;"",VLOOKUP(Tabela2[[#This Row],[AGRUPADOR]],Tabela1[],4,0),"")</f>
        <v/>
      </c>
      <c r="F919" s="14"/>
      <c r="G919" s="6"/>
      <c r="H919" s="6"/>
      <c r="I919" s="25"/>
      <c r="J919" s="7"/>
      <c r="K919" s="15"/>
      <c r="L919" s="379">
        <f>IF(H919&lt;&gt;"",J919*K919,SUMIFS(L920:L$9844,$F920:$F$9844,"*"&amp;F919&amp;"*",$H920:$H$9844,"&lt;&gt;"))</f>
        <v>0</v>
      </c>
      <c r="M919" s="379" t="str">
        <f>IF(Tabela2[[#This Row],[UNID.]]&lt;&gt;"",IFERROR(VLOOKUP(Tabela2[[#This Row],[AGRUPADOR]],Lucratividade!$D$4:$O$129,6,0),0),"")</f>
        <v/>
      </c>
      <c r="N919" s="379">
        <f>IF(H919&lt;&gt;"",J919*M919*I919,SUMIFS(N920:N$9844,$F920:$F$9844,"*"&amp;F919&amp;"*",$H920:$H$9844,"&lt;&gt;"))</f>
        <v>0</v>
      </c>
      <c r="O919" s="162" t="str">
        <f>IFERROR((-Tabela2[[#This Row],[CUSTO TOTAL]]+Tabela2[[#This Row],[VENDA TOTAL]])/Tabela2[[#This Row],[VENDA TOTAL]]-PARAMETROS!$C$19,"")</f>
        <v/>
      </c>
      <c r="AA919" s="219">
        <f>SUM(Plan_Orc[[#This Row],[01/jan]:[01/dez]])</f>
        <v>0</v>
      </c>
      <c r="AB919" s="15"/>
      <c r="AC919" s="15"/>
      <c r="AD919" s="15"/>
      <c r="AE919" s="15"/>
      <c r="AF919" s="15"/>
      <c r="AG919" s="15"/>
      <c r="AH919" s="15"/>
      <c r="AI919" s="15"/>
      <c r="AJ919" s="15"/>
      <c r="AK919" s="15"/>
      <c r="AL919" s="15"/>
      <c r="AM919" s="15"/>
    </row>
    <row r="920" spans="2:39" ht="25.2" customHeight="1" x14ac:dyDescent="0.3">
      <c r="B920" s="13" t="str">
        <f t="shared" si="18"/>
        <v/>
      </c>
      <c r="C920" s="18"/>
      <c r="D920" s="19" t="str">
        <f>IF(Tabela2[[#This Row],[AGRUPADOR]]&lt;&gt;"",VLOOKUP(Tabela2[[#This Row],[AGRUPADOR]],Tabela1[],2,0),"")</f>
        <v/>
      </c>
      <c r="E920" s="19" t="str">
        <f>IF(Tabela2[[#This Row],[AGRUPADOR]]&lt;&gt;"",VLOOKUP(Tabela2[[#This Row],[AGRUPADOR]],Tabela1[],4,0),"")</f>
        <v/>
      </c>
      <c r="F920" s="14"/>
      <c r="G920" s="6"/>
      <c r="H920" s="6"/>
      <c r="I920" s="25"/>
      <c r="J920" s="7"/>
      <c r="K920" s="15"/>
      <c r="L920" s="379">
        <f>IF(H920&lt;&gt;"",J920*K920,SUMIFS(L921:L$9844,$F921:$F$9844,"*"&amp;F920&amp;"*",$H921:$H$9844,"&lt;&gt;"))</f>
        <v>0</v>
      </c>
      <c r="M920" s="379" t="str">
        <f>IF(Tabela2[[#This Row],[UNID.]]&lt;&gt;"",IFERROR(VLOOKUP(Tabela2[[#This Row],[AGRUPADOR]],Lucratividade!$D$4:$O$129,6,0),0),"")</f>
        <v/>
      </c>
      <c r="N920" s="379">
        <f>IF(H920&lt;&gt;"",J920*M920*I920,SUMIFS(N921:N$9844,$F921:$F$9844,"*"&amp;F920&amp;"*",$H921:$H$9844,"&lt;&gt;"))</f>
        <v>0</v>
      </c>
      <c r="O920" s="162" t="str">
        <f>IFERROR((-Tabela2[[#This Row],[CUSTO TOTAL]]+Tabela2[[#This Row],[VENDA TOTAL]])/Tabela2[[#This Row],[VENDA TOTAL]]-PARAMETROS!$C$19,"")</f>
        <v/>
      </c>
      <c r="AA920" s="219">
        <f>SUM(Plan_Orc[[#This Row],[01/jan]:[01/dez]])</f>
        <v>0</v>
      </c>
      <c r="AB920" s="15"/>
      <c r="AC920" s="15"/>
      <c r="AD920" s="15"/>
      <c r="AE920" s="15"/>
      <c r="AF920" s="15"/>
      <c r="AG920" s="15"/>
      <c r="AH920" s="15"/>
      <c r="AI920" s="15"/>
      <c r="AJ920" s="15"/>
      <c r="AK920" s="15"/>
      <c r="AL920" s="15"/>
      <c r="AM920" s="15"/>
    </row>
    <row r="921" spans="2:39" ht="25.2" customHeight="1" x14ac:dyDescent="0.3">
      <c r="B921" s="13" t="str">
        <f t="shared" si="18"/>
        <v/>
      </c>
      <c r="C921" s="18"/>
      <c r="D921" s="19" t="str">
        <f>IF(Tabela2[[#This Row],[AGRUPADOR]]&lt;&gt;"",VLOOKUP(Tabela2[[#This Row],[AGRUPADOR]],Tabela1[],2,0),"")</f>
        <v/>
      </c>
      <c r="E921" s="19" t="str">
        <f>IF(Tabela2[[#This Row],[AGRUPADOR]]&lt;&gt;"",VLOOKUP(Tabela2[[#This Row],[AGRUPADOR]],Tabela1[],4,0),"")</f>
        <v/>
      </c>
      <c r="F921" s="14"/>
      <c r="G921" s="6"/>
      <c r="H921" s="6"/>
      <c r="I921" s="25"/>
      <c r="J921" s="7"/>
      <c r="K921" s="15"/>
      <c r="L921" s="379">
        <f>IF(H921&lt;&gt;"",J921*K921,SUMIFS(L922:L$9844,$F922:$F$9844,"*"&amp;F921&amp;"*",$H922:$H$9844,"&lt;&gt;"))</f>
        <v>0</v>
      </c>
      <c r="M921" s="379" t="str">
        <f>IF(Tabela2[[#This Row],[UNID.]]&lt;&gt;"",IFERROR(VLOOKUP(Tabela2[[#This Row],[AGRUPADOR]],Lucratividade!$D$4:$O$129,6,0),0),"")</f>
        <v/>
      </c>
      <c r="N921" s="379">
        <f>IF(H921&lt;&gt;"",J921*M921*I921,SUMIFS(N922:N$9844,$F922:$F$9844,"*"&amp;F921&amp;"*",$H922:$H$9844,"&lt;&gt;"))</f>
        <v>0</v>
      </c>
      <c r="O921" s="162" t="str">
        <f>IFERROR((-Tabela2[[#This Row],[CUSTO TOTAL]]+Tabela2[[#This Row],[VENDA TOTAL]])/Tabela2[[#This Row],[VENDA TOTAL]]-PARAMETROS!$C$19,"")</f>
        <v/>
      </c>
      <c r="AA921" s="219">
        <f>SUM(Plan_Orc[[#This Row],[01/jan]:[01/dez]])</f>
        <v>0</v>
      </c>
      <c r="AB921" s="15"/>
      <c r="AC921" s="15"/>
      <c r="AD921" s="15"/>
      <c r="AE921" s="15"/>
      <c r="AF921" s="15"/>
      <c r="AG921" s="15"/>
      <c r="AH921" s="15"/>
      <c r="AI921" s="15"/>
      <c r="AJ921" s="15"/>
      <c r="AK921" s="15"/>
      <c r="AL921" s="15"/>
      <c r="AM921" s="15"/>
    </row>
    <row r="922" spans="2:39" ht="25.2" customHeight="1" x14ac:dyDescent="0.3">
      <c r="B922" s="13" t="str">
        <f t="shared" si="18"/>
        <v/>
      </c>
      <c r="C922" s="18"/>
      <c r="D922" s="19" t="str">
        <f>IF(Tabela2[[#This Row],[AGRUPADOR]]&lt;&gt;"",VLOOKUP(Tabela2[[#This Row],[AGRUPADOR]],Tabela1[],2,0),"")</f>
        <v/>
      </c>
      <c r="E922" s="19" t="str">
        <f>IF(Tabela2[[#This Row],[AGRUPADOR]]&lt;&gt;"",VLOOKUP(Tabela2[[#This Row],[AGRUPADOR]],Tabela1[],4,0),"")</f>
        <v/>
      </c>
      <c r="F922" s="14"/>
      <c r="G922" s="6"/>
      <c r="H922" s="6"/>
      <c r="I922" s="25"/>
      <c r="J922" s="7"/>
      <c r="K922" s="15"/>
      <c r="L922" s="379">
        <f>IF(H922&lt;&gt;"",J922*K922,SUMIFS(L923:L$9844,$F923:$F$9844,"*"&amp;F922&amp;"*",$H923:$H$9844,"&lt;&gt;"))</f>
        <v>0</v>
      </c>
      <c r="M922" s="379" t="str">
        <f>IF(Tabela2[[#This Row],[UNID.]]&lt;&gt;"",IFERROR(VLOOKUP(Tabela2[[#This Row],[AGRUPADOR]],Lucratividade!$D$4:$O$129,6,0),0),"")</f>
        <v/>
      </c>
      <c r="N922" s="379">
        <f>IF(H922&lt;&gt;"",J922*M922*I922,SUMIFS(N923:N$9844,$F923:$F$9844,"*"&amp;F922&amp;"*",$H923:$H$9844,"&lt;&gt;"))</f>
        <v>0</v>
      </c>
      <c r="O922" s="162" t="str">
        <f>IFERROR((-Tabela2[[#This Row],[CUSTO TOTAL]]+Tabela2[[#This Row],[VENDA TOTAL]])/Tabela2[[#This Row],[VENDA TOTAL]]-PARAMETROS!$C$19,"")</f>
        <v/>
      </c>
      <c r="AA922" s="219">
        <f>SUM(Plan_Orc[[#This Row],[01/jan]:[01/dez]])</f>
        <v>0</v>
      </c>
      <c r="AB922" s="15"/>
      <c r="AC922" s="15"/>
      <c r="AD922" s="15"/>
      <c r="AE922" s="15"/>
      <c r="AF922" s="15"/>
      <c r="AG922" s="15"/>
      <c r="AH922" s="15"/>
      <c r="AI922" s="15"/>
      <c r="AJ922" s="15"/>
      <c r="AK922" s="15"/>
      <c r="AL922" s="15"/>
      <c r="AM922" s="15"/>
    </row>
    <row r="923" spans="2:39" ht="25.2" customHeight="1" x14ac:dyDescent="0.3">
      <c r="B923" s="13" t="str">
        <f t="shared" si="18"/>
        <v/>
      </c>
      <c r="C923" s="18"/>
      <c r="D923" s="19" t="str">
        <f>IF(Tabela2[[#This Row],[AGRUPADOR]]&lt;&gt;"",VLOOKUP(Tabela2[[#This Row],[AGRUPADOR]],Tabela1[],2,0),"")</f>
        <v/>
      </c>
      <c r="E923" s="19" t="str">
        <f>IF(Tabela2[[#This Row],[AGRUPADOR]]&lt;&gt;"",VLOOKUP(Tabela2[[#This Row],[AGRUPADOR]],Tabela1[],4,0),"")</f>
        <v/>
      </c>
      <c r="F923" s="14"/>
      <c r="G923" s="6"/>
      <c r="H923" s="6"/>
      <c r="I923" s="25"/>
      <c r="J923" s="7"/>
      <c r="K923" s="15"/>
      <c r="L923" s="379">
        <f>IF(H923&lt;&gt;"",J923*K923,SUMIFS(L924:L$9844,$F924:$F$9844,"*"&amp;F923&amp;"*",$H924:$H$9844,"&lt;&gt;"))</f>
        <v>0</v>
      </c>
      <c r="M923" s="379" t="str">
        <f>IF(Tabela2[[#This Row],[UNID.]]&lt;&gt;"",IFERROR(VLOOKUP(Tabela2[[#This Row],[AGRUPADOR]],Lucratividade!$D$4:$O$129,6,0),0),"")</f>
        <v/>
      </c>
      <c r="N923" s="379">
        <f>IF(H923&lt;&gt;"",J923*M923*I923,SUMIFS(N924:N$9844,$F924:$F$9844,"*"&amp;F923&amp;"*",$H924:$H$9844,"&lt;&gt;"))</f>
        <v>0</v>
      </c>
      <c r="O923" s="162" t="str">
        <f>IFERROR((-Tabela2[[#This Row],[CUSTO TOTAL]]+Tabela2[[#This Row],[VENDA TOTAL]])/Tabela2[[#This Row],[VENDA TOTAL]]-PARAMETROS!$C$19,"")</f>
        <v/>
      </c>
      <c r="AA923" s="219">
        <f>SUM(Plan_Orc[[#This Row],[01/jan]:[01/dez]])</f>
        <v>0</v>
      </c>
      <c r="AB923" s="15"/>
      <c r="AC923" s="15"/>
      <c r="AD923" s="15"/>
      <c r="AE923" s="15"/>
      <c r="AF923" s="15"/>
      <c r="AG923" s="15"/>
      <c r="AH923" s="15"/>
      <c r="AI923" s="15"/>
      <c r="AJ923" s="15"/>
      <c r="AK923" s="15"/>
      <c r="AL923" s="15"/>
      <c r="AM923" s="15"/>
    </row>
    <row r="924" spans="2:39" ht="25.2" customHeight="1" x14ac:dyDescent="0.3">
      <c r="B924" s="13" t="str">
        <f t="shared" si="18"/>
        <v/>
      </c>
      <c r="C924" s="18"/>
      <c r="D924" s="19" t="str">
        <f>IF(Tabela2[[#This Row],[AGRUPADOR]]&lt;&gt;"",VLOOKUP(Tabela2[[#This Row],[AGRUPADOR]],Tabela1[],2,0),"")</f>
        <v/>
      </c>
      <c r="E924" s="19" t="str">
        <f>IF(Tabela2[[#This Row],[AGRUPADOR]]&lt;&gt;"",VLOOKUP(Tabela2[[#This Row],[AGRUPADOR]],Tabela1[],4,0),"")</f>
        <v/>
      </c>
      <c r="F924" s="14"/>
      <c r="G924" s="6"/>
      <c r="H924" s="6"/>
      <c r="I924" s="25"/>
      <c r="J924" s="7"/>
      <c r="K924" s="15"/>
      <c r="L924" s="379">
        <f>IF(H924&lt;&gt;"",J924*K924,SUMIFS(L925:L$9844,$F925:$F$9844,"*"&amp;F924&amp;"*",$H925:$H$9844,"&lt;&gt;"))</f>
        <v>0</v>
      </c>
      <c r="M924" s="379" t="str">
        <f>IF(Tabela2[[#This Row],[UNID.]]&lt;&gt;"",IFERROR(VLOOKUP(Tabela2[[#This Row],[AGRUPADOR]],Lucratividade!$D$4:$O$129,6,0),0),"")</f>
        <v/>
      </c>
      <c r="N924" s="379">
        <f>IF(H924&lt;&gt;"",J924*M924*I924,SUMIFS(N925:N$9844,$F925:$F$9844,"*"&amp;F924&amp;"*",$H925:$H$9844,"&lt;&gt;"))</f>
        <v>0</v>
      </c>
      <c r="O924" s="162" t="str">
        <f>IFERROR((-Tabela2[[#This Row],[CUSTO TOTAL]]+Tabela2[[#This Row],[VENDA TOTAL]])/Tabela2[[#This Row],[VENDA TOTAL]]-PARAMETROS!$C$19,"")</f>
        <v/>
      </c>
      <c r="AA924" s="219">
        <f>SUM(Plan_Orc[[#This Row],[01/jan]:[01/dez]])</f>
        <v>0</v>
      </c>
      <c r="AB924" s="15"/>
      <c r="AC924" s="15"/>
      <c r="AD924" s="15"/>
      <c r="AE924" s="15"/>
      <c r="AF924" s="15"/>
      <c r="AG924" s="15"/>
      <c r="AH924" s="15"/>
      <c r="AI924" s="15"/>
      <c r="AJ924" s="15"/>
      <c r="AK924" s="15"/>
      <c r="AL924" s="15"/>
      <c r="AM924" s="15"/>
    </row>
    <row r="925" spans="2:39" ht="25.2" customHeight="1" x14ac:dyDescent="0.3">
      <c r="B925" s="13" t="str">
        <f t="shared" si="18"/>
        <v/>
      </c>
      <c r="C925" s="18"/>
      <c r="D925" s="19" t="str">
        <f>IF(Tabela2[[#This Row],[AGRUPADOR]]&lt;&gt;"",VLOOKUP(Tabela2[[#This Row],[AGRUPADOR]],Tabela1[],2,0),"")</f>
        <v/>
      </c>
      <c r="E925" s="19" t="str">
        <f>IF(Tabela2[[#This Row],[AGRUPADOR]]&lt;&gt;"",VLOOKUP(Tabela2[[#This Row],[AGRUPADOR]],Tabela1[],4,0),"")</f>
        <v/>
      </c>
      <c r="F925" s="14"/>
      <c r="G925" s="6"/>
      <c r="H925" s="6"/>
      <c r="I925" s="25"/>
      <c r="J925" s="7"/>
      <c r="K925" s="15"/>
      <c r="L925" s="379">
        <f>IF(H925&lt;&gt;"",J925*K925,SUMIFS(L926:L$9844,$F926:$F$9844,"*"&amp;F925&amp;"*",$H926:$H$9844,"&lt;&gt;"))</f>
        <v>0</v>
      </c>
      <c r="M925" s="379" t="str">
        <f>IF(Tabela2[[#This Row],[UNID.]]&lt;&gt;"",IFERROR(VLOOKUP(Tabela2[[#This Row],[AGRUPADOR]],Lucratividade!$D$4:$O$129,6,0),0),"")</f>
        <v/>
      </c>
      <c r="N925" s="379">
        <f>IF(H925&lt;&gt;"",J925*M925*I925,SUMIFS(N926:N$9844,$F926:$F$9844,"*"&amp;F925&amp;"*",$H926:$H$9844,"&lt;&gt;"))</f>
        <v>0</v>
      </c>
      <c r="O925" s="162" t="str">
        <f>IFERROR((-Tabela2[[#This Row],[CUSTO TOTAL]]+Tabela2[[#This Row],[VENDA TOTAL]])/Tabela2[[#This Row],[VENDA TOTAL]]-PARAMETROS!$C$19,"")</f>
        <v/>
      </c>
      <c r="AA925" s="219">
        <f>SUM(Plan_Orc[[#This Row],[01/jan]:[01/dez]])</f>
        <v>0</v>
      </c>
      <c r="AB925" s="15"/>
      <c r="AC925" s="15"/>
      <c r="AD925" s="15"/>
      <c r="AE925" s="15"/>
      <c r="AF925" s="15"/>
      <c r="AG925" s="15"/>
      <c r="AH925" s="15"/>
      <c r="AI925" s="15"/>
      <c r="AJ925" s="15"/>
      <c r="AK925" s="15"/>
      <c r="AL925" s="15"/>
      <c r="AM925" s="15"/>
    </row>
    <row r="926" spans="2:39" ht="25.2" customHeight="1" x14ac:dyDescent="0.3">
      <c r="B926" s="13" t="str">
        <f t="shared" si="18"/>
        <v/>
      </c>
      <c r="C926" s="18"/>
      <c r="D926" s="19" t="str">
        <f>IF(Tabela2[[#This Row],[AGRUPADOR]]&lt;&gt;"",VLOOKUP(Tabela2[[#This Row],[AGRUPADOR]],Tabela1[],2,0),"")</f>
        <v/>
      </c>
      <c r="E926" s="19" t="str">
        <f>IF(Tabela2[[#This Row],[AGRUPADOR]]&lt;&gt;"",VLOOKUP(Tabela2[[#This Row],[AGRUPADOR]],Tabela1[],4,0),"")</f>
        <v/>
      </c>
      <c r="F926" s="14"/>
      <c r="G926" s="6"/>
      <c r="H926" s="6"/>
      <c r="I926" s="25"/>
      <c r="J926" s="7"/>
      <c r="K926" s="15"/>
      <c r="L926" s="379">
        <f>IF(H926&lt;&gt;"",J926*K926,SUMIFS(L927:L$9844,$F927:$F$9844,"*"&amp;F926&amp;"*",$H927:$H$9844,"&lt;&gt;"))</f>
        <v>0</v>
      </c>
      <c r="M926" s="379" t="str">
        <f>IF(Tabela2[[#This Row],[UNID.]]&lt;&gt;"",IFERROR(VLOOKUP(Tabela2[[#This Row],[AGRUPADOR]],Lucratividade!$D$4:$O$129,6,0),0),"")</f>
        <v/>
      </c>
      <c r="N926" s="379">
        <f>IF(H926&lt;&gt;"",J926*M926*I926,SUMIFS(N927:N$9844,$F927:$F$9844,"*"&amp;F926&amp;"*",$H927:$H$9844,"&lt;&gt;"))</f>
        <v>0</v>
      </c>
      <c r="O926" s="162" t="str">
        <f>IFERROR((-Tabela2[[#This Row],[CUSTO TOTAL]]+Tabela2[[#This Row],[VENDA TOTAL]])/Tabela2[[#This Row],[VENDA TOTAL]]-PARAMETROS!$C$19,"")</f>
        <v/>
      </c>
      <c r="AA926" s="219">
        <f>SUM(Plan_Orc[[#This Row],[01/jan]:[01/dez]])</f>
        <v>0</v>
      </c>
      <c r="AB926" s="15"/>
      <c r="AC926" s="15"/>
      <c r="AD926" s="15"/>
      <c r="AE926" s="15"/>
      <c r="AF926" s="15"/>
      <c r="AG926" s="15"/>
      <c r="AH926" s="15"/>
      <c r="AI926" s="15"/>
      <c r="AJ926" s="15"/>
      <c r="AK926" s="15"/>
      <c r="AL926" s="15"/>
      <c r="AM926" s="15"/>
    </row>
    <row r="927" spans="2:39" ht="25.2" customHeight="1" x14ac:dyDescent="0.3">
      <c r="B927" s="13" t="str">
        <f t="shared" si="18"/>
        <v/>
      </c>
      <c r="C927" s="18"/>
      <c r="D927" s="19" t="str">
        <f>IF(Tabela2[[#This Row],[AGRUPADOR]]&lt;&gt;"",VLOOKUP(Tabela2[[#This Row],[AGRUPADOR]],Tabela1[],2,0),"")</f>
        <v/>
      </c>
      <c r="E927" s="19" t="str">
        <f>IF(Tabela2[[#This Row],[AGRUPADOR]]&lt;&gt;"",VLOOKUP(Tabela2[[#This Row],[AGRUPADOR]],Tabela1[],4,0),"")</f>
        <v/>
      </c>
      <c r="F927" s="14"/>
      <c r="G927" s="6"/>
      <c r="H927" s="6"/>
      <c r="I927" s="25"/>
      <c r="J927" s="7"/>
      <c r="K927" s="15"/>
      <c r="L927" s="379">
        <f>IF(H927&lt;&gt;"",J927*K927,SUMIFS(L928:L$9844,$F928:$F$9844,"*"&amp;F927&amp;"*",$H928:$H$9844,"&lt;&gt;"))</f>
        <v>0</v>
      </c>
      <c r="M927" s="379" t="str">
        <f>IF(Tabela2[[#This Row],[UNID.]]&lt;&gt;"",IFERROR(VLOOKUP(Tabela2[[#This Row],[AGRUPADOR]],Lucratividade!$D$4:$O$129,6,0),0),"")</f>
        <v/>
      </c>
      <c r="N927" s="379">
        <f>IF(H927&lt;&gt;"",J927*M927*I927,SUMIFS(N928:N$9844,$F928:$F$9844,"*"&amp;F927&amp;"*",$H928:$H$9844,"&lt;&gt;"))</f>
        <v>0</v>
      </c>
      <c r="O927" s="162" t="str">
        <f>IFERROR((-Tabela2[[#This Row],[CUSTO TOTAL]]+Tabela2[[#This Row],[VENDA TOTAL]])/Tabela2[[#This Row],[VENDA TOTAL]]-PARAMETROS!$C$19,"")</f>
        <v/>
      </c>
      <c r="AA927" s="219">
        <f>SUM(Plan_Orc[[#This Row],[01/jan]:[01/dez]])</f>
        <v>0</v>
      </c>
      <c r="AB927" s="15"/>
      <c r="AC927" s="15"/>
      <c r="AD927" s="15"/>
      <c r="AE927" s="15"/>
      <c r="AF927" s="15"/>
      <c r="AG927" s="15"/>
      <c r="AH927" s="15"/>
      <c r="AI927" s="15"/>
      <c r="AJ927" s="15"/>
      <c r="AK927" s="15"/>
      <c r="AL927" s="15"/>
      <c r="AM927" s="15"/>
    </row>
    <row r="928" spans="2:39" ht="25.2" customHeight="1" x14ac:dyDescent="0.3">
      <c r="B928" s="13" t="str">
        <f t="shared" si="18"/>
        <v/>
      </c>
      <c r="C928" s="18"/>
      <c r="D928" s="19" t="str">
        <f>IF(Tabela2[[#This Row],[AGRUPADOR]]&lt;&gt;"",VLOOKUP(Tabela2[[#This Row],[AGRUPADOR]],Tabela1[],2,0),"")</f>
        <v/>
      </c>
      <c r="E928" s="19" t="str">
        <f>IF(Tabela2[[#This Row],[AGRUPADOR]]&lt;&gt;"",VLOOKUP(Tabela2[[#This Row],[AGRUPADOR]],Tabela1[],4,0),"")</f>
        <v/>
      </c>
      <c r="F928" s="14"/>
      <c r="G928" s="6"/>
      <c r="H928" s="6"/>
      <c r="I928" s="25"/>
      <c r="J928" s="7"/>
      <c r="K928" s="15"/>
      <c r="L928" s="379">
        <f>IF(H928&lt;&gt;"",J928*K928,SUMIFS(L929:L$9844,$F929:$F$9844,"*"&amp;F928&amp;"*",$H929:$H$9844,"&lt;&gt;"))</f>
        <v>0</v>
      </c>
      <c r="M928" s="379" t="str">
        <f>IF(Tabela2[[#This Row],[UNID.]]&lt;&gt;"",IFERROR(VLOOKUP(Tabela2[[#This Row],[AGRUPADOR]],Lucratividade!$D$4:$O$129,6,0),0),"")</f>
        <v/>
      </c>
      <c r="N928" s="379">
        <f>IF(H928&lt;&gt;"",J928*M928*I928,SUMIFS(N929:N$9844,$F929:$F$9844,"*"&amp;F928&amp;"*",$H929:$H$9844,"&lt;&gt;"))</f>
        <v>0</v>
      </c>
      <c r="O928" s="162" t="str">
        <f>IFERROR((-Tabela2[[#This Row],[CUSTO TOTAL]]+Tabela2[[#This Row],[VENDA TOTAL]])/Tabela2[[#This Row],[VENDA TOTAL]]-PARAMETROS!$C$19,"")</f>
        <v/>
      </c>
      <c r="AA928" s="218">
        <f>SUM(Plan_Orc[[#This Row],[01/jan]:[01/dez]])</f>
        <v>0</v>
      </c>
      <c r="AB928" s="12"/>
      <c r="AC928" s="12"/>
      <c r="AD928" s="12"/>
      <c r="AE928" s="12"/>
      <c r="AF928" s="12"/>
      <c r="AG928" s="12"/>
      <c r="AH928" s="12"/>
      <c r="AI928" s="12"/>
      <c r="AJ928" s="12"/>
      <c r="AK928" s="12"/>
      <c r="AL928" s="12"/>
      <c r="AM928" s="12"/>
    </row>
    <row r="929" spans="2:39" ht="25.2" customHeight="1" x14ac:dyDescent="0.3">
      <c r="B929" s="13" t="str">
        <f t="shared" si="18"/>
        <v/>
      </c>
      <c r="C929" s="18"/>
      <c r="D929" s="19" t="str">
        <f>IF(Tabela2[[#This Row],[AGRUPADOR]]&lt;&gt;"",VLOOKUP(Tabela2[[#This Row],[AGRUPADOR]],Tabela1[],2,0),"")</f>
        <v/>
      </c>
      <c r="E929" s="19" t="str">
        <f>IF(Tabela2[[#This Row],[AGRUPADOR]]&lt;&gt;"",VLOOKUP(Tabela2[[#This Row],[AGRUPADOR]],Tabela1[],4,0),"")</f>
        <v/>
      </c>
      <c r="F929" s="14"/>
      <c r="G929" s="6"/>
      <c r="H929" s="6"/>
      <c r="I929" s="25"/>
      <c r="J929" s="7"/>
      <c r="K929" s="15"/>
      <c r="L929" s="379">
        <f>IF(H929&lt;&gt;"",J929*K929,SUMIFS(L930:L$9844,$F930:$F$9844,"*"&amp;F929&amp;"*",$H930:$H$9844,"&lt;&gt;"))</f>
        <v>0</v>
      </c>
      <c r="M929" s="379" t="str">
        <f>IF(Tabela2[[#This Row],[UNID.]]&lt;&gt;"",IFERROR(VLOOKUP(Tabela2[[#This Row],[AGRUPADOR]],Lucratividade!$D$4:$O$129,6,0),0),"")</f>
        <v/>
      </c>
      <c r="N929" s="379">
        <f>IF(H929&lt;&gt;"",J929*M929*I929,SUMIFS(N930:N$9844,$F930:$F$9844,"*"&amp;F929&amp;"*",$H930:$H$9844,"&lt;&gt;"))</f>
        <v>0</v>
      </c>
      <c r="O929" s="162" t="str">
        <f>IFERROR((-Tabela2[[#This Row],[CUSTO TOTAL]]+Tabela2[[#This Row],[VENDA TOTAL]])/Tabela2[[#This Row],[VENDA TOTAL]]-PARAMETROS!$C$19,"")</f>
        <v/>
      </c>
      <c r="AA929" s="219">
        <f>SUM(Plan_Orc[[#This Row],[01/jan]:[01/dez]])</f>
        <v>0</v>
      </c>
      <c r="AB929" s="15"/>
      <c r="AC929" s="15"/>
      <c r="AD929" s="15"/>
      <c r="AE929" s="15"/>
      <c r="AF929" s="15"/>
      <c r="AG929" s="15"/>
      <c r="AH929" s="15"/>
      <c r="AI929" s="15"/>
      <c r="AJ929" s="15"/>
      <c r="AK929" s="15"/>
      <c r="AL929" s="15"/>
      <c r="AM929" s="15"/>
    </row>
    <row r="930" spans="2:39" ht="25.2" customHeight="1" x14ac:dyDescent="0.3">
      <c r="B930" s="13" t="str">
        <f t="shared" si="18"/>
        <v/>
      </c>
      <c r="C930" s="18"/>
      <c r="D930" s="19" t="str">
        <f>IF(Tabela2[[#This Row],[AGRUPADOR]]&lt;&gt;"",VLOOKUP(Tabela2[[#This Row],[AGRUPADOR]],Tabela1[],2,0),"")</f>
        <v/>
      </c>
      <c r="E930" s="19" t="str">
        <f>IF(Tabela2[[#This Row],[AGRUPADOR]]&lt;&gt;"",VLOOKUP(Tabela2[[#This Row],[AGRUPADOR]],Tabela1[],4,0),"")</f>
        <v/>
      </c>
      <c r="F930" s="14"/>
      <c r="G930" s="6"/>
      <c r="H930" s="6"/>
      <c r="I930" s="25"/>
      <c r="J930" s="7"/>
      <c r="K930" s="15"/>
      <c r="L930" s="379">
        <f>IF(H930&lt;&gt;"",J930*K930,SUMIFS(L931:L$9844,$F931:$F$9844,"*"&amp;F930&amp;"*",$H931:$H$9844,"&lt;&gt;"))</f>
        <v>0</v>
      </c>
      <c r="M930" s="379" t="str">
        <f>IF(Tabela2[[#This Row],[UNID.]]&lt;&gt;"",IFERROR(VLOOKUP(Tabela2[[#This Row],[AGRUPADOR]],Lucratividade!$D$4:$O$129,6,0),0),"")</f>
        <v/>
      </c>
      <c r="N930" s="379">
        <f>IF(H930&lt;&gt;"",J930*M930*I930,SUMIFS(N931:N$9844,$F931:$F$9844,"*"&amp;F930&amp;"*",$H931:$H$9844,"&lt;&gt;"))</f>
        <v>0</v>
      </c>
      <c r="O930" s="162" t="str">
        <f>IFERROR((-Tabela2[[#This Row],[CUSTO TOTAL]]+Tabela2[[#This Row],[VENDA TOTAL]])/Tabela2[[#This Row],[VENDA TOTAL]]-PARAMETROS!$C$19,"")</f>
        <v/>
      </c>
      <c r="AA930" s="219">
        <f>SUM(Plan_Orc[[#This Row],[01/jan]:[01/dez]])</f>
        <v>0</v>
      </c>
      <c r="AB930" s="15"/>
      <c r="AC930" s="15"/>
      <c r="AD930" s="15"/>
      <c r="AE930" s="15"/>
      <c r="AF930" s="15"/>
      <c r="AG930" s="15"/>
      <c r="AH930" s="15"/>
      <c r="AI930" s="15"/>
      <c r="AJ930" s="15"/>
      <c r="AK930" s="15"/>
      <c r="AL930" s="15"/>
      <c r="AM930" s="15"/>
    </row>
    <row r="931" spans="2:39" ht="25.2" customHeight="1" x14ac:dyDescent="0.3">
      <c r="B931" s="13" t="str">
        <f t="shared" si="18"/>
        <v/>
      </c>
      <c r="C931" s="18"/>
      <c r="D931" s="19" t="str">
        <f>IF(Tabela2[[#This Row],[AGRUPADOR]]&lt;&gt;"",VLOOKUP(Tabela2[[#This Row],[AGRUPADOR]],Tabela1[],2,0),"")</f>
        <v/>
      </c>
      <c r="E931" s="19" t="str">
        <f>IF(Tabela2[[#This Row],[AGRUPADOR]]&lt;&gt;"",VLOOKUP(Tabela2[[#This Row],[AGRUPADOR]],Tabela1[],4,0),"")</f>
        <v/>
      </c>
      <c r="F931" s="14"/>
      <c r="G931" s="6"/>
      <c r="H931" s="6"/>
      <c r="I931" s="25"/>
      <c r="J931" s="7"/>
      <c r="K931" s="15"/>
      <c r="L931" s="379">
        <f>IF(H931&lt;&gt;"",J931*K931,SUMIFS(L932:L$9844,$F932:$F$9844,"*"&amp;F931&amp;"*",$H932:$H$9844,"&lt;&gt;"))</f>
        <v>0</v>
      </c>
      <c r="M931" s="379" t="str">
        <f>IF(Tabela2[[#This Row],[UNID.]]&lt;&gt;"",IFERROR(VLOOKUP(Tabela2[[#This Row],[AGRUPADOR]],Lucratividade!$D$4:$O$129,6,0),0),"")</f>
        <v/>
      </c>
      <c r="N931" s="379">
        <f>IF(H931&lt;&gt;"",J931*M931*I931,SUMIFS(N932:N$9844,$F932:$F$9844,"*"&amp;F931&amp;"*",$H932:$H$9844,"&lt;&gt;"))</f>
        <v>0</v>
      </c>
      <c r="O931" s="162" t="str">
        <f>IFERROR((-Tabela2[[#This Row],[CUSTO TOTAL]]+Tabela2[[#This Row],[VENDA TOTAL]])/Tabela2[[#This Row],[VENDA TOTAL]]-PARAMETROS!$C$19,"")</f>
        <v/>
      </c>
      <c r="AA931" s="219">
        <f>SUM(Plan_Orc[[#This Row],[01/jan]:[01/dez]])</f>
        <v>0</v>
      </c>
      <c r="AB931" s="15"/>
      <c r="AC931" s="15"/>
      <c r="AD931" s="15"/>
      <c r="AE931" s="15"/>
      <c r="AF931" s="15"/>
      <c r="AG931" s="15"/>
      <c r="AH931" s="15"/>
      <c r="AI931" s="15"/>
      <c r="AJ931" s="15"/>
      <c r="AK931" s="15"/>
      <c r="AL931" s="15"/>
      <c r="AM931" s="15"/>
    </row>
    <row r="932" spans="2:39" ht="25.2" customHeight="1" x14ac:dyDescent="0.3">
      <c r="B932" s="13" t="str">
        <f t="shared" si="18"/>
        <v/>
      </c>
      <c r="C932" s="18"/>
      <c r="D932" s="19" t="str">
        <f>IF(Tabela2[[#This Row],[AGRUPADOR]]&lt;&gt;"",VLOOKUP(Tabela2[[#This Row],[AGRUPADOR]],Tabela1[],2,0),"")</f>
        <v/>
      </c>
      <c r="E932" s="19" t="str">
        <f>IF(Tabela2[[#This Row],[AGRUPADOR]]&lt;&gt;"",VLOOKUP(Tabela2[[#This Row],[AGRUPADOR]],Tabela1[],4,0),"")</f>
        <v/>
      </c>
      <c r="F932" s="14"/>
      <c r="G932" s="6"/>
      <c r="H932" s="6"/>
      <c r="I932" s="25"/>
      <c r="J932" s="7"/>
      <c r="K932" s="15"/>
      <c r="L932" s="379">
        <f>IF(H932&lt;&gt;"",J932*K932,SUMIFS(L933:L$9844,$F933:$F$9844,"*"&amp;F932&amp;"*",$H933:$H$9844,"&lt;&gt;"))</f>
        <v>0</v>
      </c>
      <c r="M932" s="379" t="str">
        <f>IF(Tabela2[[#This Row],[UNID.]]&lt;&gt;"",IFERROR(VLOOKUP(Tabela2[[#This Row],[AGRUPADOR]],Lucratividade!$D$4:$O$129,6,0),0),"")</f>
        <v/>
      </c>
      <c r="N932" s="379">
        <f>IF(H932&lt;&gt;"",J932*M932*I932,SUMIFS(N933:N$9844,$F933:$F$9844,"*"&amp;F932&amp;"*",$H933:$H$9844,"&lt;&gt;"))</f>
        <v>0</v>
      </c>
      <c r="O932" s="162" t="str">
        <f>IFERROR((-Tabela2[[#This Row],[CUSTO TOTAL]]+Tabela2[[#This Row],[VENDA TOTAL]])/Tabela2[[#This Row],[VENDA TOTAL]]-PARAMETROS!$C$19,"")</f>
        <v/>
      </c>
      <c r="AA932" s="219">
        <f>SUM(Plan_Orc[[#This Row],[01/jan]:[01/dez]])</f>
        <v>0</v>
      </c>
      <c r="AB932" s="15"/>
      <c r="AC932" s="15"/>
      <c r="AD932" s="15"/>
      <c r="AE932" s="15"/>
      <c r="AF932" s="15"/>
      <c r="AG932" s="15"/>
      <c r="AH932" s="15"/>
      <c r="AI932" s="15"/>
      <c r="AJ932" s="15"/>
      <c r="AK932" s="15"/>
      <c r="AL932" s="15"/>
      <c r="AM932" s="15"/>
    </row>
    <row r="933" spans="2:39" ht="25.2" customHeight="1" x14ac:dyDescent="0.3">
      <c r="B933" s="13" t="str">
        <f t="shared" si="18"/>
        <v/>
      </c>
      <c r="C933" s="18"/>
      <c r="D933" s="19" t="str">
        <f>IF(Tabela2[[#This Row],[AGRUPADOR]]&lt;&gt;"",VLOOKUP(Tabela2[[#This Row],[AGRUPADOR]],Tabela1[],2,0),"")</f>
        <v/>
      </c>
      <c r="E933" s="19" t="str">
        <f>IF(Tabela2[[#This Row],[AGRUPADOR]]&lt;&gt;"",VLOOKUP(Tabela2[[#This Row],[AGRUPADOR]],Tabela1[],4,0),"")</f>
        <v/>
      </c>
      <c r="F933" s="14"/>
      <c r="G933" s="6"/>
      <c r="H933" s="6"/>
      <c r="I933" s="25"/>
      <c r="J933" s="7"/>
      <c r="K933" s="15"/>
      <c r="L933" s="379">
        <f>IF(H933&lt;&gt;"",J933*K933,SUMIFS(L934:L$9844,$F934:$F$9844,"*"&amp;F933&amp;"*",$H934:$H$9844,"&lt;&gt;"))</f>
        <v>0</v>
      </c>
      <c r="M933" s="379" t="str">
        <f>IF(Tabela2[[#This Row],[UNID.]]&lt;&gt;"",IFERROR(VLOOKUP(Tabela2[[#This Row],[AGRUPADOR]],Lucratividade!$D$4:$O$129,6,0),0),"")</f>
        <v/>
      </c>
      <c r="N933" s="379">
        <f>IF(H933&lt;&gt;"",J933*M933*I933,SUMIFS(N934:N$9844,$F934:$F$9844,"*"&amp;F933&amp;"*",$H934:$H$9844,"&lt;&gt;"))</f>
        <v>0</v>
      </c>
      <c r="O933" s="162" t="str">
        <f>IFERROR((-Tabela2[[#This Row],[CUSTO TOTAL]]+Tabela2[[#This Row],[VENDA TOTAL]])/Tabela2[[#This Row],[VENDA TOTAL]]-PARAMETROS!$C$19,"")</f>
        <v/>
      </c>
      <c r="AA933" s="219">
        <f>SUM(Plan_Orc[[#This Row],[01/jan]:[01/dez]])</f>
        <v>0</v>
      </c>
      <c r="AB933" s="15"/>
      <c r="AC933" s="15"/>
      <c r="AD933" s="15"/>
      <c r="AE933" s="15"/>
      <c r="AF933" s="15"/>
      <c r="AG933" s="15"/>
      <c r="AH933" s="15"/>
      <c r="AI933" s="15"/>
      <c r="AJ933" s="15"/>
      <c r="AK933" s="15"/>
      <c r="AL933" s="15"/>
      <c r="AM933" s="15"/>
    </row>
    <row r="934" spans="2:39" ht="25.2" customHeight="1" x14ac:dyDescent="0.3">
      <c r="B934" s="13" t="str">
        <f t="shared" si="18"/>
        <v/>
      </c>
      <c r="C934" s="18"/>
      <c r="D934" s="19" t="str">
        <f>IF(Tabela2[[#This Row],[AGRUPADOR]]&lt;&gt;"",VLOOKUP(Tabela2[[#This Row],[AGRUPADOR]],Tabela1[],2,0),"")</f>
        <v/>
      </c>
      <c r="E934" s="19" t="str">
        <f>IF(Tabela2[[#This Row],[AGRUPADOR]]&lt;&gt;"",VLOOKUP(Tabela2[[#This Row],[AGRUPADOR]],Tabela1[],4,0),"")</f>
        <v/>
      </c>
      <c r="F934" s="14"/>
      <c r="G934" s="6"/>
      <c r="H934" s="6"/>
      <c r="I934" s="25"/>
      <c r="J934" s="7"/>
      <c r="K934" s="15"/>
      <c r="L934" s="379">
        <f>IF(H934&lt;&gt;"",J934*K934,SUMIFS(L935:L$9844,$F935:$F$9844,"*"&amp;F934&amp;"*",$H935:$H$9844,"&lt;&gt;"))</f>
        <v>0</v>
      </c>
      <c r="M934" s="379" t="str">
        <f>IF(Tabela2[[#This Row],[UNID.]]&lt;&gt;"",IFERROR(VLOOKUP(Tabela2[[#This Row],[AGRUPADOR]],Lucratividade!$D$4:$O$129,6,0),0),"")</f>
        <v/>
      </c>
      <c r="N934" s="379">
        <f>IF(H934&lt;&gt;"",J934*M934*I934,SUMIFS(N935:N$9844,$F935:$F$9844,"*"&amp;F934&amp;"*",$H935:$H$9844,"&lt;&gt;"))</f>
        <v>0</v>
      </c>
      <c r="O934" s="162" t="str">
        <f>IFERROR((-Tabela2[[#This Row],[CUSTO TOTAL]]+Tabela2[[#This Row],[VENDA TOTAL]])/Tabela2[[#This Row],[VENDA TOTAL]]-PARAMETROS!$C$19,"")</f>
        <v/>
      </c>
      <c r="AA934" s="219">
        <f>SUM(Plan_Orc[[#This Row],[01/jan]:[01/dez]])</f>
        <v>0</v>
      </c>
      <c r="AB934" s="15"/>
      <c r="AC934" s="15"/>
      <c r="AD934" s="15"/>
      <c r="AE934" s="15"/>
      <c r="AF934" s="15"/>
      <c r="AG934" s="15"/>
      <c r="AH934" s="15"/>
      <c r="AI934" s="15"/>
      <c r="AJ934" s="15"/>
      <c r="AK934" s="15"/>
      <c r="AL934" s="15"/>
      <c r="AM934" s="15"/>
    </row>
    <row r="935" spans="2:39" ht="25.2" customHeight="1" x14ac:dyDescent="0.3">
      <c r="B935" s="13" t="str">
        <f t="shared" si="18"/>
        <v/>
      </c>
      <c r="C935" s="18"/>
      <c r="D935" s="19" t="str">
        <f>IF(Tabela2[[#This Row],[AGRUPADOR]]&lt;&gt;"",VLOOKUP(Tabela2[[#This Row],[AGRUPADOR]],Tabela1[],2,0),"")</f>
        <v/>
      </c>
      <c r="E935" s="19" t="str">
        <f>IF(Tabela2[[#This Row],[AGRUPADOR]]&lt;&gt;"",VLOOKUP(Tabela2[[#This Row],[AGRUPADOR]],Tabela1[],4,0),"")</f>
        <v/>
      </c>
      <c r="F935" s="14"/>
      <c r="G935" s="6"/>
      <c r="H935" s="6"/>
      <c r="I935" s="25"/>
      <c r="J935" s="7"/>
      <c r="K935" s="15"/>
      <c r="L935" s="379">
        <f>IF(H935&lt;&gt;"",J935*K935,SUMIFS(L936:L$9844,$F936:$F$9844,"*"&amp;F935&amp;"*",$H936:$H$9844,"&lt;&gt;"))</f>
        <v>0</v>
      </c>
      <c r="M935" s="379" t="str">
        <f>IF(Tabela2[[#This Row],[UNID.]]&lt;&gt;"",IFERROR(VLOOKUP(Tabela2[[#This Row],[AGRUPADOR]],Lucratividade!$D$4:$O$129,6,0),0),"")</f>
        <v/>
      </c>
      <c r="N935" s="379">
        <f>IF(H935&lt;&gt;"",J935*M935*I935,SUMIFS(N936:N$9844,$F936:$F$9844,"*"&amp;F935&amp;"*",$H936:$H$9844,"&lt;&gt;"))</f>
        <v>0</v>
      </c>
      <c r="O935" s="162" t="str">
        <f>IFERROR((-Tabela2[[#This Row],[CUSTO TOTAL]]+Tabela2[[#This Row],[VENDA TOTAL]])/Tabela2[[#This Row],[VENDA TOTAL]]-PARAMETROS!$C$19,"")</f>
        <v/>
      </c>
      <c r="AA935" s="219">
        <f>SUM(Plan_Orc[[#This Row],[01/jan]:[01/dez]])</f>
        <v>0</v>
      </c>
      <c r="AB935" s="15"/>
      <c r="AC935" s="15"/>
      <c r="AD935" s="15"/>
      <c r="AE935" s="15"/>
      <c r="AF935" s="15"/>
      <c r="AG935" s="15"/>
      <c r="AH935" s="15"/>
      <c r="AI935" s="15"/>
      <c r="AJ935" s="15"/>
      <c r="AK935" s="15"/>
      <c r="AL935" s="15"/>
      <c r="AM935" s="15"/>
    </row>
    <row r="936" spans="2:39" ht="25.2" customHeight="1" x14ac:dyDescent="0.3">
      <c r="B936" s="13" t="str">
        <f t="shared" si="18"/>
        <v/>
      </c>
      <c r="C936" s="18"/>
      <c r="D936" s="19" t="str">
        <f>IF(Tabela2[[#This Row],[AGRUPADOR]]&lt;&gt;"",VLOOKUP(Tabela2[[#This Row],[AGRUPADOR]],Tabela1[],2,0),"")</f>
        <v/>
      </c>
      <c r="E936" s="19" t="str">
        <f>IF(Tabela2[[#This Row],[AGRUPADOR]]&lt;&gt;"",VLOOKUP(Tabela2[[#This Row],[AGRUPADOR]],Tabela1[],4,0),"")</f>
        <v/>
      </c>
      <c r="F936" s="14"/>
      <c r="G936" s="6"/>
      <c r="H936" s="6"/>
      <c r="I936" s="25"/>
      <c r="J936" s="7"/>
      <c r="K936" s="15"/>
      <c r="L936" s="379">
        <f>IF(H936&lt;&gt;"",J936*K936,SUMIFS(L937:L$9844,$F937:$F$9844,"*"&amp;F936&amp;"*",$H937:$H$9844,"&lt;&gt;"))</f>
        <v>0</v>
      </c>
      <c r="M936" s="379" t="str">
        <f>IF(Tabela2[[#This Row],[UNID.]]&lt;&gt;"",IFERROR(VLOOKUP(Tabela2[[#This Row],[AGRUPADOR]],Lucratividade!$D$4:$O$129,6,0),0),"")</f>
        <v/>
      </c>
      <c r="N936" s="379">
        <f>IF(H936&lt;&gt;"",J936*M936*I936,SUMIFS(N937:N$9844,$F937:$F$9844,"*"&amp;F936&amp;"*",$H937:$H$9844,"&lt;&gt;"))</f>
        <v>0</v>
      </c>
      <c r="O936" s="162" t="str">
        <f>IFERROR((-Tabela2[[#This Row],[CUSTO TOTAL]]+Tabela2[[#This Row],[VENDA TOTAL]])/Tabela2[[#This Row],[VENDA TOTAL]]-PARAMETROS!$C$19,"")</f>
        <v/>
      </c>
      <c r="AA936" s="219">
        <f>SUM(Plan_Orc[[#This Row],[01/jan]:[01/dez]])</f>
        <v>0</v>
      </c>
      <c r="AB936" s="15"/>
      <c r="AC936" s="15"/>
      <c r="AD936" s="15"/>
      <c r="AE936" s="15"/>
      <c r="AF936" s="15"/>
      <c r="AG936" s="15"/>
      <c r="AH936" s="15"/>
      <c r="AI936" s="15"/>
      <c r="AJ936" s="15"/>
      <c r="AK936" s="15"/>
      <c r="AL936" s="15"/>
      <c r="AM936" s="15"/>
    </row>
    <row r="937" spans="2:39" ht="25.2" customHeight="1" x14ac:dyDescent="0.3">
      <c r="B937" s="13" t="str">
        <f t="shared" si="18"/>
        <v/>
      </c>
      <c r="C937" s="18"/>
      <c r="D937" s="19" t="str">
        <f>IF(Tabela2[[#This Row],[AGRUPADOR]]&lt;&gt;"",VLOOKUP(Tabela2[[#This Row],[AGRUPADOR]],Tabela1[],2,0),"")</f>
        <v/>
      </c>
      <c r="E937" s="19" t="str">
        <f>IF(Tabela2[[#This Row],[AGRUPADOR]]&lt;&gt;"",VLOOKUP(Tabela2[[#This Row],[AGRUPADOR]],Tabela1[],4,0),"")</f>
        <v/>
      </c>
      <c r="F937" s="14"/>
      <c r="G937" s="6"/>
      <c r="H937" s="6"/>
      <c r="I937" s="25"/>
      <c r="J937" s="7"/>
      <c r="K937" s="15"/>
      <c r="L937" s="379">
        <f>IF(H937&lt;&gt;"",J937*K937,SUMIFS(L938:L$9844,$F938:$F$9844,"*"&amp;F937&amp;"*",$H938:$H$9844,"&lt;&gt;"))</f>
        <v>0</v>
      </c>
      <c r="M937" s="379" t="str">
        <f>IF(Tabela2[[#This Row],[UNID.]]&lt;&gt;"",IFERROR(VLOOKUP(Tabela2[[#This Row],[AGRUPADOR]],Lucratividade!$D$4:$O$129,6,0),0),"")</f>
        <v/>
      </c>
      <c r="N937" s="379">
        <f>IF(H937&lt;&gt;"",J937*M937*I937,SUMIFS(N938:N$9844,$F938:$F$9844,"*"&amp;F937&amp;"*",$H938:$H$9844,"&lt;&gt;"))</f>
        <v>0</v>
      </c>
      <c r="O937" s="162" t="str">
        <f>IFERROR((-Tabela2[[#This Row],[CUSTO TOTAL]]+Tabela2[[#This Row],[VENDA TOTAL]])/Tabela2[[#This Row],[VENDA TOTAL]]-PARAMETROS!$C$19,"")</f>
        <v/>
      </c>
      <c r="AA937" s="219">
        <f>SUM(Plan_Orc[[#This Row],[01/jan]:[01/dez]])</f>
        <v>0</v>
      </c>
      <c r="AB937" s="15"/>
      <c r="AC937" s="15"/>
      <c r="AD937" s="15"/>
      <c r="AE937" s="15"/>
      <c r="AF937" s="15"/>
      <c r="AG937" s="15"/>
      <c r="AH937" s="15"/>
      <c r="AI937" s="15"/>
      <c r="AJ937" s="15"/>
      <c r="AK937" s="15"/>
      <c r="AL937" s="15"/>
      <c r="AM937" s="15"/>
    </row>
    <row r="938" spans="2:39" ht="25.2" customHeight="1" x14ac:dyDescent="0.3">
      <c r="B938" s="13" t="str">
        <f t="shared" si="18"/>
        <v/>
      </c>
      <c r="C938" s="18"/>
      <c r="D938" s="19" t="str">
        <f>IF(Tabela2[[#This Row],[AGRUPADOR]]&lt;&gt;"",VLOOKUP(Tabela2[[#This Row],[AGRUPADOR]],Tabela1[],2,0),"")</f>
        <v/>
      </c>
      <c r="E938" s="19" t="str">
        <f>IF(Tabela2[[#This Row],[AGRUPADOR]]&lt;&gt;"",VLOOKUP(Tabela2[[#This Row],[AGRUPADOR]],Tabela1[],4,0),"")</f>
        <v/>
      </c>
      <c r="F938" s="14"/>
      <c r="G938" s="6"/>
      <c r="H938" s="6"/>
      <c r="I938" s="25"/>
      <c r="J938" s="7"/>
      <c r="K938" s="15"/>
      <c r="L938" s="379">
        <f>IF(H938&lt;&gt;"",J938*K938,SUMIFS(L939:L$9844,$F939:$F$9844,"*"&amp;F938&amp;"*",$H939:$H$9844,"&lt;&gt;"))</f>
        <v>0</v>
      </c>
      <c r="M938" s="379" t="str">
        <f>IF(Tabela2[[#This Row],[UNID.]]&lt;&gt;"",IFERROR(VLOOKUP(Tabela2[[#This Row],[AGRUPADOR]],Lucratividade!$D$4:$O$129,6,0),0),"")</f>
        <v/>
      </c>
      <c r="N938" s="379">
        <f>IF(H938&lt;&gt;"",J938*M938*I938,SUMIFS(N939:N$9844,$F939:$F$9844,"*"&amp;F938&amp;"*",$H939:$H$9844,"&lt;&gt;"))</f>
        <v>0</v>
      </c>
      <c r="O938" s="162" t="str">
        <f>IFERROR((-Tabela2[[#This Row],[CUSTO TOTAL]]+Tabela2[[#This Row],[VENDA TOTAL]])/Tabela2[[#This Row],[VENDA TOTAL]]-PARAMETROS!$C$19,"")</f>
        <v/>
      </c>
      <c r="AA938" s="219">
        <f>SUM(Plan_Orc[[#This Row],[01/jan]:[01/dez]])</f>
        <v>0</v>
      </c>
      <c r="AB938" s="15"/>
      <c r="AC938" s="15"/>
      <c r="AD938" s="15"/>
      <c r="AE938" s="15"/>
      <c r="AF938" s="15"/>
      <c r="AG938" s="15"/>
      <c r="AH938" s="15"/>
      <c r="AI938" s="15"/>
      <c r="AJ938" s="15"/>
      <c r="AK938" s="15"/>
      <c r="AL938" s="15"/>
      <c r="AM938" s="15"/>
    </row>
    <row r="939" spans="2:39" ht="25.2" customHeight="1" x14ac:dyDescent="0.3">
      <c r="B939" s="13" t="str">
        <f t="shared" si="18"/>
        <v/>
      </c>
      <c r="C939" s="18"/>
      <c r="D939" s="19" t="str">
        <f>IF(Tabela2[[#This Row],[AGRUPADOR]]&lt;&gt;"",VLOOKUP(Tabela2[[#This Row],[AGRUPADOR]],Tabela1[],2,0),"")</f>
        <v/>
      </c>
      <c r="E939" s="19" t="str">
        <f>IF(Tabela2[[#This Row],[AGRUPADOR]]&lt;&gt;"",VLOOKUP(Tabela2[[#This Row],[AGRUPADOR]],Tabela1[],4,0),"")</f>
        <v/>
      </c>
      <c r="F939" s="14"/>
      <c r="G939" s="6"/>
      <c r="H939" s="6"/>
      <c r="I939" s="25"/>
      <c r="J939" s="7"/>
      <c r="K939" s="15"/>
      <c r="L939" s="379">
        <f>IF(H939&lt;&gt;"",J939*K939,SUMIFS(L940:L$9844,$F940:$F$9844,"*"&amp;F939&amp;"*",$H940:$H$9844,"&lt;&gt;"))</f>
        <v>0</v>
      </c>
      <c r="M939" s="379" t="str">
        <f>IF(Tabela2[[#This Row],[UNID.]]&lt;&gt;"",IFERROR(VLOOKUP(Tabela2[[#This Row],[AGRUPADOR]],Lucratividade!$D$4:$O$129,6,0),0),"")</f>
        <v/>
      </c>
      <c r="N939" s="379">
        <f>IF(H939&lt;&gt;"",J939*M939*I939,SUMIFS(N940:N$9844,$F940:$F$9844,"*"&amp;F939&amp;"*",$H940:$H$9844,"&lt;&gt;"))</f>
        <v>0</v>
      </c>
      <c r="O939" s="162" t="str">
        <f>IFERROR((-Tabela2[[#This Row],[CUSTO TOTAL]]+Tabela2[[#This Row],[VENDA TOTAL]])/Tabela2[[#This Row],[VENDA TOTAL]]-PARAMETROS!$C$19,"")</f>
        <v/>
      </c>
      <c r="AA939" s="219">
        <f>SUM(Plan_Orc[[#This Row],[01/jan]:[01/dez]])</f>
        <v>0</v>
      </c>
      <c r="AB939" s="15"/>
      <c r="AC939" s="15"/>
      <c r="AD939" s="15"/>
      <c r="AE939" s="15"/>
      <c r="AF939" s="15"/>
      <c r="AG939" s="15"/>
      <c r="AH939" s="15"/>
      <c r="AI939" s="15"/>
      <c r="AJ939" s="15"/>
      <c r="AK939" s="15"/>
      <c r="AL939" s="15"/>
      <c r="AM939" s="15"/>
    </row>
    <row r="940" spans="2:39" ht="25.2" customHeight="1" x14ac:dyDescent="0.3">
      <c r="B940" s="13" t="str">
        <f t="shared" si="18"/>
        <v/>
      </c>
      <c r="C940" s="18"/>
      <c r="D940" s="19" t="str">
        <f>IF(Tabela2[[#This Row],[AGRUPADOR]]&lt;&gt;"",VLOOKUP(Tabela2[[#This Row],[AGRUPADOR]],Tabela1[],2,0),"")</f>
        <v/>
      </c>
      <c r="E940" s="19" t="str">
        <f>IF(Tabela2[[#This Row],[AGRUPADOR]]&lt;&gt;"",VLOOKUP(Tabela2[[#This Row],[AGRUPADOR]],Tabela1[],4,0),"")</f>
        <v/>
      </c>
      <c r="F940" s="14"/>
      <c r="G940" s="6"/>
      <c r="H940" s="6"/>
      <c r="I940" s="25"/>
      <c r="J940" s="7"/>
      <c r="K940" s="15"/>
      <c r="L940" s="379">
        <f>IF(H940&lt;&gt;"",J940*K940,SUMIFS(L941:L$9844,$F941:$F$9844,"*"&amp;F940&amp;"*",$H941:$H$9844,"&lt;&gt;"))</f>
        <v>0</v>
      </c>
      <c r="M940" s="379" t="str">
        <f>IF(Tabela2[[#This Row],[UNID.]]&lt;&gt;"",IFERROR(VLOOKUP(Tabela2[[#This Row],[AGRUPADOR]],Lucratividade!$D$4:$O$129,6,0),0),"")</f>
        <v/>
      </c>
      <c r="N940" s="379">
        <f>IF(H940&lt;&gt;"",J940*M940*I940,SUMIFS(N941:N$9844,$F941:$F$9844,"*"&amp;F940&amp;"*",$H941:$H$9844,"&lt;&gt;"))</f>
        <v>0</v>
      </c>
      <c r="O940" s="162" t="str">
        <f>IFERROR((-Tabela2[[#This Row],[CUSTO TOTAL]]+Tabela2[[#This Row],[VENDA TOTAL]])/Tabela2[[#This Row],[VENDA TOTAL]]-PARAMETROS!$C$19,"")</f>
        <v/>
      </c>
      <c r="AA940" s="219">
        <f>SUM(Plan_Orc[[#This Row],[01/jan]:[01/dez]])</f>
        <v>0</v>
      </c>
      <c r="AB940" s="15"/>
      <c r="AC940" s="15"/>
      <c r="AD940" s="15"/>
      <c r="AE940" s="15"/>
      <c r="AF940" s="15"/>
      <c r="AG940" s="15"/>
      <c r="AH940" s="15"/>
      <c r="AI940" s="15"/>
      <c r="AJ940" s="15"/>
      <c r="AK940" s="15"/>
      <c r="AL940" s="15"/>
      <c r="AM940" s="15"/>
    </row>
    <row r="941" spans="2:39" ht="25.2" customHeight="1" x14ac:dyDescent="0.3">
      <c r="B941" s="13" t="str">
        <f t="shared" si="18"/>
        <v/>
      </c>
      <c r="C941" s="18"/>
      <c r="D941" s="19" t="str">
        <f>IF(Tabela2[[#This Row],[AGRUPADOR]]&lt;&gt;"",VLOOKUP(Tabela2[[#This Row],[AGRUPADOR]],Tabela1[],2,0),"")</f>
        <v/>
      </c>
      <c r="E941" s="19" t="str">
        <f>IF(Tabela2[[#This Row],[AGRUPADOR]]&lt;&gt;"",VLOOKUP(Tabela2[[#This Row],[AGRUPADOR]],Tabela1[],4,0),"")</f>
        <v/>
      </c>
      <c r="F941" s="14"/>
      <c r="G941" s="6"/>
      <c r="H941" s="6"/>
      <c r="I941" s="25"/>
      <c r="J941" s="7"/>
      <c r="K941" s="15"/>
      <c r="L941" s="379">
        <f>IF(H941&lt;&gt;"",J941*K941,SUMIFS(L942:L$9844,$F942:$F$9844,"*"&amp;F941&amp;"*",$H942:$H$9844,"&lt;&gt;"))</f>
        <v>0</v>
      </c>
      <c r="M941" s="379" t="str">
        <f>IF(Tabela2[[#This Row],[UNID.]]&lt;&gt;"",IFERROR(VLOOKUP(Tabela2[[#This Row],[AGRUPADOR]],Lucratividade!$D$4:$O$129,6,0),0),"")</f>
        <v/>
      </c>
      <c r="N941" s="379">
        <f>IF(H941&lt;&gt;"",J941*M941*I941,SUMIFS(N942:N$9844,$F942:$F$9844,"*"&amp;F941&amp;"*",$H942:$H$9844,"&lt;&gt;"))</f>
        <v>0</v>
      </c>
      <c r="O941" s="162" t="str">
        <f>IFERROR((-Tabela2[[#This Row],[CUSTO TOTAL]]+Tabela2[[#This Row],[VENDA TOTAL]])/Tabela2[[#This Row],[VENDA TOTAL]]-PARAMETROS!$C$19,"")</f>
        <v/>
      </c>
      <c r="AA941" s="219">
        <f>SUM(Plan_Orc[[#This Row],[01/jan]:[01/dez]])</f>
        <v>0</v>
      </c>
      <c r="AB941" s="15"/>
      <c r="AC941" s="15"/>
      <c r="AD941" s="15"/>
      <c r="AE941" s="15"/>
      <c r="AF941" s="15"/>
      <c r="AG941" s="15"/>
      <c r="AH941" s="15"/>
      <c r="AI941" s="15"/>
      <c r="AJ941" s="15"/>
      <c r="AK941" s="15"/>
      <c r="AL941" s="15"/>
      <c r="AM941" s="15"/>
    </row>
    <row r="942" spans="2:39" ht="25.2" customHeight="1" x14ac:dyDescent="0.3">
      <c r="B942" s="13" t="str">
        <f t="shared" si="18"/>
        <v/>
      </c>
      <c r="C942" s="18"/>
      <c r="D942" s="19" t="str">
        <f>IF(Tabela2[[#This Row],[AGRUPADOR]]&lt;&gt;"",VLOOKUP(Tabela2[[#This Row],[AGRUPADOR]],Tabela1[],2,0),"")</f>
        <v/>
      </c>
      <c r="E942" s="19" t="str">
        <f>IF(Tabela2[[#This Row],[AGRUPADOR]]&lt;&gt;"",VLOOKUP(Tabela2[[#This Row],[AGRUPADOR]],Tabela1[],4,0),"")</f>
        <v/>
      </c>
      <c r="F942" s="14"/>
      <c r="G942" s="6"/>
      <c r="H942" s="6"/>
      <c r="I942" s="25"/>
      <c r="J942" s="7"/>
      <c r="K942" s="15"/>
      <c r="L942" s="379">
        <f>IF(H942&lt;&gt;"",J942*K942,SUMIFS(L943:L$9844,$F943:$F$9844,"*"&amp;F942&amp;"*",$H943:$H$9844,"&lt;&gt;"))</f>
        <v>0</v>
      </c>
      <c r="M942" s="379" t="str">
        <f>IF(Tabela2[[#This Row],[UNID.]]&lt;&gt;"",IFERROR(VLOOKUP(Tabela2[[#This Row],[AGRUPADOR]],Lucratividade!$D$4:$O$129,6,0),0),"")</f>
        <v/>
      </c>
      <c r="N942" s="379">
        <f>IF(H942&lt;&gt;"",J942*M942*I942,SUMIFS(N943:N$9844,$F943:$F$9844,"*"&amp;F942&amp;"*",$H943:$H$9844,"&lt;&gt;"))</f>
        <v>0</v>
      </c>
      <c r="O942" s="162" t="str">
        <f>IFERROR((-Tabela2[[#This Row],[CUSTO TOTAL]]+Tabela2[[#This Row],[VENDA TOTAL]])/Tabela2[[#This Row],[VENDA TOTAL]]-PARAMETROS!$C$19,"")</f>
        <v/>
      </c>
      <c r="AA942" s="219">
        <f>SUM(Plan_Orc[[#This Row],[01/jan]:[01/dez]])</f>
        <v>0</v>
      </c>
      <c r="AB942" s="15"/>
      <c r="AC942" s="15"/>
      <c r="AD942" s="15"/>
      <c r="AE942" s="15"/>
      <c r="AF942" s="15"/>
      <c r="AG942" s="15"/>
      <c r="AH942" s="15"/>
      <c r="AI942" s="15"/>
      <c r="AJ942" s="15"/>
      <c r="AK942" s="15"/>
      <c r="AL942" s="15"/>
      <c r="AM942" s="15"/>
    </row>
    <row r="943" spans="2:39" ht="25.2" customHeight="1" x14ac:dyDescent="0.3">
      <c r="B943" s="13" t="str">
        <f t="shared" si="18"/>
        <v/>
      </c>
      <c r="C943" s="18"/>
      <c r="D943" s="19" t="str">
        <f>IF(Tabela2[[#This Row],[AGRUPADOR]]&lt;&gt;"",VLOOKUP(Tabela2[[#This Row],[AGRUPADOR]],Tabela1[],2,0),"")</f>
        <v/>
      </c>
      <c r="E943" s="19" t="str">
        <f>IF(Tabela2[[#This Row],[AGRUPADOR]]&lt;&gt;"",VLOOKUP(Tabela2[[#This Row],[AGRUPADOR]],Tabela1[],4,0),"")</f>
        <v/>
      </c>
      <c r="F943" s="14"/>
      <c r="G943" s="6"/>
      <c r="H943" s="6"/>
      <c r="I943" s="25"/>
      <c r="J943" s="7"/>
      <c r="K943" s="15"/>
      <c r="L943" s="379">
        <f>IF(H943&lt;&gt;"",J943*K943,SUMIFS(L944:L$9844,$F944:$F$9844,"*"&amp;F943&amp;"*",$H944:$H$9844,"&lt;&gt;"))</f>
        <v>0</v>
      </c>
      <c r="M943" s="379" t="str">
        <f>IF(Tabela2[[#This Row],[UNID.]]&lt;&gt;"",IFERROR(VLOOKUP(Tabela2[[#This Row],[AGRUPADOR]],Lucratividade!$D$4:$O$129,6,0),0),"")</f>
        <v/>
      </c>
      <c r="N943" s="379">
        <f>IF(H943&lt;&gt;"",J943*M943*I943,SUMIFS(N944:N$9844,$F944:$F$9844,"*"&amp;F943&amp;"*",$H944:$H$9844,"&lt;&gt;"))</f>
        <v>0</v>
      </c>
      <c r="O943" s="162" t="str">
        <f>IFERROR((-Tabela2[[#This Row],[CUSTO TOTAL]]+Tabela2[[#This Row],[VENDA TOTAL]])/Tabela2[[#This Row],[VENDA TOTAL]]-PARAMETROS!$C$19,"")</f>
        <v/>
      </c>
      <c r="AA943" s="219">
        <f>SUM(Plan_Orc[[#This Row],[01/jan]:[01/dez]])</f>
        <v>0</v>
      </c>
      <c r="AB943" s="15"/>
      <c r="AC943" s="15"/>
      <c r="AD943" s="15"/>
      <c r="AE943" s="15"/>
      <c r="AF943" s="15"/>
      <c r="AG943" s="15"/>
      <c r="AH943" s="15"/>
      <c r="AI943" s="15"/>
      <c r="AJ943" s="15"/>
      <c r="AK943" s="15"/>
      <c r="AL943" s="15"/>
      <c r="AM943" s="15"/>
    </row>
    <row r="944" spans="2:39" ht="25.2" customHeight="1" x14ac:dyDescent="0.3">
      <c r="B944" s="13" t="str">
        <f t="shared" si="18"/>
        <v/>
      </c>
      <c r="C944" s="18"/>
      <c r="D944" s="19" t="str">
        <f>IF(Tabela2[[#This Row],[AGRUPADOR]]&lt;&gt;"",VLOOKUP(Tabela2[[#This Row],[AGRUPADOR]],Tabela1[],2,0),"")</f>
        <v/>
      </c>
      <c r="E944" s="19" t="str">
        <f>IF(Tabela2[[#This Row],[AGRUPADOR]]&lt;&gt;"",VLOOKUP(Tabela2[[#This Row],[AGRUPADOR]],Tabela1[],4,0),"")</f>
        <v/>
      </c>
      <c r="F944" s="14"/>
      <c r="G944" s="6"/>
      <c r="H944" s="6"/>
      <c r="I944" s="25"/>
      <c r="J944" s="7"/>
      <c r="K944" s="15"/>
      <c r="L944" s="379">
        <f>IF(H944&lt;&gt;"",J944*K944,SUMIFS(L945:L$9844,$F945:$F$9844,"*"&amp;F944&amp;"*",$H945:$H$9844,"&lt;&gt;"))</f>
        <v>0</v>
      </c>
      <c r="M944" s="379" t="str">
        <f>IF(Tabela2[[#This Row],[UNID.]]&lt;&gt;"",IFERROR(VLOOKUP(Tabela2[[#This Row],[AGRUPADOR]],Lucratividade!$D$4:$O$129,6,0),0),"")</f>
        <v/>
      </c>
      <c r="N944" s="379">
        <f>IF(H944&lt;&gt;"",J944*M944*I944,SUMIFS(N945:N$9844,$F945:$F$9844,"*"&amp;F944&amp;"*",$H945:$H$9844,"&lt;&gt;"))</f>
        <v>0</v>
      </c>
      <c r="O944" s="162" t="str">
        <f>IFERROR((-Tabela2[[#This Row],[CUSTO TOTAL]]+Tabela2[[#This Row],[VENDA TOTAL]])/Tabela2[[#This Row],[VENDA TOTAL]]-PARAMETROS!$C$19,"")</f>
        <v/>
      </c>
      <c r="AA944" s="219">
        <f>SUM(Plan_Orc[[#This Row],[01/jan]:[01/dez]])</f>
        <v>0</v>
      </c>
      <c r="AB944" s="15"/>
      <c r="AC944" s="15"/>
      <c r="AD944" s="15"/>
      <c r="AE944" s="15"/>
      <c r="AF944" s="15"/>
      <c r="AG944" s="15"/>
      <c r="AH944" s="15"/>
      <c r="AI944" s="15"/>
      <c r="AJ944" s="15"/>
      <c r="AK944" s="15"/>
      <c r="AL944" s="15"/>
      <c r="AM944" s="15"/>
    </row>
    <row r="945" spans="2:39" ht="25.2" customHeight="1" x14ac:dyDescent="0.3">
      <c r="B945" s="13" t="str">
        <f t="shared" si="18"/>
        <v/>
      </c>
      <c r="C945" s="18"/>
      <c r="D945" s="19" t="str">
        <f>IF(Tabela2[[#This Row],[AGRUPADOR]]&lt;&gt;"",VLOOKUP(Tabela2[[#This Row],[AGRUPADOR]],Tabela1[],2,0),"")</f>
        <v/>
      </c>
      <c r="E945" s="19" t="str">
        <f>IF(Tabela2[[#This Row],[AGRUPADOR]]&lt;&gt;"",VLOOKUP(Tabela2[[#This Row],[AGRUPADOR]],Tabela1[],4,0),"")</f>
        <v/>
      </c>
      <c r="F945" s="14"/>
      <c r="G945" s="6"/>
      <c r="H945" s="6"/>
      <c r="I945" s="25"/>
      <c r="J945" s="7"/>
      <c r="K945" s="15"/>
      <c r="L945" s="379">
        <f>IF(H945&lt;&gt;"",J945*K945,SUMIFS(L946:L$9844,$F946:$F$9844,"*"&amp;F945&amp;"*",$H946:$H$9844,"&lt;&gt;"))</f>
        <v>0</v>
      </c>
      <c r="M945" s="379" t="str">
        <f>IF(Tabela2[[#This Row],[UNID.]]&lt;&gt;"",IFERROR(VLOOKUP(Tabela2[[#This Row],[AGRUPADOR]],Lucratividade!$D$4:$O$129,6,0),0),"")</f>
        <v/>
      </c>
      <c r="N945" s="379">
        <f>IF(H945&lt;&gt;"",J945*M945*I945,SUMIFS(N946:N$9844,$F946:$F$9844,"*"&amp;F945&amp;"*",$H946:$H$9844,"&lt;&gt;"))</f>
        <v>0</v>
      </c>
      <c r="O945" s="162" t="str">
        <f>IFERROR((-Tabela2[[#This Row],[CUSTO TOTAL]]+Tabela2[[#This Row],[VENDA TOTAL]])/Tabela2[[#This Row],[VENDA TOTAL]]-PARAMETROS!$C$19,"")</f>
        <v/>
      </c>
      <c r="AA945" s="219">
        <f>SUM(Plan_Orc[[#This Row],[01/jan]:[01/dez]])</f>
        <v>0</v>
      </c>
      <c r="AB945" s="15"/>
      <c r="AC945" s="15"/>
      <c r="AD945" s="15"/>
      <c r="AE945" s="15"/>
      <c r="AF945" s="15"/>
      <c r="AG945" s="15"/>
      <c r="AH945" s="15"/>
      <c r="AI945" s="15"/>
      <c r="AJ945" s="15"/>
      <c r="AK945" s="15"/>
      <c r="AL945" s="15"/>
      <c r="AM945" s="15"/>
    </row>
    <row r="946" spans="2:39" ht="25.2" customHeight="1" x14ac:dyDescent="0.3">
      <c r="B946" s="13" t="str">
        <f t="shared" si="18"/>
        <v/>
      </c>
      <c r="C946" s="18"/>
      <c r="D946" s="19" t="str">
        <f>IF(Tabela2[[#This Row],[AGRUPADOR]]&lt;&gt;"",VLOOKUP(Tabela2[[#This Row],[AGRUPADOR]],Tabela1[],2,0),"")</f>
        <v/>
      </c>
      <c r="E946" s="19" t="str">
        <f>IF(Tabela2[[#This Row],[AGRUPADOR]]&lt;&gt;"",VLOOKUP(Tabela2[[#This Row],[AGRUPADOR]],Tabela1[],4,0),"")</f>
        <v/>
      </c>
      <c r="F946" s="14"/>
      <c r="G946" s="6"/>
      <c r="H946" s="6"/>
      <c r="I946" s="25"/>
      <c r="J946" s="7"/>
      <c r="K946" s="15"/>
      <c r="L946" s="379">
        <f>IF(H946&lt;&gt;"",J946*K946,SUMIFS(L947:L$9844,$F947:$F$9844,"*"&amp;F946&amp;"*",$H947:$H$9844,"&lt;&gt;"))</f>
        <v>0</v>
      </c>
      <c r="M946" s="379" t="str">
        <f>IF(Tabela2[[#This Row],[UNID.]]&lt;&gt;"",IFERROR(VLOOKUP(Tabela2[[#This Row],[AGRUPADOR]],Lucratividade!$D$4:$O$129,6,0),0),"")</f>
        <v/>
      </c>
      <c r="N946" s="379">
        <f>IF(H946&lt;&gt;"",J946*M946*I946,SUMIFS(N947:N$9844,$F947:$F$9844,"*"&amp;F946&amp;"*",$H947:$H$9844,"&lt;&gt;"))</f>
        <v>0</v>
      </c>
      <c r="O946" s="162" t="str">
        <f>IFERROR((-Tabela2[[#This Row],[CUSTO TOTAL]]+Tabela2[[#This Row],[VENDA TOTAL]])/Tabela2[[#This Row],[VENDA TOTAL]]-PARAMETROS!$C$19,"")</f>
        <v/>
      </c>
      <c r="AA946" s="219">
        <f>SUM(Plan_Orc[[#This Row],[01/jan]:[01/dez]])</f>
        <v>0</v>
      </c>
      <c r="AB946" s="15"/>
      <c r="AC946" s="15"/>
      <c r="AD946" s="15"/>
      <c r="AE946" s="15"/>
      <c r="AF946" s="15"/>
      <c r="AG946" s="15"/>
      <c r="AH946" s="15"/>
      <c r="AI946" s="15"/>
      <c r="AJ946" s="15"/>
      <c r="AK946" s="15"/>
      <c r="AL946" s="15"/>
      <c r="AM946" s="15"/>
    </row>
    <row r="947" spans="2:39" ht="25.2" customHeight="1" x14ac:dyDescent="0.3">
      <c r="B947" s="13" t="str">
        <f t="shared" si="18"/>
        <v/>
      </c>
      <c r="C947" s="18"/>
      <c r="D947" s="19" t="str">
        <f>IF(Tabela2[[#This Row],[AGRUPADOR]]&lt;&gt;"",VLOOKUP(Tabela2[[#This Row],[AGRUPADOR]],Tabela1[],2,0),"")</f>
        <v/>
      </c>
      <c r="E947" s="19" t="str">
        <f>IF(Tabela2[[#This Row],[AGRUPADOR]]&lt;&gt;"",VLOOKUP(Tabela2[[#This Row],[AGRUPADOR]],Tabela1[],4,0),"")</f>
        <v/>
      </c>
      <c r="F947" s="14"/>
      <c r="G947" s="6"/>
      <c r="H947" s="6"/>
      <c r="I947" s="25"/>
      <c r="J947" s="7"/>
      <c r="K947" s="15"/>
      <c r="L947" s="379">
        <f>IF(H947&lt;&gt;"",J947*K947,SUMIFS(L948:L$9844,$F948:$F$9844,"*"&amp;F947&amp;"*",$H948:$H$9844,"&lt;&gt;"))</f>
        <v>0</v>
      </c>
      <c r="M947" s="379" t="str">
        <f>IF(Tabela2[[#This Row],[UNID.]]&lt;&gt;"",IFERROR(VLOOKUP(Tabela2[[#This Row],[AGRUPADOR]],Lucratividade!$D$4:$O$129,6,0),0),"")</f>
        <v/>
      </c>
      <c r="N947" s="379">
        <f>IF(H947&lt;&gt;"",J947*M947*I947,SUMIFS(N948:N$9844,$F948:$F$9844,"*"&amp;F947&amp;"*",$H948:$H$9844,"&lt;&gt;"))</f>
        <v>0</v>
      </c>
      <c r="O947" s="162" t="str">
        <f>IFERROR((-Tabela2[[#This Row],[CUSTO TOTAL]]+Tabela2[[#This Row],[VENDA TOTAL]])/Tabela2[[#This Row],[VENDA TOTAL]]-PARAMETROS!$C$19,"")</f>
        <v/>
      </c>
      <c r="AA947" s="219">
        <f>SUM(Plan_Orc[[#This Row],[01/jan]:[01/dez]])</f>
        <v>0</v>
      </c>
      <c r="AB947" s="15"/>
      <c r="AC947" s="15"/>
      <c r="AD947" s="15"/>
      <c r="AE947" s="15"/>
      <c r="AF947" s="15"/>
      <c r="AG947" s="15"/>
      <c r="AH947" s="15"/>
      <c r="AI947" s="15"/>
      <c r="AJ947" s="15"/>
      <c r="AK947" s="15"/>
      <c r="AL947" s="15"/>
      <c r="AM947" s="15"/>
    </row>
    <row r="948" spans="2:39" ht="25.2" customHeight="1" x14ac:dyDescent="0.3">
      <c r="B948" s="13" t="str">
        <f t="shared" si="18"/>
        <v/>
      </c>
      <c r="C948" s="18"/>
      <c r="D948" s="19" t="str">
        <f>IF(Tabela2[[#This Row],[AGRUPADOR]]&lt;&gt;"",VLOOKUP(Tabela2[[#This Row],[AGRUPADOR]],Tabela1[],2,0),"")</f>
        <v/>
      </c>
      <c r="E948" s="19" t="str">
        <f>IF(Tabela2[[#This Row],[AGRUPADOR]]&lt;&gt;"",VLOOKUP(Tabela2[[#This Row],[AGRUPADOR]],Tabela1[],4,0),"")</f>
        <v/>
      </c>
      <c r="F948" s="14"/>
      <c r="G948" s="6"/>
      <c r="H948" s="6"/>
      <c r="I948" s="25"/>
      <c r="J948" s="7"/>
      <c r="K948" s="15"/>
      <c r="L948" s="379">
        <f>IF(H948&lt;&gt;"",J948*K948,SUMIFS(L949:L$9844,$F949:$F$9844,"*"&amp;F948&amp;"*",$H949:$H$9844,"&lt;&gt;"))</f>
        <v>0</v>
      </c>
      <c r="M948" s="379" t="str">
        <f>IF(Tabela2[[#This Row],[UNID.]]&lt;&gt;"",IFERROR(VLOOKUP(Tabela2[[#This Row],[AGRUPADOR]],Lucratividade!$D$4:$O$129,6,0),0),"")</f>
        <v/>
      </c>
      <c r="N948" s="379">
        <f>IF(H948&lt;&gt;"",J948*M948*I948,SUMIFS(N949:N$9844,$F949:$F$9844,"*"&amp;F948&amp;"*",$H949:$H$9844,"&lt;&gt;"))</f>
        <v>0</v>
      </c>
      <c r="O948" s="162" t="str">
        <f>IFERROR((-Tabela2[[#This Row],[CUSTO TOTAL]]+Tabela2[[#This Row],[VENDA TOTAL]])/Tabela2[[#This Row],[VENDA TOTAL]]-PARAMETROS!$C$19,"")</f>
        <v/>
      </c>
      <c r="AA948" s="218">
        <f>SUM(Plan_Orc[[#This Row],[01/jan]:[01/dez]])</f>
        <v>0</v>
      </c>
      <c r="AB948" s="12"/>
      <c r="AC948" s="12"/>
      <c r="AD948" s="12"/>
      <c r="AE948" s="12"/>
      <c r="AF948" s="12"/>
      <c r="AG948" s="12"/>
      <c r="AH948" s="12"/>
      <c r="AI948" s="12"/>
      <c r="AJ948" s="12"/>
      <c r="AK948" s="12"/>
      <c r="AL948" s="12"/>
      <c r="AM948" s="12"/>
    </row>
    <row r="949" spans="2:39" ht="25.2" customHeight="1" x14ac:dyDescent="0.3">
      <c r="B949" s="13" t="str">
        <f t="shared" si="18"/>
        <v/>
      </c>
      <c r="C949" s="18"/>
      <c r="D949" s="19" t="str">
        <f>IF(Tabela2[[#This Row],[AGRUPADOR]]&lt;&gt;"",VLOOKUP(Tabela2[[#This Row],[AGRUPADOR]],Tabela1[],2,0),"")</f>
        <v/>
      </c>
      <c r="E949" s="19" t="str">
        <f>IF(Tabela2[[#This Row],[AGRUPADOR]]&lt;&gt;"",VLOOKUP(Tabela2[[#This Row],[AGRUPADOR]],Tabela1[],4,0),"")</f>
        <v/>
      </c>
      <c r="F949" s="14"/>
      <c r="G949" s="6"/>
      <c r="H949" s="6"/>
      <c r="I949" s="25"/>
      <c r="J949" s="7"/>
      <c r="K949" s="15"/>
      <c r="L949" s="379">
        <f>IF(H949&lt;&gt;"",J949*K949,SUMIFS(L950:L$9844,$F950:$F$9844,"*"&amp;F949&amp;"*",$H950:$H$9844,"&lt;&gt;"))</f>
        <v>0</v>
      </c>
      <c r="M949" s="379" t="str">
        <f>IF(Tabela2[[#This Row],[UNID.]]&lt;&gt;"",IFERROR(VLOOKUP(Tabela2[[#This Row],[AGRUPADOR]],Lucratividade!$D$4:$O$129,6,0),0),"")</f>
        <v/>
      </c>
      <c r="N949" s="379">
        <f>IF(H949&lt;&gt;"",J949*M949*I949,SUMIFS(N950:N$9844,$F950:$F$9844,"*"&amp;F949&amp;"*",$H950:$H$9844,"&lt;&gt;"))</f>
        <v>0</v>
      </c>
      <c r="O949" s="162" t="str">
        <f>IFERROR((-Tabela2[[#This Row],[CUSTO TOTAL]]+Tabela2[[#This Row],[VENDA TOTAL]])/Tabela2[[#This Row],[VENDA TOTAL]]-PARAMETROS!$C$19,"")</f>
        <v/>
      </c>
      <c r="AA949" s="219">
        <f>SUM(Plan_Orc[[#This Row],[01/jan]:[01/dez]])</f>
        <v>0</v>
      </c>
      <c r="AB949" s="15"/>
      <c r="AC949" s="15"/>
      <c r="AD949" s="15"/>
      <c r="AE949" s="15"/>
      <c r="AF949" s="15"/>
      <c r="AG949" s="15"/>
      <c r="AH949" s="15"/>
      <c r="AI949" s="15"/>
      <c r="AJ949" s="15"/>
      <c r="AK949" s="15"/>
      <c r="AL949" s="15"/>
      <c r="AM949" s="15"/>
    </row>
    <row r="950" spans="2:39" ht="25.2" customHeight="1" x14ac:dyDescent="0.3">
      <c r="B950" s="13" t="str">
        <f t="shared" si="18"/>
        <v/>
      </c>
      <c r="C950" s="18"/>
      <c r="D950" s="19" t="str">
        <f>IF(Tabela2[[#This Row],[AGRUPADOR]]&lt;&gt;"",VLOOKUP(Tabela2[[#This Row],[AGRUPADOR]],Tabela1[],2,0),"")</f>
        <v/>
      </c>
      <c r="E950" s="19" t="str">
        <f>IF(Tabela2[[#This Row],[AGRUPADOR]]&lt;&gt;"",VLOOKUP(Tabela2[[#This Row],[AGRUPADOR]],Tabela1[],4,0),"")</f>
        <v/>
      </c>
      <c r="F950" s="14"/>
      <c r="G950" s="6"/>
      <c r="H950" s="6"/>
      <c r="I950" s="25"/>
      <c r="J950" s="7"/>
      <c r="K950" s="15"/>
      <c r="L950" s="379">
        <f>IF(H950&lt;&gt;"",J950*K950,SUMIFS(L951:L$9844,$F951:$F$9844,"*"&amp;F950&amp;"*",$H951:$H$9844,"&lt;&gt;"))</f>
        <v>0</v>
      </c>
      <c r="M950" s="379" t="str">
        <f>IF(Tabela2[[#This Row],[UNID.]]&lt;&gt;"",IFERROR(VLOOKUP(Tabela2[[#This Row],[AGRUPADOR]],Lucratividade!$D$4:$O$129,6,0),0),"")</f>
        <v/>
      </c>
      <c r="N950" s="379">
        <f>IF(H950&lt;&gt;"",J950*M950*I950,SUMIFS(N951:N$9844,$F951:$F$9844,"*"&amp;F950&amp;"*",$H951:$H$9844,"&lt;&gt;"))</f>
        <v>0</v>
      </c>
      <c r="O950" s="162" t="str">
        <f>IFERROR((-Tabela2[[#This Row],[CUSTO TOTAL]]+Tabela2[[#This Row],[VENDA TOTAL]])/Tabela2[[#This Row],[VENDA TOTAL]]-PARAMETROS!$C$19,"")</f>
        <v/>
      </c>
      <c r="AA950" s="219">
        <f>SUM(Plan_Orc[[#This Row],[01/jan]:[01/dez]])</f>
        <v>0</v>
      </c>
      <c r="AB950" s="15"/>
      <c r="AC950" s="15"/>
      <c r="AD950" s="15"/>
      <c r="AE950" s="15"/>
      <c r="AF950" s="15"/>
      <c r="AG950" s="15"/>
      <c r="AH950" s="15"/>
      <c r="AI950" s="15"/>
      <c r="AJ950" s="15"/>
      <c r="AK950" s="15"/>
      <c r="AL950" s="15"/>
      <c r="AM950" s="15"/>
    </row>
    <row r="951" spans="2:39" ht="25.2" customHeight="1" x14ac:dyDescent="0.3">
      <c r="B951" s="13" t="str">
        <f t="shared" si="18"/>
        <v/>
      </c>
      <c r="C951" s="18"/>
      <c r="D951" s="19" t="str">
        <f>IF(Tabela2[[#This Row],[AGRUPADOR]]&lt;&gt;"",VLOOKUP(Tabela2[[#This Row],[AGRUPADOR]],Tabela1[],2,0),"")</f>
        <v/>
      </c>
      <c r="E951" s="19" t="str">
        <f>IF(Tabela2[[#This Row],[AGRUPADOR]]&lt;&gt;"",VLOOKUP(Tabela2[[#This Row],[AGRUPADOR]],Tabela1[],4,0),"")</f>
        <v/>
      </c>
      <c r="F951" s="14"/>
      <c r="G951" s="6"/>
      <c r="H951" s="6"/>
      <c r="I951" s="25"/>
      <c r="J951" s="7"/>
      <c r="K951" s="15"/>
      <c r="L951" s="379">
        <f>IF(H951&lt;&gt;"",J951*K951,SUMIFS(L952:L$9844,$F952:$F$9844,"*"&amp;F951&amp;"*",$H952:$H$9844,"&lt;&gt;"))</f>
        <v>0</v>
      </c>
      <c r="M951" s="379" t="str">
        <f>IF(Tabela2[[#This Row],[UNID.]]&lt;&gt;"",IFERROR(VLOOKUP(Tabela2[[#This Row],[AGRUPADOR]],Lucratividade!$D$4:$O$129,6,0),0),"")</f>
        <v/>
      </c>
      <c r="N951" s="379">
        <f>IF(H951&lt;&gt;"",J951*M951*I951,SUMIFS(N952:N$9844,$F952:$F$9844,"*"&amp;F951&amp;"*",$H952:$H$9844,"&lt;&gt;"))</f>
        <v>0</v>
      </c>
      <c r="O951" s="162" t="str">
        <f>IFERROR((-Tabela2[[#This Row],[CUSTO TOTAL]]+Tabela2[[#This Row],[VENDA TOTAL]])/Tabela2[[#This Row],[VENDA TOTAL]]-PARAMETROS!$C$19,"")</f>
        <v/>
      </c>
      <c r="AA951" s="219">
        <f>SUM(Plan_Orc[[#This Row],[01/jan]:[01/dez]])</f>
        <v>0</v>
      </c>
      <c r="AB951" s="15"/>
      <c r="AC951" s="15"/>
      <c r="AD951" s="15"/>
      <c r="AE951" s="15"/>
      <c r="AF951" s="15"/>
      <c r="AG951" s="15"/>
      <c r="AH951" s="15"/>
      <c r="AI951" s="15"/>
      <c r="AJ951" s="15"/>
      <c r="AK951" s="15"/>
      <c r="AL951" s="15"/>
      <c r="AM951" s="15"/>
    </row>
    <row r="952" spans="2:39" ht="25.2" customHeight="1" x14ac:dyDescent="0.3">
      <c r="B952" s="13" t="str">
        <f t="shared" si="18"/>
        <v/>
      </c>
      <c r="C952" s="18"/>
      <c r="D952" s="19" t="str">
        <f>IF(Tabela2[[#This Row],[AGRUPADOR]]&lt;&gt;"",VLOOKUP(Tabela2[[#This Row],[AGRUPADOR]],Tabela1[],2,0),"")</f>
        <v/>
      </c>
      <c r="E952" s="19" t="str">
        <f>IF(Tabela2[[#This Row],[AGRUPADOR]]&lt;&gt;"",VLOOKUP(Tabela2[[#This Row],[AGRUPADOR]],Tabela1[],4,0),"")</f>
        <v/>
      </c>
      <c r="F952" s="14"/>
      <c r="G952" s="6"/>
      <c r="H952" s="6"/>
      <c r="I952" s="25"/>
      <c r="J952" s="7"/>
      <c r="K952" s="15"/>
      <c r="L952" s="379">
        <f>IF(H952&lt;&gt;"",J952*K952,SUMIFS(L953:L$9844,$F953:$F$9844,"*"&amp;F952&amp;"*",$H953:$H$9844,"&lt;&gt;"))</f>
        <v>0</v>
      </c>
      <c r="M952" s="379" t="str">
        <f>IF(Tabela2[[#This Row],[UNID.]]&lt;&gt;"",IFERROR(VLOOKUP(Tabela2[[#This Row],[AGRUPADOR]],Lucratividade!$D$4:$O$129,6,0),0),"")</f>
        <v/>
      </c>
      <c r="N952" s="379">
        <f>IF(H952&lt;&gt;"",J952*M952*I952,SUMIFS(N953:N$9844,$F953:$F$9844,"*"&amp;F952&amp;"*",$H953:$H$9844,"&lt;&gt;"))</f>
        <v>0</v>
      </c>
      <c r="O952" s="162" t="str">
        <f>IFERROR((-Tabela2[[#This Row],[CUSTO TOTAL]]+Tabela2[[#This Row],[VENDA TOTAL]])/Tabela2[[#This Row],[VENDA TOTAL]]-PARAMETROS!$C$19,"")</f>
        <v/>
      </c>
      <c r="AA952" s="219">
        <f>SUM(Plan_Orc[[#This Row],[01/jan]:[01/dez]])</f>
        <v>0</v>
      </c>
      <c r="AB952" s="15"/>
      <c r="AC952" s="15"/>
      <c r="AD952" s="15"/>
      <c r="AE952" s="15"/>
      <c r="AF952" s="15"/>
      <c r="AG952" s="15"/>
      <c r="AH952" s="15"/>
      <c r="AI952" s="15"/>
      <c r="AJ952" s="15"/>
      <c r="AK952" s="15"/>
      <c r="AL952" s="15"/>
      <c r="AM952" s="15"/>
    </row>
    <row r="953" spans="2:39" ht="25.2" customHeight="1" x14ac:dyDescent="0.3">
      <c r="B953" s="13" t="str">
        <f t="shared" si="18"/>
        <v/>
      </c>
      <c r="C953" s="18"/>
      <c r="D953" s="19" t="str">
        <f>IF(Tabela2[[#This Row],[AGRUPADOR]]&lt;&gt;"",VLOOKUP(Tabela2[[#This Row],[AGRUPADOR]],Tabela1[],2,0),"")</f>
        <v/>
      </c>
      <c r="E953" s="19" t="str">
        <f>IF(Tabela2[[#This Row],[AGRUPADOR]]&lt;&gt;"",VLOOKUP(Tabela2[[#This Row],[AGRUPADOR]],Tabela1[],4,0),"")</f>
        <v/>
      </c>
      <c r="F953" s="14"/>
      <c r="G953" s="6"/>
      <c r="H953" s="6"/>
      <c r="I953" s="25"/>
      <c r="J953" s="7"/>
      <c r="K953" s="15"/>
      <c r="L953" s="379">
        <f>IF(H953&lt;&gt;"",J953*K953,SUMIFS(L954:L$9844,$F954:$F$9844,"*"&amp;F953&amp;"*",$H954:$H$9844,"&lt;&gt;"))</f>
        <v>0</v>
      </c>
      <c r="M953" s="379" t="str">
        <f>IF(Tabela2[[#This Row],[UNID.]]&lt;&gt;"",IFERROR(VLOOKUP(Tabela2[[#This Row],[AGRUPADOR]],Lucratividade!$D$4:$O$129,6,0),0),"")</f>
        <v/>
      </c>
      <c r="N953" s="379">
        <f>IF(H953&lt;&gt;"",J953*M953*I953,SUMIFS(N954:N$9844,$F954:$F$9844,"*"&amp;F953&amp;"*",$H954:$H$9844,"&lt;&gt;"))</f>
        <v>0</v>
      </c>
      <c r="O953" s="162" t="str">
        <f>IFERROR((-Tabela2[[#This Row],[CUSTO TOTAL]]+Tabela2[[#This Row],[VENDA TOTAL]])/Tabela2[[#This Row],[VENDA TOTAL]]-PARAMETROS!$C$19,"")</f>
        <v/>
      </c>
      <c r="AA953" s="219">
        <f>SUM(Plan_Orc[[#This Row],[01/jan]:[01/dez]])</f>
        <v>0</v>
      </c>
      <c r="AB953" s="15"/>
      <c r="AC953" s="15"/>
      <c r="AD953" s="15"/>
      <c r="AE953" s="15"/>
      <c r="AF953" s="15"/>
      <c r="AG953" s="15"/>
      <c r="AH953" s="15"/>
      <c r="AI953" s="15"/>
      <c r="AJ953" s="15"/>
      <c r="AK953" s="15"/>
      <c r="AL953" s="15"/>
      <c r="AM953" s="15"/>
    </row>
    <row r="954" spans="2:39" ht="25.2" customHeight="1" x14ac:dyDescent="0.3">
      <c r="B954" s="13" t="str">
        <f t="shared" si="18"/>
        <v/>
      </c>
      <c r="C954" s="18"/>
      <c r="D954" s="19" t="str">
        <f>IF(Tabela2[[#This Row],[AGRUPADOR]]&lt;&gt;"",VLOOKUP(Tabela2[[#This Row],[AGRUPADOR]],Tabela1[],2,0),"")</f>
        <v/>
      </c>
      <c r="E954" s="19" t="str">
        <f>IF(Tabela2[[#This Row],[AGRUPADOR]]&lt;&gt;"",VLOOKUP(Tabela2[[#This Row],[AGRUPADOR]],Tabela1[],4,0),"")</f>
        <v/>
      </c>
      <c r="F954" s="14"/>
      <c r="G954" s="6"/>
      <c r="H954" s="6"/>
      <c r="I954" s="25"/>
      <c r="J954" s="7"/>
      <c r="K954" s="15"/>
      <c r="L954" s="379">
        <f>IF(H954&lt;&gt;"",J954*K954,SUMIFS(L955:L$9844,$F955:$F$9844,"*"&amp;F954&amp;"*",$H955:$H$9844,"&lt;&gt;"))</f>
        <v>0</v>
      </c>
      <c r="M954" s="379" t="str">
        <f>IF(Tabela2[[#This Row],[UNID.]]&lt;&gt;"",IFERROR(VLOOKUP(Tabela2[[#This Row],[AGRUPADOR]],Lucratividade!$D$4:$O$129,6,0),0),"")</f>
        <v/>
      </c>
      <c r="N954" s="379">
        <f>IF(H954&lt;&gt;"",J954*M954*I954,SUMIFS(N955:N$9844,$F955:$F$9844,"*"&amp;F954&amp;"*",$H955:$H$9844,"&lt;&gt;"))</f>
        <v>0</v>
      </c>
      <c r="O954" s="162" t="str">
        <f>IFERROR((-Tabela2[[#This Row],[CUSTO TOTAL]]+Tabela2[[#This Row],[VENDA TOTAL]])/Tabela2[[#This Row],[VENDA TOTAL]]-PARAMETROS!$C$19,"")</f>
        <v/>
      </c>
      <c r="AA954" s="219">
        <f>SUM(Plan_Orc[[#This Row],[01/jan]:[01/dez]])</f>
        <v>0</v>
      </c>
      <c r="AB954" s="15"/>
      <c r="AC954" s="15"/>
      <c r="AD954" s="15"/>
      <c r="AE954" s="15"/>
      <c r="AF954" s="15"/>
      <c r="AG954" s="15"/>
      <c r="AH954" s="15"/>
      <c r="AI954" s="15"/>
      <c r="AJ954" s="15"/>
      <c r="AK954" s="15"/>
      <c r="AL954" s="15"/>
      <c r="AM954" s="15"/>
    </row>
    <row r="955" spans="2:39" ht="25.2" customHeight="1" x14ac:dyDescent="0.3">
      <c r="B955" s="13" t="str">
        <f t="shared" si="18"/>
        <v/>
      </c>
      <c r="C955" s="18"/>
      <c r="D955" s="19" t="str">
        <f>IF(Tabela2[[#This Row],[AGRUPADOR]]&lt;&gt;"",VLOOKUP(Tabela2[[#This Row],[AGRUPADOR]],Tabela1[],2,0),"")</f>
        <v/>
      </c>
      <c r="E955" s="19" t="str">
        <f>IF(Tabela2[[#This Row],[AGRUPADOR]]&lt;&gt;"",VLOOKUP(Tabela2[[#This Row],[AGRUPADOR]],Tabela1[],4,0),"")</f>
        <v/>
      </c>
      <c r="F955" s="14"/>
      <c r="G955" s="6"/>
      <c r="H955" s="6"/>
      <c r="I955" s="25"/>
      <c r="J955" s="7"/>
      <c r="K955" s="15"/>
      <c r="L955" s="379">
        <f>IF(H955&lt;&gt;"",J955*K955,SUMIFS(L956:L$9844,$F956:$F$9844,"*"&amp;F955&amp;"*",$H956:$H$9844,"&lt;&gt;"))</f>
        <v>0</v>
      </c>
      <c r="M955" s="379" t="str">
        <f>IF(Tabela2[[#This Row],[UNID.]]&lt;&gt;"",IFERROR(VLOOKUP(Tabela2[[#This Row],[AGRUPADOR]],Lucratividade!$D$4:$O$129,6,0),0),"")</f>
        <v/>
      </c>
      <c r="N955" s="379">
        <f>IF(H955&lt;&gt;"",J955*M955*I955,SUMIFS(N956:N$9844,$F956:$F$9844,"*"&amp;F955&amp;"*",$H956:$H$9844,"&lt;&gt;"))</f>
        <v>0</v>
      </c>
      <c r="O955" s="162" t="str">
        <f>IFERROR((-Tabela2[[#This Row],[CUSTO TOTAL]]+Tabela2[[#This Row],[VENDA TOTAL]])/Tabela2[[#This Row],[VENDA TOTAL]]-PARAMETROS!$C$19,"")</f>
        <v/>
      </c>
      <c r="AA955" s="219">
        <f>SUM(Plan_Orc[[#This Row],[01/jan]:[01/dez]])</f>
        <v>0</v>
      </c>
      <c r="AB955" s="15"/>
      <c r="AC955" s="15"/>
      <c r="AD955" s="15"/>
      <c r="AE955" s="15"/>
      <c r="AF955" s="15"/>
      <c r="AG955" s="15"/>
      <c r="AH955" s="15"/>
      <c r="AI955" s="15"/>
      <c r="AJ955" s="15"/>
      <c r="AK955" s="15"/>
      <c r="AL955" s="15"/>
      <c r="AM955" s="15"/>
    </row>
    <row r="956" spans="2:39" ht="25.2" customHeight="1" x14ac:dyDescent="0.3">
      <c r="B956" s="13" t="str">
        <f t="shared" si="18"/>
        <v/>
      </c>
      <c r="C956" s="18"/>
      <c r="D956" s="19" t="str">
        <f>IF(Tabela2[[#This Row],[AGRUPADOR]]&lt;&gt;"",VLOOKUP(Tabela2[[#This Row],[AGRUPADOR]],Tabela1[],2,0),"")</f>
        <v/>
      </c>
      <c r="E956" s="19" t="str">
        <f>IF(Tabela2[[#This Row],[AGRUPADOR]]&lt;&gt;"",VLOOKUP(Tabela2[[#This Row],[AGRUPADOR]],Tabela1[],4,0),"")</f>
        <v/>
      </c>
      <c r="F956" s="14"/>
      <c r="G956" s="6"/>
      <c r="H956" s="6"/>
      <c r="I956" s="25"/>
      <c r="J956" s="7"/>
      <c r="K956" s="15"/>
      <c r="L956" s="379">
        <f>IF(H956&lt;&gt;"",J956*K956,SUMIFS(L957:L$9844,$F957:$F$9844,"*"&amp;F956&amp;"*",$H957:$H$9844,"&lt;&gt;"))</f>
        <v>0</v>
      </c>
      <c r="M956" s="379" t="str">
        <f>IF(Tabela2[[#This Row],[UNID.]]&lt;&gt;"",IFERROR(VLOOKUP(Tabela2[[#This Row],[AGRUPADOR]],Lucratividade!$D$4:$O$129,6,0),0),"")</f>
        <v/>
      </c>
      <c r="N956" s="379">
        <f>IF(H956&lt;&gt;"",J956*M956*I956,SUMIFS(N957:N$9844,$F957:$F$9844,"*"&amp;F956&amp;"*",$H957:$H$9844,"&lt;&gt;"))</f>
        <v>0</v>
      </c>
      <c r="O956" s="162" t="str">
        <f>IFERROR((-Tabela2[[#This Row],[CUSTO TOTAL]]+Tabela2[[#This Row],[VENDA TOTAL]])/Tabela2[[#This Row],[VENDA TOTAL]]-PARAMETROS!$C$19,"")</f>
        <v/>
      </c>
      <c r="AA956" s="219">
        <f>SUM(Plan_Orc[[#This Row],[01/jan]:[01/dez]])</f>
        <v>0</v>
      </c>
      <c r="AB956" s="15"/>
      <c r="AC956" s="15"/>
      <c r="AD956" s="15"/>
      <c r="AE956" s="15"/>
      <c r="AF956" s="15"/>
      <c r="AG956" s="15"/>
      <c r="AH956" s="15"/>
      <c r="AI956" s="15"/>
      <c r="AJ956" s="15"/>
      <c r="AK956" s="15"/>
      <c r="AL956" s="15"/>
      <c r="AM956" s="15"/>
    </row>
    <row r="957" spans="2:39" ht="25.2" customHeight="1" x14ac:dyDescent="0.3">
      <c r="B957" s="13" t="str">
        <f t="shared" si="18"/>
        <v/>
      </c>
      <c r="C957" s="18"/>
      <c r="D957" s="19" t="str">
        <f>IF(Tabela2[[#This Row],[AGRUPADOR]]&lt;&gt;"",VLOOKUP(Tabela2[[#This Row],[AGRUPADOR]],Tabela1[],2,0),"")</f>
        <v/>
      </c>
      <c r="E957" s="19" t="str">
        <f>IF(Tabela2[[#This Row],[AGRUPADOR]]&lt;&gt;"",VLOOKUP(Tabela2[[#This Row],[AGRUPADOR]],Tabela1[],4,0),"")</f>
        <v/>
      </c>
      <c r="F957" s="14"/>
      <c r="G957" s="6"/>
      <c r="H957" s="6"/>
      <c r="I957" s="25"/>
      <c r="J957" s="7"/>
      <c r="K957" s="15"/>
      <c r="L957" s="379">
        <f>IF(H957&lt;&gt;"",J957*K957,SUMIFS(L958:L$9844,$F958:$F$9844,"*"&amp;F957&amp;"*",$H958:$H$9844,"&lt;&gt;"))</f>
        <v>0</v>
      </c>
      <c r="M957" s="379" t="str">
        <f>IF(Tabela2[[#This Row],[UNID.]]&lt;&gt;"",IFERROR(VLOOKUP(Tabela2[[#This Row],[AGRUPADOR]],Lucratividade!$D$4:$O$129,6,0),0),"")</f>
        <v/>
      </c>
      <c r="N957" s="379">
        <f>IF(H957&lt;&gt;"",J957*M957*I957,SUMIFS(N958:N$9844,$F958:$F$9844,"*"&amp;F957&amp;"*",$H958:$H$9844,"&lt;&gt;"))</f>
        <v>0</v>
      </c>
      <c r="O957" s="162" t="str">
        <f>IFERROR((-Tabela2[[#This Row],[CUSTO TOTAL]]+Tabela2[[#This Row],[VENDA TOTAL]])/Tabela2[[#This Row],[VENDA TOTAL]]-PARAMETROS!$C$19,"")</f>
        <v/>
      </c>
      <c r="AA957" s="219">
        <f>SUM(Plan_Orc[[#This Row],[01/jan]:[01/dez]])</f>
        <v>0</v>
      </c>
      <c r="AB957" s="15"/>
      <c r="AC957" s="15"/>
      <c r="AD957" s="15"/>
      <c r="AE957" s="15"/>
      <c r="AF957" s="15"/>
      <c r="AG957" s="15"/>
      <c r="AH957" s="15"/>
      <c r="AI957" s="15"/>
      <c r="AJ957" s="15"/>
      <c r="AK957" s="15"/>
      <c r="AL957" s="15"/>
      <c r="AM957" s="15"/>
    </row>
    <row r="958" spans="2:39" ht="25.2" customHeight="1" x14ac:dyDescent="0.3">
      <c r="B958" s="13" t="str">
        <f t="shared" si="18"/>
        <v/>
      </c>
      <c r="C958" s="18"/>
      <c r="D958" s="19" t="str">
        <f>IF(Tabela2[[#This Row],[AGRUPADOR]]&lt;&gt;"",VLOOKUP(Tabela2[[#This Row],[AGRUPADOR]],Tabela1[],2,0),"")</f>
        <v/>
      </c>
      <c r="E958" s="19" t="str">
        <f>IF(Tabela2[[#This Row],[AGRUPADOR]]&lt;&gt;"",VLOOKUP(Tabela2[[#This Row],[AGRUPADOR]],Tabela1[],4,0),"")</f>
        <v/>
      </c>
      <c r="F958" s="14"/>
      <c r="G958" s="6"/>
      <c r="H958" s="6"/>
      <c r="I958" s="25"/>
      <c r="J958" s="7"/>
      <c r="K958" s="15"/>
      <c r="L958" s="379">
        <f>IF(H958&lt;&gt;"",J958*K958,SUMIFS(L959:L$9844,$F959:$F$9844,"*"&amp;F958&amp;"*",$H959:$H$9844,"&lt;&gt;"))</f>
        <v>0</v>
      </c>
      <c r="M958" s="379" t="str">
        <f>IF(Tabela2[[#This Row],[UNID.]]&lt;&gt;"",IFERROR(VLOOKUP(Tabela2[[#This Row],[AGRUPADOR]],Lucratividade!$D$4:$O$129,6,0),0),"")</f>
        <v/>
      </c>
      <c r="N958" s="379">
        <f>IF(H958&lt;&gt;"",J958*M958*I958,SUMIFS(N959:N$9844,$F959:$F$9844,"*"&amp;F958&amp;"*",$H959:$H$9844,"&lt;&gt;"))</f>
        <v>0</v>
      </c>
      <c r="O958" s="162" t="str">
        <f>IFERROR((-Tabela2[[#This Row],[CUSTO TOTAL]]+Tabela2[[#This Row],[VENDA TOTAL]])/Tabela2[[#This Row],[VENDA TOTAL]]-PARAMETROS!$C$19,"")</f>
        <v/>
      </c>
      <c r="AA958" s="219">
        <f>SUM(Plan_Orc[[#This Row],[01/jan]:[01/dez]])</f>
        <v>0</v>
      </c>
      <c r="AB958" s="15"/>
      <c r="AC958" s="15"/>
      <c r="AD958" s="15"/>
      <c r="AE958" s="15"/>
      <c r="AF958" s="15"/>
      <c r="AG958" s="15"/>
      <c r="AH958" s="15"/>
      <c r="AI958" s="15"/>
      <c r="AJ958" s="15"/>
      <c r="AK958" s="15"/>
      <c r="AL958" s="15"/>
      <c r="AM958" s="15"/>
    </row>
    <row r="959" spans="2:39" ht="25.2" customHeight="1" x14ac:dyDescent="0.3">
      <c r="B959" s="13" t="str">
        <f t="shared" si="18"/>
        <v/>
      </c>
      <c r="C959" s="18"/>
      <c r="D959" s="19" t="str">
        <f>IF(Tabela2[[#This Row],[AGRUPADOR]]&lt;&gt;"",VLOOKUP(Tabela2[[#This Row],[AGRUPADOR]],Tabela1[],2,0),"")</f>
        <v/>
      </c>
      <c r="E959" s="19" t="str">
        <f>IF(Tabela2[[#This Row],[AGRUPADOR]]&lt;&gt;"",VLOOKUP(Tabela2[[#This Row],[AGRUPADOR]],Tabela1[],4,0),"")</f>
        <v/>
      </c>
      <c r="F959" s="14"/>
      <c r="G959" s="6"/>
      <c r="H959" s="6"/>
      <c r="I959" s="25"/>
      <c r="J959" s="7"/>
      <c r="K959" s="15"/>
      <c r="L959" s="379">
        <f>IF(H959&lt;&gt;"",J959*K959,SUMIFS(L960:L$9844,$F960:$F$9844,"*"&amp;F959&amp;"*",$H960:$H$9844,"&lt;&gt;"))</f>
        <v>0</v>
      </c>
      <c r="M959" s="379" t="str">
        <f>IF(Tabela2[[#This Row],[UNID.]]&lt;&gt;"",IFERROR(VLOOKUP(Tabela2[[#This Row],[AGRUPADOR]],Lucratividade!$D$4:$O$129,6,0),0),"")</f>
        <v/>
      </c>
      <c r="N959" s="379">
        <f>IF(H959&lt;&gt;"",J959*M959*I959,SUMIFS(N960:N$9844,$F960:$F$9844,"*"&amp;F959&amp;"*",$H960:$H$9844,"&lt;&gt;"))</f>
        <v>0</v>
      </c>
      <c r="O959" s="162" t="str">
        <f>IFERROR((-Tabela2[[#This Row],[CUSTO TOTAL]]+Tabela2[[#This Row],[VENDA TOTAL]])/Tabela2[[#This Row],[VENDA TOTAL]]-PARAMETROS!$C$19,"")</f>
        <v/>
      </c>
      <c r="AA959" s="219">
        <f>SUM(Plan_Orc[[#This Row],[01/jan]:[01/dez]])</f>
        <v>0</v>
      </c>
      <c r="AB959" s="15"/>
      <c r="AC959" s="15"/>
      <c r="AD959" s="15"/>
      <c r="AE959" s="15"/>
      <c r="AF959" s="15"/>
      <c r="AG959" s="15"/>
      <c r="AH959" s="15"/>
      <c r="AI959" s="15"/>
      <c r="AJ959" s="15"/>
      <c r="AK959" s="15"/>
      <c r="AL959" s="15"/>
      <c r="AM959" s="15"/>
    </row>
    <row r="960" spans="2:39" ht="25.2" customHeight="1" x14ac:dyDescent="0.3">
      <c r="B960" s="13" t="str">
        <f t="shared" si="18"/>
        <v/>
      </c>
      <c r="C960" s="18"/>
      <c r="D960" s="19" t="str">
        <f>IF(Tabela2[[#This Row],[AGRUPADOR]]&lt;&gt;"",VLOOKUP(Tabela2[[#This Row],[AGRUPADOR]],Tabela1[],2,0),"")</f>
        <v/>
      </c>
      <c r="E960" s="19" t="str">
        <f>IF(Tabela2[[#This Row],[AGRUPADOR]]&lt;&gt;"",VLOOKUP(Tabela2[[#This Row],[AGRUPADOR]],Tabela1[],4,0),"")</f>
        <v/>
      </c>
      <c r="F960" s="14"/>
      <c r="G960" s="6"/>
      <c r="H960" s="6"/>
      <c r="I960" s="25"/>
      <c r="J960" s="7"/>
      <c r="K960" s="15"/>
      <c r="L960" s="379">
        <f>IF(H960&lt;&gt;"",J960*K960,SUMIFS(L961:L$9844,$F961:$F$9844,"*"&amp;F960&amp;"*",$H961:$H$9844,"&lt;&gt;"))</f>
        <v>0</v>
      </c>
      <c r="M960" s="379" t="str">
        <f>IF(Tabela2[[#This Row],[UNID.]]&lt;&gt;"",IFERROR(VLOOKUP(Tabela2[[#This Row],[AGRUPADOR]],Lucratividade!$D$4:$O$129,6,0),0),"")</f>
        <v/>
      </c>
      <c r="N960" s="379">
        <f>IF(H960&lt;&gt;"",J960*M960*I960,SUMIFS(N961:N$9844,$F961:$F$9844,"*"&amp;F960&amp;"*",$H961:$H$9844,"&lt;&gt;"))</f>
        <v>0</v>
      </c>
      <c r="O960" s="162" t="str">
        <f>IFERROR((-Tabela2[[#This Row],[CUSTO TOTAL]]+Tabela2[[#This Row],[VENDA TOTAL]])/Tabela2[[#This Row],[VENDA TOTAL]]-PARAMETROS!$C$19,"")</f>
        <v/>
      </c>
      <c r="AA960" s="219">
        <f>SUM(Plan_Orc[[#This Row],[01/jan]:[01/dez]])</f>
        <v>0</v>
      </c>
      <c r="AB960" s="15"/>
      <c r="AC960" s="15"/>
      <c r="AD960" s="15"/>
      <c r="AE960" s="15"/>
      <c r="AF960" s="15"/>
      <c r="AG960" s="15"/>
      <c r="AH960" s="15"/>
      <c r="AI960" s="15"/>
      <c r="AJ960" s="15"/>
      <c r="AK960" s="15"/>
      <c r="AL960" s="15"/>
      <c r="AM960" s="15"/>
    </row>
    <row r="961" spans="2:39" ht="25.2" customHeight="1" x14ac:dyDescent="0.3">
      <c r="B961" s="13" t="str">
        <f t="shared" si="18"/>
        <v/>
      </c>
      <c r="C961" s="18"/>
      <c r="D961" s="19" t="str">
        <f>IF(Tabela2[[#This Row],[AGRUPADOR]]&lt;&gt;"",VLOOKUP(Tabela2[[#This Row],[AGRUPADOR]],Tabela1[],2,0),"")</f>
        <v/>
      </c>
      <c r="E961" s="19" t="str">
        <f>IF(Tabela2[[#This Row],[AGRUPADOR]]&lt;&gt;"",VLOOKUP(Tabela2[[#This Row],[AGRUPADOR]],Tabela1[],4,0),"")</f>
        <v/>
      </c>
      <c r="F961" s="14"/>
      <c r="G961" s="6"/>
      <c r="H961" s="6"/>
      <c r="I961" s="25"/>
      <c r="J961" s="7"/>
      <c r="K961" s="15"/>
      <c r="L961" s="379">
        <f>IF(H961&lt;&gt;"",J961*K961,SUMIFS(L962:L$9844,$F962:$F$9844,"*"&amp;F961&amp;"*",$H962:$H$9844,"&lt;&gt;"))</f>
        <v>0</v>
      </c>
      <c r="M961" s="379" t="str">
        <f>IF(Tabela2[[#This Row],[UNID.]]&lt;&gt;"",IFERROR(VLOOKUP(Tabela2[[#This Row],[AGRUPADOR]],Lucratividade!$D$4:$O$129,6,0),0),"")</f>
        <v/>
      </c>
      <c r="N961" s="379">
        <f>IF(H961&lt;&gt;"",J961*M961*I961,SUMIFS(N962:N$9844,$F962:$F$9844,"*"&amp;F961&amp;"*",$H962:$H$9844,"&lt;&gt;"))</f>
        <v>0</v>
      </c>
      <c r="O961" s="162" t="str">
        <f>IFERROR((-Tabela2[[#This Row],[CUSTO TOTAL]]+Tabela2[[#This Row],[VENDA TOTAL]])/Tabela2[[#This Row],[VENDA TOTAL]]-PARAMETROS!$C$19,"")</f>
        <v/>
      </c>
      <c r="AA961" s="219">
        <f>SUM(Plan_Orc[[#This Row],[01/jan]:[01/dez]])</f>
        <v>0</v>
      </c>
      <c r="AB961" s="15"/>
      <c r="AC961" s="15"/>
      <c r="AD961" s="15"/>
      <c r="AE961" s="15"/>
      <c r="AF961" s="15"/>
      <c r="AG961" s="15"/>
      <c r="AH961" s="15"/>
      <c r="AI961" s="15"/>
      <c r="AJ961" s="15"/>
      <c r="AK961" s="15"/>
      <c r="AL961" s="15"/>
      <c r="AM961" s="15"/>
    </row>
    <row r="962" spans="2:39" ht="25.2" customHeight="1" x14ac:dyDescent="0.3">
      <c r="B962" s="13" t="str">
        <f t="shared" si="18"/>
        <v/>
      </c>
      <c r="C962" s="18"/>
      <c r="D962" s="19" t="str">
        <f>IF(Tabela2[[#This Row],[AGRUPADOR]]&lt;&gt;"",VLOOKUP(Tabela2[[#This Row],[AGRUPADOR]],Tabela1[],2,0),"")</f>
        <v/>
      </c>
      <c r="E962" s="19" t="str">
        <f>IF(Tabela2[[#This Row],[AGRUPADOR]]&lt;&gt;"",VLOOKUP(Tabela2[[#This Row],[AGRUPADOR]],Tabela1[],4,0),"")</f>
        <v/>
      </c>
      <c r="F962" s="14"/>
      <c r="G962" s="6"/>
      <c r="H962" s="6"/>
      <c r="I962" s="25"/>
      <c r="J962" s="7"/>
      <c r="K962" s="15"/>
      <c r="L962" s="379">
        <f>IF(H962&lt;&gt;"",J962*K962,SUMIFS(L963:L$9844,$F963:$F$9844,"*"&amp;F962&amp;"*",$H963:$H$9844,"&lt;&gt;"))</f>
        <v>0</v>
      </c>
      <c r="M962" s="379" t="str">
        <f>IF(Tabela2[[#This Row],[UNID.]]&lt;&gt;"",IFERROR(VLOOKUP(Tabela2[[#This Row],[AGRUPADOR]],Lucratividade!$D$4:$O$129,6,0),0),"")</f>
        <v/>
      </c>
      <c r="N962" s="379">
        <f>IF(H962&lt;&gt;"",J962*M962*I962,SUMIFS(N963:N$9844,$F963:$F$9844,"*"&amp;F962&amp;"*",$H963:$H$9844,"&lt;&gt;"))</f>
        <v>0</v>
      </c>
      <c r="O962" s="162" t="str">
        <f>IFERROR((-Tabela2[[#This Row],[CUSTO TOTAL]]+Tabela2[[#This Row],[VENDA TOTAL]])/Tabela2[[#This Row],[VENDA TOTAL]]-PARAMETROS!$C$19,"")</f>
        <v/>
      </c>
      <c r="AA962" s="219">
        <f>SUM(Plan_Orc[[#This Row],[01/jan]:[01/dez]])</f>
        <v>0</v>
      </c>
      <c r="AB962" s="15"/>
      <c r="AC962" s="15"/>
      <c r="AD962" s="15"/>
      <c r="AE962" s="15"/>
      <c r="AF962" s="15"/>
      <c r="AG962" s="15"/>
      <c r="AH962" s="15"/>
      <c r="AI962" s="15"/>
      <c r="AJ962" s="15"/>
      <c r="AK962" s="15"/>
      <c r="AL962" s="15"/>
      <c r="AM962" s="15"/>
    </row>
    <row r="963" spans="2:39" ht="25.2" customHeight="1" x14ac:dyDescent="0.3">
      <c r="B963" s="13" t="str">
        <f t="shared" si="18"/>
        <v/>
      </c>
      <c r="C963" s="18"/>
      <c r="D963" s="19" t="str">
        <f>IF(Tabela2[[#This Row],[AGRUPADOR]]&lt;&gt;"",VLOOKUP(Tabela2[[#This Row],[AGRUPADOR]],Tabela1[],2,0),"")</f>
        <v/>
      </c>
      <c r="E963" s="19" t="str">
        <f>IF(Tabela2[[#This Row],[AGRUPADOR]]&lt;&gt;"",VLOOKUP(Tabela2[[#This Row],[AGRUPADOR]],Tabela1[],4,0),"")</f>
        <v/>
      </c>
      <c r="F963" s="14"/>
      <c r="G963" s="6"/>
      <c r="H963" s="6"/>
      <c r="I963" s="25"/>
      <c r="J963" s="7"/>
      <c r="K963" s="15"/>
      <c r="L963" s="379">
        <f>IF(H963&lt;&gt;"",J963*K963,SUMIFS(L964:L$9844,$F964:$F$9844,"*"&amp;F963&amp;"*",$H964:$H$9844,"&lt;&gt;"))</f>
        <v>0</v>
      </c>
      <c r="M963" s="379" t="str">
        <f>IF(Tabela2[[#This Row],[UNID.]]&lt;&gt;"",IFERROR(VLOOKUP(Tabela2[[#This Row],[AGRUPADOR]],Lucratividade!$D$4:$O$129,6,0),0),"")</f>
        <v/>
      </c>
      <c r="N963" s="379">
        <f>IF(H963&lt;&gt;"",J963*M963*I963,SUMIFS(N964:N$9844,$F964:$F$9844,"*"&amp;F963&amp;"*",$H964:$H$9844,"&lt;&gt;"))</f>
        <v>0</v>
      </c>
      <c r="O963" s="162" t="str">
        <f>IFERROR((-Tabela2[[#This Row],[CUSTO TOTAL]]+Tabela2[[#This Row],[VENDA TOTAL]])/Tabela2[[#This Row],[VENDA TOTAL]]-PARAMETROS!$C$19,"")</f>
        <v/>
      </c>
      <c r="AA963" s="219">
        <f>SUM(Plan_Orc[[#This Row],[01/jan]:[01/dez]])</f>
        <v>0</v>
      </c>
      <c r="AB963" s="15"/>
      <c r="AC963" s="15"/>
      <c r="AD963" s="15"/>
      <c r="AE963" s="15"/>
      <c r="AF963" s="15"/>
      <c r="AG963" s="15"/>
      <c r="AH963" s="15"/>
      <c r="AI963" s="15"/>
      <c r="AJ963" s="15"/>
      <c r="AK963" s="15"/>
      <c r="AL963" s="15"/>
      <c r="AM963" s="15"/>
    </row>
    <row r="964" spans="2:39" ht="25.2" customHeight="1" x14ac:dyDescent="0.3">
      <c r="B964" s="13" t="str">
        <f t="shared" ref="B964:B1027" si="19">IF(LEN(F964)=3,1,"")</f>
        <v/>
      </c>
      <c r="C964" s="18"/>
      <c r="D964" s="19" t="str">
        <f>IF(Tabela2[[#This Row],[AGRUPADOR]]&lt;&gt;"",VLOOKUP(Tabela2[[#This Row],[AGRUPADOR]],Tabela1[],2,0),"")</f>
        <v/>
      </c>
      <c r="E964" s="19" t="str">
        <f>IF(Tabela2[[#This Row],[AGRUPADOR]]&lt;&gt;"",VLOOKUP(Tabela2[[#This Row],[AGRUPADOR]],Tabela1[],4,0),"")</f>
        <v/>
      </c>
      <c r="F964" s="14"/>
      <c r="G964" s="6"/>
      <c r="H964" s="6"/>
      <c r="I964" s="25"/>
      <c r="J964" s="7"/>
      <c r="K964" s="15"/>
      <c r="L964" s="379">
        <f>IF(H964&lt;&gt;"",J964*K964,SUMIFS(L965:L$9844,$F965:$F$9844,"*"&amp;F964&amp;"*",$H965:$H$9844,"&lt;&gt;"))</f>
        <v>0</v>
      </c>
      <c r="M964" s="379" t="str">
        <f>IF(Tabela2[[#This Row],[UNID.]]&lt;&gt;"",IFERROR(VLOOKUP(Tabela2[[#This Row],[AGRUPADOR]],Lucratividade!$D$4:$O$129,6,0),0),"")</f>
        <v/>
      </c>
      <c r="N964" s="379">
        <f>IF(H964&lt;&gt;"",J964*M964*I964,SUMIFS(N965:N$9844,$F965:$F$9844,"*"&amp;F964&amp;"*",$H965:$H$9844,"&lt;&gt;"))</f>
        <v>0</v>
      </c>
      <c r="O964" s="162" t="str">
        <f>IFERROR((-Tabela2[[#This Row],[CUSTO TOTAL]]+Tabela2[[#This Row],[VENDA TOTAL]])/Tabela2[[#This Row],[VENDA TOTAL]]-PARAMETROS!$C$19,"")</f>
        <v/>
      </c>
      <c r="AA964" s="219">
        <f>SUM(Plan_Orc[[#This Row],[01/jan]:[01/dez]])</f>
        <v>0</v>
      </c>
      <c r="AB964" s="15"/>
      <c r="AC964" s="15"/>
      <c r="AD964" s="15"/>
      <c r="AE964" s="15"/>
      <c r="AF964" s="15"/>
      <c r="AG964" s="15"/>
      <c r="AH964" s="15"/>
      <c r="AI964" s="15"/>
      <c r="AJ964" s="15"/>
      <c r="AK964" s="15"/>
      <c r="AL964" s="15"/>
      <c r="AM964" s="15"/>
    </row>
    <row r="965" spans="2:39" ht="25.2" customHeight="1" x14ac:dyDescent="0.3">
      <c r="B965" s="13" t="str">
        <f t="shared" si="19"/>
        <v/>
      </c>
      <c r="C965" s="18"/>
      <c r="D965" s="19" t="str">
        <f>IF(Tabela2[[#This Row],[AGRUPADOR]]&lt;&gt;"",VLOOKUP(Tabela2[[#This Row],[AGRUPADOR]],Tabela1[],2,0),"")</f>
        <v/>
      </c>
      <c r="E965" s="19" t="str">
        <f>IF(Tabela2[[#This Row],[AGRUPADOR]]&lt;&gt;"",VLOOKUP(Tabela2[[#This Row],[AGRUPADOR]],Tabela1[],4,0),"")</f>
        <v/>
      </c>
      <c r="F965" s="14"/>
      <c r="G965" s="6"/>
      <c r="H965" s="6"/>
      <c r="I965" s="25"/>
      <c r="J965" s="7"/>
      <c r="K965" s="15"/>
      <c r="L965" s="379">
        <f>IF(H965&lt;&gt;"",J965*K965,SUMIFS(L966:L$9844,$F966:$F$9844,"*"&amp;F965&amp;"*",$H966:$H$9844,"&lt;&gt;"))</f>
        <v>0</v>
      </c>
      <c r="M965" s="379" t="str">
        <f>IF(Tabela2[[#This Row],[UNID.]]&lt;&gt;"",IFERROR(VLOOKUP(Tabela2[[#This Row],[AGRUPADOR]],Lucratividade!$D$4:$O$129,6,0),0),"")</f>
        <v/>
      </c>
      <c r="N965" s="379">
        <f>IF(H965&lt;&gt;"",J965*M965*I965,SUMIFS(N966:N$9844,$F966:$F$9844,"*"&amp;F965&amp;"*",$H966:$H$9844,"&lt;&gt;"))</f>
        <v>0</v>
      </c>
      <c r="O965" s="162" t="str">
        <f>IFERROR((-Tabela2[[#This Row],[CUSTO TOTAL]]+Tabela2[[#This Row],[VENDA TOTAL]])/Tabela2[[#This Row],[VENDA TOTAL]]-PARAMETROS!$C$19,"")</f>
        <v/>
      </c>
      <c r="AA965" s="219">
        <f>SUM(Plan_Orc[[#This Row],[01/jan]:[01/dez]])</f>
        <v>0</v>
      </c>
      <c r="AB965" s="15"/>
      <c r="AC965" s="15"/>
      <c r="AD965" s="15"/>
      <c r="AE965" s="15"/>
      <c r="AF965" s="15"/>
      <c r="AG965" s="15"/>
      <c r="AH965" s="15"/>
      <c r="AI965" s="15"/>
      <c r="AJ965" s="15"/>
      <c r="AK965" s="15"/>
      <c r="AL965" s="15"/>
      <c r="AM965" s="15"/>
    </row>
    <row r="966" spans="2:39" ht="25.2" customHeight="1" x14ac:dyDescent="0.3">
      <c r="B966" s="13" t="str">
        <f t="shared" si="19"/>
        <v/>
      </c>
      <c r="C966" s="18"/>
      <c r="D966" s="19" t="str">
        <f>IF(Tabela2[[#This Row],[AGRUPADOR]]&lt;&gt;"",VLOOKUP(Tabela2[[#This Row],[AGRUPADOR]],Tabela1[],2,0),"")</f>
        <v/>
      </c>
      <c r="E966" s="19" t="str">
        <f>IF(Tabela2[[#This Row],[AGRUPADOR]]&lt;&gt;"",VLOOKUP(Tabela2[[#This Row],[AGRUPADOR]],Tabela1[],4,0),"")</f>
        <v/>
      </c>
      <c r="F966" s="14"/>
      <c r="G966" s="6"/>
      <c r="H966" s="6"/>
      <c r="I966" s="25"/>
      <c r="J966" s="7"/>
      <c r="K966" s="15"/>
      <c r="L966" s="379">
        <f>IF(H966&lt;&gt;"",J966*K966,SUMIFS(L967:L$9844,$F967:$F$9844,"*"&amp;F966&amp;"*",$H967:$H$9844,"&lt;&gt;"))</f>
        <v>0</v>
      </c>
      <c r="M966" s="379" t="str">
        <f>IF(Tabela2[[#This Row],[UNID.]]&lt;&gt;"",IFERROR(VLOOKUP(Tabela2[[#This Row],[AGRUPADOR]],Lucratividade!$D$4:$O$129,6,0),0),"")</f>
        <v/>
      </c>
      <c r="N966" s="379">
        <f>IF(H966&lt;&gt;"",J966*M966*I966,SUMIFS(N967:N$9844,$F967:$F$9844,"*"&amp;F966&amp;"*",$H967:$H$9844,"&lt;&gt;"))</f>
        <v>0</v>
      </c>
      <c r="O966" s="162" t="str">
        <f>IFERROR((-Tabela2[[#This Row],[CUSTO TOTAL]]+Tabela2[[#This Row],[VENDA TOTAL]])/Tabela2[[#This Row],[VENDA TOTAL]]-PARAMETROS!$C$19,"")</f>
        <v/>
      </c>
      <c r="AA966" s="219">
        <f>SUM(Plan_Orc[[#This Row],[01/jan]:[01/dez]])</f>
        <v>0</v>
      </c>
      <c r="AB966" s="15"/>
      <c r="AC966" s="15"/>
      <c r="AD966" s="15"/>
      <c r="AE966" s="15"/>
      <c r="AF966" s="15"/>
      <c r="AG966" s="15"/>
      <c r="AH966" s="15"/>
      <c r="AI966" s="15"/>
      <c r="AJ966" s="15"/>
      <c r="AK966" s="15"/>
      <c r="AL966" s="15"/>
      <c r="AM966" s="15"/>
    </row>
    <row r="967" spans="2:39" ht="25.2" customHeight="1" x14ac:dyDescent="0.3">
      <c r="B967" s="13" t="str">
        <f t="shared" si="19"/>
        <v/>
      </c>
      <c r="C967" s="18"/>
      <c r="D967" s="19" t="str">
        <f>IF(Tabela2[[#This Row],[AGRUPADOR]]&lt;&gt;"",VLOOKUP(Tabela2[[#This Row],[AGRUPADOR]],Tabela1[],2,0),"")</f>
        <v/>
      </c>
      <c r="E967" s="19" t="str">
        <f>IF(Tabela2[[#This Row],[AGRUPADOR]]&lt;&gt;"",VLOOKUP(Tabela2[[#This Row],[AGRUPADOR]],Tabela1[],4,0),"")</f>
        <v/>
      </c>
      <c r="F967" s="14"/>
      <c r="G967" s="6"/>
      <c r="H967" s="6"/>
      <c r="I967" s="25"/>
      <c r="J967" s="7"/>
      <c r="K967" s="15"/>
      <c r="L967" s="379">
        <f>IF(H967&lt;&gt;"",J967*K967,SUMIFS(L968:L$9844,$F968:$F$9844,"*"&amp;F967&amp;"*",$H968:$H$9844,"&lt;&gt;"))</f>
        <v>0</v>
      </c>
      <c r="M967" s="379" t="str">
        <f>IF(Tabela2[[#This Row],[UNID.]]&lt;&gt;"",IFERROR(VLOOKUP(Tabela2[[#This Row],[AGRUPADOR]],Lucratividade!$D$4:$O$129,6,0),0),"")</f>
        <v/>
      </c>
      <c r="N967" s="379">
        <f>IF(H967&lt;&gt;"",J967*M967*I967,SUMIFS(N968:N$9844,$F968:$F$9844,"*"&amp;F967&amp;"*",$H968:$H$9844,"&lt;&gt;"))</f>
        <v>0</v>
      </c>
      <c r="O967" s="162" t="str">
        <f>IFERROR((-Tabela2[[#This Row],[CUSTO TOTAL]]+Tabela2[[#This Row],[VENDA TOTAL]])/Tabela2[[#This Row],[VENDA TOTAL]]-PARAMETROS!$C$19,"")</f>
        <v/>
      </c>
      <c r="AA967" s="219">
        <f>SUM(Plan_Orc[[#This Row],[01/jan]:[01/dez]])</f>
        <v>0</v>
      </c>
      <c r="AB967" s="15"/>
      <c r="AC967" s="15"/>
      <c r="AD967" s="15"/>
      <c r="AE967" s="15"/>
      <c r="AF967" s="15"/>
      <c r="AG967" s="15"/>
      <c r="AH967" s="15"/>
      <c r="AI967" s="15"/>
      <c r="AJ967" s="15"/>
      <c r="AK967" s="15"/>
      <c r="AL967" s="15"/>
      <c r="AM967" s="15"/>
    </row>
    <row r="968" spans="2:39" ht="25.2" customHeight="1" x14ac:dyDescent="0.3">
      <c r="B968" s="13" t="str">
        <f t="shared" si="19"/>
        <v/>
      </c>
      <c r="C968" s="18"/>
      <c r="D968" s="19" t="str">
        <f>IF(Tabela2[[#This Row],[AGRUPADOR]]&lt;&gt;"",VLOOKUP(Tabela2[[#This Row],[AGRUPADOR]],Tabela1[],2,0),"")</f>
        <v/>
      </c>
      <c r="E968" s="19" t="str">
        <f>IF(Tabela2[[#This Row],[AGRUPADOR]]&lt;&gt;"",VLOOKUP(Tabela2[[#This Row],[AGRUPADOR]],Tabela1[],4,0),"")</f>
        <v/>
      </c>
      <c r="F968" s="14"/>
      <c r="G968" s="6"/>
      <c r="H968" s="6"/>
      <c r="I968" s="25"/>
      <c r="J968" s="7"/>
      <c r="K968" s="15"/>
      <c r="L968" s="379">
        <f>IF(H968&lt;&gt;"",J968*K968,SUMIFS(L969:L$9844,$F969:$F$9844,"*"&amp;F968&amp;"*",$H969:$H$9844,"&lt;&gt;"))</f>
        <v>0</v>
      </c>
      <c r="M968" s="379" t="str">
        <f>IF(Tabela2[[#This Row],[UNID.]]&lt;&gt;"",IFERROR(VLOOKUP(Tabela2[[#This Row],[AGRUPADOR]],Lucratividade!$D$4:$O$129,6,0),0),"")</f>
        <v/>
      </c>
      <c r="N968" s="379">
        <f>IF(H968&lt;&gt;"",J968*M968*I968,SUMIFS(N969:N$9844,$F969:$F$9844,"*"&amp;F968&amp;"*",$H969:$H$9844,"&lt;&gt;"))</f>
        <v>0</v>
      </c>
      <c r="O968" s="162" t="str">
        <f>IFERROR((-Tabela2[[#This Row],[CUSTO TOTAL]]+Tabela2[[#This Row],[VENDA TOTAL]])/Tabela2[[#This Row],[VENDA TOTAL]]-PARAMETROS!$C$19,"")</f>
        <v/>
      </c>
      <c r="AA968" s="219">
        <f>SUM(Plan_Orc[[#This Row],[01/jan]:[01/dez]])</f>
        <v>0</v>
      </c>
      <c r="AB968" s="15"/>
      <c r="AC968" s="15"/>
      <c r="AD968" s="15"/>
      <c r="AE968" s="15"/>
      <c r="AF968" s="15"/>
      <c r="AG968" s="15"/>
      <c r="AH968" s="15"/>
      <c r="AI968" s="15"/>
      <c r="AJ968" s="15"/>
      <c r="AK968" s="15"/>
      <c r="AL968" s="15"/>
      <c r="AM968" s="15"/>
    </row>
    <row r="969" spans="2:39" ht="25.2" customHeight="1" x14ac:dyDescent="0.3">
      <c r="B969" s="13" t="str">
        <f t="shared" si="19"/>
        <v/>
      </c>
      <c r="C969" s="18"/>
      <c r="D969" s="19" t="str">
        <f>IF(Tabela2[[#This Row],[AGRUPADOR]]&lt;&gt;"",VLOOKUP(Tabela2[[#This Row],[AGRUPADOR]],Tabela1[],2,0),"")</f>
        <v/>
      </c>
      <c r="E969" s="19" t="str">
        <f>IF(Tabela2[[#This Row],[AGRUPADOR]]&lt;&gt;"",VLOOKUP(Tabela2[[#This Row],[AGRUPADOR]],Tabela1[],4,0),"")</f>
        <v/>
      </c>
      <c r="F969" s="14"/>
      <c r="G969" s="6"/>
      <c r="H969" s="6"/>
      <c r="I969" s="25"/>
      <c r="J969" s="7"/>
      <c r="K969" s="15"/>
      <c r="L969" s="379">
        <f>IF(H969&lt;&gt;"",J969*K969,SUMIFS(L970:L$9844,$F970:$F$9844,"*"&amp;F969&amp;"*",$H970:$H$9844,"&lt;&gt;"))</f>
        <v>0</v>
      </c>
      <c r="M969" s="379" t="str">
        <f>IF(Tabela2[[#This Row],[UNID.]]&lt;&gt;"",IFERROR(VLOOKUP(Tabela2[[#This Row],[AGRUPADOR]],Lucratividade!$D$4:$O$129,6,0),0),"")</f>
        <v/>
      </c>
      <c r="N969" s="379">
        <f>IF(H969&lt;&gt;"",J969*M969*I969,SUMIFS(N970:N$9844,$F970:$F$9844,"*"&amp;F969&amp;"*",$H970:$H$9844,"&lt;&gt;"))</f>
        <v>0</v>
      </c>
      <c r="O969" s="162" t="str">
        <f>IFERROR((-Tabela2[[#This Row],[CUSTO TOTAL]]+Tabela2[[#This Row],[VENDA TOTAL]])/Tabela2[[#This Row],[VENDA TOTAL]]-PARAMETROS!$C$19,"")</f>
        <v/>
      </c>
      <c r="AA969" s="219">
        <f>SUM(Plan_Orc[[#This Row],[01/jan]:[01/dez]])</f>
        <v>0</v>
      </c>
      <c r="AB969" s="15"/>
      <c r="AC969" s="15"/>
      <c r="AD969" s="15"/>
      <c r="AE969" s="15"/>
      <c r="AF969" s="15"/>
      <c r="AG969" s="15"/>
      <c r="AH969" s="15"/>
      <c r="AI969" s="15"/>
      <c r="AJ969" s="15"/>
      <c r="AK969" s="15"/>
      <c r="AL969" s="15"/>
      <c r="AM969" s="15"/>
    </row>
    <row r="970" spans="2:39" ht="25.2" customHeight="1" x14ac:dyDescent="0.3">
      <c r="B970" s="13" t="str">
        <f t="shared" si="19"/>
        <v/>
      </c>
      <c r="C970" s="18"/>
      <c r="D970" s="19" t="str">
        <f>IF(Tabela2[[#This Row],[AGRUPADOR]]&lt;&gt;"",VLOOKUP(Tabela2[[#This Row],[AGRUPADOR]],Tabela1[],2,0),"")</f>
        <v/>
      </c>
      <c r="E970" s="19" t="str">
        <f>IF(Tabela2[[#This Row],[AGRUPADOR]]&lt;&gt;"",VLOOKUP(Tabela2[[#This Row],[AGRUPADOR]],Tabela1[],4,0),"")</f>
        <v/>
      </c>
      <c r="F970" s="14"/>
      <c r="G970" s="6"/>
      <c r="H970" s="6"/>
      <c r="I970" s="25"/>
      <c r="J970" s="7"/>
      <c r="K970" s="15"/>
      <c r="L970" s="379">
        <f>IF(H970&lt;&gt;"",J970*K970,SUMIFS(L971:L$9844,$F971:$F$9844,"*"&amp;F970&amp;"*",$H971:$H$9844,"&lt;&gt;"))</f>
        <v>0</v>
      </c>
      <c r="M970" s="379" t="str">
        <f>IF(Tabela2[[#This Row],[UNID.]]&lt;&gt;"",IFERROR(VLOOKUP(Tabela2[[#This Row],[AGRUPADOR]],Lucratividade!$D$4:$O$129,6,0),0),"")</f>
        <v/>
      </c>
      <c r="N970" s="379">
        <f>IF(H970&lt;&gt;"",J970*M970*I970,SUMIFS(N971:N$9844,$F971:$F$9844,"*"&amp;F970&amp;"*",$H971:$H$9844,"&lt;&gt;"))</f>
        <v>0</v>
      </c>
      <c r="O970" s="162" t="str">
        <f>IFERROR((-Tabela2[[#This Row],[CUSTO TOTAL]]+Tabela2[[#This Row],[VENDA TOTAL]])/Tabela2[[#This Row],[VENDA TOTAL]]-PARAMETROS!$C$19,"")</f>
        <v/>
      </c>
      <c r="AA970" s="219">
        <f>SUM(Plan_Orc[[#This Row],[01/jan]:[01/dez]])</f>
        <v>0</v>
      </c>
      <c r="AB970" s="15"/>
      <c r="AC970" s="15"/>
      <c r="AD970" s="15"/>
      <c r="AE970" s="15"/>
      <c r="AF970" s="15"/>
      <c r="AG970" s="15"/>
      <c r="AH970" s="15"/>
      <c r="AI970" s="15"/>
      <c r="AJ970" s="15"/>
      <c r="AK970" s="15"/>
      <c r="AL970" s="15"/>
      <c r="AM970" s="15"/>
    </row>
    <row r="971" spans="2:39" ht="25.2" customHeight="1" x14ac:dyDescent="0.3">
      <c r="B971" s="13" t="str">
        <f t="shared" si="19"/>
        <v/>
      </c>
      <c r="C971" s="18"/>
      <c r="D971" s="19" t="str">
        <f>IF(Tabela2[[#This Row],[AGRUPADOR]]&lt;&gt;"",VLOOKUP(Tabela2[[#This Row],[AGRUPADOR]],Tabela1[],2,0),"")</f>
        <v/>
      </c>
      <c r="E971" s="19" t="str">
        <f>IF(Tabela2[[#This Row],[AGRUPADOR]]&lt;&gt;"",VLOOKUP(Tabela2[[#This Row],[AGRUPADOR]],Tabela1[],4,0),"")</f>
        <v/>
      </c>
      <c r="F971" s="14"/>
      <c r="G971" s="6"/>
      <c r="H971" s="6"/>
      <c r="I971" s="25"/>
      <c r="J971" s="7"/>
      <c r="K971" s="15"/>
      <c r="L971" s="379">
        <f>IF(H971&lt;&gt;"",J971*K971,SUMIFS(L972:L$9844,$F972:$F$9844,"*"&amp;F971&amp;"*",$H972:$H$9844,"&lt;&gt;"))</f>
        <v>0</v>
      </c>
      <c r="M971" s="379" t="str">
        <f>IF(Tabela2[[#This Row],[UNID.]]&lt;&gt;"",IFERROR(VLOOKUP(Tabela2[[#This Row],[AGRUPADOR]],Lucratividade!$D$4:$O$129,6,0),0),"")</f>
        <v/>
      </c>
      <c r="N971" s="379">
        <f>IF(H971&lt;&gt;"",J971*M971*I971,SUMIFS(N972:N$9844,$F972:$F$9844,"*"&amp;F971&amp;"*",$H972:$H$9844,"&lt;&gt;"))</f>
        <v>0</v>
      </c>
      <c r="O971" s="162" t="str">
        <f>IFERROR((-Tabela2[[#This Row],[CUSTO TOTAL]]+Tabela2[[#This Row],[VENDA TOTAL]])/Tabela2[[#This Row],[VENDA TOTAL]]-PARAMETROS!$C$19,"")</f>
        <v/>
      </c>
      <c r="AA971" s="219">
        <f>SUM(Plan_Orc[[#This Row],[01/jan]:[01/dez]])</f>
        <v>0</v>
      </c>
      <c r="AB971" s="15"/>
      <c r="AC971" s="15"/>
      <c r="AD971" s="15"/>
      <c r="AE971" s="15"/>
      <c r="AF971" s="15"/>
      <c r="AG971" s="15"/>
      <c r="AH971" s="15"/>
      <c r="AI971" s="15"/>
      <c r="AJ971" s="15"/>
      <c r="AK971" s="15"/>
      <c r="AL971" s="15"/>
      <c r="AM971" s="15"/>
    </row>
    <row r="972" spans="2:39" ht="25.2" customHeight="1" x14ac:dyDescent="0.3">
      <c r="B972" s="13" t="str">
        <f t="shared" si="19"/>
        <v/>
      </c>
      <c r="C972" s="18"/>
      <c r="D972" s="19" t="str">
        <f>IF(Tabela2[[#This Row],[AGRUPADOR]]&lt;&gt;"",VLOOKUP(Tabela2[[#This Row],[AGRUPADOR]],Tabela1[],2,0),"")</f>
        <v/>
      </c>
      <c r="E972" s="19" t="str">
        <f>IF(Tabela2[[#This Row],[AGRUPADOR]]&lt;&gt;"",VLOOKUP(Tabela2[[#This Row],[AGRUPADOR]],Tabela1[],4,0),"")</f>
        <v/>
      </c>
      <c r="F972" s="14"/>
      <c r="G972" s="6"/>
      <c r="H972" s="6"/>
      <c r="I972" s="25"/>
      <c r="J972" s="7"/>
      <c r="K972" s="15"/>
      <c r="L972" s="379">
        <f>IF(H972&lt;&gt;"",J972*K972,SUMIFS(L973:L$9844,$F973:$F$9844,"*"&amp;F972&amp;"*",$H973:$H$9844,"&lt;&gt;"))</f>
        <v>0</v>
      </c>
      <c r="M972" s="379" t="str">
        <f>IF(Tabela2[[#This Row],[UNID.]]&lt;&gt;"",IFERROR(VLOOKUP(Tabela2[[#This Row],[AGRUPADOR]],Lucratividade!$D$4:$O$129,6,0),0),"")</f>
        <v/>
      </c>
      <c r="N972" s="379">
        <f>IF(H972&lt;&gt;"",J972*M972*I972,SUMIFS(N973:N$9844,$F973:$F$9844,"*"&amp;F972&amp;"*",$H973:$H$9844,"&lt;&gt;"))</f>
        <v>0</v>
      </c>
      <c r="O972" s="162" t="str">
        <f>IFERROR((-Tabela2[[#This Row],[CUSTO TOTAL]]+Tabela2[[#This Row],[VENDA TOTAL]])/Tabela2[[#This Row],[VENDA TOTAL]]-PARAMETROS!$C$19,"")</f>
        <v/>
      </c>
      <c r="AA972" s="219">
        <f>SUM(Plan_Orc[[#This Row],[01/jan]:[01/dez]])</f>
        <v>0</v>
      </c>
      <c r="AB972" s="15"/>
      <c r="AC972" s="15"/>
      <c r="AD972" s="15"/>
      <c r="AE972" s="15"/>
      <c r="AF972" s="15"/>
      <c r="AG972" s="15"/>
      <c r="AH972" s="15"/>
      <c r="AI972" s="15"/>
      <c r="AJ972" s="15"/>
      <c r="AK972" s="15"/>
      <c r="AL972" s="15"/>
      <c r="AM972" s="15"/>
    </row>
    <row r="973" spans="2:39" ht="25.2" customHeight="1" x14ac:dyDescent="0.3">
      <c r="B973" s="13" t="str">
        <f t="shared" si="19"/>
        <v/>
      </c>
      <c r="C973" s="18"/>
      <c r="D973" s="19" t="str">
        <f>IF(Tabela2[[#This Row],[AGRUPADOR]]&lt;&gt;"",VLOOKUP(Tabela2[[#This Row],[AGRUPADOR]],Tabela1[],2,0),"")</f>
        <v/>
      </c>
      <c r="E973" s="19" t="str">
        <f>IF(Tabela2[[#This Row],[AGRUPADOR]]&lt;&gt;"",VLOOKUP(Tabela2[[#This Row],[AGRUPADOR]],Tabela1[],4,0),"")</f>
        <v/>
      </c>
      <c r="F973" s="14"/>
      <c r="G973" s="6"/>
      <c r="H973" s="6"/>
      <c r="I973" s="25"/>
      <c r="J973" s="7"/>
      <c r="K973" s="15"/>
      <c r="L973" s="379">
        <f>IF(H973&lt;&gt;"",J973*K973,SUMIFS(L974:L$9844,$F974:$F$9844,"*"&amp;F973&amp;"*",$H974:$H$9844,"&lt;&gt;"))</f>
        <v>0</v>
      </c>
      <c r="M973" s="379" t="str">
        <f>IF(Tabela2[[#This Row],[UNID.]]&lt;&gt;"",IFERROR(VLOOKUP(Tabela2[[#This Row],[AGRUPADOR]],Lucratividade!$D$4:$O$129,6,0),0),"")</f>
        <v/>
      </c>
      <c r="N973" s="379">
        <f>IF(H973&lt;&gt;"",J973*M973*I973,SUMIFS(N974:N$9844,$F974:$F$9844,"*"&amp;F973&amp;"*",$H974:$H$9844,"&lt;&gt;"))</f>
        <v>0</v>
      </c>
      <c r="O973" s="162" t="str">
        <f>IFERROR((-Tabela2[[#This Row],[CUSTO TOTAL]]+Tabela2[[#This Row],[VENDA TOTAL]])/Tabela2[[#This Row],[VENDA TOTAL]]-PARAMETROS!$C$19,"")</f>
        <v/>
      </c>
      <c r="AA973" s="219">
        <f>SUM(Plan_Orc[[#This Row],[01/jan]:[01/dez]])</f>
        <v>0</v>
      </c>
      <c r="AB973" s="15"/>
      <c r="AC973" s="15"/>
      <c r="AD973" s="15"/>
      <c r="AE973" s="15"/>
      <c r="AF973" s="15"/>
      <c r="AG973" s="15"/>
      <c r="AH973" s="15"/>
      <c r="AI973" s="15"/>
      <c r="AJ973" s="15"/>
      <c r="AK973" s="15"/>
      <c r="AL973" s="15"/>
      <c r="AM973" s="15"/>
    </row>
    <row r="974" spans="2:39" ht="25.2" customHeight="1" x14ac:dyDescent="0.3">
      <c r="B974" s="13" t="str">
        <f t="shared" si="19"/>
        <v/>
      </c>
      <c r="C974" s="18"/>
      <c r="D974" s="19" t="str">
        <f>IF(Tabela2[[#This Row],[AGRUPADOR]]&lt;&gt;"",VLOOKUP(Tabela2[[#This Row],[AGRUPADOR]],Tabela1[],2,0),"")</f>
        <v/>
      </c>
      <c r="E974" s="19" t="str">
        <f>IF(Tabela2[[#This Row],[AGRUPADOR]]&lt;&gt;"",VLOOKUP(Tabela2[[#This Row],[AGRUPADOR]],Tabela1[],4,0),"")</f>
        <v/>
      </c>
      <c r="F974" s="14"/>
      <c r="G974" s="6"/>
      <c r="H974" s="6"/>
      <c r="I974" s="25"/>
      <c r="J974" s="7"/>
      <c r="K974" s="15"/>
      <c r="L974" s="379">
        <f>IF(H974&lt;&gt;"",J974*K974,SUMIFS(L975:L$9844,$F975:$F$9844,"*"&amp;F974&amp;"*",$H975:$H$9844,"&lt;&gt;"))</f>
        <v>0</v>
      </c>
      <c r="M974" s="379" t="str">
        <f>IF(Tabela2[[#This Row],[UNID.]]&lt;&gt;"",IFERROR(VLOOKUP(Tabela2[[#This Row],[AGRUPADOR]],Lucratividade!$D$4:$O$129,6,0),0),"")</f>
        <v/>
      </c>
      <c r="N974" s="379">
        <f>IF(H974&lt;&gt;"",J974*M974*I974,SUMIFS(N975:N$9844,$F975:$F$9844,"*"&amp;F974&amp;"*",$H975:$H$9844,"&lt;&gt;"))</f>
        <v>0</v>
      </c>
      <c r="O974" s="162" t="str">
        <f>IFERROR((-Tabela2[[#This Row],[CUSTO TOTAL]]+Tabela2[[#This Row],[VENDA TOTAL]])/Tabela2[[#This Row],[VENDA TOTAL]]-PARAMETROS!$C$19,"")</f>
        <v/>
      </c>
      <c r="AA974" s="219">
        <f>SUM(Plan_Orc[[#This Row],[01/jan]:[01/dez]])</f>
        <v>0</v>
      </c>
      <c r="AB974" s="15"/>
      <c r="AC974" s="15"/>
      <c r="AD974" s="15"/>
      <c r="AE974" s="15"/>
      <c r="AF974" s="15"/>
      <c r="AG974" s="15"/>
      <c r="AH974" s="15"/>
      <c r="AI974" s="15"/>
      <c r="AJ974" s="15"/>
      <c r="AK974" s="15"/>
      <c r="AL974" s="15"/>
      <c r="AM974" s="15"/>
    </row>
    <row r="975" spans="2:39" ht="25.2" customHeight="1" x14ac:dyDescent="0.3">
      <c r="B975" s="13" t="str">
        <f t="shared" si="19"/>
        <v/>
      </c>
      <c r="C975" s="18"/>
      <c r="D975" s="19" t="str">
        <f>IF(Tabela2[[#This Row],[AGRUPADOR]]&lt;&gt;"",VLOOKUP(Tabela2[[#This Row],[AGRUPADOR]],Tabela1[],2,0),"")</f>
        <v/>
      </c>
      <c r="E975" s="19" t="str">
        <f>IF(Tabela2[[#This Row],[AGRUPADOR]]&lt;&gt;"",VLOOKUP(Tabela2[[#This Row],[AGRUPADOR]],Tabela1[],4,0),"")</f>
        <v/>
      </c>
      <c r="F975" s="14"/>
      <c r="G975" s="6"/>
      <c r="H975" s="6"/>
      <c r="I975" s="25"/>
      <c r="J975" s="7"/>
      <c r="K975" s="15"/>
      <c r="L975" s="379">
        <f>IF(H975&lt;&gt;"",J975*K975,SUMIFS(L976:L$9844,$F976:$F$9844,"*"&amp;F975&amp;"*",$H976:$H$9844,"&lt;&gt;"))</f>
        <v>0</v>
      </c>
      <c r="M975" s="379" t="str">
        <f>IF(Tabela2[[#This Row],[UNID.]]&lt;&gt;"",IFERROR(VLOOKUP(Tabela2[[#This Row],[AGRUPADOR]],Lucratividade!$D$4:$O$129,6,0),0),"")</f>
        <v/>
      </c>
      <c r="N975" s="379">
        <f>IF(H975&lt;&gt;"",J975*M975*I975,SUMIFS(N976:N$9844,$F976:$F$9844,"*"&amp;F975&amp;"*",$H976:$H$9844,"&lt;&gt;"))</f>
        <v>0</v>
      </c>
      <c r="O975" s="162" t="str">
        <f>IFERROR((-Tabela2[[#This Row],[CUSTO TOTAL]]+Tabela2[[#This Row],[VENDA TOTAL]])/Tabela2[[#This Row],[VENDA TOTAL]]-PARAMETROS!$C$19,"")</f>
        <v/>
      </c>
      <c r="AA975" s="219">
        <f>SUM(Plan_Orc[[#This Row],[01/jan]:[01/dez]])</f>
        <v>0</v>
      </c>
      <c r="AB975" s="15"/>
      <c r="AC975" s="15"/>
      <c r="AD975" s="15"/>
      <c r="AE975" s="15"/>
      <c r="AF975" s="15"/>
      <c r="AG975" s="15"/>
      <c r="AH975" s="15"/>
      <c r="AI975" s="15"/>
      <c r="AJ975" s="15"/>
      <c r="AK975" s="15"/>
      <c r="AL975" s="15"/>
      <c r="AM975" s="15"/>
    </row>
    <row r="976" spans="2:39" ht="25.2" customHeight="1" x14ac:dyDescent="0.3">
      <c r="B976" s="13" t="str">
        <f t="shared" si="19"/>
        <v/>
      </c>
      <c r="C976" s="18"/>
      <c r="D976" s="19" t="str">
        <f>IF(Tabela2[[#This Row],[AGRUPADOR]]&lt;&gt;"",VLOOKUP(Tabela2[[#This Row],[AGRUPADOR]],Tabela1[],2,0),"")</f>
        <v/>
      </c>
      <c r="E976" s="19" t="str">
        <f>IF(Tabela2[[#This Row],[AGRUPADOR]]&lt;&gt;"",VLOOKUP(Tabela2[[#This Row],[AGRUPADOR]],Tabela1[],4,0),"")</f>
        <v/>
      </c>
      <c r="F976" s="14"/>
      <c r="G976" s="6"/>
      <c r="H976" s="6"/>
      <c r="I976" s="25"/>
      <c r="J976" s="7"/>
      <c r="K976" s="15"/>
      <c r="L976" s="379">
        <f>IF(H976&lt;&gt;"",J976*K976,SUMIFS(L977:L$9844,$F977:$F$9844,"*"&amp;F976&amp;"*",$H977:$H$9844,"&lt;&gt;"))</f>
        <v>0</v>
      </c>
      <c r="M976" s="379" t="str">
        <f>IF(Tabela2[[#This Row],[UNID.]]&lt;&gt;"",IFERROR(VLOOKUP(Tabela2[[#This Row],[AGRUPADOR]],Lucratividade!$D$4:$O$129,6,0),0),"")</f>
        <v/>
      </c>
      <c r="N976" s="379">
        <f>IF(H976&lt;&gt;"",J976*M976*I976,SUMIFS(N977:N$9844,$F977:$F$9844,"*"&amp;F976&amp;"*",$H977:$H$9844,"&lt;&gt;"))</f>
        <v>0</v>
      </c>
      <c r="O976" s="162" t="str">
        <f>IFERROR((-Tabela2[[#This Row],[CUSTO TOTAL]]+Tabela2[[#This Row],[VENDA TOTAL]])/Tabela2[[#This Row],[VENDA TOTAL]]-PARAMETROS!$C$19,"")</f>
        <v/>
      </c>
      <c r="AA976" s="218">
        <f>SUM(Plan_Orc[[#This Row],[01/jan]:[01/dez]])</f>
        <v>0</v>
      </c>
      <c r="AB976" s="12"/>
      <c r="AC976" s="12"/>
      <c r="AD976" s="12"/>
      <c r="AE976" s="12"/>
      <c r="AF976" s="12"/>
      <c r="AG976" s="12"/>
      <c r="AH976" s="12"/>
      <c r="AI976" s="12"/>
      <c r="AJ976" s="12"/>
      <c r="AK976" s="12"/>
      <c r="AL976" s="12"/>
      <c r="AM976" s="12"/>
    </row>
    <row r="977" spans="2:39" ht="25.2" customHeight="1" x14ac:dyDescent="0.3">
      <c r="B977" s="13" t="str">
        <f t="shared" si="19"/>
        <v/>
      </c>
      <c r="C977" s="18"/>
      <c r="D977" s="19" t="str">
        <f>IF(Tabela2[[#This Row],[AGRUPADOR]]&lt;&gt;"",VLOOKUP(Tabela2[[#This Row],[AGRUPADOR]],Tabela1[],2,0),"")</f>
        <v/>
      </c>
      <c r="E977" s="19" t="str">
        <f>IF(Tabela2[[#This Row],[AGRUPADOR]]&lt;&gt;"",VLOOKUP(Tabela2[[#This Row],[AGRUPADOR]],Tabela1[],4,0),"")</f>
        <v/>
      </c>
      <c r="F977" s="14"/>
      <c r="G977" s="6"/>
      <c r="H977" s="6"/>
      <c r="I977" s="25"/>
      <c r="J977" s="7"/>
      <c r="K977" s="15"/>
      <c r="L977" s="379">
        <f>IF(H977&lt;&gt;"",J977*K977,SUMIFS(L978:L$9844,$F978:$F$9844,"*"&amp;F977&amp;"*",$H978:$H$9844,"&lt;&gt;"))</f>
        <v>0</v>
      </c>
      <c r="M977" s="379" t="str">
        <f>IF(Tabela2[[#This Row],[UNID.]]&lt;&gt;"",IFERROR(VLOOKUP(Tabela2[[#This Row],[AGRUPADOR]],Lucratividade!$D$4:$O$129,6,0),0),"")</f>
        <v/>
      </c>
      <c r="N977" s="379">
        <f>IF(H977&lt;&gt;"",J977*M977*I977,SUMIFS(N978:N$9844,$F978:$F$9844,"*"&amp;F977&amp;"*",$H978:$H$9844,"&lt;&gt;"))</f>
        <v>0</v>
      </c>
      <c r="O977" s="162" t="str">
        <f>IFERROR((-Tabela2[[#This Row],[CUSTO TOTAL]]+Tabela2[[#This Row],[VENDA TOTAL]])/Tabela2[[#This Row],[VENDA TOTAL]]-PARAMETROS!$C$19,"")</f>
        <v/>
      </c>
      <c r="AA977" s="219">
        <f>SUM(Plan_Orc[[#This Row],[01/jan]:[01/dez]])</f>
        <v>0</v>
      </c>
      <c r="AB977" s="15"/>
      <c r="AC977" s="15"/>
      <c r="AD977" s="15"/>
      <c r="AE977" s="15"/>
      <c r="AF977" s="15"/>
      <c r="AG977" s="15"/>
      <c r="AH977" s="15"/>
      <c r="AI977" s="15"/>
      <c r="AJ977" s="15"/>
      <c r="AK977" s="15"/>
      <c r="AL977" s="15"/>
      <c r="AM977" s="15"/>
    </row>
    <row r="978" spans="2:39" ht="25.2" customHeight="1" x14ac:dyDescent="0.3">
      <c r="B978" s="13" t="str">
        <f t="shared" si="19"/>
        <v/>
      </c>
      <c r="C978" s="18"/>
      <c r="D978" s="19" t="str">
        <f>IF(Tabela2[[#This Row],[AGRUPADOR]]&lt;&gt;"",VLOOKUP(Tabela2[[#This Row],[AGRUPADOR]],Tabela1[],2,0),"")</f>
        <v/>
      </c>
      <c r="E978" s="19" t="str">
        <f>IF(Tabela2[[#This Row],[AGRUPADOR]]&lt;&gt;"",VLOOKUP(Tabela2[[#This Row],[AGRUPADOR]],Tabela1[],4,0),"")</f>
        <v/>
      </c>
      <c r="F978" s="14"/>
      <c r="G978" s="6"/>
      <c r="H978" s="6"/>
      <c r="I978" s="25"/>
      <c r="J978" s="7"/>
      <c r="K978" s="15"/>
      <c r="L978" s="379">
        <f>IF(H978&lt;&gt;"",J978*K978,SUMIFS(L979:L$9844,$F979:$F$9844,"*"&amp;F978&amp;"*",$H979:$H$9844,"&lt;&gt;"))</f>
        <v>0</v>
      </c>
      <c r="M978" s="379" t="str">
        <f>IF(Tabela2[[#This Row],[UNID.]]&lt;&gt;"",IFERROR(VLOOKUP(Tabela2[[#This Row],[AGRUPADOR]],Lucratividade!$D$4:$O$129,6,0),0),"")</f>
        <v/>
      </c>
      <c r="N978" s="379">
        <f>IF(H978&lt;&gt;"",J978*M978*I978,SUMIFS(N979:N$9844,$F979:$F$9844,"*"&amp;F978&amp;"*",$H979:$H$9844,"&lt;&gt;"))</f>
        <v>0</v>
      </c>
      <c r="O978" s="162" t="str">
        <f>IFERROR((-Tabela2[[#This Row],[CUSTO TOTAL]]+Tabela2[[#This Row],[VENDA TOTAL]])/Tabela2[[#This Row],[VENDA TOTAL]]-PARAMETROS!$C$19,"")</f>
        <v/>
      </c>
      <c r="AA978" s="219">
        <f>SUM(Plan_Orc[[#This Row],[01/jan]:[01/dez]])</f>
        <v>0</v>
      </c>
      <c r="AB978" s="15"/>
      <c r="AC978" s="15"/>
      <c r="AD978" s="15"/>
      <c r="AE978" s="15"/>
      <c r="AF978" s="15"/>
      <c r="AG978" s="15"/>
      <c r="AH978" s="15"/>
      <c r="AI978" s="15"/>
      <c r="AJ978" s="15"/>
      <c r="AK978" s="15"/>
      <c r="AL978" s="15"/>
      <c r="AM978" s="15"/>
    </row>
    <row r="979" spans="2:39" ht="25.2" customHeight="1" x14ac:dyDescent="0.3">
      <c r="B979" s="13" t="str">
        <f t="shared" si="19"/>
        <v/>
      </c>
      <c r="C979" s="18"/>
      <c r="D979" s="19" t="str">
        <f>IF(Tabela2[[#This Row],[AGRUPADOR]]&lt;&gt;"",VLOOKUP(Tabela2[[#This Row],[AGRUPADOR]],Tabela1[],2,0),"")</f>
        <v/>
      </c>
      <c r="E979" s="19" t="str">
        <f>IF(Tabela2[[#This Row],[AGRUPADOR]]&lt;&gt;"",VLOOKUP(Tabela2[[#This Row],[AGRUPADOR]],Tabela1[],4,0),"")</f>
        <v/>
      </c>
      <c r="F979" s="14"/>
      <c r="G979" s="6"/>
      <c r="H979" s="6"/>
      <c r="I979" s="25"/>
      <c r="J979" s="7"/>
      <c r="K979" s="15"/>
      <c r="L979" s="379">
        <f>IF(H979&lt;&gt;"",J979*K979,SUMIFS(L980:L$9844,$F980:$F$9844,"*"&amp;F979&amp;"*",$H980:$H$9844,"&lt;&gt;"))</f>
        <v>0</v>
      </c>
      <c r="M979" s="379" t="str">
        <f>IF(Tabela2[[#This Row],[UNID.]]&lt;&gt;"",IFERROR(VLOOKUP(Tabela2[[#This Row],[AGRUPADOR]],Lucratividade!$D$4:$O$129,6,0),0),"")</f>
        <v/>
      </c>
      <c r="N979" s="379">
        <f>IF(H979&lt;&gt;"",J979*M979*I979,SUMIFS(N980:N$9844,$F980:$F$9844,"*"&amp;F979&amp;"*",$H980:$H$9844,"&lt;&gt;"))</f>
        <v>0</v>
      </c>
      <c r="O979" s="162" t="str">
        <f>IFERROR((-Tabela2[[#This Row],[CUSTO TOTAL]]+Tabela2[[#This Row],[VENDA TOTAL]])/Tabela2[[#This Row],[VENDA TOTAL]]-PARAMETROS!$C$19,"")</f>
        <v/>
      </c>
      <c r="AA979" s="219">
        <f>SUM(Plan_Orc[[#This Row],[01/jan]:[01/dez]])</f>
        <v>0</v>
      </c>
      <c r="AB979" s="15"/>
      <c r="AC979" s="15"/>
      <c r="AD979" s="15"/>
      <c r="AE979" s="15"/>
      <c r="AF979" s="15"/>
      <c r="AG979" s="15"/>
      <c r="AH979" s="15"/>
      <c r="AI979" s="15"/>
      <c r="AJ979" s="15"/>
      <c r="AK979" s="15"/>
      <c r="AL979" s="15"/>
      <c r="AM979" s="15"/>
    </row>
    <row r="980" spans="2:39" ht="25.2" customHeight="1" x14ac:dyDescent="0.3">
      <c r="B980" s="13" t="str">
        <f t="shared" si="19"/>
        <v/>
      </c>
      <c r="C980" s="18"/>
      <c r="D980" s="19" t="str">
        <f>IF(Tabela2[[#This Row],[AGRUPADOR]]&lt;&gt;"",VLOOKUP(Tabela2[[#This Row],[AGRUPADOR]],Tabela1[],2,0),"")</f>
        <v/>
      </c>
      <c r="E980" s="19" t="str">
        <f>IF(Tabela2[[#This Row],[AGRUPADOR]]&lt;&gt;"",VLOOKUP(Tabela2[[#This Row],[AGRUPADOR]],Tabela1[],4,0),"")</f>
        <v/>
      </c>
      <c r="F980" s="14"/>
      <c r="G980" s="6"/>
      <c r="H980" s="6"/>
      <c r="I980" s="25"/>
      <c r="J980" s="7"/>
      <c r="K980" s="15"/>
      <c r="L980" s="379">
        <f>IF(H980&lt;&gt;"",J980*K980,SUMIFS(L981:L$9844,$F981:$F$9844,"*"&amp;F980&amp;"*",$H981:$H$9844,"&lt;&gt;"))</f>
        <v>0</v>
      </c>
      <c r="M980" s="379" t="str">
        <f>IF(Tabela2[[#This Row],[UNID.]]&lt;&gt;"",IFERROR(VLOOKUP(Tabela2[[#This Row],[AGRUPADOR]],Lucratividade!$D$4:$O$129,6,0),0),"")</f>
        <v/>
      </c>
      <c r="N980" s="379">
        <f>IF(H980&lt;&gt;"",J980*M980*I980,SUMIFS(N981:N$9844,$F981:$F$9844,"*"&amp;F980&amp;"*",$H981:$H$9844,"&lt;&gt;"))</f>
        <v>0</v>
      </c>
      <c r="O980" s="162" t="str">
        <f>IFERROR((-Tabela2[[#This Row],[CUSTO TOTAL]]+Tabela2[[#This Row],[VENDA TOTAL]])/Tabela2[[#This Row],[VENDA TOTAL]]-PARAMETROS!$C$19,"")</f>
        <v/>
      </c>
      <c r="AA980" s="219">
        <f>SUM(Plan_Orc[[#This Row],[01/jan]:[01/dez]])</f>
        <v>0</v>
      </c>
      <c r="AB980" s="15"/>
      <c r="AC980" s="15"/>
      <c r="AD980" s="15"/>
      <c r="AE980" s="15"/>
      <c r="AF980" s="15"/>
      <c r="AG980" s="15"/>
      <c r="AH980" s="15"/>
      <c r="AI980" s="15"/>
      <c r="AJ980" s="15"/>
      <c r="AK980" s="15"/>
      <c r="AL980" s="15"/>
      <c r="AM980" s="15"/>
    </row>
    <row r="981" spans="2:39" ht="25.2" customHeight="1" x14ac:dyDescent="0.3">
      <c r="B981" s="13" t="str">
        <f t="shared" si="19"/>
        <v/>
      </c>
      <c r="C981" s="18"/>
      <c r="D981" s="19" t="str">
        <f>IF(Tabela2[[#This Row],[AGRUPADOR]]&lt;&gt;"",VLOOKUP(Tabela2[[#This Row],[AGRUPADOR]],Tabela1[],2,0),"")</f>
        <v/>
      </c>
      <c r="E981" s="19" t="str">
        <f>IF(Tabela2[[#This Row],[AGRUPADOR]]&lt;&gt;"",VLOOKUP(Tabela2[[#This Row],[AGRUPADOR]],Tabela1[],4,0),"")</f>
        <v/>
      </c>
      <c r="F981" s="14"/>
      <c r="G981" s="6"/>
      <c r="H981" s="6"/>
      <c r="I981" s="25"/>
      <c r="J981" s="7"/>
      <c r="K981" s="15"/>
      <c r="L981" s="379">
        <f>IF(H981&lt;&gt;"",J981*K981,SUMIFS(L982:L$9844,$F982:$F$9844,"*"&amp;F981&amp;"*",$H982:$H$9844,"&lt;&gt;"))</f>
        <v>0</v>
      </c>
      <c r="M981" s="379" t="str">
        <f>IF(Tabela2[[#This Row],[UNID.]]&lt;&gt;"",IFERROR(VLOOKUP(Tabela2[[#This Row],[AGRUPADOR]],Lucratividade!$D$4:$O$129,6,0),0),"")</f>
        <v/>
      </c>
      <c r="N981" s="379">
        <f>IF(H981&lt;&gt;"",J981*M981*I981,SUMIFS(N982:N$9844,$F982:$F$9844,"*"&amp;F981&amp;"*",$H982:$H$9844,"&lt;&gt;"))</f>
        <v>0</v>
      </c>
      <c r="O981" s="162" t="str">
        <f>IFERROR((-Tabela2[[#This Row],[CUSTO TOTAL]]+Tabela2[[#This Row],[VENDA TOTAL]])/Tabela2[[#This Row],[VENDA TOTAL]]-PARAMETROS!$C$19,"")</f>
        <v/>
      </c>
      <c r="AA981" s="219">
        <f>SUM(Plan_Orc[[#This Row],[01/jan]:[01/dez]])</f>
        <v>0</v>
      </c>
      <c r="AB981" s="15"/>
      <c r="AC981" s="15"/>
      <c r="AD981" s="15"/>
      <c r="AE981" s="15"/>
      <c r="AF981" s="15"/>
      <c r="AG981" s="15"/>
      <c r="AH981" s="15"/>
      <c r="AI981" s="15"/>
      <c r="AJ981" s="15"/>
      <c r="AK981" s="15"/>
      <c r="AL981" s="15"/>
      <c r="AM981" s="15"/>
    </row>
    <row r="982" spans="2:39" ht="25.2" customHeight="1" x14ac:dyDescent="0.3">
      <c r="B982" s="13" t="str">
        <f t="shared" si="19"/>
        <v/>
      </c>
      <c r="C982" s="18"/>
      <c r="D982" s="19" t="str">
        <f>IF(Tabela2[[#This Row],[AGRUPADOR]]&lt;&gt;"",VLOOKUP(Tabela2[[#This Row],[AGRUPADOR]],Tabela1[],2,0),"")</f>
        <v/>
      </c>
      <c r="E982" s="19" t="str">
        <f>IF(Tabela2[[#This Row],[AGRUPADOR]]&lt;&gt;"",VLOOKUP(Tabela2[[#This Row],[AGRUPADOR]],Tabela1[],4,0),"")</f>
        <v/>
      </c>
      <c r="F982" s="14"/>
      <c r="G982" s="6"/>
      <c r="H982" s="6"/>
      <c r="I982" s="25"/>
      <c r="J982" s="7"/>
      <c r="K982" s="15"/>
      <c r="L982" s="379">
        <f>IF(H982&lt;&gt;"",J982*K982,SUMIFS(L983:L$9844,$F983:$F$9844,"*"&amp;F982&amp;"*",$H983:$H$9844,"&lt;&gt;"))</f>
        <v>0</v>
      </c>
      <c r="M982" s="379" t="str">
        <f>IF(Tabela2[[#This Row],[UNID.]]&lt;&gt;"",IFERROR(VLOOKUP(Tabela2[[#This Row],[AGRUPADOR]],Lucratividade!$D$4:$O$129,6,0),0),"")</f>
        <v/>
      </c>
      <c r="N982" s="379">
        <f>IF(H982&lt;&gt;"",J982*M982*I982,SUMIFS(N983:N$9844,$F983:$F$9844,"*"&amp;F982&amp;"*",$H983:$H$9844,"&lt;&gt;"))</f>
        <v>0</v>
      </c>
      <c r="O982" s="162" t="str">
        <f>IFERROR((-Tabela2[[#This Row],[CUSTO TOTAL]]+Tabela2[[#This Row],[VENDA TOTAL]])/Tabela2[[#This Row],[VENDA TOTAL]]-PARAMETROS!$C$19,"")</f>
        <v/>
      </c>
      <c r="AA982" s="219">
        <f>SUM(Plan_Orc[[#This Row],[01/jan]:[01/dez]])</f>
        <v>0</v>
      </c>
      <c r="AB982" s="15"/>
      <c r="AC982" s="15"/>
      <c r="AD982" s="15"/>
      <c r="AE982" s="15"/>
      <c r="AF982" s="15"/>
      <c r="AG982" s="15"/>
      <c r="AH982" s="15"/>
      <c r="AI982" s="15"/>
      <c r="AJ982" s="15"/>
      <c r="AK982" s="15"/>
      <c r="AL982" s="15"/>
      <c r="AM982" s="15"/>
    </row>
    <row r="983" spans="2:39" ht="25.2" customHeight="1" x14ac:dyDescent="0.3">
      <c r="B983" s="13" t="str">
        <f t="shared" si="19"/>
        <v/>
      </c>
      <c r="C983" s="18"/>
      <c r="D983" s="19" t="str">
        <f>IF(Tabela2[[#This Row],[AGRUPADOR]]&lt;&gt;"",VLOOKUP(Tabela2[[#This Row],[AGRUPADOR]],Tabela1[],2,0),"")</f>
        <v/>
      </c>
      <c r="E983" s="19" t="str">
        <f>IF(Tabela2[[#This Row],[AGRUPADOR]]&lt;&gt;"",VLOOKUP(Tabela2[[#This Row],[AGRUPADOR]],Tabela1[],4,0),"")</f>
        <v/>
      </c>
      <c r="F983" s="14"/>
      <c r="G983" s="6"/>
      <c r="H983" s="6"/>
      <c r="I983" s="25"/>
      <c r="J983" s="7"/>
      <c r="K983" s="15"/>
      <c r="L983" s="379">
        <f>IF(H983&lt;&gt;"",J983*K983,SUMIFS(L984:L$9844,$F984:$F$9844,"*"&amp;F983&amp;"*",$H984:$H$9844,"&lt;&gt;"))</f>
        <v>0</v>
      </c>
      <c r="M983" s="379" t="str">
        <f>IF(Tabela2[[#This Row],[UNID.]]&lt;&gt;"",IFERROR(VLOOKUP(Tabela2[[#This Row],[AGRUPADOR]],Lucratividade!$D$4:$O$129,6,0),0),"")</f>
        <v/>
      </c>
      <c r="N983" s="379">
        <f>IF(H983&lt;&gt;"",J983*M983*I983,SUMIFS(N984:N$9844,$F984:$F$9844,"*"&amp;F983&amp;"*",$H984:$H$9844,"&lt;&gt;"))</f>
        <v>0</v>
      </c>
      <c r="O983" s="162" t="str">
        <f>IFERROR((-Tabela2[[#This Row],[CUSTO TOTAL]]+Tabela2[[#This Row],[VENDA TOTAL]])/Tabela2[[#This Row],[VENDA TOTAL]]-PARAMETROS!$C$19,"")</f>
        <v/>
      </c>
      <c r="AA983" s="219">
        <f>SUM(Plan_Orc[[#This Row],[01/jan]:[01/dez]])</f>
        <v>0</v>
      </c>
      <c r="AB983" s="15"/>
      <c r="AC983" s="15"/>
      <c r="AD983" s="15"/>
      <c r="AE983" s="15"/>
      <c r="AF983" s="15"/>
      <c r="AG983" s="15"/>
      <c r="AH983" s="15"/>
      <c r="AI983" s="15"/>
      <c r="AJ983" s="15"/>
      <c r="AK983" s="15"/>
      <c r="AL983" s="15"/>
      <c r="AM983" s="15"/>
    </row>
    <row r="984" spans="2:39" ht="25.2" customHeight="1" x14ac:dyDescent="0.3">
      <c r="B984" s="13" t="str">
        <f t="shared" si="19"/>
        <v/>
      </c>
      <c r="C984" s="18"/>
      <c r="D984" s="19" t="str">
        <f>IF(Tabela2[[#This Row],[AGRUPADOR]]&lt;&gt;"",VLOOKUP(Tabela2[[#This Row],[AGRUPADOR]],Tabela1[],2,0),"")</f>
        <v/>
      </c>
      <c r="E984" s="19" t="str">
        <f>IF(Tabela2[[#This Row],[AGRUPADOR]]&lt;&gt;"",VLOOKUP(Tabela2[[#This Row],[AGRUPADOR]],Tabela1[],4,0),"")</f>
        <v/>
      </c>
      <c r="F984" s="14"/>
      <c r="G984" s="6"/>
      <c r="H984" s="6"/>
      <c r="I984" s="25"/>
      <c r="J984" s="7"/>
      <c r="K984" s="15"/>
      <c r="L984" s="379">
        <f>IF(H984&lt;&gt;"",J984*K984,SUMIFS(L985:L$9844,$F985:$F$9844,"*"&amp;F984&amp;"*",$H985:$H$9844,"&lt;&gt;"))</f>
        <v>0</v>
      </c>
      <c r="M984" s="379" t="str">
        <f>IF(Tabela2[[#This Row],[UNID.]]&lt;&gt;"",IFERROR(VLOOKUP(Tabela2[[#This Row],[AGRUPADOR]],Lucratividade!$D$4:$O$129,6,0),0),"")</f>
        <v/>
      </c>
      <c r="N984" s="379">
        <f>IF(H984&lt;&gt;"",J984*M984*I984,SUMIFS(N985:N$9844,$F985:$F$9844,"*"&amp;F984&amp;"*",$H985:$H$9844,"&lt;&gt;"))</f>
        <v>0</v>
      </c>
      <c r="O984" s="162" t="str">
        <f>IFERROR((-Tabela2[[#This Row],[CUSTO TOTAL]]+Tabela2[[#This Row],[VENDA TOTAL]])/Tabela2[[#This Row],[VENDA TOTAL]]-PARAMETROS!$C$19,"")</f>
        <v/>
      </c>
      <c r="AA984" s="219">
        <f>SUM(Plan_Orc[[#This Row],[01/jan]:[01/dez]])</f>
        <v>0</v>
      </c>
      <c r="AB984" s="15"/>
      <c r="AC984" s="15"/>
      <c r="AD984" s="15"/>
      <c r="AE984" s="15"/>
      <c r="AF984" s="15"/>
      <c r="AG984" s="15"/>
      <c r="AH984" s="15"/>
      <c r="AI984" s="15"/>
      <c r="AJ984" s="15"/>
      <c r="AK984" s="15"/>
      <c r="AL984" s="15"/>
      <c r="AM984" s="15"/>
    </row>
    <row r="985" spans="2:39" ht="25.2" customHeight="1" x14ac:dyDescent="0.3">
      <c r="B985" s="13" t="str">
        <f t="shared" si="19"/>
        <v/>
      </c>
      <c r="C985" s="18"/>
      <c r="D985" s="19" t="str">
        <f>IF(Tabela2[[#This Row],[AGRUPADOR]]&lt;&gt;"",VLOOKUP(Tabela2[[#This Row],[AGRUPADOR]],Tabela1[],2,0),"")</f>
        <v/>
      </c>
      <c r="E985" s="19" t="str">
        <f>IF(Tabela2[[#This Row],[AGRUPADOR]]&lt;&gt;"",VLOOKUP(Tabela2[[#This Row],[AGRUPADOR]],Tabela1[],4,0),"")</f>
        <v/>
      </c>
      <c r="F985" s="14"/>
      <c r="G985" s="6"/>
      <c r="H985" s="6"/>
      <c r="I985" s="25"/>
      <c r="J985" s="7"/>
      <c r="K985" s="15"/>
      <c r="L985" s="379">
        <f>IF(H985&lt;&gt;"",J985*K985,SUMIFS(L986:L$9844,$F986:$F$9844,"*"&amp;F985&amp;"*",$H986:$H$9844,"&lt;&gt;"))</f>
        <v>0</v>
      </c>
      <c r="M985" s="379" t="str">
        <f>IF(Tabela2[[#This Row],[UNID.]]&lt;&gt;"",IFERROR(VLOOKUP(Tabela2[[#This Row],[AGRUPADOR]],Lucratividade!$D$4:$O$129,6,0),0),"")</f>
        <v/>
      </c>
      <c r="N985" s="379">
        <f>IF(H985&lt;&gt;"",J985*M985*I985,SUMIFS(N986:N$9844,$F986:$F$9844,"*"&amp;F985&amp;"*",$H986:$H$9844,"&lt;&gt;"))</f>
        <v>0</v>
      </c>
      <c r="O985" s="162" t="str">
        <f>IFERROR((-Tabela2[[#This Row],[CUSTO TOTAL]]+Tabela2[[#This Row],[VENDA TOTAL]])/Tabela2[[#This Row],[VENDA TOTAL]]-PARAMETROS!$C$19,"")</f>
        <v/>
      </c>
      <c r="AA985" s="219">
        <f>SUM(Plan_Orc[[#This Row],[01/jan]:[01/dez]])</f>
        <v>0</v>
      </c>
      <c r="AB985" s="15"/>
      <c r="AC985" s="15"/>
      <c r="AD985" s="15"/>
      <c r="AE985" s="15"/>
      <c r="AF985" s="15"/>
      <c r="AG985" s="15"/>
      <c r="AH985" s="15"/>
      <c r="AI985" s="15"/>
      <c r="AJ985" s="15"/>
      <c r="AK985" s="15"/>
      <c r="AL985" s="15"/>
      <c r="AM985" s="15"/>
    </row>
    <row r="986" spans="2:39" ht="25.2" customHeight="1" x14ac:dyDescent="0.3">
      <c r="B986" s="13" t="str">
        <f t="shared" si="19"/>
        <v/>
      </c>
      <c r="C986" s="18"/>
      <c r="D986" s="19" t="str">
        <f>IF(Tabela2[[#This Row],[AGRUPADOR]]&lt;&gt;"",VLOOKUP(Tabela2[[#This Row],[AGRUPADOR]],Tabela1[],2,0),"")</f>
        <v/>
      </c>
      <c r="E986" s="19" t="str">
        <f>IF(Tabela2[[#This Row],[AGRUPADOR]]&lt;&gt;"",VLOOKUP(Tabela2[[#This Row],[AGRUPADOR]],Tabela1[],4,0),"")</f>
        <v/>
      </c>
      <c r="F986" s="14"/>
      <c r="G986" s="6"/>
      <c r="H986" s="6"/>
      <c r="I986" s="25"/>
      <c r="J986" s="7"/>
      <c r="K986" s="15"/>
      <c r="L986" s="379">
        <f>IF(H986&lt;&gt;"",J986*K986,SUMIFS(L987:L$9844,$F987:$F$9844,"*"&amp;F986&amp;"*",$H987:$H$9844,"&lt;&gt;"))</f>
        <v>0</v>
      </c>
      <c r="M986" s="379" t="str">
        <f>IF(Tabela2[[#This Row],[UNID.]]&lt;&gt;"",IFERROR(VLOOKUP(Tabela2[[#This Row],[AGRUPADOR]],Lucratividade!$D$4:$O$129,6,0),0),"")</f>
        <v/>
      </c>
      <c r="N986" s="379">
        <f>IF(H986&lt;&gt;"",J986*M986*I986,SUMIFS(N987:N$9844,$F987:$F$9844,"*"&amp;F986&amp;"*",$H987:$H$9844,"&lt;&gt;"))</f>
        <v>0</v>
      </c>
      <c r="O986" s="162" t="str">
        <f>IFERROR((-Tabela2[[#This Row],[CUSTO TOTAL]]+Tabela2[[#This Row],[VENDA TOTAL]])/Tabela2[[#This Row],[VENDA TOTAL]]-PARAMETROS!$C$19,"")</f>
        <v/>
      </c>
      <c r="AA986" s="219">
        <f>SUM(Plan_Orc[[#This Row],[01/jan]:[01/dez]])</f>
        <v>0</v>
      </c>
      <c r="AB986" s="15"/>
      <c r="AC986" s="15"/>
      <c r="AD986" s="15"/>
      <c r="AE986" s="15"/>
      <c r="AF986" s="15"/>
      <c r="AG986" s="15"/>
      <c r="AH986" s="15"/>
      <c r="AI986" s="15"/>
      <c r="AJ986" s="15"/>
      <c r="AK986" s="15"/>
      <c r="AL986" s="15"/>
      <c r="AM986" s="15"/>
    </row>
    <row r="987" spans="2:39" ht="25.2" customHeight="1" x14ac:dyDescent="0.3">
      <c r="B987" s="13" t="str">
        <f t="shared" si="19"/>
        <v/>
      </c>
      <c r="C987" s="18"/>
      <c r="D987" s="19" t="str">
        <f>IF(Tabela2[[#This Row],[AGRUPADOR]]&lt;&gt;"",VLOOKUP(Tabela2[[#This Row],[AGRUPADOR]],Tabela1[],2,0),"")</f>
        <v/>
      </c>
      <c r="E987" s="19" t="str">
        <f>IF(Tabela2[[#This Row],[AGRUPADOR]]&lt;&gt;"",VLOOKUP(Tabela2[[#This Row],[AGRUPADOR]],Tabela1[],4,0),"")</f>
        <v/>
      </c>
      <c r="F987" s="14"/>
      <c r="G987" s="6"/>
      <c r="H987" s="6"/>
      <c r="I987" s="25"/>
      <c r="J987" s="7"/>
      <c r="K987" s="15"/>
      <c r="L987" s="379">
        <f>IF(H987&lt;&gt;"",J987*K987,SUMIFS(L988:L$9844,$F988:$F$9844,"*"&amp;F987&amp;"*",$H988:$H$9844,"&lt;&gt;"))</f>
        <v>0</v>
      </c>
      <c r="M987" s="379" t="str">
        <f>IF(Tabela2[[#This Row],[UNID.]]&lt;&gt;"",IFERROR(VLOOKUP(Tabela2[[#This Row],[AGRUPADOR]],Lucratividade!$D$4:$O$129,6,0),0),"")</f>
        <v/>
      </c>
      <c r="N987" s="379">
        <f>IF(H987&lt;&gt;"",J987*M987*I987,SUMIFS(N988:N$9844,$F988:$F$9844,"*"&amp;F987&amp;"*",$H988:$H$9844,"&lt;&gt;"))</f>
        <v>0</v>
      </c>
      <c r="O987" s="162" t="str">
        <f>IFERROR((-Tabela2[[#This Row],[CUSTO TOTAL]]+Tabela2[[#This Row],[VENDA TOTAL]])/Tabela2[[#This Row],[VENDA TOTAL]]-PARAMETROS!$C$19,"")</f>
        <v/>
      </c>
      <c r="AA987" s="219">
        <f>SUM(Plan_Orc[[#This Row],[01/jan]:[01/dez]])</f>
        <v>0</v>
      </c>
      <c r="AB987" s="15"/>
      <c r="AC987" s="15"/>
      <c r="AD987" s="15"/>
      <c r="AE987" s="15"/>
      <c r="AF987" s="15"/>
      <c r="AG987" s="15"/>
      <c r="AH987" s="15"/>
      <c r="AI987" s="15"/>
      <c r="AJ987" s="15"/>
      <c r="AK987" s="15"/>
      <c r="AL987" s="15"/>
      <c r="AM987" s="15"/>
    </row>
    <row r="988" spans="2:39" ht="25.2" customHeight="1" x14ac:dyDescent="0.3">
      <c r="B988" s="13" t="str">
        <f t="shared" si="19"/>
        <v/>
      </c>
      <c r="C988" s="18"/>
      <c r="D988" s="19" t="str">
        <f>IF(Tabela2[[#This Row],[AGRUPADOR]]&lt;&gt;"",VLOOKUP(Tabela2[[#This Row],[AGRUPADOR]],Tabela1[],2,0),"")</f>
        <v/>
      </c>
      <c r="E988" s="19" t="str">
        <f>IF(Tabela2[[#This Row],[AGRUPADOR]]&lt;&gt;"",VLOOKUP(Tabela2[[#This Row],[AGRUPADOR]],Tabela1[],4,0),"")</f>
        <v/>
      </c>
      <c r="F988" s="14"/>
      <c r="G988" s="6"/>
      <c r="H988" s="6"/>
      <c r="I988" s="25"/>
      <c r="J988" s="7"/>
      <c r="K988" s="15"/>
      <c r="L988" s="379">
        <f>IF(H988&lt;&gt;"",J988*K988,SUMIFS(L989:L$9844,$F989:$F$9844,"*"&amp;F988&amp;"*",$H989:$H$9844,"&lt;&gt;"))</f>
        <v>0</v>
      </c>
      <c r="M988" s="379" t="str">
        <f>IF(Tabela2[[#This Row],[UNID.]]&lt;&gt;"",IFERROR(VLOOKUP(Tabela2[[#This Row],[AGRUPADOR]],Lucratividade!$D$4:$O$129,6,0),0),"")</f>
        <v/>
      </c>
      <c r="N988" s="379">
        <f>IF(H988&lt;&gt;"",J988*M988*I988,SUMIFS(N989:N$9844,$F989:$F$9844,"*"&amp;F988&amp;"*",$H989:$H$9844,"&lt;&gt;"))</f>
        <v>0</v>
      </c>
      <c r="O988" s="162" t="str">
        <f>IFERROR((-Tabela2[[#This Row],[CUSTO TOTAL]]+Tabela2[[#This Row],[VENDA TOTAL]])/Tabela2[[#This Row],[VENDA TOTAL]]-PARAMETROS!$C$19,"")</f>
        <v/>
      </c>
      <c r="AA988" s="219">
        <f>SUM(Plan_Orc[[#This Row],[01/jan]:[01/dez]])</f>
        <v>0</v>
      </c>
      <c r="AB988" s="15"/>
      <c r="AC988" s="15"/>
      <c r="AD988" s="15"/>
      <c r="AE988" s="15"/>
      <c r="AF988" s="15"/>
      <c r="AG988" s="15"/>
      <c r="AH988" s="15"/>
      <c r="AI988" s="15"/>
      <c r="AJ988" s="15"/>
      <c r="AK988" s="15"/>
      <c r="AL988" s="15"/>
      <c r="AM988" s="15"/>
    </row>
    <row r="989" spans="2:39" ht="25.2" customHeight="1" x14ac:dyDescent="0.3">
      <c r="B989" s="13" t="str">
        <f t="shared" si="19"/>
        <v/>
      </c>
      <c r="C989" s="18"/>
      <c r="D989" s="19" t="str">
        <f>IF(Tabela2[[#This Row],[AGRUPADOR]]&lt;&gt;"",VLOOKUP(Tabela2[[#This Row],[AGRUPADOR]],Tabela1[],2,0),"")</f>
        <v/>
      </c>
      <c r="E989" s="19" t="str">
        <f>IF(Tabela2[[#This Row],[AGRUPADOR]]&lt;&gt;"",VLOOKUP(Tabela2[[#This Row],[AGRUPADOR]],Tabela1[],4,0),"")</f>
        <v/>
      </c>
      <c r="F989" s="14"/>
      <c r="G989" s="6"/>
      <c r="H989" s="6"/>
      <c r="I989" s="25"/>
      <c r="J989" s="7"/>
      <c r="K989" s="15"/>
      <c r="L989" s="379">
        <f>IF(H989&lt;&gt;"",J989*K989,SUMIFS(L990:L$9844,$F990:$F$9844,"*"&amp;F989&amp;"*",$H990:$H$9844,"&lt;&gt;"))</f>
        <v>0</v>
      </c>
      <c r="M989" s="379" t="str">
        <f>IF(Tabela2[[#This Row],[UNID.]]&lt;&gt;"",IFERROR(VLOOKUP(Tabela2[[#This Row],[AGRUPADOR]],Lucratividade!$D$4:$O$129,6,0),0),"")</f>
        <v/>
      </c>
      <c r="N989" s="379">
        <f>IF(H989&lt;&gt;"",J989*M989*I989,SUMIFS(N990:N$9844,$F990:$F$9844,"*"&amp;F989&amp;"*",$H990:$H$9844,"&lt;&gt;"))</f>
        <v>0</v>
      </c>
      <c r="O989" s="162" t="str">
        <f>IFERROR((-Tabela2[[#This Row],[CUSTO TOTAL]]+Tabela2[[#This Row],[VENDA TOTAL]])/Tabela2[[#This Row],[VENDA TOTAL]]-PARAMETROS!$C$19,"")</f>
        <v/>
      </c>
      <c r="AA989" s="219">
        <f>SUM(Plan_Orc[[#This Row],[01/jan]:[01/dez]])</f>
        <v>0</v>
      </c>
      <c r="AB989" s="15"/>
      <c r="AC989" s="15"/>
      <c r="AD989" s="15"/>
      <c r="AE989" s="15"/>
      <c r="AF989" s="15"/>
      <c r="AG989" s="15"/>
      <c r="AH989" s="15"/>
      <c r="AI989" s="15"/>
      <c r="AJ989" s="15"/>
      <c r="AK989" s="15"/>
      <c r="AL989" s="15"/>
      <c r="AM989" s="15"/>
    </row>
    <row r="990" spans="2:39" ht="25.2" customHeight="1" x14ac:dyDescent="0.3">
      <c r="B990" s="13" t="str">
        <f t="shared" si="19"/>
        <v/>
      </c>
      <c r="C990" s="18"/>
      <c r="D990" s="19" t="str">
        <f>IF(Tabela2[[#This Row],[AGRUPADOR]]&lt;&gt;"",VLOOKUP(Tabela2[[#This Row],[AGRUPADOR]],Tabela1[],2,0),"")</f>
        <v/>
      </c>
      <c r="E990" s="19" t="str">
        <f>IF(Tabela2[[#This Row],[AGRUPADOR]]&lt;&gt;"",VLOOKUP(Tabela2[[#This Row],[AGRUPADOR]],Tabela1[],4,0),"")</f>
        <v/>
      </c>
      <c r="F990" s="14"/>
      <c r="G990" s="6"/>
      <c r="H990" s="6"/>
      <c r="I990" s="25"/>
      <c r="J990" s="7"/>
      <c r="K990" s="15"/>
      <c r="L990" s="379">
        <f>IF(H990&lt;&gt;"",J990*K990,SUMIFS(L991:L$9844,$F991:$F$9844,"*"&amp;F990&amp;"*",$H991:$H$9844,"&lt;&gt;"))</f>
        <v>0</v>
      </c>
      <c r="M990" s="379" t="str">
        <f>IF(Tabela2[[#This Row],[UNID.]]&lt;&gt;"",IFERROR(VLOOKUP(Tabela2[[#This Row],[AGRUPADOR]],Lucratividade!$D$4:$O$129,6,0),0),"")</f>
        <v/>
      </c>
      <c r="N990" s="379">
        <f>IF(H990&lt;&gt;"",J990*M990*I990,SUMIFS(N991:N$9844,$F991:$F$9844,"*"&amp;F990&amp;"*",$H991:$H$9844,"&lt;&gt;"))</f>
        <v>0</v>
      </c>
      <c r="O990" s="162" t="str">
        <f>IFERROR((-Tabela2[[#This Row],[CUSTO TOTAL]]+Tabela2[[#This Row],[VENDA TOTAL]])/Tabela2[[#This Row],[VENDA TOTAL]]-PARAMETROS!$C$19,"")</f>
        <v/>
      </c>
      <c r="AA990" s="219">
        <f>SUM(Plan_Orc[[#This Row],[01/jan]:[01/dez]])</f>
        <v>0</v>
      </c>
      <c r="AB990" s="15"/>
      <c r="AC990" s="15"/>
      <c r="AD990" s="15"/>
      <c r="AE990" s="15"/>
      <c r="AF990" s="15"/>
      <c r="AG990" s="15"/>
      <c r="AH990" s="15"/>
      <c r="AI990" s="15"/>
      <c r="AJ990" s="15"/>
      <c r="AK990" s="15"/>
      <c r="AL990" s="15"/>
      <c r="AM990" s="15"/>
    </row>
    <row r="991" spans="2:39" ht="25.2" customHeight="1" x14ac:dyDescent="0.3">
      <c r="B991" s="13" t="str">
        <f t="shared" si="19"/>
        <v/>
      </c>
      <c r="C991" s="18"/>
      <c r="D991" s="19" t="str">
        <f>IF(Tabela2[[#This Row],[AGRUPADOR]]&lt;&gt;"",VLOOKUP(Tabela2[[#This Row],[AGRUPADOR]],Tabela1[],2,0),"")</f>
        <v/>
      </c>
      <c r="E991" s="19" t="str">
        <f>IF(Tabela2[[#This Row],[AGRUPADOR]]&lt;&gt;"",VLOOKUP(Tabela2[[#This Row],[AGRUPADOR]],Tabela1[],4,0),"")</f>
        <v/>
      </c>
      <c r="F991" s="14"/>
      <c r="G991" s="6"/>
      <c r="H991" s="6"/>
      <c r="I991" s="25"/>
      <c r="J991" s="7"/>
      <c r="K991" s="15"/>
      <c r="L991" s="379">
        <f>IF(H991&lt;&gt;"",J991*K991,SUMIFS(L992:L$9844,$F992:$F$9844,"*"&amp;F991&amp;"*",$H992:$H$9844,"&lt;&gt;"))</f>
        <v>0</v>
      </c>
      <c r="M991" s="379" t="str">
        <f>IF(Tabela2[[#This Row],[UNID.]]&lt;&gt;"",IFERROR(VLOOKUP(Tabela2[[#This Row],[AGRUPADOR]],Lucratividade!$D$4:$O$129,6,0),0),"")</f>
        <v/>
      </c>
      <c r="N991" s="379">
        <f>IF(H991&lt;&gt;"",J991*M991*I991,SUMIFS(N992:N$9844,$F992:$F$9844,"*"&amp;F991&amp;"*",$H992:$H$9844,"&lt;&gt;"))</f>
        <v>0</v>
      </c>
      <c r="O991" s="162" t="str">
        <f>IFERROR((-Tabela2[[#This Row],[CUSTO TOTAL]]+Tabela2[[#This Row],[VENDA TOTAL]])/Tabela2[[#This Row],[VENDA TOTAL]]-PARAMETROS!$C$19,"")</f>
        <v/>
      </c>
      <c r="AA991" s="219">
        <f>SUM(Plan_Orc[[#This Row],[01/jan]:[01/dez]])</f>
        <v>0</v>
      </c>
      <c r="AB991" s="15"/>
      <c r="AC991" s="15"/>
      <c r="AD991" s="15"/>
      <c r="AE991" s="15"/>
      <c r="AF991" s="15"/>
      <c r="AG991" s="15"/>
      <c r="AH991" s="15"/>
      <c r="AI991" s="15"/>
      <c r="AJ991" s="15"/>
      <c r="AK991" s="15"/>
      <c r="AL991" s="15"/>
      <c r="AM991" s="15"/>
    </row>
    <row r="992" spans="2:39" ht="25.2" customHeight="1" x14ac:dyDescent="0.3">
      <c r="B992" s="13" t="str">
        <f t="shared" si="19"/>
        <v/>
      </c>
      <c r="C992" s="18"/>
      <c r="D992" s="19" t="str">
        <f>IF(Tabela2[[#This Row],[AGRUPADOR]]&lt;&gt;"",VLOOKUP(Tabela2[[#This Row],[AGRUPADOR]],Tabela1[],2,0),"")</f>
        <v/>
      </c>
      <c r="E992" s="19" t="str">
        <f>IF(Tabela2[[#This Row],[AGRUPADOR]]&lt;&gt;"",VLOOKUP(Tabela2[[#This Row],[AGRUPADOR]],Tabela1[],4,0),"")</f>
        <v/>
      </c>
      <c r="F992" s="14"/>
      <c r="G992" s="6"/>
      <c r="H992" s="6"/>
      <c r="I992" s="25"/>
      <c r="J992" s="7"/>
      <c r="K992" s="15"/>
      <c r="L992" s="379">
        <f>IF(H992&lt;&gt;"",J992*K992,SUMIFS(L993:L$9844,$F993:$F$9844,"*"&amp;F992&amp;"*",$H993:$H$9844,"&lt;&gt;"))</f>
        <v>0</v>
      </c>
      <c r="M992" s="379" t="str">
        <f>IF(Tabela2[[#This Row],[UNID.]]&lt;&gt;"",IFERROR(VLOOKUP(Tabela2[[#This Row],[AGRUPADOR]],Lucratividade!$D$4:$O$129,6,0),0),"")</f>
        <v/>
      </c>
      <c r="N992" s="379">
        <f>IF(H992&lt;&gt;"",J992*M992*I992,SUMIFS(N993:N$9844,$F993:$F$9844,"*"&amp;F992&amp;"*",$H993:$H$9844,"&lt;&gt;"))</f>
        <v>0</v>
      </c>
      <c r="O992" s="162" t="str">
        <f>IFERROR((-Tabela2[[#This Row],[CUSTO TOTAL]]+Tabela2[[#This Row],[VENDA TOTAL]])/Tabela2[[#This Row],[VENDA TOTAL]]-PARAMETROS!$C$19,"")</f>
        <v/>
      </c>
      <c r="AA992" s="219">
        <f>SUM(Plan_Orc[[#This Row],[01/jan]:[01/dez]])</f>
        <v>0</v>
      </c>
      <c r="AB992" s="15"/>
      <c r="AC992" s="15"/>
      <c r="AD992" s="15"/>
      <c r="AE992" s="15"/>
      <c r="AF992" s="15"/>
      <c r="AG992" s="15"/>
      <c r="AH992" s="15"/>
      <c r="AI992" s="15"/>
      <c r="AJ992" s="15"/>
      <c r="AK992" s="15"/>
      <c r="AL992" s="15"/>
      <c r="AM992" s="15"/>
    </row>
    <row r="993" spans="2:39" ht="25.2" customHeight="1" x14ac:dyDescent="0.3">
      <c r="B993" s="13" t="str">
        <f t="shared" si="19"/>
        <v/>
      </c>
      <c r="C993" s="18"/>
      <c r="D993" s="19" t="str">
        <f>IF(Tabela2[[#This Row],[AGRUPADOR]]&lt;&gt;"",VLOOKUP(Tabela2[[#This Row],[AGRUPADOR]],Tabela1[],2,0),"")</f>
        <v/>
      </c>
      <c r="E993" s="19" t="str">
        <f>IF(Tabela2[[#This Row],[AGRUPADOR]]&lt;&gt;"",VLOOKUP(Tabela2[[#This Row],[AGRUPADOR]],Tabela1[],4,0),"")</f>
        <v/>
      </c>
      <c r="F993" s="14"/>
      <c r="G993" s="6"/>
      <c r="H993" s="6"/>
      <c r="I993" s="25"/>
      <c r="J993" s="7"/>
      <c r="K993" s="15"/>
      <c r="L993" s="379">
        <f>IF(H993&lt;&gt;"",J993*K993,SUMIFS(L994:L$9844,$F994:$F$9844,"*"&amp;F993&amp;"*",$H994:$H$9844,"&lt;&gt;"))</f>
        <v>0</v>
      </c>
      <c r="M993" s="379" t="str">
        <f>IF(Tabela2[[#This Row],[UNID.]]&lt;&gt;"",IFERROR(VLOOKUP(Tabela2[[#This Row],[AGRUPADOR]],Lucratividade!$D$4:$O$129,6,0),0),"")</f>
        <v/>
      </c>
      <c r="N993" s="379">
        <f>IF(H993&lt;&gt;"",J993*M993*I993,SUMIFS(N994:N$9844,$F994:$F$9844,"*"&amp;F993&amp;"*",$H994:$H$9844,"&lt;&gt;"))</f>
        <v>0</v>
      </c>
      <c r="O993" s="162" t="str">
        <f>IFERROR((-Tabela2[[#This Row],[CUSTO TOTAL]]+Tabela2[[#This Row],[VENDA TOTAL]])/Tabela2[[#This Row],[VENDA TOTAL]]-PARAMETROS!$C$19,"")</f>
        <v/>
      </c>
      <c r="AA993" s="219">
        <f>SUM(Plan_Orc[[#This Row],[01/jan]:[01/dez]])</f>
        <v>0</v>
      </c>
      <c r="AB993" s="15"/>
      <c r="AC993" s="15"/>
      <c r="AD993" s="15"/>
      <c r="AE993" s="15"/>
      <c r="AF993" s="15"/>
      <c r="AG993" s="15"/>
      <c r="AH993" s="15"/>
      <c r="AI993" s="15"/>
      <c r="AJ993" s="15"/>
      <c r="AK993" s="15"/>
      <c r="AL993" s="15"/>
      <c r="AM993" s="15"/>
    </row>
    <row r="994" spans="2:39" ht="25.2" customHeight="1" x14ac:dyDescent="0.3">
      <c r="B994" s="13" t="str">
        <f t="shared" si="19"/>
        <v/>
      </c>
      <c r="C994" s="18"/>
      <c r="D994" s="19" t="str">
        <f>IF(Tabela2[[#This Row],[AGRUPADOR]]&lt;&gt;"",VLOOKUP(Tabela2[[#This Row],[AGRUPADOR]],Tabela1[],2,0),"")</f>
        <v/>
      </c>
      <c r="E994" s="19" t="str">
        <f>IF(Tabela2[[#This Row],[AGRUPADOR]]&lt;&gt;"",VLOOKUP(Tabela2[[#This Row],[AGRUPADOR]],Tabela1[],4,0),"")</f>
        <v/>
      </c>
      <c r="F994" s="14"/>
      <c r="G994" s="6"/>
      <c r="H994" s="6"/>
      <c r="I994" s="25"/>
      <c r="J994" s="7"/>
      <c r="K994" s="15"/>
      <c r="L994" s="379">
        <f>IF(H994&lt;&gt;"",J994*K994,SUMIFS(L995:L$9844,$F995:$F$9844,"*"&amp;F994&amp;"*",$H995:$H$9844,"&lt;&gt;"))</f>
        <v>0</v>
      </c>
      <c r="M994" s="379" t="str">
        <f>IF(Tabela2[[#This Row],[UNID.]]&lt;&gt;"",IFERROR(VLOOKUP(Tabela2[[#This Row],[AGRUPADOR]],Lucratividade!$D$4:$O$129,6,0),0),"")</f>
        <v/>
      </c>
      <c r="N994" s="379">
        <f>IF(H994&lt;&gt;"",J994*M994*I994,SUMIFS(N995:N$9844,$F995:$F$9844,"*"&amp;F994&amp;"*",$H995:$H$9844,"&lt;&gt;"))</f>
        <v>0</v>
      </c>
      <c r="O994" s="162" t="str">
        <f>IFERROR((-Tabela2[[#This Row],[CUSTO TOTAL]]+Tabela2[[#This Row],[VENDA TOTAL]])/Tabela2[[#This Row],[VENDA TOTAL]]-PARAMETROS!$C$19,"")</f>
        <v/>
      </c>
      <c r="AA994" s="219">
        <f>SUM(Plan_Orc[[#This Row],[01/jan]:[01/dez]])</f>
        <v>0</v>
      </c>
      <c r="AB994" s="15"/>
      <c r="AC994" s="15"/>
      <c r="AD994" s="15"/>
      <c r="AE994" s="15"/>
      <c r="AF994" s="15"/>
      <c r="AG994" s="15"/>
      <c r="AH994" s="15"/>
      <c r="AI994" s="15"/>
      <c r="AJ994" s="15"/>
      <c r="AK994" s="15"/>
      <c r="AL994" s="15"/>
      <c r="AM994" s="15"/>
    </row>
    <row r="995" spans="2:39" ht="25.2" customHeight="1" x14ac:dyDescent="0.3">
      <c r="B995" s="13" t="str">
        <f t="shared" si="19"/>
        <v/>
      </c>
      <c r="C995" s="18"/>
      <c r="D995" s="19" t="str">
        <f>IF(Tabela2[[#This Row],[AGRUPADOR]]&lt;&gt;"",VLOOKUP(Tabela2[[#This Row],[AGRUPADOR]],Tabela1[],2,0),"")</f>
        <v/>
      </c>
      <c r="E995" s="19" t="str">
        <f>IF(Tabela2[[#This Row],[AGRUPADOR]]&lt;&gt;"",VLOOKUP(Tabela2[[#This Row],[AGRUPADOR]],Tabela1[],4,0),"")</f>
        <v/>
      </c>
      <c r="F995" s="14"/>
      <c r="G995" s="6"/>
      <c r="H995" s="6"/>
      <c r="I995" s="25"/>
      <c r="J995" s="7"/>
      <c r="K995" s="15"/>
      <c r="L995" s="379">
        <f>IF(H995&lt;&gt;"",J995*K995,SUMIFS(L996:L$9844,$F996:$F$9844,"*"&amp;F995&amp;"*",$H996:$H$9844,"&lt;&gt;"))</f>
        <v>0</v>
      </c>
      <c r="M995" s="379" t="str">
        <f>IF(Tabela2[[#This Row],[UNID.]]&lt;&gt;"",IFERROR(VLOOKUP(Tabela2[[#This Row],[AGRUPADOR]],Lucratividade!$D$4:$O$129,6,0),0),"")</f>
        <v/>
      </c>
      <c r="N995" s="379">
        <f>IF(H995&lt;&gt;"",J995*M995*I995,SUMIFS(N996:N$9844,$F996:$F$9844,"*"&amp;F995&amp;"*",$H996:$H$9844,"&lt;&gt;"))</f>
        <v>0</v>
      </c>
      <c r="O995" s="162" t="str">
        <f>IFERROR((-Tabela2[[#This Row],[CUSTO TOTAL]]+Tabela2[[#This Row],[VENDA TOTAL]])/Tabela2[[#This Row],[VENDA TOTAL]]-PARAMETROS!$C$19,"")</f>
        <v/>
      </c>
      <c r="AA995" s="218">
        <f>SUM(Plan_Orc[[#This Row],[01/jan]:[01/dez]])</f>
        <v>0</v>
      </c>
      <c r="AB995" s="12"/>
      <c r="AC995" s="12"/>
      <c r="AD995" s="12"/>
      <c r="AE995" s="12"/>
      <c r="AF995" s="12"/>
      <c r="AG995" s="12"/>
      <c r="AH995" s="12"/>
      <c r="AI995" s="12"/>
      <c r="AJ995" s="12"/>
      <c r="AK995" s="12"/>
      <c r="AL995" s="12"/>
      <c r="AM995" s="12"/>
    </row>
    <row r="996" spans="2:39" ht="25.2" customHeight="1" x14ac:dyDescent="0.3">
      <c r="B996" s="13" t="str">
        <f t="shared" si="19"/>
        <v/>
      </c>
      <c r="C996" s="18"/>
      <c r="D996" s="19" t="str">
        <f>IF(Tabela2[[#This Row],[AGRUPADOR]]&lt;&gt;"",VLOOKUP(Tabela2[[#This Row],[AGRUPADOR]],Tabela1[],2,0),"")</f>
        <v/>
      </c>
      <c r="E996" s="19" t="str">
        <f>IF(Tabela2[[#This Row],[AGRUPADOR]]&lt;&gt;"",VLOOKUP(Tabela2[[#This Row],[AGRUPADOR]],Tabela1[],4,0),"")</f>
        <v/>
      </c>
      <c r="F996" s="14"/>
      <c r="G996" s="6"/>
      <c r="H996" s="6"/>
      <c r="I996" s="25"/>
      <c r="J996" s="7"/>
      <c r="K996" s="15"/>
      <c r="L996" s="379">
        <f>IF(H996&lt;&gt;"",J996*K996,SUMIFS(L997:L$9844,$F997:$F$9844,"*"&amp;F996&amp;"*",$H997:$H$9844,"&lt;&gt;"))</f>
        <v>0</v>
      </c>
      <c r="M996" s="379" t="str">
        <f>IF(Tabela2[[#This Row],[UNID.]]&lt;&gt;"",IFERROR(VLOOKUP(Tabela2[[#This Row],[AGRUPADOR]],Lucratividade!$D$4:$O$129,6,0),0),"")</f>
        <v/>
      </c>
      <c r="N996" s="379">
        <f>IF(H996&lt;&gt;"",J996*M996*I996,SUMIFS(N997:N$9844,$F997:$F$9844,"*"&amp;F996&amp;"*",$H997:$H$9844,"&lt;&gt;"))</f>
        <v>0</v>
      </c>
      <c r="O996" s="162" t="str">
        <f>IFERROR((-Tabela2[[#This Row],[CUSTO TOTAL]]+Tabela2[[#This Row],[VENDA TOTAL]])/Tabela2[[#This Row],[VENDA TOTAL]]-PARAMETROS!$C$19,"")</f>
        <v/>
      </c>
      <c r="AA996" s="219">
        <f>SUM(Plan_Orc[[#This Row],[01/jan]:[01/dez]])</f>
        <v>0</v>
      </c>
      <c r="AB996" s="15"/>
      <c r="AC996" s="15"/>
      <c r="AD996" s="15"/>
      <c r="AE996" s="15"/>
      <c r="AF996" s="15"/>
      <c r="AG996" s="15"/>
      <c r="AH996" s="15"/>
      <c r="AI996" s="15"/>
      <c r="AJ996" s="15"/>
      <c r="AK996" s="15"/>
      <c r="AL996" s="15"/>
      <c r="AM996" s="15"/>
    </row>
    <row r="997" spans="2:39" ht="25.2" customHeight="1" x14ac:dyDescent="0.3">
      <c r="B997" s="13" t="str">
        <f t="shared" si="19"/>
        <v/>
      </c>
      <c r="C997" s="18"/>
      <c r="D997" s="19" t="str">
        <f>IF(Tabela2[[#This Row],[AGRUPADOR]]&lt;&gt;"",VLOOKUP(Tabela2[[#This Row],[AGRUPADOR]],Tabela1[],2,0),"")</f>
        <v/>
      </c>
      <c r="E997" s="19" t="str">
        <f>IF(Tabela2[[#This Row],[AGRUPADOR]]&lt;&gt;"",VLOOKUP(Tabela2[[#This Row],[AGRUPADOR]],Tabela1[],4,0),"")</f>
        <v/>
      </c>
      <c r="F997" s="14"/>
      <c r="G997" s="6"/>
      <c r="H997" s="6"/>
      <c r="I997" s="25"/>
      <c r="J997" s="7"/>
      <c r="K997" s="15"/>
      <c r="L997" s="379">
        <f>IF(H997&lt;&gt;"",J997*K997,SUMIFS(L998:L$9844,$F998:$F$9844,"*"&amp;F997&amp;"*",$H998:$H$9844,"&lt;&gt;"))</f>
        <v>0</v>
      </c>
      <c r="M997" s="379" t="str">
        <f>IF(Tabela2[[#This Row],[UNID.]]&lt;&gt;"",IFERROR(VLOOKUP(Tabela2[[#This Row],[AGRUPADOR]],Lucratividade!$D$4:$O$129,6,0),0),"")</f>
        <v/>
      </c>
      <c r="N997" s="379">
        <f>IF(H997&lt;&gt;"",J997*M997*I997,SUMIFS(N998:N$9844,$F998:$F$9844,"*"&amp;F997&amp;"*",$H998:$H$9844,"&lt;&gt;"))</f>
        <v>0</v>
      </c>
      <c r="O997" s="162" t="str">
        <f>IFERROR((-Tabela2[[#This Row],[CUSTO TOTAL]]+Tabela2[[#This Row],[VENDA TOTAL]])/Tabela2[[#This Row],[VENDA TOTAL]]-PARAMETROS!$C$19,"")</f>
        <v/>
      </c>
      <c r="AA997" s="220">
        <f>SUM(Plan_Orc[[#This Row],[01/jan]:[01/dez]])</f>
        <v>0</v>
      </c>
      <c r="AB997" s="9"/>
      <c r="AC997" s="9"/>
      <c r="AD997" s="9"/>
      <c r="AE997" s="9"/>
      <c r="AF997" s="9"/>
      <c r="AG997" s="9"/>
      <c r="AH997" s="9"/>
      <c r="AI997" s="9"/>
      <c r="AJ997" s="9"/>
      <c r="AK997" s="9"/>
      <c r="AL997" s="9"/>
      <c r="AM997" s="9"/>
    </row>
    <row r="998" spans="2:39" ht="25.2" customHeight="1" x14ac:dyDescent="0.3">
      <c r="B998" s="13" t="str">
        <f t="shared" si="19"/>
        <v/>
      </c>
      <c r="C998" s="18"/>
      <c r="D998" s="19" t="str">
        <f>IF(Tabela2[[#This Row],[AGRUPADOR]]&lt;&gt;"",VLOOKUP(Tabela2[[#This Row],[AGRUPADOR]],Tabela1[],2,0),"")</f>
        <v/>
      </c>
      <c r="E998" s="19" t="str">
        <f>IF(Tabela2[[#This Row],[AGRUPADOR]]&lt;&gt;"",VLOOKUP(Tabela2[[#This Row],[AGRUPADOR]],Tabela1[],4,0),"")</f>
        <v/>
      </c>
      <c r="F998" s="14"/>
      <c r="G998" s="6"/>
      <c r="H998" s="6"/>
      <c r="I998" s="25"/>
      <c r="J998" s="7"/>
      <c r="K998" s="15"/>
      <c r="L998" s="379">
        <f>IF(H998&lt;&gt;"",J998*K998,SUMIFS(L999:L$9844,$F999:$F$9844,"*"&amp;F998&amp;"*",$H999:$H$9844,"&lt;&gt;"))</f>
        <v>0</v>
      </c>
      <c r="M998" s="379" t="str">
        <f>IF(Tabela2[[#This Row],[UNID.]]&lt;&gt;"",IFERROR(VLOOKUP(Tabela2[[#This Row],[AGRUPADOR]],Lucratividade!$D$4:$O$129,6,0),0),"")</f>
        <v/>
      </c>
      <c r="N998" s="379">
        <f>IF(H998&lt;&gt;"",J998*M998*I998,SUMIFS(N999:N$9844,$F999:$F$9844,"*"&amp;F998&amp;"*",$H999:$H$9844,"&lt;&gt;"))</f>
        <v>0</v>
      </c>
      <c r="O998" s="162" t="str">
        <f>IFERROR((-Tabela2[[#This Row],[CUSTO TOTAL]]+Tabela2[[#This Row],[VENDA TOTAL]])/Tabela2[[#This Row],[VENDA TOTAL]]-PARAMETROS!$C$19,"")</f>
        <v/>
      </c>
      <c r="AA998" s="219">
        <f>SUM(Plan_Orc[[#This Row],[01/jan]:[01/dez]])</f>
        <v>0</v>
      </c>
      <c r="AB998" s="15"/>
      <c r="AC998" s="15"/>
      <c r="AD998" s="15"/>
      <c r="AE998" s="15"/>
      <c r="AF998" s="15"/>
      <c r="AG998" s="15"/>
      <c r="AH998" s="15"/>
      <c r="AI998" s="15"/>
      <c r="AJ998" s="15"/>
      <c r="AK998" s="15"/>
      <c r="AL998" s="15"/>
      <c r="AM998" s="15"/>
    </row>
    <row r="999" spans="2:39" ht="25.2" customHeight="1" x14ac:dyDescent="0.3">
      <c r="B999" s="13" t="str">
        <f t="shared" si="19"/>
        <v/>
      </c>
      <c r="C999" s="18"/>
      <c r="D999" s="19" t="str">
        <f>IF(Tabela2[[#This Row],[AGRUPADOR]]&lt;&gt;"",VLOOKUP(Tabela2[[#This Row],[AGRUPADOR]],Tabela1[],2,0),"")</f>
        <v/>
      </c>
      <c r="E999" s="19" t="str">
        <f>IF(Tabela2[[#This Row],[AGRUPADOR]]&lt;&gt;"",VLOOKUP(Tabela2[[#This Row],[AGRUPADOR]],Tabela1[],4,0),"")</f>
        <v/>
      </c>
      <c r="F999" s="14"/>
      <c r="G999" s="6"/>
      <c r="H999" s="6"/>
      <c r="I999" s="25"/>
      <c r="J999" s="7"/>
      <c r="K999" s="15"/>
      <c r="L999" s="379">
        <f>IF(H999&lt;&gt;"",J999*K999,SUMIFS(L1000:L$9844,$F1000:$F$9844,"*"&amp;F999&amp;"*",$H1000:$H$9844,"&lt;&gt;"))</f>
        <v>0</v>
      </c>
      <c r="M999" s="379" t="str">
        <f>IF(Tabela2[[#This Row],[UNID.]]&lt;&gt;"",IFERROR(VLOOKUP(Tabela2[[#This Row],[AGRUPADOR]],Lucratividade!$D$4:$O$129,6,0),0),"")</f>
        <v/>
      </c>
      <c r="N999" s="379">
        <f>IF(H999&lt;&gt;"",J999*M999*I999,SUMIFS(N1000:N$9844,$F1000:$F$9844,"*"&amp;F999&amp;"*",$H1000:$H$9844,"&lt;&gt;"))</f>
        <v>0</v>
      </c>
      <c r="O999" s="162" t="str">
        <f>IFERROR((-Tabela2[[#This Row],[CUSTO TOTAL]]+Tabela2[[#This Row],[VENDA TOTAL]])/Tabela2[[#This Row],[VENDA TOTAL]]-PARAMETROS!$C$19,"")</f>
        <v/>
      </c>
      <c r="AA999" s="219">
        <f>SUM(Plan_Orc[[#This Row],[01/jan]:[01/dez]])</f>
        <v>0</v>
      </c>
      <c r="AB999" s="15"/>
      <c r="AC999" s="15"/>
      <c r="AD999" s="15"/>
      <c r="AE999" s="15"/>
      <c r="AF999" s="15"/>
      <c r="AG999" s="15"/>
      <c r="AH999" s="15"/>
      <c r="AI999" s="15"/>
      <c r="AJ999" s="15"/>
      <c r="AK999" s="15"/>
      <c r="AL999" s="15"/>
      <c r="AM999" s="15"/>
    </row>
    <row r="1000" spans="2:39" ht="25.2" customHeight="1" x14ac:dyDescent="0.3">
      <c r="B1000" s="13" t="str">
        <f t="shared" si="19"/>
        <v/>
      </c>
      <c r="C1000" s="18"/>
      <c r="D1000" s="19" t="str">
        <f>IF(Tabela2[[#This Row],[AGRUPADOR]]&lt;&gt;"",VLOOKUP(Tabela2[[#This Row],[AGRUPADOR]],Tabela1[],2,0),"")</f>
        <v/>
      </c>
      <c r="E1000" s="19" t="str">
        <f>IF(Tabela2[[#This Row],[AGRUPADOR]]&lt;&gt;"",VLOOKUP(Tabela2[[#This Row],[AGRUPADOR]],Tabela1[],4,0),"")</f>
        <v/>
      </c>
      <c r="F1000" s="14"/>
      <c r="G1000" s="6"/>
      <c r="H1000" s="6"/>
      <c r="I1000" s="25"/>
      <c r="J1000" s="7"/>
      <c r="K1000" s="15"/>
      <c r="L1000" s="379">
        <f>IF(H1000&lt;&gt;"",J1000*K1000,SUMIFS(L1001:L$9844,$F1001:$F$9844,"*"&amp;F1000&amp;"*",$H1001:$H$9844,"&lt;&gt;"))</f>
        <v>0</v>
      </c>
      <c r="M1000" s="379" t="str">
        <f>IF(Tabela2[[#This Row],[UNID.]]&lt;&gt;"",IFERROR(VLOOKUP(Tabela2[[#This Row],[AGRUPADOR]],Lucratividade!$D$4:$O$129,6,0),0),"")</f>
        <v/>
      </c>
      <c r="N1000" s="379">
        <f>IF(H1000&lt;&gt;"",J1000*M1000*I1000,SUMIFS(N1001:N$9844,$F1001:$F$9844,"*"&amp;F1000&amp;"*",$H1001:$H$9844,"&lt;&gt;"))</f>
        <v>0</v>
      </c>
      <c r="O1000" s="162" t="str">
        <f>IFERROR((-Tabela2[[#This Row],[CUSTO TOTAL]]+Tabela2[[#This Row],[VENDA TOTAL]])/Tabela2[[#This Row],[VENDA TOTAL]]-PARAMETROS!$C$19,"")</f>
        <v/>
      </c>
      <c r="AA1000" s="219">
        <f>SUM(Plan_Orc[[#This Row],[01/jan]:[01/dez]])</f>
        <v>0</v>
      </c>
      <c r="AB1000" s="15"/>
      <c r="AC1000" s="15"/>
      <c r="AD1000" s="15"/>
      <c r="AE1000" s="15"/>
      <c r="AF1000" s="15"/>
      <c r="AG1000" s="15"/>
      <c r="AH1000" s="15"/>
      <c r="AI1000" s="15"/>
      <c r="AJ1000" s="15"/>
      <c r="AK1000" s="15"/>
      <c r="AL1000" s="15"/>
      <c r="AM1000" s="15"/>
    </row>
    <row r="1001" spans="2:39" ht="25.2" customHeight="1" x14ac:dyDescent="0.3">
      <c r="B1001" s="13" t="str">
        <f t="shared" si="19"/>
        <v/>
      </c>
      <c r="C1001" s="18"/>
      <c r="D1001" s="19" t="str">
        <f>IF(Tabela2[[#This Row],[AGRUPADOR]]&lt;&gt;"",VLOOKUP(Tabela2[[#This Row],[AGRUPADOR]],Tabela1[],2,0),"")</f>
        <v/>
      </c>
      <c r="E1001" s="19" t="str">
        <f>IF(Tabela2[[#This Row],[AGRUPADOR]]&lt;&gt;"",VLOOKUP(Tabela2[[#This Row],[AGRUPADOR]],Tabela1[],4,0),"")</f>
        <v/>
      </c>
      <c r="F1001" s="14"/>
      <c r="G1001" s="6"/>
      <c r="H1001" s="6"/>
      <c r="I1001" s="25"/>
      <c r="J1001" s="7"/>
      <c r="K1001" s="15"/>
      <c r="L1001" s="379">
        <f>IF(H1001&lt;&gt;"",J1001*K1001,SUMIFS(L1002:L$9844,$F1002:$F$9844,"*"&amp;F1001&amp;"*",$H1002:$H$9844,"&lt;&gt;"))</f>
        <v>0</v>
      </c>
      <c r="M1001" s="379" t="str">
        <f>IF(Tabela2[[#This Row],[UNID.]]&lt;&gt;"",IFERROR(VLOOKUP(Tabela2[[#This Row],[AGRUPADOR]],Lucratividade!$D$4:$O$129,6,0),0),"")</f>
        <v/>
      </c>
      <c r="N1001" s="379">
        <f>IF(H1001&lt;&gt;"",J1001*M1001*I1001,SUMIFS(N1002:N$9844,$F1002:$F$9844,"*"&amp;F1001&amp;"*",$H1002:$H$9844,"&lt;&gt;"))</f>
        <v>0</v>
      </c>
      <c r="O1001" s="162" t="str">
        <f>IFERROR((-Tabela2[[#This Row],[CUSTO TOTAL]]+Tabela2[[#This Row],[VENDA TOTAL]])/Tabela2[[#This Row],[VENDA TOTAL]]-PARAMETROS!$C$19,"")</f>
        <v/>
      </c>
      <c r="AA1001" s="219">
        <f>SUM(Plan_Orc[[#This Row],[01/jan]:[01/dez]])</f>
        <v>0</v>
      </c>
      <c r="AB1001" s="15"/>
      <c r="AC1001" s="15"/>
      <c r="AD1001" s="15"/>
      <c r="AE1001" s="15"/>
      <c r="AF1001" s="15"/>
      <c r="AG1001" s="15"/>
      <c r="AH1001" s="15"/>
      <c r="AI1001" s="15"/>
      <c r="AJ1001" s="15"/>
      <c r="AK1001" s="15"/>
      <c r="AL1001" s="15"/>
      <c r="AM1001" s="15"/>
    </row>
    <row r="1002" spans="2:39" ht="25.2" customHeight="1" x14ac:dyDescent="0.3">
      <c r="B1002" s="13" t="str">
        <f t="shared" si="19"/>
        <v/>
      </c>
      <c r="C1002" s="18"/>
      <c r="D1002" s="19" t="str">
        <f>IF(Tabela2[[#This Row],[AGRUPADOR]]&lt;&gt;"",VLOOKUP(Tabela2[[#This Row],[AGRUPADOR]],Tabela1[],2,0),"")</f>
        <v/>
      </c>
      <c r="E1002" s="19" t="str">
        <f>IF(Tabela2[[#This Row],[AGRUPADOR]]&lt;&gt;"",VLOOKUP(Tabela2[[#This Row],[AGRUPADOR]],Tabela1[],4,0),"")</f>
        <v/>
      </c>
      <c r="F1002" s="14"/>
      <c r="G1002" s="6"/>
      <c r="H1002" s="6"/>
      <c r="I1002" s="25"/>
      <c r="J1002" s="7"/>
      <c r="K1002" s="15"/>
      <c r="L1002" s="379">
        <f>IF(H1002&lt;&gt;"",J1002*K1002,SUMIFS(L1003:L$9844,$F1003:$F$9844,"*"&amp;F1002&amp;"*",$H1003:$H$9844,"&lt;&gt;"))</f>
        <v>0</v>
      </c>
      <c r="M1002" s="379" t="str">
        <f>IF(Tabela2[[#This Row],[UNID.]]&lt;&gt;"",IFERROR(VLOOKUP(Tabela2[[#This Row],[AGRUPADOR]],Lucratividade!$D$4:$O$129,6,0),0),"")</f>
        <v/>
      </c>
      <c r="N1002" s="379">
        <f>IF(H1002&lt;&gt;"",J1002*M1002*I1002,SUMIFS(N1003:N$9844,$F1003:$F$9844,"*"&amp;F1002&amp;"*",$H1003:$H$9844,"&lt;&gt;"))</f>
        <v>0</v>
      </c>
      <c r="O1002" s="162" t="str">
        <f>IFERROR((-Tabela2[[#This Row],[CUSTO TOTAL]]+Tabela2[[#This Row],[VENDA TOTAL]])/Tabela2[[#This Row],[VENDA TOTAL]]-PARAMETROS!$C$19,"")</f>
        <v/>
      </c>
      <c r="AA1002" s="220">
        <f>SUM(Plan_Orc[[#This Row],[01/jan]:[01/dez]])</f>
        <v>0</v>
      </c>
      <c r="AB1002" s="9"/>
      <c r="AC1002" s="9"/>
      <c r="AD1002" s="9"/>
      <c r="AE1002" s="9"/>
      <c r="AF1002" s="9"/>
      <c r="AG1002" s="9"/>
      <c r="AH1002" s="9"/>
      <c r="AI1002" s="9"/>
      <c r="AJ1002" s="9"/>
      <c r="AK1002" s="9"/>
      <c r="AL1002" s="9"/>
      <c r="AM1002" s="9"/>
    </row>
    <row r="1003" spans="2:39" ht="25.2" customHeight="1" x14ac:dyDescent="0.3">
      <c r="B1003" s="13" t="str">
        <f t="shared" si="19"/>
        <v/>
      </c>
      <c r="C1003" s="18"/>
      <c r="D1003" s="19" t="str">
        <f>IF(Tabela2[[#This Row],[AGRUPADOR]]&lt;&gt;"",VLOOKUP(Tabela2[[#This Row],[AGRUPADOR]],Tabela1[],2,0),"")</f>
        <v/>
      </c>
      <c r="E1003" s="19" t="str">
        <f>IF(Tabela2[[#This Row],[AGRUPADOR]]&lt;&gt;"",VLOOKUP(Tabela2[[#This Row],[AGRUPADOR]],Tabela1[],4,0),"")</f>
        <v/>
      </c>
      <c r="F1003" s="14"/>
      <c r="G1003" s="6"/>
      <c r="H1003" s="6"/>
      <c r="I1003" s="25"/>
      <c r="J1003" s="7"/>
      <c r="K1003" s="15"/>
      <c r="L1003" s="379">
        <f>IF(H1003&lt;&gt;"",J1003*K1003,SUMIFS(L1004:L$9844,$F1004:$F$9844,"*"&amp;F1003&amp;"*",$H1004:$H$9844,"&lt;&gt;"))</f>
        <v>0</v>
      </c>
      <c r="M1003" s="379" t="str">
        <f>IF(Tabela2[[#This Row],[UNID.]]&lt;&gt;"",IFERROR(VLOOKUP(Tabela2[[#This Row],[AGRUPADOR]],Lucratividade!$D$4:$O$129,6,0),0),"")</f>
        <v/>
      </c>
      <c r="N1003" s="379">
        <f>IF(H1003&lt;&gt;"",J1003*M1003*I1003,SUMIFS(N1004:N$9844,$F1004:$F$9844,"*"&amp;F1003&amp;"*",$H1004:$H$9844,"&lt;&gt;"))</f>
        <v>0</v>
      </c>
      <c r="O1003" s="162" t="str">
        <f>IFERROR((-Tabela2[[#This Row],[CUSTO TOTAL]]+Tabela2[[#This Row],[VENDA TOTAL]])/Tabela2[[#This Row],[VENDA TOTAL]]-PARAMETROS!$C$19,"")</f>
        <v/>
      </c>
      <c r="AA1003" s="218">
        <f>SUM(Plan_Orc[[#This Row],[01/jan]:[01/dez]])</f>
        <v>0</v>
      </c>
      <c r="AB1003" s="12"/>
      <c r="AC1003" s="12"/>
      <c r="AD1003" s="12"/>
      <c r="AE1003" s="12"/>
      <c r="AF1003" s="12"/>
      <c r="AG1003" s="12"/>
      <c r="AH1003" s="12"/>
      <c r="AI1003" s="12"/>
      <c r="AJ1003" s="12"/>
      <c r="AK1003" s="12"/>
      <c r="AL1003" s="12"/>
      <c r="AM1003" s="12"/>
    </row>
    <row r="1004" spans="2:39" ht="25.2" customHeight="1" x14ac:dyDescent="0.3">
      <c r="B1004" s="13" t="str">
        <f t="shared" si="19"/>
        <v/>
      </c>
      <c r="C1004" s="18"/>
      <c r="D1004" s="19" t="str">
        <f>IF(Tabela2[[#This Row],[AGRUPADOR]]&lt;&gt;"",VLOOKUP(Tabela2[[#This Row],[AGRUPADOR]],Tabela1[],2,0),"")</f>
        <v/>
      </c>
      <c r="E1004" s="19" t="str">
        <f>IF(Tabela2[[#This Row],[AGRUPADOR]]&lt;&gt;"",VLOOKUP(Tabela2[[#This Row],[AGRUPADOR]],Tabela1[],4,0),"")</f>
        <v/>
      </c>
      <c r="F1004" s="14"/>
      <c r="G1004" s="6"/>
      <c r="H1004" s="6"/>
      <c r="I1004" s="25"/>
      <c r="J1004" s="7"/>
      <c r="K1004" s="15"/>
      <c r="L1004" s="379">
        <f>IF(H1004&lt;&gt;"",J1004*K1004,SUMIFS(L1005:L$9844,$F1005:$F$9844,"*"&amp;F1004&amp;"*",$H1005:$H$9844,"&lt;&gt;"))</f>
        <v>0</v>
      </c>
      <c r="M1004" s="379" t="str">
        <f>IF(Tabela2[[#This Row],[UNID.]]&lt;&gt;"",IFERROR(VLOOKUP(Tabela2[[#This Row],[AGRUPADOR]],Lucratividade!$D$4:$O$129,6,0),0),"")</f>
        <v/>
      </c>
      <c r="N1004" s="379">
        <f>IF(H1004&lt;&gt;"",J1004*M1004*I1004,SUMIFS(N1005:N$9844,$F1005:$F$9844,"*"&amp;F1004&amp;"*",$H1005:$H$9844,"&lt;&gt;"))</f>
        <v>0</v>
      </c>
      <c r="O1004" s="162" t="str">
        <f>IFERROR((-Tabela2[[#This Row],[CUSTO TOTAL]]+Tabela2[[#This Row],[VENDA TOTAL]])/Tabela2[[#This Row],[VENDA TOTAL]]-PARAMETROS!$C$19,"")</f>
        <v/>
      </c>
      <c r="AA1004" s="219">
        <f>SUM(Plan_Orc[[#This Row],[01/jan]:[01/dez]])</f>
        <v>0</v>
      </c>
      <c r="AB1004" s="15"/>
      <c r="AC1004" s="15"/>
      <c r="AD1004" s="15"/>
      <c r="AE1004" s="15"/>
      <c r="AF1004" s="15"/>
      <c r="AG1004" s="15"/>
      <c r="AH1004" s="15"/>
      <c r="AI1004" s="15"/>
      <c r="AJ1004" s="15"/>
      <c r="AK1004" s="15"/>
      <c r="AL1004" s="15"/>
      <c r="AM1004" s="15"/>
    </row>
    <row r="1005" spans="2:39" ht="25.2" customHeight="1" x14ac:dyDescent="0.3">
      <c r="B1005" s="13" t="str">
        <f t="shared" si="19"/>
        <v/>
      </c>
      <c r="C1005" s="18"/>
      <c r="D1005" s="19" t="str">
        <f>IF(Tabela2[[#This Row],[AGRUPADOR]]&lt;&gt;"",VLOOKUP(Tabela2[[#This Row],[AGRUPADOR]],Tabela1[],2,0),"")</f>
        <v/>
      </c>
      <c r="E1005" s="19" t="str">
        <f>IF(Tabela2[[#This Row],[AGRUPADOR]]&lt;&gt;"",VLOOKUP(Tabela2[[#This Row],[AGRUPADOR]],Tabela1[],4,0),"")</f>
        <v/>
      </c>
      <c r="F1005" s="14"/>
      <c r="G1005" s="6"/>
      <c r="H1005" s="6"/>
      <c r="I1005" s="25"/>
      <c r="J1005" s="7"/>
      <c r="K1005" s="15"/>
      <c r="L1005" s="379">
        <f>IF(H1005&lt;&gt;"",J1005*K1005,SUMIFS(L1006:L$9844,$F1006:$F$9844,"*"&amp;F1005&amp;"*",$H1006:$H$9844,"&lt;&gt;"))</f>
        <v>0</v>
      </c>
      <c r="M1005" s="379" t="str">
        <f>IF(Tabela2[[#This Row],[UNID.]]&lt;&gt;"",IFERROR(VLOOKUP(Tabela2[[#This Row],[AGRUPADOR]],Lucratividade!$D$4:$O$129,6,0),0),"")</f>
        <v/>
      </c>
      <c r="N1005" s="379">
        <f>IF(H1005&lt;&gt;"",J1005*M1005*I1005,SUMIFS(N1006:N$9844,$F1006:$F$9844,"*"&amp;F1005&amp;"*",$H1006:$H$9844,"&lt;&gt;"))</f>
        <v>0</v>
      </c>
      <c r="O1005" s="162" t="str">
        <f>IFERROR((-Tabela2[[#This Row],[CUSTO TOTAL]]+Tabela2[[#This Row],[VENDA TOTAL]])/Tabela2[[#This Row],[VENDA TOTAL]]-PARAMETROS!$C$19,"")</f>
        <v/>
      </c>
      <c r="AA1005" s="222">
        <f>SUM(Plan_Orc[[#This Row],[01/jan]:[01/dez]])</f>
        <v>0</v>
      </c>
      <c r="AB1005" s="161"/>
      <c r="AC1005" s="161"/>
      <c r="AD1005" s="161"/>
      <c r="AE1005" s="161"/>
      <c r="AF1005" s="161"/>
      <c r="AG1005" s="161"/>
      <c r="AH1005" s="161"/>
      <c r="AI1005" s="161"/>
      <c r="AJ1005" s="161"/>
      <c r="AK1005" s="161"/>
      <c r="AL1005" s="161"/>
      <c r="AM1005" s="161"/>
    </row>
    <row r="1006" spans="2:39" ht="25.2" customHeight="1" x14ac:dyDescent="0.3">
      <c r="B1006" s="13" t="str">
        <f t="shared" si="19"/>
        <v/>
      </c>
      <c r="C1006" s="18"/>
      <c r="D1006" s="19" t="str">
        <f>IF(Tabela2[[#This Row],[AGRUPADOR]]&lt;&gt;"",VLOOKUP(Tabela2[[#This Row],[AGRUPADOR]],Tabela1[],2,0),"")</f>
        <v/>
      </c>
      <c r="E1006" s="19" t="str">
        <f>IF(Tabela2[[#This Row],[AGRUPADOR]]&lt;&gt;"",VLOOKUP(Tabela2[[#This Row],[AGRUPADOR]],Tabela1[],4,0),"")</f>
        <v/>
      </c>
      <c r="F1006" s="14"/>
      <c r="G1006" s="6"/>
      <c r="H1006" s="6"/>
      <c r="I1006" s="25"/>
      <c r="J1006" s="7"/>
      <c r="K1006" s="15"/>
      <c r="L1006" s="379">
        <f>IF(H1006&lt;&gt;"",J1006*K1006,SUMIFS(L1007:L$9844,$F1007:$F$9844,"*"&amp;F1006&amp;"*",$H1007:$H$9844,"&lt;&gt;"))</f>
        <v>0</v>
      </c>
      <c r="M1006" s="379" t="str">
        <f>IF(Tabela2[[#This Row],[UNID.]]&lt;&gt;"",IFERROR(VLOOKUP(Tabela2[[#This Row],[AGRUPADOR]],Lucratividade!$D$4:$O$129,6,0),0),"")</f>
        <v/>
      </c>
      <c r="N1006" s="379">
        <f>IF(H1006&lt;&gt;"",J1006*M1006*I1006,SUMIFS(N1007:N$9844,$F1007:$F$9844,"*"&amp;F1006&amp;"*",$H1007:$H$9844,"&lt;&gt;"))</f>
        <v>0</v>
      </c>
      <c r="O1006" s="162" t="str">
        <f>IFERROR((-Tabela2[[#This Row],[CUSTO TOTAL]]+Tabela2[[#This Row],[VENDA TOTAL]])/Tabela2[[#This Row],[VENDA TOTAL]]-PARAMETROS!$C$19,"")</f>
        <v/>
      </c>
      <c r="AA1006" s="217">
        <f>SUM(Plan_Orc[[#This Row],[01/jan]:[01/dez]])</f>
        <v>0</v>
      </c>
      <c r="AB1006" s="202"/>
      <c r="AC1006" s="202"/>
      <c r="AD1006" s="202"/>
      <c r="AE1006" s="202"/>
      <c r="AF1006" s="202"/>
      <c r="AG1006" s="202"/>
      <c r="AH1006" s="202"/>
      <c r="AI1006" s="202"/>
      <c r="AJ1006" s="202"/>
      <c r="AK1006" s="202"/>
      <c r="AL1006" s="202"/>
      <c r="AM1006" s="202"/>
    </row>
    <row r="1007" spans="2:39" ht="25.2" customHeight="1" x14ac:dyDescent="0.3">
      <c r="B1007" s="13" t="str">
        <f t="shared" si="19"/>
        <v/>
      </c>
      <c r="C1007" s="18"/>
      <c r="D1007" s="19" t="str">
        <f>IF(Tabela2[[#This Row],[AGRUPADOR]]&lt;&gt;"",VLOOKUP(Tabela2[[#This Row],[AGRUPADOR]],Tabela1[],2,0),"")</f>
        <v/>
      </c>
      <c r="E1007" s="19" t="str">
        <f>IF(Tabela2[[#This Row],[AGRUPADOR]]&lt;&gt;"",VLOOKUP(Tabela2[[#This Row],[AGRUPADOR]],Tabela1[],4,0),"")</f>
        <v/>
      </c>
      <c r="F1007" s="14"/>
      <c r="G1007" s="6"/>
      <c r="H1007" s="6"/>
      <c r="I1007" s="25"/>
      <c r="J1007" s="7"/>
      <c r="K1007" s="15"/>
      <c r="L1007" s="379">
        <f>IF(H1007&lt;&gt;"",J1007*K1007,SUMIFS(L1008:L$9844,$F1008:$F$9844,"*"&amp;F1007&amp;"*",$H1008:$H$9844,"&lt;&gt;"))</f>
        <v>0</v>
      </c>
      <c r="M1007" s="379" t="str">
        <f>IF(Tabela2[[#This Row],[UNID.]]&lt;&gt;"",IFERROR(VLOOKUP(Tabela2[[#This Row],[AGRUPADOR]],Lucratividade!$D$4:$O$129,6,0),0),"")</f>
        <v/>
      </c>
      <c r="N1007" s="379">
        <f>IF(H1007&lt;&gt;"",J1007*M1007*I1007,SUMIFS(N1008:N$9844,$F1008:$F$9844,"*"&amp;F1007&amp;"*",$H1008:$H$9844,"&lt;&gt;"))</f>
        <v>0</v>
      </c>
      <c r="O1007" s="162" t="str">
        <f>IFERROR((-Tabela2[[#This Row],[CUSTO TOTAL]]+Tabela2[[#This Row],[VENDA TOTAL]])/Tabela2[[#This Row],[VENDA TOTAL]]-PARAMETROS!$C$19,"")</f>
        <v/>
      </c>
      <c r="AA1007" s="218">
        <f>SUM(Plan_Orc[[#This Row],[01/jan]:[01/dez]])</f>
        <v>0</v>
      </c>
      <c r="AB1007" s="12"/>
      <c r="AC1007" s="12"/>
      <c r="AD1007" s="12"/>
      <c r="AE1007" s="12"/>
      <c r="AF1007" s="12"/>
      <c r="AG1007" s="12"/>
      <c r="AH1007" s="12"/>
      <c r="AI1007" s="12"/>
      <c r="AJ1007" s="12"/>
      <c r="AK1007" s="12"/>
      <c r="AL1007" s="12"/>
      <c r="AM1007" s="12"/>
    </row>
    <row r="1008" spans="2:39" ht="25.2" customHeight="1" x14ac:dyDescent="0.3">
      <c r="B1008" s="13" t="str">
        <f t="shared" si="19"/>
        <v/>
      </c>
      <c r="C1008" s="18"/>
      <c r="D1008" s="19" t="str">
        <f>IF(Tabela2[[#This Row],[AGRUPADOR]]&lt;&gt;"",VLOOKUP(Tabela2[[#This Row],[AGRUPADOR]],Tabela1[],2,0),"")</f>
        <v/>
      </c>
      <c r="E1008" s="19" t="str">
        <f>IF(Tabela2[[#This Row],[AGRUPADOR]]&lt;&gt;"",VLOOKUP(Tabela2[[#This Row],[AGRUPADOR]],Tabela1[],4,0),"")</f>
        <v/>
      </c>
      <c r="F1008" s="14"/>
      <c r="G1008" s="6"/>
      <c r="H1008" s="6"/>
      <c r="I1008" s="25"/>
      <c r="J1008" s="7"/>
      <c r="K1008" s="15"/>
      <c r="L1008" s="379">
        <f>IF(H1008&lt;&gt;"",J1008*K1008,SUMIFS(L1009:L$9844,$F1009:$F$9844,"*"&amp;F1008&amp;"*",$H1009:$H$9844,"&lt;&gt;"))</f>
        <v>0</v>
      </c>
      <c r="M1008" s="379" t="str">
        <f>IF(Tabela2[[#This Row],[UNID.]]&lt;&gt;"",IFERROR(VLOOKUP(Tabela2[[#This Row],[AGRUPADOR]],Lucratividade!$D$4:$O$129,6,0),0),"")</f>
        <v/>
      </c>
      <c r="N1008" s="379">
        <f>IF(H1008&lt;&gt;"",J1008*M1008*I1008,SUMIFS(N1009:N$9844,$F1009:$F$9844,"*"&amp;F1008&amp;"*",$H1009:$H$9844,"&lt;&gt;"))</f>
        <v>0</v>
      </c>
      <c r="O1008" s="162" t="str">
        <f>IFERROR((-Tabela2[[#This Row],[CUSTO TOTAL]]+Tabela2[[#This Row],[VENDA TOTAL]])/Tabela2[[#This Row],[VENDA TOTAL]]-PARAMETROS!$C$19,"")</f>
        <v/>
      </c>
      <c r="AA1008" s="219">
        <f>SUM(Plan_Orc[[#This Row],[01/jan]:[01/dez]])</f>
        <v>0</v>
      </c>
      <c r="AB1008" s="15"/>
      <c r="AC1008" s="15"/>
      <c r="AD1008" s="15"/>
      <c r="AE1008" s="15"/>
      <c r="AF1008" s="15"/>
      <c r="AG1008" s="15"/>
      <c r="AH1008" s="15"/>
      <c r="AI1008" s="15"/>
      <c r="AJ1008" s="15"/>
      <c r="AK1008" s="15"/>
      <c r="AL1008" s="15"/>
      <c r="AM1008" s="15"/>
    </row>
    <row r="1009" spans="2:39" ht="25.2" customHeight="1" x14ac:dyDescent="0.3">
      <c r="B1009" s="13" t="str">
        <f t="shared" si="19"/>
        <v/>
      </c>
      <c r="C1009" s="18"/>
      <c r="D1009" s="19" t="str">
        <f>IF(Tabela2[[#This Row],[AGRUPADOR]]&lt;&gt;"",VLOOKUP(Tabela2[[#This Row],[AGRUPADOR]],Tabela1[],2,0),"")</f>
        <v/>
      </c>
      <c r="E1009" s="19" t="str">
        <f>IF(Tabela2[[#This Row],[AGRUPADOR]]&lt;&gt;"",VLOOKUP(Tabela2[[#This Row],[AGRUPADOR]],Tabela1[],4,0),"")</f>
        <v/>
      </c>
      <c r="F1009" s="14"/>
      <c r="G1009" s="6"/>
      <c r="H1009" s="6"/>
      <c r="I1009" s="25"/>
      <c r="J1009" s="7"/>
      <c r="K1009" s="15"/>
      <c r="L1009" s="379">
        <f>IF(H1009&lt;&gt;"",J1009*K1009,SUMIFS(L1010:L$9844,$F1010:$F$9844,"*"&amp;F1009&amp;"*",$H1010:$H$9844,"&lt;&gt;"))</f>
        <v>0</v>
      </c>
      <c r="M1009" s="379" t="str">
        <f>IF(Tabela2[[#This Row],[UNID.]]&lt;&gt;"",IFERROR(VLOOKUP(Tabela2[[#This Row],[AGRUPADOR]],Lucratividade!$D$4:$O$129,6,0),0),"")</f>
        <v/>
      </c>
      <c r="N1009" s="379">
        <f>IF(H1009&lt;&gt;"",J1009*M1009*I1009,SUMIFS(N1010:N$9844,$F1010:$F$9844,"*"&amp;F1009&amp;"*",$H1010:$H$9844,"&lt;&gt;"))</f>
        <v>0</v>
      </c>
      <c r="O1009" s="162" t="str">
        <f>IFERROR((-Tabela2[[#This Row],[CUSTO TOTAL]]+Tabela2[[#This Row],[VENDA TOTAL]])/Tabela2[[#This Row],[VENDA TOTAL]]-PARAMETROS!$C$19,"")</f>
        <v/>
      </c>
      <c r="AA1009" s="217">
        <f>SUM(Plan_Orc[[#This Row],[01/jan]:[01/dez]])</f>
        <v>0</v>
      </c>
      <c r="AB1009" s="202"/>
      <c r="AC1009" s="202"/>
      <c r="AD1009" s="202"/>
      <c r="AE1009" s="202"/>
      <c r="AF1009" s="202"/>
      <c r="AG1009" s="202"/>
      <c r="AH1009" s="202"/>
      <c r="AI1009" s="202"/>
      <c r="AJ1009" s="202"/>
      <c r="AK1009" s="202"/>
      <c r="AL1009" s="202"/>
      <c r="AM1009" s="202"/>
    </row>
    <row r="1010" spans="2:39" ht="25.2" customHeight="1" x14ac:dyDescent="0.3">
      <c r="B1010" s="13" t="str">
        <f t="shared" si="19"/>
        <v/>
      </c>
      <c r="C1010" s="18"/>
      <c r="D1010" s="19" t="str">
        <f>IF(Tabela2[[#This Row],[AGRUPADOR]]&lt;&gt;"",VLOOKUP(Tabela2[[#This Row],[AGRUPADOR]],Tabela1[],2,0),"")</f>
        <v/>
      </c>
      <c r="E1010" s="19" t="str">
        <f>IF(Tabela2[[#This Row],[AGRUPADOR]]&lt;&gt;"",VLOOKUP(Tabela2[[#This Row],[AGRUPADOR]],Tabela1[],4,0),"")</f>
        <v/>
      </c>
      <c r="F1010" s="14"/>
      <c r="G1010" s="6"/>
      <c r="H1010" s="6"/>
      <c r="I1010" s="25"/>
      <c r="J1010" s="7"/>
      <c r="K1010" s="15"/>
      <c r="L1010" s="379">
        <f>IF(H1010&lt;&gt;"",J1010*K1010,SUMIFS(L1011:L$9844,$F1011:$F$9844,"*"&amp;F1010&amp;"*",$H1011:$H$9844,"&lt;&gt;"))</f>
        <v>0</v>
      </c>
      <c r="M1010" s="379" t="str">
        <f>IF(Tabela2[[#This Row],[UNID.]]&lt;&gt;"",IFERROR(VLOOKUP(Tabela2[[#This Row],[AGRUPADOR]],Lucratividade!$D$4:$O$129,6,0),0),"")</f>
        <v/>
      </c>
      <c r="N1010" s="379">
        <f>IF(H1010&lt;&gt;"",J1010*M1010*I1010,SUMIFS(N1011:N$9844,$F1011:$F$9844,"*"&amp;F1010&amp;"*",$H1011:$H$9844,"&lt;&gt;"))</f>
        <v>0</v>
      </c>
      <c r="O1010" s="162" t="str">
        <f>IFERROR((-Tabela2[[#This Row],[CUSTO TOTAL]]+Tabela2[[#This Row],[VENDA TOTAL]])/Tabela2[[#This Row],[VENDA TOTAL]]-PARAMETROS!$C$19,"")</f>
        <v/>
      </c>
      <c r="AA1010" s="218">
        <f>SUM(Plan_Orc[[#This Row],[01/jan]:[01/dez]])</f>
        <v>0</v>
      </c>
      <c r="AB1010" s="12"/>
      <c r="AC1010" s="12"/>
      <c r="AD1010" s="12"/>
      <c r="AE1010" s="12"/>
      <c r="AF1010" s="12"/>
      <c r="AG1010" s="12"/>
      <c r="AH1010" s="12"/>
      <c r="AI1010" s="12"/>
      <c r="AJ1010" s="12"/>
      <c r="AK1010" s="12"/>
      <c r="AL1010" s="12"/>
      <c r="AM1010" s="12"/>
    </row>
    <row r="1011" spans="2:39" ht="25.2" customHeight="1" x14ac:dyDescent="0.3">
      <c r="B1011" s="13" t="str">
        <f t="shared" si="19"/>
        <v/>
      </c>
      <c r="C1011" s="18"/>
      <c r="D1011" s="19" t="str">
        <f>IF(Tabela2[[#This Row],[AGRUPADOR]]&lt;&gt;"",VLOOKUP(Tabela2[[#This Row],[AGRUPADOR]],Tabela1[],2,0),"")</f>
        <v/>
      </c>
      <c r="E1011" s="19" t="str">
        <f>IF(Tabela2[[#This Row],[AGRUPADOR]]&lt;&gt;"",VLOOKUP(Tabela2[[#This Row],[AGRUPADOR]],Tabela1[],4,0),"")</f>
        <v/>
      </c>
      <c r="F1011" s="14"/>
      <c r="G1011" s="6"/>
      <c r="H1011" s="6"/>
      <c r="I1011" s="25"/>
      <c r="J1011" s="7"/>
      <c r="K1011" s="15"/>
      <c r="L1011" s="379">
        <f>IF(H1011&lt;&gt;"",J1011*K1011,SUMIFS(L1012:L$9844,$F1012:$F$9844,"*"&amp;F1011&amp;"*",$H1012:$H$9844,"&lt;&gt;"))</f>
        <v>0</v>
      </c>
      <c r="M1011" s="379" t="str">
        <f>IF(Tabela2[[#This Row],[UNID.]]&lt;&gt;"",IFERROR(VLOOKUP(Tabela2[[#This Row],[AGRUPADOR]],Lucratividade!$D$4:$O$129,6,0),0),"")</f>
        <v/>
      </c>
      <c r="N1011" s="379">
        <f>IF(H1011&lt;&gt;"",J1011*M1011*I1011,SUMIFS(N1012:N$9844,$F1012:$F$9844,"*"&amp;F1011&amp;"*",$H1012:$H$9844,"&lt;&gt;"))</f>
        <v>0</v>
      </c>
      <c r="O1011" s="162" t="str">
        <f>IFERROR((-Tabela2[[#This Row],[CUSTO TOTAL]]+Tabela2[[#This Row],[VENDA TOTAL]])/Tabela2[[#This Row],[VENDA TOTAL]]-PARAMETROS!$C$19,"")</f>
        <v/>
      </c>
      <c r="AA1011" s="219">
        <f>SUM(Plan_Orc[[#This Row],[01/jan]:[01/dez]])</f>
        <v>0</v>
      </c>
      <c r="AB1011" s="15"/>
      <c r="AC1011" s="15"/>
      <c r="AD1011" s="15"/>
      <c r="AE1011" s="15"/>
      <c r="AF1011" s="15"/>
      <c r="AG1011" s="15"/>
      <c r="AH1011" s="15"/>
      <c r="AI1011" s="15"/>
      <c r="AJ1011" s="15"/>
      <c r="AK1011" s="15"/>
      <c r="AL1011" s="15"/>
      <c r="AM1011" s="15"/>
    </row>
    <row r="1012" spans="2:39" ht="25.2" customHeight="1" x14ac:dyDescent="0.3">
      <c r="B1012" s="13" t="str">
        <f t="shared" si="19"/>
        <v/>
      </c>
      <c r="C1012" s="18"/>
      <c r="D1012" s="19" t="str">
        <f>IF(Tabela2[[#This Row],[AGRUPADOR]]&lt;&gt;"",VLOOKUP(Tabela2[[#This Row],[AGRUPADOR]],Tabela1[],2,0),"")</f>
        <v/>
      </c>
      <c r="E1012" s="19" t="str">
        <f>IF(Tabela2[[#This Row],[AGRUPADOR]]&lt;&gt;"",VLOOKUP(Tabela2[[#This Row],[AGRUPADOR]],Tabela1[],4,0),"")</f>
        <v/>
      </c>
      <c r="F1012" s="14"/>
      <c r="G1012" s="6"/>
      <c r="H1012" s="6"/>
      <c r="I1012" s="25"/>
      <c r="J1012" s="7"/>
      <c r="K1012" s="15"/>
      <c r="L1012" s="379">
        <f>IF(H1012&lt;&gt;"",J1012*K1012,SUMIFS(L1013:L$9844,$F1013:$F$9844,"*"&amp;F1012&amp;"*",$H1013:$H$9844,"&lt;&gt;"))</f>
        <v>0</v>
      </c>
      <c r="M1012" s="379" t="str">
        <f>IF(Tabela2[[#This Row],[UNID.]]&lt;&gt;"",IFERROR(VLOOKUP(Tabela2[[#This Row],[AGRUPADOR]],Lucratividade!$D$4:$O$129,6,0),0),"")</f>
        <v/>
      </c>
      <c r="N1012" s="379">
        <f>IF(H1012&lt;&gt;"",J1012*M1012*I1012,SUMIFS(N1013:N$9844,$F1013:$F$9844,"*"&amp;F1012&amp;"*",$H1013:$H$9844,"&lt;&gt;"))</f>
        <v>0</v>
      </c>
      <c r="O1012" s="162" t="str">
        <f>IFERROR((-Tabela2[[#This Row],[CUSTO TOTAL]]+Tabela2[[#This Row],[VENDA TOTAL]])/Tabela2[[#This Row],[VENDA TOTAL]]-PARAMETROS!$C$19,"")</f>
        <v/>
      </c>
      <c r="AA1012" s="219">
        <f>SUM(Plan_Orc[[#This Row],[01/jan]:[01/dez]])</f>
        <v>0</v>
      </c>
      <c r="AB1012" s="15"/>
      <c r="AC1012" s="15"/>
      <c r="AD1012" s="15"/>
      <c r="AE1012" s="15"/>
      <c r="AF1012" s="15"/>
      <c r="AG1012" s="15"/>
      <c r="AH1012" s="15"/>
      <c r="AI1012" s="15"/>
      <c r="AJ1012" s="15"/>
      <c r="AK1012" s="15"/>
      <c r="AL1012" s="15"/>
      <c r="AM1012" s="15"/>
    </row>
    <row r="1013" spans="2:39" ht="25.2" customHeight="1" x14ac:dyDescent="0.3">
      <c r="B1013" s="13" t="str">
        <f t="shared" si="19"/>
        <v/>
      </c>
      <c r="C1013" s="18"/>
      <c r="D1013" s="19" t="str">
        <f>IF(Tabela2[[#This Row],[AGRUPADOR]]&lt;&gt;"",VLOOKUP(Tabela2[[#This Row],[AGRUPADOR]],Tabela1[],2,0),"")</f>
        <v/>
      </c>
      <c r="E1013" s="19" t="str">
        <f>IF(Tabela2[[#This Row],[AGRUPADOR]]&lt;&gt;"",VLOOKUP(Tabela2[[#This Row],[AGRUPADOR]],Tabela1[],4,0),"")</f>
        <v/>
      </c>
      <c r="F1013" s="14"/>
      <c r="G1013" s="6"/>
      <c r="H1013" s="6"/>
      <c r="I1013" s="25"/>
      <c r="J1013" s="7"/>
      <c r="K1013" s="15"/>
      <c r="L1013" s="379">
        <f>IF(H1013&lt;&gt;"",J1013*K1013,SUMIFS(L1014:L$9844,$F1014:$F$9844,"*"&amp;F1013&amp;"*",$H1014:$H$9844,"&lt;&gt;"))</f>
        <v>0</v>
      </c>
      <c r="M1013" s="379" t="str">
        <f>IF(Tabela2[[#This Row],[UNID.]]&lt;&gt;"",IFERROR(VLOOKUP(Tabela2[[#This Row],[AGRUPADOR]],Lucratividade!$D$4:$O$129,6,0),0),"")</f>
        <v/>
      </c>
      <c r="N1013" s="379">
        <f>IF(H1013&lt;&gt;"",J1013*M1013*I1013,SUMIFS(N1014:N$9844,$F1014:$F$9844,"*"&amp;F1013&amp;"*",$H1014:$H$9844,"&lt;&gt;"))</f>
        <v>0</v>
      </c>
      <c r="O1013" s="162" t="str">
        <f>IFERROR((-Tabela2[[#This Row],[CUSTO TOTAL]]+Tabela2[[#This Row],[VENDA TOTAL]])/Tabela2[[#This Row],[VENDA TOTAL]]-PARAMETROS!$C$19,"")</f>
        <v/>
      </c>
      <c r="AA1013" s="219">
        <f>SUM(Plan_Orc[[#This Row],[01/jan]:[01/dez]])</f>
        <v>0</v>
      </c>
      <c r="AB1013" s="15"/>
      <c r="AC1013" s="15"/>
      <c r="AD1013" s="15"/>
      <c r="AE1013" s="15"/>
      <c r="AF1013" s="15"/>
      <c r="AG1013" s="15"/>
      <c r="AH1013" s="15"/>
      <c r="AI1013" s="15"/>
      <c r="AJ1013" s="15"/>
      <c r="AK1013" s="15"/>
      <c r="AL1013" s="15"/>
      <c r="AM1013" s="15"/>
    </row>
    <row r="1014" spans="2:39" ht="25.2" customHeight="1" x14ac:dyDescent="0.3">
      <c r="B1014" s="13" t="str">
        <f t="shared" si="19"/>
        <v/>
      </c>
      <c r="C1014" s="18"/>
      <c r="D1014" s="19" t="str">
        <f>IF(Tabela2[[#This Row],[AGRUPADOR]]&lt;&gt;"",VLOOKUP(Tabela2[[#This Row],[AGRUPADOR]],Tabela1[],2,0),"")</f>
        <v/>
      </c>
      <c r="E1014" s="19" t="str">
        <f>IF(Tabela2[[#This Row],[AGRUPADOR]]&lt;&gt;"",VLOOKUP(Tabela2[[#This Row],[AGRUPADOR]],Tabela1[],4,0),"")</f>
        <v/>
      </c>
      <c r="F1014" s="14"/>
      <c r="G1014" s="6"/>
      <c r="H1014" s="6"/>
      <c r="I1014" s="25"/>
      <c r="J1014" s="7"/>
      <c r="K1014" s="15"/>
      <c r="L1014" s="379">
        <f>IF(H1014&lt;&gt;"",J1014*K1014,SUMIFS(L1015:L$9844,$F1015:$F$9844,"*"&amp;F1014&amp;"*",$H1015:$H$9844,"&lt;&gt;"))</f>
        <v>0</v>
      </c>
      <c r="M1014" s="379" t="str">
        <f>IF(Tabela2[[#This Row],[UNID.]]&lt;&gt;"",IFERROR(VLOOKUP(Tabela2[[#This Row],[AGRUPADOR]],Lucratividade!$D$4:$O$129,6,0),0),"")</f>
        <v/>
      </c>
      <c r="N1014" s="379">
        <f>IF(H1014&lt;&gt;"",J1014*M1014*I1014,SUMIFS(N1015:N$9844,$F1015:$F$9844,"*"&amp;F1014&amp;"*",$H1015:$H$9844,"&lt;&gt;"))</f>
        <v>0</v>
      </c>
      <c r="O1014" s="162" t="str">
        <f>IFERROR((-Tabela2[[#This Row],[CUSTO TOTAL]]+Tabela2[[#This Row],[VENDA TOTAL]])/Tabela2[[#This Row],[VENDA TOTAL]]-PARAMETROS!$C$19,"")</f>
        <v/>
      </c>
      <c r="AA1014" s="219">
        <f>SUM(Plan_Orc[[#This Row],[01/jan]:[01/dez]])</f>
        <v>0</v>
      </c>
      <c r="AB1014" s="15"/>
      <c r="AC1014" s="15"/>
      <c r="AD1014" s="15"/>
      <c r="AE1014" s="15"/>
      <c r="AF1014" s="15"/>
      <c r="AG1014" s="15"/>
      <c r="AH1014" s="15"/>
      <c r="AI1014" s="15"/>
      <c r="AJ1014" s="15"/>
      <c r="AK1014" s="15"/>
      <c r="AL1014" s="15"/>
      <c r="AM1014" s="15"/>
    </row>
    <row r="1015" spans="2:39" ht="25.2" customHeight="1" x14ac:dyDescent="0.3">
      <c r="B1015" s="13" t="str">
        <f t="shared" si="19"/>
        <v/>
      </c>
      <c r="C1015" s="18"/>
      <c r="D1015" s="19" t="str">
        <f>IF(Tabela2[[#This Row],[AGRUPADOR]]&lt;&gt;"",VLOOKUP(Tabela2[[#This Row],[AGRUPADOR]],Tabela1[],2,0),"")</f>
        <v/>
      </c>
      <c r="E1015" s="19" t="str">
        <f>IF(Tabela2[[#This Row],[AGRUPADOR]]&lt;&gt;"",VLOOKUP(Tabela2[[#This Row],[AGRUPADOR]],Tabela1[],4,0),"")</f>
        <v/>
      </c>
      <c r="F1015" s="14"/>
      <c r="G1015" s="6"/>
      <c r="H1015" s="6"/>
      <c r="I1015" s="25"/>
      <c r="J1015" s="7"/>
      <c r="K1015" s="15"/>
      <c r="L1015" s="379">
        <f>IF(H1015&lt;&gt;"",J1015*K1015,SUMIFS(L1016:L$9844,$F1016:$F$9844,"*"&amp;F1015&amp;"*",$H1016:$H$9844,"&lt;&gt;"))</f>
        <v>0</v>
      </c>
      <c r="M1015" s="379" t="str">
        <f>IF(Tabela2[[#This Row],[UNID.]]&lt;&gt;"",IFERROR(VLOOKUP(Tabela2[[#This Row],[AGRUPADOR]],Lucratividade!$D$4:$O$129,6,0),0),"")</f>
        <v/>
      </c>
      <c r="N1015" s="379">
        <f>IF(H1015&lt;&gt;"",J1015*M1015*I1015,SUMIFS(N1016:N$9844,$F1016:$F$9844,"*"&amp;F1015&amp;"*",$H1016:$H$9844,"&lt;&gt;"))</f>
        <v>0</v>
      </c>
      <c r="O1015" s="162" t="str">
        <f>IFERROR((-Tabela2[[#This Row],[CUSTO TOTAL]]+Tabela2[[#This Row],[VENDA TOTAL]])/Tabela2[[#This Row],[VENDA TOTAL]]-PARAMETROS!$C$19,"")</f>
        <v/>
      </c>
      <c r="AA1015" s="219">
        <f>SUM(Plan_Orc[[#This Row],[01/jan]:[01/dez]])</f>
        <v>0</v>
      </c>
      <c r="AB1015" s="15"/>
      <c r="AC1015" s="15"/>
      <c r="AD1015" s="15"/>
      <c r="AE1015" s="15"/>
      <c r="AF1015" s="15"/>
      <c r="AG1015" s="15"/>
      <c r="AH1015" s="15"/>
      <c r="AI1015" s="15"/>
      <c r="AJ1015" s="15"/>
      <c r="AK1015" s="15"/>
      <c r="AL1015" s="15"/>
      <c r="AM1015" s="15"/>
    </row>
    <row r="1016" spans="2:39" ht="25.2" customHeight="1" x14ac:dyDescent="0.3">
      <c r="B1016" s="13" t="str">
        <f t="shared" si="19"/>
        <v/>
      </c>
      <c r="C1016" s="18"/>
      <c r="D1016" s="19" t="str">
        <f>IF(Tabela2[[#This Row],[AGRUPADOR]]&lt;&gt;"",VLOOKUP(Tabela2[[#This Row],[AGRUPADOR]],Tabela1[],2,0),"")</f>
        <v/>
      </c>
      <c r="E1016" s="19" t="str">
        <f>IF(Tabela2[[#This Row],[AGRUPADOR]]&lt;&gt;"",VLOOKUP(Tabela2[[#This Row],[AGRUPADOR]],Tabela1[],4,0),"")</f>
        <v/>
      </c>
      <c r="F1016" s="14"/>
      <c r="G1016" s="6"/>
      <c r="H1016" s="6"/>
      <c r="I1016" s="25"/>
      <c r="J1016" s="7"/>
      <c r="K1016" s="15"/>
      <c r="L1016" s="379">
        <f>IF(H1016&lt;&gt;"",J1016*K1016,SUMIFS(L1017:L$9844,$F1017:$F$9844,"*"&amp;F1016&amp;"*",$H1017:$H$9844,"&lt;&gt;"))</f>
        <v>0</v>
      </c>
      <c r="M1016" s="379" t="str">
        <f>IF(Tabela2[[#This Row],[UNID.]]&lt;&gt;"",IFERROR(VLOOKUP(Tabela2[[#This Row],[AGRUPADOR]],Lucratividade!$D$4:$O$129,6,0),0),"")</f>
        <v/>
      </c>
      <c r="N1016" s="379">
        <f>IF(H1016&lt;&gt;"",J1016*M1016*I1016,SUMIFS(N1017:N$9844,$F1017:$F$9844,"*"&amp;F1016&amp;"*",$H1017:$H$9844,"&lt;&gt;"))</f>
        <v>0</v>
      </c>
      <c r="O1016" s="162" t="str">
        <f>IFERROR((-Tabela2[[#This Row],[CUSTO TOTAL]]+Tabela2[[#This Row],[VENDA TOTAL]])/Tabela2[[#This Row],[VENDA TOTAL]]-PARAMETROS!$C$19,"")</f>
        <v/>
      </c>
      <c r="AA1016" s="219">
        <f>SUM(Plan_Orc[[#This Row],[01/jan]:[01/dez]])</f>
        <v>0</v>
      </c>
      <c r="AB1016" s="15"/>
      <c r="AC1016" s="15"/>
      <c r="AD1016" s="15"/>
      <c r="AE1016" s="15"/>
      <c r="AF1016" s="15"/>
      <c r="AG1016" s="15"/>
      <c r="AH1016" s="15"/>
      <c r="AI1016" s="15"/>
      <c r="AJ1016" s="15"/>
      <c r="AK1016" s="15"/>
      <c r="AL1016" s="15"/>
      <c r="AM1016" s="15"/>
    </row>
    <row r="1017" spans="2:39" ht="25.2" customHeight="1" x14ac:dyDescent="0.3">
      <c r="B1017" s="13" t="str">
        <f t="shared" si="19"/>
        <v/>
      </c>
      <c r="C1017" s="18"/>
      <c r="D1017" s="19" t="str">
        <f>IF(Tabela2[[#This Row],[AGRUPADOR]]&lt;&gt;"",VLOOKUP(Tabela2[[#This Row],[AGRUPADOR]],Tabela1[],2,0),"")</f>
        <v/>
      </c>
      <c r="E1017" s="19" t="str">
        <f>IF(Tabela2[[#This Row],[AGRUPADOR]]&lt;&gt;"",VLOOKUP(Tabela2[[#This Row],[AGRUPADOR]],Tabela1[],4,0),"")</f>
        <v/>
      </c>
      <c r="F1017" s="14"/>
      <c r="G1017" s="6"/>
      <c r="H1017" s="6"/>
      <c r="I1017" s="25"/>
      <c r="J1017" s="7"/>
      <c r="K1017" s="15"/>
      <c r="L1017" s="379">
        <f>IF(H1017&lt;&gt;"",J1017*K1017,SUMIFS(L1018:L$9844,$F1018:$F$9844,"*"&amp;F1017&amp;"*",$H1018:$H$9844,"&lt;&gt;"))</f>
        <v>0</v>
      </c>
      <c r="M1017" s="379" t="str">
        <f>IF(Tabela2[[#This Row],[UNID.]]&lt;&gt;"",IFERROR(VLOOKUP(Tabela2[[#This Row],[AGRUPADOR]],Lucratividade!$D$4:$O$129,6,0),0),"")</f>
        <v/>
      </c>
      <c r="N1017" s="379">
        <f>IF(H1017&lt;&gt;"",J1017*M1017*I1017,SUMIFS(N1018:N$9844,$F1018:$F$9844,"*"&amp;F1017&amp;"*",$H1018:$H$9844,"&lt;&gt;"))</f>
        <v>0</v>
      </c>
      <c r="O1017" s="162" t="str">
        <f>IFERROR((-Tabela2[[#This Row],[CUSTO TOTAL]]+Tabela2[[#This Row],[VENDA TOTAL]])/Tabela2[[#This Row],[VENDA TOTAL]]-PARAMETROS!$C$19,"")</f>
        <v/>
      </c>
      <c r="AA1017" s="219">
        <f>SUM(Plan_Orc[[#This Row],[01/jan]:[01/dez]])</f>
        <v>0</v>
      </c>
      <c r="AB1017" s="15"/>
      <c r="AC1017" s="15"/>
      <c r="AD1017" s="15"/>
      <c r="AE1017" s="15"/>
      <c r="AF1017" s="15"/>
      <c r="AG1017" s="15"/>
      <c r="AH1017" s="15"/>
      <c r="AI1017" s="15"/>
      <c r="AJ1017" s="15"/>
      <c r="AK1017" s="15"/>
      <c r="AL1017" s="15"/>
      <c r="AM1017" s="15"/>
    </row>
    <row r="1018" spans="2:39" ht="25.2" customHeight="1" x14ac:dyDescent="0.3">
      <c r="B1018" s="13" t="str">
        <f t="shared" si="19"/>
        <v/>
      </c>
      <c r="C1018" s="18"/>
      <c r="D1018" s="19" t="str">
        <f>IF(Tabela2[[#This Row],[AGRUPADOR]]&lt;&gt;"",VLOOKUP(Tabela2[[#This Row],[AGRUPADOR]],Tabela1[],2,0),"")</f>
        <v/>
      </c>
      <c r="E1018" s="19" t="str">
        <f>IF(Tabela2[[#This Row],[AGRUPADOR]]&lt;&gt;"",VLOOKUP(Tabela2[[#This Row],[AGRUPADOR]],Tabela1[],4,0),"")</f>
        <v/>
      </c>
      <c r="F1018" s="14"/>
      <c r="G1018" s="6"/>
      <c r="H1018" s="6"/>
      <c r="I1018" s="25"/>
      <c r="J1018" s="7"/>
      <c r="K1018" s="15"/>
      <c r="L1018" s="379">
        <f>IF(H1018&lt;&gt;"",J1018*K1018,SUMIFS(L1019:L$9844,$F1019:$F$9844,"*"&amp;F1018&amp;"*",$H1019:$H$9844,"&lt;&gt;"))</f>
        <v>0</v>
      </c>
      <c r="M1018" s="379" t="str">
        <f>IF(Tabela2[[#This Row],[UNID.]]&lt;&gt;"",IFERROR(VLOOKUP(Tabela2[[#This Row],[AGRUPADOR]],Lucratividade!$D$4:$O$129,6,0),0),"")</f>
        <v/>
      </c>
      <c r="N1018" s="379">
        <f>IF(H1018&lt;&gt;"",J1018*M1018*I1018,SUMIFS(N1019:N$9844,$F1019:$F$9844,"*"&amp;F1018&amp;"*",$H1019:$H$9844,"&lt;&gt;"))</f>
        <v>0</v>
      </c>
      <c r="O1018" s="162" t="str">
        <f>IFERROR((-Tabela2[[#This Row],[CUSTO TOTAL]]+Tabela2[[#This Row],[VENDA TOTAL]])/Tabela2[[#This Row],[VENDA TOTAL]]-PARAMETROS!$C$19,"")</f>
        <v/>
      </c>
      <c r="AA1018" s="219">
        <f>SUM(Plan_Orc[[#This Row],[01/jan]:[01/dez]])</f>
        <v>0</v>
      </c>
      <c r="AB1018" s="15"/>
      <c r="AC1018" s="15"/>
      <c r="AD1018" s="15"/>
      <c r="AE1018" s="15"/>
      <c r="AF1018" s="15"/>
      <c r="AG1018" s="15"/>
      <c r="AH1018" s="15"/>
      <c r="AI1018" s="15"/>
      <c r="AJ1018" s="15"/>
      <c r="AK1018" s="15"/>
      <c r="AL1018" s="15"/>
      <c r="AM1018" s="15"/>
    </row>
    <row r="1019" spans="2:39" ht="25.2" customHeight="1" x14ac:dyDescent="0.3">
      <c r="B1019" s="13" t="str">
        <f t="shared" si="19"/>
        <v/>
      </c>
      <c r="C1019" s="18"/>
      <c r="D1019" s="19" t="str">
        <f>IF(Tabela2[[#This Row],[AGRUPADOR]]&lt;&gt;"",VLOOKUP(Tabela2[[#This Row],[AGRUPADOR]],Tabela1[],2,0),"")</f>
        <v/>
      </c>
      <c r="E1019" s="19" t="str">
        <f>IF(Tabela2[[#This Row],[AGRUPADOR]]&lt;&gt;"",VLOOKUP(Tabela2[[#This Row],[AGRUPADOR]],Tabela1[],4,0),"")</f>
        <v/>
      </c>
      <c r="F1019" s="14"/>
      <c r="G1019" s="6"/>
      <c r="H1019" s="6"/>
      <c r="I1019" s="25"/>
      <c r="J1019" s="7"/>
      <c r="K1019" s="15"/>
      <c r="L1019" s="379">
        <f>IF(H1019&lt;&gt;"",J1019*K1019,SUMIFS(L1020:L$9844,$F1020:$F$9844,"*"&amp;F1019&amp;"*",$H1020:$H$9844,"&lt;&gt;"))</f>
        <v>0</v>
      </c>
      <c r="M1019" s="379" t="str">
        <f>IF(Tabela2[[#This Row],[UNID.]]&lt;&gt;"",IFERROR(VLOOKUP(Tabela2[[#This Row],[AGRUPADOR]],Lucratividade!$D$4:$O$129,6,0),0),"")</f>
        <v/>
      </c>
      <c r="N1019" s="379">
        <f>IF(H1019&lt;&gt;"",J1019*M1019*I1019,SUMIFS(N1020:N$9844,$F1020:$F$9844,"*"&amp;F1019&amp;"*",$H1020:$H$9844,"&lt;&gt;"))</f>
        <v>0</v>
      </c>
      <c r="O1019" s="162" t="str">
        <f>IFERROR((-Tabela2[[#This Row],[CUSTO TOTAL]]+Tabela2[[#This Row],[VENDA TOTAL]])/Tabela2[[#This Row],[VENDA TOTAL]]-PARAMETROS!$C$19,"")</f>
        <v/>
      </c>
      <c r="AA1019" s="219">
        <f>SUM(Plan_Orc[[#This Row],[01/jan]:[01/dez]])</f>
        <v>0</v>
      </c>
      <c r="AB1019" s="15"/>
      <c r="AC1019" s="15"/>
      <c r="AD1019" s="15"/>
      <c r="AE1019" s="15"/>
      <c r="AF1019" s="15"/>
      <c r="AG1019" s="15"/>
      <c r="AH1019" s="15"/>
      <c r="AI1019" s="15"/>
      <c r="AJ1019" s="15"/>
      <c r="AK1019" s="15"/>
      <c r="AL1019" s="15"/>
      <c r="AM1019" s="15"/>
    </row>
    <row r="1020" spans="2:39" ht="25.2" customHeight="1" x14ac:dyDescent="0.3">
      <c r="B1020" s="13" t="str">
        <f t="shared" si="19"/>
        <v/>
      </c>
      <c r="C1020" s="18"/>
      <c r="D1020" s="19" t="str">
        <f>IF(Tabela2[[#This Row],[AGRUPADOR]]&lt;&gt;"",VLOOKUP(Tabela2[[#This Row],[AGRUPADOR]],Tabela1[],2,0),"")</f>
        <v/>
      </c>
      <c r="E1020" s="19" t="str">
        <f>IF(Tabela2[[#This Row],[AGRUPADOR]]&lt;&gt;"",VLOOKUP(Tabela2[[#This Row],[AGRUPADOR]],Tabela1[],4,0),"")</f>
        <v/>
      </c>
      <c r="F1020" s="14"/>
      <c r="G1020" s="6"/>
      <c r="H1020" s="6"/>
      <c r="I1020" s="25"/>
      <c r="J1020" s="7"/>
      <c r="K1020" s="15"/>
      <c r="L1020" s="379">
        <f>IF(H1020&lt;&gt;"",J1020*K1020,SUMIFS(L1021:L$9844,$F1021:$F$9844,"*"&amp;F1020&amp;"*",$H1021:$H$9844,"&lt;&gt;"))</f>
        <v>0</v>
      </c>
      <c r="M1020" s="379" t="str">
        <f>IF(Tabela2[[#This Row],[UNID.]]&lt;&gt;"",IFERROR(VLOOKUP(Tabela2[[#This Row],[AGRUPADOR]],Lucratividade!$D$4:$O$129,6,0),0),"")</f>
        <v/>
      </c>
      <c r="N1020" s="379">
        <f>IF(H1020&lt;&gt;"",J1020*M1020*I1020,SUMIFS(N1021:N$9844,$F1021:$F$9844,"*"&amp;F1020&amp;"*",$H1021:$H$9844,"&lt;&gt;"))</f>
        <v>0</v>
      </c>
      <c r="O1020" s="162" t="str">
        <f>IFERROR((-Tabela2[[#This Row],[CUSTO TOTAL]]+Tabela2[[#This Row],[VENDA TOTAL]])/Tabela2[[#This Row],[VENDA TOTAL]]-PARAMETROS!$C$19,"")</f>
        <v/>
      </c>
      <c r="AA1020" s="219">
        <f>SUM(Plan_Orc[[#This Row],[01/jan]:[01/dez]])</f>
        <v>0</v>
      </c>
      <c r="AB1020" s="15"/>
      <c r="AC1020" s="15"/>
      <c r="AD1020" s="15"/>
      <c r="AE1020" s="15"/>
      <c r="AF1020" s="15"/>
      <c r="AG1020" s="15"/>
      <c r="AH1020" s="15"/>
      <c r="AI1020" s="15"/>
      <c r="AJ1020" s="15"/>
      <c r="AK1020" s="15"/>
      <c r="AL1020" s="15"/>
      <c r="AM1020" s="15"/>
    </row>
    <row r="1021" spans="2:39" ht="25.2" customHeight="1" x14ac:dyDescent="0.3">
      <c r="B1021" s="13" t="str">
        <f t="shared" si="19"/>
        <v/>
      </c>
      <c r="C1021" s="18"/>
      <c r="D1021" s="19" t="str">
        <f>IF(Tabela2[[#This Row],[AGRUPADOR]]&lt;&gt;"",VLOOKUP(Tabela2[[#This Row],[AGRUPADOR]],Tabela1[],2,0),"")</f>
        <v/>
      </c>
      <c r="E1021" s="19" t="str">
        <f>IF(Tabela2[[#This Row],[AGRUPADOR]]&lt;&gt;"",VLOOKUP(Tabela2[[#This Row],[AGRUPADOR]],Tabela1[],4,0),"")</f>
        <v/>
      </c>
      <c r="F1021" s="14"/>
      <c r="G1021" s="6"/>
      <c r="H1021" s="6"/>
      <c r="I1021" s="25"/>
      <c r="J1021" s="7"/>
      <c r="K1021" s="15"/>
      <c r="L1021" s="379">
        <f>IF(H1021&lt;&gt;"",J1021*K1021,SUMIFS(L1022:L$9844,$F1022:$F$9844,"*"&amp;F1021&amp;"*",$H1022:$H$9844,"&lt;&gt;"))</f>
        <v>0</v>
      </c>
      <c r="M1021" s="379" t="str">
        <f>IF(Tabela2[[#This Row],[UNID.]]&lt;&gt;"",IFERROR(VLOOKUP(Tabela2[[#This Row],[AGRUPADOR]],Lucratividade!$D$4:$O$129,6,0),0),"")</f>
        <v/>
      </c>
      <c r="N1021" s="379">
        <f>IF(H1021&lt;&gt;"",J1021*M1021*I1021,SUMIFS(N1022:N$9844,$F1022:$F$9844,"*"&amp;F1021&amp;"*",$H1022:$H$9844,"&lt;&gt;"))</f>
        <v>0</v>
      </c>
      <c r="O1021" s="162" t="str">
        <f>IFERROR((-Tabela2[[#This Row],[CUSTO TOTAL]]+Tabela2[[#This Row],[VENDA TOTAL]])/Tabela2[[#This Row],[VENDA TOTAL]]-PARAMETROS!$C$19,"")</f>
        <v/>
      </c>
      <c r="AA1021" s="219">
        <f>SUM(Plan_Orc[[#This Row],[01/jan]:[01/dez]])</f>
        <v>0</v>
      </c>
      <c r="AB1021" s="15"/>
      <c r="AC1021" s="15"/>
      <c r="AD1021" s="15"/>
      <c r="AE1021" s="15"/>
      <c r="AF1021" s="15"/>
      <c r="AG1021" s="15"/>
      <c r="AH1021" s="15"/>
      <c r="AI1021" s="15"/>
      <c r="AJ1021" s="15"/>
      <c r="AK1021" s="15"/>
      <c r="AL1021" s="15"/>
      <c r="AM1021" s="15"/>
    </row>
    <row r="1022" spans="2:39" ht="25.2" customHeight="1" x14ac:dyDescent="0.3">
      <c r="B1022" s="13" t="str">
        <f t="shared" si="19"/>
        <v/>
      </c>
      <c r="C1022" s="18"/>
      <c r="D1022" s="19" t="str">
        <f>IF(Tabela2[[#This Row],[AGRUPADOR]]&lt;&gt;"",VLOOKUP(Tabela2[[#This Row],[AGRUPADOR]],Tabela1[],2,0),"")</f>
        <v/>
      </c>
      <c r="E1022" s="19" t="str">
        <f>IF(Tabela2[[#This Row],[AGRUPADOR]]&lt;&gt;"",VLOOKUP(Tabela2[[#This Row],[AGRUPADOR]],Tabela1[],4,0),"")</f>
        <v/>
      </c>
      <c r="F1022" s="14"/>
      <c r="G1022" s="6"/>
      <c r="H1022" s="6"/>
      <c r="I1022" s="25"/>
      <c r="J1022" s="7"/>
      <c r="K1022" s="15"/>
      <c r="L1022" s="379">
        <f>IF(H1022&lt;&gt;"",J1022*K1022,SUMIFS(L1023:L$9844,$F1023:$F$9844,"*"&amp;F1022&amp;"*",$H1023:$H$9844,"&lt;&gt;"))</f>
        <v>0</v>
      </c>
      <c r="M1022" s="379" t="str">
        <f>IF(Tabela2[[#This Row],[UNID.]]&lt;&gt;"",IFERROR(VLOOKUP(Tabela2[[#This Row],[AGRUPADOR]],Lucratividade!$D$4:$O$129,6,0),0),"")</f>
        <v/>
      </c>
      <c r="N1022" s="379">
        <f>IF(H1022&lt;&gt;"",J1022*M1022*I1022,SUMIFS(N1023:N$9844,$F1023:$F$9844,"*"&amp;F1022&amp;"*",$H1023:$H$9844,"&lt;&gt;"))</f>
        <v>0</v>
      </c>
      <c r="O1022" s="162" t="str">
        <f>IFERROR((-Tabela2[[#This Row],[CUSTO TOTAL]]+Tabela2[[#This Row],[VENDA TOTAL]])/Tabela2[[#This Row],[VENDA TOTAL]]-PARAMETROS!$C$19,"")</f>
        <v/>
      </c>
      <c r="AA1022" s="219">
        <f>SUM(Plan_Orc[[#This Row],[01/jan]:[01/dez]])</f>
        <v>0</v>
      </c>
      <c r="AB1022" s="15"/>
      <c r="AC1022" s="15"/>
      <c r="AD1022" s="15"/>
      <c r="AE1022" s="15"/>
      <c r="AF1022" s="15"/>
      <c r="AG1022" s="15"/>
      <c r="AH1022" s="15"/>
      <c r="AI1022" s="15"/>
      <c r="AJ1022" s="15"/>
      <c r="AK1022" s="15"/>
      <c r="AL1022" s="15"/>
      <c r="AM1022" s="15"/>
    </row>
    <row r="1023" spans="2:39" ht="25.2" customHeight="1" x14ac:dyDescent="0.3">
      <c r="B1023" s="13" t="str">
        <f t="shared" si="19"/>
        <v/>
      </c>
      <c r="C1023" s="18"/>
      <c r="D1023" s="19" t="str">
        <f>IF(Tabela2[[#This Row],[AGRUPADOR]]&lt;&gt;"",VLOOKUP(Tabela2[[#This Row],[AGRUPADOR]],Tabela1[],2,0),"")</f>
        <v/>
      </c>
      <c r="E1023" s="19" t="str">
        <f>IF(Tabela2[[#This Row],[AGRUPADOR]]&lt;&gt;"",VLOOKUP(Tabela2[[#This Row],[AGRUPADOR]],Tabela1[],4,0),"")</f>
        <v/>
      </c>
      <c r="F1023" s="14"/>
      <c r="G1023" s="6"/>
      <c r="H1023" s="6"/>
      <c r="I1023" s="25"/>
      <c r="J1023" s="7"/>
      <c r="K1023" s="15"/>
      <c r="L1023" s="379">
        <f>IF(H1023&lt;&gt;"",J1023*K1023,SUMIFS(L1024:L$9844,$F1024:$F$9844,"*"&amp;F1023&amp;"*",$H1024:$H$9844,"&lt;&gt;"))</f>
        <v>0</v>
      </c>
      <c r="M1023" s="379" t="str">
        <f>IF(Tabela2[[#This Row],[UNID.]]&lt;&gt;"",IFERROR(VLOOKUP(Tabela2[[#This Row],[AGRUPADOR]],Lucratividade!$D$4:$O$129,6,0),0),"")</f>
        <v/>
      </c>
      <c r="N1023" s="379">
        <f>IF(H1023&lt;&gt;"",J1023*M1023*I1023,SUMIFS(N1024:N$9844,$F1024:$F$9844,"*"&amp;F1023&amp;"*",$H1024:$H$9844,"&lt;&gt;"))</f>
        <v>0</v>
      </c>
      <c r="O1023" s="162" t="str">
        <f>IFERROR((-Tabela2[[#This Row],[CUSTO TOTAL]]+Tabela2[[#This Row],[VENDA TOTAL]])/Tabela2[[#This Row],[VENDA TOTAL]]-PARAMETROS!$C$19,"")</f>
        <v/>
      </c>
      <c r="AA1023" s="219">
        <f>SUM(Plan_Orc[[#This Row],[01/jan]:[01/dez]])</f>
        <v>0</v>
      </c>
      <c r="AB1023" s="15"/>
      <c r="AC1023" s="15"/>
      <c r="AD1023" s="15"/>
      <c r="AE1023" s="15"/>
      <c r="AF1023" s="15"/>
      <c r="AG1023" s="15"/>
      <c r="AH1023" s="15"/>
      <c r="AI1023" s="15"/>
      <c r="AJ1023" s="15"/>
      <c r="AK1023" s="15"/>
      <c r="AL1023" s="15"/>
      <c r="AM1023" s="15"/>
    </row>
    <row r="1024" spans="2:39" ht="25.2" customHeight="1" x14ac:dyDescent="0.3">
      <c r="B1024" s="13" t="str">
        <f t="shared" si="19"/>
        <v/>
      </c>
      <c r="C1024" s="18"/>
      <c r="D1024" s="19" t="str">
        <f>IF(Tabela2[[#This Row],[AGRUPADOR]]&lt;&gt;"",VLOOKUP(Tabela2[[#This Row],[AGRUPADOR]],Tabela1[],2,0),"")</f>
        <v/>
      </c>
      <c r="E1024" s="19" t="str">
        <f>IF(Tabela2[[#This Row],[AGRUPADOR]]&lt;&gt;"",VLOOKUP(Tabela2[[#This Row],[AGRUPADOR]],Tabela1[],4,0),"")</f>
        <v/>
      </c>
      <c r="F1024" s="14"/>
      <c r="G1024" s="6"/>
      <c r="H1024" s="6"/>
      <c r="I1024" s="25"/>
      <c r="J1024" s="7"/>
      <c r="K1024" s="15"/>
      <c r="L1024" s="379">
        <f>IF(H1024&lt;&gt;"",J1024*K1024,SUMIFS(L1025:L$9844,$F1025:$F$9844,"*"&amp;F1024&amp;"*",$H1025:$H$9844,"&lt;&gt;"))</f>
        <v>0</v>
      </c>
      <c r="M1024" s="379" t="str">
        <f>IF(Tabela2[[#This Row],[UNID.]]&lt;&gt;"",IFERROR(VLOOKUP(Tabela2[[#This Row],[AGRUPADOR]],Lucratividade!$D$4:$O$129,6,0),0),"")</f>
        <v/>
      </c>
      <c r="N1024" s="379">
        <f>IF(H1024&lt;&gt;"",J1024*M1024*I1024,SUMIFS(N1025:N$9844,$F1025:$F$9844,"*"&amp;F1024&amp;"*",$H1025:$H$9844,"&lt;&gt;"))</f>
        <v>0</v>
      </c>
      <c r="O1024" s="162" t="str">
        <f>IFERROR((-Tabela2[[#This Row],[CUSTO TOTAL]]+Tabela2[[#This Row],[VENDA TOTAL]])/Tabela2[[#This Row],[VENDA TOTAL]]-PARAMETROS!$C$19,"")</f>
        <v/>
      </c>
      <c r="AA1024" s="219">
        <f>SUM(Plan_Orc[[#This Row],[01/jan]:[01/dez]])</f>
        <v>0</v>
      </c>
      <c r="AB1024" s="15"/>
      <c r="AC1024" s="15"/>
      <c r="AD1024" s="15"/>
      <c r="AE1024" s="15"/>
      <c r="AF1024" s="15"/>
      <c r="AG1024" s="15"/>
      <c r="AH1024" s="15"/>
      <c r="AI1024" s="15"/>
      <c r="AJ1024" s="15"/>
      <c r="AK1024" s="15"/>
      <c r="AL1024" s="15"/>
      <c r="AM1024" s="15"/>
    </row>
    <row r="1025" spans="2:39" ht="25.2" customHeight="1" x14ac:dyDescent="0.3">
      <c r="B1025" s="13" t="str">
        <f t="shared" si="19"/>
        <v/>
      </c>
      <c r="C1025" s="18"/>
      <c r="D1025" s="19" t="str">
        <f>IF(Tabela2[[#This Row],[AGRUPADOR]]&lt;&gt;"",VLOOKUP(Tabela2[[#This Row],[AGRUPADOR]],Tabela1[],2,0),"")</f>
        <v/>
      </c>
      <c r="E1025" s="19" t="str">
        <f>IF(Tabela2[[#This Row],[AGRUPADOR]]&lt;&gt;"",VLOOKUP(Tabela2[[#This Row],[AGRUPADOR]],Tabela1[],4,0),"")</f>
        <v/>
      </c>
      <c r="F1025" s="14"/>
      <c r="G1025" s="6"/>
      <c r="H1025" s="6"/>
      <c r="I1025" s="25"/>
      <c r="J1025" s="7"/>
      <c r="K1025" s="15"/>
      <c r="L1025" s="379">
        <f>IF(H1025&lt;&gt;"",J1025*K1025,SUMIFS(L1026:L$9844,$F1026:$F$9844,"*"&amp;F1025&amp;"*",$H1026:$H$9844,"&lt;&gt;"))</f>
        <v>0</v>
      </c>
      <c r="M1025" s="379" t="str">
        <f>IF(Tabela2[[#This Row],[UNID.]]&lt;&gt;"",IFERROR(VLOOKUP(Tabela2[[#This Row],[AGRUPADOR]],Lucratividade!$D$4:$O$129,6,0),0),"")</f>
        <v/>
      </c>
      <c r="N1025" s="379">
        <f>IF(H1025&lt;&gt;"",J1025*M1025*I1025,SUMIFS(N1026:N$9844,$F1026:$F$9844,"*"&amp;F1025&amp;"*",$H1026:$H$9844,"&lt;&gt;"))</f>
        <v>0</v>
      </c>
      <c r="O1025" s="162" t="str">
        <f>IFERROR((-Tabela2[[#This Row],[CUSTO TOTAL]]+Tabela2[[#This Row],[VENDA TOTAL]])/Tabela2[[#This Row],[VENDA TOTAL]]-PARAMETROS!$C$19,"")</f>
        <v/>
      </c>
      <c r="AA1025" s="219">
        <f>SUM(Plan_Orc[[#This Row],[01/jan]:[01/dez]])</f>
        <v>0</v>
      </c>
      <c r="AB1025" s="15"/>
      <c r="AC1025" s="15"/>
      <c r="AD1025" s="15"/>
      <c r="AE1025" s="15"/>
      <c r="AF1025" s="15"/>
      <c r="AG1025" s="15"/>
      <c r="AH1025" s="15"/>
      <c r="AI1025" s="15"/>
      <c r="AJ1025" s="15"/>
      <c r="AK1025" s="15"/>
      <c r="AL1025" s="15"/>
      <c r="AM1025" s="15"/>
    </row>
    <row r="1026" spans="2:39" ht="25.2" customHeight="1" x14ac:dyDescent="0.3">
      <c r="B1026" s="13" t="str">
        <f t="shared" si="19"/>
        <v/>
      </c>
      <c r="C1026" s="18"/>
      <c r="D1026" s="19" t="str">
        <f>IF(Tabela2[[#This Row],[AGRUPADOR]]&lt;&gt;"",VLOOKUP(Tabela2[[#This Row],[AGRUPADOR]],Tabela1[],2,0),"")</f>
        <v/>
      </c>
      <c r="E1026" s="19" t="str">
        <f>IF(Tabela2[[#This Row],[AGRUPADOR]]&lt;&gt;"",VLOOKUP(Tabela2[[#This Row],[AGRUPADOR]],Tabela1[],4,0),"")</f>
        <v/>
      </c>
      <c r="F1026" s="14"/>
      <c r="G1026" s="6"/>
      <c r="H1026" s="6"/>
      <c r="I1026" s="25"/>
      <c r="J1026" s="7"/>
      <c r="K1026" s="15"/>
      <c r="L1026" s="379">
        <f>IF(H1026&lt;&gt;"",J1026*K1026,SUMIFS(L1027:L$9844,$F1027:$F$9844,"*"&amp;F1026&amp;"*",$H1027:$H$9844,"&lt;&gt;"))</f>
        <v>0</v>
      </c>
      <c r="M1026" s="379" t="str">
        <f>IF(Tabela2[[#This Row],[UNID.]]&lt;&gt;"",IFERROR(VLOOKUP(Tabela2[[#This Row],[AGRUPADOR]],Lucratividade!$D$4:$O$129,6,0),0),"")</f>
        <v/>
      </c>
      <c r="N1026" s="379">
        <f>IF(H1026&lt;&gt;"",J1026*M1026*I1026,SUMIFS(N1027:N$9844,$F1027:$F$9844,"*"&amp;F1026&amp;"*",$H1027:$H$9844,"&lt;&gt;"))</f>
        <v>0</v>
      </c>
      <c r="O1026" s="162" t="str">
        <f>IFERROR((-Tabela2[[#This Row],[CUSTO TOTAL]]+Tabela2[[#This Row],[VENDA TOTAL]])/Tabela2[[#This Row],[VENDA TOTAL]]-PARAMETROS!$C$19,"")</f>
        <v/>
      </c>
      <c r="AA1026" s="219">
        <f>SUM(Plan_Orc[[#This Row],[01/jan]:[01/dez]])</f>
        <v>0</v>
      </c>
      <c r="AB1026" s="15"/>
      <c r="AC1026" s="15"/>
      <c r="AD1026" s="15"/>
      <c r="AE1026" s="15"/>
      <c r="AF1026" s="15"/>
      <c r="AG1026" s="15"/>
      <c r="AH1026" s="15"/>
      <c r="AI1026" s="15"/>
      <c r="AJ1026" s="15"/>
      <c r="AK1026" s="15"/>
      <c r="AL1026" s="15"/>
      <c r="AM1026" s="15"/>
    </row>
    <row r="1027" spans="2:39" ht="25.2" customHeight="1" x14ac:dyDescent="0.3">
      <c r="B1027" s="13" t="str">
        <f t="shared" si="19"/>
        <v/>
      </c>
      <c r="C1027" s="18"/>
      <c r="D1027" s="19" t="str">
        <f>IF(Tabela2[[#This Row],[AGRUPADOR]]&lt;&gt;"",VLOOKUP(Tabela2[[#This Row],[AGRUPADOR]],Tabela1[],2,0),"")</f>
        <v/>
      </c>
      <c r="E1027" s="19" t="str">
        <f>IF(Tabela2[[#This Row],[AGRUPADOR]]&lt;&gt;"",VLOOKUP(Tabela2[[#This Row],[AGRUPADOR]],Tabela1[],4,0),"")</f>
        <v/>
      </c>
      <c r="F1027" s="14"/>
      <c r="G1027" s="6"/>
      <c r="H1027" s="6"/>
      <c r="I1027" s="25"/>
      <c r="J1027" s="7"/>
      <c r="K1027" s="15"/>
      <c r="L1027" s="379">
        <f>IF(H1027&lt;&gt;"",J1027*K1027,SUMIFS(L1028:L$9844,$F1028:$F$9844,"*"&amp;F1027&amp;"*",$H1028:$H$9844,"&lt;&gt;"))</f>
        <v>0</v>
      </c>
      <c r="M1027" s="379" t="str">
        <f>IF(Tabela2[[#This Row],[UNID.]]&lt;&gt;"",IFERROR(VLOOKUP(Tabela2[[#This Row],[AGRUPADOR]],Lucratividade!$D$4:$O$129,6,0),0),"")</f>
        <v/>
      </c>
      <c r="N1027" s="379">
        <f>IF(H1027&lt;&gt;"",J1027*M1027*I1027,SUMIFS(N1028:N$9844,$F1028:$F$9844,"*"&amp;F1027&amp;"*",$H1028:$H$9844,"&lt;&gt;"))</f>
        <v>0</v>
      </c>
      <c r="O1027" s="162" t="str">
        <f>IFERROR((-Tabela2[[#This Row],[CUSTO TOTAL]]+Tabela2[[#This Row],[VENDA TOTAL]])/Tabela2[[#This Row],[VENDA TOTAL]]-PARAMETROS!$C$19,"")</f>
        <v/>
      </c>
      <c r="AA1027" s="219">
        <f>SUM(Plan_Orc[[#This Row],[01/jan]:[01/dez]])</f>
        <v>0</v>
      </c>
      <c r="AB1027" s="15"/>
      <c r="AC1027" s="15"/>
      <c r="AD1027" s="15"/>
      <c r="AE1027" s="15"/>
      <c r="AF1027" s="15"/>
      <c r="AG1027" s="15"/>
      <c r="AH1027" s="15"/>
      <c r="AI1027" s="15"/>
      <c r="AJ1027" s="15"/>
      <c r="AK1027" s="15"/>
      <c r="AL1027" s="15"/>
      <c r="AM1027" s="15"/>
    </row>
    <row r="1028" spans="2:39" ht="25.2" customHeight="1" x14ac:dyDescent="0.3">
      <c r="B1028" s="13" t="str">
        <f t="shared" ref="B1028:B1091" si="20">IF(LEN(F1028)=3,1,"")</f>
        <v/>
      </c>
      <c r="C1028" s="18"/>
      <c r="D1028" s="19" t="str">
        <f>IF(Tabela2[[#This Row],[AGRUPADOR]]&lt;&gt;"",VLOOKUP(Tabela2[[#This Row],[AGRUPADOR]],Tabela1[],2,0),"")</f>
        <v/>
      </c>
      <c r="E1028" s="19" t="str">
        <f>IF(Tabela2[[#This Row],[AGRUPADOR]]&lt;&gt;"",VLOOKUP(Tabela2[[#This Row],[AGRUPADOR]],Tabela1[],4,0),"")</f>
        <v/>
      </c>
      <c r="F1028" s="14"/>
      <c r="G1028" s="6"/>
      <c r="H1028" s="6"/>
      <c r="I1028" s="25"/>
      <c r="J1028" s="7"/>
      <c r="K1028" s="15"/>
      <c r="L1028" s="379">
        <f>IF(H1028&lt;&gt;"",J1028*K1028,SUMIFS(L1029:L$9844,$F1029:$F$9844,"*"&amp;F1028&amp;"*",$H1029:$H$9844,"&lt;&gt;"))</f>
        <v>0</v>
      </c>
      <c r="M1028" s="379" t="str">
        <f>IF(Tabela2[[#This Row],[UNID.]]&lt;&gt;"",IFERROR(VLOOKUP(Tabela2[[#This Row],[AGRUPADOR]],Lucratividade!$D$4:$O$129,6,0),0),"")</f>
        <v/>
      </c>
      <c r="N1028" s="379">
        <f>IF(H1028&lt;&gt;"",J1028*M1028*I1028,SUMIFS(N1029:N$9844,$F1029:$F$9844,"*"&amp;F1028&amp;"*",$H1029:$H$9844,"&lt;&gt;"))</f>
        <v>0</v>
      </c>
      <c r="O1028" s="162" t="str">
        <f>IFERROR((-Tabela2[[#This Row],[CUSTO TOTAL]]+Tabela2[[#This Row],[VENDA TOTAL]])/Tabela2[[#This Row],[VENDA TOTAL]]-PARAMETROS!$C$19,"")</f>
        <v/>
      </c>
      <c r="AA1028" s="219">
        <f>SUM(Plan_Orc[[#This Row],[01/jan]:[01/dez]])</f>
        <v>0</v>
      </c>
      <c r="AB1028" s="15"/>
      <c r="AC1028" s="15"/>
      <c r="AD1028" s="15"/>
      <c r="AE1028" s="15"/>
      <c r="AF1028" s="15"/>
      <c r="AG1028" s="15"/>
      <c r="AH1028" s="15"/>
      <c r="AI1028" s="15"/>
      <c r="AJ1028" s="15"/>
      <c r="AK1028" s="15"/>
      <c r="AL1028" s="15"/>
      <c r="AM1028" s="15"/>
    </row>
    <row r="1029" spans="2:39" ht="25.2" customHeight="1" x14ac:dyDescent="0.3">
      <c r="B1029" s="13" t="str">
        <f t="shared" si="20"/>
        <v/>
      </c>
      <c r="C1029" s="18"/>
      <c r="D1029" s="19" t="str">
        <f>IF(Tabela2[[#This Row],[AGRUPADOR]]&lt;&gt;"",VLOOKUP(Tabela2[[#This Row],[AGRUPADOR]],Tabela1[],2,0),"")</f>
        <v/>
      </c>
      <c r="E1029" s="19" t="str">
        <f>IF(Tabela2[[#This Row],[AGRUPADOR]]&lt;&gt;"",VLOOKUP(Tabela2[[#This Row],[AGRUPADOR]],Tabela1[],4,0),"")</f>
        <v/>
      </c>
      <c r="F1029" s="14"/>
      <c r="G1029" s="6"/>
      <c r="H1029" s="6"/>
      <c r="I1029" s="25"/>
      <c r="J1029" s="7"/>
      <c r="K1029" s="15"/>
      <c r="L1029" s="379">
        <f>IF(H1029&lt;&gt;"",J1029*K1029,SUMIFS(L1030:L$9844,$F1030:$F$9844,"*"&amp;F1029&amp;"*",$H1030:$H$9844,"&lt;&gt;"))</f>
        <v>0</v>
      </c>
      <c r="M1029" s="379" t="str">
        <f>IF(Tabela2[[#This Row],[UNID.]]&lt;&gt;"",IFERROR(VLOOKUP(Tabela2[[#This Row],[AGRUPADOR]],Lucratividade!$D$4:$O$129,6,0),0),"")</f>
        <v/>
      </c>
      <c r="N1029" s="379">
        <f>IF(H1029&lt;&gt;"",J1029*M1029*I1029,SUMIFS(N1030:N$9844,$F1030:$F$9844,"*"&amp;F1029&amp;"*",$H1030:$H$9844,"&lt;&gt;"))</f>
        <v>0</v>
      </c>
      <c r="O1029" s="162" t="str">
        <f>IFERROR((-Tabela2[[#This Row],[CUSTO TOTAL]]+Tabela2[[#This Row],[VENDA TOTAL]])/Tabela2[[#This Row],[VENDA TOTAL]]-PARAMETROS!$C$19,"")</f>
        <v/>
      </c>
      <c r="AA1029" s="219">
        <f>SUM(Plan_Orc[[#This Row],[01/jan]:[01/dez]])</f>
        <v>0</v>
      </c>
      <c r="AB1029" s="15"/>
      <c r="AC1029" s="15"/>
      <c r="AD1029" s="15"/>
      <c r="AE1029" s="15"/>
      <c r="AF1029" s="15"/>
      <c r="AG1029" s="15"/>
      <c r="AH1029" s="15"/>
      <c r="AI1029" s="15"/>
      <c r="AJ1029" s="15"/>
      <c r="AK1029" s="15"/>
      <c r="AL1029" s="15"/>
      <c r="AM1029" s="15"/>
    </row>
    <row r="1030" spans="2:39" ht="25.2" customHeight="1" x14ac:dyDescent="0.3">
      <c r="B1030" s="13" t="str">
        <f t="shared" si="20"/>
        <v/>
      </c>
      <c r="C1030" s="18"/>
      <c r="D1030" s="19" t="str">
        <f>IF(Tabela2[[#This Row],[AGRUPADOR]]&lt;&gt;"",VLOOKUP(Tabela2[[#This Row],[AGRUPADOR]],Tabela1[],2,0),"")</f>
        <v/>
      </c>
      <c r="E1030" s="19" t="str">
        <f>IF(Tabela2[[#This Row],[AGRUPADOR]]&lt;&gt;"",VLOOKUP(Tabela2[[#This Row],[AGRUPADOR]],Tabela1[],4,0),"")</f>
        <v/>
      </c>
      <c r="F1030" s="14"/>
      <c r="G1030" s="6"/>
      <c r="H1030" s="6"/>
      <c r="I1030" s="25"/>
      <c r="J1030" s="7"/>
      <c r="K1030" s="15"/>
      <c r="L1030" s="379">
        <f>IF(H1030&lt;&gt;"",J1030*K1030,SUMIFS(L1031:L$9844,$F1031:$F$9844,"*"&amp;F1030&amp;"*",$H1031:$H$9844,"&lt;&gt;"))</f>
        <v>0</v>
      </c>
      <c r="M1030" s="379" t="str">
        <f>IF(Tabela2[[#This Row],[UNID.]]&lt;&gt;"",IFERROR(VLOOKUP(Tabela2[[#This Row],[AGRUPADOR]],Lucratividade!$D$4:$O$129,6,0),0),"")</f>
        <v/>
      </c>
      <c r="N1030" s="379">
        <f>IF(H1030&lt;&gt;"",J1030*M1030*I1030,SUMIFS(N1031:N$9844,$F1031:$F$9844,"*"&amp;F1030&amp;"*",$H1031:$H$9844,"&lt;&gt;"))</f>
        <v>0</v>
      </c>
      <c r="O1030" s="162" t="str">
        <f>IFERROR((-Tabela2[[#This Row],[CUSTO TOTAL]]+Tabela2[[#This Row],[VENDA TOTAL]])/Tabela2[[#This Row],[VENDA TOTAL]]-PARAMETROS!$C$19,"")</f>
        <v/>
      </c>
      <c r="AA1030" s="218">
        <f>SUM(Plan_Orc[[#This Row],[01/jan]:[01/dez]])</f>
        <v>0</v>
      </c>
      <c r="AB1030" s="12"/>
      <c r="AC1030" s="12"/>
      <c r="AD1030" s="12"/>
      <c r="AE1030" s="12"/>
      <c r="AF1030" s="12"/>
      <c r="AG1030" s="12"/>
      <c r="AH1030" s="12"/>
      <c r="AI1030" s="12"/>
      <c r="AJ1030" s="12"/>
      <c r="AK1030" s="12"/>
      <c r="AL1030" s="12"/>
      <c r="AM1030" s="12"/>
    </row>
    <row r="1031" spans="2:39" ht="25.2" customHeight="1" x14ac:dyDescent="0.3">
      <c r="B1031" s="13" t="str">
        <f t="shared" si="20"/>
        <v/>
      </c>
      <c r="C1031" s="18"/>
      <c r="D1031" s="19" t="str">
        <f>IF(Tabela2[[#This Row],[AGRUPADOR]]&lt;&gt;"",VLOOKUP(Tabela2[[#This Row],[AGRUPADOR]],Tabela1[],2,0),"")</f>
        <v/>
      </c>
      <c r="E1031" s="19" t="str">
        <f>IF(Tabela2[[#This Row],[AGRUPADOR]]&lt;&gt;"",VLOOKUP(Tabela2[[#This Row],[AGRUPADOR]],Tabela1[],4,0),"")</f>
        <v/>
      </c>
      <c r="F1031" s="14"/>
      <c r="G1031" s="6"/>
      <c r="H1031" s="6"/>
      <c r="I1031" s="25"/>
      <c r="J1031" s="7"/>
      <c r="K1031" s="15"/>
      <c r="L1031" s="379">
        <f>IF(H1031&lt;&gt;"",J1031*K1031,SUMIFS(L1032:L$9844,$F1032:$F$9844,"*"&amp;F1031&amp;"*",$H1032:$H$9844,"&lt;&gt;"))</f>
        <v>0</v>
      </c>
      <c r="M1031" s="379" t="str">
        <f>IF(Tabela2[[#This Row],[UNID.]]&lt;&gt;"",IFERROR(VLOOKUP(Tabela2[[#This Row],[AGRUPADOR]],Lucratividade!$D$4:$O$129,6,0),0),"")</f>
        <v/>
      </c>
      <c r="N1031" s="379">
        <f>IF(H1031&lt;&gt;"",J1031*M1031*I1031,SUMIFS(N1032:N$9844,$F1032:$F$9844,"*"&amp;F1031&amp;"*",$H1032:$H$9844,"&lt;&gt;"))</f>
        <v>0</v>
      </c>
      <c r="O1031" s="162" t="str">
        <f>IFERROR((-Tabela2[[#This Row],[CUSTO TOTAL]]+Tabela2[[#This Row],[VENDA TOTAL]])/Tabela2[[#This Row],[VENDA TOTAL]]-PARAMETROS!$C$19,"")</f>
        <v/>
      </c>
      <c r="AA1031" s="219">
        <f>SUM(Plan_Orc[[#This Row],[01/jan]:[01/dez]])</f>
        <v>0</v>
      </c>
      <c r="AB1031" s="15"/>
      <c r="AC1031" s="15"/>
      <c r="AD1031" s="15"/>
      <c r="AE1031" s="15"/>
      <c r="AF1031" s="15"/>
      <c r="AG1031" s="15"/>
      <c r="AH1031" s="15"/>
      <c r="AI1031" s="15"/>
      <c r="AJ1031" s="15"/>
      <c r="AK1031" s="15"/>
      <c r="AL1031" s="15"/>
      <c r="AM1031" s="15"/>
    </row>
    <row r="1032" spans="2:39" ht="25.2" customHeight="1" x14ac:dyDescent="0.3">
      <c r="B1032" s="13" t="str">
        <f t="shared" si="20"/>
        <v/>
      </c>
      <c r="C1032" s="18"/>
      <c r="D1032" s="19" t="str">
        <f>IF(Tabela2[[#This Row],[AGRUPADOR]]&lt;&gt;"",VLOOKUP(Tabela2[[#This Row],[AGRUPADOR]],Tabela1[],2,0),"")</f>
        <v/>
      </c>
      <c r="E1032" s="19" t="str">
        <f>IF(Tabela2[[#This Row],[AGRUPADOR]]&lt;&gt;"",VLOOKUP(Tabela2[[#This Row],[AGRUPADOR]],Tabela1[],4,0),"")</f>
        <v/>
      </c>
      <c r="F1032" s="14"/>
      <c r="G1032" s="6"/>
      <c r="H1032" s="6"/>
      <c r="I1032" s="25"/>
      <c r="J1032" s="7"/>
      <c r="K1032" s="15"/>
      <c r="L1032" s="379">
        <f>IF(H1032&lt;&gt;"",J1032*K1032,SUMIFS(L1033:L$9844,$F1033:$F$9844,"*"&amp;F1032&amp;"*",$H1033:$H$9844,"&lt;&gt;"))</f>
        <v>0</v>
      </c>
      <c r="M1032" s="379" t="str">
        <f>IF(Tabela2[[#This Row],[UNID.]]&lt;&gt;"",IFERROR(VLOOKUP(Tabela2[[#This Row],[AGRUPADOR]],Lucratividade!$D$4:$O$129,6,0),0),"")</f>
        <v/>
      </c>
      <c r="N1032" s="379">
        <f>IF(H1032&lt;&gt;"",J1032*M1032*I1032,SUMIFS(N1033:N$9844,$F1033:$F$9844,"*"&amp;F1032&amp;"*",$H1033:$H$9844,"&lt;&gt;"))</f>
        <v>0</v>
      </c>
      <c r="O1032" s="162" t="str">
        <f>IFERROR((-Tabela2[[#This Row],[CUSTO TOTAL]]+Tabela2[[#This Row],[VENDA TOTAL]])/Tabela2[[#This Row],[VENDA TOTAL]]-PARAMETROS!$C$19,"")</f>
        <v/>
      </c>
      <c r="AA1032" s="219">
        <f>SUM(Plan_Orc[[#This Row],[01/jan]:[01/dez]])</f>
        <v>0</v>
      </c>
      <c r="AB1032" s="15"/>
      <c r="AC1032" s="15"/>
      <c r="AD1032" s="15"/>
      <c r="AE1032" s="15"/>
      <c r="AF1032" s="15"/>
      <c r="AG1032" s="15"/>
      <c r="AH1032" s="15"/>
      <c r="AI1032" s="15"/>
      <c r="AJ1032" s="15"/>
      <c r="AK1032" s="15"/>
      <c r="AL1032" s="15"/>
      <c r="AM1032" s="15"/>
    </row>
    <row r="1033" spans="2:39" ht="25.2" customHeight="1" x14ac:dyDescent="0.3">
      <c r="B1033" s="13" t="str">
        <f t="shared" si="20"/>
        <v/>
      </c>
      <c r="C1033" s="18"/>
      <c r="D1033" s="19" t="str">
        <f>IF(Tabela2[[#This Row],[AGRUPADOR]]&lt;&gt;"",VLOOKUP(Tabela2[[#This Row],[AGRUPADOR]],Tabela1[],2,0),"")</f>
        <v/>
      </c>
      <c r="E1033" s="19" t="str">
        <f>IF(Tabela2[[#This Row],[AGRUPADOR]]&lt;&gt;"",VLOOKUP(Tabela2[[#This Row],[AGRUPADOR]],Tabela1[],4,0),"")</f>
        <v/>
      </c>
      <c r="F1033" s="14"/>
      <c r="G1033" s="6"/>
      <c r="H1033" s="6"/>
      <c r="I1033" s="25"/>
      <c r="J1033" s="7"/>
      <c r="K1033" s="15"/>
      <c r="L1033" s="379">
        <f>IF(H1033&lt;&gt;"",J1033*K1033,SUMIFS(L1034:L$9844,$F1034:$F$9844,"*"&amp;F1033&amp;"*",$H1034:$H$9844,"&lt;&gt;"))</f>
        <v>0</v>
      </c>
      <c r="M1033" s="379" t="str">
        <f>IF(Tabela2[[#This Row],[UNID.]]&lt;&gt;"",IFERROR(VLOOKUP(Tabela2[[#This Row],[AGRUPADOR]],Lucratividade!$D$4:$O$129,6,0),0),"")</f>
        <v/>
      </c>
      <c r="N1033" s="379">
        <f>IF(H1033&lt;&gt;"",J1033*M1033*I1033,SUMIFS(N1034:N$9844,$F1034:$F$9844,"*"&amp;F1033&amp;"*",$H1034:$H$9844,"&lt;&gt;"))</f>
        <v>0</v>
      </c>
      <c r="O1033" s="162" t="str">
        <f>IFERROR((-Tabela2[[#This Row],[CUSTO TOTAL]]+Tabela2[[#This Row],[VENDA TOTAL]])/Tabela2[[#This Row],[VENDA TOTAL]]-PARAMETROS!$C$19,"")</f>
        <v/>
      </c>
      <c r="AA1033" s="219">
        <f>SUM(Plan_Orc[[#This Row],[01/jan]:[01/dez]])</f>
        <v>0</v>
      </c>
      <c r="AB1033" s="15"/>
      <c r="AC1033" s="15"/>
      <c r="AD1033" s="15"/>
      <c r="AE1033" s="15"/>
      <c r="AF1033" s="15"/>
      <c r="AG1033" s="15"/>
      <c r="AH1033" s="15"/>
      <c r="AI1033" s="15"/>
      <c r="AJ1033" s="15"/>
      <c r="AK1033" s="15"/>
      <c r="AL1033" s="15"/>
      <c r="AM1033" s="15"/>
    </row>
    <row r="1034" spans="2:39" ht="25.2" customHeight="1" x14ac:dyDescent="0.3">
      <c r="B1034" s="13" t="str">
        <f t="shared" si="20"/>
        <v/>
      </c>
      <c r="C1034" s="18"/>
      <c r="D1034" s="19" t="str">
        <f>IF(Tabela2[[#This Row],[AGRUPADOR]]&lt;&gt;"",VLOOKUP(Tabela2[[#This Row],[AGRUPADOR]],Tabela1[],2,0),"")</f>
        <v/>
      </c>
      <c r="E1034" s="19" t="str">
        <f>IF(Tabela2[[#This Row],[AGRUPADOR]]&lt;&gt;"",VLOOKUP(Tabela2[[#This Row],[AGRUPADOR]],Tabela1[],4,0),"")</f>
        <v/>
      </c>
      <c r="F1034" s="14"/>
      <c r="G1034" s="6"/>
      <c r="H1034" s="6"/>
      <c r="I1034" s="25"/>
      <c r="J1034" s="7"/>
      <c r="K1034" s="15"/>
      <c r="L1034" s="379">
        <f>IF(H1034&lt;&gt;"",J1034*K1034,SUMIFS(L1035:L$9844,$F1035:$F$9844,"*"&amp;F1034&amp;"*",$H1035:$H$9844,"&lt;&gt;"))</f>
        <v>0</v>
      </c>
      <c r="M1034" s="379" t="str">
        <f>IF(Tabela2[[#This Row],[UNID.]]&lt;&gt;"",IFERROR(VLOOKUP(Tabela2[[#This Row],[AGRUPADOR]],Lucratividade!$D$4:$O$129,6,0),0),"")</f>
        <v/>
      </c>
      <c r="N1034" s="379">
        <f>IF(H1034&lt;&gt;"",J1034*M1034*I1034,SUMIFS(N1035:N$9844,$F1035:$F$9844,"*"&amp;F1034&amp;"*",$H1035:$H$9844,"&lt;&gt;"))</f>
        <v>0</v>
      </c>
      <c r="O1034" s="162" t="str">
        <f>IFERROR((-Tabela2[[#This Row],[CUSTO TOTAL]]+Tabela2[[#This Row],[VENDA TOTAL]])/Tabela2[[#This Row],[VENDA TOTAL]]-PARAMETROS!$C$19,"")</f>
        <v/>
      </c>
      <c r="AA1034" s="219">
        <f>SUM(Plan_Orc[[#This Row],[01/jan]:[01/dez]])</f>
        <v>0</v>
      </c>
      <c r="AB1034" s="15"/>
      <c r="AC1034" s="15"/>
      <c r="AD1034" s="15"/>
      <c r="AE1034" s="15"/>
      <c r="AF1034" s="15"/>
      <c r="AG1034" s="15"/>
      <c r="AH1034" s="15"/>
      <c r="AI1034" s="15"/>
      <c r="AJ1034" s="15"/>
      <c r="AK1034" s="15"/>
      <c r="AL1034" s="15"/>
      <c r="AM1034" s="15"/>
    </row>
    <row r="1035" spans="2:39" ht="25.2" customHeight="1" x14ac:dyDescent="0.3">
      <c r="B1035" s="13" t="str">
        <f t="shared" si="20"/>
        <v/>
      </c>
      <c r="C1035" s="18"/>
      <c r="D1035" s="19" t="str">
        <f>IF(Tabela2[[#This Row],[AGRUPADOR]]&lt;&gt;"",VLOOKUP(Tabela2[[#This Row],[AGRUPADOR]],Tabela1[],2,0),"")</f>
        <v/>
      </c>
      <c r="E1035" s="19" t="str">
        <f>IF(Tabela2[[#This Row],[AGRUPADOR]]&lt;&gt;"",VLOOKUP(Tabela2[[#This Row],[AGRUPADOR]],Tabela1[],4,0),"")</f>
        <v/>
      </c>
      <c r="F1035" s="14"/>
      <c r="G1035" s="6"/>
      <c r="H1035" s="6"/>
      <c r="I1035" s="25"/>
      <c r="J1035" s="7"/>
      <c r="K1035" s="15"/>
      <c r="L1035" s="379">
        <f>IF(H1035&lt;&gt;"",J1035*K1035,SUMIFS(L1036:L$9844,$F1036:$F$9844,"*"&amp;F1035&amp;"*",$H1036:$H$9844,"&lt;&gt;"))</f>
        <v>0</v>
      </c>
      <c r="M1035" s="379" t="str">
        <f>IF(Tabela2[[#This Row],[UNID.]]&lt;&gt;"",IFERROR(VLOOKUP(Tabela2[[#This Row],[AGRUPADOR]],Lucratividade!$D$4:$O$129,6,0),0),"")</f>
        <v/>
      </c>
      <c r="N1035" s="379">
        <f>IF(H1035&lt;&gt;"",J1035*M1035*I1035,SUMIFS(N1036:N$9844,$F1036:$F$9844,"*"&amp;F1035&amp;"*",$H1036:$H$9844,"&lt;&gt;"))</f>
        <v>0</v>
      </c>
      <c r="O1035" s="162" t="str">
        <f>IFERROR((-Tabela2[[#This Row],[CUSTO TOTAL]]+Tabela2[[#This Row],[VENDA TOTAL]])/Tabela2[[#This Row],[VENDA TOTAL]]-PARAMETROS!$C$19,"")</f>
        <v/>
      </c>
      <c r="AA1035" s="219">
        <f>SUM(Plan_Orc[[#This Row],[01/jan]:[01/dez]])</f>
        <v>0</v>
      </c>
      <c r="AB1035" s="15"/>
      <c r="AC1035" s="15"/>
      <c r="AD1035" s="15"/>
      <c r="AE1035" s="15"/>
      <c r="AF1035" s="15"/>
      <c r="AG1035" s="15"/>
      <c r="AH1035" s="15"/>
      <c r="AI1035" s="15"/>
      <c r="AJ1035" s="15"/>
      <c r="AK1035" s="15"/>
      <c r="AL1035" s="15"/>
      <c r="AM1035" s="15"/>
    </row>
    <row r="1036" spans="2:39" ht="25.2" customHeight="1" x14ac:dyDescent="0.3">
      <c r="B1036" s="13" t="str">
        <f t="shared" si="20"/>
        <v/>
      </c>
      <c r="C1036" s="18"/>
      <c r="D1036" s="19" t="str">
        <f>IF(Tabela2[[#This Row],[AGRUPADOR]]&lt;&gt;"",VLOOKUP(Tabela2[[#This Row],[AGRUPADOR]],Tabela1[],2,0),"")</f>
        <v/>
      </c>
      <c r="E1036" s="19" t="str">
        <f>IF(Tabela2[[#This Row],[AGRUPADOR]]&lt;&gt;"",VLOOKUP(Tabela2[[#This Row],[AGRUPADOR]],Tabela1[],4,0),"")</f>
        <v/>
      </c>
      <c r="F1036" s="14"/>
      <c r="G1036" s="6"/>
      <c r="H1036" s="6"/>
      <c r="I1036" s="25"/>
      <c r="J1036" s="7"/>
      <c r="K1036" s="15"/>
      <c r="L1036" s="379">
        <f>IF(H1036&lt;&gt;"",J1036*K1036,SUMIFS(L1037:L$9844,$F1037:$F$9844,"*"&amp;F1036&amp;"*",$H1037:$H$9844,"&lt;&gt;"))</f>
        <v>0</v>
      </c>
      <c r="M1036" s="379" t="str">
        <f>IF(Tabela2[[#This Row],[UNID.]]&lt;&gt;"",IFERROR(VLOOKUP(Tabela2[[#This Row],[AGRUPADOR]],Lucratividade!$D$4:$O$129,6,0),0),"")</f>
        <v/>
      </c>
      <c r="N1036" s="379">
        <f>IF(H1036&lt;&gt;"",J1036*M1036*I1036,SUMIFS(N1037:N$9844,$F1037:$F$9844,"*"&amp;F1036&amp;"*",$H1037:$H$9844,"&lt;&gt;"))</f>
        <v>0</v>
      </c>
      <c r="O1036" s="162" t="str">
        <f>IFERROR((-Tabela2[[#This Row],[CUSTO TOTAL]]+Tabela2[[#This Row],[VENDA TOTAL]])/Tabela2[[#This Row],[VENDA TOTAL]]-PARAMETROS!$C$19,"")</f>
        <v/>
      </c>
      <c r="AA1036" s="219">
        <f>SUM(Plan_Orc[[#This Row],[01/jan]:[01/dez]])</f>
        <v>0</v>
      </c>
      <c r="AB1036" s="15"/>
      <c r="AC1036" s="15"/>
      <c r="AD1036" s="15"/>
      <c r="AE1036" s="15"/>
      <c r="AF1036" s="15"/>
      <c r="AG1036" s="15"/>
      <c r="AH1036" s="15"/>
      <c r="AI1036" s="15"/>
      <c r="AJ1036" s="15"/>
      <c r="AK1036" s="15"/>
      <c r="AL1036" s="15"/>
      <c r="AM1036" s="15"/>
    </row>
    <row r="1037" spans="2:39" ht="25.2" customHeight="1" x14ac:dyDescent="0.3">
      <c r="B1037" s="13" t="str">
        <f t="shared" si="20"/>
        <v/>
      </c>
      <c r="C1037" s="18"/>
      <c r="D1037" s="19" t="str">
        <f>IF(Tabela2[[#This Row],[AGRUPADOR]]&lt;&gt;"",VLOOKUP(Tabela2[[#This Row],[AGRUPADOR]],Tabela1[],2,0),"")</f>
        <v/>
      </c>
      <c r="E1037" s="19" t="str">
        <f>IF(Tabela2[[#This Row],[AGRUPADOR]]&lt;&gt;"",VLOOKUP(Tabela2[[#This Row],[AGRUPADOR]],Tabela1[],4,0),"")</f>
        <v/>
      </c>
      <c r="F1037" s="14"/>
      <c r="G1037" s="6"/>
      <c r="H1037" s="6"/>
      <c r="I1037" s="25"/>
      <c r="J1037" s="7"/>
      <c r="K1037" s="15"/>
      <c r="L1037" s="379">
        <f>IF(H1037&lt;&gt;"",J1037*K1037,SUMIFS(L1038:L$9844,$F1038:$F$9844,"*"&amp;F1037&amp;"*",$H1038:$H$9844,"&lt;&gt;"))</f>
        <v>0</v>
      </c>
      <c r="M1037" s="379" t="str">
        <f>IF(Tabela2[[#This Row],[UNID.]]&lt;&gt;"",IFERROR(VLOOKUP(Tabela2[[#This Row],[AGRUPADOR]],Lucratividade!$D$4:$O$129,6,0),0),"")</f>
        <v/>
      </c>
      <c r="N1037" s="379">
        <f>IF(H1037&lt;&gt;"",J1037*M1037*I1037,SUMIFS(N1038:N$9844,$F1038:$F$9844,"*"&amp;F1037&amp;"*",$H1038:$H$9844,"&lt;&gt;"))</f>
        <v>0</v>
      </c>
      <c r="O1037" s="162" t="str">
        <f>IFERROR((-Tabela2[[#This Row],[CUSTO TOTAL]]+Tabela2[[#This Row],[VENDA TOTAL]])/Tabela2[[#This Row],[VENDA TOTAL]]-PARAMETROS!$C$19,"")</f>
        <v/>
      </c>
      <c r="AA1037" s="219">
        <f>SUM(Plan_Orc[[#This Row],[01/jan]:[01/dez]])</f>
        <v>0</v>
      </c>
      <c r="AB1037" s="15"/>
      <c r="AC1037" s="15"/>
      <c r="AD1037" s="15"/>
      <c r="AE1037" s="15"/>
      <c r="AF1037" s="15"/>
      <c r="AG1037" s="15"/>
      <c r="AH1037" s="15"/>
      <c r="AI1037" s="15"/>
      <c r="AJ1037" s="15"/>
      <c r="AK1037" s="15"/>
      <c r="AL1037" s="15"/>
      <c r="AM1037" s="15"/>
    </row>
    <row r="1038" spans="2:39" ht="25.2" customHeight="1" x14ac:dyDescent="0.3">
      <c r="B1038" s="13" t="str">
        <f t="shared" si="20"/>
        <v/>
      </c>
      <c r="C1038" s="18"/>
      <c r="D1038" s="19" t="str">
        <f>IF(Tabela2[[#This Row],[AGRUPADOR]]&lt;&gt;"",VLOOKUP(Tabela2[[#This Row],[AGRUPADOR]],Tabela1[],2,0),"")</f>
        <v/>
      </c>
      <c r="E1038" s="19" t="str">
        <f>IF(Tabela2[[#This Row],[AGRUPADOR]]&lt;&gt;"",VLOOKUP(Tabela2[[#This Row],[AGRUPADOR]],Tabela1[],4,0),"")</f>
        <v/>
      </c>
      <c r="F1038" s="14"/>
      <c r="G1038" s="6"/>
      <c r="H1038" s="6"/>
      <c r="I1038" s="25"/>
      <c r="J1038" s="7"/>
      <c r="K1038" s="15"/>
      <c r="L1038" s="379">
        <f>IF(H1038&lt;&gt;"",J1038*K1038,SUMIFS(L1039:L$9844,$F1039:$F$9844,"*"&amp;F1038&amp;"*",$H1039:$H$9844,"&lt;&gt;"))</f>
        <v>0</v>
      </c>
      <c r="M1038" s="379" t="str">
        <f>IF(Tabela2[[#This Row],[UNID.]]&lt;&gt;"",IFERROR(VLOOKUP(Tabela2[[#This Row],[AGRUPADOR]],Lucratividade!$D$4:$O$129,6,0),0),"")</f>
        <v/>
      </c>
      <c r="N1038" s="379">
        <f>IF(H1038&lt;&gt;"",J1038*M1038*I1038,SUMIFS(N1039:N$9844,$F1039:$F$9844,"*"&amp;F1038&amp;"*",$H1039:$H$9844,"&lt;&gt;"))</f>
        <v>0</v>
      </c>
      <c r="O1038" s="162" t="str">
        <f>IFERROR((-Tabela2[[#This Row],[CUSTO TOTAL]]+Tabela2[[#This Row],[VENDA TOTAL]])/Tabela2[[#This Row],[VENDA TOTAL]]-PARAMETROS!$C$19,"")</f>
        <v/>
      </c>
      <c r="AA1038" s="219">
        <f>SUM(Plan_Orc[[#This Row],[01/jan]:[01/dez]])</f>
        <v>0</v>
      </c>
      <c r="AB1038" s="15"/>
      <c r="AC1038" s="15"/>
      <c r="AD1038" s="15"/>
      <c r="AE1038" s="15"/>
      <c r="AF1038" s="15"/>
      <c r="AG1038" s="15"/>
      <c r="AH1038" s="15"/>
      <c r="AI1038" s="15"/>
      <c r="AJ1038" s="15"/>
      <c r="AK1038" s="15"/>
      <c r="AL1038" s="15"/>
      <c r="AM1038" s="15"/>
    </row>
    <row r="1039" spans="2:39" ht="25.2" customHeight="1" x14ac:dyDescent="0.3">
      <c r="B1039" s="13" t="str">
        <f t="shared" si="20"/>
        <v/>
      </c>
      <c r="C1039" s="18"/>
      <c r="D1039" s="19" t="str">
        <f>IF(Tabela2[[#This Row],[AGRUPADOR]]&lt;&gt;"",VLOOKUP(Tabela2[[#This Row],[AGRUPADOR]],Tabela1[],2,0),"")</f>
        <v/>
      </c>
      <c r="E1039" s="19" t="str">
        <f>IF(Tabela2[[#This Row],[AGRUPADOR]]&lt;&gt;"",VLOOKUP(Tabela2[[#This Row],[AGRUPADOR]],Tabela1[],4,0),"")</f>
        <v/>
      </c>
      <c r="F1039" s="14"/>
      <c r="G1039" s="6"/>
      <c r="H1039" s="6"/>
      <c r="I1039" s="25"/>
      <c r="J1039" s="7"/>
      <c r="K1039" s="15"/>
      <c r="L1039" s="379">
        <f>IF(H1039&lt;&gt;"",J1039*K1039,SUMIFS(L1040:L$9844,$F1040:$F$9844,"*"&amp;F1039&amp;"*",$H1040:$H$9844,"&lt;&gt;"))</f>
        <v>0</v>
      </c>
      <c r="M1039" s="379" t="str">
        <f>IF(Tabela2[[#This Row],[UNID.]]&lt;&gt;"",IFERROR(VLOOKUP(Tabela2[[#This Row],[AGRUPADOR]],Lucratividade!$D$4:$O$129,6,0),0),"")</f>
        <v/>
      </c>
      <c r="N1039" s="379">
        <f>IF(H1039&lt;&gt;"",J1039*M1039*I1039,SUMIFS(N1040:N$9844,$F1040:$F$9844,"*"&amp;F1039&amp;"*",$H1040:$H$9844,"&lt;&gt;"))</f>
        <v>0</v>
      </c>
      <c r="O1039" s="162" t="str">
        <f>IFERROR((-Tabela2[[#This Row],[CUSTO TOTAL]]+Tabela2[[#This Row],[VENDA TOTAL]])/Tabela2[[#This Row],[VENDA TOTAL]]-PARAMETROS!$C$19,"")</f>
        <v/>
      </c>
      <c r="AA1039" s="219">
        <f>SUM(Plan_Orc[[#This Row],[01/jan]:[01/dez]])</f>
        <v>0</v>
      </c>
      <c r="AB1039" s="15"/>
      <c r="AC1039" s="15"/>
      <c r="AD1039" s="15"/>
      <c r="AE1039" s="15"/>
      <c r="AF1039" s="15"/>
      <c r="AG1039" s="15"/>
      <c r="AH1039" s="15"/>
      <c r="AI1039" s="15"/>
      <c r="AJ1039" s="15"/>
      <c r="AK1039" s="15"/>
      <c r="AL1039" s="15"/>
      <c r="AM1039" s="15"/>
    </row>
    <row r="1040" spans="2:39" ht="25.2" customHeight="1" x14ac:dyDescent="0.3">
      <c r="B1040" s="13" t="str">
        <f t="shared" si="20"/>
        <v/>
      </c>
      <c r="C1040" s="18"/>
      <c r="D1040" s="19" t="str">
        <f>IF(Tabela2[[#This Row],[AGRUPADOR]]&lt;&gt;"",VLOOKUP(Tabela2[[#This Row],[AGRUPADOR]],Tabela1[],2,0),"")</f>
        <v/>
      </c>
      <c r="E1040" s="19" t="str">
        <f>IF(Tabela2[[#This Row],[AGRUPADOR]]&lt;&gt;"",VLOOKUP(Tabela2[[#This Row],[AGRUPADOR]],Tabela1[],4,0),"")</f>
        <v/>
      </c>
      <c r="F1040" s="14"/>
      <c r="G1040" s="6"/>
      <c r="H1040" s="6"/>
      <c r="I1040" s="25"/>
      <c r="J1040" s="7"/>
      <c r="K1040" s="15"/>
      <c r="L1040" s="379">
        <f>IF(H1040&lt;&gt;"",J1040*K1040,SUMIFS(L1041:L$9844,$F1041:$F$9844,"*"&amp;F1040&amp;"*",$H1041:$H$9844,"&lt;&gt;"))</f>
        <v>0</v>
      </c>
      <c r="M1040" s="379" t="str">
        <f>IF(Tabela2[[#This Row],[UNID.]]&lt;&gt;"",IFERROR(VLOOKUP(Tabela2[[#This Row],[AGRUPADOR]],Lucratividade!$D$4:$O$129,6,0),0),"")</f>
        <v/>
      </c>
      <c r="N1040" s="379">
        <f>IF(H1040&lt;&gt;"",J1040*M1040*I1040,SUMIFS(N1041:N$9844,$F1041:$F$9844,"*"&amp;F1040&amp;"*",$H1041:$H$9844,"&lt;&gt;"))</f>
        <v>0</v>
      </c>
      <c r="O1040" s="162" t="str">
        <f>IFERROR((-Tabela2[[#This Row],[CUSTO TOTAL]]+Tabela2[[#This Row],[VENDA TOTAL]])/Tabela2[[#This Row],[VENDA TOTAL]]-PARAMETROS!$C$19,"")</f>
        <v/>
      </c>
      <c r="AA1040" s="224">
        <f>SUM(Plan_Orc[[#This Row],[01/jan]:[01/dez]])</f>
        <v>0</v>
      </c>
      <c r="AB1040" s="203"/>
      <c r="AC1040" s="203"/>
      <c r="AD1040" s="203"/>
      <c r="AE1040" s="203"/>
      <c r="AF1040" s="203"/>
      <c r="AG1040" s="203"/>
      <c r="AH1040" s="203"/>
      <c r="AI1040" s="203"/>
      <c r="AJ1040" s="203"/>
      <c r="AK1040" s="203"/>
      <c r="AL1040" s="203"/>
      <c r="AM1040" s="203"/>
    </row>
    <row r="1041" spans="2:39" ht="25.2" customHeight="1" x14ac:dyDescent="0.3">
      <c r="B1041" s="13" t="str">
        <f t="shared" si="20"/>
        <v/>
      </c>
      <c r="C1041" s="18"/>
      <c r="D1041" s="19" t="str">
        <f>IF(Tabela2[[#This Row],[AGRUPADOR]]&lt;&gt;"",VLOOKUP(Tabela2[[#This Row],[AGRUPADOR]],Tabela1[],2,0),"")</f>
        <v/>
      </c>
      <c r="E1041" s="19" t="str">
        <f>IF(Tabela2[[#This Row],[AGRUPADOR]]&lt;&gt;"",VLOOKUP(Tabela2[[#This Row],[AGRUPADOR]],Tabela1[],4,0),"")</f>
        <v/>
      </c>
      <c r="F1041" s="14"/>
      <c r="G1041" s="6"/>
      <c r="H1041" s="6"/>
      <c r="I1041" s="25"/>
      <c r="J1041" s="7"/>
      <c r="K1041" s="15"/>
      <c r="L1041" s="379">
        <f>IF(H1041&lt;&gt;"",J1041*K1041,SUMIFS(L1042:L$9844,$F1042:$F$9844,"*"&amp;F1041&amp;"*",$H1042:$H$9844,"&lt;&gt;"))</f>
        <v>0</v>
      </c>
      <c r="M1041" s="379" t="str">
        <f>IF(Tabela2[[#This Row],[UNID.]]&lt;&gt;"",IFERROR(VLOOKUP(Tabela2[[#This Row],[AGRUPADOR]],Lucratividade!$D$4:$O$129,6,0),0),"")</f>
        <v/>
      </c>
      <c r="N1041" s="379">
        <f>IF(H1041&lt;&gt;"",J1041*M1041*I1041,SUMIFS(N1042:N$9844,$F1042:$F$9844,"*"&amp;F1041&amp;"*",$H1042:$H$9844,"&lt;&gt;"))</f>
        <v>0</v>
      </c>
      <c r="O1041" s="162" t="str">
        <f>IFERROR((-Tabela2[[#This Row],[CUSTO TOTAL]]+Tabela2[[#This Row],[VENDA TOTAL]])/Tabela2[[#This Row],[VENDA TOTAL]]-PARAMETROS!$C$19,"")</f>
        <v/>
      </c>
      <c r="AA1041" s="218">
        <f>SUM(Plan_Orc[[#This Row],[01/jan]:[01/dez]])</f>
        <v>0</v>
      </c>
      <c r="AB1041" s="12"/>
      <c r="AC1041" s="12"/>
      <c r="AD1041" s="12"/>
      <c r="AE1041" s="12"/>
      <c r="AF1041" s="12"/>
      <c r="AG1041" s="12"/>
      <c r="AH1041" s="12"/>
      <c r="AI1041" s="12"/>
      <c r="AJ1041" s="12"/>
      <c r="AK1041" s="12"/>
      <c r="AL1041" s="12"/>
      <c r="AM1041" s="12"/>
    </row>
    <row r="1042" spans="2:39" ht="25.2" customHeight="1" x14ac:dyDescent="0.3">
      <c r="B1042" s="13" t="str">
        <f t="shared" si="20"/>
        <v/>
      </c>
      <c r="C1042" s="18"/>
      <c r="D1042" s="19" t="str">
        <f>IF(Tabela2[[#This Row],[AGRUPADOR]]&lt;&gt;"",VLOOKUP(Tabela2[[#This Row],[AGRUPADOR]],Tabela1[],2,0),"")</f>
        <v/>
      </c>
      <c r="E1042" s="19" t="str">
        <f>IF(Tabela2[[#This Row],[AGRUPADOR]]&lt;&gt;"",VLOOKUP(Tabela2[[#This Row],[AGRUPADOR]],Tabela1[],4,0),"")</f>
        <v/>
      </c>
      <c r="F1042" s="14"/>
      <c r="G1042" s="6"/>
      <c r="H1042" s="6"/>
      <c r="I1042" s="25"/>
      <c r="J1042" s="7"/>
      <c r="K1042" s="15"/>
      <c r="L1042" s="379">
        <f>IF(H1042&lt;&gt;"",J1042*K1042,SUMIFS(L1043:L$9844,$F1043:$F$9844,"*"&amp;F1042&amp;"*",$H1043:$H$9844,"&lt;&gt;"))</f>
        <v>0</v>
      </c>
      <c r="M1042" s="379" t="str">
        <f>IF(Tabela2[[#This Row],[UNID.]]&lt;&gt;"",IFERROR(VLOOKUP(Tabela2[[#This Row],[AGRUPADOR]],Lucratividade!$D$4:$O$129,6,0),0),"")</f>
        <v/>
      </c>
      <c r="N1042" s="379">
        <f>IF(H1042&lt;&gt;"",J1042*M1042*I1042,SUMIFS(N1043:N$9844,$F1043:$F$9844,"*"&amp;F1042&amp;"*",$H1043:$H$9844,"&lt;&gt;"))</f>
        <v>0</v>
      </c>
      <c r="O1042" s="162" t="str">
        <f>IFERROR((-Tabela2[[#This Row],[CUSTO TOTAL]]+Tabela2[[#This Row],[VENDA TOTAL]])/Tabela2[[#This Row],[VENDA TOTAL]]-PARAMETROS!$C$19,"")</f>
        <v/>
      </c>
      <c r="AA1042" s="219">
        <f>SUM(Plan_Orc[[#This Row],[01/jan]:[01/dez]])</f>
        <v>0</v>
      </c>
      <c r="AB1042" s="15"/>
      <c r="AC1042" s="15"/>
      <c r="AD1042" s="15"/>
      <c r="AE1042" s="15"/>
      <c r="AF1042" s="15"/>
      <c r="AG1042" s="15"/>
      <c r="AH1042" s="15"/>
      <c r="AI1042" s="15"/>
      <c r="AJ1042" s="15"/>
      <c r="AK1042" s="15"/>
      <c r="AL1042" s="15"/>
      <c r="AM1042" s="15"/>
    </row>
    <row r="1043" spans="2:39" ht="25.2" customHeight="1" x14ac:dyDescent="0.3">
      <c r="B1043" s="13" t="str">
        <f t="shared" si="20"/>
        <v/>
      </c>
      <c r="C1043" s="18"/>
      <c r="D1043" s="19" t="str">
        <f>IF(Tabela2[[#This Row],[AGRUPADOR]]&lt;&gt;"",VLOOKUP(Tabela2[[#This Row],[AGRUPADOR]],Tabela1[],2,0),"")</f>
        <v/>
      </c>
      <c r="E1043" s="19" t="str">
        <f>IF(Tabela2[[#This Row],[AGRUPADOR]]&lt;&gt;"",VLOOKUP(Tabela2[[#This Row],[AGRUPADOR]],Tabela1[],4,0),"")</f>
        <v/>
      </c>
      <c r="F1043" s="14"/>
      <c r="G1043" s="6"/>
      <c r="H1043" s="6"/>
      <c r="I1043" s="25"/>
      <c r="J1043" s="7"/>
      <c r="K1043" s="15"/>
      <c r="L1043" s="379">
        <f>IF(H1043&lt;&gt;"",J1043*K1043,SUMIFS(L1044:L$9844,$F1044:$F$9844,"*"&amp;F1043&amp;"*",$H1044:$H$9844,"&lt;&gt;"))</f>
        <v>0</v>
      </c>
      <c r="M1043" s="379" t="str">
        <f>IF(Tabela2[[#This Row],[UNID.]]&lt;&gt;"",IFERROR(VLOOKUP(Tabela2[[#This Row],[AGRUPADOR]],Lucratividade!$D$4:$O$129,6,0),0),"")</f>
        <v/>
      </c>
      <c r="N1043" s="379">
        <f>IF(H1043&lt;&gt;"",J1043*M1043*I1043,SUMIFS(N1044:N$9844,$F1044:$F$9844,"*"&amp;F1043&amp;"*",$H1044:$H$9844,"&lt;&gt;"))</f>
        <v>0</v>
      </c>
      <c r="O1043" s="162" t="str">
        <f>IFERROR((-Tabela2[[#This Row],[CUSTO TOTAL]]+Tabela2[[#This Row],[VENDA TOTAL]])/Tabela2[[#This Row],[VENDA TOTAL]]-PARAMETROS!$C$19,"")</f>
        <v/>
      </c>
      <c r="AA1043" s="219">
        <f>SUM(Plan_Orc[[#This Row],[01/jan]:[01/dez]])</f>
        <v>0</v>
      </c>
      <c r="AB1043" s="15"/>
      <c r="AC1043" s="15"/>
      <c r="AD1043" s="15"/>
      <c r="AE1043" s="15"/>
      <c r="AF1043" s="15"/>
      <c r="AG1043" s="15"/>
      <c r="AH1043" s="15"/>
      <c r="AI1043" s="15"/>
      <c r="AJ1043" s="15"/>
      <c r="AK1043" s="15"/>
      <c r="AL1043" s="15"/>
      <c r="AM1043" s="15"/>
    </row>
    <row r="1044" spans="2:39" ht="25.2" customHeight="1" x14ac:dyDescent="0.3">
      <c r="B1044" s="13" t="str">
        <f t="shared" si="20"/>
        <v/>
      </c>
      <c r="C1044" s="18"/>
      <c r="D1044" s="19" t="str">
        <f>IF(Tabela2[[#This Row],[AGRUPADOR]]&lt;&gt;"",VLOOKUP(Tabela2[[#This Row],[AGRUPADOR]],Tabela1[],2,0),"")</f>
        <v/>
      </c>
      <c r="E1044" s="19" t="str">
        <f>IF(Tabela2[[#This Row],[AGRUPADOR]]&lt;&gt;"",VLOOKUP(Tabela2[[#This Row],[AGRUPADOR]],Tabela1[],4,0),"")</f>
        <v/>
      </c>
      <c r="F1044" s="14"/>
      <c r="G1044" s="6"/>
      <c r="H1044" s="6"/>
      <c r="I1044" s="25"/>
      <c r="J1044" s="7"/>
      <c r="K1044" s="15"/>
      <c r="L1044" s="379">
        <f>IF(H1044&lt;&gt;"",J1044*K1044,SUMIFS(L1045:L$9844,$F1045:$F$9844,"*"&amp;F1044&amp;"*",$H1045:$H$9844,"&lt;&gt;"))</f>
        <v>0</v>
      </c>
      <c r="M1044" s="379" t="str">
        <f>IF(Tabela2[[#This Row],[UNID.]]&lt;&gt;"",IFERROR(VLOOKUP(Tabela2[[#This Row],[AGRUPADOR]],Lucratividade!$D$4:$O$129,6,0),0),"")</f>
        <v/>
      </c>
      <c r="N1044" s="379">
        <f>IF(H1044&lt;&gt;"",J1044*M1044*I1044,SUMIFS(N1045:N$9844,$F1045:$F$9844,"*"&amp;F1044&amp;"*",$H1045:$H$9844,"&lt;&gt;"))</f>
        <v>0</v>
      </c>
      <c r="O1044" s="162" t="str">
        <f>IFERROR((-Tabela2[[#This Row],[CUSTO TOTAL]]+Tabela2[[#This Row],[VENDA TOTAL]])/Tabela2[[#This Row],[VENDA TOTAL]]-PARAMETROS!$C$19,"")</f>
        <v/>
      </c>
      <c r="AA1044" s="219">
        <f>SUM(Plan_Orc[[#This Row],[01/jan]:[01/dez]])</f>
        <v>0</v>
      </c>
      <c r="AB1044" s="15"/>
      <c r="AC1044" s="15"/>
      <c r="AD1044" s="15"/>
      <c r="AE1044" s="15"/>
      <c r="AF1044" s="15"/>
      <c r="AG1044" s="15"/>
      <c r="AH1044" s="15"/>
      <c r="AI1044" s="15"/>
      <c r="AJ1044" s="15"/>
      <c r="AK1044" s="15"/>
      <c r="AL1044" s="15"/>
      <c r="AM1044" s="15"/>
    </row>
    <row r="1045" spans="2:39" ht="25.2" customHeight="1" x14ac:dyDescent="0.3">
      <c r="B1045" s="13" t="str">
        <f t="shared" si="20"/>
        <v/>
      </c>
      <c r="C1045" s="18"/>
      <c r="D1045" s="19" t="str">
        <f>IF(Tabela2[[#This Row],[AGRUPADOR]]&lt;&gt;"",VLOOKUP(Tabela2[[#This Row],[AGRUPADOR]],Tabela1[],2,0),"")</f>
        <v/>
      </c>
      <c r="E1045" s="19" t="str">
        <f>IF(Tabela2[[#This Row],[AGRUPADOR]]&lt;&gt;"",VLOOKUP(Tabela2[[#This Row],[AGRUPADOR]],Tabela1[],4,0),"")</f>
        <v/>
      </c>
      <c r="F1045" s="14"/>
      <c r="G1045" s="6"/>
      <c r="H1045" s="6"/>
      <c r="I1045" s="25"/>
      <c r="J1045" s="7"/>
      <c r="K1045" s="15"/>
      <c r="L1045" s="379">
        <f>IF(H1045&lt;&gt;"",J1045*K1045,SUMIFS(L1046:L$9844,$F1046:$F$9844,"*"&amp;F1045&amp;"*",$H1046:$H$9844,"&lt;&gt;"))</f>
        <v>0</v>
      </c>
      <c r="M1045" s="379" t="str">
        <f>IF(Tabela2[[#This Row],[UNID.]]&lt;&gt;"",IFERROR(VLOOKUP(Tabela2[[#This Row],[AGRUPADOR]],Lucratividade!$D$4:$O$129,6,0),0),"")</f>
        <v/>
      </c>
      <c r="N1045" s="379">
        <f>IF(H1045&lt;&gt;"",J1045*M1045*I1045,SUMIFS(N1046:N$9844,$F1046:$F$9844,"*"&amp;F1045&amp;"*",$H1046:$H$9844,"&lt;&gt;"))</f>
        <v>0</v>
      </c>
      <c r="O1045" s="162" t="str">
        <f>IFERROR((-Tabela2[[#This Row],[CUSTO TOTAL]]+Tabela2[[#This Row],[VENDA TOTAL]])/Tabela2[[#This Row],[VENDA TOTAL]]-PARAMETROS!$C$19,"")</f>
        <v/>
      </c>
      <c r="AA1045" s="219">
        <f>SUM(Plan_Orc[[#This Row],[01/jan]:[01/dez]])</f>
        <v>0</v>
      </c>
      <c r="AB1045" s="15"/>
      <c r="AC1045" s="15"/>
      <c r="AD1045" s="15"/>
      <c r="AE1045" s="15"/>
      <c r="AF1045" s="15"/>
      <c r="AG1045" s="15"/>
      <c r="AH1045" s="15"/>
      <c r="AI1045" s="15"/>
      <c r="AJ1045" s="15"/>
      <c r="AK1045" s="15"/>
      <c r="AL1045" s="15"/>
      <c r="AM1045" s="15"/>
    </row>
    <row r="1046" spans="2:39" ht="25.2" customHeight="1" x14ac:dyDescent="0.3">
      <c r="B1046" s="13" t="str">
        <f t="shared" si="20"/>
        <v/>
      </c>
      <c r="C1046" s="18"/>
      <c r="D1046" s="19" t="str">
        <f>IF(Tabela2[[#This Row],[AGRUPADOR]]&lt;&gt;"",VLOOKUP(Tabela2[[#This Row],[AGRUPADOR]],Tabela1[],2,0),"")</f>
        <v/>
      </c>
      <c r="E1046" s="19" t="str">
        <f>IF(Tabela2[[#This Row],[AGRUPADOR]]&lt;&gt;"",VLOOKUP(Tabela2[[#This Row],[AGRUPADOR]],Tabela1[],4,0),"")</f>
        <v/>
      </c>
      <c r="F1046" s="14"/>
      <c r="G1046" s="6"/>
      <c r="H1046" s="6"/>
      <c r="I1046" s="25"/>
      <c r="J1046" s="7"/>
      <c r="K1046" s="15"/>
      <c r="L1046" s="379">
        <f>IF(H1046&lt;&gt;"",J1046*K1046,SUMIFS(L1047:L$9844,$F1047:$F$9844,"*"&amp;F1046&amp;"*",$H1047:$H$9844,"&lt;&gt;"))</f>
        <v>0</v>
      </c>
      <c r="M1046" s="379" t="str">
        <f>IF(Tabela2[[#This Row],[UNID.]]&lt;&gt;"",IFERROR(VLOOKUP(Tabela2[[#This Row],[AGRUPADOR]],Lucratividade!$D$4:$O$129,6,0),0),"")</f>
        <v/>
      </c>
      <c r="N1046" s="379">
        <f>IF(H1046&lt;&gt;"",J1046*M1046*I1046,SUMIFS(N1047:N$9844,$F1047:$F$9844,"*"&amp;F1046&amp;"*",$H1047:$H$9844,"&lt;&gt;"))</f>
        <v>0</v>
      </c>
      <c r="O1046" s="162" t="str">
        <f>IFERROR((-Tabela2[[#This Row],[CUSTO TOTAL]]+Tabela2[[#This Row],[VENDA TOTAL]])/Tabela2[[#This Row],[VENDA TOTAL]]-PARAMETROS!$C$19,"")</f>
        <v/>
      </c>
      <c r="AA1046" s="219">
        <f>SUM(Plan_Orc[[#This Row],[01/jan]:[01/dez]])</f>
        <v>0</v>
      </c>
      <c r="AB1046" s="15"/>
      <c r="AC1046" s="15"/>
      <c r="AD1046" s="15"/>
      <c r="AE1046" s="15"/>
      <c r="AF1046" s="15"/>
      <c r="AG1046" s="15"/>
      <c r="AH1046" s="15"/>
      <c r="AI1046" s="15"/>
      <c r="AJ1046" s="15"/>
      <c r="AK1046" s="15"/>
      <c r="AL1046" s="15"/>
      <c r="AM1046" s="15"/>
    </row>
    <row r="1047" spans="2:39" ht="25.2" customHeight="1" x14ac:dyDescent="0.3">
      <c r="B1047" s="13" t="str">
        <f t="shared" si="20"/>
        <v/>
      </c>
      <c r="C1047" s="18"/>
      <c r="D1047" s="19" t="str">
        <f>IF(Tabela2[[#This Row],[AGRUPADOR]]&lt;&gt;"",VLOOKUP(Tabela2[[#This Row],[AGRUPADOR]],Tabela1[],2,0),"")</f>
        <v/>
      </c>
      <c r="E1047" s="19" t="str">
        <f>IF(Tabela2[[#This Row],[AGRUPADOR]]&lt;&gt;"",VLOOKUP(Tabela2[[#This Row],[AGRUPADOR]],Tabela1[],4,0),"")</f>
        <v/>
      </c>
      <c r="F1047" s="14"/>
      <c r="G1047" s="6"/>
      <c r="H1047" s="6"/>
      <c r="I1047" s="25"/>
      <c r="J1047" s="7"/>
      <c r="K1047" s="15"/>
      <c r="L1047" s="379">
        <f>IF(H1047&lt;&gt;"",J1047*K1047,SUMIFS(L1048:L$9844,$F1048:$F$9844,"*"&amp;F1047&amp;"*",$H1048:$H$9844,"&lt;&gt;"))</f>
        <v>0</v>
      </c>
      <c r="M1047" s="379" t="str">
        <f>IF(Tabela2[[#This Row],[UNID.]]&lt;&gt;"",IFERROR(VLOOKUP(Tabela2[[#This Row],[AGRUPADOR]],Lucratividade!$D$4:$O$129,6,0),0),"")</f>
        <v/>
      </c>
      <c r="N1047" s="379">
        <f>IF(H1047&lt;&gt;"",J1047*M1047*I1047,SUMIFS(N1048:N$9844,$F1048:$F$9844,"*"&amp;F1047&amp;"*",$H1048:$H$9844,"&lt;&gt;"))</f>
        <v>0</v>
      </c>
      <c r="O1047" s="162" t="str">
        <f>IFERROR((-Tabela2[[#This Row],[CUSTO TOTAL]]+Tabela2[[#This Row],[VENDA TOTAL]])/Tabela2[[#This Row],[VENDA TOTAL]]-PARAMETROS!$C$19,"")</f>
        <v/>
      </c>
      <c r="AA1047" s="219">
        <f>SUM(Plan_Orc[[#This Row],[01/jan]:[01/dez]])</f>
        <v>0</v>
      </c>
      <c r="AB1047" s="15"/>
      <c r="AC1047" s="15"/>
      <c r="AD1047" s="15"/>
      <c r="AE1047" s="15"/>
      <c r="AF1047" s="15"/>
      <c r="AG1047" s="15"/>
      <c r="AH1047" s="15"/>
      <c r="AI1047" s="15"/>
      <c r="AJ1047" s="15"/>
      <c r="AK1047" s="15"/>
      <c r="AL1047" s="15"/>
      <c r="AM1047" s="15"/>
    </row>
    <row r="1048" spans="2:39" ht="25.2" customHeight="1" x14ac:dyDescent="0.3">
      <c r="B1048" s="13" t="str">
        <f t="shared" si="20"/>
        <v/>
      </c>
      <c r="C1048" s="18"/>
      <c r="D1048" s="19" t="str">
        <f>IF(Tabela2[[#This Row],[AGRUPADOR]]&lt;&gt;"",VLOOKUP(Tabela2[[#This Row],[AGRUPADOR]],Tabela1[],2,0),"")</f>
        <v/>
      </c>
      <c r="E1048" s="19" t="str">
        <f>IF(Tabela2[[#This Row],[AGRUPADOR]]&lt;&gt;"",VLOOKUP(Tabela2[[#This Row],[AGRUPADOR]],Tabela1[],4,0),"")</f>
        <v/>
      </c>
      <c r="F1048" s="14"/>
      <c r="G1048" s="6"/>
      <c r="H1048" s="6"/>
      <c r="I1048" s="25"/>
      <c r="J1048" s="7"/>
      <c r="K1048" s="15"/>
      <c r="L1048" s="379">
        <f>IF(H1048&lt;&gt;"",J1048*K1048,SUMIFS(L1049:L$9844,$F1049:$F$9844,"*"&amp;F1048&amp;"*",$H1049:$H$9844,"&lt;&gt;"))</f>
        <v>0</v>
      </c>
      <c r="M1048" s="379" t="str">
        <f>IF(Tabela2[[#This Row],[UNID.]]&lt;&gt;"",IFERROR(VLOOKUP(Tabela2[[#This Row],[AGRUPADOR]],Lucratividade!$D$4:$O$129,6,0),0),"")</f>
        <v/>
      </c>
      <c r="N1048" s="379">
        <f>IF(H1048&lt;&gt;"",J1048*M1048*I1048,SUMIFS(N1049:N$9844,$F1049:$F$9844,"*"&amp;F1048&amp;"*",$H1049:$H$9844,"&lt;&gt;"))</f>
        <v>0</v>
      </c>
      <c r="O1048" s="162" t="str">
        <f>IFERROR((-Tabela2[[#This Row],[CUSTO TOTAL]]+Tabela2[[#This Row],[VENDA TOTAL]])/Tabela2[[#This Row],[VENDA TOTAL]]-PARAMETROS!$C$19,"")</f>
        <v/>
      </c>
      <c r="AA1048" s="219">
        <f>SUM(Plan_Orc[[#This Row],[01/jan]:[01/dez]])</f>
        <v>0</v>
      </c>
      <c r="AB1048" s="15"/>
      <c r="AC1048" s="15"/>
      <c r="AD1048" s="15"/>
      <c r="AE1048" s="15"/>
      <c r="AF1048" s="15"/>
      <c r="AG1048" s="15"/>
      <c r="AH1048" s="15"/>
      <c r="AI1048" s="15"/>
      <c r="AJ1048" s="15"/>
      <c r="AK1048" s="15"/>
      <c r="AL1048" s="15"/>
      <c r="AM1048" s="15"/>
    </row>
    <row r="1049" spans="2:39" ht="25.2" customHeight="1" x14ac:dyDescent="0.3">
      <c r="B1049" s="13" t="str">
        <f t="shared" si="20"/>
        <v/>
      </c>
      <c r="C1049" s="18"/>
      <c r="D1049" s="19" t="str">
        <f>IF(Tabela2[[#This Row],[AGRUPADOR]]&lt;&gt;"",VLOOKUP(Tabela2[[#This Row],[AGRUPADOR]],Tabela1[],2,0),"")</f>
        <v/>
      </c>
      <c r="E1049" s="19" t="str">
        <f>IF(Tabela2[[#This Row],[AGRUPADOR]]&lt;&gt;"",VLOOKUP(Tabela2[[#This Row],[AGRUPADOR]],Tabela1[],4,0),"")</f>
        <v/>
      </c>
      <c r="F1049" s="14"/>
      <c r="G1049" s="6"/>
      <c r="H1049" s="6"/>
      <c r="I1049" s="25"/>
      <c r="J1049" s="7"/>
      <c r="K1049" s="15"/>
      <c r="L1049" s="379">
        <f>IF(H1049&lt;&gt;"",J1049*K1049,SUMIFS(L1050:L$9844,$F1050:$F$9844,"*"&amp;F1049&amp;"*",$H1050:$H$9844,"&lt;&gt;"))</f>
        <v>0</v>
      </c>
      <c r="M1049" s="379" t="str">
        <f>IF(Tabela2[[#This Row],[UNID.]]&lt;&gt;"",IFERROR(VLOOKUP(Tabela2[[#This Row],[AGRUPADOR]],Lucratividade!$D$4:$O$129,6,0),0),"")</f>
        <v/>
      </c>
      <c r="N1049" s="379">
        <f>IF(H1049&lt;&gt;"",J1049*M1049*I1049,SUMIFS(N1050:N$9844,$F1050:$F$9844,"*"&amp;F1049&amp;"*",$H1050:$H$9844,"&lt;&gt;"))</f>
        <v>0</v>
      </c>
      <c r="O1049" s="162" t="str">
        <f>IFERROR((-Tabela2[[#This Row],[CUSTO TOTAL]]+Tabela2[[#This Row],[VENDA TOTAL]])/Tabela2[[#This Row],[VENDA TOTAL]]-PARAMETROS!$C$19,"")</f>
        <v/>
      </c>
      <c r="AA1049" s="219">
        <f>SUM(Plan_Orc[[#This Row],[01/jan]:[01/dez]])</f>
        <v>0</v>
      </c>
      <c r="AB1049" s="15"/>
      <c r="AC1049" s="15"/>
      <c r="AD1049" s="15"/>
      <c r="AE1049" s="15"/>
      <c r="AF1049" s="15"/>
      <c r="AG1049" s="15"/>
      <c r="AH1049" s="15"/>
      <c r="AI1049" s="15"/>
      <c r="AJ1049" s="15"/>
      <c r="AK1049" s="15"/>
      <c r="AL1049" s="15"/>
      <c r="AM1049" s="15"/>
    </row>
    <row r="1050" spans="2:39" ht="25.2" customHeight="1" x14ac:dyDescent="0.3">
      <c r="B1050" s="13" t="str">
        <f t="shared" si="20"/>
        <v/>
      </c>
      <c r="C1050" s="18"/>
      <c r="D1050" s="19" t="str">
        <f>IF(Tabela2[[#This Row],[AGRUPADOR]]&lt;&gt;"",VLOOKUP(Tabela2[[#This Row],[AGRUPADOR]],Tabela1[],2,0),"")</f>
        <v/>
      </c>
      <c r="E1050" s="19" t="str">
        <f>IF(Tabela2[[#This Row],[AGRUPADOR]]&lt;&gt;"",VLOOKUP(Tabela2[[#This Row],[AGRUPADOR]],Tabela1[],4,0),"")</f>
        <v/>
      </c>
      <c r="F1050" s="14"/>
      <c r="G1050" s="6"/>
      <c r="H1050" s="6"/>
      <c r="I1050" s="25"/>
      <c r="J1050" s="7"/>
      <c r="K1050" s="15"/>
      <c r="L1050" s="379">
        <f>IF(H1050&lt;&gt;"",J1050*K1050,SUMIFS(L1051:L$9844,$F1051:$F$9844,"*"&amp;F1050&amp;"*",$H1051:$H$9844,"&lt;&gt;"))</f>
        <v>0</v>
      </c>
      <c r="M1050" s="379" t="str">
        <f>IF(Tabela2[[#This Row],[UNID.]]&lt;&gt;"",IFERROR(VLOOKUP(Tabela2[[#This Row],[AGRUPADOR]],Lucratividade!$D$4:$O$129,6,0),0),"")</f>
        <v/>
      </c>
      <c r="N1050" s="379">
        <f>IF(H1050&lt;&gt;"",J1050*M1050*I1050,SUMIFS(N1051:N$9844,$F1051:$F$9844,"*"&amp;F1050&amp;"*",$H1051:$H$9844,"&lt;&gt;"))</f>
        <v>0</v>
      </c>
      <c r="O1050" s="162" t="str">
        <f>IFERROR((-Tabela2[[#This Row],[CUSTO TOTAL]]+Tabela2[[#This Row],[VENDA TOTAL]])/Tabela2[[#This Row],[VENDA TOTAL]]-PARAMETROS!$C$19,"")</f>
        <v/>
      </c>
      <c r="AA1050" s="219">
        <f>SUM(Plan_Orc[[#This Row],[01/jan]:[01/dez]])</f>
        <v>0</v>
      </c>
      <c r="AB1050" s="15"/>
      <c r="AC1050" s="15"/>
      <c r="AD1050" s="15"/>
      <c r="AE1050" s="15"/>
      <c r="AF1050" s="15"/>
      <c r="AG1050" s="15"/>
      <c r="AH1050" s="15"/>
      <c r="AI1050" s="15"/>
      <c r="AJ1050" s="15"/>
      <c r="AK1050" s="15"/>
      <c r="AL1050" s="15"/>
      <c r="AM1050" s="15"/>
    </row>
    <row r="1051" spans="2:39" ht="25.2" customHeight="1" x14ac:dyDescent="0.3">
      <c r="B1051" s="13" t="str">
        <f t="shared" si="20"/>
        <v/>
      </c>
      <c r="C1051" s="18"/>
      <c r="D1051" s="19" t="str">
        <f>IF(Tabela2[[#This Row],[AGRUPADOR]]&lt;&gt;"",VLOOKUP(Tabela2[[#This Row],[AGRUPADOR]],Tabela1[],2,0),"")</f>
        <v/>
      </c>
      <c r="E1051" s="19" t="str">
        <f>IF(Tabela2[[#This Row],[AGRUPADOR]]&lt;&gt;"",VLOOKUP(Tabela2[[#This Row],[AGRUPADOR]],Tabela1[],4,0),"")</f>
        <v/>
      </c>
      <c r="F1051" s="14"/>
      <c r="G1051" s="6"/>
      <c r="H1051" s="6"/>
      <c r="I1051" s="25"/>
      <c r="J1051" s="7"/>
      <c r="K1051" s="15"/>
      <c r="L1051" s="379">
        <f>IF(H1051&lt;&gt;"",J1051*K1051,SUMIFS(L1052:L$9844,$F1052:$F$9844,"*"&amp;F1051&amp;"*",$H1052:$H$9844,"&lt;&gt;"))</f>
        <v>0</v>
      </c>
      <c r="M1051" s="379" t="str">
        <f>IF(Tabela2[[#This Row],[UNID.]]&lt;&gt;"",IFERROR(VLOOKUP(Tabela2[[#This Row],[AGRUPADOR]],Lucratividade!$D$4:$O$129,6,0),0),"")</f>
        <v/>
      </c>
      <c r="N1051" s="379">
        <f>IF(H1051&lt;&gt;"",J1051*M1051*I1051,SUMIFS(N1052:N$9844,$F1052:$F$9844,"*"&amp;F1051&amp;"*",$H1052:$H$9844,"&lt;&gt;"))</f>
        <v>0</v>
      </c>
      <c r="O1051" s="162" t="str">
        <f>IFERROR((-Tabela2[[#This Row],[CUSTO TOTAL]]+Tabela2[[#This Row],[VENDA TOTAL]])/Tabela2[[#This Row],[VENDA TOTAL]]-PARAMETROS!$C$19,"")</f>
        <v/>
      </c>
      <c r="AA1051" s="219">
        <f>SUM(Plan_Orc[[#This Row],[01/jan]:[01/dez]])</f>
        <v>0</v>
      </c>
      <c r="AB1051" s="15"/>
      <c r="AC1051" s="15"/>
      <c r="AD1051" s="15"/>
      <c r="AE1051" s="15"/>
      <c r="AF1051" s="15"/>
      <c r="AG1051" s="15"/>
      <c r="AH1051" s="15"/>
      <c r="AI1051" s="15"/>
      <c r="AJ1051" s="15"/>
      <c r="AK1051" s="15"/>
      <c r="AL1051" s="15"/>
      <c r="AM1051" s="15"/>
    </row>
    <row r="1052" spans="2:39" ht="25.2" customHeight="1" x14ac:dyDescent="0.3">
      <c r="B1052" s="13" t="str">
        <f t="shared" si="20"/>
        <v/>
      </c>
      <c r="C1052" s="18"/>
      <c r="D1052" s="19" t="str">
        <f>IF(Tabela2[[#This Row],[AGRUPADOR]]&lt;&gt;"",VLOOKUP(Tabela2[[#This Row],[AGRUPADOR]],Tabela1[],2,0),"")</f>
        <v/>
      </c>
      <c r="E1052" s="19" t="str">
        <f>IF(Tabela2[[#This Row],[AGRUPADOR]]&lt;&gt;"",VLOOKUP(Tabela2[[#This Row],[AGRUPADOR]],Tabela1[],4,0),"")</f>
        <v/>
      </c>
      <c r="F1052" s="14"/>
      <c r="G1052" s="6"/>
      <c r="H1052" s="6"/>
      <c r="I1052" s="25"/>
      <c r="J1052" s="7"/>
      <c r="K1052" s="15"/>
      <c r="L1052" s="379">
        <f>IF(H1052&lt;&gt;"",J1052*K1052,SUMIFS(L1053:L$9844,$F1053:$F$9844,"*"&amp;F1052&amp;"*",$H1053:$H$9844,"&lt;&gt;"))</f>
        <v>0</v>
      </c>
      <c r="M1052" s="379" t="str">
        <f>IF(Tabela2[[#This Row],[UNID.]]&lt;&gt;"",IFERROR(VLOOKUP(Tabela2[[#This Row],[AGRUPADOR]],Lucratividade!$D$4:$O$129,6,0),0),"")</f>
        <v/>
      </c>
      <c r="N1052" s="379">
        <f>IF(H1052&lt;&gt;"",J1052*M1052*I1052,SUMIFS(N1053:N$9844,$F1053:$F$9844,"*"&amp;F1052&amp;"*",$H1053:$H$9844,"&lt;&gt;"))</f>
        <v>0</v>
      </c>
      <c r="O1052" s="162" t="str">
        <f>IFERROR((-Tabela2[[#This Row],[CUSTO TOTAL]]+Tabela2[[#This Row],[VENDA TOTAL]])/Tabela2[[#This Row],[VENDA TOTAL]]-PARAMETROS!$C$19,"")</f>
        <v/>
      </c>
      <c r="AA1052" s="219">
        <f>SUM(Plan_Orc[[#This Row],[01/jan]:[01/dez]])</f>
        <v>0</v>
      </c>
      <c r="AB1052" s="15"/>
      <c r="AC1052" s="15"/>
      <c r="AD1052" s="15"/>
      <c r="AE1052" s="15"/>
      <c r="AF1052" s="15"/>
      <c r="AG1052" s="15"/>
      <c r="AH1052" s="15"/>
      <c r="AI1052" s="15"/>
      <c r="AJ1052" s="15"/>
      <c r="AK1052" s="15"/>
      <c r="AL1052" s="15"/>
      <c r="AM1052" s="15"/>
    </row>
    <row r="1053" spans="2:39" ht="25.2" customHeight="1" x14ac:dyDescent="0.3">
      <c r="B1053" s="13" t="str">
        <f t="shared" si="20"/>
        <v/>
      </c>
      <c r="C1053" s="18"/>
      <c r="D1053" s="19" t="str">
        <f>IF(Tabela2[[#This Row],[AGRUPADOR]]&lt;&gt;"",VLOOKUP(Tabela2[[#This Row],[AGRUPADOR]],Tabela1[],2,0),"")</f>
        <v/>
      </c>
      <c r="E1053" s="19" t="str">
        <f>IF(Tabela2[[#This Row],[AGRUPADOR]]&lt;&gt;"",VLOOKUP(Tabela2[[#This Row],[AGRUPADOR]],Tabela1[],4,0),"")</f>
        <v/>
      </c>
      <c r="F1053" s="14"/>
      <c r="G1053" s="6"/>
      <c r="H1053" s="6"/>
      <c r="I1053" s="25"/>
      <c r="J1053" s="7"/>
      <c r="K1053" s="15"/>
      <c r="L1053" s="379">
        <f>IF(H1053&lt;&gt;"",J1053*K1053,SUMIFS(L1054:L$9844,$F1054:$F$9844,"*"&amp;F1053&amp;"*",$H1054:$H$9844,"&lt;&gt;"))</f>
        <v>0</v>
      </c>
      <c r="M1053" s="379" t="str">
        <f>IF(Tabela2[[#This Row],[UNID.]]&lt;&gt;"",IFERROR(VLOOKUP(Tabela2[[#This Row],[AGRUPADOR]],Lucratividade!$D$4:$O$129,6,0),0),"")</f>
        <v/>
      </c>
      <c r="N1053" s="379">
        <f>IF(H1053&lt;&gt;"",J1053*M1053*I1053,SUMIFS(N1054:N$9844,$F1054:$F$9844,"*"&amp;F1053&amp;"*",$H1054:$H$9844,"&lt;&gt;"))</f>
        <v>0</v>
      </c>
      <c r="O1053" s="162" t="str">
        <f>IFERROR((-Tabela2[[#This Row],[CUSTO TOTAL]]+Tabela2[[#This Row],[VENDA TOTAL]])/Tabela2[[#This Row],[VENDA TOTAL]]-PARAMETROS!$C$19,"")</f>
        <v/>
      </c>
      <c r="AA1053" s="218">
        <f>SUM(Plan_Orc[[#This Row],[01/jan]:[01/dez]])</f>
        <v>0</v>
      </c>
      <c r="AB1053" s="12"/>
      <c r="AC1053" s="12"/>
      <c r="AD1053" s="12"/>
      <c r="AE1053" s="12"/>
      <c r="AF1053" s="12"/>
      <c r="AG1053" s="12"/>
      <c r="AH1053" s="12"/>
      <c r="AI1053" s="12"/>
      <c r="AJ1053" s="12"/>
      <c r="AK1053" s="12"/>
      <c r="AL1053" s="12"/>
      <c r="AM1053" s="12"/>
    </row>
    <row r="1054" spans="2:39" ht="25.2" customHeight="1" x14ac:dyDescent="0.3">
      <c r="B1054" s="13" t="str">
        <f t="shared" si="20"/>
        <v/>
      </c>
      <c r="C1054" s="18"/>
      <c r="D1054" s="19" t="str">
        <f>IF(Tabela2[[#This Row],[AGRUPADOR]]&lt;&gt;"",VLOOKUP(Tabela2[[#This Row],[AGRUPADOR]],Tabela1[],2,0),"")</f>
        <v/>
      </c>
      <c r="E1054" s="19" t="str">
        <f>IF(Tabela2[[#This Row],[AGRUPADOR]]&lt;&gt;"",VLOOKUP(Tabela2[[#This Row],[AGRUPADOR]],Tabela1[],4,0),"")</f>
        <v/>
      </c>
      <c r="F1054" s="14"/>
      <c r="G1054" s="6"/>
      <c r="H1054" s="6"/>
      <c r="I1054" s="25"/>
      <c r="J1054" s="7"/>
      <c r="K1054" s="15"/>
      <c r="L1054" s="379">
        <f>IF(H1054&lt;&gt;"",J1054*K1054,SUMIFS(L1055:L$9844,$F1055:$F$9844,"*"&amp;F1054&amp;"*",$H1055:$H$9844,"&lt;&gt;"))</f>
        <v>0</v>
      </c>
      <c r="M1054" s="379" t="str">
        <f>IF(Tabela2[[#This Row],[UNID.]]&lt;&gt;"",IFERROR(VLOOKUP(Tabela2[[#This Row],[AGRUPADOR]],Lucratividade!$D$4:$O$129,6,0),0),"")</f>
        <v/>
      </c>
      <c r="N1054" s="379">
        <f>IF(H1054&lt;&gt;"",J1054*M1054*I1054,SUMIFS(N1055:N$9844,$F1055:$F$9844,"*"&amp;F1054&amp;"*",$H1055:$H$9844,"&lt;&gt;"))</f>
        <v>0</v>
      </c>
      <c r="O1054" s="162" t="str">
        <f>IFERROR((-Tabela2[[#This Row],[CUSTO TOTAL]]+Tabela2[[#This Row],[VENDA TOTAL]])/Tabela2[[#This Row],[VENDA TOTAL]]-PARAMETROS!$C$19,"")</f>
        <v/>
      </c>
      <c r="AA1054" s="219">
        <f>SUM(Plan_Orc[[#This Row],[01/jan]:[01/dez]])</f>
        <v>0</v>
      </c>
      <c r="AB1054" s="15"/>
      <c r="AC1054" s="15"/>
      <c r="AD1054" s="15"/>
      <c r="AE1054" s="15"/>
      <c r="AF1054" s="15"/>
      <c r="AG1054" s="15"/>
      <c r="AH1054" s="15"/>
      <c r="AI1054" s="15"/>
      <c r="AJ1054" s="15"/>
      <c r="AK1054" s="15"/>
      <c r="AL1054" s="15"/>
      <c r="AM1054" s="15"/>
    </row>
    <row r="1055" spans="2:39" ht="25.2" customHeight="1" x14ac:dyDescent="0.3">
      <c r="B1055" s="13" t="str">
        <f t="shared" si="20"/>
        <v/>
      </c>
      <c r="C1055" s="18"/>
      <c r="D1055" s="19" t="str">
        <f>IF(Tabela2[[#This Row],[AGRUPADOR]]&lt;&gt;"",VLOOKUP(Tabela2[[#This Row],[AGRUPADOR]],Tabela1[],2,0),"")</f>
        <v/>
      </c>
      <c r="E1055" s="19" t="str">
        <f>IF(Tabela2[[#This Row],[AGRUPADOR]]&lt;&gt;"",VLOOKUP(Tabela2[[#This Row],[AGRUPADOR]],Tabela1[],4,0),"")</f>
        <v/>
      </c>
      <c r="F1055" s="14"/>
      <c r="G1055" s="6"/>
      <c r="H1055" s="6"/>
      <c r="I1055" s="25"/>
      <c r="J1055" s="7"/>
      <c r="K1055" s="15"/>
      <c r="L1055" s="379">
        <f>IF(H1055&lt;&gt;"",J1055*K1055,SUMIFS(L1056:L$9844,$F1056:$F$9844,"*"&amp;F1055&amp;"*",$H1056:$H$9844,"&lt;&gt;"))</f>
        <v>0</v>
      </c>
      <c r="M1055" s="379" t="str">
        <f>IF(Tabela2[[#This Row],[UNID.]]&lt;&gt;"",IFERROR(VLOOKUP(Tabela2[[#This Row],[AGRUPADOR]],Lucratividade!$D$4:$O$129,6,0),0),"")</f>
        <v/>
      </c>
      <c r="N1055" s="379">
        <f>IF(H1055&lt;&gt;"",J1055*M1055*I1055,SUMIFS(N1056:N$9844,$F1056:$F$9844,"*"&amp;F1055&amp;"*",$H1056:$H$9844,"&lt;&gt;"))</f>
        <v>0</v>
      </c>
      <c r="O1055" s="162" t="str">
        <f>IFERROR((-Tabela2[[#This Row],[CUSTO TOTAL]]+Tabela2[[#This Row],[VENDA TOTAL]])/Tabela2[[#This Row],[VENDA TOTAL]]-PARAMETROS!$C$19,"")</f>
        <v/>
      </c>
      <c r="AA1055" s="219">
        <f>SUM(Plan_Orc[[#This Row],[01/jan]:[01/dez]])</f>
        <v>0</v>
      </c>
      <c r="AB1055" s="15"/>
      <c r="AC1055" s="15"/>
      <c r="AD1055" s="15"/>
      <c r="AE1055" s="15"/>
      <c r="AF1055" s="15"/>
      <c r="AG1055" s="15"/>
      <c r="AH1055" s="15"/>
      <c r="AI1055" s="15"/>
      <c r="AJ1055" s="15"/>
      <c r="AK1055" s="15"/>
      <c r="AL1055" s="15"/>
      <c r="AM1055" s="15"/>
    </row>
    <row r="1056" spans="2:39" ht="25.2" customHeight="1" x14ac:dyDescent="0.3">
      <c r="B1056" s="13" t="str">
        <f t="shared" si="20"/>
        <v/>
      </c>
      <c r="C1056" s="18"/>
      <c r="D1056" s="19" t="str">
        <f>IF(Tabela2[[#This Row],[AGRUPADOR]]&lt;&gt;"",VLOOKUP(Tabela2[[#This Row],[AGRUPADOR]],Tabela1[],2,0),"")</f>
        <v/>
      </c>
      <c r="E1056" s="19" t="str">
        <f>IF(Tabela2[[#This Row],[AGRUPADOR]]&lt;&gt;"",VLOOKUP(Tabela2[[#This Row],[AGRUPADOR]],Tabela1[],4,0),"")</f>
        <v/>
      </c>
      <c r="F1056" s="14"/>
      <c r="G1056" s="6"/>
      <c r="H1056" s="6"/>
      <c r="I1056" s="25"/>
      <c r="J1056" s="7"/>
      <c r="K1056" s="15"/>
      <c r="L1056" s="379">
        <f>IF(H1056&lt;&gt;"",J1056*K1056,SUMIFS(L1057:L$9844,$F1057:$F$9844,"*"&amp;F1056&amp;"*",$H1057:$H$9844,"&lt;&gt;"))</f>
        <v>0</v>
      </c>
      <c r="M1056" s="379" t="str">
        <f>IF(Tabela2[[#This Row],[UNID.]]&lt;&gt;"",IFERROR(VLOOKUP(Tabela2[[#This Row],[AGRUPADOR]],Lucratividade!$D$4:$O$129,6,0),0),"")</f>
        <v/>
      </c>
      <c r="N1056" s="379">
        <f>IF(H1056&lt;&gt;"",J1056*M1056*I1056,SUMIFS(N1057:N$9844,$F1057:$F$9844,"*"&amp;F1056&amp;"*",$H1057:$H$9844,"&lt;&gt;"))</f>
        <v>0</v>
      </c>
      <c r="O1056" s="162" t="str">
        <f>IFERROR((-Tabela2[[#This Row],[CUSTO TOTAL]]+Tabela2[[#This Row],[VENDA TOTAL]])/Tabela2[[#This Row],[VENDA TOTAL]]-PARAMETROS!$C$19,"")</f>
        <v/>
      </c>
      <c r="AA1056" s="219">
        <f>SUM(Plan_Orc[[#This Row],[01/jan]:[01/dez]])</f>
        <v>0</v>
      </c>
      <c r="AB1056" s="15"/>
      <c r="AC1056" s="15"/>
      <c r="AD1056" s="15"/>
      <c r="AE1056" s="15"/>
      <c r="AF1056" s="15"/>
      <c r="AG1056" s="15"/>
      <c r="AH1056" s="15"/>
      <c r="AI1056" s="15"/>
      <c r="AJ1056" s="15"/>
      <c r="AK1056" s="15"/>
      <c r="AL1056" s="15"/>
      <c r="AM1056" s="15"/>
    </row>
    <row r="1057" spans="2:39" ht="25.2" customHeight="1" x14ac:dyDescent="0.3">
      <c r="B1057" s="13" t="str">
        <f t="shared" si="20"/>
        <v/>
      </c>
      <c r="C1057" s="18"/>
      <c r="D1057" s="19" t="str">
        <f>IF(Tabela2[[#This Row],[AGRUPADOR]]&lt;&gt;"",VLOOKUP(Tabela2[[#This Row],[AGRUPADOR]],Tabela1[],2,0),"")</f>
        <v/>
      </c>
      <c r="E1057" s="19" t="str">
        <f>IF(Tabela2[[#This Row],[AGRUPADOR]]&lt;&gt;"",VLOOKUP(Tabela2[[#This Row],[AGRUPADOR]],Tabela1[],4,0),"")</f>
        <v/>
      </c>
      <c r="F1057" s="14"/>
      <c r="G1057" s="6"/>
      <c r="H1057" s="6"/>
      <c r="I1057" s="25"/>
      <c r="J1057" s="7"/>
      <c r="K1057" s="15"/>
      <c r="L1057" s="379">
        <f>IF(H1057&lt;&gt;"",J1057*K1057,SUMIFS(L1058:L$9844,$F1058:$F$9844,"*"&amp;F1057&amp;"*",$H1058:$H$9844,"&lt;&gt;"))</f>
        <v>0</v>
      </c>
      <c r="M1057" s="379" t="str">
        <f>IF(Tabela2[[#This Row],[UNID.]]&lt;&gt;"",IFERROR(VLOOKUP(Tabela2[[#This Row],[AGRUPADOR]],Lucratividade!$D$4:$O$129,6,0),0),"")</f>
        <v/>
      </c>
      <c r="N1057" s="379">
        <f>IF(H1057&lt;&gt;"",J1057*M1057*I1057,SUMIFS(N1058:N$9844,$F1058:$F$9844,"*"&amp;F1057&amp;"*",$H1058:$H$9844,"&lt;&gt;"))</f>
        <v>0</v>
      </c>
      <c r="O1057" s="162" t="str">
        <f>IFERROR((-Tabela2[[#This Row],[CUSTO TOTAL]]+Tabela2[[#This Row],[VENDA TOTAL]])/Tabela2[[#This Row],[VENDA TOTAL]]-PARAMETROS!$C$19,"")</f>
        <v/>
      </c>
      <c r="AA1057" s="219">
        <f>SUM(Plan_Orc[[#This Row],[01/jan]:[01/dez]])</f>
        <v>0</v>
      </c>
      <c r="AB1057" s="15"/>
      <c r="AC1057" s="15"/>
      <c r="AD1057" s="15"/>
      <c r="AE1057" s="15"/>
      <c r="AF1057" s="15"/>
      <c r="AG1057" s="15"/>
      <c r="AH1057" s="15"/>
      <c r="AI1057" s="15"/>
      <c r="AJ1057" s="15"/>
      <c r="AK1057" s="15"/>
      <c r="AL1057" s="15"/>
      <c r="AM1057" s="15"/>
    </row>
    <row r="1058" spans="2:39" ht="25.2" customHeight="1" x14ac:dyDescent="0.3">
      <c r="B1058" s="13" t="str">
        <f t="shared" si="20"/>
        <v/>
      </c>
      <c r="C1058" s="18"/>
      <c r="D1058" s="19" t="str">
        <f>IF(Tabela2[[#This Row],[AGRUPADOR]]&lt;&gt;"",VLOOKUP(Tabela2[[#This Row],[AGRUPADOR]],Tabela1[],2,0),"")</f>
        <v/>
      </c>
      <c r="E1058" s="19" t="str">
        <f>IF(Tabela2[[#This Row],[AGRUPADOR]]&lt;&gt;"",VLOOKUP(Tabela2[[#This Row],[AGRUPADOR]],Tabela1[],4,0),"")</f>
        <v/>
      </c>
      <c r="F1058" s="14"/>
      <c r="G1058" s="6"/>
      <c r="H1058" s="6"/>
      <c r="I1058" s="25"/>
      <c r="J1058" s="7"/>
      <c r="K1058" s="15"/>
      <c r="L1058" s="379">
        <f>IF(H1058&lt;&gt;"",J1058*K1058,SUMIFS(L1059:L$9844,$F1059:$F$9844,"*"&amp;F1058&amp;"*",$H1059:$H$9844,"&lt;&gt;"))</f>
        <v>0</v>
      </c>
      <c r="M1058" s="379" t="str">
        <f>IF(Tabela2[[#This Row],[UNID.]]&lt;&gt;"",IFERROR(VLOOKUP(Tabela2[[#This Row],[AGRUPADOR]],Lucratividade!$D$4:$O$129,6,0),0),"")</f>
        <v/>
      </c>
      <c r="N1058" s="379">
        <f>IF(H1058&lt;&gt;"",J1058*M1058*I1058,SUMIFS(N1059:N$9844,$F1059:$F$9844,"*"&amp;F1058&amp;"*",$H1059:$H$9844,"&lt;&gt;"))</f>
        <v>0</v>
      </c>
      <c r="O1058" s="162" t="str">
        <f>IFERROR((-Tabela2[[#This Row],[CUSTO TOTAL]]+Tabela2[[#This Row],[VENDA TOTAL]])/Tabela2[[#This Row],[VENDA TOTAL]]-PARAMETROS!$C$19,"")</f>
        <v/>
      </c>
      <c r="AA1058" s="219">
        <f>SUM(Plan_Orc[[#This Row],[01/jan]:[01/dez]])</f>
        <v>0</v>
      </c>
      <c r="AB1058" s="15"/>
      <c r="AC1058" s="15"/>
      <c r="AD1058" s="15"/>
      <c r="AE1058" s="15"/>
      <c r="AF1058" s="15"/>
      <c r="AG1058" s="15"/>
      <c r="AH1058" s="15"/>
      <c r="AI1058" s="15"/>
      <c r="AJ1058" s="15"/>
      <c r="AK1058" s="15"/>
      <c r="AL1058" s="15"/>
      <c r="AM1058" s="15"/>
    </row>
    <row r="1059" spans="2:39" ht="25.2" customHeight="1" x14ac:dyDescent="0.3">
      <c r="B1059" s="13" t="str">
        <f t="shared" si="20"/>
        <v/>
      </c>
      <c r="C1059" s="18"/>
      <c r="D1059" s="19" t="str">
        <f>IF(Tabela2[[#This Row],[AGRUPADOR]]&lt;&gt;"",VLOOKUP(Tabela2[[#This Row],[AGRUPADOR]],Tabela1[],2,0),"")</f>
        <v/>
      </c>
      <c r="E1059" s="19" t="str">
        <f>IF(Tabela2[[#This Row],[AGRUPADOR]]&lt;&gt;"",VLOOKUP(Tabela2[[#This Row],[AGRUPADOR]],Tabela1[],4,0),"")</f>
        <v/>
      </c>
      <c r="F1059" s="14"/>
      <c r="G1059" s="6"/>
      <c r="H1059" s="6"/>
      <c r="I1059" s="25"/>
      <c r="J1059" s="7"/>
      <c r="K1059" s="15"/>
      <c r="L1059" s="379">
        <f>IF(H1059&lt;&gt;"",J1059*K1059,SUMIFS(L1060:L$9844,$F1060:$F$9844,"*"&amp;F1059&amp;"*",$H1060:$H$9844,"&lt;&gt;"))</f>
        <v>0</v>
      </c>
      <c r="M1059" s="379" t="str">
        <f>IF(Tabela2[[#This Row],[UNID.]]&lt;&gt;"",IFERROR(VLOOKUP(Tabela2[[#This Row],[AGRUPADOR]],Lucratividade!$D$4:$O$129,6,0),0),"")</f>
        <v/>
      </c>
      <c r="N1059" s="379">
        <f>IF(H1059&lt;&gt;"",J1059*M1059*I1059,SUMIFS(N1060:N$9844,$F1060:$F$9844,"*"&amp;F1059&amp;"*",$H1060:$H$9844,"&lt;&gt;"))</f>
        <v>0</v>
      </c>
      <c r="O1059" s="162" t="str">
        <f>IFERROR((-Tabela2[[#This Row],[CUSTO TOTAL]]+Tabela2[[#This Row],[VENDA TOTAL]])/Tabela2[[#This Row],[VENDA TOTAL]]-PARAMETROS!$C$19,"")</f>
        <v/>
      </c>
      <c r="AA1059" s="219">
        <f>SUM(Plan_Orc[[#This Row],[01/jan]:[01/dez]])</f>
        <v>0</v>
      </c>
      <c r="AB1059" s="15"/>
      <c r="AC1059" s="15"/>
      <c r="AD1059" s="15"/>
      <c r="AE1059" s="15"/>
      <c r="AF1059" s="15"/>
      <c r="AG1059" s="15"/>
      <c r="AH1059" s="15"/>
      <c r="AI1059" s="15"/>
      <c r="AJ1059" s="15"/>
      <c r="AK1059" s="15"/>
      <c r="AL1059" s="15"/>
      <c r="AM1059" s="15"/>
    </row>
    <row r="1060" spans="2:39" ht="25.2" customHeight="1" x14ac:dyDescent="0.3">
      <c r="B1060" s="13" t="str">
        <f t="shared" si="20"/>
        <v/>
      </c>
      <c r="C1060" s="18"/>
      <c r="D1060" s="19" t="str">
        <f>IF(Tabela2[[#This Row],[AGRUPADOR]]&lt;&gt;"",VLOOKUP(Tabela2[[#This Row],[AGRUPADOR]],Tabela1[],2,0),"")</f>
        <v/>
      </c>
      <c r="E1060" s="19" t="str">
        <f>IF(Tabela2[[#This Row],[AGRUPADOR]]&lt;&gt;"",VLOOKUP(Tabela2[[#This Row],[AGRUPADOR]],Tabela1[],4,0),"")</f>
        <v/>
      </c>
      <c r="F1060" s="14"/>
      <c r="G1060" s="6"/>
      <c r="H1060" s="6"/>
      <c r="I1060" s="25"/>
      <c r="J1060" s="7"/>
      <c r="K1060" s="15"/>
      <c r="L1060" s="379">
        <f>IF(H1060&lt;&gt;"",J1060*K1060,SUMIFS(L1061:L$9844,$F1061:$F$9844,"*"&amp;F1060&amp;"*",$H1061:$H$9844,"&lt;&gt;"))</f>
        <v>0</v>
      </c>
      <c r="M1060" s="379" t="str">
        <f>IF(Tabela2[[#This Row],[UNID.]]&lt;&gt;"",IFERROR(VLOOKUP(Tabela2[[#This Row],[AGRUPADOR]],Lucratividade!$D$4:$O$129,6,0),0),"")</f>
        <v/>
      </c>
      <c r="N1060" s="379">
        <f>IF(H1060&lt;&gt;"",J1060*M1060*I1060,SUMIFS(N1061:N$9844,$F1061:$F$9844,"*"&amp;F1060&amp;"*",$H1061:$H$9844,"&lt;&gt;"))</f>
        <v>0</v>
      </c>
      <c r="O1060" s="162" t="str">
        <f>IFERROR((-Tabela2[[#This Row],[CUSTO TOTAL]]+Tabela2[[#This Row],[VENDA TOTAL]])/Tabela2[[#This Row],[VENDA TOTAL]]-PARAMETROS!$C$19,"")</f>
        <v/>
      </c>
      <c r="AA1060" s="219">
        <f>SUM(Plan_Orc[[#This Row],[01/jan]:[01/dez]])</f>
        <v>0</v>
      </c>
      <c r="AB1060" s="15"/>
      <c r="AC1060" s="15"/>
      <c r="AD1060" s="15"/>
      <c r="AE1060" s="15"/>
      <c r="AF1060" s="15"/>
      <c r="AG1060" s="15"/>
      <c r="AH1060" s="15"/>
      <c r="AI1060" s="15"/>
      <c r="AJ1060" s="15"/>
      <c r="AK1060" s="15"/>
      <c r="AL1060" s="15"/>
      <c r="AM1060" s="15"/>
    </row>
    <row r="1061" spans="2:39" ht="25.2" customHeight="1" x14ac:dyDescent="0.3">
      <c r="B1061" s="13" t="str">
        <f t="shared" si="20"/>
        <v/>
      </c>
      <c r="C1061" s="18"/>
      <c r="D1061" s="19" t="str">
        <f>IF(Tabela2[[#This Row],[AGRUPADOR]]&lt;&gt;"",VLOOKUP(Tabela2[[#This Row],[AGRUPADOR]],Tabela1[],2,0),"")</f>
        <v/>
      </c>
      <c r="E1061" s="19" t="str">
        <f>IF(Tabela2[[#This Row],[AGRUPADOR]]&lt;&gt;"",VLOOKUP(Tabela2[[#This Row],[AGRUPADOR]],Tabela1[],4,0),"")</f>
        <v/>
      </c>
      <c r="F1061" s="14"/>
      <c r="G1061" s="6"/>
      <c r="H1061" s="6"/>
      <c r="I1061" s="25"/>
      <c r="J1061" s="7"/>
      <c r="K1061" s="15"/>
      <c r="L1061" s="379">
        <f>IF(H1061&lt;&gt;"",J1061*K1061,SUMIFS(L1062:L$9844,$F1062:$F$9844,"*"&amp;F1061&amp;"*",$H1062:$H$9844,"&lt;&gt;"))</f>
        <v>0</v>
      </c>
      <c r="M1061" s="379" t="str">
        <f>IF(Tabela2[[#This Row],[UNID.]]&lt;&gt;"",IFERROR(VLOOKUP(Tabela2[[#This Row],[AGRUPADOR]],Lucratividade!$D$4:$O$129,6,0),0),"")</f>
        <v/>
      </c>
      <c r="N1061" s="379">
        <f>IF(H1061&lt;&gt;"",J1061*M1061*I1061,SUMIFS(N1062:N$9844,$F1062:$F$9844,"*"&amp;F1061&amp;"*",$H1062:$H$9844,"&lt;&gt;"))</f>
        <v>0</v>
      </c>
      <c r="O1061" s="162" t="str">
        <f>IFERROR((-Tabela2[[#This Row],[CUSTO TOTAL]]+Tabela2[[#This Row],[VENDA TOTAL]])/Tabela2[[#This Row],[VENDA TOTAL]]-PARAMETROS!$C$19,"")</f>
        <v/>
      </c>
      <c r="AA1061" s="219">
        <f>SUM(Plan_Orc[[#This Row],[01/jan]:[01/dez]])</f>
        <v>0</v>
      </c>
      <c r="AB1061" s="15"/>
      <c r="AC1061" s="15"/>
      <c r="AD1061" s="15"/>
      <c r="AE1061" s="15"/>
      <c r="AF1061" s="15"/>
      <c r="AG1061" s="15"/>
      <c r="AH1061" s="15"/>
      <c r="AI1061" s="15"/>
      <c r="AJ1061" s="15"/>
      <c r="AK1061" s="15"/>
      <c r="AL1061" s="15"/>
      <c r="AM1061" s="15"/>
    </row>
    <row r="1062" spans="2:39" ht="25.2" customHeight="1" x14ac:dyDescent="0.3">
      <c r="B1062" s="13" t="str">
        <f t="shared" si="20"/>
        <v/>
      </c>
      <c r="C1062" s="18"/>
      <c r="D1062" s="19" t="str">
        <f>IF(Tabela2[[#This Row],[AGRUPADOR]]&lt;&gt;"",VLOOKUP(Tabela2[[#This Row],[AGRUPADOR]],Tabela1[],2,0),"")</f>
        <v/>
      </c>
      <c r="E1062" s="19" t="str">
        <f>IF(Tabela2[[#This Row],[AGRUPADOR]]&lt;&gt;"",VLOOKUP(Tabela2[[#This Row],[AGRUPADOR]],Tabela1[],4,0),"")</f>
        <v/>
      </c>
      <c r="F1062" s="14"/>
      <c r="G1062" s="6"/>
      <c r="H1062" s="6"/>
      <c r="I1062" s="25"/>
      <c r="J1062" s="7"/>
      <c r="K1062" s="15"/>
      <c r="L1062" s="379">
        <f>IF(H1062&lt;&gt;"",J1062*K1062,SUMIFS(L1063:L$9844,$F1063:$F$9844,"*"&amp;F1062&amp;"*",$H1063:$H$9844,"&lt;&gt;"))</f>
        <v>0</v>
      </c>
      <c r="M1062" s="379" t="str">
        <f>IF(Tabela2[[#This Row],[UNID.]]&lt;&gt;"",IFERROR(VLOOKUP(Tabela2[[#This Row],[AGRUPADOR]],Lucratividade!$D$4:$O$129,6,0),0),"")</f>
        <v/>
      </c>
      <c r="N1062" s="379">
        <f>IF(H1062&lt;&gt;"",J1062*M1062*I1062,SUMIFS(N1063:N$9844,$F1063:$F$9844,"*"&amp;F1062&amp;"*",$H1063:$H$9844,"&lt;&gt;"))</f>
        <v>0</v>
      </c>
      <c r="O1062" s="162" t="str">
        <f>IFERROR((-Tabela2[[#This Row],[CUSTO TOTAL]]+Tabela2[[#This Row],[VENDA TOTAL]])/Tabela2[[#This Row],[VENDA TOTAL]]-PARAMETROS!$C$19,"")</f>
        <v/>
      </c>
      <c r="AA1062" s="219">
        <f>SUM(Plan_Orc[[#This Row],[01/jan]:[01/dez]])</f>
        <v>0</v>
      </c>
      <c r="AB1062" s="15"/>
      <c r="AC1062" s="15"/>
      <c r="AD1062" s="15"/>
      <c r="AE1062" s="15"/>
      <c r="AF1062" s="15"/>
      <c r="AG1062" s="15"/>
      <c r="AH1062" s="15"/>
      <c r="AI1062" s="15"/>
      <c r="AJ1062" s="15"/>
      <c r="AK1062" s="15"/>
      <c r="AL1062" s="15"/>
      <c r="AM1062" s="15"/>
    </row>
    <row r="1063" spans="2:39" ht="25.2" customHeight="1" x14ac:dyDescent="0.3">
      <c r="B1063" s="13" t="str">
        <f t="shared" si="20"/>
        <v/>
      </c>
      <c r="C1063" s="18"/>
      <c r="D1063" s="19" t="str">
        <f>IF(Tabela2[[#This Row],[AGRUPADOR]]&lt;&gt;"",VLOOKUP(Tabela2[[#This Row],[AGRUPADOR]],Tabela1[],2,0),"")</f>
        <v/>
      </c>
      <c r="E1063" s="19" t="str">
        <f>IF(Tabela2[[#This Row],[AGRUPADOR]]&lt;&gt;"",VLOOKUP(Tabela2[[#This Row],[AGRUPADOR]],Tabela1[],4,0),"")</f>
        <v/>
      </c>
      <c r="F1063" s="14"/>
      <c r="G1063" s="6"/>
      <c r="H1063" s="6"/>
      <c r="I1063" s="25"/>
      <c r="J1063" s="7"/>
      <c r="K1063" s="15"/>
      <c r="L1063" s="379">
        <f>IF(H1063&lt;&gt;"",J1063*K1063,SUMIFS(L1064:L$9844,$F1064:$F$9844,"*"&amp;F1063&amp;"*",$H1064:$H$9844,"&lt;&gt;"))</f>
        <v>0</v>
      </c>
      <c r="M1063" s="379" t="str">
        <f>IF(Tabela2[[#This Row],[UNID.]]&lt;&gt;"",IFERROR(VLOOKUP(Tabela2[[#This Row],[AGRUPADOR]],Lucratividade!$D$4:$O$129,6,0),0),"")</f>
        <v/>
      </c>
      <c r="N1063" s="379">
        <f>IF(H1063&lt;&gt;"",J1063*M1063*I1063,SUMIFS(N1064:N$9844,$F1064:$F$9844,"*"&amp;F1063&amp;"*",$H1064:$H$9844,"&lt;&gt;"))</f>
        <v>0</v>
      </c>
      <c r="O1063" s="162" t="str">
        <f>IFERROR((-Tabela2[[#This Row],[CUSTO TOTAL]]+Tabela2[[#This Row],[VENDA TOTAL]])/Tabela2[[#This Row],[VENDA TOTAL]]-PARAMETROS!$C$19,"")</f>
        <v/>
      </c>
      <c r="AA1063" s="219">
        <f>SUM(Plan_Orc[[#This Row],[01/jan]:[01/dez]])</f>
        <v>0</v>
      </c>
      <c r="AB1063" s="15"/>
      <c r="AC1063" s="15"/>
      <c r="AD1063" s="15"/>
      <c r="AE1063" s="15"/>
      <c r="AF1063" s="15"/>
      <c r="AG1063" s="15"/>
      <c r="AH1063" s="15"/>
      <c r="AI1063" s="15"/>
      <c r="AJ1063" s="15"/>
      <c r="AK1063" s="15"/>
      <c r="AL1063" s="15"/>
      <c r="AM1063" s="15"/>
    </row>
    <row r="1064" spans="2:39" ht="25.2" customHeight="1" x14ac:dyDescent="0.3">
      <c r="B1064" s="13" t="str">
        <f t="shared" si="20"/>
        <v/>
      </c>
      <c r="C1064" s="18"/>
      <c r="D1064" s="19" t="str">
        <f>IF(Tabela2[[#This Row],[AGRUPADOR]]&lt;&gt;"",VLOOKUP(Tabela2[[#This Row],[AGRUPADOR]],Tabela1[],2,0),"")</f>
        <v/>
      </c>
      <c r="E1064" s="19" t="str">
        <f>IF(Tabela2[[#This Row],[AGRUPADOR]]&lt;&gt;"",VLOOKUP(Tabela2[[#This Row],[AGRUPADOR]],Tabela1[],4,0),"")</f>
        <v/>
      </c>
      <c r="F1064" s="14"/>
      <c r="G1064" s="6"/>
      <c r="H1064" s="6"/>
      <c r="I1064" s="25"/>
      <c r="J1064" s="7"/>
      <c r="K1064" s="15"/>
      <c r="L1064" s="379">
        <f>IF(H1064&lt;&gt;"",J1064*K1064,SUMIFS(L1065:L$9844,$F1065:$F$9844,"*"&amp;F1064&amp;"*",$H1065:$H$9844,"&lt;&gt;"))</f>
        <v>0</v>
      </c>
      <c r="M1064" s="379" t="str">
        <f>IF(Tabela2[[#This Row],[UNID.]]&lt;&gt;"",IFERROR(VLOOKUP(Tabela2[[#This Row],[AGRUPADOR]],Lucratividade!$D$4:$O$129,6,0),0),"")</f>
        <v/>
      </c>
      <c r="N1064" s="379">
        <f>IF(H1064&lt;&gt;"",J1064*M1064*I1064,SUMIFS(N1065:N$9844,$F1065:$F$9844,"*"&amp;F1064&amp;"*",$H1065:$H$9844,"&lt;&gt;"))</f>
        <v>0</v>
      </c>
      <c r="O1064" s="162" t="str">
        <f>IFERROR((-Tabela2[[#This Row],[CUSTO TOTAL]]+Tabela2[[#This Row],[VENDA TOTAL]])/Tabela2[[#This Row],[VENDA TOTAL]]-PARAMETROS!$C$19,"")</f>
        <v/>
      </c>
      <c r="AA1064" s="219">
        <f>SUM(Plan_Orc[[#This Row],[01/jan]:[01/dez]])</f>
        <v>0</v>
      </c>
      <c r="AB1064" s="15"/>
      <c r="AC1064" s="15"/>
      <c r="AD1064" s="15"/>
      <c r="AE1064" s="15"/>
      <c r="AF1064" s="15"/>
      <c r="AG1064" s="15"/>
      <c r="AH1064" s="15"/>
      <c r="AI1064" s="15"/>
      <c r="AJ1064" s="15"/>
      <c r="AK1064" s="15"/>
      <c r="AL1064" s="15"/>
      <c r="AM1064" s="15"/>
    </row>
    <row r="1065" spans="2:39" ht="25.2" customHeight="1" x14ac:dyDescent="0.3">
      <c r="B1065" s="13" t="str">
        <f t="shared" si="20"/>
        <v/>
      </c>
      <c r="C1065" s="18"/>
      <c r="D1065" s="19" t="str">
        <f>IF(Tabela2[[#This Row],[AGRUPADOR]]&lt;&gt;"",VLOOKUP(Tabela2[[#This Row],[AGRUPADOR]],Tabela1[],2,0),"")</f>
        <v/>
      </c>
      <c r="E1065" s="19" t="str">
        <f>IF(Tabela2[[#This Row],[AGRUPADOR]]&lt;&gt;"",VLOOKUP(Tabela2[[#This Row],[AGRUPADOR]],Tabela1[],4,0),"")</f>
        <v/>
      </c>
      <c r="F1065" s="14"/>
      <c r="G1065" s="6"/>
      <c r="H1065" s="6"/>
      <c r="I1065" s="25"/>
      <c r="J1065" s="7"/>
      <c r="K1065" s="15"/>
      <c r="L1065" s="379">
        <f>IF(H1065&lt;&gt;"",J1065*K1065,SUMIFS(L1066:L$9844,$F1066:$F$9844,"*"&amp;F1065&amp;"*",$H1066:$H$9844,"&lt;&gt;"))</f>
        <v>0</v>
      </c>
      <c r="M1065" s="379" t="str">
        <f>IF(Tabela2[[#This Row],[UNID.]]&lt;&gt;"",IFERROR(VLOOKUP(Tabela2[[#This Row],[AGRUPADOR]],Lucratividade!$D$4:$O$129,6,0),0),"")</f>
        <v/>
      </c>
      <c r="N1065" s="379">
        <f>IF(H1065&lt;&gt;"",J1065*M1065*I1065,SUMIFS(N1066:N$9844,$F1066:$F$9844,"*"&amp;F1065&amp;"*",$H1066:$H$9844,"&lt;&gt;"))</f>
        <v>0</v>
      </c>
      <c r="O1065" s="162" t="str">
        <f>IFERROR((-Tabela2[[#This Row],[CUSTO TOTAL]]+Tabela2[[#This Row],[VENDA TOTAL]])/Tabela2[[#This Row],[VENDA TOTAL]]-PARAMETROS!$C$19,"")</f>
        <v/>
      </c>
      <c r="AA1065" s="219">
        <f>SUM(Plan_Orc[[#This Row],[01/jan]:[01/dez]])</f>
        <v>0</v>
      </c>
      <c r="AB1065" s="15"/>
      <c r="AC1065" s="15"/>
      <c r="AD1065" s="15"/>
      <c r="AE1065" s="15"/>
      <c r="AF1065" s="15"/>
      <c r="AG1065" s="15"/>
      <c r="AH1065" s="15"/>
      <c r="AI1065" s="15"/>
      <c r="AJ1065" s="15"/>
      <c r="AK1065" s="15"/>
      <c r="AL1065" s="15"/>
      <c r="AM1065" s="15"/>
    </row>
    <row r="1066" spans="2:39" ht="25.2" customHeight="1" x14ac:dyDescent="0.3">
      <c r="B1066" s="13" t="str">
        <f t="shared" si="20"/>
        <v/>
      </c>
      <c r="C1066" s="18"/>
      <c r="D1066" s="19" t="str">
        <f>IF(Tabela2[[#This Row],[AGRUPADOR]]&lt;&gt;"",VLOOKUP(Tabela2[[#This Row],[AGRUPADOR]],Tabela1[],2,0),"")</f>
        <v/>
      </c>
      <c r="E1066" s="19" t="str">
        <f>IF(Tabela2[[#This Row],[AGRUPADOR]]&lt;&gt;"",VLOOKUP(Tabela2[[#This Row],[AGRUPADOR]],Tabela1[],4,0),"")</f>
        <v/>
      </c>
      <c r="F1066" s="14"/>
      <c r="G1066" s="6"/>
      <c r="H1066" s="6"/>
      <c r="I1066" s="25"/>
      <c r="J1066" s="7"/>
      <c r="K1066" s="15"/>
      <c r="L1066" s="379">
        <f>IF(H1066&lt;&gt;"",J1066*K1066,SUMIFS(L1067:L$9844,$F1067:$F$9844,"*"&amp;F1066&amp;"*",$H1067:$H$9844,"&lt;&gt;"))</f>
        <v>0</v>
      </c>
      <c r="M1066" s="379" t="str">
        <f>IF(Tabela2[[#This Row],[UNID.]]&lt;&gt;"",IFERROR(VLOOKUP(Tabela2[[#This Row],[AGRUPADOR]],Lucratividade!$D$4:$O$129,6,0),0),"")</f>
        <v/>
      </c>
      <c r="N1066" s="379">
        <f>IF(H1066&lt;&gt;"",J1066*M1066*I1066,SUMIFS(N1067:N$9844,$F1067:$F$9844,"*"&amp;F1066&amp;"*",$H1067:$H$9844,"&lt;&gt;"))</f>
        <v>0</v>
      </c>
      <c r="O1066" s="162" t="str">
        <f>IFERROR((-Tabela2[[#This Row],[CUSTO TOTAL]]+Tabela2[[#This Row],[VENDA TOTAL]])/Tabela2[[#This Row],[VENDA TOTAL]]-PARAMETROS!$C$19,"")</f>
        <v/>
      </c>
      <c r="AA1066" s="219">
        <f>SUM(Plan_Orc[[#This Row],[01/jan]:[01/dez]])</f>
        <v>0</v>
      </c>
      <c r="AB1066" s="15"/>
      <c r="AC1066" s="15"/>
      <c r="AD1066" s="15"/>
      <c r="AE1066" s="15"/>
      <c r="AF1066" s="15"/>
      <c r="AG1066" s="15"/>
      <c r="AH1066" s="15"/>
      <c r="AI1066" s="15"/>
      <c r="AJ1066" s="15"/>
      <c r="AK1066" s="15"/>
      <c r="AL1066" s="15"/>
      <c r="AM1066" s="15"/>
    </row>
    <row r="1067" spans="2:39" ht="25.2" customHeight="1" x14ac:dyDescent="0.3">
      <c r="B1067" s="13" t="str">
        <f t="shared" si="20"/>
        <v/>
      </c>
      <c r="C1067" s="18"/>
      <c r="D1067" s="19" t="str">
        <f>IF(Tabela2[[#This Row],[AGRUPADOR]]&lt;&gt;"",VLOOKUP(Tabela2[[#This Row],[AGRUPADOR]],Tabela1[],2,0),"")</f>
        <v/>
      </c>
      <c r="E1067" s="19" t="str">
        <f>IF(Tabela2[[#This Row],[AGRUPADOR]]&lt;&gt;"",VLOOKUP(Tabela2[[#This Row],[AGRUPADOR]],Tabela1[],4,0),"")</f>
        <v/>
      </c>
      <c r="F1067" s="14"/>
      <c r="G1067" s="6"/>
      <c r="H1067" s="6"/>
      <c r="I1067" s="25"/>
      <c r="J1067" s="7"/>
      <c r="K1067" s="15"/>
      <c r="L1067" s="379">
        <f>IF(H1067&lt;&gt;"",J1067*K1067,SUMIFS(L1068:L$9844,$F1068:$F$9844,"*"&amp;F1067&amp;"*",$H1068:$H$9844,"&lt;&gt;"))</f>
        <v>0</v>
      </c>
      <c r="M1067" s="379" t="str">
        <f>IF(Tabela2[[#This Row],[UNID.]]&lt;&gt;"",IFERROR(VLOOKUP(Tabela2[[#This Row],[AGRUPADOR]],Lucratividade!$D$4:$O$129,6,0),0),"")</f>
        <v/>
      </c>
      <c r="N1067" s="379">
        <f>IF(H1067&lt;&gt;"",J1067*M1067*I1067,SUMIFS(N1068:N$9844,$F1068:$F$9844,"*"&amp;F1067&amp;"*",$H1068:$H$9844,"&lt;&gt;"))</f>
        <v>0</v>
      </c>
      <c r="O1067" s="162" t="str">
        <f>IFERROR((-Tabela2[[#This Row],[CUSTO TOTAL]]+Tabela2[[#This Row],[VENDA TOTAL]])/Tabela2[[#This Row],[VENDA TOTAL]]-PARAMETROS!$C$19,"")</f>
        <v/>
      </c>
      <c r="AA1067" s="219">
        <f>SUM(Plan_Orc[[#This Row],[01/jan]:[01/dez]])</f>
        <v>0</v>
      </c>
      <c r="AB1067" s="15"/>
      <c r="AC1067" s="15"/>
      <c r="AD1067" s="15"/>
      <c r="AE1067" s="15"/>
      <c r="AF1067" s="15"/>
      <c r="AG1067" s="15"/>
      <c r="AH1067" s="15"/>
      <c r="AI1067" s="15"/>
      <c r="AJ1067" s="15"/>
      <c r="AK1067" s="15"/>
      <c r="AL1067" s="15"/>
      <c r="AM1067" s="15"/>
    </row>
    <row r="1068" spans="2:39" ht="25.2" customHeight="1" x14ac:dyDescent="0.3">
      <c r="B1068" s="13" t="str">
        <f t="shared" si="20"/>
        <v/>
      </c>
      <c r="C1068" s="18"/>
      <c r="D1068" s="19" t="str">
        <f>IF(Tabela2[[#This Row],[AGRUPADOR]]&lt;&gt;"",VLOOKUP(Tabela2[[#This Row],[AGRUPADOR]],Tabela1[],2,0),"")</f>
        <v/>
      </c>
      <c r="E1068" s="19" t="str">
        <f>IF(Tabela2[[#This Row],[AGRUPADOR]]&lt;&gt;"",VLOOKUP(Tabela2[[#This Row],[AGRUPADOR]],Tabela1[],4,0),"")</f>
        <v/>
      </c>
      <c r="F1068" s="14"/>
      <c r="G1068" s="6"/>
      <c r="H1068" s="6"/>
      <c r="I1068" s="25"/>
      <c r="J1068" s="7"/>
      <c r="K1068" s="15"/>
      <c r="L1068" s="379">
        <f>IF(H1068&lt;&gt;"",J1068*K1068,SUMIFS(L1069:L$9844,$F1069:$F$9844,"*"&amp;F1068&amp;"*",$H1069:$H$9844,"&lt;&gt;"))</f>
        <v>0</v>
      </c>
      <c r="M1068" s="379" t="str">
        <f>IF(Tabela2[[#This Row],[UNID.]]&lt;&gt;"",IFERROR(VLOOKUP(Tabela2[[#This Row],[AGRUPADOR]],Lucratividade!$D$4:$O$129,6,0),0),"")</f>
        <v/>
      </c>
      <c r="N1068" s="379">
        <f>IF(H1068&lt;&gt;"",J1068*M1068*I1068,SUMIFS(N1069:N$9844,$F1069:$F$9844,"*"&amp;F1068&amp;"*",$H1069:$H$9844,"&lt;&gt;"))</f>
        <v>0</v>
      </c>
      <c r="O1068" s="162" t="str">
        <f>IFERROR((-Tabela2[[#This Row],[CUSTO TOTAL]]+Tabela2[[#This Row],[VENDA TOTAL]])/Tabela2[[#This Row],[VENDA TOTAL]]-PARAMETROS!$C$19,"")</f>
        <v/>
      </c>
      <c r="AA1068" s="219">
        <f>SUM(Plan_Orc[[#This Row],[01/jan]:[01/dez]])</f>
        <v>0</v>
      </c>
      <c r="AB1068" s="15"/>
      <c r="AC1068" s="15"/>
      <c r="AD1068" s="15"/>
      <c r="AE1068" s="15"/>
      <c r="AF1068" s="15"/>
      <c r="AG1068" s="15"/>
      <c r="AH1068" s="15"/>
      <c r="AI1068" s="15"/>
      <c r="AJ1068" s="15"/>
      <c r="AK1068" s="15"/>
      <c r="AL1068" s="15"/>
      <c r="AM1068" s="15"/>
    </row>
    <row r="1069" spans="2:39" ht="25.2" customHeight="1" x14ac:dyDescent="0.3">
      <c r="B1069" s="13" t="str">
        <f t="shared" si="20"/>
        <v/>
      </c>
      <c r="C1069" s="18"/>
      <c r="D1069" s="19" t="str">
        <f>IF(Tabela2[[#This Row],[AGRUPADOR]]&lt;&gt;"",VLOOKUP(Tabela2[[#This Row],[AGRUPADOR]],Tabela1[],2,0),"")</f>
        <v/>
      </c>
      <c r="E1069" s="19" t="str">
        <f>IF(Tabela2[[#This Row],[AGRUPADOR]]&lt;&gt;"",VLOOKUP(Tabela2[[#This Row],[AGRUPADOR]],Tabela1[],4,0),"")</f>
        <v/>
      </c>
      <c r="F1069" s="14"/>
      <c r="G1069" s="6"/>
      <c r="H1069" s="6"/>
      <c r="I1069" s="25"/>
      <c r="J1069" s="7"/>
      <c r="K1069" s="15"/>
      <c r="L1069" s="379">
        <f>IF(H1069&lt;&gt;"",J1069*K1069,SUMIFS(L1070:L$9844,$F1070:$F$9844,"*"&amp;F1069&amp;"*",$H1070:$H$9844,"&lt;&gt;"))</f>
        <v>0</v>
      </c>
      <c r="M1069" s="379" t="str">
        <f>IF(Tabela2[[#This Row],[UNID.]]&lt;&gt;"",IFERROR(VLOOKUP(Tabela2[[#This Row],[AGRUPADOR]],Lucratividade!$D$4:$O$129,6,0),0),"")</f>
        <v/>
      </c>
      <c r="N1069" s="379">
        <f>IF(H1069&lt;&gt;"",J1069*M1069*I1069,SUMIFS(N1070:N$9844,$F1070:$F$9844,"*"&amp;F1069&amp;"*",$H1070:$H$9844,"&lt;&gt;"))</f>
        <v>0</v>
      </c>
      <c r="O1069" s="162" t="str">
        <f>IFERROR((-Tabela2[[#This Row],[CUSTO TOTAL]]+Tabela2[[#This Row],[VENDA TOTAL]])/Tabela2[[#This Row],[VENDA TOTAL]]-PARAMETROS!$C$19,"")</f>
        <v/>
      </c>
      <c r="AA1069" s="219">
        <f>SUM(Plan_Orc[[#This Row],[01/jan]:[01/dez]])</f>
        <v>0</v>
      </c>
      <c r="AB1069" s="15"/>
      <c r="AC1069" s="15"/>
      <c r="AD1069" s="15"/>
      <c r="AE1069" s="15"/>
      <c r="AF1069" s="15"/>
      <c r="AG1069" s="15"/>
      <c r="AH1069" s="15"/>
      <c r="AI1069" s="15"/>
      <c r="AJ1069" s="15"/>
      <c r="AK1069" s="15"/>
      <c r="AL1069" s="15"/>
      <c r="AM1069" s="15"/>
    </row>
    <row r="1070" spans="2:39" ht="25.2" customHeight="1" x14ac:dyDescent="0.3">
      <c r="B1070" s="13" t="str">
        <f t="shared" si="20"/>
        <v/>
      </c>
      <c r="C1070" s="18"/>
      <c r="D1070" s="19" t="str">
        <f>IF(Tabela2[[#This Row],[AGRUPADOR]]&lt;&gt;"",VLOOKUP(Tabela2[[#This Row],[AGRUPADOR]],Tabela1[],2,0),"")</f>
        <v/>
      </c>
      <c r="E1070" s="19" t="str">
        <f>IF(Tabela2[[#This Row],[AGRUPADOR]]&lt;&gt;"",VLOOKUP(Tabela2[[#This Row],[AGRUPADOR]],Tabela1[],4,0),"")</f>
        <v/>
      </c>
      <c r="F1070" s="14"/>
      <c r="G1070" s="6"/>
      <c r="H1070" s="6"/>
      <c r="I1070" s="25"/>
      <c r="J1070" s="7"/>
      <c r="K1070" s="15"/>
      <c r="L1070" s="379">
        <f>IF(H1070&lt;&gt;"",J1070*K1070,SUMIFS(L1071:L$9844,$F1071:$F$9844,"*"&amp;F1070&amp;"*",$H1071:$H$9844,"&lt;&gt;"))</f>
        <v>0</v>
      </c>
      <c r="M1070" s="379" t="str">
        <f>IF(Tabela2[[#This Row],[UNID.]]&lt;&gt;"",IFERROR(VLOOKUP(Tabela2[[#This Row],[AGRUPADOR]],Lucratividade!$D$4:$O$129,6,0),0),"")</f>
        <v/>
      </c>
      <c r="N1070" s="379">
        <f>IF(H1070&lt;&gt;"",J1070*M1070*I1070,SUMIFS(N1071:N$9844,$F1071:$F$9844,"*"&amp;F1070&amp;"*",$H1071:$H$9844,"&lt;&gt;"))</f>
        <v>0</v>
      </c>
      <c r="O1070" s="162" t="str">
        <f>IFERROR((-Tabela2[[#This Row],[CUSTO TOTAL]]+Tabela2[[#This Row],[VENDA TOTAL]])/Tabela2[[#This Row],[VENDA TOTAL]]-PARAMETROS!$C$19,"")</f>
        <v/>
      </c>
      <c r="AA1070" s="219">
        <f>SUM(Plan_Orc[[#This Row],[01/jan]:[01/dez]])</f>
        <v>0</v>
      </c>
      <c r="AB1070" s="15"/>
      <c r="AC1070" s="15"/>
      <c r="AD1070" s="15"/>
      <c r="AE1070" s="15"/>
      <c r="AF1070" s="15"/>
      <c r="AG1070" s="15"/>
      <c r="AH1070" s="15"/>
      <c r="AI1070" s="15"/>
      <c r="AJ1070" s="15"/>
      <c r="AK1070" s="15"/>
      <c r="AL1070" s="15"/>
      <c r="AM1070" s="15"/>
    </row>
    <row r="1071" spans="2:39" ht="25.2" customHeight="1" x14ac:dyDescent="0.3">
      <c r="B1071" s="13" t="str">
        <f t="shared" si="20"/>
        <v/>
      </c>
      <c r="C1071" s="18"/>
      <c r="D1071" s="19" t="str">
        <f>IF(Tabela2[[#This Row],[AGRUPADOR]]&lt;&gt;"",VLOOKUP(Tabela2[[#This Row],[AGRUPADOR]],Tabela1[],2,0),"")</f>
        <v/>
      </c>
      <c r="E1071" s="19" t="str">
        <f>IF(Tabela2[[#This Row],[AGRUPADOR]]&lt;&gt;"",VLOOKUP(Tabela2[[#This Row],[AGRUPADOR]],Tabela1[],4,0),"")</f>
        <v/>
      </c>
      <c r="F1071" s="14"/>
      <c r="G1071" s="6"/>
      <c r="H1071" s="6"/>
      <c r="I1071" s="25"/>
      <c r="J1071" s="7"/>
      <c r="K1071" s="15"/>
      <c r="L1071" s="379">
        <f>IF(H1071&lt;&gt;"",J1071*K1071,SUMIFS(L1072:L$9844,$F1072:$F$9844,"*"&amp;F1071&amp;"*",$H1072:$H$9844,"&lt;&gt;"))</f>
        <v>0</v>
      </c>
      <c r="M1071" s="379" t="str">
        <f>IF(Tabela2[[#This Row],[UNID.]]&lt;&gt;"",IFERROR(VLOOKUP(Tabela2[[#This Row],[AGRUPADOR]],Lucratividade!$D$4:$O$129,6,0),0),"")</f>
        <v/>
      </c>
      <c r="N1071" s="379">
        <f>IF(H1071&lt;&gt;"",J1071*M1071*I1071,SUMIFS(N1072:N$9844,$F1072:$F$9844,"*"&amp;F1071&amp;"*",$H1072:$H$9844,"&lt;&gt;"))</f>
        <v>0</v>
      </c>
      <c r="O1071" s="162" t="str">
        <f>IFERROR((-Tabela2[[#This Row],[CUSTO TOTAL]]+Tabela2[[#This Row],[VENDA TOTAL]])/Tabela2[[#This Row],[VENDA TOTAL]]-PARAMETROS!$C$19,"")</f>
        <v/>
      </c>
      <c r="AA1071" s="219">
        <f>SUM(Plan_Orc[[#This Row],[01/jan]:[01/dez]])</f>
        <v>0</v>
      </c>
      <c r="AB1071" s="15"/>
      <c r="AC1071" s="15"/>
      <c r="AD1071" s="15"/>
      <c r="AE1071" s="15"/>
      <c r="AF1071" s="15"/>
      <c r="AG1071" s="15"/>
      <c r="AH1071" s="15"/>
      <c r="AI1071" s="15"/>
      <c r="AJ1071" s="15"/>
      <c r="AK1071" s="15"/>
      <c r="AL1071" s="15"/>
      <c r="AM1071" s="15"/>
    </row>
    <row r="1072" spans="2:39" ht="25.2" customHeight="1" x14ac:dyDescent="0.3">
      <c r="B1072" s="13" t="str">
        <f t="shared" si="20"/>
        <v/>
      </c>
      <c r="C1072" s="18"/>
      <c r="D1072" s="19" t="str">
        <f>IF(Tabela2[[#This Row],[AGRUPADOR]]&lt;&gt;"",VLOOKUP(Tabela2[[#This Row],[AGRUPADOR]],Tabela1[],2,0),"")</f>
        <v/>
      </c>
      <c r="E1072" s="19" t="str">
        <f>IF(Tabela2[[#This Row],[AGRUPADOR]]&lt;&gt;"",VLOOKUP(Tabela2[[#This Row],[AGRUPADOR]],Tabela1[],4,0),"")</f>
        <v/>
      </c>
      <c r="F1072" s="14"/>
      <c r="G1072" s="6"/>
      <c r="H1072" s="6"/>
      <c r="I1072" s="25"/>
      <c r="J1072" s="7"/>
      <c r="K1072" s="15"/>
      <c r="L1072" s="379">
        <f>IF(H1072&lt;&gt;"",J1072*K1072,SUMIFS(L1073:L$9844,$F1073:$F$9844,"*"&amp;F1072&amp;"*",$H1073:$H$9844,"&lt;&gt;"))</f>
        <v>0</v>
      </c>
      <c r="M1072" s="379" t="str">
        <f>IF(Tabela2[[#This Row],[UNID.]]&lt;&gt;"",IFERROR(VLOOKUP(Tabela2[[#This Row],[AGRUPADOR]],Lucratividade!$D$4:$O$129,6,0),0),"")</f>
        <v/>
      </c>
      <c r="N1072" s="379">
        <f>IF(H1072&lt;&gt;"",J1072*M1072*I1072,SUMIFS(N1073:N$9844,$F1073:$F$9844,"*"&amp;F1072&amp;"*",$H1073:$H$9844,"&lt;&gt;"))</f>
        <v>0</v>
      </c>
      <c r="O1072" s="162" t="str">
        <f>IFERROR((-Tabela2[[#This Row],[CUSTO TOTAL]]+Tabela2[[#This Row],[VENDA TOTAL]])/Tabela2[[#This Row],[VENDA TOTAL]]-PARAMETROS!$C$19,"")</f>
        <v/>
      </c>
      <c r="AA1072" s="219">
        <f>SUM(Plan_Orc[[#This Row],[01/jan]:[01/dez]])</f>
        <v>0</v>
      </c>
      <c r="AB1072" s="15"/>
      <c r="AC1072" s="15"/>
      <c r="AD1072" s="15"/>
      <c r="AE1072" s="15"/>
      <c r="AF1072" s="15"/>
      <c r="AG1072" s="15"/>
      <c r="AH1072" s="15"/>
      <c r="AI1072" s="15"/>
      <c r="AJ1072" s="15"/>
      <c r="AK1072" s="15"/>
      <c r="AL1072" s="15"/>
      <c r="AM1072" s="15"/>
    </row>
    <row r="1073" spans="2:39" ht="25.2" customHeight="1" x14ac:dyDescent="0.3">
      <c r="B1073" s="13" t="str">
        <f t="shared" si="20"/>
        <v/>
      </c>
      <c r="C1073" s="18"/>
      <c r="D1073" s="19" t="str">
        <f>IF(Tabela2[[#This Row],[AGRUPADOR]]&lt;&gt;"",VLOOKUP(Tabela2[[#This Row],[AGRUPADOR]],Tabela1[],2,0),"")</f>
        <v/>
      </c>
      <c r="E1073" s="19" t="str">
        <f>IF(Tabela2[[#This Row],[AGRUPADOR]]&lt;&gt;"",VLOOKUP(Tabela2[[#This Row],[AGRUPADOR]],Tabela1[],4,0),"")</f>
        <v/>
      </c>
      <c r="F1073" s="14"/>
      <c r="G1073" s="6"/>
      <c r="H1073" s="6"/>
      <c r="I1073" s="25"/>
      <c r="J1073" s="7"/>
      <c r="K1073" s="15"/>
      <c r="L1073" s="379">
        <f>IF(H1073&lt;&gt;"",J1073*K1073,SUMIFS(L1074:L$9844,$F1074:$F$9844,"*"&amp;F1073&amp;"*",$H1074:$H$9844,"&lt;&gt;"))</f>
        <v>0</v>
      </c>
      <c r="M1073" s="379" t="str">
        <f>IF(Tabela2[[#This Row],[UNID.]]&lt;&gt;"",IFERROR(VLOOKUP(Tabela2[[#This Row],[AGRUPADOR]],Lucratividade!$D$4:$O$129,6,0),0),"")</f>
        <v/>
      </c>
      <c r="N1073" s="379">
        <f>IF(H1073&lt;&gt;"",J1073*M1073*I1073,SUMIFS(N1074:N$9844,$F1074:$F$9844,"*"&amp;F1073&amp;"*",$H1074:$H$9844,"&lt;&gt;"))</f>
        <v>0</v>
      </c>
      <c r="O1073" s="162" t="str">
        <f>IFERROR((-Tabela2[[#This Row],[CUSTO TOTAL]]+Tabela2[[#This Row],[VENDA TOTAL]])/Tabela2[[#This Row],[VENDA TOTAL]]-PARAMETROS!$C$19,"")</f>
        <v/>
      </c>
      <c r="AA1073" s="218">
        <f>SUM(Plan_Orc[[#This Row],[01/jan]:[01/dez]])</f>
        <v>0</v>
      </c>
      <c r="AB1073" s="12"/>
      <c r="AC1073" s="12"/>
      <c r="AD1073" s="12"/>
      <c r="AE1073" s="12"/>
      <c r="AF1073" s="12"/>
      <c r="AG1073" s="12"/>
      <c r="AH1073" s="12"/>
      <c r="AI1073" s="12"/>
      <c r="AJ1073" s="12"/>
      <c r="AK1073" s="12"/>
      <c r="AL1073" s="12"/>
      <c r="AM1073" s="12"/>
    </row>
    <row r="1074" spans="2:39" ht="25.2" customHeight="1" x14ac:dyDescent="0.3">
      <c r="B1074" s="13" t="str">
        <f t="shared" si="20"/>
        <v/>
      </c>
      <c r="C1074" s="18"/>
      <c r="D1074" s="19" t="str">
        <f>IF(Tabela2[[#This Row],[AGRUPADOR]]&lt;&gt;"",VLOOKUP(Tabela2[[#This Row],[AGRUPADOR]],Tabela1[],2,0),"")</f>
        <v/>
      </c>
      <c r="E1074" s="19" t="str">
        <f>IF(Tabela2[[#This Row],[AGRUPADOR]]&lt;&gt;"",VLOOKUP(Tabela2[[#This Row],[AGRUPADOR]],Tabela1[],4,0),"")</f>
        <v/>
      </c>
      <c r="F1074" s="14"/>
      <c r="G1074" s="6"/>
      <c r="H1074" s="6"/>
      <c r="I1074" s="25"/>
      <c r="J1074" s="7"/>
      <c r="K1074" s="15"/>
      <c r="L1074" s="379">
        <f>IF(H1074&lt;&gt;"",J1074*K1074,SUMIFS(L1075:L$9844,$F1075:$F$9844,"*"&amp;F1074&amp;"*",$H1075:$H$9844,"&lt;&gt;"))</f>
        <v>0</v>
      </c>
      <c r="M1074" s="379" t="str">
        <f>IF(Tabela2[[#This Row],[UNID.]]&lt;&gt;"",IFERROR(VLOOKUP(Tabela2[[#This Row],[AGRUPADOR]],Lucratividade!$D$4:$O$129,6,0),0),"")</f>
        <v/>
      </c>
      <c r="N1074" s="379">
        <f>IF(H1074&lt;&gt;"",J1074*M1074*I1074,SUMIFS(N1075:N$9844,$F1075:$F$9844,"*"&amp;F1074&amp;"*",$H1075:$H$9844,"&lt;&gt;"))</f>
        <v>0</v>
      </c>
      <c r="O1074" s="162" t="str">
        <f>IFERROR((-Tabela2[[#This Row],[CUSTO TOTAL]]+Tabela2[[#This Row],[VENDA TOTAL]])/Tabela2[[#This Row],[VENDA TOTAL]]-PARAMETROS!$C$19,"")</f>
        <v/>
      </c>
      <c r="AA1074" s="219">
        <f>SUM(Plan_Orc[[#This Row],[01/jan]:[01/dez]])</f>
        <v>0</v>
      </c>
      <c r="AB1074" s="15"/>
      <c r="AC1074" s="15"/>
      <c r="AD1074" s="15"/>
      <c r="AE1074" s="15"/>
      <c r="AF1074" s="15"/>
      <c r="AG1074" s="15"/>
      <c r="AH1074" s="15"/>
      <c r="AI1074" s="15"/>
      <c r="AJ1074" s="15"/>
      <c r="AK1074" s="15"/>
      <c r="AL1074" s="15"/>
      <c r="AM1074" s="15"/>
    </row>
    <row r="1075" spans="2:39" ht="25.2" customHeight="1" x14ac:dyDescent="0.3">
      <c r="B1075" s="13" t="str">
        <f t="shared" si="20"/>
        <v/>
      </c>
      <c r="C1075" s="18"/>
      <c r="D1075" s="19" t="str">
        <f>IF(Tabela2[[#This Row],[AGRUPADOR]]&lt;&gt;"",VLOOKUP(Tabela2[[#This Row],[AGRUPADOR]],Tabela1[],2,0),"")</f>
        <v/>
      </c>
      <c r="E1075" s="19" t="str">
        <f>IF(Tabela2[[#This Row],[AGRUPADOR]]&lt;&gt;"",VLOOKUP(Tabela2[[#This Row],[AGRUPADOR]],Tabela1[],4,0),"")</f>
        <v/>
      </c>
      <c r="F1075" s="14"/>
      <c r="G1075" s="6"/>
      <c r="H1075" s="6"/>
      <c r="I1075" s="25"/>
      <c r="J1075" s="7"/>
      <c r="K1075" s="15"/>
      <c r="L1075" s="379">
        <f>IF(H1075&lt;&gt;"",J1075*K1075,SUMIFS(L1076:L$9844,$F1076:$F$9844,"*"&amp;F1075&amp;"*",$H1076:$H$9844,"&lt;&gt;"))</f>
        <v>0</v>
      </c>
      <c r="M1075" s="379" t="str">
        <f>IF(Tabela2[[#This Row],[UNID.]]&lt;&gt;"",IFERROR(VLOOKUP(Tabela2[[#This Row],[AGRUPADOR]],Lucratividade!$D$4:$O$129,6,0),0),"")</f>
        <v/>
      </c>
      <c r="N1075" s="379">
        <f>IF(H1075&lt;&gt;"",J1075*M1075*I1075,SUMIFS(N1076:N$9844,$F1076:$F$9844,"*"&amp;F1075&amp;"*",$H1076:$H$9844,"&lt;&gt;"))</f>
        <v>0</v>
      </c>
      <c r="O1075" s="162" t="str">
        <f>IFERROR((-Tabela2[[#This Row],[CUSTO TOTAL]]+Tabela2[[#This Row],[VENDA TOTAL]])/Tabela2[[#This Row],[VENDA TOTAL]]-PARAMETROS!$C$19,"")</f>
        <v/>
      </c>
      <c r="AA1075" s="219">
        <f>SUM(Plan_Orc[[#This Row],[01/jan]:[01/dez]])</f>
        <v>0</v>
      </c>
      <c r="AB1075" s="15"/>
      <c r="AC1075" s="15"/>
      <c r="AD1075" s="15"/>
      <c r="AE1075" s="15"/>
      <c r="AF1075" s="15"/>
      <c r="AG1075" s="15"/>
      <c r="AH1075" s="15"/>
      <c r="AI1075" s="15"/>
      <c r="AJ1075" s="15"/>
      <c r="AK1075" s="15"/>
      <c r="AL1075" s="15"/>
      <c r="AM1075" s="15"/>
    </row>
    <row r="1076" spans="2:39" ht="25.2" customHeight="1" x14ac:dyDescent="0.3">
      <c r="B1076" s="13" t="str">
        <f t="shared" si="20"/>
        <v/>
      </c>
      <c r="C1076" s="18"/>
      <c r="D1076" s="19" t="str">
        <f>IF(Tabela2[[#This Row],[AGRUPADOR]]&lt;&gt;"",VLOOKUP(Tabela2[[#This Row],[AGRUPADOR]],Tabela1[],2,0),"")</f>
        <v/>
      </c>
      <c r="E1076" s="19" t="str">
        <f>IF(Tabela2[[#This Row],[AGRUPADOR]]&lt;&gt;"",VLOOKUP(Tabela2[[#This Row],[AGRUPADOR]],Tabela1[],4,0),"")</f>
        <v/>
      </c>
      <c r="F1076" s="14"/>
      <c r="G1076" s="6"/>
      <c r="H1076" s="6"/>
      <c r="I1076" s="25"/>
      <c r="J1076" s="7"/>
      <c r="K1076" s="15"/>
      <c r="L1076" s="379">
        <f>IF(H1076&lt;&gt;"",J1076*K1076,SUMIFS(L1077:L$9844,$F1077:$F$9844,"*"&amp;F1076&amp;"*",$H1077:$H$9844,"&lt;&gt;"))</f>
        <v>0</v>
      </c>
      <c r="M1076" s="379" t="str">
        <f>IF(Tabela2[[#This Row],[UNID.]]&lt;&gt;"",IFERROR(VLOOKUP(Tabela2[[#This Row],[AGRUPADOR]],Lucratividade!$D$4:$O$129,6,0),0),"")</f>
        <v/>
      </c>
      <c r="N1076" s="379">
        <f>IF(H1076&lt;&gt;"",J1076*M1076*I1076,SUMIFS(N1077:N$9844,$F1077:$F$9844,"*"&amp;F1076&amp;"*",$H1077:$H$9844,"&lt;&gt;"))</f>
        <v>0</v>
      </c>
      <c r="O1076" s="162" t="str">
        <f>IFERROR((-Tabela2[[#This Row],[CUSTO TOTAL]]+Tabela2[[#This Row],[VENDA TOTAL]])/Tabela2[[#This Row],[VENDA TOTAL]]-PARAMETROS!$C$19,"")</f>
        <v/>
      </c>
      <c r="AA1076" s="219">
        <f>SUM(Plan_Orc[[#This Row],[01/jan]:[01/dez]])</f>
        <v>0</v>
      </c>
      <c r="AB1076" s="15"/>
      <c r="AC1076" s="15"/>
      <c r="AD1076" s="15"/>
      <c r="AE1076" s="15"/>
      <c r="AF1076" s="15"/>
      <c r="AG1076" s="15"/>
      <c r="AH1076" s="15"/>
      <c r="AI1076" s="15"/>
      <c r="AJ1076" s="15"/>
      <c r="AK1076" s="15"/>
      <c r="AL1076" s="15"/>
      <c r="AM1076" s="15"/>
    </row>
    <row r="1077" spans="2:39" ht="25.2" customHeight="1" x14ac:dyDescent="0.3">
      <c r="B1077" s="13" t="str">
        <f t="shared" si="20"/>
        <v/>
      </c>
      <c r="C1077" s="18"/>
      <c r="D1077" s="19" t="str">
        <f>IF(Tabela2[[#This Row],[AGRUPADOR]]&lt;&gt;"",VLOOKUP(Tabela2[[#This Row],[AGRUPADOR]],Tabela1[],2,0),"")</f>
        <v/>
      </c>
      <c r="E1077" s="19" t="str">
        <f>IF(Tabela2[[#This Row],[AGRUPADOR]]&lt;&gt;"",VLOOKUP(Tabela2[[#This Row],[AGRUPADOR]],Tabela1[],4,0),"")</f>
        <v/>
      </c>
      <c r="F1077" s="14"/>
      <c r="G1077" s="6"/>
      <c r="H1077" s="6"/>
      <c r="I1077" s="25"/>
      <c r="J1077" s="7"/>
      <c r="K1077" s="15"/>
      <c r="L1077" s="379">
        <f>IF(H1077&lt;&gt;"",J1077*K1077,SUMIFS(L1078:L$9844,$F1078:$F$9844,"*"&amp;F1077&amp;"*",$H1078:$H$9844,"&lt;&gt;"))</f>
        <v>0</v>
      </c>
      <c r="M1077" s="379" t="str">
        <f>IF(Tabela2[[#This Row],[UNID.]]&lt;&gt;"",IFERROR(VLOOKUP(Tabela2[[#This Row],[AGRUPADOR]],Lucratividade!$D$4:$O$129,6,0),0),"")</f>
        <v/>
      </c>
      <c r="N1077" s="379">
        <f>IF(H1077&lt;&gt;"",J1077*M1077*I1077,SUMIFS(N1078:N$9844,$F1078:$F$9844,"*"&amp;F1077&amp;"*",$H1078:$H$9844,"&lt;&gt;"))</f>
        <v>0</v>
      </c>
      <c r="O1077" s="162" t="str">
        <f>IFERROR((-Tabela2[[#This Row],[CUSTO TOTAL]]+Tabela2[[#This Row],[VENDA TOTAL]])/Tabela2[[#This Row],[VENDA TOTAL]]-PARAMETROS!$C$19,"")</f>
        <v/>
      </c>
      <c r="AA1077" s="219">
        <f>SUM(Plan_Orc[[#This Row],[01/jan]:[01/dez]])</f>
        <v>0</v>
      </c>
      <c r="AB1077" s="15"/>
      <c r="AC1077" s="15"/>
      <c r="AD1077" s="15"/>
      <c r="AE1077" s="15"/>
      <c r="AF1077" s="15"/>
      <c r="AG1077" s="15"/>
      <c r="AH1077" s="15"/>
      <c r="AI1077" s="15"/>
      <c r="AJ1077" s="15"/>
      <c r="AK1077" s="15"/>
      <c r="AL1077" s="15"/>
      <c r="AM1077" s="15"/>
    </row>
    <row r="1078" spans="2:39" ht="25.2" customHeight="1" x14ac:dyDescent="0.3">
      <c r="B1078" s="13" t="str">
        <f t="shared" si="20"/>
        <v/>
      </c>
      <c r="C1078" s="18"/>
      <c r="D1078" s="19" t="str">
        <f>IF(Tabela2[[#This Row],[AGRUPADOR]]&lt;&gt;"",VLOOKUP(Tabela2[[#This Row],[AGRUPADOR]],Tabela1[],2,0),"")</f>
        <v/>
      </c>
      <c r="E1078" s="19" t="str">
        <f>IF(Tabela2[[#This Row],[AGRUPADOR]]&lt;&gt;"",VLOOKUP(Tabela2[[#This Row],[AGRUPADOR]],Tabela1[],4,0),"")</f>
        <v/>
      </c>
      <c r="F1078" s="14"/>
      <c r="G1078" s="6"/>
      <c r="H1078" s="6"/>
      <c r="I1078" s="25"/>
      <c r="J1078" s="7"/>
      <c r="K1078" s="15"/>
      <c r="L1078" s="379">
        <f>IF(H1078&lt;&gt;"",J1078*K1078,SUMIFS(L1079:L$9844,$F1079:$F$9844,"*"&amp;F1078&amp;"*",$H1079:$H$9844,"&lt;&gt;"))</f>
        <v>0</v>
      </c>
      <c r="M1078" s="379" t="str">
        <f>IF(Tabela2[[#This Row],[UNID.]]&lt;&gt;"",IFERROR(VLOOKUP(Tabela2[[#This Row],[AGRUPADOR]],Lucratividade!$D$4:$O$129,6,0),0),"")</f>
        <v/>
      </c>
      <c r="N1078" s="379">
        <f>IF(H1078&lt;&gt;"",J1078*M1078*I1078,SUMIFS(N1079:N$9844,$F1079:$F$9844,"*"&amp;F1078&amp;"*",$H1079:$H$9844,"&lt;&gt;"))</f>
        <v>0</v>
      </c>
      <c r="O1078" s="162" t="str">
        <f>IFERROR((-Tabela2[[#This Row],[CUSTO TOTAL]]+Tabela2[[#This Row],[VENDA TOTAL]])/Tabela2[[#This Row],[VENDA TOTAL]]-PARAMETROS!$C$19,"")</f>
        <v/>
      </c>
      <c r="AA1078" s="219">
        <f>SUM(Plan_Orc[[#This Row],[01/jan]:[01/dez]])</f>
        <v>0</v>
      </c>
      <c r="AB1078" s="15"/>
      <c r="AC1078" s="15"/>
      <c r="AD1078" s="15"/>
      <c r="AE1078" s="15"/>
      <c r="AF1078" s="15"/>
      <c r="AG1078" s="15"/>
      <c r="AH1078" s="15"/>
      <c r="AI1078" s="15"/>
      <c r="AJ1078" s="15"/>
      <c r="AK1078" s="15"/>
      <c r="AL1078" s="15"/>
      <c r="AM1078" s="15"/>
    </row>
    <row r="1079" spans="2:39" ht="25.2" customHeight="1" x14ac:dyDescent="0.3">
      <c r="B1079" s="13" t="str">
        <f t="shared" si="20"/>
        <v/>
      </c>
      <c r="C1079" s="18"/>
      <c r="D1079" s="19" t="str">
        <f>IF(Tabela2[[#This Row],[AGRUPADOR]]&lt;&gt;"",VLOOKUP(Tabela2[[#This Row],[AGRUPADOR]],Tabela1[],2,0),"")</f>
        <v/>
      </c>
      <c r="E1079" s="19" t="str">
        <f>IF(Tabela2[[#This Row],[AGRUPADOR]]&lt;&gt;"",VLOOKUP(Tabela2[[#This Row],[AGRUPADOR]],Tabela1[],4,0),"")</f>
        <v/>
      </c>
      <c r="F1079" s="14"/>
      <c r="G1079" s="6"/>
      <c r="H1079" s="6"/>
      <c r="I1079" s="25"/>
      <c r="J1079" s="7"/>
      <c r="K1079" s="15"/>
      <c r="L1079" s="379">
        <f>IF(H1079&lt;&gt;"",J1079*K1079,SUMIFS(L1080:L$9844,$F1080:$F$9844,"*"&amp;F1079&amp;"*",$H1080:$H$9844,"&lt;&gt;"))</f>
        <v>0</v>
      </c>
      <c r="M1079" s="379" t="str">
        <f>IF(Tabela2[[#This Row],[UNID.]]&lt;&gt;"",IFERROR(VLOOKUP(Tabela2[[#This Row],[AGRUPADOR]],Lucratividade!$D$4:$O$129,6,0),0),"")</f>
        <v/>
      </c>
      <c r="N1079" s="379">
        <f>IF(H1079&lt;&gt;"",J1079*M1079*I1079,SUMIFS(N1080:N$9844,$F1080:$F$9844,"*"&amp;F1079&amp;"*",$H1080:$H$9844,"&lt;&gt;"))</f>
        <v>0</v>
      </c>
      <c r="O1079" s="162" t="str">
        <f>IFERROR((-Tabela2[[#This Row],[CUSTO TOTAL]]+Tabela2[[#This Row],[VENDA TOTAL]])/Tabela2[[#This Row],[VENDA TOTAL]]-PARAMETROS!$C$19,"")</f>
        <v/>
      </c>
      <c r="AA1079" s="219">
        <f>SUM(Plan_Orc[[#This Row],[01/jan]:[01/dez]])</f>
        <v>0</v>
      </c>
      <c r="AB1079" s="15"/>
      <c r="AC1079" s="15"/>
      <c r="AD1079" s="15"/>
      <c r="AE1079" s="15"/>
      <c r="AF1079" s="15"/>
      <c r="AG1079" s="15"/>
      <c r="AH1079" s="15"/>
      <c r="AI1079" s="15"/>
      <c r="AJ1079" s="15"/>
      <c r="AK1079" s="15"/>
      <c r="AL1079" s="15"/>
      <c r="AM1079" s="15"/>
    </row>
    <row r="1080" spans="2:39" ht="25.2" customHeight="1" x14ac:dyDescent="0.3">
      <c r="B1080" s="13" t="str">
        <f t="shared" si="20"/>
        <v/>
      </c>
      <c r="C1080" s="18"/>
      <c r="D1080" s="19" t="str">
        <f>IF(Tabela2[[#This Row],[AGRUPADOR]]&lt;&gt;"",VLOOKUP(Tabela2[[#This Row],[AGRUPADOR]],Tabela1[],2,0),"")</f>
        <v/>
      </c>
      <c r="E1080" s="19" t="str">
        <f>IF(Tabela2[[#This Row],[AGRUPADOR]]&lt;&gt;"",VLOOKUP(Tabela2[[#This Row],[AGRUPADOR]],Tabela1[],4,0),"")</f>
        <v/>
      </c>
      <c r="F1080" s="14"/>
      <c r="G1080" s="6"/>
      <c r="H1080" s="6"/>
      <c r="I1080" s="25"/>
      <c r="J1080" s="7"/>
      <c r="K1080" s="15"/>
      <c r="L1080" s="379">
        <f>IF(H1080&lt;&gt;"",J1080*K1080,SUMIFS(L1081:L$9844,$F1081:$F$9844,"*"&amp;F1080&amp;"*",$H1081:$H$9844,"&lt;&gt;"))</f>
        <v>0</v>
      </c>
      <c r="M1080" s="379" t="str">
        <f>IF(Tabela2[[#This Row],[UNID.]]&lt;&gt;"",IFERROR(VLOOKUP(Tabela2[[#This Row],[AGRUPADOR]],Lucratividade!$D$4:$O$129,6,0),0),"")</f>
        <v/>
      </c>
      <c r="N1080" s="379">
        <f>IF(H1080&lt;&gt;"",J1080*M1080*I1080,SUMIFS(N1081:N$9844,$F1081:$F$9844,"*"&amp;F1080&amp;"*",$H1081:$H$9844,"&lt;&gt;"))</f>
        <v>0</v>
      </c>
      <c r="O1080" s="162" t="str">
        <f>IFERROR((-Tabela2[[#This Row],[CUSTO TOTAL]]+Tabela2[[#This Row],[VENDA TOTAL]])/Tabela2[[#This Row],[VENDA TOTAL]]-PARAMETROS!$C$19,"")</f>
        <v/>
      </c>
      <c r="AA1080" s="219">
        <f>SUM(Plan_Orc[[#This Row],[01/jan]:[01/dez]])</f>
        <v>0</v>
      </c>
      <c r="AB1080" s="15"/>
      <c r="AC1080" s="15"/>
      <c r="AD1080" s="15"/>
      <c r="AE1080" s="15"/>
      <c r="AF1080" s="15"/>
      <c r="AG1080" s="15"/>
      <c r="AH1080" s="15"/>
      <c r="AI1080" s="15"/>
      <c r="AJ1080" s="15"/>
      <c r="AK1080" s="15"/>
      <c r="AL1080" s="15"/>
      <c r="AM1080" s="15"/>
    </row>
    <row r="1081" spans="2:39" ht="25.2" customHeight="1" x14ac:dyDescent="0.3">
      <c r="B1081" s="13" t="str">
        <f t="shared" si="20"/>
        <v/>
      </c>
      <c r="C1081" s="18"/>
      <c r="D1081" s="19" t="str">
        <f>IF(Tabela2[[#This Row],[AGRUPADOR]]&lt;&gt;"",VLOOKUP(Tabela2[[#This Row],[AGRUPADOR]],Tabela1[],2,0),"")</f>
        <v/>
      </c>
      <c r="E1081" s="19" t="str">
        <f>IF(Tabela2[[#This Row],[AGRUPADOR]]&lt;&gt;"",VLOOKUP(Tabela2[[#This Row],[AGRUPADOR]],Tabela1[],4,0),"")</f>
        <v/>
      </c>
      <c r="F1081" s="14"/>
      <c r="G1081" s="6"/>
      <c r="H1081" s="6"/>
      <c r="I1081" s="25"/>
      <c r="J1081" s="7"/>
      <c r="K1081" s="15"/>
      <c r="L1081" s="379">
        <f>IF(H1081&lt;&gt;"",J1081*K1081,SUMIFS(L1082:L$9844,$F1082:$F$9844,"*"&amp;F1081&amp;"*",$H1082:$H$9844,"&lt;&gt;"))</f>
        <v>0</v>
      </c>
      <c r="M1081" s="379" t="str">
        <f>IF(Tabela2[[#This Row],[UNID.]]&lt;&gt;"",IFERROR(VLOOKUP(Tabela2[[#This Row],[AGRUPADOR]],Lucratividade!$D$4:$O$129,6,0),0),"")</f>
        <v/>
      </c>
      <c r="N1081" s="379">
        <f>IF(H1081&lt;&gt;"",J1081*M1081*I1081,SUMIFS(N1082:N$9844,$F1082:$F$9844,"*"&amp;F1081&amp;"*",$H1082:$H$9844,"&lt;&gt;"))</f>
        <v>0</v>
      </c>
      <c r="O1081" s="162" t="str">
        <f>IFERROR((-Tabela2[[#This Row],[CUSTO TOTAL]]+Tabela2[[#This Row],[VENDA TOTAL]])/Tabela2[[#This Row],[VENDA TOTAL]]-PARAMETROS!$C$19,"")</f>
        <v/>
      </c>
      <c r="AA1081" s="219">
        <f>SUM(Plan_Orc[[#This Row],[01/jan]:[01/dez]])</f>
        <v>0</v>
      </c>
      <c r="AB1081" s="15"/>
      <c r="AC1081" s="15"/>
      <c r="AD1081" s="15"/>
      <c r="AE1081" s="15"/>
      <c r="AF1081" s="15"/>
      <c r="AG1081" s="15"/>
      <c r="AH1081" s="15"/>
      <c r="AI1081" s="15"/>
      <c r="AJ1081" s="15"/>
      <c r="AK1081" s="15"/>
      <c r="AL1081" s="15"/>
      <c r="AM1081" s="15"/>
    </row>
    <row r="1082" spans="2:39" ht="25.2" customHeight="1" x14ac:dyDescent="0.3">
      <c r="B1082" s="13" t="str">
        <f t="shared" si="20"/>
        <v/>
      </c>
      <c r="C1082" s="18"/>
      <c r="D1082" s="19" t="str">
        <f>IF(Tabela2[[#This Row],[AGRUPADOR]]&lt;&gt;"",VLOOKUP(Tabela2[[#This Row],[AGRUPADOR]],Tabela1[],2,0),"")</f>
        <v/>
      </c>
      <c r="E1082" s="19" t="str">
        <f>IF(Tabela2[[#This Row],[AGRUPADOR]]&lt;&gt;"",VLOOKUP(Tabela2[[#This Row],[AGRUPADOR]],Tabela1[],4,0),"")</f>
        <v/>
      </c>
      <c r="F1082" s="14"/>
      <c r="G1082" s="6"/>
      <c r="H1082" s="6"/>
      <c r="I1082" s="25"/>
      <c r="J1082" s="7"/>
      <c r="K1082" s="15"/>
      <c r="L1082" s="379">
        <f>IF(H1082&lt;&gt;"",J1082*K1082,SUMIFS(L1083:L$9844,$F1083:$F$9844,"*"&amp;F1082&amp;"*",$H1083:$H$9844,"&lt;&gt;"))</f>
        <v>0</v>
      </c>
      <c r="M1082" s="379" t="str">
        <f>IF(Tabela2[[#This Row],[UNID.]]&lt;&gt;"",IFERROR(VLOOKUP(Tabela2[[#This Row],[AGRUPADOR]],Lucratividade!$D$4:$O$129,6,0),0),"")</f>
        <v/>
      </c>
      <c r="N1082" s="379">
        <f>IF(H1082&lt;&gt;"",J1082*M1082*I1082,SUMIFS(N1083:N$9844,$F1083:$F$9844,"*"&amp;F1082&amp;"*",$H1083:$H$9844,"&lt;&gt;"))</f>
        <v>0</v>
      </c>
      <c r="O1082" s="162" t="str">
        <f>IFERROR((-Tabela2[[#This Row],[CUSTO TOTAL]]+Tabela2[[#This Row],[VENDA TOTAL]])/Tabela2[[#This Row],[VENDA TOTAL]]-PARAMETROS!$C$19,"")</f>
        <v/>
      </c>
      <c r="AA1082" s="219">
        <f>SUM(Plan_Orc[[#This Row],[01/jan]:[01/dez]])</f>
        <v>0</v>
      </c>
      <c r="AB1082" s="15"/>
      <c r="AC1082" s="15"/>
      <c r="AD1082" s="15"/>
      <c r="AE1082" s="15"/>
      <c r="AF1082" s="15"/>
      <c r="AG1082" s="15"/>
      <c r="AH1082" s="15"/>
      <c r="AI1082" s="15"/>
      <c r="AJ1082" s="15"/>
      <c r="AK1082" s="15"/>
      <c r="AL1082" s="15"/>
      <c r="AM1082" s="15"/>
    </row>
    <row r="1083" spans="2:39" ht="25.2" customHeight="1" x14ac:dyDescent="0.3">
      <c r="B1083" s="13" t="str">
        <f t="shared" si="20"/>
        <v/>
      </c>
      <c r="C1083" s="18"/>
      <c r="D1083" s="19" t="str">
        <f>IF(Tabela2[[#This Row],[AGRUPADOR]]&lt;&gt;"",VLOOKUP(Tabela2[[#This Row],[AGRUPADOR]],Tabela1[],2,0),"")</f>
        <v/>
      </c>
      <c r="E1083" s="19" t="str">
        <f>IF(Tabela2[[#This Row],[AGRUPADOR]]&lt;&gt;"",VLOOKUP(Tabela2[[#This Row],[AGRUPADOR]],Tabela1[],4,0),"")</f>
        <v/>
      </c>
      <c r="F1083" s="14"/>
      <c r="G1083" s="6"/>
      <c r="H1083" s="6"/>
      <c r="I1083" s="25"/>
      <c r="J1083" s="7"/>
      <c r="K1083" s="15"/>
      <c r="L1083" s="379">
        <f>IF(H1083&lt;&gt;"",J1083*K1083,SUMIFS(L1084:L$9844,$F1084:$F$9844,"*"&amp;F1083&amp;"*",$H1084:$H$9844,"&lt;&gt;"))</f>
        <v>0</v>
      </c>
      <c r="M1083" s="379" t="str">
        <f>IF(Tabela2[[#This Row],[UNID.]]&lt;&gt;"",IFERROR(VLOOKUP(Tabela2[[#This Row],[AGRUPADOR]],Lucratividade!$D$4:$O$129,6,0),0),"")</f>
        <v/>
      </c>
      <c r="N1083" s="379">
        <f>IF(H1083&lt;&gt;"",J1083*M1083*I1083,SUMIFS(N1084:N$9844,$F1084:$F$9844,"*"&amp;F1083&amp;"*",$H1084:$H$9844,"&lt;&gt;"))</f>
        <v>0</v>
      </c>
      <c r="O1083" s="162" t="str">
        <f>IFERROR((-Tabela2[[#This Row],[CUSTO TOTAL]]+Tabela2[[#This Row],[VENDA TOTAL]])/Tabela2[[#This Row],[VENDA TOTAL]]-PARAMETROS!$C$19,"")</f>
        <v/>
      </c>
      <c r="AA1083" s="219">
        <f>SUM(Plan_Orc[[#This Row],[01/jan]:[01/dez]])</f>
        <v>0</v>
      </c>
      <c r="AB1083" s="15"/>
      <c r="AC1083" s="15"/>
      <c r="AD1083" s="15"/>
      <c r="AE1083" s="15"/>
      <c r="AF1083" s="15"/>
      <c r="AG1083" s="15"/>
      <c r="AH1083" s="15"/>
      <c r="AI1083" s="15"/>
      <c r="AJ1083" s="15"/>
      <c r="AK1083" s="15"/>
      <c r="AL1083" s="15"/>
      <c r="AM1083" s="15"/>
    </row>
    <row r="1084" spans="2:39" ht="25.2" customHeight="1" x14ac:dyDescent="0.3">
      <c r="B1084" s="13" t="str">
        <f t="shared" si="20"/>
        <v/>
      </c>
      <c r="C1084" s="18"/>
      <c r="D1084" s="19" t="str">
        <f>IF(Tabela2[[#This Row],[AGRUPADOR]]&lt;&gt;"",VLOOKUP(Tabela2[[#This Row],[AGRUPADOR]],Tabela1[],2,0),"")</f>
        <v/>
      </c>
      <c r="E1084" s="19" t="str">
        <f>IF(Tabela2[[#This Row],[AGRUPADOR]]&lt;&gt;"",VLOOKUP(Tabela2[[#This Row],[AGRUPADOR]],Tabela1[],4,0),"")</f>
        <v/>
      </c>
      <c r="F1084" s="14"/>
      <c r="G1084" s="6"/>
      <c r="H1084" s="6"/>
      <c r="I1084" s="25"/>
      <c r="J1084" s="7"/>
      <c r="K1084" s="15"/>
      <c r="L1084" s="379">
        <f>IF(H1084&lt;&gt;"",J1084*K1084,SUMIFS(L1085:L$9844,$F1085:$F$9844,"*"&amp;F1084&amp;"*",$H1085:$H$9844,"&lt;&gt;"))</f>
        <v>0</v>
      </c>
      <c r="M1084" s="379" t="str">
        <f>IF(Tabela2[[#This Row],[UNID.]]&lt;&gt;"",IFERROR(VLOOKUP(Tabela2[[#This Row],[AGRUPADOR]],Lucratividade!$D$4:$O$129,6,0),0),"")</f>
        <v/>
      </c>
      <c r="N1084" s="379">
        <f>IF(H1084&lt;&gt;"",J1084*M1084*I1084,SUMIFS(N1085:N$9844,$F1085:$F$9844,"*"&amp;F1084&amp;"*",$H1085:$H$9844,"&lt;&gt;"))</f>
        <v>0</v>
      </c>
      <c r="O1084" s="162" t="str">
        <f>IFERROR((-Tabela2[[#This Row],[CUSTO TOTAL]]+Tabela2[[#This Row],[VENDA TOTAL]])/Tabela2[[#This Row],[VENDA TOTAL]]-PARAMETROS!$C$19,"")</f>
        <v/>
      </c>
      <c r="AA1084" s="219">
        <f>SUM(Plan_Orc[[#This Row],[01/jan]:[01/dez]])</f>
        <v>0</v>
      </c>
      <c r="AB1084" s="15"/>
      <c r="AC1084" s="15"/>
      <c r="AD1084" s="15"/>
      <c r="AE1084" s="15"/>
      <c r="AF1084" s="15"/>
      <c r="AG1084" s="15"/>
      <c r="AH1084" s="15"/>
      <c r="AI1084" s="15"/>
      <c r="AJ1084" s="15"/>
      <c r="AK1084" s="15"/>
      <c r="AL1084" s="15"/>
      <c r="AM1084" s="15"/>
    </row>
    <row r="1085" spans="2:39" ht="25.2" customHeight="1" x14ac:dyDescent="0.3">
      <c r="B1085" s="13" t="str">
        <f t="shared" si="20"/>
        <v/>
      </c>
      <c r="C1085" s="18"/>
      <c r="D1085" s="19" t="str">
        <f>IF(Tabela2[[#This Row],[AGRUPADOR]]&lt;&gt;"",VLOOKUP(Tabela2[[#This Row],[AGRUPADOR]],Tabela1[],2,0),"")</f>
        <v/>
      </c>
      <c r="E1085" s="19" t="str">
        <f>IF(Tabela2[[#This Row],[AGRUPADOR]]&lt;&gt;"",VLOOKUP(Tabela2[[#This Row],[AGRUPADOR]],Tabela1[],4,0),"")</f>
        <v/>
      </c>
      <c r="F1085" s="14"/>
      <c r="G1085" s="6"/>
      <c r="H1085" s="6"/>
      <c r="I1085" s="25"/>
      <c r="J1085" s="7"/>
      <c r="K1085" s="15"/>
      <c r="L1085" s="379">
        <f>IF(H1085&lt;&gt;"",J1085*K1085,SUMIFS(L1086:L$9844,$F1086:$F$9844,"*"&amp;F1085&amp;"*",$H1086:$H$9844,"&lt;&gt;"))</f>
        <v>0</v>
      </c>
      <c r="M1085" s="379" t="str">
        <f>IF(Tabela2[[#This Row],[UNID.]]&lt;&gt;"",IFERROR(VLOOKUP(Tabela2[[#This Row],[AGRUPADOR]],Lucratividade!$D$4:$O$129,6,0),0),"")</f>
        <v/>
      </c>
      <c r="N1085" s="379">
        <f>IF(H1085&lt;&gt;"",J1085*M1085*I1085,SUMIFS(N1086:N$9844,$F1086:$F$9844,"*"&amp;F1085&amp;"*",$H1086:$H$9844,"&lt;&gt;"))</f>
        <v>0</v>
      </c>
      <c r="O1085" s="162" t="str">
        <f>IFERROR((-Tabela2[[#This Row],[CUSTO TOTAL]]+Tabela2[[#This Row],[VENDA TOTAL]])/Tabela2[[#This Row],[VENDA TOTAL]]-PARAMETROS!$C$19,"")</f>
        <v/>
      </c>
      <c r="AA1085" s="219">
        <f>SUM(Plan_Orc[[#This Row],[01/jan]:[01/dez]])</f>
        <v>0</v>
      </c>
      <c r="AB1085" s="15"/>
      <c r="AC1085" s="15"/>
      <c r="AD1085" s="15"/>
      <c r="AE1085" s="15"/>
      <c r="AF1085" s="15"/>
      <c r="AG1085" s="15"/>
      <c r="AH1085" s="15"/>
      <c r="AI1085" s="15"/>
      <c r="AJ1085" s="15"/>
      <c r="AK1085" s="15"/>
      <c r="AL1085" s="15"/>
      <c r="AM1085" s="15"/>
    </row>
    <row r="1086" spans="2:39" ht="25.2" customHeight="1" x14ac:dyDescent="0.3">
      <c r="B1086" s="13" t="str">
        <f t="shared" si="20"/>
        <v/>
      </c>
      <c r="C1086" s="18"/>
      <c r="D1086" s="19" t="str">
        <f>IF(Tabela2[[#This Row],[AGRUPADOR]]&lt;&gt;"",VLOOKUP(Tabela2[[#This Row],[AGRUPADOR]],Tabela1[],2,0),"")</f>
        <v/>
      </c>
      <c r="E1086" s="19" t="str">
        <f>IF(Tabela2[[#This Row],[AGRUPADOR]]&lt;&gt;"",VLOOKUP(Tabela2[[#This Row],[AGRUPADOR]],Tabela1[],4,0),"")</f>
        <v/>
      </c>
      <c r="F1086" s="14"/>
      <c r="G1086" s="6"/>
      <c r="H1086" s="6"/>
      <c r="I1086" s="25"/>
      <c r="J1086" s="7"/>
      <c r="K1086" s="15"/>
      <c r="L1086" s="379">
        <f>IF(H1086&lt;&gt;"",J1086*K1086,SUMIFS(L1087:L$9844,$F1087:$F$9844,"*"&amp;F1086&amp;"*",$H1087:$H$9844,"&lt;&gt;"))</f>
        <v>0</v>
      </c>
      <c r="M1086" s="379" t="str">
        <f>IF(Tabela2[[#This Row],[UNID.]]&lt;&gt;"",IFERROR(VLOOKUP(Tabela2[[#This Row],[AGRUPADOR]],Lucratividade!$D$4:$O$129,6,0),0),"")</f>
        <v/>
      </c>
      <c r="N1086" s="379">
        <f>IF(H1086&lt;&gt;"",J1086*M1086*I1086,SUMIFS(N1087:N$9844,$F1087:$F$9844,"*"&amp;F1086&amp;"*",$H1087:$H$9844,"&lt;&gt;"))</f>
        <v>0</v>
      </c>
      <c r="O1086" s="162" t="str">
        <f>IFERROR((-Tabela2[[#This Row],[CUSTO TOTAL]]+Tabela2[[#This Row],[VENDA TOTAL]])/Tabela2[[#This Row],[VENDA TOTAL]]-PARAMETROS!$C$19,"")</f>
        <v/>
      </c>
      <c r="AA1086" s="219">
        <f>SUM(Plan_Orc[[#This Row],[01/jan]:[01/dez]])</f>
        <v>0</v>
      </c>
      <c r="AB1086" s="15"/>
      <c r="AC1086" s="15"/>
      <c r="AD1086" s="15"/>
      <c r="AE1086" s="15"/>
      <c r="AF1086" s="15"/>
      <c r="AG1086" s="15"/>
      <c r="AH1086" s="15"/>
      <c r="AI1086" s="15"/>
      <c r="AJ1086" s="15"/>
      <c r="AK1086" s="15"/>
      <c r="AL1086" s="15"/>
      <c r="AM1086" s="15"/>
    </row>
    <row r="1087" spans="2:39" ht="25.2" customHeight="1" x14ac:dyDescent="0.3">
      <c r="B1087" s="13" t="str">
        <f t="shared" si="20"/>
        <v/>
      </c>
      <c r="C1087" s="18"/>
      <c r="D1087" s="19" t="str">
        <f>IF(Tabela2[[#This Row],[AGRUPADOR]]&lt;&gt;"",VLOOKUP(Tabela2[[#This Row],[AGRUPADOR]],Tabela1[],2,0),"")</f>
        <v/>
      </c>
      <c r="E1087" s="19" t="str">
        <f>IF(Tabela2[[#This Row],[AGRUPADOR]]&lt;&gt;"",VLOOKUP(Tabela2[[#This Row],[AGRUPADOR]],Tabela1[],4,0),"")</f>
        <v/>
      </c>
      <c r="F1087" s="14"/>
      <c r="G1087" s="6"/>
      <c r="H1087" s="6"/>
      <c r="I1087" s="25"/>
      <c r="J1087" s="7"/>
      <c r="K1087" s="15"/>
      <c r="L1087" s="379">
        <f>IF(H1087&lt;&gt;"",J1087*K1087,SUMIFS(L1088:L$9844,$F1088:$F$9844,"*"&amp;F1087&amp;"*",$H1088:$H$9844,"&lt;&gt;"))</f>
        <v>0</v>
      </c>
      <c r="M1087" s="379" t="str">
        <f>IF(Tabela2[[#This Row],[UNID.]]&lt;&gt;"",IFERROR(VLOOKUP(Tabela2[[#This Row],[AGRUPADOR]],Lucratividade!$D$4:$O$129,6,0),0),"")</f>
        <v/>
      </c>
      <c r="N1087" s="379">
        <f>IF(H1087&lt;&gt;"",J1087*M1087*I1087,SUMIFS(N1088:N$9844,$F1088:$F$9844,"*"&amp;F1087&amp;"*",$H1088:$H$9844,"&lt;&gt;"))</f>
        <v>0</v>
      </c>
      <c r="O1087" s="162" t="str">
        <f>IFERROR((-Tabela2[[#This Row],[CUSTO TOTAL]]+Tabela2[[#This Row],[VENDA TOTAL]])/Tabela2[[#This Row],[VENDA TOTAL]]-PARAMETROS!$C$19,"")</f>
        <v/>
      </c>
      <c r="AA1087" s="219">
        <f>SUM(Plan_Orc[[#This Row],[01/jan]:[01/dez]])</f>
        <v>0</v>
      </c>
      <c r="AB1087" s="15"/>
      <c r="AC1087" s="15"/>
      <c r="AD1087" s="15"/>
      <c r="AE1087" s="15"/>
      <c r="AF1087" s="15"/>
      <c r="AG1087" s="15"/>
      <c r="AH1087" s="15"/>
      <c r="AI1087" s="15"/>
      <c r="AJ1087" s="15"/>
      <c r="AK1087" s="15"/>
      <c r="AL1087" s="15"/>
      <c r="AM1087" s="15"/>
    </row>
    <row r="1088" spans="2:39" ht="25.2" customHeight="1" x14ac:dyDescent="0.3">
      <c r="B1088" s="13" t="str">
        <f t="shared" si="20"/>
        <v/>
      </c>
      <c r="C1088" s="18"/>
      <c r="D1088" s="19" t="str">
        <f>IF(Tabela2[[#This Row],[AGRUPADOR]]&lt;&gt;"",VLOOKUP(Tabela2[[#This Row],[AGRUPADOR]],Tabela1[],2,0),"")</f>
        <v/>
      </c>
      <c r="E1088" s="19" t="str">
        <f>IF(Tabela2[[#This Row],[AGRUPADOR]]&lt;&gt;"",VLOOKUP(Tabela2[[#This Row],[AGRUPADOR]],Tabela1[],4,0),"")</f>
        <v/>
      </c>
      <c r="F1088" s="14"/>
      <c r="G1088" s="6"/>
      <c r="H1088" s="6"/>
      <c r="I1088" s="25"/>
      <c r="J1088" s="7"/>
      <c r="K1088" s="15"/>
      <c r="L1088" s="379">
        <f>IF(H1088&lt;&gt;"",J1088*K1088,SUMIFS(L1089:L$9844,$F1089:$F$9844,"*"&amp;F1088&amp;"*",$H1089:$H$9844,"&lt;&gt;"))</f>
        <v>0</v>
      </c>
      <c r="M1088" s="379" t="str">
        <f>IF(Tabela2[[#This Row],[UNID.]]&lt;&gt;"",IFERROR(VLOOKUP(Tabela2[[#This Row],[AGRUPADOR]],Lucratividade!$D$4:$O$129,6,0),0),"")</f>
        <v/>
      </c>
      <c r="N1088" s="379">
        <f>IF(H1088&lt;&gt;"",J1088*M1088*I1088,SUMIFS(N1089:N$9844,$F1089:$F$9844,"*"&amp;F1088&amp;"*",$H1089:$H$9844,"&lt;&gt;"))</f>
        <v>0</v>
      </c>
      <c r="O1088" s="162" t="str">
        <f>IFERROR((-Tabela2[[#This Row],[CUSTO TOTAL]]+Tabela2[[#This Row],[VENDA TOTAL]])/Tabela2[[#This Row],[VENDA TOTAL]]-PARAMETROS!$C$19,"")</f>
        <v/>
      </c>
      <c r="AA1088" s="219">
        <f>SUM(Plan_Orc[[#This Row],[01/jan]:[01/dez]])</f>
        <v>0</v>
      </c>
      <c r="AB1088" s="15"/>
      <c r="AC1088" s="15"/>
      <c r="AD1088" s="15"/>
      <c r="AE1088" s="15"/>
      <c r="AF1088" s="15"/>
      <c r="AG1088" s="15"/>
      <c r="AH1088" s="15"/>
      <c r="AI1088" s="15"/>
      <c r="AJ1088" s="15"/>
      <c r="AK1088" s="15"/>
      <c r="AL1088" s="15"/>
      <c r="AM1088" s="15"/>
    </row>
    <row r="1089" spans="2:39" ht="25.2" customHeight="1" x14ac:dyDescent="0.3">
      <c r="B1089" s="13" t="str">
        <f t="shared" si="20"/>
        <v/>
      </c>
      <c r="C1089" s="18"/>
      <c r="D1089" s="19" t="str">
        <f>IF(Tabela2[[#This Row],[AGRUPADOR]]&lt;&gt;"",VLOOKUP(Tabela2[[#This Row],[AGRUPADOR]],Tabela1[],2,0),"")</f>
        <v/>
      </c>
      <c r="E1089" s="19" t="str">
        <f>IF(Tabela2[[#This Row],[AGRUPADOR]]&lt;&gt;"",VLOOKUP(Tabela2[[#This Row],[AGRUPADOR]],Tabela1[],4,0),"")</f>
        <v/>
      </c>
      <c r="F1089" s="14"/>
      <c r="G1089" s="6"/>
      <c r="H1089" s="6"/>
      <c r="I1089" s="25"/>
      <c r="J1089" s="7"/>
      <c r="K1089" s="15"/>
      <c r="L1089" s="379">
        <f>IF(H1089&lt;&gt;"",J1089*K1089,SUMIFS(L1090:L$9844,$F1090:$F$9844,"*"&amp;F1089&amp;"*",$H1090:$H$9844,"&lt;&gt;"))</f>
        <v>0</v>
      </c>
      <c r="M1089" s="379" t="str">
        <f>IF(Tabela2[[#This Row],[UNID.]]&lt;&gt;"",IFERROR(VLOOKUP(Tabela2[[#This Row],[AGRUPADOR]],Lucratividade!$D$4:$O$129,6,0),0),"")</f>
        <v/>
      </c>
      <c r="N1089" s="379">
        <f>IF(H1089&lt;&gt;"",J1089*M1089*I1089,SUMIFS(N1090:N$9844,$F1090:$F$9844,"*"&amp;F1089&amp;"*",$H1090:$H$9844,"&lt;&gt;"))</f>
        <v>0</v>
      </c>
      <c r="O1089" s="162" t="str">
        <f>IFERROR((-Tabela2[[#This Row],[CUSTO TOTAL]]+Tabela2[[#This Row],[VENDA TOTAL]])/Tabela2[[#This Row],[VENDA TOTAL]]-PARAMETROS!$C$19,"")</f>
        <v/>
      </c>
      <c r="AA1089" s="219">
        <f>SUM(Plan_Orc[[#This Row],[01/jan]:[01/dez]])</f>
        <v>0</v>
      </c>
      <c r="AB1089" s="15"/>
      <c r="AC1089" s="15"/>
      <c r="AD1089" s="15"/>
      <c r="AE1089" s="15"/>
      <c r="AF1089" s="15"/>
      <c r="AG1089" s="15"/>
      <c r="AH1089" s="15"/>
      <c r="AI1089" s="15"/>
      <c r="AJ1089" s="15"/>
      <c r="AK1089" s="15"/>
      <c r="AL1089" s="15"/>
      <c r="AM1089" s="15"/>
    </row>
    <row r="1090" spans="2:39" ht="25.2" customHeight="1" x14ac:dyDescent="0.3">
      <c r="B1090" s="13" t="str">
        <f t="shared" si="20"/>
        <v/>
      </c>
      <c r="C1090" s="18"/>
      <c r="D1090" s="19" t="str">
        <f>IF(Tabela2[[#This Row],[AGRUPADOR]]&lt;&gt;"",VLOOKUP(Tabela2[[#This Row],[AGRUPADOR]],Tabela1[],2,0),"")</f>
        <v/>
      </c>
      <c r="E1090" s="19" t="str">
        <f>IF(Tabela2[[#This Row],[AGRUPADOR]]&lt;&gt;"",VLOOKUP(Tabela2[[#This Row],[AGRUPADOR]],Tabela1[],4,0),"")</f>
        <v/>
      </c>
      <c r="F1090" s="14"/>
      <c r="G1090" s="6"/>
      <c r="H1090" s="6"/>
      <c r="I1090" s="25"/>
      <c r="J1090" s="7"/>
      <c r="K1090" s="15"/>
      <c r="L1090" s="379">
        <f>IF(H1090&lt;&gt;"",J1090*K1090,SUMIFS(L1091:L$9844,$F1091:$F$9844,"*"&amp;F1090&amp;"*",$H1091:$H$9844,"&lt;&gt;"))</f>
        <v>0</v>
      </c>
      <c r="M1090" s="379" t="str">
        <f>IF(Tabela2[[#This Row],[UNID.]]&lt;&gt;"",IFERROR(VLOOKUP(Tabela2[[#This Row],[AGRUPADOR]],Lucratividade!$D$4:$O$129,6,0),0),"")</f>
        <v/>
      </c>
      <c r="N1090" s="379">
        <f>IF(H1090&lt;&gt;"",J1090*M1090*I1090,SUMIFS(N1091:N$9844,$F1091:$F$9844,"*"&amp;F1090&amp;"*",$H1091:$H$9844,"&lt;&gt;"))</f>
        <v>0</v>
      </c>
      <c r="O1090" s="162" t="str">
        <f>IFERROR((-Tabela2[[#This Row],[CUSTO TOTAL]]+Tabela2[[#This Row],[VENDA TOTAL]])/Tabela2[[#This Row],[VENDA TOTAL]]-PARAMETROS!$C$19,"")</f>
        <v/>
      </c>
      <c r="AA1090" s="219">
        <f>SUM(Plan_Orc[[#This Row],[01/jan]:[01/dez]])</f>
        <v>0</v>
      </c>
      <c r="AB1090" s="15"/>
      <c r="AC1090" s="15"/>
      <c r="AD1090" s="15"/>
      <c r="AE1090" s="15"/>
      <c r="AF1090" s="15"/>
      <c r="AG1090" s="15"/>
      <c r="AH1090" s="15"/>
      <c r="AI1090" s="15"/>
      <c r="AJ1090" s="15"/>
      <c r="AK1090" s="15"/>
      <c r="AL1090" s="15"/>
      <c r="AM1090" s="15"/>
    </row>
    <row r="1091" spans="2:39" ht="25.2" customHeight="1" x14ac:dyDescent="0.3">
      <c r="B1091" s="13" t="str">
        <f t="shared" si="20"/>
        <v/>
      </c>
      <c r="C1091" s="18"/>
      <c r="D1091" s="19" t="str">
        <f>IF(Tabela2[[#This Row],[AGRUPADOR]]&lt;&gt;"",VLOOKUP(Tabela2[[#This Row],[AGRUPADOR]],Tabela1[],2,0),"")</f>
        <v/>
      </c>
      <c r="E1091" s="19" t="str">
        <f>IF(Tabela2[[#This Row],[AGRUPADOR]]&lt;&gt;"",VLOOKUP(Tabela2[[#This Row],[AGRUPADOR]],Tabela1[],4,0),"")</f>
        <v/>
      </c>
      <c r="F1091" s="14"/>
      <c r="G1091" s="6"/>
      <c r="H1091" s="6"/>
      <c r="I1091" s="25"/>
      <c r="J1091" s="7"/>
      <c r="K1091" s="15"/>
      <c r="L1091" s="379">
        <f>IF(H1091&lt;&gt;"",J1091*K1091,SUMIFS(L1092:L$9844,$F1092:$F$9844,"*"&amp;F1091&amp;"*",$H1092:$H$9844,"&lt;&gt;"))</f>
        <v>0</v>
      </c>
      <c r="M1091" s="379" t="str">
        <f>IF(Tabela2[[#This Row],[UNID.]]&lt;&gt;"",IFERROR(VLOOKUP(Tabela2[[#This Row],[AGRUPADOR]],Lucratividade!$D$4:$O$129,6,0),0),"")</f>
        <v/>
      </c>
      <c r="N1091" s="379">
        <f>IF(H1091&lt;&gt;"",J1091*M1091*I1091,SUMIFS(N1092:N$9844,$F1092:$F$9844,"*"&amp;F1091&amp;"*",$H1092:$H$9844,"&lt;&gt;"))</f>
        <v>0</v>
      </c>
      <c r="O1091" s="162" t="str">
        <f>IFERROR((-Tabela2[[#This Row],[CUSTO TOTAL]]+Tabela2[[#This Row],[VENDA TOTAL]])/Tabela2[[#This Row],[VENDA TOTAL]]-PARAMETROS!$C$19,"")</f>
        <v/>
      </c>
      <c r="AA1091" s="219">
        <f>SUM(Plan_Orc[[#This Row],[01/jan]:[01/dez]])</f>
        <v>0</v>
      </c>
      <c r="AB1091" s="15"/>
      <c r="AC1091" s="15"/>
      <c r="AD1091" s="15"/>
      <c r="AE1091" s="15"/>
      <c r="AF1091" s="15"/>
      <c r="AG1091" s="15"/>
      <c r="AH1091" s="15"/>
      <c r="AI1091" s="15"/>
      <c r="AJ1091" s="15"/>
      <c r="AK1091" s="15"/>
      <c r="AL1091" s="15"/>
      <c r="AM1091" s="15"/>
    </row>
    <row r="1092" spans="2:39" ht="25.2" customHeight="1" x14ac:dyDescent="0.3">
      <c r="B1092" s="13" t="str">
        <f t="shared" ref="B1092:B1155" si="21">IF(LEN(F1092)=3,1,"")</f>
        <v/>
      </c>
      <c r="C1092" s="18"/>
      <c r="D1092" s="19" t="str">
        <f>IF(Tabela2[[#This Row],[AGRUPADOR]]&lt;&gt;"",VLOOKUP(Tabela2[[#This Row],[AGRUPADOR]],Tabela1[],2,0),"")</f>
        <v/>
      </c>
      <c r="E1092" s="19" t="str">
        <f>IF(Tabela2[[#This Row],[AGRUPADOR]]&lt;&gt;"",VLOOKUP(Tabela2[[#This Row],[AGRUPADOR]],Tabela1[],4,0),"")</f>
        <v/>
      </c>
      <c r="F1092" s="14"/>
      <c r="G1092" s="6"/>
      <c r="H1092" s="6"/>
      <c r="I1092" s="25"/>
      <c r="J1092" s="7"/>
      <c r="K1092" s="15"/>
      <c r="L1092" s="379">
        <f>IF(H1092&lt;&gt;"",J1092*K1092,SUMIFS(L1093:L$9844,$F1093:$F$9844,"*"&amp;F1092&amp;"*",$H1093:$H$9844,"&lt;&gt;"))</f>
        <v>0</v>
      </c>
      <c r="M1092" s="379" t="str">
        <f>IF(Tabela2[[#This Row],[UNID.]]&lt;&gt;"",IFERROR(VLOOKUP(Tabela2[[#This Row],[AGRUPADOR]],Lucratividade!$D$4:$O$129,6,0),0),"")</f>
        <v/>
      </c>
      <c r="N1092" s="379">
        <f>IF(H1092&lt;&gt;"",J1092*M1092*I1092,SUMIFS(N1093:N$9844,$F1093:$F$9844,"*"&amp;F1092&amp;"*",$H1093:$H$9844,"&lt;&gt;"))</f>
        <v>0</v>
      </c>
      <c r="O1092" s="162" t="str">
        <f>IFERROR((-Tabela2[[#This Row],[CUSTO TOTAL]]+Tabela2[[#This Row],[VENDA TOTAL]])/Tabela2[[#This Row],[VENDA TOTAL]]-PARAMETROS!$C$19,"")</f>
        <v/>
      </c>
      <c r="AA1092" s="219">
        <f>SUM(Plan_Orc[[#This Row],[01/jan]:[01/dez]])</f>
        <v>0</v>
      </c>
      <c r="AB1092" s="15"/>
      <c r="AC1092" s="15"/>
      <c r="AD1092" s="15"/>
      <c r="AE1092" s="15"/>
      <c r="AF1092" s="15"/>
      <c r="AG1092" s="15"/>
      <c r="AH1092" s="15"/>
      <c r="AI1092" s="15"/>
      <c r="AJ1092" s="15"/>
      <c r="AK1092" s="15"/>
      <c r="AL1092" s="15"/>
      <c r="AM1092" s="15"/>
    </row>
    <row r="1093" spans="2:39" ht="25.2" customHeight="1" x14ac:dyDescent="0.3">
      <c r="B1093" s="13" t="str">
        <f t="shared" si="21"/>
        <v/>
      </c>
      <c r="C1093" s="18"/>
      <c r="D1093" s="19" t="str">
        <f>IF(Tabela2[[#This Row],[AGRUPADOR]]&lt;&gt;"",VLOOKUP(Tabela2[[#This Row],[AGRUPADOR]],Tabela1[],2,0),"")</f>
        <v/>
      </c>
      <c r="E1093" s="19" t="str">
        <f>IF(Tabela2[[#This Row],[AGRUPADOR]]&lt;&gt;"",VLOOKUP(Tabela2[[#This Row],[AGRUPADOR]],Tabela1[],4,0),"")</f>
        <v/>
      </c>
      <c r="F1093" s="14"/>
      <c r="G1093" s="6"/>
      <c r="H1093" s="6"/>
      <c r="I1093" s="25"/>
      <c r="J1093" s="7"/>
      <c r="K1093" s="15"/>
      <c r="L1093" s="379">
        <f>IF(H1093&lt;&gt;"",J1093*K1093,SUMIFS(L1094:L$9844,$F1094:$F$9844,"*"&amp;F1093&amp;"*",$H1094:$H$9844,"&lt;&gt;"))</f>
        <v>0</v>
      </c>
      <c r="M1093" s="379" t="str">
        <f>IF(Tabela2[[#This Row],[UNID.]]&lt;&gt;"",IFERROR(VLOOKUP(Tabela2[[#This Row],[AGRUPADOR]],Lucratividade!$D$4:$O$129,6,0),0),"")</f>
        <v/>
      </c>
      <c r="N1093" s="379">
        <f>IF(H1093&lt;&gt;"",J1093*M1093*I1093,SUMIFS(N1094:N$9844,$F1094:$F$9844,"*"&amp;F1093&amp;"*",$H1094:$H$9844,"&lt;&gt;"))</f>
        <v>0</v>
      </c>
      <c r="O1093" s="162" t="str">
        <f>IFERROR((-Tabela2[[#This Row],[CUSTO TOTAL]]+Tabela2[[#This Row],[VENDA TOTAL]])/Tabela2[[#This Row],[VENDA TOTAL]]-PARAMETROS!$C$19,"")</f>
        <v/>
      </c>
      <c r="AA1093" s="219">
        <f>SUM(Plan_Orc[[#This Row],[01/jan]:[01/dez]])</f>
        <v>0</v>
      </c>
      <c r="AB1093" s="15"/>
      <c r="AC1093" s="15"/>
      <c r="AD1093" s="15"/>
      <c r="AE1093" s="15"/>
      <c r="AF1093" s="15"/>
      <c r="AG1093" s="15"/>
      <c r="AH1093" s="15"/>
      <c r="AI1093" s="15"/>
      <c r="AJ1093" s="15"/>
      <c r="AK1093" s="15"/>
      <c r="AL1093" s="15"/>
      <c r="AM1093" s="15"/>
    </row>
    <row r="1094" spans="2:39" ht="25.2" customHeight="1" x14ac:dyDescent="0.3">
      <c r="B1094" s="13" t="str">
        <f t="shared" si="21"/>
        <v/>
      </c>
      <c r="C1094" s="18"/>
      <c r="D1094" s="19" t="str">
        <f>IF(Tabela2[[#This Row],[AGRUPADOR]]&lt;&gt;"",VLOOKUP(Tabela2[[#This Row],[AGRUPADOR]],Tabela1[],2,0),"")</f>
        <v/>
      </c>
      <c r="E1094" s="19" t="str">
        <f>IF(Tabela2[[#This Row],[AGRUPADOR]]&lt;&gt;"",VLOOKUP(Tabela2[[#This Row],[AGRUPADOR]],Tabela1[],4,0),"")</f>
        <v/>
      </c>
      <c r="F1094" s="14"/>
      <c r="G1094" s="6"/>
      <c r="H1094" s="6"/>
      <c r="I1094" s="25"/>
      <c r="J1094" s="7"/>
      <c r="K1094" s="15"/>
      <c r="L1094" s="379">
        <f>IF(H1094&lt;&gt;"",J1094*K1094,SUMIFS(L1095:L$9844,$F1095:$F$9844,"*"&amp;F1094&amp;"*",$H1095:$H$9844,"&lt;&gt;"))</f>
        <v>0</v>
      </c>
      <c r="M1094" s="379" t="str">
        <f>IF(Tabela2[[#This Row],[UNID.]]&lt;&gt;"",IFERROR(VLOOKUP(Tabela2[[#This Row],[AGRUPADOR]],Lucratividade!$D$4:$O$129,6,0),0),"")</f>
        <v/>
      </c>
      <c r="N1094" s="379">
        <f>IF(H1094&lt;&gt;"",J1094*M1094*I1094,SUMIFS(N1095:N$9844,$F1095:$F$9844,"*"&amp;F1094&amp;"*",$H1095:$H$9844,"&lt;&gt;"))</f>
        <v>0</v>
      </c>
      <c r="O1094" s="162" t="str">
        <f>IFERROR((-Tabela2[[#This Row],[CUSTO TOTAL]]+Tabela2[[#This Row],[VENDA TOTAL]])/Tabela2[[#This Row],[VENDA TOTAL]]-PARAMETROS!$C$19,"")</f>
        <v/>
      </c>
      <c r="AA1094" s="219">
        <f>SUM(Plan_Orc[[#This Row],[01/jan]:[01/dez]])</f>
        <v>0</v>
      </c>
      <c r="AB1094" s="15"/>
      <c r="AC1094" s="15"/>
      <c r="AD1094" s="15"/>
      <c r="AE1094" s="15"/>
      <c r="AF1094" s="15"/>
      <c r="AG1094" s="15"/>
      <c r="AH1094" s="15"/>
      <c r="AI1094" s="15"/>
      <c r="AJ1094" s="15"/>
      <c r="AK1094" s="15"/>
      <c r="AL1094" s="15"/>
      <c r="AM1094" s="15"/>
    </row>
    <row r="1095" spans="2:39" ht="25.2" customHeight="1" x14ac:dyDescent="0.3">
      <c r="B1095" s="13" t="str">
        <f t="shared" si="21"/>
        <v/>
      </c>
      <c r="C1095" s="18"/>
      <c r="D1095" s="19" t="str">
        <f>IF(Tabela2[[#This Row],[AGRUPADOR]]&lt;&gt;"",VLOOKUP(Tabela2[[#This Row],[AGRUPADOR]],Tabela1[],2,0),"")</f>
        <v/>
      </c>
      <c r="E1095" s="19" t="str">
        <f>IF(Tabela2[[#This Row],[AGRUPADOR]]&lt;&gt;"",VLOOKUP(Tabela2[[#This Row],[AGRUPADOR]],Tabela1[],4,0),"")</f>
        <v/>
      </c>
      <c r="F1095" s="14"/>
      <c r="G1095" s="6"/>
      <c r="H1095" s="6"/>
      <c r="I1095" s="25"/>
      <c r="J1095" s="7"/>
      <c r="K1095" s="15"/>
      <c r="L1095" s="379">
        <f>IF(H1095&lt;&gt;"",J1095*K1095,SUMIFS(L1096:L$9844,$F1096:$F$9844,"*"&amp;F1095&amp;"*",$H1096:$H$9844,"&lt;&gt;"))</f>
        <v>0</v>
      </c>
      <c r="M1095" s="379" t="str">
        <f>IF(Tabela2[[#This Row],[UNID.]]&lt;&gt;"",IFERROR(VLOOKUP(Tabela2[[#This Row],[AGRUPADOR]],Lucratividade!$D$4:$O$129,6,0),0),"")</f>
        <v/>
      </c>
      <c r="N1095" s="379">
        <f>IF(H1095&lt;&gt;"",J1095*M1095*I1095,SUMIFS(N1096:N$9844,$F1096:$F$9844,"*"&amp;F1095&amp;"*",$H1096:$H$9844,"&lt;&gt;"))</f>
        <v>0</v>
      </c>
      <c r="O1095" s="162" t="str">
        <f>IFERROR((-Tabela2[[#This Row],[CUSTO TOTAL]]+Tabela2[[#This Row],[VENDA TOTAL]])/Tabela2[[#This Row],[VENDA TOTAL]]-PARAMETROS!$C$19,"")</f>
        <v/>
      </c>
      <c r="AA1095" s="219">
        <f>SUM(Plan_Orc[[#This Row],[01/jan]:[01/dez]])</f>
        <v>0</v>
      </c>
      <c r="AB1095" s="15"/>
      <c r="AC1095" s="15"/>
      <c r="AD1095" s="15"/>
      <c r="AE1095" s="15"/>
      <c r="AF1095" s="15"/>
      <c r="AG1095" s="15"/>
      <c r="AH1095" s="15"/>
      <c r="AI1095" s="15"/>
      <c r="AJ1095" s="15"/>
      <c r="AK1095" s="15"/>
      <c r="AL1095" s="15"/>
      <c r="AM1095" s="15"/>
    </row>
    <row r="1096" spans="2:39" ht="25.2" customHeight="1" x14ac:dyDescent="0.3">
      <c r="B1096" s="13" t="str">
        <f t="shared" si="21"/>
        <v/>
      </c>
      <c r="C1096" s="18"/>
      <c r="D1096" s="19" t="str">
        <f>IF(Tabela2[[#This Row],[AGRUPADOR]]&lt;&gt;"",VLOOKUP(Tabela2[[#This Row],[AGRUPADOR]],Tabela1[],2,0),"")</f>
        <v/>
      </c>
      <c r="E1096" s="19" t="str">
        <f>IF(Tabela2[[#This Row],[AGRUPADOR]]&lt;&gt;"",VLOOKUP(Tabela2[[#This Row],[AGRUPADOR]],Tabela1[],4,0),"")</f>
        <v/>
      </c>
      <c r="F1096" s="14"/>
      <c r="G1096" s="6"/>
      <c r="H1096" s="6"/>
      <c r="I1096" s="25"/>
      <c r="J1096" s="7"/>
      <c r="K1096" s="15"/>
      <c r="L1096" s="379">
        <f>IF(H1096&lt;&gt;"",J1096*K1096,SUMIFS(L1097:L$9844,$F1097:$F$9844,"*"&amp;F1096&amp;"*",$H1097:$H$9844,"&lt;&gt;"))</f>
        <v>0</v>
      </c>
      <c r="M1096" s="379" t="str">
        <f>IF(Tabela2[[#This Row],[UNID.]]&lt;&gt;"",IFERROR(VLOOKUP(Tabela2[[#This Row],[AGRUPADOR]],Lucratividade!$D$4:$O$129,6,0),0),"")</f>
        <v/>
      </c>
      <c r="N1096" s="379">
        <f>IF(H1096&lt;&gt;"",J1096*M1096*I1096,SUMIFS(N1097:N$9844,$F1097:$F$9844,"*"&amp;F1096&amp;"*",$H1097:$H$9844,"&lt;&gt;"))</f>
        <v>0</v>
      </c>
      <c r="O1096" s="162" t="str">
        <f>IFERROR((-Tabela2[[#This Row],[CUSTO TOTAL]]+Tabela2[[#This Row],[VENDA TOTAL]])/Tabela2[[#This Row],[VENDA TOTAL]]-PARAMETROS!$C$19,"")</f>
        <v/>
      </c>
      <c r="AA1096" s="219">
        <f>SUM(Plan_Orc[[#This Row],[01/jan]:[01/dez]])</f>
        <v>0</v>
      </c>
      <c r="AB1096" s="15"/>
      <c r="AC1096" s="15"/>
      <c r="AD1096" s="15"/>
      <c r="AE1096" s="15"/>
      <c r="AF1096" s="15"/>
      <c r="AG1096" s="15"/>
      <c r="AH1096" s="15"/>
      <c r="AI1096" s="15"/>
      <c r="AJ1096" s="15"/>
      <c r="AK1096" s="15"/>
      <c r="AL1096" s="15"/>
      <c r="AM1096" s="15"/>
    </row>
    <row r="1097" spans="2:39" ht="25.2" customHeight="1" x14ac:dyDescent="0.3">
      <c r="B1097" s="13" t="str">
        <f t="shared" si="21"/>
        <v/>
      </c>
      <c r="C1097" s="18"/>
      <c r="D1097" s="19" t="str">
        <f>IF(Tabela2[[#This Row],[AGRUPADOR]]&lt;&gt;"",VLOOKUP(Tabela2[[#This Row],[AGRUPADOR]],Tabela1[],2,0),"")</f>
        <v/>
      </c>
      <c r="E1097" s="19" t="str">
        <f>IF(Tabela2[[#This Row],[AGRUPADOR]]&lt;&gt;"",VLOOKUP(Tabela2[[#This Row],[AGRUPADOR]],Tabela1[],4,0),"")</f>
        <v/>
      </c>
      <c r="F1097" s="14"/>
      <c r="G1097" s="6"/>
      <c r="H1097" s="6"/>
      <c r="I1097" s="25"/>
      <c r="J1097" s="7"/>
      <c r="K1097" s="15"/>
      <c r="L1097" s="379">
        <f>IF(H1097&lt;&gt;"",J1097*K1097,SUMIFS(L1098:L$9844,$F1098:$F$9844,"*"&amp;F1097&amp;"*",$H1098:$H$9844,"&lt;&gt;"))</f>
        <v>0</v>
      </c>
      <c r="M1097" s="379" t="str">
        <f>IF(Tabela2[[#This Row],[UNID.]]&lt;&gt;"",IFERROR(VLOOKUP(Tabela2[[#This Row],[AGRUPADOR]],Lucratividade!$D$4:$O$129,6,0),0),"")</f>
        <v/>
      </c>
      <c r="N1097" s="379">
        <f>IF(H1097&lt;&gt;"",J1097*M1097*I1097,SUMIFS(N1098:N$9844,$F1098:$F$9844,"*"&amp;F1097&amp;"*",$H1098:$H$9844,"&lt;&gt;"))</f>
        <v>0</v>
      </c>
      <c r="O1097" s="162" t="str">
        <f>IFERROR((-Tabela2[[#This Row],[CUSTO TOTAL]]+Tabela2[[#This Row],[VENDA TOTAL]])/Tabela2[[#This Row],[VENDA TOTAL]]-PARAMETROS!$C$19,"")</f>
        <v/>
      </c>
      <c r="AA1097" s="219">
        <f>SUM(Plan_Orc[[#This Row],[01/jan]:[01/dez]])</f>
        <v>0</v>
      </c>
      <c r="AB1097" s="15"/>
      <c r="AC1097" s="15"/>
      <c r="AD1097" s="15"/>
      <c r="AE1097" s="15"/>
      <c r="AF1097" s="15"/>
      <c r="AG1097" s="15"/>
      <c r="AH1097" s="15"/>
      <c r="AI1097" s="15"/>
      <c r="AJ1097" s="15"/>
      <c r="AK1097" s="15"/>
      <c r="AL1097" s="15"/>
      <c r="AM1097" s="15"/>
    </row>
    <row r="1098" spans="2:39" ht="25.2" customHeight="1" x14ac:dyDescent="0.3">
      <c r="B1098" s="13" t="str">
        <f t="shared" si="21"/>
        <v/>
      </c>
      <c r="C1098" s="18"/>
      <c r="D1098" s="19" t="str">
        <f>IF(Tabela2[[#This Row],[AGRUPADOR]]&lt;&gt;"",VLOOKUP(Tabela2[[#This Row],[AGRUPADOR]],Tabela1[],2,0),"")</f>
        <v/>
      </c>
      <c r="E1098" s="19" t="str">
        <f>IF(Tabela2[[#This Row],[AGRUPADOR]]&lt;&gt;"",VLOOKUP(Tabela2[[#This Row],[AGRUPADOR]],Tabela1[],4,0),"")</f>
        <v/>
      </c>
      <c r="F1098" s="14"/>
      <c r="G1098" s="6"/>
      <c r="H1098" s="6"/>
      <c r="I1098" s="25"/>
      <c r="J1098" s="7"/>
      <c r="K1098" s="15"/>
      <c r="L1098" s="379">
        <f>IF(H1098&lt;&gt;"",J1098*K1098,SUMIFS(L1099:L$9844,$F1099:$F$9844,"*"&amp;F1098&amp;"*",$H1099:$H$9844,"&lt;&gt;"))</f>
        <v>0</v>
      </c>
      <c r="M1098" s="379" t="str">
        <f>IF(Tabela2[[#This Row],[UNID.]]&lt;&gt;"",IFERROR(VLOOKUP(Tabela2[[#This Row],[AGRUPADOR]],Lucratividade!$D$4:$O$129,6,0),0),"")</f>
        <v/>
      </c>
      <c r="N1098" s="379">
        <f>IF(H1098&lt;&gt;"",J1098*M1098*I1098,SUMIFS(N1099:N$9844,$F1099:$F$9844,"*"&amp;F1098&amp;"*",$H1099:$H$9844,"&lt;&gt;"))</f>
        <v>0</v>
      </c>
      <c r="O1098" s="162" t="str">
        <f>IFERROR((-Tabela2[[#This Row],[CUSTO TOTAL]]+Tabela2[[#This Row],[VENDA TOTAL]])/Tabela2[[#This Row],[VENDA TOTAL]]-PARAMETROS!$C$19,"")</f>
        <v/>
      </c>
      <c r="AA1098" s="219">
        <f>SUM(Plan_Orc[[#This Row],[01/jan]:[01/dez]])</f>
        <v>0</v>
      </c>
      <c r="AB1098" s="15"/>
      <c r="AC1098" s="15"/>
      <c r="AD1098" s="15"/>
      <c r="AE1098" s="15"/>
      <c r="AF1098" s="15"/>
      <c r="AG1098" s="15"/>
      <c r="AH1098" s="15"/>
      <c r="AI1098" s="15"/>
      <c r="AJ1098" s="15"/>
      <c r="AK1098" s="15"/>
      <c r="AL1098" s="15"/>
      <c r="AM1098" s="15"/>
    </row>
    <row r="1099" spans="2:39" ht="25.2" customHeight="1" x14ac:dyDescent="0.3">
      <c r="B1099" s="13" t="str">
        <f t="shared" si="21"/>
        <v/>
      </c>
      <c r="C1099" s="18"/>
      <c r="D1099" s="19" t="str">
        <f>IF(Tabela2[[#This Row],[AGRUPADOR]]&lt;&gt;"",VLOOKUP(Tabela2[[#This Row],[AGRUPADOR]],Tabela1[],2,0),"")</f>
        <v/>
      </c>
      <c r="E1099" s="19" t="str">
        <f>IF(Tabela2[[#This Row],[AGRUPADOR]]&lt;&gt;"",VLOOKUP(Tabela2[[#This Row],[AGRUPADOR]],Tabela1[],4,0),"")</f>
        <v/>
      </c>
      <c r="F1099" s="14"/>
      <c r="G1099" s="6"/>
      <c r="H1099" s="6"/>
      <c r="I1099" s="25"/>
      <c r="J1099" s="7"/>
      <c r="K1099" s="15"/>
      <c r="L1099" s="379">
        <f>IF(H1099&lt;&gt;"",J1099*K1099,SUMIFS(L1100:L$9844,$F1100:$F$9844,"*"&amp;F1099&amp;"*",$H1100:$H$9844,"&lt;&gt;"))</f>
        <v>0</v>
      </c>
      <c r="M1099" s="379" t="str">
        <f>IF(Tabela2[[#This Row],[UNID.]]&lt;&gt;"",IFERROR(VLOOKUP(Tabela2[[#This Row],[AGRUPADOR]],Lucratividade!$D$4:$O$129,6,0),0),"")</f>
        <v/>
      </c>
      <c r="N1099" s="379">
        <f>IF(H1099&lt;&gt;"",J1099*M1099*I1099,SUMIFS(N1100:N$9844,$F1100:$F$9844,"*"&amp;F1099&amp;"*",$H1100:$H$9844,"&lt;&gt;"))</f>
        <v>0</v>
      </c>
      <c r="O1099" s="162" t="str">
        <f>IFERROR((-Tabela2[[#This Row],[CUSTO TOTAL]]+Tabela2[[#This Row],[VENDA TOTAL]])/Tabela2[[#This Row],[VENDA TOTAL]]-PARAMETROS!$C$19,"")</f>
        <v/>
      </c>
      <c r="AA1099" s="219">
        <f>SUM(Plan_Orc[[#This Row],[01/jan]:[01/dez]])</f>
        <v>0</v>
      </c>
      <c r="AB1099" s="15"/>
      <c r="AC1099" s="15"/>
      <c r="AD1099" s="15"/>
      <c r="AE1099" s="15"/>
      <c r="AF1099" s="15"/>
      <c r="AG1099" s="15"/>
      <c r="AH1099" s="15"/>
      <c r="AI1099" s="15"/>
      <c r="AJ1099" s="15"/>
      <c r="AK1099" s="15"/>
      <c r="AL1099" s="15"/>
      <c r="AM1099" s="15"/>
    </row>
    <row r="1100" spans="2:39" ht="25.2" customHeight="1" x14ac:dyDescent="0.3">
      <c r="B1100" s="13" t="str">
        <f t="shared" si="21"/>
        <v/>
      </c>
      <c r="C1100" s="18"/>
      <c r="D1100" s="19" t="str">
        <f>IF(Tabela2[[#This Row],[AGRUPADOR]]&lt;&gt;"",VLOOKUP(Tabela2[[#This Row],[AGRUPADOR]],Tabela1[],2,0),"")</f>
        <v/>
      </c>
      <c r="E1100" s="19" t="str">
        <f>IF(Tabela2[[#This Row],[AGRUPADOR]]&lt;&gt;"",VLOOKUP(Tabela2[[#This Row],[AGRUPADOR]],Tabela1[],4,0),"")</f>
        <v/>
      </c>
      <c r="F1100" s="14"/>
      <c r="G1100" s="6"/>
      <c r="H1100" s="6"/>
      <c r="I1100" s="25"/>
      <c r="J1100" s="7"/>
      <c r="K1100" s="15"/>
      <c r="L1100" s="379">
        <f>IF(H1100&lt;&gt;"",J1100*K1100,SUMIFS(L1101:L$9844,$F1101:$F$9844,"*"&amp;F1100&amp;"*",$H1101:$H$9844,"&lt;&gt;"))</f>
        <v>0</v>
      </c>
      <c r="M1100" s="379" t="str">
        <f>IF(Tabela2[[#This Row],[UNID.]]&lt;&gt;"",IFERROR(VLOOKUP(Tabela2[[#This Row],[AGRUPADOR]],Lucratividade!$D$4:$O$129,6,0),0),"")</f>
        <v/>
      </c>
      <c r="N1100" s="379">
        <f>IF(H1100&lt;&gt;"",J1100*M1100*I1100,SUMIFS(N1101:N$9844,$F1101:$F$9844,"*"&amp;F1100&amp;"*",$H1101:$H$9844,"&lt;&gt;"))</f>
        <v>0</v>
      </c>
      <c r="O1100" s="162" t="str">
        <f>IFERROR((-Tabela2[[#This Row],[CUSTO TOTAL]]+Tabela2[[#This Row],[VENDA TOTAL]])/Tabela2[[#This Row],[VENDA TOTAL]]-PARAMETROS!$C$19,"")</f>
        <v/>
      </c>
      <c r="AA1100" s="219">
        <f>SUM(Plan_Orc[[#This Row],[01/jan]:[01/dez]])</f>
        <v>0</v>
      </c>
      <c r="AB1100" s="15"/>
      <c r="AC1100" s="15"/>
      <c r="AD1100" s="15"/>
      <c r="AE1100" s="15"/>
      <c r="AF1100" s="15"/>
      <c r="AG1100" s="15"/>
      <c r="AH1100" s="15"/>
      <c r="AI1100" s="15"/>
      <c r="AJ1100" s="15"/>
      <c r="AK1100" s="15"/>
      <c r="AL1100" s="15"/>
      <c r="AM1100" s="15"/>
    </row>
    <row r="1101" spans="2:39" ht="25.2" customHeight="1" x14ac:dyDescent="0.3">
      <c r="B1101" s="13" t="str">
        <f t="shared" si="21"/>
        <v/>
      </c>
      <c r="C1101" s="18"/>
      <c r="D1101" s="19" t="str">
        <f>IF(Tabela2[[#This Row],[AGRUPADOR]]&lt;&gt;"",VLOOKUP(Tabela2[[#This Row],[AGRUPADOR]],Tabela1[],2,0),"")</f>
        <v/>
      </c>
      <c r="E1101" s="19" t="str">
        <f>IF(Tabela2[[#This Row],[AGRUPADOR]]&lt;&gt;"",VLOOKUP(Tabela2[[#This Row],[AGRUPADOR]],Tabela1[],4,0),"")</f>
        <v/>
      </c>
      <c r="F1101" s="14"/>
      <c r="G1101" s="6"/>
      <c r="H1101" s="6"/>
      <c r="I1101" s="25"/>
      <c r="J1101" s="7"/>
      <c r="K1101" s="15"/>
      <c r="L1101" s="379">
        <f>IF(H1101&lt;&gt;"",J1101*K1101,SUMIFS(L1102:L$9844,$F1102:$F$9844,"*"&amp;F1101&amp;"*",$H1102:$H$9844,"&lt;&gt;"))</f>
        <v>0</v>
      </c>
      <c r="M1101" s="379" t="str">
        <f>IF(Tabela2[[#This Row],[UNID.]]&lt;&gt;"",IFERROR(VLOOKUP(Tabela2[[#This Row],[AGRUPADOR]],Lucratividade!$D$4:$O$129,6,0),0),"")</f>
        <v/>
      </c>
      <c r="N1101" s="379">
        <f>IF(H1101&lt;&gt;"",J1101*M1101*I1101,SUMIFS(N1102:N$9844,$F1102:$F$9844,"*"&amp;F1101&amp;"*",$H1102:$H$9844,"&lt;&gt;"))</f>
        <v>0</v>
      </c>
      <c r="O1101" s="162" t="str">
        <f>IFERROR((-Tabela2[[#This Row],[CUSTO TOTAL]]+Tabela2[[#This Row],[VENDA TOTAL]])/Tabela2[[#This Row],[VENDA TOTAL]]-PARAMETROS!$C$19,"")</f>
        <v/>
      </c>
      <c r="AA1101" s="218">
        <f>SUM(Plan_Orc[[#This Row],[01/jan]:[01/dez]])</f>
        <v>0</v>
      </c>
      <c r="AB1101" s="12"/>
      <c r="AC1101" s="12"/>
      <c r="AD1101" s="12"/>
      <c r="AE1101" s="12"/>
      <c r="AF1101" s="12"/>
      <c r="AG1101" s="12"/>
      <c r="AH1101" s="12"/>
      <c r="AI1101" s="12"/>
      <c r="AJ1101" s="12"/>
      <c r="AK1101" s="12"/>
      <c r="AL1101" s="12"/>
      <c r="AM1101" s="12"/>
    </row>
    <row r="1102" spans="2:39" ht="25.2" customHeight="1" x14ac:dyDescent="0.3">
      <c r="B1102" s="13" t="str">
        <f t="shared" si="21"/>
        <v/>
      </c>
      <c r="C1102" s="18"/>
      <c r="D1102" s="19" t="str">
        <f>IF(Tabela2[[#This Row],[AGRUPADOR]]&lt;&gt;"",VLOOKUP(Tabela2[[#This Row],[AGRUPADOR]],Tabela1[],2,0),"")</f>
        <v/>
      </c>
      <c r="E1102" s="19" t="str">
        <f>IF(Tabela2[[#This Row],[AGRUPADOR]]&lt;&gt;"",VLOOKUP(Tabela2[[#This Row],[AGRUPADOR]],Tabela1[],4,0),"")</f>
        <v/>
      </c>
      <c r="F1102" s="14"/>
      <c r="G1102" s="6"/>
      <c r="H1102" s="6"/>
      <c r="I1102" s="25"/>
      <c r="J1102" s="7"/>
      <c r="K1102" s="15"/>
      <c r="L1102" s="379">
        <f>IF(H1102&lt;&gt;"",J1102*K1102,SUMIFS(L1103:L$9844,$F1103:$F$9844,"*"&amp;F1102&amp;"*",$H1103:$H$9844,"&lt;&gt;"))</f>
        <v>0</v>
      </c>
      <c r="M1102" s="379" t="str">
        <f>IF(Tabela2[[#This Row],[UNID.]]&lt;&gt;"",IFERROR(VLOOKUP(Tabela2[[#This Row],[AGRUPADOR]],Lucratividade!$D$4:$O$129,6,0),0),"")</f>
        <v/>
      </c>
      <c r="N1102" s="379">
        <f>IF(H1102&lt;&gt;"",J1102*M1102*I1102,SUMIFS(N1103:N$9844,$F1103:$F$9844,"*"&amp;F1102&amp;"*",$H1103:$H$9844,"&lt;&gt;"))</f>
        <v>0</v>
      </c>
      <c r="O1102" s="162" t="str">
        <f>IFERROR((-Tabela2[[#This Row],[CUSTO TOTAL]]+Tabela2[[#This Row],[VENDA TOTAL]])/Tabela2[[#This Row],[VENDA TOTAL]]-PARAMETROS!$C$19,"")</f>
        <v/>
      </c>
      <c r="AA1102" s="219">
        <f>SUM(Plan_Orc[[#This Row],[01/jan]:[01/dez]])</f>
        <v>0</v>
      </c>
      <c r="AB1102" s="15"/>
      <c r="AC1102" s="15"/>
      <c r="AD1102" s="15"/>
      <c r="AE1102" s="15"/>
      <c r="AF1102" s="15"/>
      <c r="AG1102" s="15"/>
      <c r="AH1102" s="15"/>
      <c r="AI1102" s="15"/>
      <c r="AJ1102" s="15"/>
      <c r="AK1102" s="15"/>
      <c r="AL1102" s="15"/>
      <c r="AM1102" s="15"/>
    </row>
    <row r="1103" spans="2:39" ht="25.2" customHeight="1" x14ac:dyDescent="0.3">
      <c r="B1103" s="13" t="str">
        <f t="shared" si="21"/>
        <v/>
      </c>
      <c r="C1103" s="18"/>
      <c r="D1103" s="19" t="str">
        <f>IF(Tabela2[[#This Row],[AGRUPADOR]]&lt;&gt;"",VLOOKUP(Tabela2[[#This Row],[AGRUPADOR]],Tabela1[],2,0),"")</f>
        <v/>
      </c>
      <c r="E1103" s="19" t="str">
        <f>IF(Tabela2[[#This Row],[AGRUPADOR]]&lt;&gt;"",VLOOKUP(Tabela2[[#This Row],[AGRUPADOR]],Tabela1[],4,0),"")</f>
        <v/>
      </c>
      <c r="F1103" s="14"/>
      <c r="G1103" s="6"/>
      <c r="H1103" s="6"/>
      <c r="I1103" s="25"/>
      <c r="J1103" s="7"/>
      <c r="K1103" s="15"/>
      <c r="L1103" s="379">
        <f>IF(H1103&lt;&gt;"",J1103*K1103,SUMIFS(L1104:L$9844,$F1104:$F$9844,"*"&amp;F1103&amp;"*",$H1104:$H$9844,"&lt;&gt;"))</f>
        <v>0</v>
      </c>
      <c r="M1103" s="379" t="str">
        <f>IF(Tabela2[[#This Row],[UNID.]]&lt;&gt;"",IFERROR(VLOOKUP(Tabela2[[#This Row],[AGRUPADOR]],Lucratividade!$D$4:$O$129,6,0),0),"")</f>
        <v/>
      </c>
      <c r="N1103" s="379">
        <f>IF(H1103&lt;&gt;"",J1103*M1103*I1103,SUMIFS(N1104:N$9844,$F1104:$F$9844,"*"&amp;F1103&amp;"*",$H1104:$H$9844,"&lt;&gt;"))</f>
        <v>0</v>
      </c>
      <c r="O1103" s="162" t="str">
        <f>IFERROR((-Tabela2[[#This Row],[CUSTO TOTAL]]+Tabela2[[#This Row],[VENDA TOTAL]])/Tabela2[[#This Row],[VENDA TOTAL]]-PARAMETROS!$C$19,"")</f>
        <v/>
      </c>
      <c r="AA1103" s="219">
        <f>SUM(Plan_Orc[[#This Row],[01/jan]:[01/dez]])</f>
        <v>0</v>
      </c>
      <c r="AB1103" s="15"/>
      <c r="AC1103" s="15"/>
      <c r="AD1103" s="15"/>
      <c r="AE1103" s="15"/>
      <c r="AF1103" s="15"/>
      <c r="AG1103" s="15"/>
      <c r="AH1103" s="15"/>
      <c r="AI1103" s="15"/>
      <c r="AJ1103" s="15"/>
      <c r="AK1103" s="15"/>
      <c r="AL1103" s="15"/>
      <c r="AM1103" s="15"/>
    </row>
    <row r="1104" spans="2:39" ht="25.2" customHeight="1" x14ac:dyDescent="0.3">
      <c r="B1104" s="13" t="str">
        <f t="shared" si="21"/>
        <v/>
      </c>
      <c r="C1104" s="18"/>
      <c r="D1104" s="19" t="str">
        <f>IF(Tabela2[[#This Row],[AGRUPADOR]]&lt;&gt;"",VLOOKUP(Tabela2[[#This Row],[AGRUPADOR]],Tabela1[],2,0),"")</f>
        <v/>
      </c>
      <c r="E1104" s="19" t="str">
        <f>IF(Tabela2[[#This Row],[AGRUPADOR]]&lt;&gt;"",VLOOKUP(Tabela2[[#This Row],[AGRUPADOR]],Tabela1[],4,0),"")</f>
        <v/>
      </c>
      <c r="F1104" s="14"/>
      <c r="G1104" s="6"/>
      <c r="H1104" s="6"/>
      <c r="I1104" s="25"/>
      <c r="J1104" s="7"/>
      <c r="K1104" s="15"/>
      <c r="L1104" s="379">
        <f>IF(H1104&lt;&gt;"",J1104*K1104,SUMIFS(L1105:L$9844,$F1105:$F$9844,"*"&amp;F1104&amp;"*",$H1105:$H$9844,"&lt;&gt;"))</f>
        <v>0</v>
      </c>
      <c r="M1104" s="379" t="str">
        <f>IF(Tabela2[[#This Row],[UNID.]]&lt;&gt;"",IFERROR(VLOOKUP(Tabela2[[#This Row],[AGRUPADOR]],Lucratividade!$D$4:$O$129,6,0),0),"")</f>
        <v/>
      </c>
      <c r="N1104" s="379">
        <f>IF(H1104&lt;&gt;"",J1104*M1104*I1104,SUMIFS(N1105:N$9844,$F1105:$F$9844,"*"&amp;F1104&amp;"*",$H1105:$H$9844,"&lt;&gt;"))</f>
        <v>0</v>
      </c>
      <c r="O1104" s="162" t="str">
        <f>IFERROR((-Tabela2[[#This Row],[CUSTO TOTAL]]+Tabela2[[#This Row],[VENDA TOTAL]])/Tabela2[[#This Row],[VENDA TOTAL]]-PARAMETROS!$C$19,"")</f>
        <v/>
      </c>
      <c r="AA1104" s="219">
        <f>SUM(Plan_Orc[[#This Row],[01/jan]:[01/dez]])</f>
        <v>0</v>
      </c>
      <c r="AB1104" s="15"/>
      <c r="AC1104" s="15"/>
      <c r="AD1104" s="15"/>
      <c r="AE1104" s="15"/>
      <c r="AF1104" s="15"/>
      <c r="AG1104" s="15"/>
      <c r="AH1104" s="15"/>
      <c r="AI1104" s="15"/>
      <c r="AJ1104" s="15"/>
      <c r="AK1104" s="15"/>
      <c r="AL1104" s="15"/>
      <c r="AM1104" s="15"/>
    </row>
    <row r="1105" spans="2:39" ht="25.2" customHeight="1" x14ac:dyDescent="0.3">
      <c r="B1105" s="13" t="str">
        <f t="shared" si="21"/>
        <v/>
      </c>
      <c r="C1105" s="18"/>
      <c r="D1105" s="19" t="str">
        <f>IF(Tabela2[[#This Row],[AGRUPADOR]]&lt;&gt;"",VLOOKUP(Tabela2[[#This Row],[AGRUPADOR]],Tabela1[],2,0),"")</f>
        <v/>
      </c>
      <c r="E1105" s="19" t="str">
        <f>IF(Tabela2[[#This Row],[AGRUPADOR]]&lt;&gt;"",VLOOKUP(Tabela2[[#This Row],[AGRUPADOR]],Tabela1[],4,0),"")</f>
        <v/>
      </c>
      <c r="F1105" s="14"/>
      <c r="G1105" s="6"/>
      <c r="H1105" s="6"/>
      <c r="I1105" s="25"/>
      <c r="J1105" s="7"/>
      <c r="K1105" s="15"/>
      <c r="L1105" s="379">
        <f>IF(H1105&lt;&gt;"",J1105*K1105,SUMIFS(L1106:L$9844,$F1106:$F$9844,"*"&amp;F1105&amp;"*",$H1106:$H$9844,"&lt;&gt;"))</f>
        <v>0</v>
      </c>
      <c r="M1105" s="379" t="str">
        <f>IF(Tabela2[[#This Row],[UNID.]]&lt;&gt;"",IFERROR(VLOOKUP(Tabela2[[#This Row],[AGRUPADOR]],Lucratividade!$D$4:$O$129,6,0),0),"")</f>
        <v/>
      </c>
      <c r="N1105" s="379">
        <f>IF(H1105&lt;&gt;"",J1105*M1105*I1105,SUMIFS(N1106:N$9844,$F1106:$F$9844,"*"&amp;F1105&amp;"*",$H1106:$H$9844,"&lt;&gt;"))</f>
        <v>0</v>
      </c>
      <c r="O1105" s="162" t="str">
        <f>IFERROR((-Tabela2[[#This Row],[CUSTO TOTAL]]+Tabela2[[#This Row],[VENDA TOTAL]])/Tabela2[[#This Row],[VENDA TOTAL]]-PARAMETROS!$C$19,"")</f>
        <v/>
      </c>
      <c r="AA1105" s="219">
        <f>SUM(Plan_Orc[[#This Row],[01/jan]:[01/dez]])</f>
        <v>0</v>
      </c>
      <c r="AB1105" s="15"/>
      <c r="AC1105" s="15"/>
      <c r="AD1105" s="15"/>
      <c r="AE1105" s="15"/>
      <c r="AF1105" s="15"/>
      <c r="AG1105" s="15"/>
      <c r="AH1105" s="15"/>
      <c r="AI1105" s="15"/>
      <c r="AJ1105" s="15"/>
      <c r="AK1105" s="15"/>
      <c r="AL1105" s="15"/>
      <c r="AM1105" s="15"/>
    </row>
    <row r="1106" spans="2:39" ht="25.2" customHeight="1" x14ac:dyDescent="0.3">
      <c r="B1106" s="13" t="str">
        <f t="shared" si="21"/>
        <v/>
      </c>
      <c r="C1106" s="18"/>
      <c r="D1106" s="19" t="str">
        <f>IF(Tabela2[[#This Row],[AGRUPADOR]]&lt;&gt;"",VLOOKUP(Tabela2[[#This Row],[AGRUPADOR]],Tabela1[],2,0),"")</f>
        <v/>
      </c>
      <c r="E1106" s="19" t="str">
        <f>IF(Tabela2[[#This Row],[AGRUPADOR]]&lt;&gt;"",VLOOKUP(Tabela2[[#This Row],[AGRUPADOR]],Tabela1[],4,0),"")</f>
        <v/>
      </c>
      <c r="F1106" s="14"/>
      <c r="G1106" s="6"/>
      <c r="H1106" s="6"/>
      <c r="I1106" s="25"/>
      <c r="J1106" s="7"/>
      <c r="K1106" s="15"/>
      <c r="L1106" s="379">
        <f>IF(H1106&lt;&gt;"",J1106*K1106,SUMIFS(L1107:L$9844,$F1107:$F$9844,"*"&amp;F1106&amp;"*",$H1107:$H$9844,"&lt;&gt;"))</f>
        <v>0</v>
      </c>
      <c r="M1106" s="379" t="str">
        <f>IF(Tabela2[[#This Row],[UNID.]]&lt;&gt;"",IFERROR(VLOOKUP(Tabela2[[#This Row],[AGRUPADOR]],Lucratividade!$D$4:$O$129,6,0),0),"")</f>
        <v/>
      </c>
      <c r="N1106" s="379">
        <f>IF(H1106&lt;&gt;"",J1106*M1106*I1106,SUMIFS(N1107:N$9844,$F1107:$F$9844,"*"&amp;F1106&amp;"*",$H1107:$H$9844,"&lt;&gt;"))</f>
        <v>0</v>
      </c>
      <c r="O1106" s="162" t="str">
        <f>IFERROR((-Tabela2[[#This Row],[CUSTO TOTAL]]+Tabela2[[#This Row],[VENDA TOTAL]])/Tabela2[[#This Row],[VENDA TOTAL]]-PARAMETROS!$C$19,"")</f>
        <v/>
      </c>
      <c r="AA1106" s="219">
        <f>SUM(Plan_Orc[[#This Row],[01/jan]:[01/dez]])</f>
        <v>0</v>
      </c>
      <c r="AB1106" s="15"/>
      <c r="AC1106" s="15"/>
      <c r="AD1106" s="15"/>
      <c r="AE1106" s="15"/>
      <c r="AF1106" s="15"/>
      <c r="AG1106" s="15"/>
      <c r="AH1106" s="15"/>
      <c r="AI1106" s="15"/>
      <c r="AJ1106" s="15"/>
      <c r="AK1106" s="15"/>
      <c r="AL1106" s="15"/>
      <c r="AM1106" s="15"/>
    </row>
    <row r="1107" spans="2:39" ht="25.2" customHeight="1" x14ac:dyDescent="0.3">
      <c r="B1107" s="13" t="str">
        <f t="shared" si="21"/>
        <v/>
      </c>
      <c r="C1107" s="18"/>
      <c r="D1107" s="19" t="str">
        <f>IF(Tabela2[[#This Row],[AGRUPADOR]]&lt;&gt;"",VLOOKUP(Tabela2[[#This Row],[AGRUPADOR]],Tabela1[],2,0),"")</f>
        <v/>
      </c>
      <c r="E1107" s="19" t="str">
        <f>IF(Tabela2[[#This Row],[AGRUPADOR]]&lt;&gt;"",VLOOKUP(Tabela2[[#This Row],[AGRUPADOR]],Tabela1[],4,0),"")</f>
        <v/>
      </c>
      <c r="F1107" s="14"/>
      <c r="G1107" s="6"/>
      <c r="H1107" s="6"/>
      <c r="I1107" s="25"/>
      <c r="J1107" s="7"/>
      <c r="K1107" s="15"/>
      <c r="L1107" s="379">
        <f>IF(H1107&lt;&gt;"",J1107*K1107,SUMIFS(L1108:L$9844,$F1108:$F$9844,"*"&amp;F1107&amp;"*",$H1108:$H$9844,"&lt;&gt;"))</f>
        <v>0</v>
      </c>
      <c r="M1107" s="379" t="str">
        <f>IF(Tabela2[[#This Row],[UNID.]]&lt;&gt;"",IFERROR(VLOOKUP(Tabela2[[#This Row],[AGRUPADOR]],Lucratividade!$D$4:$O$129,6,0),0),"")</f>
        <v/>
      </c>
      <c r="N1107" s="379">
        <f>IF(H1107&lt;&gt;"",J1107*M1107*I1107,SUMIFS(N1108:N$9844,$F1108:$F$9844,"*"&amp;F1107&amp;"*",$H1108:$H$9844,"&lt;&gt;"))</f>
        <v>0</v>
      </c>
      <c r="O1107" s="162" t="str">
        <f>IFERROR((-Tabela2[[#This Row],[CUSTO TOTAL]]+Tabela2[[#This Row],[VENDA TOTAL]])/Tabela2[[#This Row],[VENDA TOTAL]]-PARAMETROS!$C$19,"")</f>
        <v/>
      </c>
      <c r="AA1107" s="219">
        <f>SUM(Plan_Orc[[#This Row],[01/jan]:[01/dez]])</f>
        <v>0</v>
      </c>
      <c r="AB1107" s="15"/>
      <c r="AC1107" s="15"/>
      <c r="AD1107" s="15"/>
      <c r="AE1107" s="15"/>
      <c r="AF1107" s="15"/>
      <c r="AG1107" s="15"/>
      <c r="AH1107" s="15"/>
      <c r="AI1107" s="15"/>
      <c r="AJ1107" s="15"/>
      <c r="AK1107" s="15"/>
      <c r="AL1107" s="15"/>
      <c r="AM1107" s="15"/>
    </row>
    <row r="1108" spans="2:39" ht="25.2" customHeight="1" x14ac:dyDescent="0.3">
      <c r="B1108" s="13" t="str">
        <f t="shared" si="21"/>
        <v/>
      </c>
      <c r="C1108" s="18"/>
      <c r="D1108" s="19" t="str">
        <f>IF(Tabela2[[#This Row],[AGRUPADOR]]&lt;&gt;"",VLOOKUP(Tabela2[[#This Row],[AGRUPADOR]],Tabela1[],2,0),"")</f>
        <v/>
      </c>
      <c r="E1108" s="19" t="str">
        <f>IF(Tabela2[[#This Row],[AGRUPADOR]]&lt;&gt;"",VLOOKUP(Tabela2[[#This Row],[AGRUPADOR]],Tabela1[],4,0),"")</f>
        <v/>
      </c>
      <c r="F1108" s="14"/>
      <c r="G1108" s="6"/>
      <c r="H1108" s="6"/>
      <c r="I1108" s="25"/>
      <c r="J1108" s="7"/>
      <c r="K1108" s="15"/>
      <c r="L1108" s="379">
        <f>IF(H1108&lt;&gt;"",J1108*K1108,SUMIFS(L1109:L$9844,$F1109:$F$9844,"*"&amp;F1108&amp;"*",$H1109:$H$9844,"&lt;&gt;"))</f>
        <v>0</v>
      </c>
      <c r="M1108" s="379" t="str">
        <f>IF(Tabela2[[#This Row],[UNID.]]&lt;&gt;"",IFERROR(VLOOKUP(Tabela2[[#This Row],[AGRUPADOR]],Lucratividade!$D$4:$O$129,6,0),0),"")</f>
        <v/>
      </c>
      <c r="N1108" s="379">
        <f>IF(H1108&lt;&gt;"",J1108*M1108*I1108,SUMIFS(N1109:N$9844,$F1109:$F$9844,"*"&amp;F1108&amp;"*",$H1109:$H$9844,"&lt;&gt;"))</f>
        <v>0</v>
      </c>
      <c r="O1108" s="162" t="str">
        <f>IFERROR((-Tabela2[[#This Row],[CUSTO TOTAL]]+Tabela2[[#This Row],[VENDA TOTAL]])/Tabela2[[#This Row],[VENDA TOTAL]]-PARAMETROS!$C$19,"")</f>
        <v/>
      </c>
      <c r="AA1108" s="219">
        <f>SUM(Plan_Orc[[#This Row],[01/jan]:[01/dez]])</f>
        <v>0</v>
      </c>
      <c r="AB1108" s="15"/>
      <c r="AC1108" s="15"/>
      <c r="AD1108" s="15"/>
      <c r="AE1108" s="15"/>
      <c r="AF1108" s="15"/>
      <c r="AG1108" s="15"/>
      <c r="AH1108" s="15"/>
      <c r="AI1108" s="15"/>
      <c r="AJ1108" s="15"/>
      <c r="AK1108" s="15"/>
      <c r="AL1108" s="15"/>
      <c r="AM1108" s="15"/>
    </row>
    <row r="1109" spans="2:39" ht="25.2" customHeight="1" x14ac:dyDescent="0.3">
      <c r="B1109" s="13" t="str">
        <f t="shared" si="21"/>
        <v/>
      </c>
      <c r="C1109" s="18"/>
      <c r="D1109" s="19" t="str">
        <f>IF(Tabela2[[#This Row],[AGRUPADOR]]&lt;&gt;"",VLOOKUP(Tabela2[[#This Row],[AGRUPADOR]],Tabela1[],2,0),"")</f>
        <v/>
      </c>
      <c r="E1109" s="19" t="str">
        <f>IF(Tabela2[[#This Row],[AGRUPADOR]]&lt;&gt;"",VLOOKUP(Tabela2[[#This Row],[AGRUPADOR]],Tabela1[],4,0),"")</f>
        <v/>
      </c>
      <c r="F1109" s="14"/>
      <c r="G1109" s="6"/>
      <c r="H1109" s="6"/>
      <c r="I1109" s="25"/>
      <c r="J1109" s="7"/>
      <c r="K1109" s="15"/>
      <c r="L1109" s="379">
        <f>IF(H1109&lt;&gt;"",J1109*K1109,SUMIFS(L1110:L$9844,$F1110:$F$9844,"*"&amp;F1109&amp;"*",$H1110:$H$9844,"&lt;&gt;"))</f>
        <v>0</v>
      </c>
      <c r="M1109" s="379" t="str">
        <f>IF(Tabela2[[#This Row],[UNID.]]&lt;&gt;"",IFERROR(VLOOKUP(Tabela2[[#This Row],[AGRUPADOR]],Lucratividade!$D$4:$O$129,6,0),0),"")</f>
        <v/>
      </c>
      <c r="N1109" s="379">
        <f>IF(H1109&lt;&gt;"",J1109*M1109*I1109,SUMIFS(N1110:N$9844,$F1110:$F$9844,"*"&amp;F1109&amp;"*",$H1110:$H$9844,"&lt;&gt;"))</f>
        <v>0</v>
      </c>
      <c r="O1109" s="162" t="str">
        <f>IFERROR((-Tabela2[[#This Row],[CUSTO TOTAL]]+Tabela2[[#This Row],[VENDA TOTAL]])/Tabela2[[#This Row],[VENDA TOTAL]]-PARAMETROS!$C$19,"")</f>
        <v/>
      </c>
      <c r="AA1109" s="219">
        <f>SUM(Plan_Orc[[#This Row],[01/jan]:[01/dez]])</f>
        <v>0</v>
      </c>
      <c r="AB1109" s="15"/>
      <c r="AC1109" s="15"/>
      <c r="AD1109" s="15"/>
      <c r="AE1109" s="15"/>
      <c r="AF1109" s="15"/>
      <c r="AG1109" s="15"/>
      <c r="AH1109" s="15"/>
      <c r="AI1109" s="15"/>
      <c r="AJ1109" s="15"/>
      <c r="AK1109" s="15"/>
      <c r="AL1109" s="15"/>
      <c r="AM1109" s="15"/>
    </row>
    <row r="1110" spans="2:39" ht="25.2" customHeight="1" x14ac:dyDescent="0.3">
      <c r="B1110" s="13" t="str">
        <f t="shared" si="21"/>
        <v/>
      </c>
      <c r="C1110" s="18"/>
      <c r="D1110" s="19" t="str">
        <f>IF(Tabela2[[#This Row],[AGRUPADOR]]&lt;&gt;"",VLOOKUP(Tabela2[[#This Row],[AGRUPADOR]],Tabela1[],2,0),"")</f>
        <v/>
      </c>
      <c r="E1110" s="19" t="str">
        <f>IF(Tabela2[[#This Row],[AGRUPADOR]]&lt;&gt;"",VLOOKUP(Tabela2[[#This Row],[AGRUPADOR]],Tabela1[],4,0),"")</f>
        <v/>
      </c>
      <c r="F1110" s="14"/>
      <c r="G1110" s="6"/>
      <c r="H1110" s="6"/>
      <c r="I1110" s="25"/>
      <c r="J1110" s="7"/>
      <c r="K1110" s="15"/>
      <c r="L1110" s="379">
        <f>IF(H1110&lt;&gt;"",J1110*K1110,SUMIFS(L1111:L$9844,$F1111:$F$9844,"*"&amp;F1110&amp;"*",$H1111:$H$9844,"&lt;&gt;"))</f>
        <v>0</v>
      </c>
      <c r="M1110" s="379" t="str">
        <f>IF(Tabela2[[#This Row],[UNID.]]&lt;&gt;"",IFERROR(VLOOKUP(Tabela2[[#This Row],[AGRUPADOR]],Lucratividade!$D$4:$O$129,6,0),0),"")</f>
        <v/>
      </c>
      <c r="N1110" s="379">
        <f>IF(H1110&lt;&gt;"",J1110*M1110*I1110,SUMIFS(N1111:N$9844,$F1111:$F$9844,"*"&amp;F1110&amp;"*",$H1111:$H$9844,"&lt;&gt;"))</f>
        <v>0</v>
      </c>
      <c r="O1110" s="162" t="str">
        <f>IFERROR((-Tabela2[[#This Row],[CUSTO TOTAL]]+Tabela2[[#This Row],[VENDA TOTAL]])/Tabela2[[#This Row],[VENDA TOTAL]]-PARAMETROS!$C$19,"")</f>
        <v/>
      </c>
      <c r="AA1110" s="219">
        <f>SUM(Plan_Orc[[#This Row],[01/jan]:[01/dez]])</f>
        <v>0</v>
      </c>
      <c r="AB1110" s="15"/>
      <c r="AC1110" s="15"/>
      <c r="AD1110" s="15"/>
      <c r="AE1110" s="15"/>
      <c r="AF1110" s="15"/>
      <c r="AG1110" s="15"/>
      <c r="AH1110" s="15"/>
      <c r="AI1110" s="15"/>
      <c r="AJ1110" s="15"/>
      <c r="AK1110" s="15"/>
      <c r="AL1110" s="15"/>
      <c r="AM1110" s="15"/>
    </row>
    <row r="1111" spans="2:39" ht="25.2" customHeight="1" x14ac:dyDescent="0.3">
      <c r="B1111" s="13" t="str">
        <f t="shared" si="21"/>
        <v/>
      </c>
      <c r="C1111" s="18"/>
      <c r="D1111" s="19" t="str">
        <f>IF(Tabela2[[#This Row],[AGRUPADOR]]&lt;&gt;"",VLOOKUP(Tabela2[[#This Row],[AGRUPADOR]],Tabela1[],2,0),"")</f>
        <v/>
      </c>
      <c r="E1111" s="19" t="str">
        <f>IF(Tabela2[[#This Row],[AGRUPADOR]]&lt;&gt;"",VLOOKUP(Tabela2[[#This Row],[AGRUPADOR]],Tabela1[],4,0),"")</f>
        <v/>
      </c>
      <c r="F1111" s="14"/>
      <c r="G1111" s="6"/>
      <c r="H1111" s="6"/>
      <c r="I1111" s="25"/>
      <c r="J1111" s="7"/>
      <c r="K1111" s="15"/>
      <c r="L1111" s="379">
        <f>IF(H1111&lt;&gt;"",J1111*K1111,SUMIFS(L1112:L$9844,$F1112:$F$9844,"*"&amp;F1111&amp;"*",$H1112:$H$9844,"&lt;&gt;"))</f>
        <v>0</v>
      </c>
      <c r="M1111" s="379" t="str">
        <f>IF(Tabela2[[#This Row],[UNID.]]&lt;&gt;"",IFERROR(VLOOKUP(Tabela2[[#This Row],[AGRUPADOR]],Lucratividade!$D$4:$O$129,6,0),0),"")</f>
        <v/>
      </c>
      <c r="N1111" s="379">
        <f>IF(H1111&lt;&gt;"",J1111*M1111*I1111,SUMIFS(N1112:N$9844,$F1112:$F$9844,"*"&amp;F1111&amp;"*",$H1112:$H$9844,"&lt;&gt;"))</f>
        <v>0</v>
      </c>
      <c r="O1111" s="162" t="str">
        <f>IFERROR((-Tabela2[[#This Row],[CUSTO TOTAL]]+Tabela2[[#This Row],[VENDA TOTAL]])/Tabela2[[#This Row],[VENDA TOTAL]]-PARAMETROS!$C$19,"")</f>
        <v/>
      </c>
      <c r="AA1111" s="219">
        <f>SUM(Plan_Orc[[#This Row],[01/jan]:[01/dez]])</f>
        <v>0</v>
      </c>
      <c r="AB1111" s="15"/>
      <c r="AC1111" s="15"/>
      <c r="AD1111" s="15"/>
      <c r="AE1111" s="15"/>
      <c r="AF1111" s="15"/>
      <c r="AG1111" s="15"/>
      <c r="AH1111" s="15"/>
      <c r="AI1111" s="15"/>
      <c r="AJ1111" s="15"/>
      <c r="AK1111" s="15"/>
      <c r="AL1111" s="15"/>
      <c r="AM1111" s="15"/>
    </row>
    <row r="1112" spans="2:39" ht="25.2" customHeight="1" x14ac:dyDescent="0.3">
      <c r="B1112" s="13" t="str">
        <f t="shared" si="21"/>
        <v/>
      </c>
      <c r="C1112" s="18"/>
      <c r="D1112" s="19" t="str">
        <f>IF(Tabela2[[#This Row],[AGRUPADOR]]&lt;&gt;"",VLOOKUP(Tabela2[[#This Row],[AGRUPADOR]],Tabela1[],2,0),"")</f>
        <v/>
      </c>
      <c r="E1112" s="19" t="str">
        <f>IF(Tabela2[[#This Row],[AGRUPADOR]]&lt;&gt;"",VLOOKUP(Tabela2[[#This Row],[AGRUPADOR]],Tabela1[],4,0),"")</f>
        <v/>
      </c>
      <c r="F1112" s="14"/>
      <c r="G1112" s="6"/>
      <c r="H1112" s="6"/>
      <c r="I1112" s="25"/>
      <c r="J1112" s="7"/>
      <c r="K1112" s="15"/>
      <c r="L1112" s="379">
        <f>IF(H1112&lt;&gt;"",J1112*K1112,SUMIFS(L1113:L$9844,$F1113:$F$9844,"*"&amp;F1112&amp;"*",$H1113:$H$9844,"&lt;&gt;"))</f>
        <v>0</v>
      </c>
      <c r="M1112" s="379" t="str">
        <f>IF(Tabela2[[#This Row],[UNID.]]&lt;&gt;"",IFERROR(VLOOKUP(Tabela2[[#This Row],[AGRUPADOR]],Lucratividade!$D$4:$O$129,6,0),0),"")</f>
        <v/>
      </c>
      <c r="N1112" s="379">
        <f>IF(H1112&lt;&gt;"",J1112*M1112*I1112,SUMIFS(N1113:N$9844,$F1113:$F$9844,"*"&amp;F1112&amp;"*",$H1113:$H$9844,"&lt;&gt;"))</f>
        <v>0</v>
      </c>
      <c r="O1112" s="162" t="str">
        <f>IFERROR((-Tabela2[[#This Row],[CUSTO TOTAL]]+Tabela2[[#This Row],[VENDA TOTAL]])/Tabela2[[#This Row],[VENDA TOTAL]]-PARAMETROS!$C$19,"")</f>
        <v/>
      </c>
      <c r="AA1112" s="219">
        <f>SUM(Plan_Orc[[#This Row],[01/jan]:[01/dez]])</f>
        <v>0</v>
      </c>
      <c r="AB1112" s="15"/>
      <c r="AC1112" s="15"/>
      <c r="AD1112" s="15"/>
      <c r="AE1112" s="15"/>
      <c r="AF1112" s="15"/>
      <c r="AG1112" s="15"/>
      <c r="AH1112" s="15"/>
      <c r="AI1112" s="15"/>
      <c r="AJ1112" s="15"/>
      <c r="AK1112" s="15"/>
      <c r="AL1112" s="15"/>
      <c r="AM1112" s="15"/>
    </row>
    <row r="1113" spans="2:39" ht="25.2" customHeight="1" x14ac:dyDescent="0.3">
      <c r="B1113" s="13" t="str">
        <f t="shared" si="21"/>
        <v/>
      </c>
      <c r="C1113" s="18"/>
      <c r="D1113" s="19" t="str">
        <f>IF(Tabela2[[#This Row],[AGRUPADOR]]&lt;&gt;"",VLOOKUP(Tabela2[[#This Row],[AGRUPADOR]],Tabela1[],2,0),"")</f>
        <v/>
      </c>
      <c r="E1113" s="19" t="str">
        <f>IF(Tabela2[[#This Row],[AGRUPADOR]]&lt;&gt;"",VLOOKUP(Tabela2[[#This Row],[AGRUPADOR]],Tabela1[],4,0),"")</f>
        <v/>
      </c>
      <c r="F1113" s="14"/>
      <c r="G1113" s="6"/>
      <c r="H1113" s="6"/>
      <c r="I1113" s="25"/>
      <c r="J1113" s="7"/>
      <c r="K1113" s="15"/>
      <c r="L1113" s="379">
        <f>IF(H1113&lt;&gt;"",J1113*K1113,SUMIFS(L1114:L$9844,$F1114:$F$9844,"*"&amp;F1113&amp;"*",$H1114:$H$9844,"&lt;&gt;"))</f>
        <v>0</v>
      </c>
      <c r="M1113" s="379" t="str">
        <f>IF(Tabela2[[#This Row],[UNID.]]&lt;&gt;"",IFERROR(VLOOKUP(Tabela2[[#This Row],[AGRUPADOR]],Lucratividade!$D$4:$O$129,6,0),0),"")</f>
        <v/>
      </c>
      <c r="N1113" s="379">
        <f>IF(H1113&lt;&gt;"",J1113*M1113*I1113,SUMIFS(N1114:N$9844,$F1114:$F$9844,"*"&amp;F1113&amp;"*",$H1114:$H$9844,"&lt;&gt;"))</f>
        <v>0</v>
      </c>
      <c r="O1113" s="162" t="str">
        <f>IFERROR((-Tabela2[[#This Row],[CUSTO TOTAL]]+Tabela2[[#This Row],[VENDA TOTAL]])/Tabela2[[#This Row],[VENDA TOTAL]]-PARAMETROS!$C$19,"")</f>
        <v/>
      </c>
      <c r="AA1113" s="219">
        <f>SUM(Plan_Orc[[#This Row],[01/jan]:[01/dez]])</f>
        <v>0</v>
      </c>
      <c r="AB1113" s="15"/>
      <c r="AC1113" s="15"/>
      <c r="AD1113" s="15"/>
      <c r="AE1113" s="15"/>
      <c r="AF1113" s="15"/>
      <c r="AG1113" s="15"/>
      <c r="AH1113" s="15"/>
      <c r="AI1113" s="15"/>
      <c r="AJ1113" s="15"/>
      <c r="AK1113" s="15"/>
      <c r="AL1113" s="15"/>
      <c r="AM1113" s="15"/>
    </row>
    <row r="1114" spans="2:39" ht="25.2" customHeight="1" x14ac:dyDescent="0.3">
      <c r="B1114" s="13" t="str">
        <f t="shared" si="21"/>
        <v/>
      </c>
      <c r="C1114" s="18"/>
      <c r="D1114" s="19" t="str">
        <f>IF(Tabela2[[#This Row],[AGRUPADOR]]&lt;&gt;"",VLOOKUP(Tabela2[[#This Row],[AGRUPADOR]],Tabela1[],2,0),"")</f>
        <v/>
      </c>
      <c r="E1114" s="19" t="str">
        <f>IF(Tabela2[[#This Row],[AGRUPADOR]]&lt;&gt;"",VLOOKUP(Tabela2[[#This Row],[AGRUPADOR]],Tabela1[],4,0),"")</f>
        <v/>
      </c>
      <c r="F1114" s="14"/>
      <c r="G1114" s="6"/>
      <c r="H1114" s="6"/>
      <c r="I1114" s="25"/>
      <c r="J1114" s="7"/>
      <c r="K1114" s="15"/>
      <c r="L1114" s="379">
        <f>IF(H1114&lt;&gt;"",J1114*K1114,SUMIFS(L1115:L$9844,$F1115:$F$9844,"*"&amp;F1114&amp;"*",$H1115:$H$9844,"&lt;&gt;"))</f>
        <v>0</v>
      </c>
      <c r="M1114" s="379" t="str">
        <f>IF(Tabela2[[#This Row],[UNID.]]&lt;&gt;"",IFERROR(VLOOKUP(Tabela2[[#This Row],[AGRUPADOR]],Lucratividade!$D$4:$O$129,6,0),0),"")</f>
        <v/>
      </c>
      <c r="N1114" s="379">
        <f>IF(H1114&lt;&gt;"",J1114*M1114*I1114,SUMIFS(N1115:N$9844,$F1115:$F$9844,"*"&amp;F1114&amp;"*",$H1115:$H$9844,"&lt;&gt;"))</f>
        <v>0</v>
      </c>
      <c r="O1114" s="162" t="str">
        <f>IFERROR((-Tabela2[[#This Row],[CUSTO TOTAL]]+Tabela2[[#This Row],[VENDA TOTAL]])/Tabela2[[#This Row],[VENDA TOTAL]]-PARAMETROS!$C$19,"")</f>
        <v/>
      </c>
      <c r="AA1114" s="219">
        <f>SUM(Plan_Orc[[#This Row],[01/jan]:[01/dez]])</f>
        <v>0</v>
      </c>
      <c r="AB1114" s="15"/>
      <c r="AC1114" s="15"/>
      <c r="AD1114" s="15"/>
      <c r="AE1114" s="15"/>
      <c r="AF1114" s="15"/>
      <c r="AG1114" s="15"/>
      <c r="AH1114" s="15"/>
      <c r="AI1114" s="15"/>
      <c r="AJ1114" s="15"/>
      <c r="AK1114" s="15"/>
      <c r="AL1114" s="15"/>
      <c r="AM1114" s="15"/>
    </row>
    <row r="1115" spans="2:39" ht="25.2" customHeight="1" x14ac:dyDescent="0.3">
      <c r="B1115" s="13" t="str">
        <f t="shared" si="21"/>
        <v/>
      </c>
      <c r="C1115" s="18"/>
      <c r="D1115" s="19" t="str">
        <f>IF(Tabela2[[#This Row],[AGRUPADOR]]&lt;&gt;"",VLOOKUP(Tabela2[[#This Row],[AGRUPADOR]],Tabela1[],2,0),"")</f>
        <v/>
      </c>
      <c r="E1115" s="19" t="str">
        <f>IF(Tabela2[[#This Row],[AGRUPADOR]]&lt;&gt;"",VLOOKUP(Tabela2[[#This Row],[AGRUPADOR]],Tabela1[],4,0),"")</f>
        <v/>
      </c>
      <c r="F1115" s="14"/>
      <c r="G1115" s="6"/>
      <c r="H1115" s="6"/>
      <c r="I1115" s="25"/>
      <c r="J1115" s="7"/>
      <c r="K1115" s="15"/>
      <c r="L1115" s="379">
        <f>IF(H1115&lt;&gt;"",J1115*K1115,SUMIFS(L1116:L$9844,$F1116:$F$9844,"*"&amp;F1115&amp;"*",$H1116:$H$9844,"&lt;&gt;"))</f>
        <v>0</v>
      </c>
      <c r="M1115" s="379" t="str">
        <f>IF(Tabela2[[#This Row],[UNID.]]&lt;&gt;"",IFERROR(VLOOKUP(Tabela2[[#This Row],[AGRUPADOR]],Lucratividade!$D$4:$O$129,6,0),0),"")</f>
        <v/>
      </c>
      <c r="N1115" s="379">
        <f>IF(H1115&lt;&gt;"",J1115*M1115*I1115,SUMIFS(N1116:N$9844,$F1116:$F$9844,"*"&amp;F1115&amp;"*",$H1116:$H$9844,"&lt;&gt;"))</f>
        <v>0</v>
      </c>
      <c r="O1115" s="162" t="str">
        <f>IFERROR((-Tabela2[[#This Row],[CUSTO TOTAL]]+Tabela2[[#This Row],[VENDA TOTAL]])/Tabela2[[#This Row],[VENDA TOTAL]]-PARAMETROS!$C$19,"")</f>
        <v/>
      </c>
      <c r="AA1115" s="219">
        <f>SUM(Plan_Orc[[#This Row],[01/jan]:[01/dez]])</f>
        <v>0</v>
      </c>
      <c r="AB1115" s="15"/>
      <c r="AC1115" s="15"/>
      <c r="AD1115" s="15"/>
      <c r="AE1115" s="15"/>
      <c r="AF1115" s="15"/>
      <c r="AG1115" s="15"/>
      <c r="AH1115" s="15"/>
      <c r="AI1115" s="15"/>
      <c r="AJ1115" s="15"/>
      <c r="AK1115" s="15"/>
      <c r="AL1115" s="15"/>
      <c r="AM1115" s="15"/>
    </row>
    <row r="1116" spans="2:39" ht="25.2" customHeight="1" x14ac:dyDescent="0.3">
      <c r="B1116" s="13" t="str">
        <f t="shared" si="21"/>
        <v/>
      </c>
      <c r="C1116" s="18"/>
      <c r="D1116" s="19" t="str">
        <f>IF(Tabela2[[#This Row],[AGRUPADOR]]&lt;&gt;"",VLOOKUP(Tabela2[[#This Row],[AGRUPADOR]],Tabela1[],2,0),"")</f>
        <v/>
      </c>
      <c r="E1116" s="19" t="str">
        <f>IF(Tabela2[[#This Row],[AGRUPADOR]]&lt;&gt;"",VLOOKUP(Tabela2[[#This Row],[AGRUPADOR]],Tabela1[],4,0),"")</f>
        <v/>
      </c>
      <c r="F1116" s="14"/>
      <c r="G1116" s="6"/>
      <c r="H1116" s="6"/>
      <c r="I1116" s="25"/>
      <c r="J1116" s="7"/>
      <c r="K1116" s="15"/>
      <c r="L1116" s="379">
        <f>IF(H1116&lt;&gt;"",J1116*K1116,SUMIFS(L1117:L$9844,$F1117:$F$9844,"*"&amp;F1116&amp;"*",$H1117:$H$9844,"&lt;&gt;"))</f>
        <v>0</v>
      </c>
      <c r="M1116" s="379" t="str">
        <f>IF(Tabela2[[#This Row],[UNID.]]&lt;&gt;"",IFERROR(VLOOKUP(Tabela2[[#This Row],[AGRUPADOR]],Lucratividade!$D$4:$O$129,6,0),0),"")</f>
        <v/>
      </c>
      <c r="N1116" s="379">
        <f>IF(H1116&lt;&gt;"",J1116*M1116*I1116,SUMIFS(N1117:N$9844,$F1117:$F$9844,"*"&amp;F1116&amp;"*",$H1117:$H$9844,"&lt;&gt;"))</f>
        <v>0</v>
      </c>
      <c r="O1116" s="162" t="str">
        <f>IFERROR((-Tabela2[[#This Row],[CUSTO TOTAL]]+Tabela2[[#This Row],[VENDA TOTAL]])/Tabela2[[#This Row],[VENDA TOTAL]]-PARAMETROS!$C$19,"")</f>
        <v/>
      </c>
      <c r="AA1116" s="219">
        <f>SUM(Plan_Orc[[#This Row],[01/jan]:[01/dez]])</f>
        <v>0</v>
      </c>
      <c r="AB1116" s="15"/>
      <c r="AC1116" s="15"/>
      <c r="AD1116" s="15"/>
      <c r="AE1116" s="15"/>
      <c r="AF1116" s="15"/>
      <c r="AG1116" s="15"/>
      <c r="AH1116" s="15"/>
      <c r="AI1116" s="15"/>
      <c r="AJ1116" s="15"/>
      <c r="AK1116" s="15"/>
      <c r="AL1116" s="15"/>
      <c r="AM1116" s="15"/>
    </row>
    <row r="1117" spans="2:39" ht="25.2" customHeight="1" x14ac:dyDescent="0.3">
      <c r="B1117" s="13" t="str">
        <f t="shared" si="21"/>
        <v/>
      </c>
      <c r="C1117" s="18"/>
      <c r="D1117" s="19" t="str">
        <f>IF(Tabela2[[#This Row],[AGRUPADOR]]&lt;&gt;"",VLOOKUP(Tabela2[[#This Row],[AGRUPADOR]],Tabela1[],2,0),"")</f>
        <v/>
      </c>
      <c r="E1117" s="19" t="str">
        <f>IF(Tabela2[[#This Row],[AGRUPADOR]]&lt;&gt;"",VLOOKUP(Tabela2[[#This Row],[AGRUPADOR]],Tabela1[],4,0),"")</f>
        <v/>
      </c>
      <c r="F1117" s="14"/>
      <c r="G1117" s="6"/>
      <c r="H1117" s="6"/>
      <c r="I1117" s="25"/>
      <c r="J1117" s="7"/>
      <c r="K1117" s="15"/>
      <c r="L1117" s="379">
        <f>IF(H1117&lt;&gt;"",J1117*K1117,SUMIFS(L1118:L$9844,$F1118:$F$9844,"*"&amp;F1117&amp;"*",$H1118:$H$9844,"&lt;&gt;"))</f>
        <v>0</v>
      </c>
      <c r="M1117" s="379" t="str">
        <f>IF(Tabela2[[#This Row],[UNID.]]&lt;&gt;"",IFERROR(VLOOKUP(Tabela2[[#This Row],[AGRUPADOR]],Lucratividade!$D$4:$O$129,6,0),0),"")</f>
        <v/>
      </c>
      <c r="N1117" s="379">
        <f>IF(H1117&lt;&gt;"",J1117*M1117*I1117,SUMIFS(N1118:N$9844,$F1118:$F$9844,"*"&amp;F1117&amp;"*",$H1118:$H$9844,"&lt;&gt;"))</f>
        <v>0</v>
      </c>
      <c r="O1117" s="162" t="str">
        <f>IFERROR((-Tabela2[[#This Row],[CUSTO TOTAL]]+Tabela2[[#This Row],[VENDA TOTAL]])/Tabela2[[#This Row],[VENDA TOTAL]]-PARAMETROS!$C$19,"")</f>
        <v/>
      </c>
      <c r="AA1117" s="219">
        <f>SUM(Plan_Orc[[#This Row],[01/jan]:[01/dez]])</f>
        <v>0</v>
      </c>
      <c r="AB1117" s="15"/>
      <c r="AC1117" s="15"/>
      <c r="AD1117" s="15"/>
      <c r="AE1117" s="15"/>
      <c r="AF1117" s="15"/>
      <c r="AG1117" s="15"/>
      <c r="AH1117" s="15"/>
      <c r="AI1117" s="15"/>
      <c r="AJ1117" s="15"/>
      <c r="AK1117" s="15"/>
      <c r="AL1117" s="15"/>
      <c r="AM1117" s="15"/>
    </row>
    <row r="1118" spans="2:39" ht="25.2" customHeight="1" x14ac:dyDescent="0.3">
      <c r="B1118" s="13" t="str">
        <f t="shared" si="21"/>
        <v/>
      </c>
      <c r="C1118" s="18"/>
      <c r="D1118" s="19" t="str">
        <f>IF(Tabela2[[#This Row],[AGRUPADOR]]&lt;&gt;"",VLOOKUP(Tabela2[[#This Row],[AGRUPADOR]],Tabela1[],2,0),"")</f>
        <v/>
      </c>
      <c r="E1118" s="19" t="str">
        <f>IF(Tabela2[[#This Row],[AGRUPADOR]]&lt;&gt;"",VLOOKUP(Tabela2[[#This Row],[AGRUPADOR]],Tabela1[],4,0),"")</f>
        <v/>
      </c>
      <c r="F1118" s="14"/>
      <c r="G1118" s="6"/>
      <c r="H1118" s="6"/>
      <c r="I1118" s="25"/>
      <c r="J1118" s="7"/>
      <c r="K1118" s="15"/>
      <c r="L1118" s="379">
        <f>IF(H1118&lt;&gt;"",J1118*K1118,SUMIFS(L1119:L$9844,$F1119:$F$9844,"*"&amp;F1118&amp;"*",$H1119:$H$9844,"&lt;&gt;"))</f>
        <v>0</v>
      </c>
      <c r="M1118" s="379" t="str">
        <f>IF(Tabela2[[#This Row],[UNID.]]&lt;&gt;"",IFERROR(VLOOKUP(Tabela2[[#This Row],[AGRUPADOR]],Lucratividade!$D$4:$O$129,6,0),0),"")</f>
        <v/>
      </c>
      <c r="N1118" s="379">
        <f>IF(H1118&lt;&gt;"",J1118*M1118*I1118,SUMIFS(N1119:N$9844,$F1119:$F$9844,"*"&amp;F1118&amp;"*",$H1119:$H$9844,"&lt;&gt;"))</f>
        <v>0</v>
      </c>
      <c r="O1118" s="162" t="str">
        <f>IFERROR((-Tabela2[[#This Row],[CUSTO TOTAL]]+Tabela2[[#This Row],[VENDA TOTAL]])/Tabela2[[#This Row],[VENDA TOTAL]]-PARAMETROS!$C$19,"")</f>
        <v/>
      </c>
      <c r="AA1118" s="219">
        <f>SUM(Plan_Orc[[#This Row],[01/jan]:[01/dez]])</f>
        <v>0</v>
      </c>
      <c r="AB1118" s="15"/>
      <c r="AC1118" s="15"/>
      <c r="AD1118" s="15"/>
      <c r="AE1118" s="15"/>
      <c r="AF1118" s="15"/>
      <c r="AG1118" s="15"/>
      <c r="AH1118" s="15"/>
      <c r="AI1118" s="15"/>
      <c r="AJ1118" s="15"/>
      <c r="AK1118" s="15"/>
      <c r="AL1118" s="15"/>
      <c r="AM1118" s="15"/>
    </row>
    <row r="1119" spans="2:39" ht="25.2" customHeight="1" x14ac:dyDescent="0.3">
      <c r="B1119" s="13" t="str">
        <f t="shared" si="21"/>
        <v/>
      </c>
      <c r="C1119" s="18"/>
      <c r="D1119" s="19" t="str">
        <f>IF(Tabela2[[#This Row],[AGRUPADOR]]&lt;&gt;"",VLOOKUP(Tabela2[[#This Row],[AGRUPADOR]],Tabela1[],2,0),"")</f>
        <v/>
      </c>
      <c r="E1119" s="19" t="str">
        <f>IF(Tabela2[[#This Row],[AGRUPADOR]]&lt;&gt;"",VLOOKUP(Tabela2[[#This Row],[AGRUPADOR]],Tabela1[],4,0),"")</f>
        <v/>
      </c>
      <c r="F1119" s="14"/>
      <c r="G1119" s="6"/>
      <c r="H1119" s="6"/>
      <c r="I1119" s="25"/>
      <c r="J1119" s="7"/>
      <c r="K1119" s="15"/>
      <c r="L1119" s="379">
        <f>IF(H1119&lt;&gt;"",J1119*K1119,SUMIFS(L1120:L$9844,$F1120:$F$9844,"*"&amp;F1119&amp;"*",$H1120:$H$9844,"&lt;&gt;"))</f>
        <v>0</v>
      </c>
      <c r="M1119" s="379" t="str">
        <f>IF(Tabela2[[#This Row],[UNID.]]&lt;&gt;"",IFERROR(VLOOKUP(Tabela2[[#This Row],[AGRUPADOR]],Lucratividade!$D$4:$O$129,6,0),0),"")</f>
        <v/>
      </c>
      <c r="N1119" s="379">
        <f>IF(H1119&lt;&gt;"",J1119*M1119*I1119,SUMIFS(N1120:N$9844,$F1120:$F$9844,"*"&amp;F1119&amp;"*",$H1120:$H$9844,"&lt;&gt;"))</f>
        <v>0</v>
      </c>
      <c r="O1119" s="162" t="str">
        <f>IFERROR((-Tabela2[[#This Row],[CUSTO TOTAL]]+Tabela2[[#This Row],[VENDA TOTAL]])/Tabela2[[#This Row],[VENDA TOTAL]]-PARAMETROS!$C$19,"")</f>
        <v/>
      </c>
      <c r="AA1119" s="219">
        <f>SUM(Plan_Orc[[#This Row],[01/jan]:[01/dez]])</f>
        <v>0</v>
      </c>
      <c r="AB1119" s="15"/>
      <c r="AC1119" s="15"/>
      <c r="AD1119" s="15"/>
      <c r="AE1119" s="15"/>
      <c r="AF1119" s="15"/>
      <c r="AG1119" s="15"/>
      <c r="AH1119" s="15"/>
      <c r="AI1119" s="15"/>
      <c r="AJ1119" s="15"/>
      <c r="AK1119" s="15"/>
      <c r="AL1119" s="15"/>
      <c r="AM1119" s="15"/>
    </row>
    <row r="1120" spans="2:39" ht="25.2" customHeight="1" x14ac:dyDescent="0.3">
      <c r="B1120" s="13" t="str">
        <f t="shared" si="21"/>
        <v/>
      </c>
      <c r="C1120" s="18"/>
      <c r="D1120" s="19" t="str">
        <f>IF(Tabela2[[#This Row],[AGRUPADOR]]&lt;&gt;"",VLOOKUP(Tabela2[[#This Row],[AGRUPADOR]],Tabela1[],2,0),"")</f>
        <v/>
      </c>
      <c r="E1120" s="19" t="str">
        <f>IF(Tabela2[[#This Row],[AGRUPADOR]]&lt;&gt;"",VLOOKUP(Tabela2[[#This Row],[AGRUPADOR]],Tabela1[],4,0),"")</f>
        <v/>
      </c>
      <c r="F1120" s="14"/>
      <c r="G1120" s="6"/>
      <c r="H1120" s="6"/>
      <c r="I1120" s="25"/>
      <c r="J1120" s="7"/>
      <c r="K1120" s="15"/>
      <c r="L1120" s="379">
        <f>IF(H1120&lt;&gt;"",J1120*K1120,SUMIFS(L1121:L$9844,$F1121:$F$9844,"*"&amp;F1120&amp;"*",$H1121:$H$9844,"&lt;&gt;"))</f>
        <v>0</v>
      </c>
      <c r="M1120" s="379" t="str">
        <f>IF(Tabela2[[#This Row],[UNID.]]&lt;&gt;"",IFERROR(VLOOKUP(Tabela2[[#This Row],[AGRUPADOR]],Lucratividade!$D$4:$O$129,6,0),0),"")</f>
        <v/>
      </c>
      <c r="N1120" s="379">
        <f>IF(H1120&lt;&gt;"",J1120*M1120*I1120,SUMIFS(N1121:N$9844,$F1121:$F$9844,"*"&amp;F1120&amp;"*",$H1121:$H$9844,"&lt;&gt;"))</f>
        <v>0</v>
      </c>
      <c r="O1120" s="162" t="str">
        <f>IFERROR((-Tabela2[[#This Row],[CUSTO TOTAL]]+Tabela2[[#This Row],[VENDA TOTAL]])/Tabela2[[#This Row],[VENDA TOTAL]]-PARAMETROS!$C$19,"")</f>
        <v/>
      </c>
      <c r="AA1120" s="218">
        <f>SUM(Plan_Orc[[#This Row],[01/jan]:[01/dez]])</f>
        <v>0</v>
      </c>
      <c r="AB1120" s="12"/>
      <c r="AC1120" s="12"/>
      <c r="AD1120" s="12"/>
      <c r="AE1120" s="12"/>
      <c r="AF1120" s="12"/>
      <c r="AG1120" s="12"/>
      <c r="AH1120" s="12"/>
      <c r="AI1120" s="12"/>
      <c r="AJ1120" s="12"/>
      <c r="AK1120" s="12"/>
      <c r="AL1120" s="12"/>
      <c r="AM1120" s="12"/>
    </row>
    <row r="1121" spans="2:39" ht="25.2" customHeight="1" x14ac:dyDescent="0.3">
      <c r="B1121" s="13" t="str">
        <f t="shared" si="21"/>
        <v/>
      </c>
      <c r="C1121" s="18"/>
      <c r="D1121" s="19" t="str">
        <f>IF(Tabela2[[#This Row],[AGRUPADOR]]&lt;&gt;"",VLOOKUP(Tabela2[[#This Row],[AGRUPADOR]],Tabela1[],2,0),"")</f>
        <v/>
      </c>
      <c r="E1121" s="19" t="str">
        <f>IF(Tabela2[[#This Row],[AGRUPADOR]]&lt;&gt;"",VLOOKUP(Tabela2[[#This Row],[AGRUPADOR]],Tabela1[],4,0),"")</f>
        <v/>
      </c>
      <c r="F1121" s="14"/>
      <c r="G1121" s="6"/>
      <c r="H1121" s="6"/>
      <c r="I1121" s="25"/>
      <c r="J1121" s="7"/>
      <c r="K1121" s="15"/>
      <c r="L1121" s="379">
        <f>IF(H1121&lt;&gt;"",J1121*K1121,SUMIFS(L1122:L$9844,$F1122:$F$9844,"*"&amp;F1121&amp;"*",$H1122:$H$9844,"&lt;&gt;"))</f>
        <v>0</v>
      </c>
      <c r="M1121" s="379" t="str">
        <f>IF(Tabela2[[#This Row],[UNID.]]&lt;&gt;"",IFERROR(VLOOKUP(Tabela2[[#This Row],[AGRUPADOR]],Lucratividade!$D$4:$O$129,6,0),0),"")</f>
        <v/>
      </c>
      <c r="N1121" s="379">
        <f>IF(H1121&lt;&gt;"",J1121*M1121*I1121,SUMIFS(N1122:N$9844,$F1122:$F$9844,"*"&amp;F1121&amp;"*",$H1122:$H$9844,"&lt;&gt;"))</f>
        <v>0</v>
      </c>
      <c r="O1121" s="162" t="str">
        <f>IFERROR((-Tabela2[[#This Row],[CUSTO TOTAL]]+Tabela2[[#This Row],[VENDA TOTAL]])/Tabela2[[#This Row],[VENDA TOTAL]]-PARAMETROS!$C$19,"")</f>
        <v/>
      </c>
      <c r="AA1121" s="219">
        <f>SUM(Plan_Orc[[#This Row],[01/jan]:[01/dez]])</f>
        <v>0</v>
      </c>
      <c r="AB1121" s="15"/>
      <c r="AC1121" s="15"/>
      <c r="AD1121" s="15"/>
      <c r="AE1121" s="15"/>
      <c r="AF1121" s="15"/>
      <c r="AG1121" s="15"/>
      <c r="AH1121" s="15"/>
      <c r="AI1121" s="15"/>
      <c r="AJ1121" s="15"/>
      <c r="AK1121" s="15"/>
      <c r="AL1121" s="15"/>
      <c r="AM1121" s="15"/>
    </row>
    <row r="1122" spans="2:39" ht="25.2" customHeight="1" x14ac:dyDescent="0.3">
      <c r="B1122" s="13" t="str">
        <f t="shared" si="21"/>
        <v/>
      </c>
      <c r="C1122" s="18"/>
      <c r="D1122" s="19" t="str">
        <f>IF(Tabela2[[#This Row],[AGRUPADOR]]&lt;&gt;"",VLOOKUP(Tabela2[[#This Row],[AGRUPADOR]],Tabela1[],2,0),"")</f>
        <v/>
      </c>
      <c r="E1122" s="19" t="str">
        <f>IF(Tabela2[[#This Row],[AGRUPADOR]]&lt;&gt;"",VLOOKUP(Tabela2[[#This Row],[AGRUPADOR]],Tabela1[],4,0),"")</f>
        <v/>
      </c>
      <c r="F1122" s="14"/>
      <c r="G1122" s="6"/>
      <c r="H1122" s="6"/>
      <c r="I1122" s="25"/>
      <c r="J1122" s="7"/>
      <c r="K1122" s="15"/>
      <c r="L1122" s="379">
        <f>IF(H1122&lt;&gt;"",J1122*K1122,SUMIFS(L1123:L$9844,$F1123:$F$9844,"*"&amp;F1122&amp;"*",$H1123:$H$9844,"&lt;&gt;"))</f>
        <v>0</v>
      </c>
      <c r="M1122" s="379" t="str">
        <f>IF(Tabela2[[#This Row],[UNID.]]&lt;&gt;"",IFERROR(VLOOKUP(Tabela2[[#This Row],[AGRUPADOR]],Lucratividade!$D$4:$O$129,6,0),0),"")</f>
        <v/>
      </c>
      <c r="N1122" s="379">
        <f>IF(H1122&lt;&gt;"",J1122*M1122*I1122,SUMIFS(N1123:N$9844,$F1123:$F$9844,"*"&amp;F1122&amp;"*",$H1123:$H$9844,"&lt;&gt;"))</f>
        <v>0</v>
      </c>
      <c r="O1122" s="162" t="str">
        <f>IFERROR((-Tabela2[[#This Row],[CUSTO TOTAL]]+Tabela2[[#This Row],[VENDA TOTAL]])/Tabela2[[#This Row],[VENDA TOTAL]]-PARAMETROS!$C$19,"")</f>
        <v/>
      </c>
      <c r="AA1122" s="220">
        <f>SUM(Plan_Orc[[#This Row],[01/jan]:[01/dez]])</f>
        <v>0</v>
      </c>
      <c r="AB1122" s="9"/>
      <c r="AC1122" s="9"/>
      <c r="AD1122" s="9"/>
      <c r="AE1122" s="9"/>
      <c r="AF1122" s="9"/>
      <c r="AG1122" s="9"/>
      <c r="AH1122" s="9"/>
      <c r="AI1122" s="9"/>
      <c r="AJ1122" s="9"/>
      <c r="AK1122" s="9"/>
      <c r="AL1122" s="9"/>
      <c r="AM1122" s="9"/>
    </row>
    <row r="1123" spans="2:39" ht="25.2" customHeight="1" x14ac:dyDescent="0.3">
      <c r="B1123" s="13" t="str">
        <f t="shared" si="21"/>
        <v/>
      </c>
      <c r="C1123" s="18"/>
      <c r="D1123" s="19" t="str">
        <f>IF(Tabela2[[#This Row],[AGRUPADOR]]&lt;&gt;"",VLOOKUP(Tabela2[[#This Row],[AGRUPADOR]],Tabela1[],2,0),"")</f>
        <v/>
      </c>
      <c r="E1123" s="19" t="str">
        <f>IF(Tabela2[[#This Row],[AGRUPADOR]]&lt;&gt;"",VLOOKUP(Tabela2[[#This Row],[AGRUPADOR]],Tabela1[],4,0),"")</f>
        <v/>
      </c>
      <c r="F1123" s="14"/>
      <c r="G1123" s="6"/>
      <c r="H1123" s="6"/>
      <c r="I1123" s="25"/>
      <c r="J1123" s="7"/>
      <c r="K1123" s="15"/>
      <c r="L1123" s="379">
        <f>IF(H1123&lt;&gt;"",J1123*K1123,SUMIFS(L1124:L$9844,$F1124:$F$9844,"*"&amp;F1123&amp;"*",$H1124:$H$9844,"&lt;&gt;"))</f>
        <v>0</v>
      </c>
      <c r="M1123" s="379" t="str">
        <f>IF(Tabela2[[#This Row],[UNID.]]&lt;&gt;"",IFERROR(VLOOKUP(Tabela2[[#This Row],[AGRUPADOR]],Lucratividade!$D$4:$O$129,6,0),0),"")</f>
        <v/>
      </c>
      <c r="N1123" s="379">
        <f>IF(H1123&lt;&gt;"",J1123*M1123*I1123,SUMIFS(N1124:N$9844,$F1124:$F$9844,"*"&amp;F1123&amp;"*",$H1124:$H$9844,"&lt;&gt;"))</f>
        <v>0</v>
      </c>
      <c r="O1123" s="162" t="str">
        <f>IFERROR((-Tabela2[[#This Row],[CUSTO TOTAL]]+Tabela2[[#This Row],[VENDA TOTAL]])/Tabela2[[#This Row],[VENDA TOTAL]]-PARAMETROS!$C$19,"")</f>
        <v/>
      </c>
      <c r="AA1123" s="219">
        <f>SUM(Plan_Orc[[#This Row],[01/jan]:[01/dez]])</f>
        <v>0</v>
      </c>
      <c r="AB1123" s="15"/>
      <c r="AC1123" s="15"/>
      <c r="AD1123" s="15"/>
      <c r="AE1123" s="15"/>
      <c r="AF1123" s="15"/>
      <c r="AG1123" s="15"/>
      <c r="AH1123" s="15"/>
      <c r="AI1123" s="15"/>
      <c r="AJ1123" s="15"/>
      <c r="AK1123" s="15"/>
      <c r="AL1123" s="15"/>
      <c r="AM1123" s="15"/>
    </row>
    <row r="1124" spans="2:39" ht="25.2" customHeight="1" x14ac:dyDescent="0.3">
      <c r="B1124" s="13" t="str">
        <f t="shared" si="21"/>
        <v/>
      </c>
      <c r="C1124" s="18"/>
      <c r="D1124" s="19" t="str">
        <f>IF(Tabela2[[#This Row],[AGRUPADOR]]&lt;&gt;"",VLOOKUP(Tabela2[[#This Row],[AGRUPADOR]],Tabela1[],2,0),"")</f>
        <v/>
      </c>
      <c r="E1124" s="19" t="str">
        <f>IF(Tabela2[[#This Row],[AGRUPADOR]]&lt;&gt;"",VLOOKUP(Tabela2[[#This Row],[AGRUPADOR]],Tabela1[],4,0),"")</f>
        <v/>
      </c>
      <c r="F1124" s="14"/>
      <c r="G1124" s="6"/>
      <c r="H1124" s="6"/>
      <c r="I1124" s="25"/>
      <c r="J1124" s="7"/>
      <c r="K1124" s="15"/>
      <c r="L1124" s="379">
        <f>IF(H1124&lt;&gt;"",J1124*K1124,SUMIFS(L1125:L$9844,$F1125:$F$9844,"*"&amp;F1124&amp;"*",$H1125:$H$9844,"&lt;&gt;"))</f>
        <v>0</v>
      </c>
      <c r="M1124" s="379" t="str">
        <f>IF(Tabela2[[#This Row],[UNID.]]&lt;&gt;"",IFERROR(VLOOKUP(Tabela2[[#This Row],[AGRUPADOR]],Lucratividade!$D$4:$O$129,6,0),0),"")</f>
        <v/>
      </c>
      <c r="N1124" s="379">
        <f>IF(H1124&lt;&gt;"",J1124*M1124*I1124,SUMIFS(N1125:N$9844,$F1125:$F$9844,"*"&amp;F1124&amp;"*",$H1125:$H$9844,"&lt;&gt;"))</f>
        <v>0</v>
      </c>
      <c r="O1124" s="162" t="str">
        <f>IFERROR((-Tabela2[[#This Row],[CUSTO TOTAL]]+Tabela2[[#This Row],[VENDA TOTAL]])/Tabela2[[#This Row],[VENDA TOTAL]]-PARAMETROS!$C$19,"")</f>
        <v/>
      </c>
      <c r="AA1124" s="219">
        <f>SUM(Plan_Orc[[#This Row],[01/jan]:[01/dez]])</f>
        <v>0</v>
      </c>
      <c r="AB1124" s="15"/>
      <c r="AC1124" s="15"/>
      <c r="AD1124" s="15"/>
      <c r="AE1124" s="15"/>
      <c r="AF1124" s="15"/>
      <c r="AG1124" s="15"/>
      <c r="AH1124" s="15"/>
      <c r="AI1124" s="15"/>
      <c r="AJ1124" s="15"/>
      <c r="AK1124" s="15"/>
      <c r="AL1124" s="15"/>
      <c r="AM1124" s="15"/>
    </row>
    <row r="1125" spans="2:39" ht="25.2" customHeight="1" x14ac:dyDescent="0.3">
      <c r="B1125" s="13" t="str">
        <f t="shared" si="21"/>
        <v/>
      </c>
      <c r="C1125" s="18"/>
      <c r="D1125" s="19" t="str">
        <f>IF(Tabela2[[#This Row],[AGRUPADOR]]&lt;&gt;"",VLOOKUP(Tabela2[[#This Row],[AGRUPADOR]],Tabela1[],2,0),"")</f>
        <v/>
      </c>
      <c r="E1125" s="19" t="str">
        <f>IF(Tabela2[[#This Row],[AGRUPADOR]]&lt;&gt;"",VLOOKUP(Tabela2[[#This Row],[AGRUPADOR]],Tabela1[],4,0),"")</f>
        <v/>
      </c>
      <c r="F1125" s="14"/>
      <c r="G1125" s="6"/>
      <c r="H1125" s="6"/>
      <c r="I1125" s="25"/>
      <c r="J1125" s="7"/>
      <c r="K1125" s="15"/>
      <c r="L1125" s="379">
        <f>IF(H1125&lt;&gt;"",J1125*K1125,SUMIFS(L1126:L$9844,$F1126:$F$9844,"*"&amp;F1125&amp;"*",$H1126:$H$9844,"&lt;&gt;"))</f>
        <v>0</v>
      </c>
      <c r="M1125" s="379" t="str">
        <f>IF(Tabela2[[#This Row],[UNID.]]&lt;&gt;"",IFERROR(VLOOKUP(Tabela2[[#This Row],[AGRUPADOR]],Lucratividade!$D$4:$O$129,6,0),0),"")</f>
        <v/>
      </c>
      <c r="N1125" s="379">
        <f>IF(H1125&lt;&gt;"",J1125*M1125*I1125,SUMIFS(N1126:N$9844,$F1126:$F$9844,"*"&amp;F1125&amp;"*",$H1126:$H$9844,"&lt;&gt;"))</f>
        <v>0</v>
      </c>
      <c r="O1125" s="162" t="str">
        <f>IFERROR((-Tabela2[[#This Row],[CUSTO TOTAL]]+Tabela2[[#This Row],[VENDA TOTAL]])/Tabela2[[#This Row],[VENDA TOTAL]]-PARAMETROS!$C$19,"")</f>
        <v/>
      </c>
      <c r="AA1125" s="219">
        <f>SUM(Plan_Orc[[#This Row],[01/jan]:[01/dez]])</f>
        <v>0</v>
      </c>
      <c r="AB1125" s="15"/>
      <c r="AC1125" s="15"/>
      <c r="AD1125" s="15"/>
      <c r="AE1125" s="15"/>
      <c r="AF1125" s="15"/>
      <c r="AG1125" s="15"/>
      <c r="AH1125" s="15"/>
      <c r="AI1125" s="15"/>
      <c r="AJ1125" s="15"/>
      <c r="AK1125" s="15"/>
      <c r="AL1125" s="15"/>
      <c r="AM1125" s="15"/>
    </row>
    <row r="1126" spans="2:39" ht="25.2" customHeight="1" x14ac:dyDescent="0.3">
      <c r="B1126" s="13" t="str">
        <f t="shared" si="21"/>
        <v/>
      </c>
      <c r="C1126" s="18"/>
      <c r="D1126" s="19" t="str">
        <f>IF(Tabela2[[#This Row],[AGRUPADOR]]&lt;&gt;"",VLOOKUP(Tabela2[[#This Row],[AGRUPADOR]],Tabela1[],2,0),"")</f>
        <v/>
      </c>
      <c r="E1126" s="19" t="str">
        <f>IF(Tabela2[[#This Row],[AGRUPADOR]]&lt;&gt;"",VLOOKUP(Tabela2[[#This Row],[AGRUPADOR]],Tabela1[],4,0),"")</f>
        <v/>
      </c>
      <c r="F1126" s="14"/>
      <c r="G1126" s="6"/>
      <c r="H1126" s="6"/>
      <c r="I1126" s="25"/>
      <c r="J1126" s="7"/>
      <c r="K1126" s="15"/>
      <c r="L1126" s="379">
        <f>IF(H1126&lt;&gt;"",J1126*K1126,SUMIFS(L1127:L$9844,$F1127:$F$9844,"*"&amp;F1126&amp;"*",$H1127:$H$9844,"&lt;&gt;"))</f>
        <v>0</v>
      </c>
      <c r="M1126" s="379" t="str">
        <f>IF(Tabela2[[#This Row],[UNID.]]&lt;&gt;"",IFERROR(VLOOKUP(Tabela2[[#This Row],[AGRUPADOR]],Lucratividade!$D$4:$O$129,6,0),0),"")</f>
        <v/>
      </c>
      <c r="N1126" s="379">
        <f>IF(H1126&lt;&gt;"",J1126*M1126*I1126,SUMIFS(N1127:N$9844,$F1127:$F$9844,"*"&amp;F1126&amp;"*",$H1127:$H$9844,"&lt;&gt;"))</f>
        <v>0</v>
      </c>
      <c r="O1126" s="162" t="str">
        <f>IFERROR((-Tabela2[[#This Row],[CUSTO TOTAL]]+Tabela2[[#This Row],[VENDA TOTAL]])/Tabela2[[#This Row],[VENDA TOTAL]]-PARAMETROS!$C$19,"")</f>
        <v/>
      </c>
      <c r="AA1126" s="219">
        <f>SUM(Plan_Orc[[#This Row],[01/jan]:[01/dez]])</f>
        <v>0</v>
      </c>
      <c r="AB1126" s="15"/>
      <c r="AC1126" s="15"/>
      <c r="AD1126" s="15"/>
      <c r="AE1126" s="15"/>
      <c r="AF1126" s="15"/>
      <c r="AG1126" s="15"/>
      <c r="AH1126" s="15"/>
      <c r="AI1126" s="15"/>
      <c r="AJ1126" s="15"/>
      <c r="AK1126" s="15"/>
      <c r="AL1126" s="15"/>
      <c r="AM1126" s="15"/>
    </row>
    <row r="1127" spans="2:39" ht="25.2" customHeight="1" x14ac:dyDescent="0.3">
      <c r="B1127" s="13" t="str">
        <f t="shared" si="21"/>
        <v/>
      </c>
      <c r="C1127" s="18"/>
      <c r="D1127" s="19" t="str">
        <f>IF(Tabela2[[#This Row],[AGRUPADOR]]&lt;&gt;"",VLOOKUP(Tabela2[[#This Row],[AGRUPADOR]],Tabela1[],2,0),"")</f>
        <v/>
      </c>
      <c r="E1127" s="19" t="str">
        <f>IF(Tabela2[[#This Row],[AGRUPADOR]]&lt;&gt;"",VLOOKUP(Tabela2[[#This Row],[AGRUPADOR]],Tabela1[],4,0),"")</f>
        <v/>
      </c>
      <c r="F1127" s="14"/>
      <c r="G1127" s="6"/>
      <c r="H1127" s="6"/>
      <c r="I1127" s="25"/>
      <c r="J1127" s="7"/>
      <c r="K1127" s="15"/>
      <c r="L1127" s="379">
        <f>IF(H1127&lt;&gt;"",J1127*K1127,SUMIFS(L1128:L$9844,$F1128:$F$9844,"*"&amp;F1127&amp;"*",$H1128:$H$9844,"&lt;&gt;"))</f>
        <v>0</v>
      </c>
      <c r="M1127" s="379" t="str">
        <f>IF(Tabela2[[#This Row],[UNID.]]&lt;&gt;"",IFERROR(VLOOKUP(Tabela2[[#This Row],[AGRUPADOR]],Lucratividade!$D$4:$O$129,6,0),0),"")</f>
        <v/>
      </c>
      <c r="N1127" s="379">
        <f>IF(H1127&lt;&gt;"",J1127*M1127*I1127,SUMIFS(N1128:N$9844,$F1128:$F$9844,"*"&amp;F1127&amp;"*",$H1128:$H$9844,"&lt;&gt;"))</f>
        <v>0</v>
      </c>
      <c r="O1127" s="162" t="str">
        <f>IFERROR((-Tabela2[[#This Row],[CUSTO TOTAL]]+Tabela2[[#This Row],[VENDA TOTAL]])/Tabela2[[#This Row],[VENDA TOTAL]]-PARAMETROS!$C$19,"")</f>
        <v/>
      </c>
      <c r="AA1127" s="220">
        <f>SUM(Plan_Orc[[#This Row],[01/jan]:[01/dez]])</f>
        <v>0</v>
      </c>
      <c r="AB1127" s="9"/>
      <c r="AC1127" s="9"/>
      <c r="AD1127" s="9"/>
      <c r="AE1127" s="9"/>
      <c r="AF1127" s="9"/>
      <c r="AG1127" s="9"/>
      <c r="AH1127" s="9"/>
      <c r="AI1127" s="9"/>
      <c r="AJ1127" s="9"/>
      <c r="AK1127" s="9"/>
      <c r="AL1127" s="9"/>
      <c r="AM1127" s="9"/>
    </row>
    <row r="1128" spans="2:39" ht="25.2" customHeight="1" x14ac:dyDescent="0.3">
      <c r="B1128" s="13" t="str">
        <f t="shared" si="21"/>
        <v/>
      </c>
      <c r="C1128" s="18"/>
      <c r="D1128" s="19" t="str">
        <f>IF(Tabela2[[#This Row],[AGRUPADOR]]&lt;&gt;"",VLOOKUP(Tabela2[[#This Row],[AGRUPADOR]],Tabela1[],2,0),"")</f>
        <v/>
      </c>
      <c r="E1128" s="19" t="str">
        <f>IF(Tabela2[[#This Row],[AGRUPADOR]]&lt;&gt;"",VLOOKUP(Tabela2[[#This Row],[AGRUPADOR]],Tabela1[],4,0),"")</f>
        <v/>
      </c>
      <c r="F1128" s="14"/>
      <c r="G1128" s="6"/>
      <c r="H1128" s="6"/>
      <c r="I1128" s="25"/>
      <c r="J1128" s="7"/>
      <c r="K1128" s="15"/>
      <c r="L1128" s="379">
        <f>IF(H1128&lt;&gt;"",J1128*K1128,SUMIFS(L1129:L$9844,$F1129:$F$9844,"*"&amp;F1128&amp;"*",$H1129:$H$9844,"&lt;&gt;"))</f>
        <v>0</v>
      </c>
      <c r="M1128" s="379" t="str">
        <f>IF(Tabela2[[#This Row],[UNID.]]&lt;&gt;"",IFERROR(VLOOKUP(Tabela2[[#This Row],[AGRUPADOR]],Lucratividade!$D$4:$O$129,6,0),0),"")</f>
        <v/>
      </c>
      <c r="N1128" s="379">
        <f>IF(H1128&lt;&gt;"",J1128*M1128*I1128,SUMIFS(N1129:N$9844,$F1129:$F$9844,"*"&amp;F1128&amp;"*",$H1129:$H$9844,"&lt;&gt;"))</f>
        <v>0</v>
      </c>
      <c r="O1128" s="162" t="str">
        <f>IFERROR((-Tabela2[[#This Row],[CUSTO TOTAL]]+Tabela2[[#This Row],[VENDA TOTAL]])/Tabela2[[#This Row],[VENDA TOTAL]]-PARAMETROS!$C$19,"")</f>
        <v/>
      </c>
      <c r="AA1128" s="218">
        <f>SUM(Plan_Orc[[#This Row],[01/jan]:[01/dez]])</f>
        <v>0</v>
      </c>
      <c r="AB1128" s="12"/>
      <c r="AC1128" s="12"/>
      <c r="AD1128" s="12"/>
      <c r="AE1128" s="12"/>
      <c r="AF1128" s="12"/>
      <c r="AG1128" s="12"/>
      <c r="AH1128" s="12"/>
      <c r="AI1128" s="12"/>
      <c r="AJ1128" s="12"/>
      <c r="AK1128" s="12"/>
      <c r="AL1128" s="12"/>
      <c r="AM1128" s="12"/>
    </row>
    <row r="1129" spans="2:39" ht="25.2" customHeight="1" x14ac:dyDescent="0.3">
      <c r="B1129" s="13" t="str">
        <f t="shared" si="21"/>
        <v/>
      </c>
      <c r="C1129" s="18"/>
      <c r="D1129" s="19" t="str">
        <f>IF(Tabela2[[#This Row],[AGRUPADOR]]&lt;&gt;"",VLOOKUP(Tabela2[[#This Row],[AGRUPADOR]],Tabela1[],2,0),"")</f>
        <v/>
      </c>
      <c r="E1129" s="19" t="str">
        <f>IF(Tabela2[[#This Row],[AGRUPADOR]]&lt;&gt;"",VLOOKUP(Tabela2[[#This Row],[AGRUPADOR]],Tabela1[],4,0),"")</f>
        <v/>
      </c>
      <c r="F1129" s="14"/>
      <c r="G1129" s="6"/>
      <c r="H1129" s="6"/>
      <c r="I1129" s="25"/>
      <c r="J1129" s="7"/>
      <c r="K1129" s="15"/>
      <c r="L1129" s="379">
        <f>IF(H1129&lt;&gt;"",J1129*K1129,SUMIFS(L1130:L$9844,$F1130:$F$9844,"*"&amp;F1129&amp;"*",$H1130:$H$9844,"&lt;&gt;"))</f>
        <v>0</v>
      </c>
      <c r="M1129" s="379" t="str">
        <f>IF(Tabela2[[#This Row],[UNID.]]&lt;&gt;"",IFERROR(VLOOKUP(Tabela2[[#This Row],[AGRUPADOR]],Lucratividade!$D$4:$O$129,6,0),0),"")</f>
        <v/>
      </c>
      <c r="N1129" s="379">
        <f>IF(H1129&lt;&gt;"",J1129*M1129*I1129,SUMIFS(N1130:N$9844,$F1130:$F$9844,"*"&amp;F1129&amp;"*",$H1130:$H$9844,"&lt;&gt;"))</f>
        <v>0</v>
      </c>
      <c r="O1129" s="162" t="str">
        <f>IFERROR((-Tabela2[[#This Row],[CUSTO TOTAL]]+Tabela2[[#This Row],[VENDA TOTAL]])/Tabela2[[#This Row],[VENDA TOTAL]]-PARAMETROS!$C$19,"")</f>
        <v/>
      </c>
      <c r="AA1129" s="219">
        <f>SUM(Plan_Orc[[#This Row],[01/jan]:[01/dez]])</f>
        <v>0</v>
      </c>
      <c r="AB1129" s="15"/>
      <c r="AC1129" s="15"/>
      <c r="AD1129" s="15"/>
      <c r="AE1129" s="15"/>
      <c r="AF1129" s="15"/>
      <c r="AG1129" s="15"/>
      <c r="AH1129" s="15"/>
      <c r="AI1129" s="15"/>
      <c r="AJ1129" s="15"/>
      <c r="AK1129" s="15"/>
      <c r="AL1129" s="15"/>
      <c r="AM1129" s="15"/>
    </row>
    <row r="1130" spans="2:39" ht="25.2" customHeight="1" x14ac:dyDescent="0.3">
      <c r="B1130" s="13" t="str">
        <f t="shared" si="21"/>
        <v/>
      </c>
      <c r="C1130" s="18"/>
      <c r="D1130" s="19" t="str">
        <f>IF(Tabela2[[#This Row],[AGRUPADOR]]&lt;&gt;"",VLOOKUP(Tabela2[[#This Row],[AGRUPADOR]],Tabela1[],2,0),"")</f>
        <v/>
      </c>
      <c r="E1130" s="19" t="str">
        <f>IF(Tabela2[[#This Row],[AGRUPADOR]]&lt;&gt;"",VLOOKUP(Tabela2[[#This Row],[AGRUPADOR]],Tabela1[],4,0),"")</f>
        <v/>
      </c>
      <c r="F1130" s="14"/>
      <c r="G1130" s="6"/>
      <c r="H1130" s="6"/>
      <c r="I1130" s="25"/>
      <c r="J1130" s="7"/>
      <c r="K1130" s="15"/>
      <c r="L1130" s="379">
        <f>IF(H1130&lt;&gt;"",J1130*K1130,SUMIFS(L1131:L$9844,$F1131:$F$9844,"*"&amp;F1130&amp;"*",$H1131:$H$9844,"&lt;&gt;"))</f>
        <v>0</v>
      </c>
      <c r="M1130" s="379" t="str">
        <f>IF(Tabela2[[#This Row],[UNID.]]&lt;&gt;"",IFERROR(VLOOKUP(Tabela2[[#This Row],[AGRUPADOR]],Lucratividade!$D$4:$O$129,6,0),0),"")</f>
        <v/>
      </c>
      <c r="N1130" s="379">
        <f>IF(H1130&lt;&gt;"",J1130*M1130*I1130,SUMIFS(N1131:N$9844,$F1131:$F$9844,"*"&amp;F1130&amp;"*",$H1131:$H$9844,"&lt;&gt;"))</f>
        <v>0</v>
      </c>
      <c r="O1130" s="162" t="str">
        <f>IFERROR((-Tabela2[[#This Row],[CUSTO TOTAL]]+Tabela2[[#This Row],[VENDA TOTAL]])/Tabela2[[#This Row],[VENDA TOTAL]]-PARAMETROS!$C$19,"")</f>
        <v/>
      </c>
      <c r="AA1130" s="222">
        <f>SUM(Plan_Orc[[#This Row],[01/jan]:[01/dez]])</f>
        <v>0</v>
      </c>
      <c r="AB1130" s="161"/>
      <c r="AC1130" s="161"/>
      <c r="AD1130" s="161"/>
      <c r="AE1130" s="161"/>
      <c r="AF1130" s="161"/>
      <c r="AG1130" s="161"/>
      <c r="AH1130" s="161"/>
      <c r="AI1130" s="161"/>
      <c r="AJ1130" s="161"/>
      <c r="AK1130" s="161"/>
      <c r="AL1130" s="161"/>
      <c r="AM1130" s="161"/>
    </row>
    <row r="1131" spans="2:39" ht="25.2" customHeight="1" x14ac:dyDescent="0.3">
      <c r="B1131" s="13" t="str">
        <f t="shared" si="21"/>
        <v/>
      </c>
      <c r="C1131" s="18"/>
      <c r="D1131" s="19" t="str">
        <f>IF(Tabela2[[#This Row],[AGRUPADOR]]&lt;&gt;"",VLOOKUP(Tabela2[[#This Row],[AGRUPADOR]],Tabela1[],2,0),"")</f>
        <v/>
      </c>
      <c r="E1131" s="19" t="str">
        <f>IF(Tabela2[[#This Row],[AGRUPADOR]]&lt;&gt;"",VLOOKUP(Tabela2[[#This Row],[AGRUPADOR]],Tabela1[],4,0),"")</f>
        <v/>
      </c>
      <c r="F1131" s="14"/>
      <c r="G1131" s="6"/>
      <c r="H1131" s="6"/>
      <c r="I1131" s="25"/>
      <c r="J1131" s="7"/>
      <c r="K1131" s="15"/>
      <c r="L1131" s="379">
        <f>IF(H1131&lt;&gt;"",J1131*K1131,SUMIFS(L1132:L$9844,$F1132:$F$9844,"*"&amp;F1131&amp;"*",$H1132:$H$9844,"&lt;&gt;"))</f>
        <v>0</v>
      </c>
      <c r="M1131" s="379" t="str">
        <f>IF(Tabela2[[#This Row],[UNID.]]&lt;&gt;"",IFERROR(VLOOKUP(Tabela2[[#This Row],[AGRUPADOR]],Lucratividade!$D$4:$O$129,6,0),0),"")</f>
        <v/>
      </c>
      <c r="N1131" s="379">
        <f>IF(H1131&lt;&gt;"",J1131*M1131*I1131,SUMIFS(N1132:N$9844,$F1132:$F$9844,"*"&amp;F1131&amp;"*",$H1132:$H$9844,"&lt;&gt;"))</f>
        <v>0</v>
      </c>
      <c r="O1131" s="162" t="str">
        <f>IFERROR((-Tabela2[[#This Row],[CUSTO TOTAL]]+Tabela2[[#This Row],[VENDA TOTAL]])/Tabela2[[#This Row],[VENDA TOTAL]]-PARAMETROS!$C$19,"")</f>
        <v/>
      </c>
      <c r="AA1131" s="217">
        <f>SUM(Plan_Orc[[#This Row],[01/jan]:[01/dez]])</f>
        <v>0</v>
      </c>
      <c r="AB1131" s="202"/>
      <c r="AC1131" s="202"/>
      <c r="AD1131" s="202"/>
      <c r="AE1131" s="202"/>
      <c r="AF1131" s="202"/>
      <c r="AG1131" s="202"/>
      <c r="AH1131" s="202"/>
      <c r="AI1131" s="202"/>
      <c r="AJ1131" s="202"/>
      <c r="AK1131" s="202"/>
      <c r="AL1131" s="202"/>
      <c r="AM1131" s="202"/>
    </row>
    <row r="1132" spans="2:39" ht="25.2" customHeight="1" x14ac:dyDescent="0.3">
      <c r="B1132" s="13" t="str">
        <f t="shared" si="21"/>
        <v/>
      </c>
      <c r="C1132" s="18"/>
      <c r="D1132" s="19" t="str">
        <f>IF(Tabela2[[#This Row],[AGRUPADOR]]&lt;&gt;"",VLOOKUP(Tabela2[[#This Row],[AGRUPADOR]],Tabela1[],2,0),"")</f>
        <v/>
      </c>
      <c r="E1132" s="19" t="str">
        <f>IF(Tabela2[[#This Row],[AGRUPADOR]]&lt;&gt;"",VLOOKUP(Tabela2[[#This Row],[AGRUPADOR]],Tabela1[],4,0),"")</f>
        <v/>
      </c>
      <c r="F1132" s="14"/>
      <c r="G1132" s="6"/>
      <c r="H1132" s="6"/>
      <c r="I1132" s="25"/>
      <c r="J1132" s="7"/>
      <c r="K1132" s="15"/>
      <c r="L1132" s="379">
        <f>IF(H1132&lt;&gt;"",J1132*K1132,SUMIFS(L1133:L$9844,$F1133:$F$9844,"*"&amp;F1132&amp;"*",$H1133:$H$9844,"&lt;&gt;"))</f>
        <v>0</v>
      </c>
      <c r="M1132" s="379" t="str">
        <f>IF(Tabela2[[#This Row],[UNID.]]&lt;&gt;"",IFERROR(VLOOKUP(Tabela2[[#This Row],[AGRUPADOR]],Lucratividade!$D$4:$O$129,6,0),0),"")</f>
        <v/>
      </c>
      <c r="N1132" s="379">
        <f>IF(H1132&lt;&gt;"",J1132*M1132*I1132,SUMIFS(N1133:N$9844,$F1133:$F$9844,"*"&amp;F1132&amp;"*",$H1133:$H$9844,"&lt;&gt;"))</f>
        <v>0</v>
      </c>
      <c r="O1132" s="162" t="str">
        <f>IFERROR((-Tabela2[[#This Row],[CUSTO TOTAL]]+Tabela2[[#This Row],[VENDA TOTAL]])/Tabela2[[#This Row],[VENDA TOTAL]]-PARAMETROS!$C$19,"")</f>
        <v/>
      </c>
      <c r="AA1132" s="218">
        <f>SUM(Plan_Orc[[#This Row],[01/jan]:[01/dez]])</f>
        <v>0</v>
      </c>
      <c r="AB1132" s="12"/>
      <c r="AC1132" s="12"/>
      <c r="AD1132" s="12"/>
      <c r="AE1132" s="12"/>
      <c r="AF1132" s="12"/>
      <c r="AG1132" s="12"/>
      <c r="AH1132" s="12"/>
      <c r="AI1132" s="12"/>
      <c r="AJ1132" s="12"/>
      <c r="AK1132" s="12"/>
      <c r="AL1132" s="12"/>
      <c r="AM1132" s="12"/>
    </row>
    <row r="1133" spans="2:39" ht="25.2" customHeight="1" x14ac:dyDescent="0.3">
      <c r="B1133" s="13" t="str">
        <f t="shared" si="21"/>
        <v/>
      </c>
      <c r="C1133" s="18"/>
      <c r="D1133" s="19" t="str">
        <f>IF(Tabela2[[#This Row],[AGRUPADOR]]&lt;&gt;"",VLOOKUP(Tabela2[[#This Row],[AGRUPADOR]],Tabela1[],2,0),"")</f>
        <v/>
      </c>
      <c r="E1133" s="19" t="str">
        <f>IF(Tabela2[[#This Row],[AGRUPADOR]]&lt;&gt;"",VLOOKUP(Tabela2[[#This Row],[AGRUPADOR]],Tabela1[],4,0),"")</f>
        <v/>
      </c>
      <c r="F1133" s="14"/>
      <c r="G1133" s="6"/>
      <c r="H1133" s="6"/>
      <c r="I1133" s="25"/>
      <c r="J1133" s="7"/>
      <c r="K1133" s="15"/>
      <c r="L1133" s="379">
        <f>IF(H1133&lt;&gt;"",J1133*K1133,SUMIFS(L1134:L$9844,$F1134:$F$9844,"*"&amp;F1133&amp;"*",$H1134:$H$9844,"&lt;&gt;"))</f>
        <v>0</v>
      </c>
      <c r="M1133" s="379" t="str">
        <f>IF(Tabela2[[#This Row],[UNID.]]&lt;&gt;"",IFERROR(VLOOKUP(Tabela2[[#This Row],[AGRUPADOR]],Lucratividade!$D$4:$O$129,6,0),0),"")</f>
        <v/>
      </c>
      <c r="N1133" s="379">
        <f>IF(H1133&lt;&gt;"",J1133*M1133*I1133,SUMIFS(N1134:N$9844,$F1134:$F$9844,"*"&amp;F1133&amp;"*",$H1134:$H$9844,"&lt;&gt;"))</f>
        <v>0</v>
      </c>
      <c r="O1133" s="162" t="str">
        <f>IFERROR((-Tabela2[[#This Row],[CUSTO TOTAL]]+Tabela2[[#This Row],[VENDA TOTAL]])/Tabela2[[#This Row],[VENDA TOTAL]]-PARAMETROS!$C$19,"")</f>
        <v/>
      </c>
      <c r="AA1133" s="219">
        <f>SUM(Plan_Orc[[#This Row],[01/jan]:[01/dez]])</f>
        <v>0</v>
      </c>
      <c r="AB1133" s="15"/>
      <c r="AC1133" s="15"/>
      <c r="AD1133" s="15"/>
      <c r="AE1133" s="15"/>
      <c r="AF1133" s="15"/>
      <c r="AG1133" s="15"/>
      <c r="AH1133" s="15"/>
      <c r="AI1133" s="15"/>
      <c r="AJ1133" s="15"/>
      <c r="AK1133" s="15"/>
      <c r="AL1133" s="15"/>
      <c r="AM1133" s="15"/>
    </row>
    <row r="1134" spans="2:39" ht="25.2" customHeight="1" x14ac:dyDescent="0.3">
      <c r="B1134" s="13" t="str">
        <f t="shared" si="21"/>
        <v/>
      </c>
      <c r="C1134" s="18"/>
      <c r="D1134" s="19" t="str">
        <f>IF(Tabela2[[#This Row],[AGRUPADOR]]&lt;&gt;"",VLOOKUP(Tabela2[[#This Row],[AGRUPADOR]],Tabela1[],2,0),"")</f>
        <v/>
      </c>
      <c r="E1134" s="19" t="str">
        <f>IF(Tabela2[[#This Row],[AGRUPADOR]]&lt;&gt;"",VLOOKUP(Tabela2[[#This Row],[AGRUPADOR]],Tabela1[],4,0),"")</f>
        <v/>
      </c>
      <c r="F1134" s="14"/>
      <c r="G1134" s="6"/>
      <c r="H1134" s="6"/>
      <c r="I1134" s="25"/>
      <c r="J1134" s="7"/>
      <c r="K1134" s="15"/>
      <c r="L1134" s="379">
        <f>IF(H1134&lt;&gt;"",J1134*K1134,SUMIFS(L1135:L$9844,$F1135:$F$9844,"*"&amp;F1134&amp;"*",$H1135:$H$9844,"&lt;&gt;"))</f>
        <v>0</v>
      </c>
      <c r="M1134" s="379" t="str">
        <f>IF(Tabela2[[#This Row],[UNID.]]&lt;&gt;"",IFERROR(VLOOKUP(Tabela2[[#This Row],[AGRUPADOR]],Lucratividade!$D$4:$O$129,6,0),0),"")</f>
        <v/>
      </c>
      <c r="N1134" s="379">
        <f>IF(H1134&lt;&gt;"",J1134*M1134*I1134,SUMIFS(N1135:N$9844,$F1135:$F$9844,"*"&amp;F1134&amp;"*",$H1135:$H$9844,"&lt;&gt;"))</f>
        <v>0</v>
      </c>
      <c r="O1134" s="162" t="str">
        <f>IFERROR((-Tabela2[[#This Row],[CUSTO TOTAL]]+Tabela2[[#This Row],[VENDA TOTAL]])/Tabela2[[#This Row],[VENDA TOTAL]]-PARAMETROS!$C$19,"")</f>
        <v/>
      </c>
      <c r="AA1134" s="217">
        <f>SUM(Plan_Orc[[#This Row],[01/jan]:[01/dez]])</f>
        <v>0</v>
      </c>
      <c r="AB1134" s="202"/>
      <c r="AC1134" s="202"/>
      <c r="AD1134" s="202"/>
      <c r="AE1134" s="202"/>
      <c r="AF1134" s="202"/>
      <c r="AG1134" s="202"/>
      <c r="AH1134" s="202"/>
      <c r="AI1134" s="202"/>
      <c r="AJ1134" s="202"/>
      <c r="AK1134" s="202"/>
      <c r="AL1134" s="202"/>
      <c r="AM1134" s="202"/>
    </row>
    <row r="1135" spans="2:39" ht="25.2" customHeight="1" x14ac:dyDescent="0.3">
      <c r="B1135" s="13" t="str">
        <f t="shared" si="21"/>
        <v/>
      </c>
      <c r="C1135" s="18"/>
      <c r="D1135" s="19" t="str">
        <f>IF(Tabela2[[#This Row],[AGRUPADOR]]&lt;&gt;"",VLOOKUP(Tabela2[[#This Row],[AGRUPADOR]],Tabela1[],2,0),"")</f>
        <v/>
      </c>
      <c r="E1135" s="19" t="str">
        <f>IF(Tabela2[[#This Row],[AGRUPADOR]]&lt;&gt;"",VLOOKUP(Tabela2[[#This Row],[AGRUPADOR]],Tabela1[],4,0),"")</f>
        <v/>
      </c>
      <c r="F1135" s="14"/>
      <c r="G1135" s="6"/>
      <c r="H1135" s="6"/>
      <c r="I1135" s="25"/>
      <c r="J1135" s="7"/>
      <c r="K1135" s="15"/>
      <c r="L1135" s="379">
        <f>IF(H1135&lt;&gt;"",J1135*K1135,SUMIFS(L1136:L$9844,$F1136:$F$9844,"*"&amp;F1135&amp;"*",$H1136:$H$9844,"&lt;&gt;"))</f>
        <v>0</v>
      </c>
      <c r="M1135" s="379" t="str">
        <f>IF(Tabela2[[#This Row],[UNID.]]&lt;&gt;"",IFERROR(VLOOKUP(Tabela2[[#This Row],[AGRUPADOR]],Lucratividade!$D$4:$O$129,6,0),0),"")</f>
        <v/>
      </c>
      <c r="N1135" s="379">
        <f>IF(H1135&lt;&gt;"",J1135*M1135*I1135,SUMIFS(N1136:N$9844,$F1136:$F$9844,"*"&amp;F1135&amp;"*",$H1136:$H$9844,"&lt;&gt;"))</f>
        <v>0</v>
      </c>
      <c r="O1135" s="162" t="str">
        <f>IFERROR((-Tabela2[[#This Row],[CUSTO TOTAL]]+Tabela2[[#This Row],[VENDA TOTAL]])/Tabela2[[#This Row],[VENDA TOTAL]]-PARAMETROS!$C$19,"")</f>
        <v/>
      </c>
      <c r="AA1135" s="218">
        <f>SUM(Plan_Orc[[#This Row],[01/jan]:[01/dez]])</f>
        <v>0</v>
      </c>
      <c r="AB1135" s="12"/>
      <c r="AC1135" s="12"/>
      <c r="AD1135" s="12"/>
      <c r="AE1135" s="12"/>
      <c r="AF1135" s="12"/>
      <c r="AG1135" s="12"/>
      <c r="AH1135" s="12"/>
      <c r="AI1135" s="12"/>
      <c r="AJ1135" s="12"/>
      <c r="AK1135" s="12"/>
      <c r="AL1135" s="12"/>
      <c r="AM1135" s="12"/>
    </row>
    <row r="1136" spans="2:39" ht="25.2" customHeight="1" x14ac:dyDescent="0.3">
      <c r="B1136" s="13" t="str">
        <f t="shared" si="21"/>
        <v/>
      </c>
      <c r="C1136" s="18"/>
      <c r="D1136" s="19" t="str">
        <f>IF(Tabela2[[#This Row],[AGRUPADOR]]&lt;&gt;"",VLOOKUP(Tabela2[[#This Row],[AGRUPADOR]],Tabela1[],2,0),"")</f>
        <v/>
      </c>
      <c r="E1136" s="19" t="str">
        <f>IF(Tabela2[[#This Row],[AGRUPADOR]]&lt;&gt;"",VLOOKUP(Tabela2[[#This Row],[AGRUPADOR]],Tabela1[],4,0),"")</f>
        <v/>
      </c>
      <c r="F1136" s="14"/>
      <c r="G1136" s="6"/>
      <c r="H1136" s="6"/>
      <c r="I1136" s="25"/>
      <c r="J1136" s="7"/>
      <c r="K1136" s="15"/>
      <c r="L1136" s="379">
        <f>IF(H1136&lt;&gt;"",J1136*K1136,SUMIFS(L1137:L$9844,$F1137:$F$9844,"*"&amp;F1136&amp;"*",$H1137:$H$9844,"&lt;&gt;"))</f>
        <v>0</v>
      </c>
      <c r="M1136" s="379" t="str">
        <f>IF(Tabela2[[#This Row],[UNID.]]&lt;&gt;"",IFERROR(VLOOKUP(Tabela2[[#This Row],[AGRUPADOR]],Lucratividade!$D$4:$O$129,6,0),0),"")</f>
        <v/>
      </c>
      <c r="N1136" s="379">
        <f>IF(H1136&lt;&gt;"",J1136*M1136*I1136,SUMIFS(N1137:N$9844,$F1137:$F$9844,"*"&amp;F1136&amp;"*",$H1137:$H$9844,"&lt;&gt;"))</f>
        <v>0</v>
      </c>
      <c r="O1136" s="162" t="str">
        <f>IFERROR((-Tabela2[[#This Row],[CUSTO TOTAL]]+Tabela2[[#This Row],[VENDA TOTAL]])/Tabela2[[#This Row],[VENDA TOTAL]]-PARAMETROS!$C$19,"")</f>
        <v/>
      </c>
      <c r="AA1136" s="219">
        <f>SUM(Plan_Orc[[#This Row],[01/jan]:[01/dez]])</f>
        <v>0</v>
      </c>
      <c r="AB1136" s="15"/>
      <c r="AC1136" s="15"/>
      <c r="AD1136" s="15"/>
      <c r="AE1136" s="15"/>
      <c r="AF1136" s="15"/>
      <c r="AG1136" s="15"/>
      <c r="AH1136" s="15"/>
      <c r="AI1136" s="15"/>
      <c r="AJ1136" s="15"/>
      <c r="AK1136" s="15"/>
      <c r="AL1136" s="15"/>
      <c r="AM1136" s="15"/>
    </row>
    <row r="1137" spans="2:39" ht="25.2" customHeight="1" x14ac:dyDescent="0.3">
      <c r="B1137" s="13" t="str">
        <f t="shared" si="21"/>
        <v/>
      </c>
      <c r="C1137" s="18"/>
      <c r="D1137" s="19" t="str">
        <f>IF(Tabela2[[#This Row],[AGRUPADOR]]&lt;&gt;"",VLOOKUP(Tabela2[[#This Row],[AGRUPADOR]],Tabela1[],2,0),"")</f>
        <v/>
      </c>
      <c r="E1137" s="19" t="str">
        <f>IF(Tabela2[[#This Row],[AGRUPADOR]]&lt;&gt;"",VLOOKUP(Tabela2[[#This Row],[AGRUPADOR]],Tabela1[],4,0),"")</f>
        <v/>
      </c>
      <c r="F1137" s="14"/>
      <c r="G1137" s="6"/>
      <c r="H1137" s="6"/>
      <c r="I1137" s="25"/>
      <c r="J1137" s="7"/>
      <c r="K1137" s="15"/>
      <c r="L1137" s="379">
        <f>IF(H1137&lt;&gt;"",J1137*K1137,SUMIFS(L1138:L$9844,$F1138:$F$9844,"*"&amp;F1137&amp;"*",$H1138:$H$9844,"&lt;&gt;"))</f>
        <v>0</v>
      </c>
      <c r="M1137" s="379" t="str">
        <f>IF(Tabela2[[#This Row],[UNID.]]&lt;&gt;"",IFERROR(VLOOKUP(Tabela2[[#This Row],[AGRUPADOR]],Lucratividade!$D$4:$O$129,6,0),0),"")</f>
        <v/>
      </c>
      <c r="N1137" s="379">
        <f>IF(H1137&lt;&gt;"",J1137*M1137*I1137,SUMIFS(N1138:N$9844,$F1138:$F$9844,"*"&amp;F1137&amp;"*",$H1138:$H$9844,"&lt;&gt;"))</f>
        <v>0</v>
      </c>
      <c r="O1137" s="162" t="str">
        <f>IFERROR((-Tabela2[[#This Row],[CUSTO TOTAL]]+Tabela2[[#This Row],[VENDA TOTAL]])/Tabela2[[#This Row],[VENDA TOTAL]]-PARAMETROS!$C$19,"")</f>
        <v/>
      </c>
      <c r="AA1137" s="219">
        <f>SUM(Plan_Orc[[#This Row],[01/jan]:[01/dez]])</f>
        <v>0</v>
      </c>
      <c r="AB1137" s="15"/>
      <c r="AC1137" s="15"/>
      <c r="AD1137" s="15"/>
      <c r="AE1137" s="15"/>
      <c r="AF1137" s="15"/>
      <c r="AG1137" s="15"/>
      <c r="AH1137" s="15"/>
      <c r="AI1137" s="15"/>
      <c r="AJ1137" s="15"/>
      <c r="AK1137" s="15"/>
      <c r="AL1137" s="15"/>
      <c r="AM1137" s="15"/>
    </row>
    <row r="1138" spans="2:39" ht="25.2" customHeight="1" x14ac:dyDescent="0.3">
      <c r="B1138" s="13" t="str">
        <f t="shared" si="21"/>
        <v/>
      </c>
      <c r="C1138" s="18"/>
      <c r="D1138" s="19" t="str">
        <f>IF(Tabela2[[#This Row],[AGRUPADOR]]&lt;&gt;"",VLOOKUP(Tabela2[[#This Row],[AGRUPADOR]],Tabela1[],2,0),"")</f>
        <v/>
      </c>
      <c r="E1138" s="19" t="str">
        <f>IF(Tabela2[[#This Row],[AGRUPADOR]]&lt;&gt;"",VLOOKUP(Tabela2[[#This Row],[AGRUPADOR]],Tabela1[],4,0),"")</f>
        <v/>
      </c>
      <c r="F1138" s="14"/>
      <c r="G1138" s="6"/>
      <c r="H1138" s="6"/>
      <c r="I1138" s="25"/>
      <c r="J1138" s="7"/>
      <c r="K1138" s="15"/>
      <c r="L1138" s="379">
        <f>IF(H1138&lt;&gt;"",J1138*K1138,SUMIFS(L1139:L$9844,$F1139:$F$9844,"*"&amp;F1138&amp;"*",$H1139:$H$9844,"&lt;&gt;"))</f>
        <v>0</v>
      </c>
      <c r="M1138" s="379" t="str">
        <f>IF(Tabela2[[#This Row],[UNID.]]&lt;&gt;"",IFERROR(VLOOKUP(Tabela2[[#This Row],[AGRUPADOR]],Lucratividade!$D$4:$O$129,6,0),0),"")</f>
        <v/>
      </c>
      <c r="N1138" s="379">
        <f>IF(H1138&lt;&gt;"",J1138*M1138*I1138,SUMIFS(N1139:N$9844,$F1139:$F$9844,"*"&amp;F1138&amp;"*",$H1139:$H$9844,"&lt;&gt;"))</f>
        <v>0</v>
      </c>
      <c r="O1138" s="162" t="str">
        <f>IFERROR((-Tabela2[[#This Row],[CUSTO TOTAL]]+Tabela2[[#This Row],[VENDA TOTAL]])/Tabela2[[#This Row],[VENDA TOTAL]]-PARAMETROS!$C$19,"")</f>
        <v/>
      </c>
      <c r="AA1138" s="219">
        <f>SUM(Plan_Orc[[#This Row],[01/jan]:[01/dez]])</f>
        <v>0</v>
      </c>
      <c r="AB1138" s="15"/>
      <c r="AC1138" s="15"/>
      <c r="AD1138" s="15"/>
      <c r="AE1138" s="15"/>
      <c r="AF1138" s="15"/>
      <c r="AG1138" s="15"/>
      <c r="AH1138" s="15"/>
      <c r="AI1138" s="15"/>
      <c r="AJ1138" s="15"/>
      <c r="AK1138" s="15"/>
      <c r="AL1138" s="15"/>
      <c r="AM1138" s="15"/>
    </row>
    <row r="1139" spans="2:39" ht="25.2" customHeight="1" x14ac:dyDescent="0.3">
      <c r="B1139" s="13" t="str">
        <f t="shared" si="21"/>
        <v/>
      </c>
      <c r="C1139" s="18"/>
      <c r="D1139" s="19" t="str">
        <f>IF(Tabela2[[#This Row],[AGRUPADOR]]&lt;&gt;"",VLOOKUP(Tabela2[[#This Row],[AGRUPADOR]],Tabela1[],2,0),"")</f>
        <v/>
      </c>
      <c r="E1139" s="19" t="str">
        <f>IF(Tabela2[[#This Row],[AGRUPADOR]]&lt;&gt;"",VLOOKUP(Tabela2[[#This Row],[AGRUPADOR]],Tabela1[],4,0),"")</f>
        <v/>
      </c>
      <c r="F1139" s="14"/>
      <c r="G1139" s="6"/>
      <c r="H1139" s="6"/>
      <c r="I1139" s="25"/>
      <c r="J1139" s="7"/>
      <c r="K1139" s="15"/>
      <c r="L1139" s="379">
        <f>IF(H1139&lt;&gt;"",J1139*K1139,SUMIFS(L1140:L$9844,$F1140:$F$9844,"*"&amp;F1139&amp;"*",$H1140:$H$9844,"&lt;&gt;"))</f>
        <v>0</v>
      </c>
      <c r="M1139" s="379" t="str">
        <f>IF(Tabela2[[#This Row],[UNID.]]&lt;&gt;"",IFERROR(VLOOKUP(Tabela2[[#This Row],[AGRUPADOR]],Lucratividade!$D$4:$O$129,6,0),0),"")</f>
        <v/>
      </c>
      <c r="N1139" s="379">
        <f>IF(H1139&lt;&gt;"",J1139*M1139*I1139,SUMIFS(N1140:N$9844,$F1140:$F$9844,"*"&amp;F1139&amp;"*",$H1140:$H$9844,"&lt;&gt;"))</f>
        <v>0</v>
      </c>
      <c r="O1139" s="162" t="str">
        <f>IFERROR((-Tabela2[[#This Row],[CUSTO TOTAL]]+Tabela2[[#This Row],[VENDA TOTAL]])/Tabela2[[#This Row],[VENDA TOTAL]]-PARAMETROS!$C$19,"")</f>
        <v/>
      </c>
      <c r="AA1139" s="219">
        <f>SUM(Plan_Orc[[#This Row],[01/jan]:[01/dez]])</f>
        <v>0</v>
      </c>
      <c r="AB1139" s="15"/>
      <c r="AC1139" s="15"/>
      <c r="AD1139" s="15"/>
      <c r="AE1139" s="15"/>
      <c r="AF1139" s="15"/>
      <c r="AG1139" s="15"/>
      <c r="AH1139" s="15"/>
      <c r="AI1139" s="15"/>
      <c r="AJ1139" s="15"/>
      <c r="AK1139" s="15"/>
      <c r="AL1139" s="15"/>
      <c r="AM1139" s="15"/>
    </row>
    <row r="1140" spans="2:39" ht="25.2" customHeight="1" x14ac:dyDescent="0.3">
      <c r="B1140" s="13" t="str">
        <f t="shared" si="21"/>
        <v/>
      </c>
      <c r="C1140" s="18"/>
      <c r="D1140" s="19" t="str">
        <f>IF(Tabela2[[#This Row],[AGRUPADOR]]&lt;&gt;"",VLOOKUP(Tabela2[[#This Row],[AGRUPADOR]],Tabela1[],2,0),"")</f>
        <v/>
      </c>
      <c r="E1140" s="19" t="str">
        <f>IF(Tabela2[[#This Row],[AGRUPADOR]]&lt;&gt;"",VLOOKUP(Tabela2[[#This Row],[AGRUPADOR]],Tabela1[],4,0),"")</f>
        <v/>
      </c>
      <c r="F1140" s="14"/>
      <c r="G1140" s="6"/>
      <c r="H1140" s="6"/>
      <c r="I1140" s="25"/>
      <c r="J1140" s="7"/>
      <c r="K1140" s="15"/>
      <c r="L1140" s="379">
        <f>IF(H1140&lt;&gt;"",J1140*K1140,SUMIFS(L1141:L$9844,$F1141:$F$9844,"*"&amp;F1140&amp;"*",$H1141:$H$9844,"&lt;&gt;"))</f>
        <v>0</v>
      </c>
      <c r="M1140" s="379" t="str">
        <f>IF(Tabela2[[#This Row],[UNID.]]&lt;&gt;"",IFERROR(VLOOKUP(Tabela2[[#This Row],[AGRUPADOR]],Lucratividade!$D$4:$O$129,6,0),0),"")</f>
        <v/>
      </c>
      <c r="N1140" s="379">
        <f>IF(H1140&lt;&gt;"",J1140*M1140*I1140,SUMIFS(N1141:N$9844,$F1141:$F$9844,"*"&amp;F1140&amp;"*",$H1141:$H$9844,"&lt;&gt;"))</f>
        <v>0</v>
      </c>
      <c r="O1140" s="162" t="str">
        <f>IFERROR((-Tabela2[[#This Row],[CUSTO TOTAL]]+Tabela2[[#This Row],[VENDA TOTAL]])/Tabela2[[#This Row],[VENDA TOTAL]]-PARAMETROS!$C$19,"")</f>
        <v/>
      </c>
      <c r="AA1140" s="219">
        <f>SUM(Plan_Orc[[#This Row],[01/jan]:[01/dez]])</f>
        <v>0</v>
      </c>
      <c r="AB1140" s="15"/>
      <c r="AC1140" s="15"/>
      <c r="AD1140" s="15"/>
      <c r="AE1140" s="15"/>
      <c r="AF1140" s="15"/>
      <c r="AG1140" s="15"/>
      <c r="AH1140" s="15"/>
      <c r="AI1140" s="15"/>
      <c r="AJ1140" s="15"/>
      <c r="AK1140" s="15"/>
      <c r="AL1140" s="15"/>
      <c r="AM1140" s="15"/>
    </row>
    <row r="1141" spans="2:39" ht="25.2" customHeight="1" x14ac:dyDescent="0.3">
      <c r="B1141" s="13" t="str">
        <f t="shared" si="21"/>
        <v/>
      </c>
      <c r="C1141" s="18"/>
      <c r="D1141" s="19" t="str">
        <f>IF(Tabela2[[#This Row],[AGRUPADOR]]&lt;&gt;"",VLOOKUP(Tabela2[[#This Row],[AGRUPADOR]],Tabela1[],2,0),"")</f>
        <v/>
      </c>
      <c r="E1141" s="19" t="str">
        <f>IF(Tabela2[[#This Row],[AGRUPADOR]]&lt;&gt;"",VLOOKUP(Tabela2[[#This Row],[AGRUPADOR]],Tabela1[],4,0),"")</f>
        <v/>
      </c>
      <c r="F1141" s="14"/>
      <c r="G1141" s="6"/>
      <c r="H1141" s="6"/>
      <c r="I1141" s="25"/>
      <c r="J1141" s="7"/>
      <c r="K1141" s="15"/>
      <c r="L1141" s="379">
        <f>IF(H1141&lt;&gt;"",J1141*K1141,SUMIFS(L1142:L$9844,$F1142:$F$9844,"*"&amp;F1141&amp;"*",$H1142:$H$9844,"&lt;&gt;"))</f>
        <v>0</v>
      </c>
      <c r="M1141" s="379" t="str">
        <f>IF(Tabela2[[#This Row],[UNID.]]&lt;&gt;"",IFERROR(VLOOKUP(Tabela2[[#This Row],[AGRUPADOR]],Lucratividade!$D$4:$O$129,6,0),0),"")</f>
        <v/>
      </c>
      <c r="N1141" s="379">
        <f>IF(H1141&lt;&gt;"",J1141*M1141*I1141,SUMIFS(N1142:N$9844,$F1142:$F$9844,"*"&amp;F1141&amp;"*",$H1142:$H$9844,"&lt;&gt;"))</f>
        <v>0</v>
      </c>
      <c r="O1141" s="162" t="str">
        <f>IFERROR((-Tabela2[[#This Row],[CUSTO TOTAL]]+Tabela2[[#This Row],[VENDA TOTAL]])/Tabela2[[#This Row],[VENDA TOTAL]]-PARAMETROS!$C$19,"")</f>
        <v/>
      </c>
      <c r="AA1141" s="219">
        <f>SUM(Plan_Orc[[#This Row],[01/jan]:[01/dez]])</f>
        <v>0</v>
      </c>
      <c r="AB1141" s="15"/>
      <c r="AC1141" s="15"/>
      <c r="AD1141" s="15"/>
      <c r="AE1141" s="15"/>
      <c r="AF1141" s="15"/>
      <c r="AG1141" s="15"/>
      <c r="AH1141" s="15"/>
      <c r="AI1141" s="15"/>
      <c r="AJ1141" s="15"/>
      <c r="AK1141" s="15"/>
      <c r="AL1141" s="15"/>
      <c r="AM1141" s="15"/>
    </row>
    <row r="1142" spans="2:39" ht="25.2" customHeight="1" x14ac:dyDescent="0.3">
      <c r="B1142" s="13" t="str">
        <f t="shared" si="21"/>
        <v/>
      </c>
      <c r="C1142" s="18"/>
      <c r="D1142" s="19" t="str">
        <f>IF(Tabela2[[#This Row],[AGRUPADOR]]&lt;&gt;"",VLOOKUP(Tabela2[[#This Row],[AGRUPADOR]],Tabela1[],2,0),"")</f>
        <v/>
      </c>
      <c r="E1142" s="19" t="str">
        <f>IF(Tabela2[[#This Row],[AGRUPADOR]]&lt;&gt;"",VLOOKUP(Tabela2[[#This Row],[AGRUPADOR]],Tabela1[],4,0),"")</f>
        <v/>
      </c>
      <c r="F1142" s="14"/>
      <c r="G1142" s="6"/>
      <c r="H1142" s="6"/>
      <c r="I1142" s="25"/>
      <c r="J1142" s="7"/>
      <c r="K1142" s="15"/>
      <c r="L1142" s="379">
        <f>IF(H1142&lt;&gt;"",J1142*K1142,SUMIFS(L1143:L$9844,$F1143:$F$9844,"*"&amp;F1142&amp;"*",$H1143:$H$9844,"&lt;&gt;"))</f>
        <v>0</v>
      </c>
      <c r="M1142" s="379" t="str">
        <f>IF(Tabela2[[#This Row],[UNID.]]&lt;&gt;"",IFERROR(VLOOKUP(Tabela2[[#This Row],[AGRUPADOR]],Lucratividade!$D$4:$O$129,6,0),0),"")</f>
        <v/>
      </c>
      <c r="N1142" s="379">
        <f>IF(H1142&lt;&gt;"",J1142*M1142*I1142,SUMIFS(N1143:N$9844,$F1143:$F$9844,"*"&amp;F1142&amp;"*",$H1143:$H$9844,"&lt;&gt;"))</f>
        <v>0</v>
      </c>
      <c r="O1142" s="162" t="str">
        <f>IFERROR((-Tabela2[[#This Row],[CUSTO TOTAL]]+Tabela2[[#This Row],[VENDA TOTAL]])/Tabela2[[#This Row],[VENDA TOTAL]]-PARAMETROS!$C$19,"")</f>
        <v/>
      </c>
      <c r="AA1142" s="219">
        <f>SUM(Plan_Orc[[#This Row],[01/jan]:[01/dez]])</f>
        <v>0</v>
      </c>
      <c r="AB1142" s="15"/>
      <c r="AC1142" s="15"/>
      <c r="AD1142" s="15"/>
      <c r="AE1142" s="15"/>
      <c r="AF1142" s="15"/>
      <c r="AG1142" s="15"/>
      <c r="AH1142" s="15"/>
      <c r="AI1142" s="15"/>
      <c r="AJ1142" s="15"/>
      <c r="AK1142" s="15"/>
      <c r="AL1142" s="15"/>
      <c r="AM1142" s="15"/>
    </row>
    <row r="1143" spans="2:39" ht="25.2" customHeight="1" x14ac:dyDescent="0.3">
      <c r="B1143" s="13" t="str">
        <f t="shared" si="21"/>
        <v/>
      </c>
      <c r="C1143" s="18"/>
      <c r="D1143" s="19" t="str">
        <f>IF(Tabela2[[#This Row],[AGRUPADOR]]&lt;&gt;"",VLOOKUP(Tabela2[[#This Row],[AGRUPADOR]],Tabela1[],2,0),"")</f>
        <v/>
      </c>
      <c r="E1143" s="19" t="str">
        <f>IF(Tabela2[[#This Row],[AGRUPADOR]]&lt;&gt;"",VLOOKUP(Tabela2[[#This Row],[AGRUPADOR]],Tabela1[],4,0),"")</f>
        <v/>
      </c>
      <c r="F1143" s="14"/>
      <c r="G1143" s="6"/>
      <c r="H1143" s="6"/>
      <c r="I1143" s="25"/>
      <c r="J1143" s="7"/>
      <c r="K1143" s="15"/>
      <c r="L1143" s="379">
        <f>IF(H1143&lt;&gt;"",J1143*K1143,SUMIFS(L1144:L$9844,$F1144:$F$9844,"*"&amp;F1143&amp;"*",$H1144:$H$9844,"&lt;&gt;"))</f>
        <v>0</v>
      </c>
      <c r="M1143" s="379" t="str">
        <f>IF(Tabela2[[#This Row],[UNID.]]&lt;&gt;"",IFERROR(VLOOKUP(Tabela2[[#This Row],[AGRUPADOR]],Lucratividade!$D$4:$O$129,6,0),0),"")</f>
        <v/>
      </c>
      <c r="N1143" s="379">
        <f>IF(H1143&lt;&gt;"",J1143*M1143*I1143,SUMIFS(N1144:N$9844,$F1144:$F$9844,"*"&amp;F1143&amp;"*",$H1144:$H$9844,"&lt;&gt;"))</f>
        <v>0</v>
      </c>
      <c r="O1143" s="162" t="str">
        <f>IFERROR((-Tabela2[[#This Row],[CUSTO TOTAL]]+Tabela2[[#This Row],[VENDA TOTAL]])/Tabela2[[#This Row],[VENDA TOTAL]]-PARAMETROS!$C$19,"")</f>
        <v/>
      </c>
      <c r="AA1143" s="219">
        <f>SUM(Plan_Orc[[#This Row],[01/jan]:[01/dez]])</f>
        <v>0</v>
      </c>
      <c r="AB1143" s="15"/>
      <c r="AC1143" s="15"/>
      <c r="AD1143" s="15"/>
      <c r="AE1143" s="15"/>
      <c r="AF1143" s="15"/>
      <c r="AG1143" s="15"/>
      <c r="AH1143" s="15"/>
      <c r="AI1143" s="15"/>
      <c r="AJ1143" s="15"/>
      <c r="AK1143" s="15"/>
      <c r="AL1143" s="15"/>
      <c r="AM1143" s="15"/>
    </row>
    <row r="1144" spans="2:39" ht="25.2" customHeight="1" x14ac:dyDescent="0.3">
      <c r="B1144" s="13" t="str">
        <f t="shared" si="21"/>
        <v/>
      </c>
      <c r="C1144" s="18"/>
      <c r="D1144" s="19" t="str">
        <f>IF(Tabela2[[#This Row],[AGRUPADOR]]&lt;&gt;"",VLOOKUP(Tabela2[[#This Row],[AGRUPADOR]],Tabela1[],2,0),"")</f>
        <v/>
      </c>
      <c r="E1144" s="19" t="str">
        <f>IF(Tabela2[[#This Row],[AGRUPADOR]]&lt;&gt;"",VLOOKUP(Tabela2[[#This Row],[AGRUPADOR]],Tabela1[],4,0),"")</f>
        <v/>
      </c>
      <c r="F1144" s="14"/>
      <c r="G1144" s="6"/>
      <c r="H1144" s="6"/>
      <c r="I1144" s="25"/>
      <c r="J1144" s="7"/>
      <c r="K1144" s="15"/>
      <c r="L1144" s="379">
        <f>IF(H1144&lt;&gt;"",J1144*K1144,SUMIFS(L1145:L$9844,$F1145:$F$9844,"*"&amp;F1144&amp;"*",$H1145:$H$9844,"&lt;&gt;"))</f>
        <v>0</v>
      </c>
      <c r="M1144" s="379" t="str">
        <f>IF(Tabela2[[#This Row],[UNID.]]&lt;&gt;"",IFERROR(VLOOKUP(Tabela2[[#This Row],[AGRUPADOR]],Lucratividade!$D$4:$O$129,6,0),0),"")</f>
        <v/>
      </c>
      <c r="N1144" s="379">
        <f>IF(H1144&lt;&gt;"",J1144*M1144*I1144,SUMIFS(N1145:N$9844,$F1145:$F$9844,"*"&amp;F1144&amp;"*",$H1145:$H$9844,"&lt;&gt;"))</f>
        <v>0</v>
      </c>
      <c r="O1144" s="162" t="str">
        <f>IFERROR((-Tabela2[[#This Row],[CUSTO TOTAL]]+Tabela2[[#This Row],[VENDA TOTAL]])/Tabela2[[#This Row],[VENDA TOTAL]]-PARAMETROS!$C$19,"")</f>
        <v/>
      </c>
      <c r="AA1144" s="219">
        <f>SUM(Plan_Orc[[#This Row],[01/jan]:[01/dez]])</f>
        <v>0</v>
      </c>
      <c r="AB1144" s="15"/>
      <c r="AC1144" s="15"/>
      <c r="AD1144" s="15"/>
      <c r="AE1144" s="15"/>
      <c r="AF1144" s="15"/>
      <c r="AG1144" s="15"/>
      <c r="AH1144" s="15"/>
      <c r="AI1144" s="15"/>
      <c r="AJ1144" s="15"/>
      <c r="AK1144" s="15"/>
      <c r="AL1144" s="15"/>
      <c r="AM1144" s="15"/>
    </row>
    <row r="1145" spans="2:39" ht="25.2" customHeight="1" x14ac:dyDescent="0.3">
      <c r="B1145" s="13" t="str">
        <f t="shared" si="21"/>
        <v/>
      </c>
      <c r="C1145" s="18"/>
      <c r="D1145" s="19" t="str">
        <f>IF(Tabela2[[#This Row],[AGRUPADOR]]&lt;&gt;"",VLOOKUP(Tabela2[[#This Row],[AGRUPADOR]],Tabela1[],2,0),"")</f>
        <v/>
      </c>
      <c r="E1145" s="19" t="str">
        <f>IF(Tabela2[[#This Row],[AGRUPADOR]]&lt;&gt;"",VLOOKUP(Tabela2[[#This Row],[AGRUPADOR]],Tabela1[],4,0),"")</f>
        <v/>
      </c>
      <c r="F1145" s="14"/>
      <c r="G1145" s="6"/>
      <c r="H1145" s="6"/>
      <c r="I1145" s="25"/>
      <c r="J1145" s="7"/>
      <c r="K1145" s="15"/>
      <c r="L1145" s="379">
        <f>IF(H1145&lt;&gt;"",J1145*K1145,SUMIFS(L1146:L$9844,$F1146:$F$9844,"*"&amp;F1145&amp;"*",$H1146:$H$9844,"&lt;&gt;"))</f>
        <v>0</v>
      </c>
      <c r="M1145" s="379" t="str">
        <f>IF(Tabela2[[#This Row],[UNID.]]&lt;&gt;"",IFERROR(VLOOKUP(Tabela2[[#This Row],[AGRUPADOR]],Lucratividade!$D$4:$O$129,6,0),0),"")</f>
        <v/>
      </c>
      <c r="N1145" s="379">
        <f>IF(H1145&lt;&gt;"",J1145*M1145*I1145,SUMIFS(N1146:N$9844,$F1146:$F$9844,"*"&amp;F1145&amp;"*",$H1146:$H$9844,"&lt;&gt;"))</f>
        <v>0</v>
      </c>
      <c r="O1145" s="162" t="str">
        <f>IFERROR((-Tabela2[[#This Row],[CUSTO TOTAL]]+Tabela2[[#This Row],[VENDA TOTAL]])/Tabela2[[#This Row],[VENDA TOTAL]]-PARAMETROS!$C$19,"")</f>
        <v/>
      </c>
      <c r="AA1145" s="219">
        <f>SUM(Plan_Orc[[#This Row],[01/jan]:[01/dez]])</f>
        <v>0</v>
      </c>
      <c r="AB1145" s="15"/>
      <c r="AC1145" s="15"/>
      <c r="AD1145" s="15"/>
      <c r="AE1145" s="15"/>
      <c r="AF1145" s="15"/>
      <c r="AG1145" s="15"/>
      <c r="AH1145" s="15"/>
      <c r="AI1145" s="15"/>
      <c r="AJ1145" s="15"/>
      <c r="AK1145" s="15"/>
      <c r="AL1145" s="15"/>
      <c r="AM1145" s="15"/>
    </row>
    <row r="1146" spans="2:39" ht="25.2" customHeight="1" x14ac:dyDescent="0.3">
      <c r="B1146" s="13" t="str">
        <f t="shared" si="21"/>
        <v/>
      </c>
      <c r="C1146" s="18"/>
      <c r="D1146" s="19" t="str">
        <f>IF(Tabela2[[#This Row],[AGRUPADOR]]&lt;&gt;"",VLOOKUP(Tabela2[[#This Row],[AGRUPADOR]],Tabela1[],2,0),"")</f>
        <v/>
      </c>
      <c r="E1146" s="19" t="str">
        <f>IF(Tabela2[[#This Row],[AGRUPADOR]]&lt;&gt;"",VLOOKUP(Tabela2[[#This Row],[AGRUPADOR]],Tabela1[],4,0),"")</f>
        <v/>
      </c>
      <c r="F1146" s="14"/>
      <c r="G1146" s="6"/>
      <c r="H1146" s="6"/>
      <c r="I1146" s="25"/>
      <c r="J1146" s="7"/>
      <c r="K1146" s="15"/>
      <c r="L1146" s="379">
        <f>IF(H1146&lt;&gt;"",J1146*K1146,SUMIFS(L1147:L$9844,$F1147:$F$9844,"*"&amp;F1146&amp;"*",$H1147:$H$9844,"&lt;&gt;"))</f>
        <v>0</v>
      </c>
      <c r="M1146" s="379" t="str">
        <f>IF(Tabela2[[#This Row],[UNID.]]&lt;&gt;"",IFERROR(VLOOKUP(Tabela2[[#This Row],[AGRUPADOR]],Lucratividade!$D$4:$O$129,6,0),0),"")</f>
        <v/>
      </c>
      <c r="N1146" s="379">
        <f>IF(H1146&lt;&gt;"",J1146*M1146*I1146,SUMIFS(N1147:N$9844,$F1147:$F$9844,"*"&amp;F1146&amp;"*",$H1147:$H$9844,"&lt;&gt;"))</f>
        <v>0</v>
      </c>
      <c r="O1146" s="162" t="str">
        <f>IFERROR((-Tabela2[[#This Row],[CUSTO TOTAL]]+Tabela2[[#This Row],[VENDA TOTAL]])/Tabela2[[#This Row],[VENDA TOTAL]]-PARAMETROS!$C$19,"")</f>
        <v/>
      </c>
      <c r="AA1146" s="219">
        <f>SUM(Plan_Orc[[#This Row],[01/jan]:[01/dez]])</f>
        <v>0</v>
      </c>
      <c r="AB1146" s="15"/>
      <c r="AC1146" s="15"/>
      <c r="AD1146" s="15"/>
      <c r="AE1146" s="15"/>
      <c r="AF1146" s="15"/>
      <c r="AG1146" s="15"/>
      <c r="AH1146" s="15"/>
      <c r="AI1146" s="15"/>
      <c r="AJ1146" s="15"/>
      <c r="AK1146" s="15"/>
      <c r="AL1146" s="15"/>
      <c r="AM1146" s="15"/>
    </row>
    <row r="1147" spans="2:39" ht="25.2" customHeight="1" x14ac:dyDescent="0.3">
      <c r="B1147" s="13" t="str">
        <f t="shared" si="21"/>
        <v/>
      </c>
      <c r="C1147" s="18"/>
      <c r="D1147" s="19" t="str">
        <f>IF(Tabela2[[#This Row],[AGRUPADOR]]&lt;&gt;"",VLOOKUP(Tabela2[[#This Row],[AGRUPADOR]],Tabela1[],2,0),"")</f>
        <v/>
      </c>
      <c r="E1147" s="19" t="str">
        <f>IF(Tabela2[[#This Row],[AGRUPADOR]]&lt;&gt;"",VLOOKUP(Tabela2[[#This Row],[AGRUPADOR]],Tabela1[],4,0),"")</f>
        <v/>
      </c>
      <c r="F1147" s="14"/>
      <c r="G1147" s="6"/>
      <c r="H1147" s="6"/>
      <c r="I1147" s="25"/>
      <c r="J1147" s="7"/>
      <c r="K1147" s="15"/>
      <c r="L1147" s="379">
        <f>IF(H1147&lt;&gt;"",J1147*K1147,SUMIFS(L1148:L$9844,$F1148:$F$9844,"*"&amp;F1147&amp;"*",$H1148:$H$9844,"&lt;&gt;"))</f>
        <v>0</v>
      </c>
      <c r="M1147" s="379" t="str">
        <f>IF(Tabela2[[#This Row],[UNID.]]&lt;&gt;"",IFERROR(VLOOKUP(Tabela2[[#This Row],[AGRUPADOR]],Lucratividade!$D$4:$O$129,6,0),0),"")</f>
        <v/>
      </c>
      <c r="N1147" s="379">
        <f>IF(H1147&lt;&gt;"",J1147*M1147*I1147,SUMIFS(N1148:N$9844,$F1148:$F$9844,"*"&amp;F1147&amp;"*",$H1148:$H$9844,"&lt;&gt;"))</f>
        <v>0</v>
      </c>
      <c r="O1147" s="162" t="str">
        <f>IFERROR((-Tabela2[[#This Row],[CUSTO TOTAL]]+Tabela2[[#This Row],[VENDA TOTAL]])/Tabela2[[#This Row],[VENDA TOTAL]]-PARAMETROS!$C$19,"")</f>
        <v/>
      </c>
      <c r="AA1147" s="219">
        <f>SUM(Plan_Orc[[#This Row],[01/jan]:[01/dez]])</f>
        <v>0</v>
      </c>
      <c r="AB1147" s="15"/>
      <c r="AC1147" s="15"/>
      <c r="AD1147" s="15"/>
      <c r="AE1147" s="15"/>
      <c r="AF1147" s="15"/>
      <c r="AG1147" s="15"/>
      <c r="AH1147" s="15"/>
      <c r="AI1147" s="15"/>
      <c r="AJ1147" s="15"/>
      <c r="AK1147" s="15"/>
      <c r="AL1147" s="15"/>
      <c r="AM1147" s="15"/>
    </row>
    <row r="1148" spans="2:39" ht="25.2" customHeight="1" x14ac:dyDescent="0.3">
      <c r="B1148" s="13" t="str">
        <f t="shared" si="21"/>
        <v/>
      </c>
      <c r="C1148" s="18"/>
      <c r="D1148" s="19" t="str">
        <f>IF(Tabela2[[#This Row],[AGRUPADOR]]&lt;&gt;"",VLOOKUP(Tabela2[[#This Row],[AGRUPADOR]],Tabela1[],2,0),"")</f>
        <v/>
      </c>
      <c r="E1148" s="19" t="str">
        <f>IF(Tabela2[[#This Row],[AGRUPADOR]]&lt;&gt;"",VLOOKUP(Tabela2[[#This Row],[AGRUPADOR]],Tabela1[],4,0),"")</f>
        <v/>
      </c>
      <c r="F1148" s="14"/>
      <c r="G1148" s="6"/>
      <c r="H1148" s="6"/>
      <c r="I1148" s="25"/>
      <c r="J1148" s="7"/>
      <c r="K1148" s="15"/>
      <c r="L1148" s="379">
        <f>IF(H1148&lt;&gt;"",J1148*K1148,SUMIFS(L1149:L$9844,$F1149:$F$9844,"*"&amp;F1148&amp;"*",$H1149:$H$9844,"&lt;&gt;"))</f>
        <v>0</v>
      </c>
      <c r="M1148" s="379" t="str">
        <f>IF(Tabela2[[#This Row],[UNID.]]&lt;&gt;"",IFERROR(VLOOKUP(Tabela2[[#This Row],[AGRUPADOR]],Lucratividade!$D$4:$O$129,6,0),0),"")</f>
        <v/>
      </c>
      <c r="N1148" s="379">
        <f>IF(H1148&lt;&gt;"",J1148*M1148*I1148,SUMIFS(N1149:N$9844,$F1149:$F$9844,"*"&amp;F1148&amp;"*",$H1149:$H$9844,"&lt;&gt;"))</f>
        <v>0</v>
      </c>
      <c r="O1148" s="162" t="str">
        <f>IFERROR((-Tabela2[[#This Row],[CUSTO TOTAL]]+Tabela2[[#This Row],[VENDA TOTAL]])/Tabela2[[#This Row],[VENDA TOTAL]]-PARAMETROS!$C$19,"")</f>
        <v/>
      </c>
      <c r="AA1148" s="219">
        <f>SUM(Plan_Orc[[#This Row],[01/jan]:[01/dez]])</f>
        <v>0</v>
      </c>
      <c r="AB1148" s="15"/>
      <c r="AC1148" s="15"/>
      <c r="AD1148" s="15"/>
      <c r="AE1148" s="15"/>
      <c r="AF1148" s="15"/>
      <c r="AG1148" s="15"/>
      <c r="AH1148" s="15"/>
      <c r="AI1148" s="15"/>
      <c r="AJ1148" s="15"/>
      <c r="AK1148" s="15"/>
      <c r="AL1148" s="15"/>
      <c r="AM1148" s="15"/>
    </row>
    <row r="1149" spans="2:39" ht="25.2" customHeight="1" x14ac:dyDescent="0.3">
      <c r="B1149" s="13" t="str">
        <f t="shared" si="21"/>
        <v/>
      </c>
      <c r="C1149" s="18"/>
      <c r="D1149" s="19" t="str">
        <f>IF(Tabela2[[#This Row],[AGRUPADOR]]&lt;&gt;"",VLOOKUP(Tabela2[[#This Row],[AGRUPADOR]],Tabela1[],2,0),"")</f>
        <v/>
      </c>
      <c r="E1149" s="19" t="str">
        <f>IF(Tabela2[[#This Row],[AGRUPADOR]]&lt;&gt;"",VLOOKUP(Tabela2[[#This Row],[AGRUPADOR]],Tabela1[],4,0),"")</f>
        <v/>
      </c>
      <c r="F1149" s="14"/>
      <c r="G1149" s="6"/>
      <c r="H1149" s="6"/>
      <c r="I1149" s="25"/>
      <c r="J1149" s="7"/>
      <c r="K1149" s="15"/>
      <c r="L1149" s="379">
        <f>IF(H1149&lt;&gt;"",J1149*K1149,SUMIFS(L1150:L$9844,$F1150:$F$9844,"*"&amp;F1149&amp;"*",$H1150:$H$9844,"&lt;&gt;"))</f>
        <v>0</v>
      </c>
      <c r="M1149" s="379" t="str">
        <f>IF(Tabela2[[#This Row],[UNID.]]&lt;&gt;"",IFERROR(VLOOKUP(Tabela2[[#This Row],[AGRUPADOR]],Lucratividade!$D$4:$O$129,6,0),0),"")</f>
        <v/>
      </c>
      <c r="N1149" s="379">
        <f>IF(H1149&lt;&gt;"",J1149*M1149*I1149,SUMIFS(N1150:N$9844,$F1150:$F$9844,"*"&amp;F1149&amp;"*",$H1150:$H$9844,"&lt;&gt;"))</f>
        <v>0</v>
      </c>
      <c r="O1149" s="162" t="str">
        <f>IFERROR((-Tabela2[[#This Row],[CUSTO TOTAL]]+Tabela2[[#This Row],[VENDA TOTAL]])/Tabela2[[#This Row],[VENDA TOTAL]]-PARAMETROS!$C$19,"")</f>
        <v/>
      </c>
      <c r="AA1149" s="219">
        <f>SUM(Plan_Orc[[#This Row],[01/jan]:[01/dez]])</f>
        <v>0</v>
      </c>
      <c r="AB1149" s="15"/>
      <c r="AC1149" s="15"/>
      <c r="AD1149" s="15"/>
      <c r="AE1149" s="15"/>
      <c r="AF1149" s="15"/>
      <c r="AG1149" s="15"/>
      <c r="AH1149" s="15"/>
      <c r="AI1149" s="15"/>
      <c r="AJ1149" s="15"/>
      <c r="AK1149" s="15"/>
      <c r="AL1149" s="15"/>
      <c r="AM1149" s="15"/>
    </row>
    <row r="1150" spans="2:39" ht="25.2" customHeight="1" x14ac:dyDescent="0.3">
      <c r="B1150" s="13" t="str">
        <f t="shared" si="21"/>
        <v/>
      </c>
      <c r="C1150" s="18"/>
      <c r="D1150" s="19" t="str">
        <f>IF(Tabela2[[#This Row],[AGRUPADOR]]&lt;&gt;"",VLOOKUP(Tabela2[[#This Row],[AGRUPADOR]],Tabela1[],2,0),"")</f>
        <v/>
      </c>
      <c r="E1150" s="19" t="str">
        <f>IF(Tabela2[[#This Row],[AGRUPADOR]]&lt;&gt;"",VLOOKUP(Tabela2[[#This Row],[AGRUPADOR]],Tabela1[],4,0),"")</f>
        <v/>
      </c>
      <c r="F1150" s="14"/>
      <c r="G1150" s="6"/>
      <c r="H1150" s="6"/>
      <c r="I1150" s="25"/>
      <c r="J1150" s="7"/>
      <c r="K1150" s="15"/>
      <c r="L1150" s="379">
        <f>IF(H1150&lt;&gt;"",J1150*K1150,SUMIFS(L1151:L$9844,$F1151:$F$9844,"*"&amp;F1150&amp;"*",$H1151:$H$9844,"&lt;&gt;"))</f>
        <v>0</v>
      </c>
      <c r="M1150" s="379" t="str">
        <f>IF(Tabela2[[#This Row],[UNID.]]&lt;&gt;"",IFERROR(VLOOKUP(Tabela2[[#This Row],[AGRUPADOR]],Lucratividade!$D$4:$O$129,6,0),0),"")</f>
        <v/>
      </c>
      <c r="N1150" s="379">
        <f>IF(H1150&lt;&gt;"",J1150*M1150*I1150,SUMIFS(N1151:N$9844,$F1151:$F$9844,"*"&amp;F1150&amp;"*",$H1151:$H$9844,"&lt;&gt;"))</f>
        <v>0</v>
      </c>
      <c r="O1150" s="162" t="str">
        <f>IFERROR((-Tabela2[[#This Row],[CUSTO TOTAL]]+Tabela2[[#This Row],[VENDA TOTAL]])/Tabela2[[#This Row],[VENDA TOTAL]]-PARAMETROS!$C$19,"")</f>
        <v/>
      </c>
      <c r="AA1150" s="219">
        <f>SUM(Plan_Orc[[#This Row],[01/jan]:[01/dez]])</f>
        <v>0</v>
      </c>
      <c r="AB1150" s="15"/>
      <c r="AC1150" s="15"/>
      <c r="AD1150" s="15"/>
      <c r="AE1150" s="15"/>
      <c r="AF1150" s="15"/>
      <c r="AG1150" s="15"/>
      <c r="AH1150" s="15"/>
      <c r="AI1150" s="15"/>
      <c r="AJ1150" s="15"/>
      <c r="AK1150" s="15"/>
      <c r="AL1150" s="15"/>
      <c r="AM1150" s="15"/>
    </row>
    <row r="1151" spans="2:39" ht="25.2" customHeight="1" x14ac:dyDescent="0.3">
      <c r="B1151" s="13" t="str">
        <f t="shared" si="21"/>
        <v/>
      </c>
      <c r="C1151" s="18"/>
      <c r="D1151" s="19" t="str">
        <f>IF(Tabela2[[#This Row],[AGRUPADOR]]&lt;&gt;"",VLOOKUP(Tabela2[[#This Row],[AGRUPADOR]],Tabela1[],2,0),"")</f>
        <v/>
      </c>
      <c r="E1151" s="19" t="str">
        <f>IF(Tabela2[[#This Row],[AGRUPADOR]]&lt;&gt;"",VLOOKUP(Tabela2[[#This Row],[AGRUPADOR]],Tabela1[],4,0),"")</f>
        <v/>
      </c>
      <c r="F1151" s="14"/>
      <c r="G1151" s="6"/>
      <c r="H1151" s="6"/>
      <c r="I1151" s="25"/>
      <c r="J1151" s="7"/>
      <c r="K1151" s="15"/>
      <c r="L1151" s="379">
        <f>IF(H1151&lt;&gt;"",J1151*K1151,SUMIFS(L1152:L$9844,$F1152:$F$9844,"*"&amp;F1151&amp;"*",$H1152:$H$9844,"&lt;&gt;"))</f>
        <v>0</v>
      </c>
      <c r="M1151" s="379" t="str">
        <f>IF(Tabela2[[#This Row],[UNID.]]&lt;&gt;"",IFERROR(VLOOKUP(Tabela2[[#This Row],[AGRUPADOR]],Lucratividade!$D$4:$O$129,6,0),0),"")</f>
        <v/>
      </c>
      <c r="N1151" s="379">
        <f>IF(H1151&lt;&gt;"",J1151*M1151*I1151,SUMIFS(N1152:N$9844,$F1152:$F$9844,"*"&amp;F1151&amp;"*",$H1152:$H$9844,"&lt;&gt;"))</f>
        <v>0</v>
      </c>
      <c r="O1151" s="162" t="str">
        <f>IFERROR((-Tabela2[[#This Row],[CUSTO TOTAL]]+Tabela2[[#This Row],[VENDA TOTAL]])/Tabela2[[#This Row],[VENDA TOTAL]]-PARAMETROS!$C$19,"")</f>
        <v/>
      </c>
      <c r="AA1151" s="219">
        <f>SUM(Plan_Orc[[#This Row],[01/jan]:[01/dez]])</f>
        <v>0</v>
      </c>
      <c r="AB1151" s="15"/>
      <c r="AC1151" s="15"/>
      <c r="AD1151" s="15"/>
      <c r="AE1151" s="15"/>
      <c r="AF1151" s="15"/>
      <c r="AG1151" s="15"/>
      <c r="AH1151" s="15"/>
      <c r="AI1151" s="15"/>
      <c r="AJ1151" s="15"/>
      <c r="AK1151" s="15"/>
      <c r="AL1151" s="15"/>
      <c r="AM1151" s="15"/>
    </row>
    <row r="1152" spans="2:39" ht="25.2" customHeight="1" x14ac:dyDescent="0.3">
      <c r="B1152" s="13" t="str">
        <f t="shared" si="21"/>
        <v/>
      </c>
      <c r="C1152" s="18"/>
      <c r="D1152" s="19" t="str">
        <f>IF(Tabela2[[#This Row],[AGRUPADOR]]&lt;&gt;"",VLOOKUP(Tabela2[[#This Row],[AGRUPADOR]],Tabela1[],2,0),"")</f>
        <v/>
      </c>
      <c r="E1152" s="19" t="str">
        <f>IF(Tabela2[[#This Row],[AGRUPADOR]]&lt;&gt;"",VLOOKUP(Tabela2[[#This Row],[AGRUPADOR]],Tabela1[],4,0),"")</f>
        <v/>
      </c>
      <c r="F1152" s="14"/>
      <c r="G1152" s="6"/>
      <c r="H1152" s="6"/>
      <c r="I1152" s="25"/>
      <c r="J1152" s="7"/>
      <c r="K1152" s="15"/>
      <c r="L1152" s="379">
        <f>IF(H1152&lt;&gt;"",J1152*K1152,SUMIFS(L1153:L$9844,$F1153:$F$9844,"*"&amp;F1152&amp;"*",$H1153:$H$9844,"&lt;&gt;"))</f>
        <v>0</v>
      </c>
      <c r="M1152" s="379" t="str">
        <f>IF(Tabela2[[#This Row],[UNID.]]&lt;&gt;"",IFERROR(VLOOKUP(Tabela2[[#This Row],[AGRUPADOR]],Lucratividade!$D$4:$O$129,6,0),0),"")</f>
        <v/>
      </c>
      <c r="N1152" s="379">
        <f>IF(H1152&lt;&gt;"",J1152*M1152*I1152,SUMIFS(N1153:N$9844,$F1153:$F$9844,"*"&amp;F1152&amp;"*",$H1153:$H$9844,"&lt;&gt;"))</f>
        <v>0</v>
      </c>
      <c r="O1152" s="162" t="str">
        <f>IFERROR((-Tabela2[[#This Row],[CUSTO TOTAL]]+Tabela2[[#This Row],[VENDA TOTAL]])/Tabela2[[#This Row],[VENDA TOTAL]]-PARAMETROS!$C$19,"")</f>
        <v/>
      </c>
      <c r="AA1152" s="219">
        <f>SUM(Plan_Orc[[#This Row],[01/jan]:[01/dez]])</f>
        <v>0</v>
      </c>
      <c r="AB1152" s="15"/>
      <c r="AC1152" s="15"/>
      <c r="AD1152" s="15"/>
      <c r="AE1152" s="15"/>
      <c r="AF1152" s="15"/>
      <c r="AG1152" s="15"/>
      <c r="AH1152" s="15"/>
      <c r="AI1152" s="15"/>
      <c r="AJ1152" s="15"/>
      <c r="AK1152" s="15"/>
      <c r="AL1152" s="15"/>
      <c r="AM1152" s="15"/>
    </row>
    <row r="1153" spans="2:39" ht="25.2" customHeight="1" x14ac:dyDescent="0.3">
      <c r="B1153" s="13" t="str">
        <f t="shared" si="21"/>
        <v/>
      </c>
      <c r="C1153" s="18"/>
      <c r="D1153" s="19" t="str">
        <f>IF(Tabela2[[#This Row],[AGRUPADOR]]&lt;&gt;"",VLOOKUP(Tabela2[[#This Row],[AGRUPADOR]],Tabela1[],2,0),"")</f>
        <v/>
      </c>
      <c r="E1153" s="19" t="str">
        <f>IF(Tabela2[[#This Row],[AGRUPADOR]]&lt;&gt;"",VLOOKUP(Tabela2[[#This Row],[AGRUPADOR]],Tabela1[],4,0),"")</f>
        <v/>
      </c>
      <c r="F1153" s="14"/>
      <c r="G1153" s="6"/>
      <c r="H1153" s="6"/>
      <c r="I1153" s="25"/>
      <c r="J1153" s="7"/>
      <c r="K1153" s="15"/>
      <c r="L1153" s="379">
        <f>IF(H1153&lt;&gt;"",J1153*K1153,SUMIFS(L1154:L$9844,$F1154:$F$9844,"*"&amp;F1153&amp;"*",$H1154:$H$9844,"&lt;&gt;"))</f>
        <v>0</v>
      </c>
      <c r="M1153" s="379" t="str">
        <f>IF(Tabela2[[#This Row],[UNID.]]&lt;&gt;"",IFERROR(VLOOKUP(Tabela2[[#This Row],[AGRUPADOR]],Lucratividade!$D$4:$O$129,6,0),0),"")</f>
        <v/>
      </c>
      <c r="N1153" s="379">
        <f>IF(H1153&lt;&gt;"",J1153*M1153*I1153,SUMIFS(N1154:N$9844,$F1154:$F$9844,"*"&amp;F1153&amp;"*",$H1154:$H$9844,"&lt;&gt;"))</f>
        <v>0</v>
      </c>
      <c r="O1153" s="162" t="str">
        <f>IFERROR((-Tabela2[[#This Row],[CUSTO TOTAL]]+Tabela2[[#This Row],[VENDA TOTAL]])/Tabela2[[#This Row],[VENDA TOTAL]]-PARAMETROS!$C$19,"")</f>
        <v/>
      </c>
      <c r="AA1153" s="219">
        <f>SUM(Plan_Orc[[#This Row],[01/jan]:[01/dez]])</f>
        <v>0</v>
      </c>
      <c r="AB1153" s="15"/>
      <c r="AC1153" s="15"/>
      <c r="AD1153" s="15"/>
      <c r="AE1153" s="15"/>
      <c r="AF1153" s="15"/>
      <c r="AG1153" s="15"/>
      <c r="AH1153" s="15"/>
      <c r="AI1153" s="15"/>
      <c r="AJ1153" s="15"/>
      <c r="AK1153" s="15"/>
      <c r="AL1153" s="15"/>
      <c r="AM1153" s="15"/>
    </row>
    <row r="1154" spans="2:39" ht="25.2" customHeight="1" x14ac:dyDescent="0.3">
      <c r="B1154" s="13" t="str">
        <f t="shared" si="21"/>
        <v/>
      </c>
      <c r="C1154" s="18"/>
      <c r="D1154" s="19" t="str">
        <f>IF(Tabela2[[#This Row],[AGRUPADOR]]&lt;&gt;"",VLOOKUP(Tabela2[[#This Row],[AGRUPADOR]],Tabela1[],2,0),"")</f>
        <v/>
      </c>
      <c r="E1154" s="19" t="str">
        <f>IF(Tabela2[[#This Row],[AGRUPADOR]]&lt;&gt;"",VLOOKUP(Tabela2[[#This Row],[AGRUPADOR]],Tabela1[],4,0),"")</f>
        <v/>
      </c>
      <c r="F1154" s="14"/>
      <c r="G1154" s="6"/>
      <c r="H1154" s="6"/>
      <c r="I1154" s="25"/>
      <c r="J1154" s="7"/>
      <c r="K1154" s="15"/>
      <c r="L1154" s="379">
        <f>IF(H1154&lt;&gt;"",J1154*K1154,SUMIFS(L1155:L$9844,$F1155:$F$9844,"*"&amp;F1154&amp;"*",$H1155:$H$9844,"&lt;&gt;"))</f>
        <v>0</v>
      </c>
      <c r="M1154" s="379" t="str">
        <f>IF(Tabela2[[#This Row],[UNID.]]&lt;&gt;"",IFERROR(VLOOKUP(Tabela2[[#This Row],[AGRUPADOR]],Lucratividade!$D$4:$O$129,6,0),0),"")</f>
        <v/>
      </c>
      <c r="N1154" s="379">
        <f>IF(H1154&lt;&gt;"",J1154*M1154*I1154,SUMIFS(N1155:N$9844,$F1155:$F$9844,"*"&amp;F1154&amp;"*",$H1155:$H$9844,"&lt;&gt;"))</f>
        <v>0</v>
      </c>
      <c r="O1154" s="162" t="str">
        <f>IFERROR((-Tabela2[[#This Row],[CUSTO TOTAL]]+Tabela2[[#This Row],[VENDA TOTAL]])/Tabela2[[#This Row],[VENDA TOTAL]]-PARAMETROS!$C$19,"")</f>
        <v/>
      </c>
      <c r="AA1154" s="219">
        <f>SUM(Plan_Orc[[#This Row],[01/jan]:[01/dez]])</f>
        <v>0</v>
      </c>
      <c r="AB1154" s="15"/>
      <c r="AC1154" s="15"/>
      <c r="AD1154" s="15"/>
      <c r="AE1154" s="15"/>
      <c r="AF1154" s="15"/>
      <c r="AG1154" s="15"/>
      <c r="AH1154" s="15"/>
      <c r="AI1154" s="15"/>
      <c r="AJ1154" s="15"/>
      <c r="AK1154" s="15"/>
      <c r="AL1154" s="15"/>
      <c r="AM1154" s="15"/>
    </row>
    <row r="1155" spans="2:39" ht="25.2" customHeight="1" x14ac:dyDescent="0.3">
      <c r="B1155" s="13" t="str">
        <f t="shared" si="21"/>
        <v/>
      </c>
      <c r="C1155" s="18"/>
      <c r="D1155" s="19" t="str">
        <f>IF(Tabela2[[#This Row],[AGRUPADOR]]&lt;&gt;"",VLOOKUP(Tabela2[[#This Row],[AGRUPADOR]],Tabela1[],2,0),"")</f>
        <v/>
      </c>
      <c r="E1155" s="19" t="str">
        <f>IF(Tabela2[[#This Row],[AGRUPADOR]]&lt;&gt;"",VLOOKUP(Tabela2[[#This Row],[AGRUPADOR]],Tabela1[],4,0),"")</f>
        <v/>
      </c>
      <c r="F1155" s="14"/>
      <c r="G1155" s="6"/>
      <c r="H1155" s="6"/>
      <c r="I1155" s="25"/>
      <c r="J1155" s="7"/>
      <c r="K1155" s="15"/>
      <c r="L1155" s="379">
        <f>IF(H1155&lt;&gt;"",J1155*K1155,SUMIFS(L1156:L$9844,$F1156:$F$9844,"*"&amp;F1155&amp;"*",$H1156:$H$9844,"&lt;&gt;"))</f>
        <v>0</v>
      </c>
      <c r="M1155" s="379" t="str">
        <f>IF(Tabela2[[#This Row],[UNID.]]&lt;&gt;"",IFERROR(VLOOKUP(Tabela2[[#This Row],[AGRUPADOR]],Lucratividade!$D$4:$O$129,6,0),0),"")</f>
        <v/>
      </c>
      <c r="N1155" s="379">
        <f>IF(H1155&lt;&gt;"",J1155*M1155*I1155,SUMIFS(N1156:N$9844,$F1156:$F$9844,"*"&amp;F1155&amp;"*",$H1156:$H$9844,"&lt;&gt;"))</f>
        <v>0</v>
      </c>
      <c r="O1155" s="162" t="str">
        <f>IFERROR((-Tabela2[[#This Row],[CUSTO TOTAL]]+Tabela2[[#This Row],[VENDA TOTAL]])/Tabela2[[#This Row],[VENDA TOTAL]]-PARAMETROS!$C$19,"")</f>
        <v/>
      </c>
      <c r="AA1155" s="218">
        <f>SUM(Plan_Orc[[#This Row],[01/jan]:[01/dez]])</f>
        <v>0</v>
      </c>
      <c r="AB1155" s="12"/>
      <c r="AC1155" s="12"/>
      <c r="AD1155" s="12"/>
      <c r="AE1155" s="12"/>
      <c r="AF1155" s="12"/>
      <c r="AG1155" s="12"/>
      <c r="AH1155" s="12"/>
      <c r="AI1155" s="12"/>
      <c r="AJ1155" s="12"/>
      <c r="AK1155" s="12"/>
      <c r="AL1155" s="12"/>
      <c r="AM1155" s="12"/>
    </row>
    <row r="1156" spans="2:39" ht="25.2" customHeight="1" x14ac:dyDescent="0.3">
      <c r="B1156" s="13" t="str">
        <f t="shared" ref="B1156:B1219" si="22">IF(LEN(F1156)=3,1,"")</f>
        <v/>
      </c>
      <c r="C1156" s="18"/>
      <c r="D1156" s="19" t="str">
        <f>IF(Tabela2[[#This Row],[AGRUPADOR]]&lt;&gt;"",VLOOKUP(Tabela2[[#This Row],[AGRUPADOR]],Tabela1[],2,0),"")</f>
        <v/>
      </c>
      <c r="E1156" s="19" t="str">
        <f>IF(Tabela2[[#This Row],[AGRUPADOR]]&lt;&gt;"",VLOOKUP(Tabela2[[#This Row],[AGRUPADOR]],Tabela1[],4,0),"")</f>
        <v/>
      </c>
      <c r="F1156" s="14"/>
      <c r="G1156" s="6"/>
      <c r="H1156" s="6"/>
      <c r="I1156" s="25"/>
      <c r="J1156" s="7"/>
      <c r="K1156" s="15"/>
      <c r="L1156" s="379">
        <f>IF(H1156&lt;&gt;"",J1156*K1156,SUMIFS(L1157:L$9844,$F1157:$F$9844,"*"&amp;F1156&amp;"*",$H1157:$H$9844,"&lt;&gt;"))</f>
        <v>0</v>
      </c>
      <c r="M1156" s="379" t="str">
        <f>IF(Tabela2[[#This Row],[UNID.]]&lt;&gt;"",IFERROR(VLOOKUP(Tabela2[[#This Row],[AGRUPADOR]],Lucratividade!$D$4:$O$129,6,0),0),"")</f>
        <v/>
      </c>
      <c r="N1156" s="379">
        <f>IF(H1156&lt;&gt;"",J1156*M1156*I1156,SUMIFS(N1157:N$9844,$F1157:$F$9844,"*"&amp;F1156&amp;"*",$H1157:$H$9844,"&lt;&gt;"))</f>
        <v>0</v>
      </c>
      <c r="O1156" s="162" t="str">
        <f>IFERROR((-Tabela2[[#This Row],[CUSTO TOTAL]]+Tabela2[[#This Row],[VENDA TOTAL]])/Tabela2[[#This Row],[VENDA TOTAL]]-PARAMETROS!$C$19,"")</f>
        <v/>
      </c>
      <c r="AA1156" s="219">
        <f>SUM(Plan_Orc[[#This Row],[01/jan]:[01/dez]])</f>
        <v>0</v>
      </c>
      <c r="AB1156" s="15"/>
      <c r="AC1156" s="15"/>
      <c r="AD1156" s="15"/>
      <c r="AE1156" s="15"/>
      <c r="AF1156" s="15"/>
      <c r="AG1156" s="15"/>
      <c r="AH1156" s="15"/>
      <c r="AI1156" s="15"/>
      <c r="AJ1156" s="15"/>
      <c r="AK1156" s="15"/>
      <c r="AL1156" s="15"/>
      <c r="AM1156" s="15"/>
    </row>
    <row r="1157" spans="2:39" ht="25.2" customHeight="1" x14ac:dyDescent="0.3">
      <c r="B1157" s="13" t="str">
        <f t="shared" si="22"/>
        <v/>
      </c>
      <c r="C1157" s="18"/>
      <c r="D1157" s="19" t="str">
        <f>IF(Tabela2[[#This Row],[AGRUPADOR]]&lt;&gt;"",VLOOKUP(Tabela2[[#This Row],[AGRUPADOR]],Tabela1[],2,0),"")</f>
        <v/>
      </c>
      <c r="E1157" s="19" t="str">
        <f>IF(Tabela2[[#This Row],[AGRUPADOR]]&lt;&gt;"",VLOOKUP(Tabela2[[#This Row],[AGRUPADOR]],Tabela1[],4,0),"")</f>
        <v/>
      </c>
      <c r="F1157" s="14"/>
      <c r="G1157" s="6"/>
      <c r="H1157" s="6"/>
      <c r="I1157" s="25"/>
      <c r="J1157" s="7"/>
      <c r="K1157" s="15"/>
      <c r="L1157" s="379">
        <f>IF(H1157&lt;&gt;"",J1157*K1157,SUMIFS(L1158:L$9844,$F1158:$F$9844,"*"&amp;F1157&amp;"*",$H1158:$H$9844,"&lt;&gt;"))</f>
        <v>0</v>
      </c>
      <c r="M1157" s="379" t="str">
        <f>IF(Tabela2[[#This Row],[UNID.]]&lt;&gt;"",IFERROR(VLOOKUP(Tabela2[[#This Row],[AGRUPADOR]],Lucratividade!$D$4:$O$129,6,0),0),"")</f>
        <v/>
      </c>
      <c r="N1157" s="379">
        <f>IF(H1157&lt;&gt;"",J1157*M1157*I1157,SUMIFS(N1158:N$9844,$F1158:$F$9844,"*"&amp;F1157&amp;"*",$H1158:$H$9844,"&lt;&gt;"))</f>
        <v>0</v>
      </c>
      <c r="O1157" s="162" t="str">
        <f>IFERROR((-Tabela2[[#This Row],[CUSTO TOTAL]]+Tabela2[[#This Row],[VENDA TOTAL]])/Tabela2[[#This Row],[VENDA TOTAL]]-PARAMETROS!$C$19,"")</f>
        <v/>
      </c>
      <c r="AA1157" s="219">
        <f>SUM(Plan_Orc[[#This Row],[01/jan]:[01/dez]])</f>
        <v>0</v>
      </c>
      <c r="AB1157" s="15"/>
      <c r="AC1157" s="15"/>
      <c r="AD1157" s="15"/>
      <c r="AE1157" s="15"/>
      <c r="AF1157" s="15"/>
      <c r="AG1157" s="15"/>
      <c r="AH1157" s="15"/>
      <c r="AI1157" s="15"/>
      <c r="AJ1157" s="15"/>
      <c r="AK1157" s="15"/>
      <c r="AL1157" s="15"/>
      <c r="AM1157" s="15"/>
    </row>
    <row r="1158" spans="2:39" ht="25.2" customHeight="1" x14ac:dyDescent="0.3">
      <c r="B1158" s="13" t="str">
        <f t="shared" si="22"/>
        <v/>
      </c>
      <c r="C1158" s="18"/>
      <c r="D1158" s="19" t="str">
        <f>IF(Tabela2[[#This Row],[AGRUPADOR]]&lt;&gt;"",VLOOKUP(Tabela2[[#This Row],[AGRUPADOR]],Tabela1[],2,0),"")</f>
        <v/>
      </c>
      <c r="E1158" s="19" t="str">
        <f>IF(Tabela2[[#This Row],[AGRUPADOR]]&lt;&gt;"",VLOOKUP(Tabela2[[#This Row],[AGRUPADOR]],Tabela1[],4,0),"")</f>
        <v/>
      </c>
      <c r="F1158" s="14"/>
      <c r="G1158" s="6"/>
      <c r="H1158" s="6"/>
      <c r="I1158" s="25"/>
      <c r="J1158" s="7"/>
      <c r="K1158" s="15"/>
      <c r="L1158" s="379">
        <f>IF(H1158&lt;&gt;"",J1158*K1158,SUMIFS(L1159:L$9844,$F1159:$F$9844,"*"&amp;F1158&amp;"*",$H1159:$H$9844,"&lt;&gt;"))</f>
        <v>0</v>
      </c>
      <c r="M1158" s="379" t="str">
        <f>IF(Tabela2[[#This Row],[UNID.]]&lt;&gt;"",IFERROR(VLOOKUP(Tabela2[[#This Row],[AGRUPADOR]],Lucratividade!$D$4:$O$129,6,0),0),"")</f>
        <v/>
      </c>
      <c r="N1158" s="379">
        <f>IF(H1158&lt;&gt;"",J1158*M1158*I1158,SUMIFS(N1159:N$9844,$F1159:$F$9844,"*"&amp;F1158&amp;"*",$H1159:$H$9844,"&lt;&gt;"))</f>
        <v>0</v>
      </c>
      <c r="O1158" s="162" t="str">
        <f>IFERROR((-Tabela2[[#This Row],[CUSTO TOTAL]]+Tabela2[[#This Row],[VENDA TOTAL]])/Tabela2[[#This Row],[VENDA TOTAL]]-PARAMETROS!$C$19,"")</f>
        <v/>
      </c>
      <c r="AA1158" s="219">
        <f>SUM(Plan_Orc[[#This Row],[01/jan]:[01/dez]])</f>
        <v>0</v>
      </c>
      <c r="AB1158" s="15"/>
      <c r="AC1158" s="15"/>
      <c r="AD1158" s="15"/>
      <c r="AE1158" s="15"/>
      <c r="AF1158" s="15"/>
      <c r="AG1158" s="15"/>
      <c r="AH1158" s="15"/>
      <c r="AI1158" s="15"/>
      <c r="AJ1158" s="15"/>
      <c r="AK1158" s="15"/>
      <c r="AL1158" s="15"/>
      <c r="AM1158" s="15"/>
    </row>
    <row r="1159" spans="2:39" ht="25.2" customHeight="1" x14ac:dyDescent="0.3">
      <c r="B1159" s="13" t="str">
        <f t="shared" si="22"/>
        <v/>
      </c>
      <c r="C1159" s="18"/>
      <c r="D1159" s="19" t="str">
        <f>IF(Tabela2[[#This Row],[AGRUPADOR]]&lt;&gt;"",VLOOKUP(Tabela2[[#This Row],[AGRUPADOR]],Tabela1[],2,0),"")</f>
        <v/>
      </c>
      <c r="E1159" s="19" t="str">
        <f>IF(Tabela2[[#This Row],[AGRUPADOR]]&lt;&gt;"",VLOOKUP(Tabela2[[#This Row],[AGRUPADOR]],Tabela1[],4,0),"")</f>
        <v/>
      </c>
      <c r="F1159" s="14"/>
      <c r="G1159" s="6"/>
      <c r="H1159" s="6"/>
      <c r="I1159" s="25"/>
      <c r="J1159" s="7"/>
      <c r="K1159" s="15"/>
      <c r="L1159" s="379">
        <f>IF(H1159&lt;&gt;"",J1159*K1159,SUMIFS(L1160:L$9844,$F1160:$F$9844,"*"&amp;F1159&amp;"*",$H1160:$H$9844,"&lt;&gt;"))</f>
        <v>0</v>
      </c>
      <c r="M1159" s="379" t="str">
        <f>IF(Tabela2[[#This Row],[UNID.]]&lt;&gt;"",IFERROR(VLOOKUP(Tabela2[[#This Row],[AGRUPADOR]],Lucratividade!$D$4:$O$129,6,0),0),"")</f>
        <v/>
      </c>
      <c r="N1159" s="379">
        <f>IF(H1159&lt;&gt;"",J1159*M1159*I1159,SUMIFS(N1160:N$9844,$F1160:$F$9844,"*"&amp;F1159&amp;"*",$H1160:$H$9844,"&lt;&gt;"))</f>
        <v>0</v>
      </c>
      <c r="O1159" s="162" t="str">
        <f>IFERROR((-Tabela2[[#This Row],[CUSTO TOTAL]]+Tabela2[[#This Row],[VENDA TOTAL]])/Tabela2[[#This Row],[VENDA TOTAL]]-PARAMETROS!$C$19,"")</f>
        <v/>
      </c>
      <c r="AA1159" s="219">
        <f>SUM(Plan_Orc[[#This Row],[01/jan]:[01/dez]])</f>
        <v>0</v>
      </c>
      <c r="AB1159" s="15"/>
      <c r="AC1159" s="15"/>
      <c r="AD1159" s="15"/>
      <c r="AE1159" s="15"/>
      <c r="AF1159" s="15"/>
      <c r="AG1159" s="15"/>
      <c r="AH1159" s="15"/>
      <c r="AI1159" s="15"/>
      <c r="AJ1159" s="15"/>
      <c r="AK1159" s="15"/>
      <c r="AL1159" s="15"/>
      <c r="AM1159" s="15"/>
    </row>
    <row r="1160" spans="2:39" ht="25.2" customHeight="1" x14ac:dyDescent="0.3">
      <c r="B1160" s="13" t="str">
        <f t="shared" si="22"/>
        <v/>
      </c>
      <c r="C1160" s="18"/>
      <c r="D1160" s="19" t="str">
        <f>IF(Tabela2[[#This Row],[AGRUPADOR]]&lt;&gt;"",VLOOKUP(Tabela2[[#This Row],[AGRUPADOR]],Tabela1[],2,0),"")</f>
        <v/>
      </c>
      <c r="E1160" s="19" t="str">
        <f>IF(Tabela2[[#This Row],[AGRUPADOR]]&lt;&gt;"",VLOOKUP(Tabela2[[#This Row],[AGRUPADOR]],Tabela1[],4,0),"")</f>
        <v/>
      </c>
      <c r="F1160" s="14"/>
      <c r="G1160" s="6"/>
      <c r="H1160" s="6"/>
      <c r="I1160" s="25"/>
      <c r="J1160" s="7"/>
      <c r="K1160" s="15"/>
      <c r="L1160" s="379">
        <f>IF(H1160&lt;&gt;"",J1160*K1160,SUMIFS(L1161:L$9844,$F1161:$F$9844,"*"&amp;F1160&amp;"*",$H1161:$H$9844,"&lt;&gt;"))</f>
        <v>0</v>
      </c>
      <c r="M1160" s="379" t="str">
        <f>IF(Tabela2[[#This Row],[UNID.]]&lt;&gt;"",IFERROR(VLOOKUP(Tabela2[[#This Row],[AGRUPADOR]],Lucratividade!$D$4:$O$129,6,0),0),"")</f>
        <v/>
      </c>
      <c r="N1160" s="379">
        <f>IF(H1160&lt;&gt;"",J1160*M1160*I1160,SUMIFS(N1161:N$9844,$F1161:$F$9844,"*"&amp;F1160&amp;"*",$H1161:$H$9844,"&lt;&gt;"))</f>
        <v>0</v>
      </c>
      <c r="O1160" s="162" t="str">
        <f>IFERROR((-Tabela2[[#This Row],[CUSTO TOTAL]]+Tabela2[[#This Row],[VENDA TOTAL]])/Tabela2[[#This Row],[VENDA TOTAL]]-PARAMETROS!$C$19,"")</f>
        <v/>
      </c>
      <c r="AA1160" s="219">
        <f>SUM(Plan_Orc[[#This Row],[01/jan]:[01/dez]])</f>
        <v>0</v>
      </c>
      <c r="AB1160" s="15"/>
      <c r="AC1160" s="15"/>
      <c r="AD1160" s="15"/>
      <c r="AE1160" s="15"/>
      <c r="AF1160" s="15"/>
      <c r="AG1160" s="15"/>
      <c r="AH1160" s="15"/>
      <c r="AI1160" s="15"/>
      <c r="AJ1160" s="15"/>
      <c r="AK1160" s="15"/>
      <c r="AL1160" s="15"/>
      <c r="AM1160" s="15"/>
    </row>
    <row r="1161" spans="2:39" ht="25.2" customHeight="1" x14ac:dyDescent="0.3">
      <c r="B1161" s="13" t="str">
        <f t="shared" si="22"/>
        <v/>
      </c>
      <c r="C1161" s="18"/>
      <c r="D1161" s="19" t="str">
        <f>IF(Tabela2[[#This Row],[AGRUPADOR]]&lt;&gt;"",VLOOKUP(Tabela2[[#This Row],[AGRUPADOR]],Tabela1[],2,0),"")</f>
        <v/>
      </c>
      <c r="E1161" s="19" t="str">
        <f>IF(Tabela2[[#This Row],[AGRUPADOR]]&lt;&gt;"",VLOOKUP(Tabela2[[#This Row],[AGRUPADOR]],Tabela1[],4,0),"")</f>
        <v/>
      </c>
      <c r="F1161" s="14"/>
      <c r="G1161" s="6"/>
      <c r="H1161" s="6"/>
      <c r="I1161" s="25"/>
      <c r="J1161" s="7"/>
      <c r="K1161" s="15"/>
      <c r="L1161" s="379">
        <f>IF(H1161&lt;&gt;"",J1161*K1161,SUMIFS(L1162:L$9844,$F1162:$F$9844,"*"&amp;F1161&amp;"*",$H1162:$H$9844,"&lt;&gt;"))</f>
        <v>0</v>
      </c>
      <c r="M1161" s="379" t="str">
        <f>IF(Tabela2[[#This Row],[UNID.]]&lt;&gt;"",IFERROR(VLOOKUP(Tabela2[[#This Row],[AGRUPADOR]],Lucratividade!$D$4:$O$129,6,0),0),"")</f>
        <v/>
      </c>
      <c r="N1161" s="379">
        <f>IF(H1161&lt;&gt;"",J1161*M1161*I1161,SUMIFS(N1162:N$9844,$F1162:$F$9844,"*"&amp;F1161&amp;"*",$H1162:$H$9844,"&lt;&gt;"))</f>
        <v>0</v>
      </c>
      <c r="O1161" s="162" t="str">
        <f>IFERROR((-Tabela2[[#This Row],[CUSTO TOTAL]]+Tabela2[[#This Row],[VENDA TOTAL]])/Tabela2[[#This Row],[VENDA TOTAL]]-PARAMETROS!$C$19,"")</f>
        <v/>
      </c>
      <c r="AA1161" s="219">
        <f>SUM(Plan_Orc[[#This Row],[01/jan]:[01/dez]])</f>
        <v>0</v>
      </c>
      <c r="AB1161" s="15"/>
      <c r="AC1161" s="15"/>
      <c r="AD1161" s="15"/>
      <c r="AE1161" s="15"/>
      <c r="AF1161" s="15"/>
      <c r="AG1161" s="15"/>
      <c r="AH1161" s="15"/>
      <c r="AI1161" s="15"/>
      <c r="AJ1161" s="15"/>
      <c r="AK1161" s="15"/>
      <c r="AL1161" s="15"/>
      <c r="AM1161" s="15"/>
    </row>
    <row r="1162" spans="2:39" ht="25.2" customHeight="1" x14ac:dyDescent="0.3">
      <c r="B1162" s="13" t="str">
        <f t="shared" si="22"/>
        <v/>
      </c>
      <c r="C1162" s="18"/>
      <c r="D1162" s="19" t="str">
        <f>IF(Tabela2[[#This Row],[AGRUPADOR]]&lt;&gt;"",VLOOKUP(Tabela2[[#This Row],[AGRUPADOR]],Tabela1[],2,0),"")</f>
        <v/>
      </c>
      <c r="E1162" s="19" t="str">
        <f>IF(Tabela2[[#This Row],[AGRUPADOR]]&lt;&gt;"",VLOOKUP(Tabela2[[#This Row],[AGRUPADOR]],Tabela1[],4,0),"")</f>
        <v/>
      </c>
      <c r="F1162" s="14"/>
      <c r="G1162" s="6"/>
      <c r="H1162" s="6"/>
      <c r="I1162" s="25"/>
      <c r="J1162" s="7"/>
      <c r="K1162" s="15"/>
      <c r="L1162" s="379">
        <f>IF(H1162&lt;&gt;"",J1162*K1162,SUMIFS(L1163:L$9844,$F1163:$F$9844,"*"&amp;F1162&amp;"*",$H1163:$H$9844,"&lt;&gt;"))</f>
        <v>0</v>
      </c>
      <c r="M1162" s="379" t="str">
        <f>IF(Tabela2[[#This Row],[UNID.]]&lt;&gt;"",IFERROR(VLOOKUP(Tabela2[[#This Row],[AGRUPADOR]],Lucratividade!$D$4:$O$129,6,0),0),"")</f>
        <v/>
      </c>
      <c r="N1162" s="379">
        <f>IF(H1162&lt;&gt;"",J1162*M1162*I1162,SUMIFS(N1163:N$9844,$F1163:$F$9844,"*"&amp;F1162&amp;"*",$H1163:$H$9844,"&lt;&gt;"))</f>
        <v>0</v>
      </c>
      <c r="O1162" s="162" t="str">
        <f>IFERROR((-Tabela2[[#This Row],[CUSTO TOTAL]]+Tabela2[[#This Row],[VENDA TOTAL]])/Tabela2[[#This Row],[VENDA TOTAL]]-PARAMETROS!$C$19,"")</f>
        <v/>
      </c>
      <c r="AA1162" s="219">
        <f>SUM(Plan_Orc[[#This Row],[01/jan]:[01/dez]])</f>
        <v>0</v>
      </c>
      <c r="AB1162" s="15"/>
      <c r="AC1162" s="15"/>
      <c r="AD1162" s="15"/>
      <c r="AE1162" s="15"/>
      <c r="AF1162" s="15"/>
      <c r="AG1162" s="15"/>
      <c r="AH1162" s="15"/>
      <c r="AI1162" s="15"/>
      <c r="AJ1162" s="15"/>
      <c r="AK1162" s="15"/>
      <c r="AL1162" s="15"/>
      <c r="AM1162" s="15"/>
    </row>
    <row r="1163" spans="2:39" ht="25.2" customHeight="1" x14ac:dyDescent="0.3">
      <c r="B1163" s="13" t="str">
        <f t="shared" si="22"/>
        <v/>
      </c>
      <c r="C1163" s="18"/>
      <c r="D1163" s="19" t="str">
        <f>IF(Tabela2[[#This Row],[AGRUPADOR]]&lt;&gt;"",VLOOKUP(Tabela2[[#This Row],[AGRUPADOR]],Tabela1[],2,0),"")</f>
        <v/>
      </c>
      <c r="E1163" s="19" t="str">
        <f>IF(Tabela2[[#This Row],[AGRUPADOR]]&lt;&gt;"",VLOOKUP(Tabela2[[#This Row],[AGRUPADOR]],Tabela1[],4,0),"")</f>
        <v/>
      </c>
      <c r="F1163" s="14"/>
      <c r="G1163" s="6"/>
      <c r="H1163" s="6"/>
      <c r="I1163" s="25"/>
      <c r="J1163" s="7"/>
      <c r="K1163" s="15"/>
      <c r="L1163" s="379">
        <f>IF(H1163&lt;&gt;"",J1163*K1163,SUMIFS(L1164:L$9844,$F1164:$F$9844,"*"&amp;F1163&amp;"*",$H1164:$H$9844,"&lt;&gt;"))</f>
        <v>0</v>
      </c>
      <c r="M1163" s="379" t="str">
        <f>IF(Tabela2[[#This Row],[UNID.]]&lt;&gt;"",IFERROR(VLOOKUP(Tabela2[[#This Row],[AGRUPADOR]],Lucratividade!$D$4:$O$129,6,0),0),"")</f>
        <v/>
      </c>
      <c r="N1163" s="379">
        <f>IF(H1163&lt;&gt;"",J1163*M1163*I1163,SUMIFS(N1164:N$9844,$F1164:$F$9844,"*"&amp;F1163&amp;"*",$H1164:$H$9844,"&lt;&gt;"))</f>
        <v>0</v>
      </c>
      <c r="O1163" s="162" t="str">
        <f>IFERROR((-Tabela2[[#This Row],[CUSTO TOTAL]]+Tabela2[[#This Row],[VENDA TOTAL]])/Tabela2[[#This Row],[VENDA TOTAL]]-PARAMETROS!$C$19,"")</f>
        <v/>
      </c>
      <c r="AA1163" s="219">
        <f>SUM(Plan_Orc[[#This Row],[01/jan]:[01/dez]])</f>
        <v>0</v>
      </c>
      <c r="AB1163" s="15"/>
      <c r="AC1163" s="15"/>
      <c r="AD1163" s="15"/>
      <c r="AE1163" s="15"/>
      <c r="AF1163" s="15"/>
      <c r="AG1163" s="15"/>
      <c r="AH1163" s="15"/>
      <c r="AI1163" s="15"/>
      <c r="AJ1163" s="15"/>
      <c r="AK1163" s="15"/>
      <c r="AL1163" s="15"/>
      <c r="AM1163" s="15"/>
    </row>
    <row r="1164" spans="2:39" ht="25.2" customHeight="1" x14ac:dyDescent="0.3">
      <c r="B1164" s="13" t="str">
        <f t="shared" si="22"/>
        <v/>
      </c>
      <c r="C1164" s="18"/>
      <c r="D1164" s="19" t="str">
        <f>IF(Tabela2[[#This Row],[AGRUPADOR]]&lt;&gt;"",VLOOKUP(Tabela2[[#This Row],[AGRUPADOR]],Tabela1[],2,0),"")</f>
        <v/>
      </c>
      <c r="E1164" s="19" t="str">
        <f>IF(Tabela2[[#This Row],[AGRUPADOR]]&lt;&gt;"",VLOOKUP(Tabela2[[#This Row],[AGRUPADOR]],Tabela1[],4,0),"")</f>
        <v/>
      </c>
      <c r="F1164" s="14"/>
      <c r="G1164" s="6"/>
      <c r="H1164" s="6"/>
      <c r="I1164" s="25"/>
      <c r="J1164" s="7"/>
      <c r="K1164" s="15"/>
      <c r="L1164" s="379">
        <f>IF(H1164&lt;&gt;"",J1164*K1164,SUMIFS(L1165:L$9844,$F1165:$F$9844,"*"&amp;F1164&amp;"*",$H1165:$H$9844,"&lt;&gt;"))</f>
        <v>0</v>
      </c>
      <c r="M1164" s="379" t="str">
        <f>IF(Tabela2[[#This Row],[UNID.]]&lt;&gt;"",IFERROR(VLOOKUP(Tabela2[[#This Row],[AGRUPADOR]],Lucratividade!$D$4:$O$129,6,0),0),"")</f>
        <v/>
      </c>
      <c r="N1164" s="379">
        <f>IF(H1164&lt;&gt;"",J1164*M1164*I1164,SUMIFS(N1165:N$9844,$F1165:$F$9844,"*"&amp;F1164&amp;"*",$H1165:$H$9844,"&lt;&gt;"))</f>
        <v>0</v>
      </c>
      <c r="O1164" s="162" t="str">
        <f>IFERROR((-Tabela2[[#This Row],[CUSTO TOTAL]]+Tabela2[[#This Row],[VENDA TOTAL]])/Tabela2[[#This Row],[VENDA TOTAL]]-PARAMETROS!$C$19,"")</f>
        <v/>
      </c>
      <c r="AA1164" s="219">
        <f>SUM(Plan_Orc[[#This Row],[01/jan]:[01/dez]])</f>
        <v>0</v>
      </c>
      <c r="AB1164" s="15"/>
      <c r="AC1164" s="15"/>
      <c r="AD1164" s="15"/>
      <c r="AE1164" s="15"/>
      <c r="AF1164" s="15"/>
      <c r="AG1164" s="15"/>
      <c r="AH1164" s="15"/>
      <c r="AI1164" s="15"/>
      <c r="AJ1164" s="15"/>
      <c r="AK1164" s="15"/>
      <c r="AL1164" s="15"/>
      <c r="AM1164" s="15"/>
    </row>
    <row r="1165" spans="2:39" ht="25.2" customHeight="1" x14ac:dyDescent="0.3">
      <c r="B1165" s="13" t="str">
        <f t="shared" si="22"/>
        <v/>
      </c>
      <c r="C1165" s="18"/>
      <c r="D1165" s="19" t="str">
        <f>IF(Tabela2[[#This Row],[AGRUPADOR]]&lt;&gt;"",VLOOKUP(Tabela2[[#This Row],[AGRUPADOR]],Tabela1[],2,0),"")</f>
        <v/>
      </c>
      <c r="E1165" s="19" t="str">
        <f>IF(Tabela2[[#This Row],[AGRUPADOR]]&lt;&gt;"",VLOOKUP(Tabela2[[#This Row],[AGRUPADOR]],Tabela1[],4,0),"")</f>
        <v/>
      </c>
      <c r="F1165" s="14"/>
      <c r="G1165" s="6"/>
      <c r="H1165" s="6"/>
      <c r="I1165" s="25"/>
      <c r="J1165" s="7"/>
      <c r="K1165" s="15"/>
      <c r="L1165" s="379">
        <f>IF(H1165&lt;&gt;"",J1165*K1165,SUMIFS(L1166:L$9844,$F1166:$F$9844,"*"&amp;F1165&amp;"*",$H1166:$H$9844,"&lt;&gt;"))</f>
        <v>0</v>
      </c>
      <c r="M1165" s="379" t="str">
        <f>IF(Tabela2[[#This Row],[UNID.]]&lt;&gt;"",IFERROR(VLOOKUP(Tabela2[[#This Row],[AGRUPADOR]],Lucratividade!$D$4:$O$129,6,0),0),"")</f>
        <v/>
      </c>
      <c r="N1165" s="379">
        <f>IF(H1165&lt;&gt;"",J1165*M1165*I1165,SUMIFS(N1166:N$9844,$F1166:$F$9844,"*"&amp;F1165&amp;"*",$H1166:$H$9844,"&lt;&gt;"))</f>
        <v>0</v>
      </c>
      <c r="O1165" s="162" t="str">
        <f>IFERROR((-Tabela2[[#This Row],[CUSTO TOTAL]]+Tabela2[[#This Row],[VENDA TOTAL]])/Tabela2[[#This Row],[VENDA TOTAL]]-PARAMETROS!$C$19,"")</f>
        <v/>
      </c>
      <c r="AA1165" s="224">
        <f>SUM(Plan_Orc[[#This Row],[01/jan]:[01/dez]])</f>
        <v>0</v>
      </c>
      <c r="AB1165" s="203"/>
      <c r="AC1165" s="203"/>
      <c r="AD1165" s="203"/>
      <c r="AE1165" s="203"/>
      <c r="AF1165" s="203"/>
      <c r="AG1165" s="203"/>
      <c r="AH1165" s="203"/>
      <c r="AI1165" s="203"/>
      <c r="AJ1165" s="203"/>
      <c r="AK1165" s="203"/>
      <c r="AL1165" s="203"/>
      <c r="AM1165" s="203"/>
    </row>
    <row r="1166" spans="2:39" ht="25.2" customHeight="1" x14ac:dyDescent="0.3">
      <c r="B1166" s="13" t="str">
        <f t="shared" si="22"/>
        <v/>
      </c>
      <c r="C1166" s="18"/>
      <c r="D1166" s="19" t="str">
        <f>IF(Tabela2[[#This Row],[AGRUPADOR]]&lt;&gt;"",VLOOKUP(Tabela2[[#This Row],[AGRUPADOR]],Tabela1[],2,0),"")</f>
        <v/>
      </c>
      <c r="E1166" s="19" t="str">
        <f>IF(Tabela2[[#This Row],[AGRUPADOR]]&lt;&gt;"",VLOOKUP(Tabela2[[#This Row],[AGRUPADOR]],Tabela1[],4,0),"")</f>
        <v/>
      </c>
      <c r="F1166" s="14"/>
      <c r="G1166" s="6"/>
      <c r="H1166" s="6"/>
      <c r="I1166" s="25"/>
      <c r="J1166" s="7"/>
      <c r="K1166" s="15"/>
      <c r="L1166" s="379">
        <f>IF(H1166&lt;&gt;"",J1166*K1166,SUMIFS(L1167:L$9844,$F1167:$F$9844,"*"&amp;F1166&amp;"*",$H1167:$H$9844,"&lt;&gt;"))</f>
        <v>0</v>
      </c>
      <c r="M1166" s="379" t="str">
        <f>IF(Tabela2[[#This Row],[UNID.]]&lt;&gt;"",IFERROR(VLOOKUP(Tabela2[[#This Row],[AGRUPADOR]],Lucratividade!$D$4:$O$129,6,0),0),"")</f>
        <v/>
      </c>
      <c r="N1166" s="379">
        <f>IF(H1166&lt;&gt;"",J1166*M1166*I1166,SUMIFS(N1167:N$9844,$F1167:$F$9844,"*"&amp;F1166&amp;"*",$H1167:$H$9844,"&lt;&gt;"))</f>
        <v>0</v>
      </c>
      <c r="O1166" s="162" t="str">
        <f>IFERROR((-Tabela2[[#This Row],[CUSTO TOTAL]]+Tabela2[[#This Row],[VENDA TOTAL]])/Tabela2[[#This Row],[VENDA TOTAL]]-PARAMETROS!$C$19,"")</f>
        <v/>
      </c>
      <c r="AA1166" s="218">
        <f>SUM(Plan_Orc[[#This Row],[01/jan]:[01/dez]])</f>
        <v>0</v>
      </c>
      <c r="AB1166" s="12"/>
      <c r="AC1166" s="12"/>
      <c r="AD1166" s="12"/>
      <c r="AE1166" s="12"/>
      <c r="AF1166" s="12"/>
      <c r="AG1166" s="12"/>
      <c r="AH1166" s="12"/>
      <c r="AI1166" s="12"/>
      <c r="AJ1166" s="12"/>
      <c r="AK1166" s="12"/>
      <c r="AL1166" s="12"/>
      <c r="AM1166" s="12"/>
    </row>
    <row r="1167" spans="2:39" ht="25.2" customHeight="1" x14ac:dyDescent="0.3">
      <c r="B1167" s="13" t="str">
        <f t="shared" si="22"/>
        <v/>
      </c>
      <c r="C1167" s="18"/>
      <c r="D1167" s="19" t="str">
        <f>IF(Tabela2[[#This Row],[AGRUPADOR]]&lt;&gt;"",VLOOKUP(Tabela2[[#This Row],[AGRUPADOR]],Tabela1[],2,0),"")</f>
        <v/>
      </c>
      <c r="E1167" s="19" t="str">
        <f>IF(Tabela2[[#This Row],[AGRUPADOR]]&lt;&gt;"",VLOOKUP(Tabela2[[#This Row],[AGRUPADOR]],Tabela1[],4,0),"")</f>
        <v/>
      </c>
      <c r="F1167" s="14"/>
      <c r="G1167" s="6"/>
      <c r="H1167" s="6"/>
      <c r="I1167" s="25"/>
      <c r="J1167" s="7"/>
      <c r="K1167" s="15"/>
      <c r="L1167" s="379">
        <f>IF(H1167&lt;&gt;"",J1167*K1167,SUMIFS(L1168:L$9844,$F1168:$F$9844,"*"&amp;F1167&amp;"*",$H1168:$H$9844,"&lt;&gt;"))</f>
        <v>0</v>
      </c>
      <c r="M1167" s="379" t="str">
        <f>IF(Tabela2[[#This Row],[UNID.]]&lt;&gt;"",IFERROR(VLOOKUP(Tabela2[[#This Row],[AGRUPADOR]],Lucratividade!$D$4:$O$129,6,0),0),"")</f>
        <v/>
      </c>
      <c r="N1167" s="379">
        <f>IF(H1167&lt;&gt;"",J1167*M1167*I1167,SUMIFS(N1168:N$9844,$F1168:$F$9844,"*"&amp;F1167&amp;"*",$H1168:$H$9844,"&lt;&gt;"))</f>
        <v>0</v>
      </c>
      <c r="O1167" s="162" t="str">
        <f>IFERROR((-Tabela2[[#This Row],[CUSTO TOTAL]]+Tabela2[[#This Row],[VENDA TOTAL]])/Tabela2[[#This Row],[VENDA TOTAL]]-PARAMETROS!$C$19,"")</f>
        <v/>
      </c>
      <c r="AA1167" s="219">
        <f>SUM(Plan_Orc[[#This Row],[01/jan]:[01/dez]])</f>
        <v>0</v>
      </c>
      <c r="AB1167" s="15"/>
      <c r="AC1167" s="15"/>
      <c r="AD1167" s="15"/>
      <c r="AE1167" s="15"/>
      <c r="AF1167" s="15"/>
      <c r="AG1167" s="15"/>
      <c r="AH1167" s="15"/>
      <c r="AI1167" s="15"/>
      <c r="AJ1167" s="15"/>
      <c r="AK1167" s="15"/>
      <c r="AL1167" s="15"/>
      <c r="AM1167" s="15"/>
    </row>
    <row r="1168" spans="2:39" ht="25.2" customHeight="1" x14ac:dyDescent="0.3">
      <c r="B1168" s="13" t="str">
        <f t="shared" si="22"/>
        <v/>
      </c>
      <c r="C1168" s="18"/>
      <c r="D1168" s="19" t="str">
        <f>IF(Tabela2[[#This Row],[AGRUPADOR]]&lt;&gt;"",VLOOKUP(Tabela2[[#This Row],[AGRUPADOR]],Tabela1[],2,0),"")</f>
        <v/>
      </c>
      <c r="E1168" s="19" t="str">
        <f>IF(Tabela2[[#This Row],[AGRUPADOR]]&lt;&gt;"",VLOOKUP(Tabela2[[#This Row],[AGRUPADOR]],Tabela1[],4,0),"")</f>
        <v/>
      </c>
      <c r="F1168" s="14"/>
      <c r="G1168" s="6"/>
      <c r="H1168" s="6"/>
      <c r="I1168" s="25"/>
      <c r="J1168" s="7"/>
      <c r="K1168" s="15"/>
      <c r="L1168" s="379">
        <f>IF(H1168&lt;&gt;"",J1168*K1168,SUMIFS(L1169:L$9844,$F1169:$F$9844,"*"&amp;F1168&amp;"*",$H1169:$H$9844,"&lt;&gt;"))</f>
        <v>0</v>
      </c>
      <c r="M1168" s="379" t="str">
        <f>IF(Tabela2[[#This Row],[UNID.]]&lt;&gt;"",IFERROR(VLOOKUP(Tabela2[[#This Row],[AGRUPADOR]],Lucratividade!$D$4:$O$129,6,0),0),"")</f>
        <v/>
      </c>
      <c r="N1168" s="379">
        <f>IF(H1168&lt;&gt;"",J1168*M1168*I1168,SUMIFS(N1169:N$9844,$F1169:$F$9844,"*"&amp;F1168&amp;"*",$H1169:$H$9844,"&lt;&gt;"))</f>
        <v>0</v>
      </c>
      <c r="O1168" s="162" t="str">
        <f>IFERROR((-Tabela2[[#This Row],[CUSTO TOTAL]]+Tabela2[[#This Row],[VENDA TOTAL]])/Tabela2[[#This Row],[VENDA TOTAL]]-PARAMETROS!$C$19,"")</f>
        <v/>
      </c>
      <c r="AA1168" s="219">
        <f>SUM(Plan_Orc[[#This Row],[01/jan]:[01/dez]])</f>
        <v>0</v>
      </c>
      <c r="AB1168" s="15"/>
      <c r="AC1168" s="15"/>
      <c r="AD1168" s="15"/>
      <c r="AE1168" s="15"/>
      <c r="AF1168" s="15"/>
      <c r="AG1168" s="15"/>
      <c r="AH1168" s="15"/>
      <c r="AI1168" s="15"/>
      <c r="AJ1168" s="15"/>
      <c r="AK1168" s="15"/>
      <c r="AL1168" s="15"/>
      <c r="AM1168" s="15"/>
    </row>
    <row r="1169" spans="2:39" ht="25.2" customHeight="1" x14ac:dyDescent="0.3">
      <c r="B1169" s="13" t="str">
        <f t="shared" si="22"/>
        <v/>
      </c>
      <c r="C1169" s="18"/>
      <c r="D1169" s="19" t="str">
        <f>IF(Tabela2[[#This Row],[AGRUPADOR]]&lt;&gt;"",VLOOKUP(Tabela2[[#This Row],[AGRUPADOR]],Tabela1[],2,0),"")</f>
        <v/>
      </c>
      <c r="E1169" s="19" t="str">
        <f>IF(Tabela2[[#This Row],[AGRUPADOR]]&lt;&gt;"",VLOOKUP(Tabela2[[#This Row],[AGRUPADOR]],Tabela1[],4,0),"")</f>
        <v/>
      </c>
      <c r="F1169" s="14"/>
      <c r="G1169" s="6"/>
      <c r="H1169" s="6"/>
      <c r="I1169" s="25"/>
      <c r="J1169" s="7"/>
      <c r="K1169" s="15"/>
      <c r="L1169" s="379">
        <f>IF(H1169&lt;&gt;"",J1169*K1169,SUMIFS(L1170:L$9844,$F1170:$F$9844,"*"&amp;F1169&amp;"*",$H1170:$H$9844,"&lt;&gt;"))</f>
        <v>0</v>
      </c>
      <c r="M1169" s="379" t="str">
        <f>IF(Tabela2[[#This Row],[UNID.]]&lt;&gt;"",IFERROR(VLOOKUP(Tabela2[[#This Row],[AGRUPADOR]],Lucratividade!$D$4:$O$129,6,0),0),"")</f>
        <v/>
      </c>
      <c r="N1169" s="379">
        <f>IF(H1169&lt;&gt;"",J1169*M1169*I1169,SUMIFS(N1170:N$9844,$F1170:$F$9844,"*"&amp;F1169&amp;"*",$H1170:$H$9844,"&lt;&gt;"))</f>
        <v>0</v>
      </c>
      <c r="O1169" s="162" t="str">
        <f>IFERROR((-Tabela2[[#This Row],[CUSTO TOTAL]]+Tabela2[[#This Row],[VENDA TOTAL]])/Tabela2[[#This Row],[VENDA TOTAL]]-PARAMETROS!$C$19,"")</f>
        <v/>
      </c>
      <c r="AA1169" s="219">
        <f>SUM(Plan_Orc[[#This Row],[01/jan]:[01/dez]])</f>
        <v>0</v>
      </c>
      <c r="AB1169" s="15"/>
      <c r="AC1169" s="15"/>
      <c r="AD1169" s="15"/>
      <c r="AE1169" s="15"/>
      <c r="AF1169" s="15"/>
      <c r="AG1169" s="15"/>
      <c r="AH1169" s="15"/>
      <c r="AI1169" s="15"/>
      <c r="AJ1169" s="15"/>
      <c r="AK1169" s="15"/>
      <c r="AL1169" s="15"/>
      <c r="AM1169" s="15"/>
    </row>
    <row r="1170" spans="2:39" ht="25.2" customHeight="1" x14ac:dyDescent="0.3">
      <c r="B1170" s="13" t="str">
        <f t="shared" si="22"/>
        <v/>
      </c>
      <c r="C1170" s="18"/>
      <c r="D1170" s="19" t="str">
        <f>IF(Tabela2[[#This Row],[AGRUPADOR]]&lt;&gt;"",VLOOKUP(Tabela2[[#This Row],[AGRUPADOR]],Tabela1[],2,0),"")</f>
        <v/>
      </c>
      <c r="E1170" s="19" t="str">
        <f>IF(Tabela2[[#This Row],[AGRUPADOR]]&lt;&gt;"",VLOOKUP(Tabela2[[#This Row],[AGRUPADOR]],Tabela1[],4,0),"")</f>
        <v/>
      </c>
      <c r="F1170" s="14"/>
      <c r="G1170" s="6"/>
      <c r="H1170" s="6"/>
      <c r="I1170" s="25"/>
      <c r="J1170" s="7"/>
      <c r="K1170" s="15"/>
      <c r="L1170" s="379">
        <f>IF(H1170&lt;&gt;"",J1170*K1170,SUMIFS(L1171:L$9844,$F1171:$F$9844,"*"&amp;F1170&amp;"*",$H1171:$H$9844,"&lt;&gt;"))</f>
        <v>0</v>
      </c>
      <c r="M1170" s="379" t="str">
        <f>IF(Tabela2[[#This Row],[UNID.]]&lt;&gt;"",IFERROR(VLOOKUP(Tabela2[[#This Row],[AGRUPADOR]],Lucratividade!$D$4:$O$129,6,0),0),"")</f>
        <v/>
      </c>
      <c r="N1170" s="379">
        <f>IF(H1170&lt;&gt;"",J1170*M1170*I1170,SUMIFS(N1171:N$9844,$F1171:$F$9844,"*"&amp;F1170&amp;"*",$H1171:$H$9844,"&lt;&gt;"))</f>
        <v>0</v>
      </c>
      <c r="O1170" s="162" t="str">
        <f>IFERROR((-Tabela2[[#This Row],[CUSTO TOTAL]]+Tabela2[[#This Row],[VENDA TOTAL]])/Tabela2[[#This Row],[VENDA TOTAL]]-PARAMETROS!$C$19,"")</f>
        <v/>
      </c>
      <c r="AA1170" s="219">
        <f>SUM(Plan_Orc[[#This Row],[01/jan]:[01/dez]])</f>
        <v>0</v>
      </c>
      <c r="AB1170" s="15"/>
      <c r="AC1170" s="15"/>
      <c r="AD1170" s="15"/>
      <c r="AE1170" s="15"/>
      <c r="AF1170" s="15"/>
      <c r="AG1170" s="15"/>
      <c r="AH1170" s="15"/>
      <c r="AI1170" s="15"/>
      <c r="AJ1170" s="15"/>
      <c r="AK1170" s="15"/>
      <c r="AL1170" s="15"/>
      <c r="AM1170" s="15"/>
    </row>
    <row r="1171" spans="2:39" ht="25.2" customHeight="1" x14ac:dyDescent="0.3">
      <c r="B1171" s="13" t="str">
        <f t="shared" si="22"/>
        <v/>
      </c>
      <c r="C1171" s="18"/>
      <c r="D1171" s="19" t="str">
        <f>IF(Tabela2[[#This Row],[AGRUPADOR]]&lt;&gt;"",VLOOKUP(Tabela2[[#This Row],[AGRUPADOR]],Tabela1[],2,0),"")</f>
        <v/>
      </c>
      <c r="E1171" s="19" t="str">
        <f>IF(Tabela2[[#This Row],[AGRUPADOR]]&lt;&gt;"",VLOOKUP(Tabela2[[#This Row],[AGRUPADOR]],Tabela1[],4,0),"")</f>
        <v/>
      </c>
      <c r="F1171" s="14"/>
      <c r="G1171" s="6"/>
      <c r="H1171" s="6"/>
      <c r="I1171" s="25"/>
      <c r="J1171" s="7"/>
      <c r="K1171" s="15"/>
      <c r="L1171" s="379">
        <f>IF(H1171&lt;&gt;"",J1171*K1171,SUMIFS(L1172:L$9844,$F1172:$F$9844,"*"&amp;F1171&amp;"*",$H1172:$H$9844,"&lt;&gt;"))</f>
        <v>0</v>
      </c>
      <c r="M1171" s="379" t="str">
        <f>IF(Tabela2[[#This Row],[UNID.]]&lt;&gt;"",IFERROR(VLOOKUP(Tabela2[[#This Row],[AGRUPADOR]],Lucratividade!$D$4:$O$129,6,0),0),"")</f>
        <v/>
      </c>
      <c r="N1171" s="379">
        <f>IF(H1171&lt;&gt;"",J1171*M1171*I1171,SUMIFS(N1172:N$9844,$F1172:$F$9844,"*"&amp;F1171&amp;"*",$H1172:$H$9844,"&lt;&gt;"))</f>
        <v>0</v>
      </c>
      <c r="O1171" s="162" t="str">
        <f>IFERROR((-Tabela2[[#This Row],[CUSTO TOTAL]]+Tabela2[[#This Row],[VENDA TOTAL]])/Tabela2[[#This Row],[VENDA TOTAL]]-PARAMETROS!$C$19,"")</f>
        <v/>
      </c>
      <c r="AA1171" s="219">
        <f>SUM(Plan_Orc[[#This Row],[01/jan]:[01/dez]])</f>
        <v>0</v>
      </c>
      <c r="AB1171" s="15"/>
      <c r="AC1171" s="15"/>
      <c r="AD1171" s="15"/>
      <c r="AE1171" s="15"/>
      <c r="AF1171" s="15"/>
      <c r="AG1171" s="15"/>
      <c r="AH1171" s="15"/>
      <c r="AI1171" s="15"/>
      <c r="AJ1171" s="15"/>
      <c r="AK1171" s="15"/>
      <c r="AL1171" s="15"/>
      <c r="AM1171" s="15"/>
    </row>
    <row r="1172" spans="2:39" ht="25.2" customHeight="1" x14ac:dyDescent="0.3">
      <c r="B1172" s="13" t="str">
        <f t="shared" si="22"/>
        <v/>
      </c>
      <c r="C1172" s="18"/>
      <c r="D1172" s="19" t="str">
        <f>IF(Tabela2[[#This Row],[AGRUPADOR]]&lt;&gt;"",VLOOKUP(Tabela2[[#This Row],[AGRUPADOR]],Tabela1[],2,0),"")</f>
        <v/>
      </c>
      <c r="E1172" s="19" t="str">
        <f>IF(Tabela2[[#This Row],[AGRUPADOR]]&lt;&gt;"",VLOOKUP(Tabela2[[#This Row],[AGRUPADOR]],Tabela1[],4,0),"")</f>
        <v/>
      </c>
      <c r="F1172" s="14"/>
      <c r="G1172" s="6"/>
      <c r="H1172" s="6"/>
      <c r="I1172" s="25"/>
      <c r="J1172" s="7"/>
      <c r="K1172" s="15"/>
      <c r="L1172" s="379">
        <f>IF(H1172&lt;&gt;"",J1172*K1172,SUMIFS(L1173:L$9844,$F1173:$F$9844,"*"&amp;F1172&amp;"*",$H1173:$H$9844,"&lt;&gt;"))</f>
        <v>0</v>
      </c>
      <c r="M1172" s="379" t="str">
        <f>IF(Tabela2[[#This Row],[UNID.]]&lt;&gt;"",IFERROR(VLOOKUP(Tabela2[[#This Row],[AGRUPADOR]],Lucratividade!$D$4:$O$129,6,0),0),"")</f>
        <v/>
      </c>
      <c r="N1172" s="379">
        <f>IF(H1172&lt;&gt;"",J1172*M1172*I1172,SUMIFS(N1173:N$9844,$F1173:$F$9844,"*"&amp;F1172&amp;"*",$H1173:$H$9844,"&lt;&gt;"))</f>
        <v>0</v>
      </c>
      <c r="O1172" s="162" t="str">
        <f>IFERROR((-Tabela2[[#This Row],[CUSTO TOTAL]]+Tabela2[[#This Row],[VENDA TOTAL]])/Tabela2[[#This Row],[VENDA TOTAL]]-PARAMETROS!$C$19,"")</f>
        <v/>
      </c>
      <c r="AA1172" s="219">
        <f>SUM(Plan_Orc[[#This Row],[01/jan]:[01/dez]])</f>
        <v>0</v>
      </c>
      <c r="AB1172" s="15"/>
      <c r="AC1172" s="15"/>
      <c r="AD1172" s="15"/>
      <c r="AE1172" s="15"/>
      <c r="AF1172" s="15"/>
      <c r="AG1172" s="15"/>
      <c r="AH1172" s="15"/>
      <c r="AI1172" s="15"/>
      <c r="AJ1172" s="15"/>
      <c r="AK1172" s="15"/>
      <c r="AL1172" s="15"/>
      <c r="AM1172" s="15"/>
    </row>
    <row r="1173" spans="2:39" ht="25.2" customHeight="1" x14ac:dyDescent="0.3">
      <c r="B1173" s="13" t="str">
        <f t="shared" si="22"/>
        <v/>
      </c>
      <c r="C1173" s="18"/>
      <c r="D1173" s="19" t="str">
        <f>IF(Tabela2[[#This Row],[AGRUPADOR]]&lt;&gt;"",VLOOKUP(Tabela2[[#This Row],[AGRUPADOR]],Tabela1[],2,0),"")</f>
        <v/>
      </c>
      <c r="E1173" s="19" t="str">
        <f>IF(Tabela2[[#This Row],[AGRUPADOR]]&lt;&gt;"",VLOOKUP(Tabela2[[#This Row],[AGRUPADOR]],Tabela1[],4,0),"")</f>
        <v/>
      </c>
      <c r="F1173" s="14"/>
      <c r="G1173" s="6"/>
      <c r="H1173" s="6"/>
      <c r="I1173" s="25"/>
      <c r="J1173" s="7"/>
      <c r="K1173" s="15"/>
      <c r="L1173" s="379">
        <f>IF(H1173&lt;&gt;"",J1173*K1173,SUMIFS(L1174:L$9844,$F1174:$F$9844,"*"&amp;F1173&amp;"*",$H1174:$H$9844,"&lt;&gt;"))</f>
        <v>0</v>
      </c>
      <c r="M1173" s="379" t="str">
        <f>IF(Tabela2[[#This Row],[UNID.]]&lt;&gt;"",IFERROR(VLOOKUP(Tabela2[[#This Row],[AGRUPADOR]],Lucratividade!$D$4:$O$129,6,0),0),"")</f>
        <v/>
      </c>
      <c r="N1173" s="379">
        <f>IF(H1173&lt;&gt;"",J1173*M1173*I1173,SUMIFS(N1174:N$9844,$F1174:$F$9844,"*"&amp;F1173&amp;"*",$H1174:$H$9844,"&lt;&gt;"))</f>
        <v>0</v>
      </c>
      <c r="O1173" s="162" t="str">
        <f>IFERROR((-Tabela2[[#This Row],[CUSTO TOTAL]]+Tabela2[[#This Row],[VENDA TOTAL]])/Tabela2[[#This Row],[VENDA TOTAL]]-PARAMETROS!$C$19,"")</f>
        <v/>
      </c>
      <c r="AA1173" s="219">
        <f>SUM(Plan_Orc[[#This Row],[01/jan]:[01/dez]])</f>
        <v>0</v>
      </c>
      <c r="AB1173" s="15"/>
      <c r="AC1173" s="15"/>
      <c r="AD1173" s="15"/>
      <c r="AE1173" s="15"/>
      <c r="AF1173" s="15"/>
      <c r="AG1173" s="15"/>
      <c r="AH1173" s="15"/>
      <c r="AI1173" s="15"/>
      <c r="AJ1173" s="15"/>
      <c r="AK1173" s="15"/>
      <c r="AL1173" s="15"/>
      <c r="AM1173" s="15"/>
    </row>
    <row r="1174" spans="2:39" ht="25.2" customHeight="1" x14ac:dyDescent="0.3">
      <c r="B1174" s="13" t="str">
        <f t="shared" si="22"/>
        <v/>
      </c>
      <c r="C1174" s="18"/>
      <c r="D1174" s="19" t="str">
        <f>IF(Tabela2[[#This Row],[AGRUPADOR]]&lt;&gt;"",VLOOKUP(Tabela2[[#This Row],[AGRUPADOR]],Tabela1[],2,0),"")</f>
        <v/>
      </c>
      <c r="E1174" s="19" t="str">
        <f>IF(Tabela2[[#This Row],[AGRUPADOR]]&lt;&gt;"",VLOOKUP(Tabela2[[#This Row],[AGRUPADOR]],Tabela1[],4,0),"")</f>
        <v/>
      </c>
      <c r="F1174" s="14"/>
      <c r="G1174" s="6"/>
      <c r="H1174" s="6"/>
      <c r="I1174" s="25"/>
      <c r="J1174" s="7"/>
      <c r="K1174" s="15"/>
      <c r="L1174" s="379">
        <f>IF(H1174&lt;&gt;"",J1174*K1174,SUMIFS(L1175:L$9844,$F1175:$F$9844,"*"&amp;F1174&amp;"*",$H1175:$H$9844,"&lt;&gt;"))</f>
        <v>0</v>
      </c>
      <c r="M1174" s="379" t="str">
        <f>IF(Tabela2[[#This Row],[UNID.]]&lt;&gt;"",IFERROR(VLOOKUP(Tabela2[[#This Row],[AGRUPADOR]],Lucratividade!$D$4:$O$129,6,0),0),"")</f>
        <v/>
      </c>
      <c r="N1174" s="379">
        <f>IF(H1174&lt;&gt;"",J1174*M1174*I1174,SUMIFS(N1175:N$9844,$F1175:$F$9844,"*"&amp;F1174&amp;"*",$H1175:$H$9844,"&lt;&gt;"))</f>
        <v>0</v>
      </c>
      <c r="O1174" s="162" t="str">
        <f>IFERROR((-Tabela2[[#This Row],[CUSTO TOTAL]]+Tabela2[[#This Row],[VENDA TOTAL]])/Tabela2[[#This Row],[VENDA TOTAL]]-PARAMETROS!$C$19,"")</f>
        <v/>
      </c>
      <c r="AA1174" s="219">
        <f>SUM(Plan_Orc[[#This Row],[01/jan]:[01/dez]])</f>
        <v>0</v>
      </c>
      <c r="AB1174" s="15"/>
      <c r="AC1174" s="15"/>
      <c r="AD1174" s="15"/>
      <c r="AE1174" s="15"/>
      <c r="AF1174" s="15"/>
      <c r="AG1174" s="15"/>
      <c r="AH1174" s="15"/>
      <c r="AI1174" s="15"/>
      <c r="AJ1174" s="15"/>
      <c r="AK1174" s="15"/>
      <c r="AL1174" s="15"/>
      <c r="AM1174" s="15"/>
    </row>
    <row r="1175" spans="2:39" ht="25.2" customHeight="1" x14ac:dyDescent="0.3">
      <c r="B1175" s="13" t="str">
        <f t="shared" si="22"/>
        <v/>
      </c>
      <c r="C1175" s="18"/>
      <c r="D1175" s="19" t="str">
        <f>IF(Tabela2[[#This Row],[AGRUPADOR]]&lt;&gt;"",VLOOKUP(Tabela2[[#This Row],[AGRUPADOR]],Tabela1[],2,0),"")</f>
        <v/>
      </c>
      <c r="E1175" s="19" t="str">
        <f>IF(Tabela2[[#This Row],[AGRUPADOR]]&lt;&gt;"",VLOOKUP(Tabela2[[#This Row],[AGRUPADOR]],Tabela1[],4,0),"")</f>
        <v/>
      </c>
      <c r="F1175" s="14"/>
      <c r="G1175" s="6"/>
      <c r="H1175" s="6"/>
      <c r="I1175" s="25"/>
      <c r="J1175" s="7"/>
      <c r="K1175" s="15"/>
      <c r="L1175" s="379">
        <f>IF(H1175&lt;&gt;"",J1175*K1175,SUMIFS(L1176:L$9844,$F1176:$F$9844,"*"&amp;F1175&amp;"*",$H1176:$H$9844,"&lt;&gt;"))</f>
        <v>0</v>
      </c>
      <c r="M1175" s="379" t="str">
        <f>IF(Tabela2[[#This Row],[UNID.]]&lt;&gt;"",IFERROR(VLOOKUP(Tabela2[[#This Row],[AGRUPADOR]],Lucratividade!$D$4:$O$129,6,0),0),"")</f>
        <v/>
      </c>
      <c r="N1175" s="379">
        <f>IF(H1175&lt;&gt;"",J1175*M1175*I1175,SUMIFS(N1176:N$9844,$F1176:$F$9844,"*"&amp;F1175&amp;"*",$H1176:$H$9844,"&lt;&gt;"))</f>
        <v>0</v>
      </c>
      <c r="O1175" s="162" t="str">
        <f>IFERROR((-Tabela2[[#This Row],[CUSTO TOTAL]]+Tabela2[[#This Row],[VENDA TOTAL]])/Tabela2[[#This Row],[VENDA TOTAL]]-PARAMETROS!$C$19,"")</f>
        <v/>
      </c>
      <c r="AA1175" s="219">
        <f>SUM(Plan_Orc[[#This Row],[01/jan]:[01/dez]])</f>
        <v>0</v>
      </c>
      <c r="AB1175" s="15"/>
      <c r="AC1175" s="15"/>
      <c r="AD1175" s="15"/>
      <c r="AE1175" s="15"/>
      <c r="AF1175" s="15"/>
      <c r="AG1175" s="15"/>
      <c r="AH1175" s="15"/>
      <c r="AI1175" s="15"/>
      <c r="AJ1175" s="15"/>
      <c r="AK1175" s="15"/>
      <c r="AL1175" s="15"/>
      <c r="AM1175" s="15"/>
    </row>
    <row r="1176" spans="2:39" ht="25.2" customHeight="1" x14ac:dyDescent="0.3">
      <c r="B1176" s="13" t="str">
        <f t="shared" si="22"/>
        <v/>
      </c>
      <c r="C1176" s="18"/>
      <c r="D1176" s="19" t="str">
        <f>IF(Tabela2[[#This Row],[AGRUPADOR]]&lt;&gt;"",VLOOKUP(Tabela2[[#This Row],[AGRUPADOR]],Tabela1[],2,0),"")</f>
        <v/>
      </c>
      <c r="E1176" s="19" t="str">
        <f>IF(Tabela2[[#This Row],[AGRUPADOR]]&lt;&gt;"",VLOOKUP(Tabela2[[#This Row],[AGRUPADOR]],Tabela1[],4,0),"")</f>
        <v/>
      </c>
      <c r="F1176" s="14"/>
      <c r="G1176" s="6"/>
      <c r="H1176" s="6"/>
      <c r="I1176" s="25"/>
      <c r="J1176" s="7"/>
      <c r="K1176" s="15"/>
      <c r="L1176" s="379">
        <f>IF(H1176&lt;&gt;"",J1176*K1176,SUMIFS(L1177:L$9844,$F1177:$F$9844,"*"&amp;F1176&amp;"*",$H1177:$H$9844,"&lt;&gt;"))</f>
        <v>0</v>
      </c>
      <c r="M1176" s="379" t="str">
        <f>IF(Tabela2[[#This Row],[UNID.]]&lt;&gt;"",IFERROR(VLOOKUP(Tabela2[[#This Row],[AGRUPADOR]],Lucratividade!$D$4:$O$129,6,0),0),"")</f>
        <v/>
      </c>
      <c r="N1176" s="379">
        <f>IF(H1176&lt;&gt;"",J1176*M1176*I1176,SUMIFS(N1177:N$9844,$F1177:$F$9844,"*"&amp;F1176&amp;"*",$H1177:$H$9844,"&lt;&gt;"))</f>
        <v>0</v>
      </c>
      <c r="O1176" s="162" t="str">
        <f>IFERROR((-Tabela2[[#This Row],[CUSTO TOTAL]]+Tabela2[[#This Row],[VENDA TOTAL]])/Tabela2[[#This Row],[VENDA TOTAL]]-PARAMETROS!$C$19,"")</f>
        <v/>
      </c>
      <c r="AA1176" s="219">
        <f>SUM(Plan_Orc[[#This Row],[01/jan]:[01/dez]])</f>
        <v>0</v>
      </c>
      <c r="AB1176" s="15"/>
      <c r="AC1176" s="15"/>
      <c r="AD1176" s="15"/>
      <c r="AE1176" s="15"/>
      <c r="AF1176" s="15"/>
      <c r="AG1176" s="15"/>
      <c r="AH1176" s="15"/>
      <c r="AI1176" s="15"/>
      <c r="AJ1176" s="15"/>
      <c r="AK1176" s="15"/>
      <c r="AL1176" s="15"/>
      <c r="AM1176" s="15"/>
    </row>
    <row r="1177" spans="2:39" ht="25.2" customHeight="1" x14ac:dyDescent="0.3">
      <c r="B1177" s="13" t="str">
        <f t="shared" si="22"/>
        <v/>
      </c>
      <c r="C1177" s="18"/>
      <c r="D1177" s="19" t="str">
        <f>IF(Tabela2[[#This Row],[AGRUPADOR]]&lt;&gt;"",VLOOKUP(Tabela2[[#This Row],[AGRUPADOR]],Tabela1[],2,0),"")</f>
        <v/>
      </c>
      <c r="E1177" s="19" t="str">
        <f>IF(Tabela2[[#This Row],[AGRUPADOR]]&lt;&gt;"",VLOOKUP(Tabela2[[#This Row],[AGRUPADOR]],Tabela1[],4,0),"")</f>
        <v/>
      </c>
      <c r="F1177" s="14"/>
      <c r="G1177" s="6"/>
      <c r="H1177" s="6"/>
      <c r="I1177" s="25"/>
      <c r="J1177" s="7"/>
      <c r="K1177" s="15"/>
      <c r="L1177" s="379">
        <f>IF(H1177&lt;&gt;"",J1177*K1177,SUMIFS(L1178:L$9844,$F1178:$F$9844,"*"&amp;F1177&amp;"*",$H1178:$H$9844,"&lt;&gt;"))</f>
        <v>0</v>
      </c>
      <c r="M1177" s="379" t="str">
        <f>IF(Tabela2[[#This Row],[UNID.]]&lt;&gt;"",IFERROR(VLOOKUP(Tabela2[[#This Row],[AGRUPADOR]],Lucratividade!$D$4:$O$129,6,0),0),"")</f>
        <v/>
      </c>
      <c r="N1177" s="379">
        <f>IF(H1177&lt;&gt;"",J1177*M1177*I1177,SUMIFS(N1178:N$9844,$F1178:$F$9844,"*"&amp;F1177&amp;"*",$H1178:$H$9844,"&lt;&gt;"))</f>
        <v>0</v>
      </c>
      <c r="O1177" s="162" t="str">
        <f>IFERROR((-Tabela2[[#This Row],[CUSTO TOTAL]]+Tabela2[[#This Row],[VENDA TOTAL]])/Tabela2[[#This Row],[VENDA TOTAL]]-PARAMETROS!$C$19,"")</f>
        <v/>
      </c>
      <c r="AA1177" s="219">
        <f>SUM(Plan_Orc[[#This Row],[01/jan]:[01/dez]])</f>
        <v>0</v>
      </c>
      <c r="AB1177" s="15"/>
      <c r="AC1177" s="15"/>
      <c r="AD1177" s="15"/>
      <c r="AE1177" s="15"/>
      <c r="AF1177" s="15"/>
      <c r="AG1177" s="15"/>
      <c r="AH1177" s="15"/>
      <c r="AI1177" s="15"/>
      <c r="AJ1177" s="15"/>
      <c r="AK1177" s="15"/>
      <c r="AL1177" s="15"/>
      <c r="AM1177" s="15"/>
    </row>
    <row r="1178" spans="2:39" ht="25.2" customHeight="1" x14ac:dyDescent="0.3">
      <c r="B1178" s="13" t="str">
        <f t="shared" si="22"/>
        <v/>
      </c>
      <c r="C1178" s="18"/>
      <c r="D1178" s="19" t="str">
        <f>IF(Tabela2[[#This Row],[AGRUPADOR]]&lt;&gt;"",VLOOKUP(Tabela2[[#This Row],[AGRUPADOR]],Tabela1[],2,0),"")</f>
        <v/>
      </c>
      <c r="E1178" s="19" t="str">
        <f>IF(Tabela2[[#This Row],[AGRUPADOR]]&lt;&gt;"",VLOOKUP(Tabela2[[#This Row],[AGRUPADOR]],Tabela1[],4,0),"")</f>
        <v/>
      </c>
      <c r="F1178" s="14"/>
      <c r="G1178" s="6"/>
      <c r="H1178" s="6"/>
      <c r="I1178" s="25"/>
      <c r="J1178" s="7"/>
      <c r="K1178" s="15"/>
      <c r="L1178" s="379">
        <f>IF(H1178&lt;&gt;"",J1178*K1178,SUMIFS(L1179:L$9844,$F1179:$F$9844,"*"&amp;F1178&amp;"*",$H1179:$H$9844,"&lt;&gt;"))</f>
        <v>0</v>
      </c>
      <c r="M1178" s="379" t="str">
        <f>IF(Tabela2[[#This Row],[UNID.]]&lt;&gt;"",IFERROR(VLOOKUP(Tabela2[[#This Row],[AGRUPADOR]],Lucratividade!$D$4:$O$129,6,0),0),"")</f>
        <v/>
      </c>
      <c r="N1178" s="379">
        <f>IF(H1178&lt;&gt;"",J1178*M1178*I1178,SUMIFS(N1179:N$9844,$F1179:$F$9844,"*"&amp;F1178&amp;"*",$H1179:$H$9844,"&lt;&gt;"))</f>
        <v>0</v>
      </c>
      <c r="O1178" s="162" t="str">
        <f>IFERROR((-Tabela2[[#This Row],[CUSTO TOTAL]]+Tabela2[[#This Row],[VENDA TOTAL]])/Tabela2[[#This Row],[VENDA TOTAL]]-PARAMETROS!$C$19,"")</f>
        <v/>
      </c>
      <c r="AA1178" s="218">
        <f>SUM(Plan_Orc[[#This Row],[01/jan]:[01/dez]])</f>
        <v>0</v>
      </c>
      <c r="AB1178" s="12"/>
      <c r="AC1178" s="12"/>
      <c r="AD1178" s="12"/>
      <c r="AE1178" s="12"/>
      <c r="AF1178" s="12"/>
      <c r="AG1178" s="12"/>
      <c r="AH1178" s="12"/>
      <c r="AI1178" s="12"/>
      <c r="AJ1178" s="12"/>
      <c r="AK1178" s="12"/>
      <c r="AL1178" s="12"/>
      <c r="AM1178" s="12"/>
    </row>
    <row r="1179" spans="2:39" ht="25.2" customHeight="1" x14ac:dyDescent="0.3">
      <c r="B1179" s="13" t="str">
        <f t="shared" si="22"/>
        <v/>
      </c>
      <c r="C1179" s="18"/>
      <c r="D1179" s="19" t="str">
        <f>IF(Tabela2[[#This Row],[AGRUPADOR]]&lt;&gt;"",VLOOKUP(Tabela2[[#This Row],[AGRUPADOR]],Tabela1[],2,0),"")</f>
        <v/>
      </c>
      <c r="E1179" s="19" t="str">
        <f>IF(Tabela2[[#This Row],[AGRUPADOR]]&lt;&gt;"",VLOOKUP(Tabela2[[#This Row],[AGRUPADOR]],Tabela1[],4,0),"")</f>
        <v/>
      </c>
      <c r="F1179" s="14"/>
      <c r="G1179" s="6"/>
      <c r="H1179" s="6"/>
      <c r="I1179" s="25"/>
      <c r="J1179" s="7"/>
      <c r="K1179" s="15"/>
      <c r="L1179" s="379">
        <f>IF(H1179&lt;&gt;"",J1179*K1179,SUMIFS(L1180:L$9844,$F1180:$F$9844,"*"&amp;F1179&amp;"*",$H1180:$H$9844,"&lt;&gt;"))</f>
        <v>0</v>
      </c>
      <c r="M1179" s="379" t="str">
        <f>IF(Tabela2[[#This Row],[UNID.]]&lt;&gt;"",IFERROR(VLOOKUP(Tabela2[[#This Row],[AGRUPADOR]],Lucratividade!$D$4:$O$129,6,0),0),"")</f>
        <v/>
      </c>
      <c r="N1179" s="379">
        <f>IF(H1179&lt;&gt;"",J1179*M1179*I1179,SUMIFS(N1180:N$9844,$F1180:$F$9844,"*"&amp;F1179&amp;"*",$H1180:$H$9844,"&lt;&gt;"))</f>
        <v>0</v>
      </c>
      <c r="O1179" s="162" t="str">
        <f>IFERROR((-Tabela2[[#This Row],[CUSTO TOTAL]]+Tabela2[[#This Row],[VENDA TOTAL]])/Tabela2[[#This Row],[VENDA TOTAL]]-PARAMETROS!$C$19,"")</f>
        <v/>
      </c>
      <c r="AA1179" s="219">
        <f>SUM(Plan_Orc[[#This Row],[01/jan]:[01/dez]])</f>
        <v>0</v>
      </c>
      <c r="AB1179" s="15"/>
      <c r="AC1179" s="15"/>
      <c r="AD1179" s="15"/>
      <c r="AE1179" s="15"/>
      <c r="AF1179" s="15"/>
      <c r="AG1179" s="15"/>
      <c r="AH1179" s="15"/>
      <c r="AI1179" s="15"/>
      <c r="AJ1179" s="15"/>
      <c r="AK1179" s="15"/>
      <c r="AL1179" s="15"/>
      <c r="AM1179" s="15"/>
    </row>
    <row r="1180" spans="2:39" ht="25.2" customHeight="1" x14ac:dyDescent="0.3">
      <c r="B1180" s="13" t="str">
        <f t="shared" si="22"/>
        <v/>
      </c>
      <c r="C1180" s="18"/>
      <c r="D1180" s="19" t="str">
        <f>IF(Tabela2[[#This Row],[AGRUPADOR]]&lt;&gt;"",VLOOKUP(Tabela2[[#This Row],[AGRUPADOR]],Tabela1[],2,0),"")</f>
        <v/>
      </c>
      <c r="E1180" s="19" t="str">
        <f>IF(Tabela2[[#This Row],[AGRUPADOR]]&lt;&gt;"",VLOOKUP(Tabela2[[#This Row],[AGRUPADOR]],Tabela1[],4,0),"")</f>
        <v/>
      </c>
      <c r="F1180" s="14"/>
      <c r="G1180" s="6"/>
      <c r="H1180" s="6"/>
      <c r="I1180" s="25"/>
      <c r="J1180" s="7"/>
      <c r="K1180" s="15"/>
      <c r="L1180" s="379">
        <f>IF(H1180&lt;&gt;"",J1180*K1180,SUMIFS(L1181:L$9844,$F1181:$F$9844,"*"&amp;F1180&amp;"*",$H1181:$H$9844,"&lt;&gt;"))</f>
        <v>0</v>
      </c>
      <c r="M1180" s="379" t="str">
        <f>IF(Tabela2[[#This Row],[UNID.]]&lt;&gt;"",IFERROR(VLOOKUP(Tabela2[[#This Row],[AGRUPADOR]],Lucratividade!$D$4:$O$129,6,0),0),"")</f>
        <v/>
      </c>
      <c r="N1180" s="379">
        <f>IF(H1180&lt;&gt;"",J1180*M1180*I1180,SUMIFS(N1181:N$9844,$F1181:$F$9844,"*"&amp;F1180&amp;"*",$H1181:$H$9844,"&lt;&gt;"))</f>
        <v>0</v>
      </c>
      <c r="O1180" s="162" t="str">
        <f>IFERROR((-Tabela2[[#This Row],[CUSTO TOTAL]]+Tabela2[[#This Row],[VENDA TOTAL]])/Tabela2[[#This Row],[VENDA TOTAL]]-PARAMETROS!$C$19,"")</f>
        <v/>
      </c>
      <c r="AA1180" s="219">
        <f>SUM(Plan_Orc[[#This Row],[01/jan]:[01/dez]])</f>
        <v>0</v>
      </c>
      <c r="AB1180" s="15"/>
      <c r="AC1180" s="15"/>
      <c r="AD1180" s="15"/>
      <c r="AE1180" s="15"/>
      <c r="AF1180" s="15"/>
      <c r="AG1180" s="15"/>
      <c r="AH1180" s="15"/>
      <c r="AI1180" s="15"/>
      <c r="AJ1180" s="15"/>
      <c r="AK1180" s="15"/>
      <c r="AL1180" s="15"/>
      <c r="AM1180" s="15"/>
    </row>
    <row r="1181" spans="2:39" ht="25.2" customHeight="1" x14ac:dyDescent="0.3">
      <c r="B1181" s="13" t="str">
        <f t="shared" si="22"/>
        <v/>
      </c>
      <c r="C1181" s="18"/>
      <c r="D1181" s="19" t="str">
        <f>IF(Tabela2[[#This Row],[AGRUPADOR]]&lt;&gt;"",VLOOKUP(Tabela2[[#This Row],[AGRUPADOR]],Tabela1[],2,0),"")</f>
        <v/>
      </c>
      <c r="E1181" s="19" t="str">
        <f>IF(Tabela2[[#This Row],[AGRUPADOR]]&lt;&gt;"",VLOOKUP(Tabela2[[#This Row],[AGRUPADOR]],Tabela1[],4,0),"")</f>
        <v/>
      </c>
      <c r="F1181" s="14"/>
      <c r="G1181" s="6"/>
      <c r="H1181" s="6"/>
      <c r="I1181" s="25"/>
      <c r="J1181" s="7"/>
      <c r="K1181" s="15"/>
      <c r="L1181" s="379">
        <f>IF(H1181&lt;&gt;"",J1181*K1181,SUMIFS(L1182:L$9844,$F1182:$F$9844,"*"&amp;F1181&amp;"*",$H1182:$H$9844,"&lt;&gt;"))</f>
        <v>0</v>
      </c>
      <c r="M1181" s="379" t="str">
        <f>IF(Tabela2[[#This Row],[UNID.]]&lt;&gt;"",IFERROR(VLOOKUP(Tabela2[[#This Row],[AGRUPADOR]],Lucratividade!$D$4:$O$129,6,0),0),"")</f>
        <v/>
      </c>
      <c r="N1181" s="379">
        <f>IF(H1181&lt;&gt;"",J1181*M1181*I1181,SUMIFS(N1182:N$9844,$F1182:$F$9844,"*"&amp;F1181&amp;"*",$H1182:$H$9844,"&lt;&gt;"))</f>
        <v>0</v>
      </c>
      <c r="O1181" s="162" t="str">
        <f>IFERROR((-Tabela2[[#This Row],[CUSTO TOTAL]]+Tabela2[[#This Row],[VENDA TOTAL]])/Tabela2[[#This Row],[VENDA TOTAL]]-PARAMETROS!$C$19,"")</f>
        <v/>
      </c>
      <c r="AA1181" s="219">
        <f>SUM(Plan_Orc[[#This Row],[01/jan]:[01/dez]])</f>
        <v>0</v>
      </c>
      <c r="AB1181" s="15"/>
      <c r="AC1181" s="15"/>
      <c r="AD1181" s="15"/>
      <c r="AE1181" s="15"/>
      <c r="AF1181" s="15"/>
      <c r="AG1181" s="15"/>
      <c r="AH1181" s="15"/>
      <c r="AI1181" s="15"/>
      <c r="AJ1181" s="15"/>
      <c r="AK1181" s="15"/>
      <c r="AL1181" s="15"/>
      <c r="AM1181" s="15"/>
    </row>
    <row r="1182" spans="2:39" ht="25.2" customHeight="1" x14ac:dyDescent="0.3">
      <c r="B1182" s="13" t="str">
        <f t="shared" si="22"/>
        <v/>
      </c>
      <c r="C1182" s="18"/>
      <c r="D1182" s="19" t="str">
        <f>IF(Tabela2[[#This Row],[AGRUPADOR]]&lt;&gt;"",VLOOKUP(Tabela2[[#This Row],[AGRUPADOR]],Tabela1[],2,0),"")</f>
        <v/>
      </c>
      <c r="E1182" s="19" t="str">
        <f>IF(Tabela2[[#This Row],[AGRUPADOR]]&lt;&gt;"",VLOOKUP(Tabela2[[#This Row],[AGRUPADOR]],Tabela1[],4,0),"")</f>
        <v/>
      </c>
      <c r="F1182" s="14"/>
      <c r="G1182" s="6"/>
      <c r="H1182" s="6"/>
      <c r="I1182" s="25"/>
      <c r="J1182" s="7"/>
      <c r="K1182" s="15"/>
      <c r="L1182" s="379">
        <f>IF(H1182&lt;&gt;"",J1182*K1182,SUMIFS(L1183:L$9844,$F1183:$F$9844,"*"&amp;F1182&amp;"*",$H1183:$H$9844,"&lt;&gt;"))</f>
        <v>0</v>
      </c>
      <c r="M1182" s="379" t="str">
        <f>IF(Tabela2[[#This Row],[UNID.]]&lt;&gt;"",IFERROR(VLOOKUP(Tabela2[[#This Row],[AGRUPADOR]],Lucratividade!$D$4:$O$129,6,0),0),"")</f>
        <v/>
      </c>
      <c r="N1182" s="379">
        <f>IF(H1182&lt;&gt;"",J1182*M1182*I1182,SUMIFS(N1183:N$9844,$F1183:$F$9844,"*"&amp;F1182&amp;"*",$H1183:$H$9844,"&lt;&gt;"))</f>
        <v>0</v>
      </c>
      <c r="O1182" s="162" t="str">
        <f>IFERROR((-Tabela2[[#This Row],[CUSTO TOTAL]]+Tabela2[[#This Row],[VENDA TOTAL]])/Tabela2[[#This Row],[VENDA TOTAL]]-PARAMETROS!$C$19,"")</f>
        <v/>
      </c>
      <c r="AA1182" s="219">
        <f>SUM(Plan_Orc[[#This Row],[01/jan]:[01/dez]])</f>
        <v>0</v>
      </c>
      <c r="AB1182" s="15"/>
      <c r="AC1182" s="15"/>
      <c r="AD1182" s="15"/>
      <c r="AE1182" s="15"/>
      <c r="AF1182" s="15"/>
      <c r="AG1182" s="15"/>
      <c r="AH1182" s="15"/>
      <c r="AI1182" s="15"/>
      <c r="AJ1182" s="15"/>
      <c r="AK1182" s="15"/>
      <c r="AL1182" s="15"/>
      <c r="AM1182" s="15"/>
    </row>
    <row r="1183" spans="2:39" ht="25.2" customHeight="1" x14ac:dyDescent="0.3">
      <c r="B1183" s="13" t="str">
        <f t="shared" si="22"/>
        <v/>
      </c>
      <c r="C1183" s="18"/>
      <c r="D1183" s="19" t="str">
        <f>IF(Tabela2[[#This Row],[AGRUPADOR]]&lt;&gt;"",VLOOKUP(Tabela2[[#This Row],[AGRUPADOR]],Tabela1[],2,0),"")</f>
        <v/>
      </c>
      <c r="E1183" s="19" t="str">
        <f>IF(Tabela2[[#This Row],[AGRUPADOR]]&lt;&gt;"",VLOOKUP(Tabela2[[#This Row],[AGRUPADOR]],Tabela1[],4,0),"")</f>
        <v/>
      </c>
      <c r="F1183" s="14"/>
      <c r="G1183" s="6"/>
      <c r="H1183" s="6"/>
      <c r="I1183" s="25"/>
      <c r="J1183" s="7"/>
      <c r="K1183" s="15"/>
      <c r="L1183" s="379">
        <f>IF(H1183&lt;&gt;"",J1183*K1183,SUMIFS(L1184:L$9844,$F1184:$F$9844,"*"&amp;F1183&amp;"*",$H1184:$H$9844,"&lt;&gt;"))</f>
        <v>0</v>
      </c>
      <c r="M1183" s="379" t="str">
        <f>IF(Tabela2[[#This Row],[UNID.]]&lt;&gt;"",IFERROR(VLOOKUP(Tabela2[[#This Row],[AGRUPADOR]],Lucratividade!$D$4:$O$129,6,0),0),"")</f>
        <v/>
      </c>
      <c r="N1183" s="379">
        <f>IF(H1183&lt;&gt;"",J1183*M1183*I1183,SUMIFS(N1184:N$9844,$F1184:$F$9844,"*"&amp;F1183&amp;"*",$H1184:$H$9844,"&lt;&gt;"))</f>
        <v>0</v>
      </c>
      <c r="O1183" s="162" t="str">
        <f>IFERROR((-Tabela2[[#This Row],[CUSTO TOTAL]]+Tabela2[[#This Row],[VENDA TOTAL]])/Tabela2[[#This Row],[VENDA TOTAL]]-PARAMETROS!$C$19,"")</f>
        <v/>
      </c>
      <c r="AA1183" s="219">
        <f>SUM(Plan_Orc[[#This Row],[01/jan]:[01/dez]])</f>
        <v>0</v>
      </c>
      <c r="AB1183" s="15"/>
      <c r="AC1183" s="15"/>
      <c r="AD1183" s="15"/>
      <c r="AE1183" s="15"/>
      <c r="AF1183" s="15"/>
      <c r="AG1183" s="15"/>
      <c r="AH1183" s="15"/>
      <c r="AI1183" s="15"/>
      <c r="AJ1183" s="15"/>
      <c r="AK1183" s="15"/>
      <c r="AL1183" s="15"/>
      <c r="AM1183" s="15"/>
    </row>
    <row r="1184" spans="2:39" ht="25.2" customHeight="1" x14ac:dyDescent="0.3">
      <c r="B1184" s="13" t="str">
        <f t="shared" si="22"/>
        <v/>
      </c>
      <c r="C1184" s="18"/>
      <c r="D1184" s="19" t="str">
        <f>IF(Tabela2[[#This Row],[AGRUPADOR]]&lt;&gt;"",VLOOKUP(Tabela2[[#This Row],[AGRUPADOR]],Tabela1[],2,0),"")</f>
        <v/>
      </c>
      <c r="E1184" s="19" t="str">
        <f>IF(Tabela2[[#This Row],[AGRUPADOR]]&lt;&gt;"",VLOOKUP(Tabela2[[#This Row],[AGRUPADOR]],Tabela1[],4,0),"")</f>
        <v/>
      </c>
      <c r="F1184" s="14"/>
      <c r="G1184" s="6"/>
      <c r="H1184" s="6"/>
      <c r="I1184" s="25"/>
      <c r="J1184" s="7"/>
      <c r="K1184" s="15"/>
      <c r="L1184" s="379">
        <f>IF(H1184&lt;&gt;"",J1184*K1184,SUMIFS(L1185:L$9844,$F1185:$F$9844,"*"&amp;F1184&amp;"*",$H1185:$H$9844,"&lt;&gt;"))</f>
        <v>0</v>
      </c>
      <c r="M1184" s="379" t="str">
        <f>IF(Tabela2[[#This Row],[UNID.]]&lt;&gt;"",IFERROR(VLOOKUP(Tabela2[[#This Row],[AGRUPADOR]],Lucratividade!$D$4:$O$129,6,0),0),"")</f>
        <v/>
      </c>
      <c r="N1184" s="379">
        <f>IF(H1184&lt;&gt;"",J1184*M1184*I1184,SUMIFS(N1185:N$9844,$F1185:$F$9844,"*"&amp;F1184&amp;"*",$H1185:$H$9844,"&lt;&gt;"))</f>
        <v>0</v>
      </c>
      <c r="O1184" s="162" t="str">
        <f>IFERROR((-Tabela2[[#This Row],[CUSTO TOTAL]]+Tabela2[[#This Row],[VENDA TOTAL]])/Tabela2[[#This Row],[VENDA TOTAL]]-PARAMETROS!$C$19,"")</f>
        <v/>
      </c>
      <c r="AA1184" s="219">
        <f>SUM(Plan_Orc[[#This Row],[01/jan]:[01/dez]])</f>
        <v>0</v>
      </c>
      <c r="AB1184" s="15"/>
      <c r="AC1184" s="15"/>
      <c r="AD1184" s="15"/>
      <c r="AE1184" s="15"/>
      <c r="AF1184" s="15"/>
      <c r="AG1184" s="15"/>
      <c r="AH1184" s="15"/>
      <c r="AI1184" s="15"/>
      <c r="AJ1184" s="15"/>
      <c r="AK1184" s="15"/>
      <c r="AL1184" s="15"/>
      <c r="AM1184" s="15"/>
    </row>
    <row r="1185" spans="2:39" ht="25.2" customHeight="1" x14ac:dyDescent="0.3">
      <c r="B1185" s="13" t="str">
        <f t="shared" si="22"/>
        <v/>
      </c>
      <c r="C1185" s="18"/>
      <c r="D1185" s="19" t="str">
        <f>IF(Tabela2[[#This Row],[AGRUPADOR]]&lt;&gt;"",VLOOKUP(Tabela2[[#This Row],[AGRUPADOR]],Tabela1[],2,0),"")</f>
        <v/>
      </c>
      <c r="E1185" s="19" t="str">
        <f>IF(Tabela2[[#This Row],[AGRUPADOR]]&lt;&gt;"",VLOOKUP(Tabela2[[#This Row],[AGRUPADOR]],Tabela1[],4,0),"")</f>
        <v/>
      </c>
      <c r="F1185" s="14"/>
      <c r="G1185" s="6"/>
      <c r="H1185" s="6"/>
      <c r="I1185" s="25"/>
      <c r="J1185" s="7"/>
      <c r="K1185" s="15"/>
      <c r="L1185" s="379">
        <f>IF(H1185&lt;&gt;"",J1185*K1185,SUMIFS(L1186:L$9844,$F1186:$F$9844,"*"&amp;F1185&amp;"*",$H1186:$H$9844,"&lt;&gt;"))</f>
        <v>0</v>
      </c>
      <c r="M1185" s="379" t="str">
        <f>IF(Tabela2[[#This Row],[UNID.]]&lt;&gt;"",IFERROR(VLOOKUP(Tabela2[[#This Row],[AGRUPADOR]],Lucratividade!$D$4:$O$129,6,0),0),"")</f>
        <v/>
      </c>
      <c r="N1185" s="379">
        <f>IF(H1185&lt;&gt;"",J1185*M1185*I1185,SUMIFS(N1186:N$9844,$F1186:$F$9844,"*"&amp;F1185&amp;"*",$H1186:$H$9844,"&lt;&gt;"))</f>
        <v>0</v>
      </c>
      <c r="O1185" s="162" t="str">
        <f>IFERROR((-Tabela2[[#This Row],[CUSTO TOTAL]]+Tabela2[[#This Row],[VENDA TOTAL]])/Tabela2[[#This Row],[VENDA TOTAL]]-PARAMETROS!$C$19,"")</f>
        <v/>
      </c>
      <c r="AA1185" s="219">
        <f>SUM(Plan_Orc[[#This Row],[01/jan]:[01/dez]])</f>
        <v>0</v>
      </c>
      <c r="AB1185" s="15"/>
      <c r="AC1185" s="15"/>
      <c r="AD1185" s="15"/>
      <c r="AE1185" s="15"/>
      <c r="AF1185" s="15"/>
      <c r="AG1185" s="15"/>
      <c r="AH1185" s="15"/>
      <c r="AI1185" s="15"/>
      <c r="AJ1185" s="15"/>
      <c r="AK1185" s="15"/>
      <c r="AL1185" s="15"/>
      <c r="AM1185" s="15"/>
    </row>
    <row r="1186" spans="2:39" ht="25.2" customHeight="1" x14ac:dyDescent="0.3">
      <c r="B1186" s="13" t="str">
        <f t="shared" si="22"/>
        <v/>
      </c>
      <c r="C1186" s="18"/>
      <c r="D1186" s="19" t="str">
        <f>IF(Tabela2[[#This Row],[AGRUPADOR]]&lt;&gt;"",VLOOKUP(Tabela2[[#This Row],[AGRUPADOR]],Tabela1[],2,0),"")</f>
        <v/>
      </c>
      <c r="E1186" s="19" t="str">
        <f>IF(Tabela2[[#This Row],[AGRUPADOR]]&lt;&gt;"",VLOOKUP(Tabela2[[#This Row],[AGRUPADOR]],Tabela1[],4,0),"")</f>
        <v/>
      </c>
      <c r="F1186" s="14"/>
      <c r="G1186" s="6"/>
      <c r="H1186" s="6"/>
      <c r="I1186" s="25"/>
      <c r="J1186" s="7"/>
      <c r="K1186" s="15"/>
      <c r="L1186" s="379">
        <f>IF(H1186&lt;&gt;"",J1186*K1186,SUMIFS(L1187:L$9844,$F1187:$F$9844,"*"&amp;F1186&amp;"*",$H1187:$H$9844,"&lt;&gt;"))</f>
        <v>0</v>
      </c>
      <c r="M1186" s="379" t="str">
        <f>IF(Tabela2[[#This Row],[UNID.]]&lt;&gt;"",IFERROR(VLOOKUP(Tabela2[[#This Row],[AGRUPADOR]],Lucratividade!$D$4:$O$129,6,0),0),"")</f>
        <v/>
      </c>
      <c r="N1186" s="379">
        <f>IF(H1186&lt;&gt;"",J1186*M1186*I1186,SUMIFS(N1187:N$9844,$F1187:$F$9844,"*"&amp;F1186&amp;"*",$H1187:$H$9844,"&lt;&gt;"))</f>
        <v>0</v>
      </c>
      <c r="O1186" s="162" t="str">
        <f>IFERROR((-Tabela2[[#This Row],[CUSTO TOTAL]]+Tabela2[[#This Row],[VENDA TOTAL]])/Tabela2[[#This Row],[VENDA TOTAL]]-PARAMETROS!$C$19,"")</f>
        <v/>
      </c>
      <c r="AA1186" s="219">
        <f>SUM(Plan_Orc[[#This Row],[01/jan]:[01/dez]])</f>
        <v>0</v>
      </c>
      <c r="AB1186" s="15"/>
      <c r="AC1186" s="15"/>
      <c r="AD1186" s="15"/>
      <c r="AE1186" s="15"/>
      <c r="AF1186" s="15"/>
      <c r="AG1186" s="15"/>
      <c r="AH1186" s="15"/>
      <c r="AI1186" s="15"/>
      <c r="AJ1186" s="15"/>
      <c r="AK1186" s="15"/>
      <c r="AL1186" s="15"/>
      <c r="AM1186" s="15"/>
    </row>
    <row r="1187" spans="2:39" ht="25.2" customHeight="1" x14ac:dyDescent="0.3">
      <c r="B1187" s="13" t="str">
        <f t="shared" si="22"/>
        <v/>
      </c>
      <c r="C1187" s="18"/>
      <c r="D1187" s="19" t="str">
        <f>IF(Tabela2[[#This Row],[AGRUPADOR]]&lt;&gt;"",VLOOKUP(Tabela2[[#This Row],[AGRUPADOR]],Tabela1[],2,0),"")</f>
        <v/>
      </c>
      <c r="E1187" s="19" t="str">
        <f>IF(Tabela2[[#This Row],[AGRUPADOR]]&lt;&gt;"",VLOOKUP(Tabela2[[#This Row],[AGRUPADOR]],Tabela1[],4,0),"")</f>
        <v/>
      </c>
      <c r="F1187" s="14"/>
      <c r="G1187" s="6"/>
      <c r="H1187" s="6"/>
      <c r="I1187" s="25"/>
      <c r="J1187" s="7"/>
      <c r="K1187" s="15"/>
      <c r="L1187" s="379">
        <f>IF(H1187&lt;&gt;"",J1187*K1187,SUMIFS(L1188:L$9844,$F1188:$F$9844,"*"&amp;F1187&amp;"*",$H1188:$H$9844,"&lt;&gt;"))</f>
        <v>0</v>
      </c>
      <c r="M1187" s="379" t="str">
        <f>IF(Tabela2[[#This Row],[UNID.]]&lt;&gt;"",IFERROR(VLOOKUP(Tabela2[[#This Row],[AGRUPADOR]],Lucratividade!$D$4:$O$129,6,0),0),"")</f>
        <v/>
      </c>
      <c r="N1187" s="379">
        <f>IF(H1187&lt;&gt;"",J1187*M1187*I1187,SUMIFS(N1188:N$9844,$F1188:$F$9844,"*"&amp;F1187&amp;"*",$H1188:$H$9844,"&lt;&gt;"))</f>
        <v>0</v>
      </c>
      <c r="O1187" s="162" t="str">
        <f>IFERROR((-Tabela2[[#This Row],[CUSTO TOTAL]]+Tabela2[[#This Row],[VENDA TOTAL]])/Tabela2[[#This Row],[VENDA TOTAL]]-PARAMETROS!$C$19,"")</f>
        <v/>
      </c>
      <c r="AA1187" s="219">
        <f>SUM(Plan_Orc[[#This Row],[01/jan]:[01/dez]])</f>
        <v>0</v>
      </c>
      <c r="AB1187" s="15"/>
      <c r="AC1187" s="15"/>
      <c r="AD1187" s="15"/>
      <c r="AE1187" s="15"/>
      <c r="AF1187" s="15"/>
      <c r="AG1187" s="15"/>
      <c r="AH1187" s="15"/>
      <c r="AI1187" s="15"/>
      <c r="AJ1187" s="15"/>
      <c r="AK1187" s="15"/>
      <c r="AL1187" s="15"/>
      <c r="AM1187" s="15"/>
    </row>
    <row r="1188" spans="2:39" ht="25.2" customHeight="1" x14ac:dyDescent="0.3">
      <c r="B1188" s="13" t="str">
        <f t="shared" si="22"/>
        <v/>
      </c>
      <c r="C1188" s="18"/>
      <c r="D1188" s="19" t="str">
        <f>IF(Tabela2[[#This Row],[AGRUPADOR]]&lt;&gt;"",VLOOKUP(Tabela2[[#This Row],[AGRUPADOR]],Tabela1[],2,0),"")</f>
        <v/>
      </c>
      <c r="E1188" s="19" t="str">
        <f>IF(Tabela2[[#This Row],[AGRUPADOR]]&lt;&gt;"",VLOOKUP(Tabela2[[#This Row],[AGRUPADOR]],Tabela1[],4,0),"")</f>
        <v/>
      </c>
      <c r="F1188" s="14"/>
      <c r="G1188" s="6"/>
      <c r="H1188" s="6"/>
      <c r="I1188" s="25"/>
      <c r="J1188" s="7"/>
      <c r="K1188" s="15"/>
      <c r="L1188" s="379">
        <f>IF(H1188&lt;&gt;"",J1188*K1188,SUMIFS(L1189:L$9844,$F1189:$F$9844,"*"&amp;F1188&amp;"*",$H1189:$H$9844,"&lt;&gt;"))</f>
        <v>0</v>
      </c>
      <c r="M1188" s="379" t="str">
        <f>IF(Tabela2[[#This Row],[UNID.]]&lt;&gt;"",IFERROR(VLOOKUP(Tabela2[[#This Row],[AGRUPADOR]],Lucratividade!$D$4:$O$129,6,0),0),"")</f>
        <v/>
      </c>
      <c r="N1188" s="379">
        <f>IF(H1188&lt;&gt;"",J1188*M1188*I1188,SUMIFS(N1189:N$9844,$F1189:$F$9844,"*"&amp;F1188&amp;"*",$H1189:$H$9844,"&lt;&gt;"))</f>
        <v>0</v>
      </c>
      <c r="O1188" s="162" t="str">
        <f>IFERROR((-Tabela2[[#This Row],[CUSTO TOTAL]]+Tabela2[[#This Row],[VENDA TOTAL]])/Tabela2[[#This Row],[VENDA TOTAL]]-PARAMETROS!$C$19,"")</f>
        <v/>
      </c>
      <c r="AA1188" s="219">
        <f>SUM(Plan_Orc[[#This Row],[01/jan]:[01/dez]])</f>
        <v>0</v>
      </c>
      <c r="AB1188" s="15"/>
      <c r="AC1188" s="15"/>
      <c r="AD1188" s="15"/>
      <c r="AE1188" s="15"/>
      <c r="AF1188" s="15"/>
      <c r="AG1188" s="15"/>
      <c r="AH1188" s="15"/>
      <c r="AI1188" s="15"/>
      <c r="AJ1188" s="15"/>
      <c r="AK1188" s="15"/>
      <c r="AL1188" s="15"/>
      <c r="AM1188" s="15"/>
    </row>
    <row r="1189" spans="2:39" ht="25.2" customHeight="1" x14ac:dyDescent="0.3">
      <c r="B1189" s="13" t="str">
        <f t="shared" si="22"/>
        <v/>
      </c>
      <c r="C1189" s="18"/>
      <c r="D1189" s="19" t="str">
        <f>IF(Tabela2[[#This Row],[AGRUPADOR]]&lt;&gt;"",VLOOKUP(Tabela2[[#This Row],[AGRUPADOR]],Tabela1[],2,0),"")</f>
        <v/>
      </c>
      <c r="E1189" s="19" t="str">
        <f>IF(Tabela2[[#This Row],[AGRUPADOR]]&lt;&gt;"",VLOOKUP(Tabela2[[#This Row],[AGRUPADOR]],Tabela1[],4,0),"")</f>
        <v/>
      </c>
      <c r="F1189" s="14"/>
      <c r="G1189" s="6"/>
      <c r="H1189" s="6"/>
      <c r="I1189" s="25"/>
      <c r="J1189" s="7"/>
      <c r="K1189" s="15"/>
      <c r="L1189" s="379">
        <f>IF(H1189&lt;&gt;"",J1189*K1189,SUMIFS(L1190:L$9844,$F1190:$F$9844,"*"&amp;F1189&amp;"*",$H1190:$H$9844,"&lt;&gt;"))</f>
        <v>0</v>
      </c>
      <c r="M1189" s="379" t="str">
        <f>IF(Tabela2[[#This Row],[UNID.]]&lt;&gt;"",IFERROR(VLOOKUP(Tabela2[[#This Row],[AGRUPADOR]],Lucratividade!$D$4:$O$129,6,0),0),"")</f>
        <v/>
      </c>
      <c r="N1189" s="379">
        <f>IF(H1189&lt;&gt;"",J1189*M1189*I1189,SUMIFS(N1190:N$9844,$F1190:$F$9844,"*"&amp;F1189&amp;"*",$H1190:$H$9844,"&lt;&gt;"))</f>
        <v>0</v>
      </c>
      <c r="O1189" s="162" t="str">
        <f>IFERROR((-Tabela2[[#This Row],[CUSTO TOTAL]]+Tabela2[[#This Row],[VENDA TOTAL]])/Tabela2[[#This Row],[VENDA TOTAL]]-PARAMETROS!$C$19,"")</f>
        <v/>
      </c>
      <c r="AA1189" s="219">
        <f>SUM(Plan_Orc[[#This Row],[01/jan]:[01/dez]])</f>
        <v>0</v>
      </c>
      <c r="AB1189" s="15"/>
      <c r="AC1189" s="15"/>
      <c r="AD1189" s="15"/>
      <c r="AE1189" s="15"/>
      <c r="AF1189" s="15"/>
      <c r="AG1189" s="15"/>
      <c r="AH1189" s="15"/>
      <c r="AI1189" s="15"/>
      <c r="AJ1189" s="15"/>
      <c r="AK1189" s="15"/>
      <c r="AL1189" s="15"/>
      <c r="AM1189" s="15"/>
    </row>
    <row r="1190" spans="2:39" ht="25.2" customHeight="1" x14ac:dyDescent="0.3">
      <c r="B1190" s="13" t="str">
        <f t="shared" si="22"/>
        <v/>
      </c>
      <c r="C1190" s="18"/>
      <c r="D1190" s="19" t="str">
        <f>IF(Tabela2[[#This Row],[AGRUPADOR]]&lt;&gt;"",VLOOKUP(Tabela2[[#This Row],[AGRUPADOR]],Tabela1[],2,0),"")</f>
        <v/>
      </c>
      <c r="E1190" s="19" t="str">
        <f>IF(Tabela2[[#This Row],[AGRUPADOR]]&lt;&gt;"",VLOOKUP(Tabela2[[#This Row],[AGRUPADOR]],Tabela1[],4,0),"")</f>
        <v/>
      </c>
      <c r="F1190" s="14"/>
      <c r="G1190" s="6"/>
      <c r="H1190" s="6"/>
      <c r="I1190" s="25"/>
      <c r="J1190" s="7"/>
      <c r="K1190" s="15"/>
      <c r="L1190" s="379">
        <f>IF(H1190&lt;&gt;"",J1190*K1190,SUMIFS(L1191:L$9844,$F1191:$F$9844,"*"&amp;F1190&amp;"*",$H1191:$H$9844,"&lt;&gt;"))</f>
        <v>0</v>
      </c>
      <c r="M1190" s="379" t="str">
        <f>IF(Tabela2[[#This Row],[UNID.]]&lt;&gt;"",IFERROR(VLOOKUP(Tabela2[[#This Row],[AGRUPADOR]],Lucratividade!$D$4:$O$129,6,0),0),"")</f>
        <v/>
      </c>
      <c r="N1190" s="379">
        <f>IF(H1190&lt;&gt;"",J1190*M1190*I1190,SUMIFS(N1191:N$9844,$F1191:$F$9844,"*"&amp;F1190&amp;"*",$H1191:$H$9844,"&lt;&gt;"))</f>
        <v>0</v>
      </c>
      <c r="O1190" s="162" t="str">
        <f>IFERROR((-Tabela2[[#This Row],[CUSTO TOTAL]]+Tabela2[[#This Row],[VENDA TOTAL]])/Tabela2[[#This Row],[VENDA TOTAL]]-PARAMETROS!$C$19,"")</f>
        <v/>
      </c>
      <c r="AA1190" s="219">
        <f>SUM(Plan_Orc[[#This Row],[01/jan]:[01/dez]])</f>
        <v>0</v>
      </c>
      <c r="AB1190" s="15"/>
      <c r="AC1190" s="15"/>
      <c r="AD1190" s="15"/>
      <c r="AE1190" s="15"/>
      <c r="AF1190" s="15"/>
      <c r="AG1190" s="15"/>
      <c r="AH1190" s="15"/>
      <c r="AI1190" s="15"/>
      <c r="AJ1190" s="15"/>
      <c r="AK1190" s="15"/>
      <c r="AL1190" s="15"/>
      <c r="AM1190" s="15"/>
    </row>
    <row r="1191" spans="2:39" ht="25.2" customHeight="1" x14ac:dyDescent="0.3">
      <c r="B1191" s="13" t="str">
        <f t="shared" si="22"/>
        <v/>
      </c>
      <c r="C1191" s="18"/>
      <c r="D1191" s="19" t="str">
        <f>IF(Tabela2[[#This Row],[AGRUPADOR]]&lt;&gt;"",VLOOKUP(Tabela2[[#This Row],[AGRUPADOR]],Tabela1[],2,0),"")</f>
        <v/>
      </c>
      <c r="E1191" s="19" t="str">
        <f>IF(Tabela2[[#This Row],[AGRUPADOR]]&lt;&gt;"",VLOOKUP(Tabela2[[#This Row],[AGRUPADOR]],Tabela1[],4,0),"")</f>
        <v/>
      </c>
      <c r="F1191" s="14"/>
      <c r="G1191" s="6"/>
      <c r="H1191" s="6"/>
      <c r="I1191" s="25"/>
      <c r="J1191" s="7"/>
      <c r="K1191" s="15"/>
      <c r="L1191" s="379">
        <f>IF(H1191&lt;&gt;"",J1191*K1191,SUMIFS(L1192:L$9844,$F1192:$F$9844,"*"&amp;F1191&amp;"*",$H1192:$H$9844,"&lt;&gt;"))</f>
        <v>0</v>
      </c>
      <c r="M1191" s="379" t="str">
        <f>IF(Tabela2[[#This Row],[UNID.]]&lt;&gt;"",IFERROR(VLOOKUP(Tabela2[[#This Row],[AGRUPADOR]],Lucratividade!$D$4:$O$129,6,0),0),"")</f>
        <v/>
      </c>
      <c r="N1191" s="379">
        <f>IF(H1191&lt;&gt;"",J1191*M1191*I1191,SUMIFS(N1192:N$9844,$F1192:$F$9844,"*"&amp;F1191&amp;"*",$H1192:$H$9844,"&lt;&gt;"))</f>
        <v>0</v>
      </c>
      <c r="O1191" s="162" t="str">
        <f>IFERROR((-Tabela2[[#This Row],[CUSTO TOTAL]]+Tabela2[[#This Row],[VENDA TOTAL]])/Tabela2[[#This Row],[VENDA TOTAL]]-PARAMETROS!$C$19,"")</f>
        <v/>
      </c>
      <c r="AA1191" s="219">
        <f>SUM(Plan_Orc[[#This Row],[01/jan]:[01/dez]])</f>
        <v>0</v>
      </c>
      <c r="AB1191" s="15"/>
      <c r="AC1191" s="15"/>
      <c r="AD1191" s="15"/>
      <c r="AE1191" s="15"/>
      <c r="AF1191" s="15"/>
      <c r="AG1191" s="15"/>
      <c r="AH1191" s="15"/>
      <c r="AI1191" s="15"/>
      <c r="AJ1191" s="15"/>
      <c r="AK1191" s="15"/>
      <c r="AL1191" s="15"/>
      <c r="AM1191" s="15"/>
    </row>
    <row r="1192" spans="2:39" ht="25.2" customHeight="1" x14ac:dyDescent="0.3">
      <c r="B1192" s="13" t="str">
        <f t="shared" si="22"/>
        <v/>
      </c>
      <c r="C1192" s="18"/>
      <c r="D1192" s="19" t="str">
        <f>IF(Tabela2[[#This Row],[AGRUPADOR]]&lt;&gt;"",VLOOKUP(Tabela2[[#This Row],[AGRUPADOR]],Tabela1[],2,0),"")</f>
        <v/>
      </c>
      <c r="E1192" s="19" t="str">
        <f>IF(Tabela2[[#This Row],[AGRUPADOR]]&lt;&gt;"",VLOOKUP(Tabela2[[#This Row],[AGRUPADOR]],Tabela1[],4,0),"")</f>
        <v/>
      </c>
      <c r="F1192" s="14"/>
      <c r="G1192" s="6"/>
      <c r="H1192" s="6"/>
      <c r="I1192" s="25"/>
      <c r="J1192" s="7"/>
      <c r="K1192" s="15"/>
      <c r="L1192" s="379">
        <f>IF(H1192&lt;&gt;"",J1192*K1192,SUMIFS(L1193:L$9844,$F1193:$F$9844,"*"&amp;F1192&amp;"*",$H1193:$H$9844,"&lt;&gt;"))</f>
        <v>0</v>
      </c>
      <c r="M1192" s="379" t="str">
        <f>IF(Tabela2[[#This Row],[UNID.]]&lt;&gt;"",IFERROR(VLOOKUP(Tabela2[[#This Row],[AGRUPADOR]],Lucratividade!$D$4:$O$129,6,0),0),"")</f>
        <v/>
      </c>
      <c r="N1192" s="379">
        <f>IF(H1192&lt;&gt;"",J1192*M1192*I1192,SUMIFS(N1193:N$9844,$F1193:$F$9844,"*"&amp;F1192&amp;"*",$H1193:$H$9844,"&lt;&gt;"))</f>
        <v>0</v>
      </c>
      <c r="O1192" s="162" t="str">
        <f>IFERROR((-Tabela2[[#This Row],[CUSTO TOTAL]]+Tabela2[[#This Row],[VENDA TOTAL]])/Tabela2[[#This Row],[VENDA TOTAL]]-PARAMETROS!$C$19,"")</f>
        <v/>
      </c>
      <c r="AA1192" s="219">
        <f>SUM(Plan_Orc[[#This Row],[01/jan]:[01/dez]])</f>
        <v>0</v>
      </c>
      <c r="AB1192" s="15"/>
      <c r="AC1192" s="15"/>
      <c r="AD1192" s="15"/>
      <c r="AE1192" s="15"/>
      <c r="AF1192" s="15"/>
      <c r="AG1192" s="15"/>
      <c r="AH1192" s="15"/>
      <c r="AI1192" s="15"/>
      <c r="AJ1192" s="15"/>
      <c r="AK1192" s="15"/>
      <c r="AL1192" s="15"/>
      <c r="AM1192" s="15"/>
    </row>
    <row r="1193" spans="2:39" ht="25.2" customHeight="1" x14ac:dyDescent="0.3">
      <c r="B1193" s="13" t="str">
        <f t="shared" si="22"/>
        <v/>
      </c>
      <c r="C1193" s="18"/>
      <c r="D1193" s="19" t="str">
        <f>IF(Tabela2[[#This Row],[AGRUPADOR]]&lt;&gt;"",VLOOKUP(Tabela2[[#This Row],[AGRUPADOR]],Tabela1[],2,0),"")</f>
        <v/>
      </c>
      <c r="E1193" s="19" t="str">
        <f>IF(Tabela2[[#This Row],[AGRUPADOR]]&lt;&gt;"",VLOOKUP(Tabela2[[#This Row],[AGRUPADOR]],Tabela1[],4,0),"")</f>
        <v/>
      </c>
      <c r="F1193" s="14"/>
      <c r="G1193" s="6"/>
      <c r="H1193" s="6"/>
      <c r="I1193" s="25"/>
      <c r="J1193" s="7"/>
      <c r="K1193" s="15"/>
      <c r="L1193" s="379">
        <f>IF(H1193&lt;&gt;"",J1193*K1193,SUMIFS(L1194:L$9844,$F1194:$F$9844,"*"&amp;F1193&amp;"*",$H1194:$H$9844,"&lt;&gt;"))</f>
        <v>0</v>
      </c>
      <c r="M1193" s="379" t="str">
        <f>IF(Tabela2[[#This Row],[UNID.]]&lt;&gt;"",IFERROR(VLOOKUP(Tabela2[[#This Row],[AGRUPADOR]],Lucratividade!$D$4:$O$129,6,0),0),"")</f>
        <v/>
      </c>
      <c r="N1193" s="379">
        <f>IF(H1193&lt;&gt;"",J1193*M1193*I1193,SUMIFS(N1194:N$9844,$F1194:$F$9844,"*"&amp;F1193&amp;"*",$H1194:$H$9844,"&lt;&gt;"))</f>
        <v>0</v>
      </c>
      <c r="O1193" s="162" t="str">
        <f>IFERROR((-Tabela2[[#This Row],[CUSTO TOTAL]]+Tabela2[[#This Row],[VENDA TOTAL]])/Tabela2[[#This Row],[VENDA TOTAL]]-PARAMETROS!$C$19,"")</f>
        <v/>
      </c>
      <c r="AA1193" s="219">
        <f>SUM(Plan_Orc[[#This Row],[01/jan]:[01/dez]])</f>
        <v>0</v>
      </c>
      <c r="AB1193" s="15"/>
      <c r="AC1193" s="15"/>
      <c r="AD1193" s="15"/>
      <c r="AE1193" s="15"/>
      <c r="AF1193" s="15"/>
      <c r="AG1193" s="15"/>
      <c r="AH1193" s="15"/>
      <c r="AI1193" s="15"/>
      <c r="AJ1193" s="15"/>
      <c r="AK1193" s="15"/>
      <c r="AL1193" s="15"/>
      <c r="AM1193" s="15"/>
    </row>
    <row r="1194" spans="2:39" ht="25.2" customHeight="1" x14ac:dyDescent="0.3">
      <c r="B1194" s="13" t="str">
        <f t="shared" si="22"/>
        <v/>
      </c>
      <c r="C1194" s="18"/>
      <c r="D1194" s="19" t="str">
        <f>IF(Tabela2[[#This Row],[AGRUPADOR]]&lt;&gt;"",VLOOKUP(Tabela2[[#This Row],[AGRUPADOR]],Tabela1[],2,0),"")</f>
        <v/>
      </c>
      <c r="E1194" s="19" t="str">
        <f>IF(Tabela2[[#This Row],[AGRUPADOR]]&lt;&gt;"",VLOOKUP(Tabela2[[#This Row],[AGRUPADOR]],Tabela1[],4,0),"")</f>
        <v/>
      </c>
      <c r="F1194" s="14"/>
      <c r="G1194" s="6"/>
      <c r="H1194" s="6"/>
      <c r="I1194" s="25"/>
      <c r="J1194" s="7"/>
      <c r="K1194" s="15"/>
      <c r="L1194" s="379">
        <f>IF(H1194&lt;&gt;"",J1194*K1194,SUMIFS(L1195:L$9844,$F1195:$F$9844,"*"&amp;F1194&amp;"*",$H1195:$H$9844,"&lt;&gt;"))</f>
        <v>0</v>
      </c>
      <c r="M1194" s="379" t="str">
        <f>IF(Tabela2[[#This Row],[UNID.]]&lt;&gt;"",IFERROR(VLOOKUP(Tabela2[[#This Row],[AGRUPADOR]],Lucratividade!$D$4:$O$129,6,0),0),"")</f>
        <v/>
      </c>
      <c r="N1194" s="379">
        <f>IF(H1194&lt;&gt;"",J1194*M1194*I1194,SUMIFS(N1195:N$9844,$F1195:$F$9844,"*"&amp;F1194&amp;"*",$H1195:$H$9844,"&lt;&gt;"))</f>
        <v>0</v>
      </c>
      <c r="O1194" s="162" t="str">
        <f>IFERROR((-Tabela2[[#This Row],[CUSTO TOTAL]]+Tabela2[[#This Row],[VENDA TOTAL]])/Tabela2[[#This Row],[VENDA TOTAL]]-PARAMETROS!$C$19,"")</f>
        <v/>
      </c>
      <c r="AA1194" s="219">
        <f>SUM(Plan_Orc[[#This Row],[01/jan]:[01/dez]])</f>
        <v>0</v>
      </c>
      <c r="AB1194" s="15"/>
      <c r="AC1194" s="15"/>
      <c r="AD1194" s="15"/>
      <c r="AE1194" s="15"/>
      <c r="AF1194" s="15"/>
      <c r="AG1194" s="15"/>
      <c r="AH1194" s="15"/>
      <c r="AI1194" s="15"/>
      <c r="AJ1194" s="15"/>
      <c r="AK1194" s="15"/>
      <c r="AL1194" s="15"/>
      <c r="AM1194" s="15"/>
    </row>
    <row r="1195" spans="2:39" ht="25.2" customHeight="1" x14ac:dyDescent="0.3">
      <c r="B1195" s="13" t="str">
        <f t="shared" si="22"/>
        <v/>
      </c>
      <c r="C1195" s="18"/>
      <c r="D1195" s="19" t="str">
        <f>IF(Tabela2[[#This Row],[AGRUPADOR]]&lt;&gt;"",VLOOKUP(Tabela2[[#This Row],[AGRUPADOR]],Tabela1[],2,0),"")</f>
        <v/>
      </c>
      <c r="E1195" s="19" t="str">
        <f>IF(Tabela2[[#This Row],[AGRUPADOR]]&lt;&gt;"",VLOOKUP(Tabela2[[#This Row],[AGRUPADOR]],Tabela1[],4,0),"")</f>
        <v/>
      </c>
      <c r="F1195" s="14"/>
      <c r="G1195" s="6"/>
      <c r="H1195" s="6"/>
      <c r="I1195" s="25"/>
      <c r="J1195" s="7"/>
      <c r="K1195" s="15"/>
      <c r="L1195" s="379">
        <f>IF(H1195&lt;&gt;"",J1195*K1195,SUMIFS(L1196:L$9844,$F1196:$F$9844,"*"&amp;F1195&amp;"*",$H1196:$H$9844,"&lt;&gt;"))</f>
        <v>0</v>
      </c>
      <c r="M1195" s="379" t="str">
        <f>IF(Tabela2[[#This Row],[UNID.]]&lt;&gt;"",IFERROR(VLOOKUP(Tabela2[[#This Row],[AGRUPADOR]],Lucratividade!$D$4:$O$129,6,0),0),"")</f>
        <v/>
      </c>
      <c r="N1195" s="379">
        <f>IF(H1195&lt;&gt;"",J1195*M1195*I1195,SUMIFS(N1196:N$9844,$F1196:$F$9844,"*"&amp;F1195&amp;"*",$H1196:$H$9844,"&lt;&gt;"))</f>
        <v>0</v>
      </c>
      <c r="O1195" s="162" t="str">
        <f>IFERROR((-Tabela2[[#This Row],[CUSTO TOTAL]]+Tabela2[[#This Row],[VENDA TOTAL]])/Tabela2[[#This Row],[VENDA TOTAL]]-PARAMETROS!$C$19,"")</f>
        <v/>
      </c>
      <c r="AA1195" s="219">
        <f>SUM(Plan_Orc[[#This Row],[01/jan]:[01/dez]])</f>
        <v>0</v>
      </c>
      <c r="AB1195" s="15"/>
      <c r="AC1195" s="15"/>
      <c r="AD1195" s="15"/>
      <c r="AE1195" s="15"/>
      <c r="AF1195" s="15"/>
      <c r="AG1195" s="15"/>
      <c r="AH1195" s="15"/>
      <c r="AI1195" s="15"/>
      <c r="AJ1195" s="15"/>
      <c r="AK1195" s="15"/>
      <c r="AL1195" s="15"/>
      <c r="AM1195" s="15"/>
    </row>
    <row r="1196" spans="2:39" ht="25.2" customHeight="1" x14ac:dyDescent="0.3">
      <c r="B1196" s="13" t="str">
        <f t="shared" si="22"/>
        <v/>
      </c>
      <c r="C1196" s="18"/>
      <c r="D1196" s="19" t="str">
        <f>IF(Tabela2[[#This Row],[AGRUPADOR]]&lt;&gt;"",VLOOKUP(Tabela2[[#This Row],[AGRUPADOR]],Tabela1[],2,0),"")</f>
        <v/>
      </c>
      <c r="E1196" s="19" t="str">
        <f>IF(Tabela2[[#This Row],[AGRUPADOR]]&lt;&gt;"",VLOOKUP(Tabela2[[#This Row],[AGRUPADOR]],Tabela1[],4,0),"")</f>
        <v/>
      </c>
      <c r="F1196" s="14"/>
      <c r="G1196" s="6"/>
      <c r="H1196" s="6"/>
      <c r="I1196" s="25"/>
      <c r="J1196" s="7"/>
      <c r="K1196" s="15"/>
      <c r="L1196" s="379">
        <f>IF(H1196&lt;&gt;"",J1196*K1196,SUMIFS(L1197:L$9844,$F1197:$F$9844,"*"&amp;F1196&amp;"*",$H1197:$H$9844,"&lt;&gt;"))</f>
        <v>0</v>
      </c>
      <c r="M1196" s="379" t="str">
        <f>IF(Tabela2[[#This Row],[UNID.]]&lt;&gt;"",IFERROR(VLOOKUP(Tabela2[[#This Row],[AGRUPADOR]],Lucratividade!$D$4:$O$129,6,0),0),"")</f>
        <v/>
      </c>
      <c r="N1196" s="379">
        <f>IF(H1196&lt;&gt;"",J1196*M1196*I1196,SUMIFS(N1197:N$9844,$F1197:$F$9844,"*"&amp;F1196&amp;"*",$H1197:$H$9844,"&lt;&gt;"))</f>
        <v>0</v>
      </c>
      <c r="O1196" s="162" t="str">
        <f>IFERROR((-Tabela2[[#This Row],[CUSTO TOTAL]]+Tabela2[[#This Row],[VENDA TOTAL]])/Tabela2[[#This Row],[VENDA TOTAL]]-PARAMETROS!$C$19,"")</f>
        <v/>
      </c>
      <c r="AA1196" s="219">
        <f>SUM(Plan_Orc[[#This Row],[01/jan]:[01/dez]])</f>
        <v>0</v>
      </c>
      <c r="AB1196" s="15"/>
      <c r="AC1196" s="15"/>
      <c r="AD1196" s="15"/>
      <c r="AE1196" s="15"/>
      <c r="AF1196" s="15"/>
      <c r="AG1196" s="15"/>
      <c r="AH1196" s="15"/>
      <c r="AI1196" s="15"/>
      <c r="AJ1196" s="15"/>
      <c r="AK1196" s="15"/>
      <c r="AL1196" s="15"/>
      <c r="AM1196" s="15"/>
    </row>
    <row r="1197" spans="2:39" ht="25.2" customHeight="1" x14ac:dyDescent="0.3">
      <c r="B1197" s="13" t="str">
        <f t="shared" si="22"/>
        <v/>
      </c>
      <c r="C1197" s="18"/>
      <c r="D1197" s="19" t="str">
        <f>IF(Tabela2[[#This Row],[AGRUPADOR]]&lt;&gt;"",VLOOKUP(Tabela2[[#This Row],[AGRUPADOR]],Tabela1[],2,0),"")</f>
        <v/>
      </c>
      <c r="E1197" s="19" t="str">
        <f>IF(Tabela2[[#This Row],[AGRUPADOR]]&lt;&gt;"",VLOOKUP(Tabela2[[#This Row],[AGRUPADOR]],Tabela1[],4,0),"")</f>
        <v/>
      </c>
      <c r="F1197" s="14"/>
      <c r="G1197" s="6"/>
      <c r="H1197" s="6"/>
      <c r="I1197" s="25"/>
      <c r="J1197" s="7"/>
      <c r="K1197" s="15"/>
      <c r="L1197" s="379">
        <f>IF(H1197&lt;&gt;"",J1197*K1197,SUMIFS(L1198:L$9844,$F1198:$F$9844,"*"&amp;F1197&amp;"*",$H1198:$H$9844,"&lt;&gt;"))</f>
        <v>0</v>
      </c>
      <c r="M1197" s="379" t="str">
        <f>IF(Tabela2[[#This Row],[UNID.]]&lt;&gt;"",IFERROR(VLOOKUP(Tabela2[[#This Row],[AGRUPADOR]],Lucratividade!$D$4:$O$129,6,0),0),"")</f>
        <v/>
      </c>
      <c r="N1197" s="379">
        <f>IF(H1197&lt;&gt;"",J1197*M1197*I1197,SUMIFS(N1198:N$9844,$F1198:$F$9844,"*"&amp;F1197&amp;"*",$H1198:$H$9844,"&lt;&gt;"))</f>
        <v>0</v>
      </c>
      <c r="O1197" s="162" t="str">
        <f>IFERROR((-Tabela2[[#This Row],[CUSTO TOTAL]]+Tabela2[[#This Row],[VENDA TOTAL]])/Tabela2[[#This Row],[VENDA TOTAL]]-PARAMETROS!$C$19,"")</f>
        <v/>
      </c>
      <c r="AA1197" s="219">
        <f>SUM(Plan_Orc[[#This Row],[01/jan]:[01/dez]])</f>
        <v>0</v>
      </c>
      <c r="AB1197" s="15"/>
      <c r="AC1197" s="15"/>
      <c r="AD1197" s="15"/>
      <c r="AE1197" s="15"/>
      <c r="AF1197" s="15"/>
      <c r="AG1197" s="15"/>
      <c r="AH1197" s="15"/>
      <c r="AI1197" s="15"/>
      <c r="AJ1197" s="15"/>
      <c r="AK1197" s="15"/>
      <c r="AL1197" s="15"/>
      <c r="AM1197" s="15"/>
    </row>
    <row r="1198" spans="2:39" ht="25.2" customHeight="1" x14ac:dyDescent="0.3">
      <c r="B1198" s="13" t="str">
        <f t="shared" si="22"/>
        <v/>
      </c>
      <c r="C1198" s="18"/>
      <c r="D1198" s="19" t="str">
        <f>IF(Tabela2[[#This Row],[AGRUPADOR]]&lt;&gt;"",VLOOKUP(Tabela2[[#This Row],[AGRUPADOR]],Tabela1[],2,0),"")</f>
        <v/>
      </c>
      <c r="E1198" s="19" t="str">
        <f>IF(Tabela2[[#This Row],[AGRUPADOR]]&lt;&gt;"",VLOOKUP(Tabela2[[#This Row],[AGRUPADOR]],Tabela1[],4,0),"")</f>
        <v/>
      </c>
      <c r="F1198" s="14"/>
      <c r="G1198" s="6"/>
      <c r="H1198" s="6"/>
      <c r="I1198" s="25"/>
      <c r="J1198" s="7"/>
      <c r="K1198" s="15"/>
      <c r="L1198" s="379">
        <f>IF(H1198&lt;&gt;"",J1198*K1198,SUMIFS(L1199:L$9844,$F1199:$F$9844,"*"&amp;F1198&amp;"*",$H1199:$H$9844,"&lt;&gt;"))</f>
        <v>0</v>
      </c>
      <c r="M1198" s="379" t="str">
        <f>IF(Tabela2[[#This Row],[UNID.]]&lt;&gt;"",IFERROR(VLOOKUP(Tabela2[[#This Row],[AGRUPADOR]],Lucratividade!$D$4:$O$129,6,0),0),"")</f>
        <v/>
      </c>
      <c r="N1198" s="379">
        <f>IF(H1198&lt;&gt;"",J1198*M1198*I1198,SUMIFS(N1199:N$9844,$F1199:$F$9844,"*"&amp;F1198&amp;"*",$H1199:$H$9844,"&lt;&gt;"))</f>
        <v>0</v>
      </c>
      <c r="O1198" s="162" t="str">
        <f>IFERROR((-Tabela2[[#This Row],[CUSTO TOTAL]]+Tabela2[[#This Row],[VENDA TOTAL]])/Tabela2[[#This Row],[VENDA TOTAL]]-PARAMETROS!$C$19,"")</f>
        <v/>
      </c>
      <c r="AA1198" s="218">
        <f>SUM(Plan_Orc[[#This Row],[01/jan]:[01/dez]])</f>
        <v>0</v>
      </c>
      <c r="AB1198" s="12"/>
      <c r="AC1198" s="12"/>
      <c r="AD1198" s="12"/>
      <c r="AE1198" s="12"/>
      <c r="AF1198" s="12"/>
      <c r="AG1198" s="12"/>
      <c r="AH1198" s="12"/>
      <c r="AI1198" s="12"/>
      <c r="AJ1198" s="12"/>
      <c r="AK1198" s="12"/>
      <c r="AL1198" s="12"/>
      <c r="AM1198" s="12"/>
    </row>
    <row r="1199" spans="2:39" ht="25.2" customHeight="1" x14ac:dyDescent="0.3">
      <c r="B1199" s="13" t="str">
        <f t="shared" si="22"/>
        <v/>
      </c>
      <c r="C1199" s="18"/>
      <c r="D1199" s="19" t="str">
        <f>IF(Tabela2[[#This Row],[AGRUPADOR]]&lt;&gt;"",VLOOKUP(Tabela2[[#This Row],[AGRUPADOR]],Tabela1[],2,0),"")</f>
        <v/>
      </c>
      <c r="E1199" s="19" t="str">
        <f>IF(Tabela2[[#This Row],[AGRUPADOR]]&lt;&gt;"",VLOOKUP(Tabela2[[#This Row],[AGRUPADOR]],Tabela1[],4,0),"")</f>
        <v/>
      </c>
      <c r="F1199" s="14"/>
      <c r="G1199" s="6"/>
      <c r="H1199" s="6"/>
      <c r="I1199" s="25"/>
      <c r="J1199" s="7"/>
      <c r="K1199" s="15"/>
      <c r="L1199" s="379">
        <f>IF(H1199&lt;&gt;"",J1199*K1199,SUMIFS(L1200:L$9844,$F1200:$F$9844,"*"&amp;F1199&amp;"*",$H1200:$H$9844,"&lt;&gt;"))</f>
        <v>0</v>
      </c>
      <c r="M1199" s="379" t="str">
        <f>IF(Tabela2[[#This Row],[UNID.]]&lt;&gt;"",IFERROR(VLOOKUP(Tabela2[[#This Row],[AGRUPADOR]],Lucratividade!$D$4:$O$129,6,0),0),"")</f>
        <v/>
      </c>
      <c r="N1199" s="379">
        <f>IF(H1199&lt;&gt;"",J1199*M1199*I1199,SUMIFS(N1200:N$9844,$F1200:$F$9844,"*"&amp;F1199&amp;"*",$H1200:$H$9844,"&lt;&gt;"))</f>
        <v>0</v>
      </c>
      <c r="O1199" s="162" t="str">
        <f>IFERROR((-Tabela2[[#This Row],[CUSTO TOTAL]]+Tabela2[[#This Row],[VENDA TOTAL]])/Tabela2[[#This Row],[VENDA TOTAL]]-PARAMETROS!$C$19,"")</f>
        <v/>
      </c>
      <c r="AA1199" s="219">
        <f>SUM(Plan_Orc[[#This Row],[01/jan]:[01/dez]])</f>
        <v>0</v>
      </c>
      <c r="AB1199" s="15"/>
      <c r="AC1199" s="15"/>
      <c r="AD1199" s="15"/>
      <c r="AE1199" s="15"/>
      <c r="AF1199" s="15"/>
      <c r="AG1199" s="15"/>
      <c r="AH1199" s="15"/>
      <c r="AI1199" s="15"/>
      <c r="AJ1199" s="15"/>
      <c r="AK1199" s="15"/>
      <c r="AL1199" s="15"/>
      <c r="AM1199" s="15"/>
    </row>
    <row r="1200" spans="2:39" ht="25.2" customHeight="1" x14ac:dyDescent="0.3">
      <c r="B1200" s="13" t="str">
        <f t="shared" si="22"/>
        <v/>
      </c>
      <c r="C1200" s="18"/>
      <c r="D1200" s="19" t="str">
        <f>IF(Tabela2[[#This Row],[AGRUPADOR]]&lt;&gt;"",VLOOKUP(Tabela2[[#This Row],[AGRUPADOR]],Tabela1[],2,0),"")</f>
        <v/>
      </c>
      <c r="E1200" s="19" t="str">
        <f>IF(Tabela2[[#This Row],[AGRUPADOR]]&lt;&gt;"",VLOOKUP(Tabela2[[#This Row],[AGRUPADOR]],Tabela1[],4,0),"")</f>
        <v/>
      </c>
      <c r="F1200" s="14"/>
      <c r="G1200" s="6"/>
      <c r="H1200" s="6"/>
      <c r="I1200" s="25"/>
      <c r="J1200" s="7"/>
      <c r="K1200" s="15"/>
      <c r="L1200" s="379">
        <f>IF(H1200&lt;&gt;"",J1200*K1200,SUMIFS(L1201:L$9844,$F1201:$F$9844,"*"&amp;F1200&amp;"*",$H1201:$H$9844,"&lt;&gt;"))</f>
        <v>0</v>
      </c>
      <c r="M1200" s="379" t="str">
        <f>IF(Tabela2[[#This Row],[UNID.]]&lt;&gt;"",IFERROR(VLOOKUP(Tabela2[[#This Row],[AGRUPADOR]],Lucratividade!$D$4:$O$129,6,0),0),"")</f>
        <v/>
      </c>
      <c r="N1200" s="379">
        <f>IF(H1200&lt;&gt;"",J1200*M1200*I1200,SUMIFS(N1201:N$9844,$F1201:$F$9844,"*"&amp;F1200&amp;"*",$H1201:$H$9844,"&lt;&gt;"))</f>
        <v>0</v>
      </c>
      <c r="O1200" s="162" t="str">
        <f>IFERROR((-Tabela2[[#This Row],[CUSTO TOTAL]]+Tabela2[[#This Row],[VENDA TOTAL]])/Tabela2[[#This Row],[VENDA TOTAL]]-PARAMETROS!$C$19,"")</f>
        <v/>
      </c>
      <c r="AA1200" s="219">
        <f>SUM(Plan_Orc[[#This Row],[01/jan]:[01/dez]])</f>
        <v>0</v>
      </c>
      <c r="AB1200" s="15"/>
      <c r="AC1200" s="15"/>
      <c r="AD1200" s="15"/>
      <c r="AE1200" s="15"/>
      <c r="AF1200" s="15"/>
      <c r="AG1200" s="15"/>
      <c r="AH1200" s="15"/>
      <c r="AI1200" s="15"/>
      <c r="AJ1200" s="15"/>
      <c r="AK1200" s="15"/>
      <c r="AL1200" s="15"/>
      <c r="AM1200" s="15"/>
    </row>
    <row r="1201" spans="2:39" ht="25.2" customHeight="1" x14ac:dyDescent="0.3">
      <c r="B1201" s="13" t="str">
        <f t="shared" si="22"/>
        <v/>
      </c>
      <c r="C1201" s="18"/>
      <c r="D1201" s="19" t="str">
        <f>IF(Tabela2[[#This Row],[AGRUPADOR]]&lt;&gt;"",VLOOKUP(Tabela2[[#This Row],[AGRUPADOR]],Tabela1[],2,0),"")</f>
        <v/>
      </c>
      <c r="E1201" s="19" t="str">
        <f>IF(Tabela2[[#This Row],[AGRUPADOR]]&lt;&gt;"",VLOOKUP(Tabela2[[#This Row],[AGRUPADOR]],Tabela1[],4,0),"")</f>
        <v/>
      </c>
      <c r="F1201" s="14"/>
      <c r="G1201" s="6"/>
      <c r="H1201" s="6"/>
      <c r="I1201" s="25"/>
      <c r="J1201" s="7"/>
      <c r="K1201" s="15"/>
      <c r="L1201" s="379">
        <f>IF(H1201&lt;&gt;"",J1201*K1201,SUMIFS(L1202:L$9844,$F1202:$F$9844,"*"&amp;F1201&amp;"*",$H1202:$H$9844,"&lt;&gt;"))</f>
        <v>0</v>
      </c>
      <c r="M1201" s="379" t="str">
        <f>IF(Tabela2[[#This Row],[UNID.]]&lt;&gt;"",IFERROR(VLOOKUP(Tabela2[[#This Row],[AGRUPADOR]],Lucratividade!$D$4:$O$129,6,0),0),"")</f>
        <v/>
      </c>
      <c r="N1201" s="379">
        <f>IF(H1201&lt;&gt;"",J1201*M1201*I1201,SUMIFS(N1202:N$9844,$F1202:$F$9844,"*"&amp;F1201&amp;"*",$H1202:$H$9844,"&lt;&gt;"))</f>
        <v>0</v>
      </c>
      <c r="O1201" s="162" t="str">
        <f>IFERROR((-Tabela2[[#This Row],[CUSTO TOTAL]]+Tabela2[[#This Row],[VENDA TOTAL]])/Tabela2[[#This Row],[VENDA TOTAL]]-PARAMETROS!$C$19,"")</f>
        <v/>
      </c>
      <c r="AA1201" s="219">
        <f>SUM(Plan_Orc[[#This Row],[01/jan]:[01/dez]])</f>
        <v>0</v>
      </c>
      <c r="AB1201" s="15"/>
      <c r="AC1201" s="15"/>
      <c r="AD1201" s="15"/>
      <c r="AE1201" s="15"/>
      <c r="AF1201" s="15"/>
      <c r="AG1201" s="15"/>
      <c r="AH1201" s="15"/>
      <c r="AI1201" s="15"/>
      <c r="AJ1201" s="15"/>
      <c r="AK1201" s="15"/>
      <c r="AL1201" s="15"/>
      <c r="AM1201" s="15"/>
    </row>
    <row r="1202" spans="2:39" ht="25.2" customHeight="1" x14ac:dyDescent="0.3">
      <c r="B1202" s="13" t="str">
        <f t="shared" si="22"/>
        <v/>
      </c>
      <c r="C1202" s="18"/>
      <c r="D1202" s="19" t="str">
        <f>IF(Tabela2[[#This Row],[AGRUPADOR]]&lt;&gt;"",VLOOKUP(Tabela2[[#This Row],[AGRUPADOR]],Tabela1[],2,0),"")</f>
        <v/>
      </c>
      <c r="E1202" s="19" t="str">
        <f>IF(Tabela2[[#This Row],[AGRUPADOR]]&lt;&gt;"",VLOOKUP(Tabela2[[#This Row],[AGRUPADOR]],Tabela1[],4,0),"")</f>
        <v/>
      </c>
      <c r="F1202" s="14"/>
      <c r="G1202" s="6"/>
      <c r="H1202" s="6"/>
      <c r="I1202" s="25"/>
      <c r="J1202" s="7"/>
      <c r="K1202" s="15"/>
      <c r="L1202" s="379">
        <f>IF(H1202&lt;&gt;"",J1202*K1202,SUMIFS(L1203:L$9844,$F1203:$F$9844,"*"&amp;F1202&amp;"*",$H1203:$H$9844,"&lt;&gt;"))</f>
        <v>0</v>
      </c>
      <c r="M1202" s="379" t="str">
        <f>IF(Tabela2[[#This Row],[UNID.]]&lt;&gt;"",IFERROR(VLOOKUP(Tabela2[[#This Row],[AGRUPADOR]],Lucratividade!$D$4:$O$129,6,0),0),"")</f>
        <v/>
      </c>
      <c r="N1202" s="379">
        <f>IF(H1202&lt;&gt;"",J1202*M1202*I1202,SUMIFS(N1203:N$9844,$F1203:$F$9844,"*"&amp;F1202&amp;"*",$H1203:$H$9844,"&lt;&gt;"))</f>
        <v>0</v>
      </c>
      <c r="O1202" s="162" t="str">
        <f>IFERROR((-Tabela2[[#This Row],[CUSTO TOTAL]]+Tabela2[[#This Row],[VENDA TOTAL]])/Tabela2[[#This Row],[VENDA TOTAL]]-PARAMETROS!$C$19,"")</f>
        <v/>
      </c>
      <c r="AA1202" s="219">
        <f>SUM(Plan_Orc[[#This Row],[01/jan]:[01/dez]])</f>
        <v>0</v>
      </c>
      <c r="AB1202" s="15"/>
      <c r="AC1202" s="15"/>
      <c r="AD1202" s="15"/>
      <c r="AE1202" s="15"/>
      <c r="AF1202" s="15"/>
      <c r="AG1202" s="15"/>
      <c r="AH1202" s="15"/>
      <c r="AI1202" s="15"/>
      <c r="AJ1202" s="15"/>
      <c r="AK1202" s="15"/>
      <c r="AL1202" s="15"/>
      <c r="AM1202" s="15"/>
    </row>
    <row r="1203" spans="2:39" ht="25.2" customHeight="1" x14ac:dyDescent="0.3">
      <c r="B1203" s="13" t="str">
        <f t="shared" si="22"/>
        <v/>
      </c>
      <c r="C1203" s="18"/>
      <c r="D1203" s="19" t="str">
        <f>IF(Tabela2[[#This Row],[AGRUPADOR]]&lt;&gt;"",VLOOKUP(Tabela2[[#This Row],[AGRUPADOR]],Tabela1[],2,0),"")</f>
        <v/>
      </c>
      <c r="E1203" s="19" t="str">
        <f>IF(Tabela2[[#This Row],[AGRUPADOR]]&lt;&gt;"",VLOOKUP(Tabela2[[#This Row],[AGRUPADOR]],Tabela1[],4,0),"")</f>
        <v/>
      </c>
      <c r="F1203" s="14"/>
      <c r="G1203" s="6"/>
      <c r="H1203" s="6"/>
      <c r="I1203" s="25"/>
      <c r="J1203" s="7"/>
      <c r="K1203" s="15"/>
      <c r="L1203" s="379">
        <f>IF(H1203&lt;&gt;"",J1203*K1203,SUMIFS(L1204:L$9844,$F1204:$F$9844,"*"&amp;F1203&amp;"*",$H1204:$H$9844,"&lt;&gt;"))</f>
        <v>0</v>
      </c>
      <c r="M1203" s="379" t="str">
        <f>IF(Tabela2[[#This Row],[UNID.]]&lt;&gt;"",IFERROR(VLOOKUP(Tabela2[[#This Row],[AGRUPADOR]],Lucratividade!$D$4:$O$129,6,0),0),"")</f>
        <v/>
      </c>
      <c r="N1203" s="379">
        <f>IF(H1203&lt;&gt;"",J1203*M1203*I1203,SUMIFS(N1204:N$9844,$F1204:$F$9844,"*"&amp;F1203&amp;"*",$H1204:$H$9844,"&lt;&gt;"))</f>
        <v>0</v>
      </c>
      <c r="O1203" s="162" t="str">
        <f>IFERROR((-Tabela2[[#This Row],[CUSTO TOTAL]]+Tabela2[[#This Row],[VENDA TOTAL]])/Tabela2[[#This Row],[VENDA TOTAL]]-PARAMETROS!$C$19,"")</f>
        <v/>
      </c>
      <c r="AA1203" s="219">
        <f>SUM(Plan_Orc[[#This Row],[01/jan]:[01/dez]])</f>
        <v>0</v>
      </c>
      <c r="AB1203" s="15"/>
      <c r="AC1203" s="15"/>
      <c r="AD1203" s="15"/>
      <c r="AE1203" s="15"/>
      <c r="AF1203" s="15"/>
      <c r="AG1203" s="15"/>
      <c r="AH1203" s="15"/>
      <c r="AI1203" s="15"/>
      <c r="AJ1203" s="15"/>
      <c r="AK1203" s="15"/>
      <c r="AL1203" s="15"/>
      <c r="AM1203" s="15"/>
    </row>
    <row r="1204" spans="2:39" ht="25.2" customHeight="1" x14ac:dyDescent="0.3">
      <c r="B1204" s="13" t="str">
        <f t="shared" si="22"/>
        <v/>
      </c>
      <c r="C1204" s="18"/>
      <c r="D1204" s="19" t="str">
        <f>IF(Tabela2[[#This Row],[AGRUPADOR]]&lt;&gt;"",VLOOKUP(Tabela2[[#This Row],[AGRUPADOR]],Tabela1[],2,0),"")</f>
        <v/>
      </c>
      <c r="E1204" s="19" t="str">
        <f>IF(Tabela2[[#This Row],[AGRUPADOR]]&lt;&gt;"",VLOOKUP(Tabela2[[#This Row],[AGRUPADOR]],Tabela1[],4,0),"")</f>
        <v/>
      </c>
      <c r="F1204" s="14"/>
      <c r="G1204" s="6"/>
      <c r="H1204" s="6"/>
      <c r="I1204" s="25"/>
      <c r="J1204" s="7"/>
      <c r="K1204" s="15"/>
      <c r="L1204" s="379">
        <f>IF(H1204&lt;&gt;"",J1204*K1204,SUMIFS(L1205:L$9844,$F1205:$F$9844,"*"&amp;F1204&amp;"*",$H1205:$H$9844,"&lt;&gt;"))</f>
        <v>0</v>
      </c>
      <c r="M1204" s="379" t="str">
        <f>IF(Tabela2[[#This Row],[UNID.]]&lt;&gt;"",IFERROR(VLOOKUP(Tabela2[[#This Row],[AGRUPADOR]],Lucratividade!$D$4:$O$129,6,0),0),"")</f>
        <v/>
      </c>
      <c r="N1204" s="379">
        <f>IF(H1204&lt;&gt;"",J1204*M1204*I1204,SUMIFS(N1205:N$9844,$F1205:$F$9844,"*"&amp;F1204&amp;"*",$H1205:$H$9844,"&lt;&gt;"))</f>
        <v>0</v>
      </c>
      <c r="O1204" s="162" t="str">
        <f>IFERROR((-Tabela2[[#This Row],[CUSTO TOTAL]]+Tabela2[[#This Row],[VENDA TOTAL]])/Tabela2[[#This Row],[VENDA TOTAL]]-PARAMETROS!$C$19,"")</f>
        <v/>
      </c>
      <c r="AA1204" s="219">
        <f>SUM(Plan_Orc[[#This Row],[01/jan]:[01/dez]])</f>
        <v>0</v>
      </c>
      <c r="AB1204" s="15"/>
      <c r="AC1204" s="15"/>
      <c r="AD1204" s="15"/>
      <c r="AE1204" s="15"/>
      <c r="AF1204" s="15"/>
      <c r="AG1204" s="15"/>
      <c r="AH1204" s="15"/>
      <c r="AI1204" s="15"/>
      <c r="AJ1204" s="15"/>
      <c r="AK1204" s="15"/>
      <c r="AL1204" s="15"/>
      <c r="AM1204" s="15"/>
    </row>
    <row r="1205" spans="2:39" ht="25.2" customHeight="1" x14ac:dyDescent="0.3">
      <c r="B1205" s="13" t="str">
        <f t="shared" si="22"/>
        <v/>
      </c>
      <c r="C1205" s="18"/>
      <c r="D1205" s="19" t="str">
        <f>IF(Tabela2[[#This Row],[AGRUPADOR]]&lt;&gt;"",VLOOKUP(Tabela2[[#This Row],[AGRUPADOR]],Tabela1[],2,0),"")</f>
        <v/>
      </c>
      <c r="E1205" s="19" t="str">
        <f>IF(Tabela2[[#This Row],[AGRUPADOR]]&lt;&gt;"",VLOOKUP(Tabela2[[#This Row],[AGRUPADOR]],Tabela1[],4,0),"")</f>
        <v/>
      </c>
      <c r="F1205" s="14"/>
      <c r="G1205" s="6"/>
      <c r="H1205" s="6"/>
      <c r="I1205" s="25"/>
      <c r="J1205" s="7"/>
      <c r="K1205" s="15"/>
      <c r="L1205" s="379">
        <f>IF(H1205&lt;&gt;"",J1205*K1205,SUMIFS(L1206:L$9844,$F1206:$F$9844,"*"&amp;F1205&amp;"*",$H1206:$H$9844,"&lt;&gt;"))</f>
        <v>0</v>
      </c>
      <c r="M1205" s="379" t="str">
        <f>IF(Tabela2[[#This Row],[UNID.]]&lt;&gt;"",IFERROR(VLOOKUP(Tabela2[[#This Row],[AGRUPADOR]],Lucratividade!$D$4:$O$129,6,0),0),"")</f>
        <v/>
      </c>
      <c r="N1205" s="379">
        <f>IF(H1205&lt;&gt;"",J1205*M1205*I1205,SUMIFS(N1206:N$9844,$F1206:$F$9844,"*"&amp;F1205&amp;"*",$H1206:$H$9844,"&lt;&gt;"))</f>
        <v>0</v>
      </c>
      <c r="O1205" s="162" t="str">
        <f>IFERROR((-Tabela2[[#This Row],[CUSTO TOTAL]]+Tabela2[[#This Row],[VENDA TOTAL]])/Tabela2[[#This Row],[VENDA TOTAL]]-PARAMETROS!$C$19,"")</f>
        <v/>
      </c>
      <c r="AA1205" s="219">
        <f>SUM(Plan_Orc[[#This Row],[01/jan]:[01/dez]])</f>
        <v>0</v>
      </c>
      <c r="AB1205" s="15"/>
      <c r="AC1205" s="15"/>
      <c r="AD1205" s="15"/>
      <c r="AE1205" s="15"/>
      <c r="AF1205" s="15"/>
      <c r="AG1205" s="15"/>
      <c r="AH1205" s="15"/>
      <c r="AI1205" s="15"/>
      <c r="AJ1205" s="15"/>
      <c r="AK1205" s="15"/>
      <c r="AL1205" s="15"/>
      <c r="AM1205" s="15"/>
    </row>
    <row r="1206" spans="2:39" ht="25.2" customHeight="1" x14ac:dyDescent="0.3">
      <c r="B1206" s="13" t="str">
        <f t="shared" si="22"/>
        <v/>
      </c>
      <c r="C1206" s="18"/>
      <c r="D1206" s="19" t="str">
        <f>IF(Tabela2[[#This Row],[AGRUPADOR]]&lt;&gt;"",VLOOKUP(Tabela2[[#This Row],[AGRUPADOR]],Tabela1[],2,0),"")</f>
        <v/>
      </c>
      <c r="E1206" s="19" t="str">
        <f>IF(Tabela2[[#This Row],[AGRUPADOR]]&lt;&gt;"",VLOOKUP(Tabela2[[#This Row],[AGRUPADOR]],Tabela1[],4,0),"")</f>
        <v/>
      </c>
      <c r="F1206" s="14"/>
      <c r="G1206" s="6"/>
      <c r="H1206" s="6"/>
      <c r="I1206" s="25"/>
      <c r="J1206" s="7"/>
      <c r="K1206" s="15"/>
      <c r="L1206" s="379">
        <f>IF(H1206&lt;&gt;"",J1206*K1206,SUMIFS(L1207:L$9844,$F1207:$F$9844,"*"&amp;F1206&amp;"*",$H1207:$H$9844,"&lt;&gt;"))</f>
        <v>0</v>
      </c>
      <c r="M1206" s="379" t="str">
        <f>IF(Tabela2[[#This Row],[UNID.]]&lt;&gt;"",IFERROR(VLOOKUP(Tabela2[[#This Row],[AGRUPADOR]],Lucratividade!$D$4:$O$129,6,0),0),"")</f>
        <v/>
      </c>
      <c r="N1206" s="379">
        <f>IF(H1206&lt;&gt;"",J1206*M1206*I1206,SUMIFS(N1207:N$9844,$F1207:$F$9844,"*"&amp;F1206&amp;"*",$H1207:$H$9844,"&lt;&gt;"))</f>
        <v>0</v>
      </c>
      <c r="O1206" s="162" t="str">
        <f>IFERROR((-Tabela2[[#This Row],[CUSTO TOTAL]]+Tabela2[[#This Row],[VENDA TOTAL]])/Tabela2[[#This Row],[VENDA TOTAL]]-PARAMETROS!$C$19,"")</f>
        <v/>
      </c>
      <c r="AA1206" s="219">
        <f>SUM(Plan_Orc[[#This Row],[01/jan]:[01/dez]])</f>
        <v>0</v>
      </c>
      <c r="AB1206" s="15"/>
      <c r="AC1206" s="15"/>
      <c r="AD1206" s="15"/>
      <c r="AE1206" s="15"/>
      <c r="AF1206" s="15"/>
      <c r="AG1206" s="15"/>
      <c r="AH1206" s="15"/>
      <c r="AI1206" s="15"/>
      <c r="AJ1206" s="15"/>
      <c r="AK1206" s="15"/>
      <c r="AL1206" s="15"/>
      <c r="AM1206" s="15"/>
    </row>
    <row r="1207" spans="2:39" ht="25.2" customHeight="1" x14ac:dyDescent="0.3">
      <c r="B1207" s="13" t="str">
        <f t="shared" si="22"/>
        <v/>
      </c>
      <c r="C1207" s="18"/>
      <c r="D1207" s="19" t="str">
        <f>IF(Tabela2[[#This Row],[AGRUPADOR]]&lt;&gt;"",VLOOKUP(Tabela2[[#This Row],[AGRUPADOR]],Tabela1[],2,0),"")</f>
        <v/>
      </c>
      <c r="E1207" s="19" t="str">
        <f>IF(Tabela2[[#This Row],[AGRUPADOR]]&lt;&gt;"",VLOOKUP(Tabela2[[#This Row],[AGRUPADOR]],Tabela1[],4,0),"")</f>
        <v/>
      </c>
      <c r="F1207" s="14"/>
      <c r="G1207" s="6"/>
      <c r="H1207" s="6"/>
      <c r="I1207" s="25"/>
      <c r="J1207" s="7"/>
      <c r="K1207" s="15"/>
      <c r="L1207" s="379">
        <f>IF(H1207&lt;&gt;"",J1207*K1207,SUMIFS(L1208:L$9844,$F1208:$F$9844,"*"&amp;F1207&amp;"*",$H1208:$H$9844,"&lt;&gt;"))</f>
        <v>0</v>
      </c>
      <c r="M1207" s="379" t="str">
        <f>IF(Tabela2[[#This Row],[UNID.]]&lt;&gt;"",IFERROR(VLOOKUP(Tabela2[[#This Row],[AGRUPADOR]],Lucratividade!$D$4:$O$129,6,0),0),"")</f>
        <v/>
      </c>
      <c r="N1207" s="379">
        <f>IF(H1207&lt;&gt;"",J1207*M1207*I1207,SUMIFS(N1208:N$9844,$F1208:$F$9844,"*"&amp;F1207&amp;"*",$H1208:$H$9844,"&lt;&gt;"))</f>
        <v>0</v>
      </c>
      <c r="O1207" s="162" t="str">
        <f>IFERROR((-Tabela2[[#This Row],[CUSTO TOTAL]]+Tabela2[[#This Row],[VENDA TOTAL]])/Tabela2[[#This Row],[VENDA TOTAL]]-PARAMETROS!$C$19,"")</f>
        <v/>
      </c>
      <c r="AA1207" s="219">
        <f>SUM(Plan_Orc[[#This Row],[01/jan]:[01/dez]])</f>
        <v>0</v>
      </c>
      <c r="AB1207" s="15"/>
      <c r="AC1207" s="15"/>
      <c r="AD1207" s="15"/>
      <c r="AE1207" s="15"/>
      <c r="AF1207" s="15"/>
      <c r="AG1207" s="15"/>
      <c r="AH1207" s="15"/>
      <c r="AI1207" s="15"/>
      <c r="AJ1207" s="15"/>
      <c r="AK1207" s="15"/>
      <c r="AL1207" s="15"/>
      <c r="AM1207" s="15"/>
    </row>
    <row r="1208" spans="2:39" ht="25.2" customHeight="1" x14ac:dyDescent="0.3">
      <c r="B1208" s="13" t="str">
        <f t="shared" si="22"/>
        <v/>
      </c>
      <c r="C1208" s="18"/>
      <c r="D1208" s="19" t="str">
        <f>IF(Tabela2[[#This Row],[AGRUPADOR]]&lt;&gt;"",VLOOKUP(Tabela2[[#This Row],[AGRUPADOR]],Tabela1[],2,0),"")</f>
        <v/>
      </c>
      <c r="E1208" s="19" t="str">
        <f>IF(Tabela2[[#This Row],[AGRUPADOR]]&lt;&gt;"",VLOOKUP(Tabela2[[#This Row],[AGRUPADOR]],Tabela1[],4,0),"")</f>
        <v/>
      </c>
      <c r="F1208" s="14"/>
      <c r="G1208" s="6"/>
      <c r="H1208" s="6"/>
      <c r="I1208" s="25"/>
      <c r="J1208" s="7"/>
      <c r="K1208" s="15"/>
      <c r="L1208" s="379">
        <f>IF(H1208&lt;&gt;"",J1208*K1208,SUMIFS(L1209:L$9844,$F1209:$F$9844,"*"&amp;F1208&amp;"*",$H1209:$H$9844,"&lt;&gt;"))</f>
        <v>0</v>
      </c>
      <c r="M1208" s="379" t="str">
        <f>IF(Tabela2[[#This Row],[UNID.]]&lt;&gt;"",IFERROR(VLOOKUP(Tabela2[[#This Row],[AGRUPADOR]],Lucratividade!$D$4:$O$129,6,0),0),"")</f>
        <v/>
      </c>
      <c r="N1208" s="379">
        <f>IF(H1208&lt;&gt;"",J1208*M1208*I1208,SUMIFS(N1209:N$9844,$F1209:$F$9844,"*"&amp;F1208&amp;"*",$H1209:$H$9844,"&lt;&gt;"))</f>
        <v>0</v>
      </c>
      <c r="O1208" s="162" t="str">
        <f>IFERROR((-Tabela2[[#This Row],[CUSTO TOTAL]]+Tabela2[[#This Row],[VENDA TOTAL]])/Tabela2[[#This Row],[VENDA TOTAL]]-PARAMETROS!$C$19,"")</f>
        <v/>
      </c>
      <c r="AA1208" s="219">
        <f>SUM(Plan_Orc[[#This Row],[01/jan]:[01/dez]])</f>
        <v>0</v>
      </c>
      <c r="AB1208" s="15"/>
      <c r="AC1208" s="15"/>
      <c r="AD1208" s="15"/>
      <c r="AE1208" s="15"/>
      <c r="AF1208" s="15"/>
      <c r="AG1208" s="15"/>
      <c r="AH1208" s="15"/>
      <c r="AI1208" s="15"/>
      <c r="AJ1208" s="15"/>
      <c r="AK1208" s="15"/>
      <c r="AL1208" s="15"/>
      <c r="AM1208" s="15"/>
    </row>
    <row r="1209" spans="2:39" ht="25.2" customHeight="1" x14ac:dyDescent="0.3">
      <c r="B1209" s="13" t="str">
        <f t="shared" si="22"/>
        <v/>
      </c>
      <c r="C1209" s="18"/>
      <c r="D1209" s="19" t="str">
        <f>IF(Tabela2[[#This Row],[AGRUPADOR]]&lt;&gt;"",VLOOKUP(Tabela2[[#This Row],[AGRUPADOR]],Tabela1[],2,0),"")</f>
        <v/>
      </c>
      <c r="E1209" s="19" t="str">
        <f>IF(Tabela2[[#This Row],[AGRUPADOR]]&lt;&gt;"",VLOOKUP(Tabela2[[#This Row],[AGRUPADOR]],Tabela1[],4,0),"")</f>
        <v/>
      </c>
      <c r="F1209" s="14"/>
      <c r="G1209" s="6"/>
      <c r="H1209" s="6"/>
      <c r="I1209" s="25"/>
      <c r="J1209" s="7"/>
      <c r="K1209" s="15"/>
      <c r="L1209" s="379">
        <f>IF(H1209&lt;&gt;"",J1209*K1209,SUMIFS(L1210:L$9844,$F1210:$F$9844,"*"&amp;F1209&amp;"*",$H1210:$H$9844,"&lt;&gt;"))</f>
        <v>0</v>
      </c>
      <c r="M1209" s="379" t="str">
        <f>IF(Tabela2[[#This Row],[UNID.]]&lt;&gt;"",IFERROR(VLOOKUP(Tabela2[[#This Row],[AGRUPADOR]],Lucratividade!$D$4:$O$129,6,0),0),"")</f>
        <v/>
      </c>
      <c r="N1209" s="379">
        <f>IF(H1209&lt;&gt;"",J1209*M1209*I1209,SUMIFS(N1210:N$9844,$F1210:$F$9844,"*"&amp;F1209&amp;"*",$H1210:$H$9844,"&lt;&gt;"))</f>
        <v>0</v>
      </c>
      <c r="O1209" s="162" t="str">
        <f>IFERROR((-Tabela2[[#This Row],[CUSTO TOTAL]]+Tabela2[[#This Row],[VENDA TOTAL]])/Tabela2[[#This Row],[VENDA TOTAL]]-PARAMETROS!$C$19,"")</f>
        <v/>
      </c>
      <c r="AA1209" s="219">
        <f>SUM(Plan_Orc[[#This Row],[01/jan]:[01/dez]])</f>
        <v>0</v>
      </c>
      <c r="AB1209" s="15"/>
      <c r="AC1209" s="15"/>
      <c r="AD1209" s="15"/>
      <c r="AE1209" s="15"/>
      <c r="AF1209" s="15"/>
      <c r="AG1209" s="15"/>
      <c r="AH1209" s="15"/>
      <c r="AI1209" s="15"/>
      <c r="AJ1209" s="15"/>
      <c r="AK1209" s="15"/>
      <c r="AL1209" s="15"/>
      <c r="AM1209" s="15"/>
    </row>
    <row r="1210" spans="2:39" ht="25.2" customHeight="1" x14ac:dyDescent="0.3">
      <c r="B1210" s="13" t="str">
        <f t="shared" si="22"/>
        <v/>
      </c>
      <c r="C1210" s="18"/>
      <c r="D1210" s="19" t="str">
        <f>IF(Tabela2[[#This Row],[AGRUPADOR]]&lt;&gt;"",VLOOKUP(Tabela2[[#This Row],[AGRUPADOR]],Tabela1[],2,0),"")</f>
        <v/>
      </c>
      <c r="E1210" s="19" t="str">
        <f>IF(Tabela2[[#This Row],[AGRUPADOR]]&lt;&gt;"",VLOOKUP(Tabela2[[#This Row],[AGRUPADOR]],Tabela1[],4,0),"")</f>
        <v/>
      </c>
      <c r="F1210" s="14"/>
      <c r="G1210" s="6"/>
      <c r="H1210" s="6"/>
      <c r="I1210" s="25"/>
      <c r="J1210" s="7"/>
      <c r="K1210" s="15"/>
      <c r="L1210" s="379">
        <f>IF(H1210&lt;&gt;"",J1210*K1210,SUMIFS(L1211:L$9844,$F1211:$F$9844,"*"&amp;F1210&amp;"*",$H1211:$H$9844,"&lt;&gt;"))</f>
        <v>0</v>
      </c>
      <c r="M1210" s="379" t="str">
        <f>IF(Tabela2[[#This Row],[UNID.]]&lt;&gt;"",IFERROR(VLOOKUP(Tabela2[[#This Row],[AGRUPADOR]],Lucratividade!$D$4:$O$129,6,0),0),"")</f>
        <v/>
      </c>
      <c r="N1210" s="379">
        <f>IF(H1210&lt;&gt;"",J1210*M1210*I1210,SUMIFS(N1211:N$9844,$F1211:$F$9844,"*"&amp;F1210&amp;"*",$H1211:$H$9844,"&lt;&gt;"))</f>
        <v>0</v>
      </c>
      <c r="O1210" s="162" t="str">
        <f>IFERROR((-Tabela2[[#This Row],[CUSTO TOTAL]]+Tabela2[[#This Row],[VENDA TOTAL]])/Tabela2[[#This Row],[VENDA TOTAL]]-PARAMETROS!$C$19,"")</f>
        <v/>
      </c>
      <c r="AA1210" s="219">
        <f>SUM(Plan_Orc[[#This Row],[01/jan]:[01/dez]])</f>
        <v>0</v>
      </c>
      <c r="AB1210" s="15"/>
      <c r="AC1210" s="15"/>
      <c r="AD1210" s="15"/>
      <c r="AE1210" s="15"/>
      <c r="AF1210" s="15"/>
      <c r="AG1210" s="15"/>
      <c r="AH1210" s="15"/>
      <c r="AI1210" s="15"/>
      <c r="AJ1210" s="15"/>
      <c r="AK1210" s="15"/>
      <c r="AL1210" s="15"/>
      <c r="AM1210" s="15"/>
    </row>
    <row r="1211" spans="2:39" ht="25.2" customHeight="1" x14ac:dyDescent="0.3">
      <c r="B1211" s="13" t="str">
        <f t="shared" si="22"/>
        <v/>
      </c>
      <c r="C1211" s="18"/>
      <c r="D1211" s="19" t="str">
        <f>IF(Tabela2[[#This Row],[AGRUPADOR]]&lt;&gt;"",VLOOKUP(Tabela2[[#This Row],[AGRUPADOR]],Tabela1[],2,0),"")</f>
        <v/>
      </c>
      <c r="E1211" s="19" t="str">
        <f>IF(Tabela2[[#This Row],[AGRUPADOR]]&lt;&gt;"",VLOOKUP(Tabela2[[#This Row],[AGRUPADOR]],Tabela1[],4,0),"")</f>
        <v/>
      </c>
      <c r="F1211" s="14"/>
      <c r="G1211" s="6"/>
      <c r="H1211" s="6"/>
      <c r="I1211" s="25"/>
      <c r="J1211" s="7"/>
      <c r="K1211" s="15"/>
      <c r="L1211" s="379">
        <f>IF(H1211&lt;&gt;"",J1211*K1211,SUMIFS(L1212:L$9844,$F1212:$F$9844,"*"&amp;F1211&amp;"*",$H1212:$H$9844,"&lt;&gt;"))</f>
        <v>0</v>
      </c>
      <c r="M1211" s="379" t="str">
        <f>IF(Tabela2[[#This Row],[UNID.]]&lt;&gt;"",IFERROR(VLOOKUP(Tabela2[[#This Row],[AGRUPADOR]],Lucratividade!$D$4:$O$129,6,0),0),"")</f>
        <v/>
      </c>
      <c r="N1211" s="379">
        <f>IF(H1211&lt;&gt;"",J1211*M1211*I1211,SUMIFS(N1212:N$9844,$F1212:$F$9844,"*"&amp;F1211&amp;"*",$H1212:$H$9844,"&lt;&gt;"))</f>
        <v>0</v>
      </c>
      <c r="O1211" s="162" t="str">
        <f>IFERROR((-Tabela2[[#This Row],[CUSTO TOTAL]]+Tabela2[[#This Row],[VENDA TOTAL]])/Tabela2[[#This Row],[VENDA TOTAL]]-PARAMETROS!$C$19,"")</f>
        <v/>
      </c>
      <c r="AA1211" s="219">
        <f>SUM(Plan_Orc[[#This Row],[01/jan]:[01/dez]])</f>
        <v>0</v>
      </c>
      <c r="AB1211" s="15"/>
      <c r="AC1211" s="15"/>
      <c r="AD1211" s="15"/>
      <c r="AE1211" s="15"/>
      <c r="AF1211" s="15"/>
      <c r="AG1211" s="15"/>
      <c r="AH1211" s="15"/>
      <c r="AI1211" s="15"/>
      <c r="AJ1211" s="15"/>
      <c r="AK1211" s="15"/>
      <c r="AL1211" s="15"/>
      <c r="AM1211" s="15"/>
    </row>
    <row r="1212" spans="2:39" ht="25.2" customHeight="1" x14ac:dyDescent="0.3">
      <c r="B1212" s="13" t="str">
        <f t="shared" si="22"/>
        <v/>
      </c>
      <c r="C1212" s="18"/>
      <c r="D1212" s="19" t="str">
        <f>IF(Tabela2[[#This Row],[AGRUPADOR]]&lt;&gt;"",VLOOKUP(Tabela2[[#This Row],[AGRUPADOR]],Tabela1[],2,0),"")</f>
        <v/>
      </c>
      <c r="E1212" s="19" t="str">
        <f>IF(Tabela2[[#This Row],[AGRUPADOR]]&lt;&gt;"",VLOOKUP(Tabela2[[#This Row],[AGRUPADOR]],Tabela1[],4,0),"")</f>
        <v/>
      </c>
      <c r="F1212" s="14"/>
      <c r="G1212" s="6"/>
      <c r="H1212" s="6"/>
      <c r="I1212" s="25"/>
      <c r="J1212" s="7"/>
      <c r="K1212" s="15"/>
      <c r="L1212" s="379">
        <f>IF(H1212&lt;&gt;"",J1212*K1212,SUMIFS(L1213:L$9844,$F1213:$F$9844,"*"&amp;F1212&amp;"*",$H1213:$H$9844,"&lt;&gt;"))</f>
        <v>0</v>
      </c>
      <c r="M1212" s="379" t="str">
        <f>IF(Tabela2[[#This Row],[UNID.]]&lt;&gt;"",IFERROR(VLOOKUP(Tabela2[[#This Row],[AGRUPADOR]],Lucratividade!$D$4:$O$129,6,0),0),"")</f>
        <v/>
      </c>
      <c r="N1212" s="379">
        <f>IF(H1212&lt;&gt;"",J1212*M1212*I1212,SUMIFS(N1213:N$9844,$F1213:$F$9844,"*"&amp;F1212&amp;"*",$H1213:$H$9844,"&lt;&gt;"))</f>
        <v>0</v>
      </c>
      <c r="O1212" s="162" t="str">
        <f>IFERROR((-Tabela2[[#This Row],[CUSTO TOTAL]]+Tabela2[[#This Row],[VENDA TOTAL]])/Tabela2[[#This Row],[VENDA TOTAL]]-PARAMETROS!$C$19,"")</f>
        <v/>
      </c>
      <c r="AA1212" s="219">
        <f>SUM(Plan_Orc[[#This Row],[01/jan]:[01/dez]])</f>
        <v>0</v>
      </c>
      <c r="AB1212" s="15"/>
      <c r="AC1212" s="15"/>
      <c r="AD1212" s="15"/>
      <c r="AE1212" s="15"/>
      <c r="AF1212" s="15"/>
      <c r="AG1212" s="15"/>
      <c r="AH1212" s="15"/>
      <c r="AI1212" s="15"/>
      <c r="AJ1212" s="15"/>
      <c r="AK1212" s="15"/>
      <c r="AL1212" s="15"/>
      <c r="AM1212" s="15"/>
    </row>
    <row r="1213" spans="2:39" ht="25.2" customHeight="1" x14ac:dyDescent="0.3">
      <c r="B1213" s="13" t="str">
        <f t="shared" si="22"/>
        <v/>
      </c>
      <c r="C1213" s="18"/>
      <c r="D1213" s="19" t="str">
        <f>IF(Tabela2[[#This Row],[AGRUPADOR]]&lt;&gt;"",VLOOKUP(Tabela2[[#This Row],[AGRUPADOR]],Tabela1[],2,0),"")</f>
        <v/>
      </c>
      <c r="E1213" s="19" t="str">
        <f>IF(Tabela2[[#This Row],[AGRUPADOR]]&lt;&gt;"",VLOOKUP(Tabela2[[#This Row],[AGRUPADOR]],Tabela1[],4,0),"")</f>
        <v/>
      </c>
      <c r="F1213" s="14"/>
      <c r="G1213" s="6"/>
      <c r="H1213" s="6"/>
      <c r="I1213" s="25"/>
      <c r="J1213" s="7"/>
      <c r="K1213" s="15"/>
      <c r="L1213" s="379">
        <f>IF(H1213&lt;&gt;"",J1213*K1213,SUMIFS(L1214:L$9844,$F1214:$F$9844,"*"&amp;F1213&amp;"*",$H1214:$H$9844,"&lt;&gt;"))</f>
        <v>0</v>
      </c>
      <c r="M1213" s="379" t="str">
        <f>IF(Tabela2[[#This Row],[UNID.]]&lt;&gt;"",IFERROR(VLOOKUP(Tabela2[[#This Row],[AGRUPADOR]],Lucratividade!$D$4:$O$129,6,0),0),"")</f>
        <v/>
      </c>
      <c r="N1213" s="379">
        <f>IF(H1213&lt;&gt;"",J1213*M1213*I1213,SUMIFS(N1214:N$9844,$F1214:$F$9844,"*"&amp;F1213&amp;"*",$H1214:$H$9844,"&lt;&gt;"))</f>
        <v>0</v>
      </c>
      <c r="O1213" s="162" t="str">
        <f>IFERROR((-Tabela2[[#This Row],[CUSTO TOTAL]]+Tabela2[[#This Row],[VENDA TOTAL]])/Tabela2[[#This Row],[VENDA TOTAL]]-PARAMETROS!$C$19,"")</f>
        <v/>
      </c>
      <c r="AA1213" s="219">
        <f>SUM(Plan_Orc[[#This Row],[01/jan]:[01/dez]])</f>
        <v>0</v>
      </c>
      <c r="AB1213" s="15"/>
      <c r="AC1213" s="15"/>
      <c r="AD1213" s="15"/>
      <c r="AE1213" s="15"/>
      <c r="AF1213" s="15"/>
      <c r="AG1213" s="15"/>
      <c r="AH1213" s="15"/>
      <c r="AI1213" s="15"/>
      <c r="AJ1213" s="15"/>
      <c r="AK1213" s="15"/>
      <c r="AL1213" s="15"/>
      <c r="AM1213" s="15"/>
    </row>
    <row r="1214" spans="2:39" ht="25.2" customHeight="1" x14ac:dyDescent="0.3">
      <c r="B1214" s="13" t="str">
        <f t="shared" si="22"/>
        <v/>
      </c>
      <c r="C1214" s="18"/>
      <c r="D1214" s="19" t="str">
        <f>IF(Tabela2[[#This Row],[AGRUPADOR]]&lt;&gt;"",VLOOKUP(Tabela2[[#This Row],[AGRUPADOR]],Tabela1[],2,0),"")</f>
        <v/>
      </c>
      <c r="E1214" s="19" t="str">
        <f>IF(Tabela2[[#This Row],[AGRUPADOR]]&lt;&gt;"",VLOOKUP(Tabela2[[#This Row],[AGRUPADOR]],Tabela1[],4,0),"")</f>
        <v/>
      </c>
      <c r="F1214" s="14"/>
      <c r="G1214" s="6"/>
      <c r="H1214" s="6"/>
      <c r="I1214" s="25"/>
      <c r="J1214" s="7"/>
      <c r="K1214" s="15"/>
      <c r="L1214" s="379">
        <f>IF(H1214&lt;&gt;"",J1214*K1214,SUMIFS(L1215:L$9844,$F1215:$F$9844,"*"&amp;F1214&amp;"*",$H1215:$H$9844,"&lt;&gt;"))</f>
        <v>0</v>
      </c>
      <c r="M1214" s="379" t="str">
        <f>IF(Tabela2[[#This Row],[UNID.]]&lt;&gt;"",IFERROR(VLOOKUP(Tabela2[[#This Row],[AGRUPADOR]],Lucratividade!$D$4:$O$129,6,0),0),"")</f>
        <v/>
      </c>
      <c r="N1214" s="379">
        <f>IF(H1214&lt;&gt;"",J1214*M1214*I1214,SUMIFS(N1215:N$9844,$F1215:$F$9844,"*"&amp;F1214&amp;"*",$H1215:$H$9844,"&lt;&gt;"))</f>
        <v>0</v>
      </c>
      <c r="O1214" s="162" t="str">
        <f>IFERROR((-Tabela2[[#This Row],[CUSTO TOTAL]]+Tabela2[[#This Row],[VENDA TOTAL]])/Tabela2[[#This Row],[VENDA TOTAL]]-PARAMETROS!$C$19,"")</f>
        <v/>
      </c>
      <c r="AA1214" s="219">
        <f>SUM(Plan_Orc[[#This Row],[01/jan]:[01/dez]])</f>
        <v>0</v>
      </c>
      <c r="AB1214" s="15"/>
      <c r="AC1214" s="15"/>
      <c r="AD1214" s="15"/>
      <c r="AE1214" s="15"/>
      <c r="AF1214" s="15"/>
      <c r="AG1214" s="15"/>
      <c r="AH1214" s="15"/>
      <c r="AI1214" s="15"/>
      <c r="AJ1214" s="15"/>
      <c r="AK1214" s="15"/>
      <c r="AL1214" s="15"/>
      <c r="AM1214" s="15"/>
    </row>
    <row r="1215" spans="2:39" ht="25.2" customHeight="1" x14ac:dyDescent="0.3">
      <c r="B1215" s="13" t="str">
        <f t="shared" si="22"/>
        <v/>
      </c>
      <c r="C1215" s="18"/>
      <c r="D1215" s="19" t="str">
        <f>IF(Tabela2[[#This Row],[AGRUPADOR]]&lt;&gt;"",VLOOKUP(Tabela2[[#This Row],[AGRUPADOR]],Tabela1[],2,0),"")</f>
        <v/>
      </c>
      <c r="E1215" s="19" t="str">
        <f>IF(Tabela2[[#This Row],[AGRUPADOR]]&lt;&gt;"",VLOOKUP(Tabela2[[#This Row],[AGRUPADOR]],Tabela1[],4,0),"")</f>
        <v/>
      </c>
      <c r="F1215" s="14"/>
      <c r="G1215" s="6"/>
      <c r="H1215" s="6"/>
      <c r="I1215" s="25"/>
      <c r="J1215" s="7"/>
      <c r="K1215" s="15"/>
      <c r="L1215" s="379">
        <f>IF(H1215&lt;&gt;"",J1215*K1215,SUMIFS(L1216:L$9844,$F1216:$F$9844,"*"&amp;F1215&amp;"*",$H1216:$H$9844,"&lt;&gt;"))</f>
        <v>0</v>
      </c>
      <c r="M1215" s="379" t="str">
        <f>IF(Tabela2[[#This Row],[UNID.]]&lt;&gt;"",IFERROR(VLOOKUP(Tabela2[[#This Row],[AGRUPADOR]],Lucratividade!$D$4:$O$129,6,0),0),"")</f>
        <v/>
      </c>
      <c r="N1215" s="379">
        <f>IF(H1215&lt;&gt;"",J1215*M1215*I1215,SUMIFS(N1216:N$9844,$F1216:$F$9844,"*"&amp;F1215&amp;"*",$H1216:$H$9844,"&lt;&gt;"))</f>
        <v>0</v>
      </c>
      <c r="O1215" s="162" t="str">
        <f>IFERROR((-Tabela2[[#This Row],[CUSTO TOTAL]]+Tabela2[[#This Row],[VENDA TOTAL]])/Tabela2[[#This Row],[VENDA TOTAL]]-PARAMETROS!$C$19,"")</f>
        <v/>
      </c>
      <c r="AA1215" s="219">
        <f>SUM(Plan_Orc[[#This Row],[01/jan]:[01/dez]])</f>
        <v>0</v>
      </c>
      <c r="AB1215" s="15"/>
      <c r="AC1215" s="15"/>
      <c r="AD1215" s="15"/>
      <c r="AE1215" s="15"/>
      <c r="AF1215" s="15"/>
      <c r="AG1215" s="15"/>
      <c r="AH1215" s="15"/>
      <c r="AI1215" s="15"/>
      <c r="AJ1215" s="15"/>
      <c r="AK1215" s="15"/>
      <c r="AL1215" s="15"/>
      <c r="AM1215" s="15"/>
    </row>
    <row r="1216" spans="2:39" ht="25.2" customHeight="1" x14ac:dyDescent="0.3">
      <c r="B1216" s="13" t="str">
        <f t="shared" si="22"/>
        <v/>
      </c>
      <c r="C1216" s="18"/>
      <c r="D1216" s="19" t="str">
        <f>IF(Tabela2[[#This Row],[AGRUPADOR]]&lt;&gt;"",VLOOKUP(Tabela2[[#This Row],[AGRUPADOR]],Tabela1[],2,0),"")</f>
        <v/>
      </c>
      <c r="E1216" s="19" t="str">
        <f>IF(Tabela2[[#This Row],[AGRUPADOR]]&lt;&gt;"",VLOOKUP(Tabela2[[#This Row],[AGRUPADOR]],Tabela1[],4,0),"")</f>
        <v/>
      </c>
      <c r="F1216" s="14"/>
      <c r="G1216" s="6"/>
      <c r="H1216" s="6"/>
      <c r="I1216" s="25"/>
      <c r="J1216" s="7"/>
      <c r="K1216" s="15"/>
      <c r="L1216" s="379">
        <f>IF(H1216&lt;&gt;"",J1216*K1216,SUMIFS(L1217:L$9844,$F1217:$F$9844,"*"&amp;F1216&amp;"*",$H1217:$H$9844,"&lt;&gt;"))</f>
        <v>0</v>
      </c>
      <c r="M1216" s="379" t="str">
        <f>IF(Tabela2[[#This Row],[UNID.]]&lt;&gt;"",IFERROR(VLOOKUP(Tabela2[[#This Row],[AGRUPADOR]],Lucratividade!$D$4:$O$129,6,0),0),"")</f>
        <v/>
      </c>
      <c r="N1216" s="379">
        <f>IF(H1216&lt;&gt;"",J1216*M1216*I1216,SUMIFS(N1217:N$9844,$F1217:$F$9844,"*"&amp;F1216&amp;"*",$H1217:$H$9844,"&lt;&gt;"))</f>
        <v>0</v>
      </c>
      <c r="O1216" s="162" t="str">
        <f>IFERROR((-Tabela2[[#This Row],[CUSTO TOTAL]]+Tabela2[[#This Row],[VENDA TOTAL]])/Tabela2[[#This Row],[VENDA TOTAL]]-PARAMETROS!$C$19,"")</f>
        <v/>
      </c>
      <c r="AA1216" s="219">
        <f>SUM(Plan_Orc[[#This Row],[01/jan]:[01/dez]])</f>
        <v>0</v>
      </c>
      <c r="AB1216" s="15"/>
      <c r="AC1216" s="15"/>
      <c r="AD1216" s="15"/>
      <c r="AE1216" s="15"/>
      <c r="AF1216" s="15"/>
      <c r="AG1216" s="15"/>
      <c r="AH1216" s="15"/>
      <c r="AI1216" s="15"/>
      <c r="AJ1216" s="15"/>
      <c r="AK1216" s="15"/>
      <c r="AL1216" s="15"/>
      <c r="AM1216" s="15"/>
    </row>
    <row r="1217" spans="2:39" ht="25.2" customHeight="1" x14ac:dyDescent="0.3">
      <c r="B1217" s="13" t="str">
        <f t="shared" si="22"/>
        <v/>
      </c>
      <c r="C1217" s="18"/>
      <c r="D1217" s="19" t="str">
        <f>IF(Tabela2[[#This Row],[AGRUPADOR]]&lt;&gt;"",VLOOKUP(Tabela2[[#This Row],[AGRUPADOR]],Tabela1[],2,0),"")</f>
        <v/>
      </c>
      <c r="E1217" s="19" t="str">
        <f>IF(Tabela2[[#This Row],[AGRUPADOR]]&lt;&gt;"",VLOOKUP(Tabela2[[#This Row],[AGRUPADOR]],Tabela1[],4,0),"")</f>
        <v/>
      </c>
      <c r="F1217" s="14"/>
      <c r="G1217" s="6"/>
      <c r="H1217" s="6"/>
      <c r="I1217" s="25"/>
      <c r="J1217" s="7"/>
      <c r="K1217" s="15"/>
      <c r="L1217" s="379">
        <f>IF(H1217&lt;&gt;"",J1217*K1217,SUMIFS(L1218:L$9844,$F1218:$F$9844,"*"&amp;F1217&amp;"*",$H1218:$H$9844,"&lt;&gt;"))</f>
        <v>0</v>
      </c>
      <c r="M1217" s="379" t="str">
        <f>IF(Tabela2[[#This Row],[UNID.]]&lt;&gt;"",IFERROR(VLOOKUP(Tabela2[[#This Row],[AGRUPADOR]],Lucratividade!$D$4:$O$129,6,0),0),"")</f>
        <v/>
      </c>
      <c r="N1217" s="379">
        <f>IF(H1217&lt;&gt;"",J1217*M1217*I1217,SUMIFS(N1218:N$9844,$F1218:$F$9844,"*"&amp;F1217&amp;"*",$H1218:$H$9844,"&lt;&gt;"))</f>
        <v>0</v>
      </c>
      <c r="O1217" s="162" t="str">
        <f>IFERROR((-Tabela2[[#This Row],[CUSTO TOTAL]]+Tabela2[[#This Row],[VENDA TOTAL]])/Tabela2[[#This Row],[VENDA TOTAL]]-PARAMETROS!$C$19,"")</f>
        <v/>
      </c>
      <c r="AA1217" s="219">
        <f>SUM(Plan_Orc[[#This Row],[01/jan]:[01/dez]])</f>
        <v>0</v>
      </c>
      <c r="AB1217" s="15"/>
      <c r="AC1217" s="15"/>
      <c r="AD1217" s="15"/>
      <c r="AE1217" s="15"/>
      <c r="AF1217" s="15"/>
      <c r="AG1217" s="15"/>
      <c r="AH1217" s="15"/>
      <c r="AI1217" s="15"/>
      <c r="AJ1217" s="15"/>
      <c r="AK1217" s="15"/>
      <c r="AL1217" s="15"/>
      <c r="AM1217" s="15"/>
    </row>
    <row r="1218" spans="2:39" ht="25.2" customHeight="1" x14ac:dyDescent="0.3">
      <c r="B1218" s="13" t="str">
        <f t="shared" si="22"/>
        <v/>
      </c>
      <c r="C1218" s="18"/>
      <c r="D1218" s="19" t="str">
        <f>IF(Tabela2[[#This Row],[AGRUPADOR]]&lt;&gt;"",VLOOKUP(Tabela2[[#This Row],[AGRUPADOR]],Tabela1[],2,0),"")</f>
        <v/>
      </c>
      <c r="E1218" s="19" t="str">
        <f>IF(Tabela2[[#This Row],[AGRUPADOR]]&lt;&gt;"",VLOOKUP(Tabela2[[#This Row],[AGRUPADOR]],Tabela1[],4,0),"")</f>
        <v/>
      </c>
      <c r="F1218" s="14"/>
      <c r="G1218" s="6"/>
      <c r="H1218" s="6"/>
      <c r="I1218" s="25"/>
      <c r="J1218" s="7"/>
      <c r="K1218" s="15"/>
      <c r="L1218" s="379">
        <f>IF(H1218&lt;&gt;"",J1218*K1218,SUMIFS(L1219:L$9844,$F1219:$F$9844,"*"&amp;F1218&amp;"*",$H1219:$H$9844,"&lt;&gt;"))</f>
        <v>0</v>
      </c>
      <c r="M1218" s="379" t="str">
        <f>IF(Tabela2[[#This Row],[UNID.]]&lt;&gt;"",IFERROR(VLOOKUP(Tabela2[[#This Row],[AGRUPADOR]],Lucratividade!$D$4:$O$129,6,0),0),"")</f>
        <v/>
      </c>
      <c r="N1218" s="379">
        <f>IF(H1218&lt;&gt;"",J1218*M1218*I1218,SUMIFS(N1219:N$9844,$F1219:$F$9844,"*"&amp;F1218&amp;"*",$H1219:$H$9844,"&lt;&gt;"))</f>
        <v>0</v>
      </c>
      <c r="O1218" s="162" t="str">
        <f>IFERROR((-Tabela2[[#This Row],[CUSTO TOTAL]]+Tabela2[[#This Row],[VENDA TOTAL]])/Tabela2[[#This Row],[VENDA TOTAL]]-PARAMETROS!$C$19,"")</f>
        <v/>
      </c>
      <c r="AA1218" s="219">
        <f>SUM(Plan_Orc[[#This Row],[01/jan]:[01/dez]])</f>
        <v>0</v>
      </c>
      <c r="AB1218" s="15"/>
      <c r="AC1218" s="15"/>
      <c r="AD1218" s="15"/>
      <c r="AE1218" s="15"/>
      <c r="AF1218" s="15"/>
      <c r="AG1218" s="15"/>
      <c r="AH1218" s="15"/>
      <c r="AI1218" s="15"/>
      <c r="AJ1218" s="15"/>
      <c r="AK1218" s="15"/>
      <c r="AL1218" s="15"/>
      <c r="AM1218" s="15"/>
    </row>
    <row r="1219" spans="2:39" ht="25.2" customHeight="1" x14ac:dyDescent="0.3">
      <c r="B1219" s="13" t="str">
        <f t="shared" si="22"/>
        <v/>
      </c>
      <c r="C1219" s="18"/>
      <c r="D1219" s="19" t="str">
        <f>IF(Tabela2[[#This Row],[AGRUPADOR]]&lt;&gt;"",VLOOKUP(Tabela2[[#This Row],[AGRUPADOR]],Tabela1[],2,0),"")</f>
        <v/>
      </c>
      <c r="E1219" s="19" t="str">
        <f>IF(Tabela2[[#This Row],[AGRUPADOR]]&lt;&gt;"",VLOOKUP(Tabela2[[#This Row],[AGRUPADOR]],Tabela1[],4,0),"")</f>
        <v/>
      </c>
      <c r="F1219" s="14"/>
      <c r="G1219" s="6"/>
      <c r="H1219" s="6"/>
      <c r="I1219" s="25"/>
      <c r="J1219" s="7"/>
      <c r="K1219" s="15"/>
      <c r="L1219" s="379">
        <f>IF(H1219&lt;&gt;"",J1219*K1219,SUMIFS(L1220:L$9844,$F1220:$F$9844,"*"&amp;F1219&amp;"*",$H1220:$H$9844,"&lt;&gt;"))</f>
        <v>0</v>
      </c>
      <c r="M1219" s="379" t="str">
        <f>IF(Tabela2[[#This Row],[UNID.]]&lt;&gt;"",IFERROR(VLOOKUP(Tabela2[[#This Row],[AGRUPADOR]],Lucratividade!$D$4:$O$129,6,0),0),"")</f>
        <v/>
      </c>
      <c r="N1219" s="379">
        <f>IF(H1219&lt;&gt;"",J1219*M1219*I1219,SUMIFS(N1220:N$9844,$F1220:$F$9844,"*"&amp;F1219&amp;"*",$H1220:$H$9844,"&lt;&gt;"))</f>
        <v>0</v>
      </c>
      <c r="O1219" s="162" t="str">
        <f>IFERROR((-Tabela2[[#This Row],[CUSTO TOTAL]]+Tabela2[[#This Row],[VENDA TOTAL]])/Tabela2[[#This Row],[VENDA TOTAL]]-PARAMETROS!$C$19,"")</f>
        <v/>
      </c>
      <c r="AA1219" s="219">
        <f>SUM(Plan_Orc[[#This Row],[01/jan]:[01/dez]])</f>
        <v>0</v>
      </c>
      <c r="AB1219" s="15"/>
      <c r="AC1219" s="15"/>
      <c r="AD1219" s="15"/>
      <c r="AE1219" s="15"/>
      <c r="AF1219" s="15"/>
      <c r="AG1219" s="15"/>
      <c r="AH1219" s="15"/>
      <c r="AI1219" s="15"/>
      <c r="AJ1219" s="15"/>
      <c r="AK1219" s="15"/>
      <c r="AL1219" s="15"/>
      <c r="AM1219" s="15"/>
    </row>
    <row r="1220" spans="2:39" ht="25.2" customHeight="1" x14ac:dyDescent="0.3">
      <c r="B1220" s="13" t="str">
        <f t="shared" ref="B1220:B1283" si="23">IF(LEN(F1220)=3,1,"")</f>
        <v/>
      </c>
      <c r="C1220" s="18"/>
      <c r="D1220" s="19" t="str">
        <f>IF(Tabela2[[#This Row],[AGRUPADOR]]&lt;&gt;"",VLOOKUP(Tabela2[[#This Row],[AGRUPADOR]],Tabela1[],2,0),"")</f>
        <v/>
      </c>
      <c r="E1220" s="19" t="str">
        <f>IF(Tabela2[[#This Row],[AGRUPADOR]]&lt;&gt;"",VLOOKUP(Tabela2[[#This Row],[AGRUPADOR]],Tabela1[],4,0),"")</f>
        <v/>
      </c>
      <c r="F1220" s="14"/>
      <c r="G1220" s="6"/>
      <c r="H1220" s="6"/>
      <c r="I1220" s="25"/>
      <c r="J1220" s="7"/>
      <c r="K1220" s="15"/>
      <c r="L1220" s="379">
        <f>IF(H1220&lt;&gt;"",J1220*K1220,SUMIFS(L1221:L$9844,$F1221:$F$9844,"*"&amp;F1220&amp;"*",$H1221:$H$9844,"&lt;&gt;"))</f>
        <v>0</v>
      </c>
      <c r="M1220" s="379" t="str">
        <f>IF(Tabela2[[#This Row],[UNID.]]&lt;&gt;"",IFERROR(VLOOKUP(Tabela2[[#This Row],[AGRUPADOR]],Lucratividade!$D$4:$O$129,6,0),0),"")</f>
        <v/>
      </c>
      <c r="N1220" s="379">
        <f>IF(H1220&lt;&gt;"",J1220*M1220*I1220,SUMIFS(N1221:N$9844,$F1221:$F$9844,"*"&amp;F1220&amp;"*",$H1221:$H$9844,"&lt;&gt;"))</f>
        <v>0</v>
      </c>
      <c r="O1220" s="162" t="str">
        <f>IFERROR((-Tabela2[[#This Row],[CUSTO TOTAL]]+Tabela2[[#This Row],[VENDA TOTAL]])/Tabela2[[#This Row],[VENDA TOTAL]]-PARAMETROS!$C$19,"")</f>
        <v/>
      </c>
      <c r="AA1220" s="219">
        <f>SUM(Plan_Orc[[#This Row],[01/jan]:[01/dez]])</f>
        <v>0</v>
      </c>
      <c r="AB1220" s="15"/>
      <c r="AC1220" s="15"/>
      <c r="AD1220" s="15"/>
      <c r="AE1220" s="15"/>
      <c r="AF1220" s="15"/>
      <c r="AG1220" s="15"/>
      <c r="AH1220" s="15"/>
      <c r="AI1220" s="15"/>
      <c r="AJ1220" s="15"/>
      <c r="AK1220" s="15"/>
      <c r="AL1220" s="15"/>
      <c r="AM1220" s="15"/>
    </row>
    <row r="1221" spans="2:39" ht="25.2" customHeight="1" x14ac:dyDescent="0.3">
      <c r="B1221" s="13" t="str">
        <f t="shared" si="23"/>
        <v/>
      </c>
      <c r="C1221" s="18"/>
      <c r="D1221" s="19" t="str">
        <f>IF(Tabela2[[#This Row],[AGRUPADOR]]&lt;&gt;"",VLOOKUP(Tabela2[[#This Row],[AGRUPADOR]],Tabela1[],2,0),"")</f>
        <v/>
      </c>
      <c r="E1221" s="19" t="str">
        <f>IF(Tabela2[[#This Row],[AGRUPADOR]]&lt;&gt;"",VLOOKUP(Tabela2[[#This Row],[AGRUPADOR]],Tabela1[],4,0),"")</f>
        <v/>
      </c>
      <c r="F1221" s="14"/>
      <c r="G1221" s="6"/>
      <c r="H1221" s="6"/>
      <c r="I1221" s="25"/>
      <c r="J1221" s="7"/>
      <c r="K1221" s="15"/>
      <c r="L1221" s="379">
        <f>IF(H1221&lt;&gt;"",J1221*K1221,SUMIFS(L1222:L$9844,$F1222:$F$9844,"*"&amp;F1221&amp;"*",$H1222:$H$9844,"&lt;&gt;"))</f>
        <v>0</v>
      </c>
      <c r="M1221" s="379" t="str">
        <f>IF(Tabela2[[#This Row],[UNID.]]&lt;&gt;"",IFERROR(VLOOKUP(Tabela2[[#This Row],[AGRUPADOR]],Lucratividade!$D$4:$O$129,6,0),0),"")</f>
        <v/>
      </c>
      <c r="N1221" s="379">
        <f>IF(H1221&lt;&gt;"",J1221*M1221*I1221,SUMIFS(N1222:N$9844,$F1222:$F$9844,"*"&amp;F1221&amp;"*",$H1222:$H$9844,"&lt;&gt;"))</f>
        <v>0</v>
      </c>
      <c r="O1221" s="162" t="str">
        <f>IFERROR((-Tabela2[[#This Row],[CUSTO TOTAL]]+Tabela2[[#This Row],[VENDA TOTAL]])/Tabela2[[#This Row],[VENDA TOTAL]]-PARAMETROS!$C$19,"")</f>
        <v/>
      </c>
      <c r="AA1221" s="219">
        <f>SUM(Plan_Orc[[#This Row],[01/jan]:[01/dez]])</f>
        <v>0</v>
      </c>
      <c r="AB1221" s="15"/>
      <c r="AC1221" s="15"/>
      <c r="AD1221" s="15"/>
      <c r="AE1221" s="15"/>
      <c r="AF1221" s="15"/>
      <c r="AG1221" s="15"/>
      <c r="AH1221" s="15"/>
      <c r="AI1221" s="15"/>
      <c r="AJ1221" s="15"/>
      <c r="AK1221" s="15"/>
      <c r="AL1221" s="15"/>
      <c r="AM1221" s="15"/>
    </row>
    <row r="1222" spans="2:39" ht="25.2" customHeight="1" x14ac:dyDescent="0.3">
      <c r="B1222" s="13" t="str">
        <f t="shared" si="23"/>
        <v/>
      </c>
      <c r="C1222" s="18"/>
      <c r="D1222" s="19" t="str">
        <f>IF(Tabela2[[#This Row],[AGRUPADOR]]&lt;&gt;"",VLOOKUP(Tabela2[[#This Row],[AGRUPADOR]],Tabela1[],2,0),"")</f>
        <v/>
      </c>
      <c r="E1222" s="19" t="str">
        <f>IF(Tabela2[[#This Row],[AGRUPADOR]]&lt;&gt;"",VLOOKUP(Tabela2[[#This Row],[AGRUPADOR]],Tabela1[],4,0),"")</f>
        <v/>
      </c>
      <c r="F1222" s="14"/>
      <c r="G1222" s="6"/>
      <c r="H1222" s="6"/>
      <c r="I1222" s="25"/>
      <c r="J1222" s="7"/>
      <c r="K1222" s="15"/>
      <c r="L1222" s="379">
        <f>IF(H1222&lt;&gt;"",J1222*K1222,SUMIFS(L1223:L$9844,$F1223:$F$9844,"*"&amp;F1222&amp;"*",$H1223:$H$9844,"&lt;&gt;"))</f>
        <v>0</v>
      </c>
      <c r="M1222" s="379" t="str">
        <f>IF(Tabela2[[#This Row],[UNID.]]&lt;&gt;"",IFERROR(VLOOKUP(Tabela2[[#This Row],[AGRUPADOR]],Lucratividade!$D$4:$O$129,6,0),0),"")</f>
        <v/>
      </c>
      <c r="N1222" s="379">
        <f>IF(H1222&lt;&gt;"",J1222*M1222*I1222,SUMIFS(N1223:N$9844,$F1223:$F$9844,"*"&amp;F1222&amp;"*",$H1223:$H$9844,"&lt;&gt;"))</f>
        <v>0</v>
      </c>
      <c r="O1222" s="162" t="str">
        <f>IFERROR((-Tabela2[[#This Row],[CUSTO TOTAL]]+Tabela2[[#This Row],[VENDA TOTAL]])/Tabela2[[#This Row],[VENDA TOTAL]]-PARAMETROS!$C$19,"")</f>
        <v/>
      </c>
      <c r="AA1222" s="219">
        <f>SUM(Plan_Orc[[#This Row],[01/jan]:[01/dez]])</f>
        <v>0</v>
      </c>
      <c r="AB1222" s="15"/>
      <c r="AC1222" s="15"/>
      <c r="AD1222" s="15"/>
      <c r="AE1222" s="15"/>
      <c r="AF1222" s="15"/>
      <c r="AG1222" s="15"/>
      <c r="AH1222" s="15"/>
      <c r="AI1222" s="15"/>
      <c r="AJ1222" s="15"/>
      <c r="AK1222" s="15"/>
      <c r="AL1222" s="15"/>
      <c r="AM1222" s="15"/>
    </row>
    <row r="1223" spans="2:39" ht="25.2" customHeight="1" x14ac:dyDescent="0.3">
      <c r="B1223" s="13" t="str">
        <f t="shared" si="23"/>
        <v/>
      </c>
      <c r="C1223" s="18"/>
      <c r="D1223" s="19" t="str">
        <f>IF(Tabela2[[#This Row],[AGRUPADOR]]&lt;&gt;"",VLOOKUP(Tabela2[[#This Row],[AGRUPADOR]],Tabela1[],2,0),"")</f>
        <v/>
      </c>
      <c r="E1223" s="19" t="str">
        <f>IF(Tabela2[[#This Row],[AGRUPADOR]]&lt;&gt;"",VLOOKUP(Tabela2[[#This Row],[AGRUPADOR]],Tabela1[],4,0),"")</f>
        <v/>
      </c>
      <c r="F1223" s="14"/>
      <c r="G1223" s="6"/>
      <c r="H1223" s="6"/>
      <c r="I1223" s="25"/>
      <c r="J1223" s="7"/>
      <c r="K1223" s="15"/>
      <c r="L1223" s="379">
        <f>IF(H1223&lt;&gt;"",J1223*K1223,SUMIFS(L1224:L$9844,$F1224:$F$9844,"*"&amp;F1223&amp;"*",$H1224:$H$9844,"&lt;&gt;"))</f>
        <v>0</v>
      </c>
      <c r="M1223" s="379" t="str">
        <f>IF(Tabela2[[#This Row],[UNID.]]&lt;&gt;"",IFERROR(VLOOKUP(Tabela2[[#This Row],[AGRUPADOR]],Lucratividade!$D$4:$O$129,6,0),0),"")</f>
        <v/>
      </c>
      <c r="N1223" s="379">
        <f>IF(H1223&lt;&gt;"",J1223*M1223*I1223,SUMIFS(N1224:N$9844,$F1224:$F$9844,"*"&amp;F1223&amp;"*",$H1224:$H$9844,"&lt;&gt;"))</f>
        <v>0</v>
      </c>
      <c r="O1223" s="162" t="str">
        <f>IFERROR((-Tabela2[[#This Row],[CUSTO TOTAL]]+Tabela2[[#This Row],[VENDA TOTAL]])/Tabela2[[#This Row],[VENDA TOTAL]]-PARAMETROS!$C$19,"")</f>
        <v/>
      </c>
      <c r="AA1223" s="219">
        <f>SUM(Plan_Orc[[#This Row],[01/jan]:[01/dez]])</f>
        <v>0</v>
      </c>
      <c r="AB1223" s="15"/>
      <c r="AC1223" s="15"/>
      <c r="AD1223" s="15"/>
      <c r="AE1223" s="15"/>
      <c r="AF1223" s="15"/>
      <c r="AG1223" s="15"/>
      <c r="AH1223" s="15"/>
      <c r="AI1223" s="15"/>
      <c r="AJ1223" s="15"/>
      <c r="AK1223" s="15"/>
      <c r="AL1223" s="15"/>
      <c r="AM1223" s="15"/>
    </row>
    <row r="1224" spans="2:39" ht="25.2" customHeight="1" x14ac:dyDescent="0.3">
      <c r="B1224" s="13" t="str">
        <f t="shared" si="23"/>
        <v/>
      </c>
      <c r="C1224" s="18"/>
      <c r="D1224" s="19" t="str">
        <f>IF(Tabela2[[#This Row],[AGRUPADOR]]&lt;&gt;"",VLOOKUP(Tabela2[[#This Row],[AGRUPADOR]],Tabela1[],2,0),"")</f>
        <v/>
      </c>
      <c r="E1224" s="19" t="str">
        <f>IF(Tabela2[[#This Row],[AGRUPADOR]]&lt;&gt;"",VLOOKUP(Tabela2[[#This Row],[AGRUPADOR]],Tabela1[],4,0),"")</f>
        <v/>
      </c>
      <c r="F1224" s="14"/>
      <c r="G1224" s="6"/>
      <c r="H1224" s="6"/>
      <c r="I1224" s="25"/>
      <c r="J1224" s="7"/>
      <c r="K1224" s="15"/>
      <c r="L1224" s="379">
        <f>IF(H1224&lt;&gt;"",J1224*K1224,SUMIFS(L1225:L$9844,$F1225:$F$9844,"*"&amp;F1224&amp;"*",$H1225:$H$9844,"&lt;&gt;"))</f>
        <v>0</v>
      </c>
      <c r="M1224" s="379" t="str">
        <f>IF(Tabela2[[#This Row],[UNID.]]&lt;&gt;"",IFERROR(VLOOKUP(Tabela2[[#This Row],[AGRUPADOR]],Lucratividade!$D$4:$O$129,6,0),0),"")</f>
        <v/>
      </c>
      <c r="N1224" s="379">
        <f>IF(H1224&lt;&gt;"",J1224*M1224*I1224,SUMIFS(N1225:N$9844,$F1225:$F$9844,"*"&amp;F1224&amp;"*",$H1225:$H$9844,"&lt;&gt;"))</f>
        <v>0</v>
      </c>
      <c r="O1224" s="162" t="str">
        <f>IFERROR((-Tabela2[[#This Row],[CUSTO TOTAL]]+Tabela2[[#This Row],[VENDA TOTAL]])/Tabela2[[#This Row],[VENDA TOTAL]]-PARAMETROS!$C$19,"")</f>
        <v/>
      </c>
      <c r="AA1224" s="219">
        <f>SUM(Plan_Orc[[#This Row],[01/jan]:[01/dez]])</f>
        <v>0</v>
      </c>
      <c r="AB1224" s="15"/>
      <c r="AC1224" s="15"/>
      <c r="AD1224" s="15"/>
      <c r="AE1224" s="15"/>
      <c r="AF1224" s="15"/>
      <c r="AG1224" s="15"/>
      <c r="AH1224" s="15"/>
      <c r="AI1224" s="15"/>
      <c r="AJ1224" s="15"/>
      <c r="AK1224" s="15"/>
      <c r="AL1224" s="15"/>
      <c r="AM1224" s="15"/>
    </row>
    <row r="1225" spans="2:39" ht="25.2" customHeight="1" x14ac:dyDescent="0.3">
      <c r="B1225" s="13" t="str">
        <f t="shared" si="23"/>
        <v/>
      </c>
      <c r="C1225" s="18"/>
      <c r="D1225" s="19" t="str">
        <f>IF(Tabela2[[#This Row],[AGRUPADOR]]&lt;&gt;"",VLOOKUP(Tabela2[[#This Row],[AGRUPADOR]],Tabela1[],2,0),"")</f>
        <v/>
      </c>
      <c r="E1225" s="19" t="str">
        <f>IF(Tabela2[[#This Row],[AGRUPADOR]]&lt;&gt;"",VLOOKUP(Tabela2[[#This Row],[AGRUPADOR]],Tabela1[],4,0),"")</f>
        <v/>
      </c>
      <c r="F1225" s="14"/>
      <c r="G1225" s="6"/>
      <c r="H1225" s="6"/>
      <c r="I1225" s="25"/>
      <c r="J1225" s="7"/>
      <c r="K1225" s="15"/>
      <c r="L1225" s="379">
        <f>IF(H1225&lt;&gt;"",J1225*K1225,SUMIFS(L1226:L$9844,$F1226:$F$9844,"*"&amp;F1225&amp;"*",$H1226:$H$9844,"&lt;&gt;"))</f>
        <v>0</v>
      </c>
      <c r="M1225" s="379" t="str">
        <f>IF(Tabela2[[#This Row],[UNID.]]&lt;&gt;"",IFERROR(VLOOKUP(Tabela2[[#This Row],[AGRUPADOR]],Lucratividade!$D$4:$O$129,6,0),0),"")</f>
        <v/>
      </c>
      <c r="N1225" s="379">
        <f>IF(H1225&lt;&gt;"",J1225*M1225*I1225,SUMIFS(N1226:N$9844,$F1226:$F$9844,"*"&amp;F1225&amp;"*",$H1226:$H$9844,"&lt;&gt;"))</f>
        <v>0</v>
      </c>
      <c r="O1225" s="162" t="str">
        <f>IFERROR((-Tabela2[[#This Row],[CUSTO TOTAL]]+Tabela2[[#This Row],[VENDA TOTAL]])/Tabela2[[#This Row],[VENDA TOTAL]]-PARAMETROS!$C$19,"")</f>
        <v/>
      </c>
      <c r="AA1225" s="219">
        <f>SUM(Plan_Orc[[#This Row],[01/jan]:[01/dez]])</f>
        <v>0</v>
      </c>
      <c r="AB1225" s="15"/>
      <c r="AC1225" s="15"/>
      <c r="AD1225" s="15"/>
      <c r="AE1225" s="15"/>
      <c r="AF1225" s="15"/>
      <c r="AG1225" s="15"/>
      <c r="AH1225" s="15"/>
      <c r="AI1225" s="15"/>
      <c r="AJ1225" s="15"/>
      <c r="AK1225" s="15"/>
      <c r="AL1225" s="15"/>
      <c r="AM1225" s="15"/>
    </row>
    <row r="1226" spans="2:39" ht="25.2" customHeight="1" x14ac:dyDescent="0.3">
      <c r="B1226" s="13" t="str">
        <f t="shared" si="23"/>
        <v/>
      </c>
      <c r="C1226" s="18"/>
      <c r="D1226" s="19" t="str">
        <f>IF(Tabela2[[#This Row],[AGRUPADOR]]&lt;&gt;"",VLOOKUP(Tabela2[[#This Row],[AGRUPADOR]],Tabela1[],2,0),"")</f>
        <v/>
      </c>
      <c r="E1226" s="19" t="str">
        <f>IF(Tabela2[[#This Row],[AGRUPADOR]]&lt;&gt;"",VLOOKUP(Tabela2[[#This Row],[AGRUPADOR]],Tabela1[],4,0),"")</f>
        <v/>
      </c>
      <c r="F1226" s="14"/>
      <c r="G1226" s="6"/>
      <c r="H1226" s="6"/>
      <c r="I1226" s="25"/>
      <c r="J1226" s="7"/>
      <c r="K1226" s="15"/>
      <c r="L1226" s="379">
        <f>IF(H1226&lt;&gt;"",J1226*K1226,SUMIFS(L1227:L$9844,$F1227:$F$9844,"*"&amp;F1226&amp;"*",$H1227:$H$9844,"&lt;&gt;"))</f>
        <v>0</v>
      </c>
      <c r="M1226" s="379" t="str">
        <f>IF(Tabela2[[#This Row],[UNID.]]&lt;&gt;"",IFERROR(VLOOKUP(Tabela2[[#This Row],[AGRUPADOR]],Lucratividade!$D$4:$O$129,6,0),0),"")</f>
        <v/>
      </c>
      <c r="N1226" s="379">
        <f>IF(H1226&lt;&gt;"",J1226*M1226*I1226,SUMIFS(N1227:N$9844,$F1227:$F$9844,"*"&amp;F1226&amp;"*",$H1227:$H$9844,"&lt;&gt;"))</f>
        <v>0</v>
      </c>
      <c r="O1226" s="162" t="str">
        <f>IFERROR((-Tabela2[[#This Row],[CUSTO TOTAL]]+Tabela2[[#This Row],[VENDA TOTAL]])/Tabela2[[#This Row],[VENDA TOTAL]]-PARAMETROS!$C$19,"")</f>
        <v/>
      </c>
      <c r="AA1226" s="218">
        <f>SUM(Plan_Orc[[#This Row],[01/jan]:[01/dez]])</f>
        <v>0</v>
      </c>
      <c r="AB1226" s="12"/>
      <c r="AC1226" s="12"/>
      <c r="AD1226" s="12"/>
      <c r="AE1226" s="12"/>
      <c r="AF1226" s="12"/>
      <c r="AG1226" s="12"/>
      <c r="AH1226" s="12"/>
      <c r="AI1226" s="12"/>
      <c r="AJ1226" s="12"/>
      <c r="AK1226" s="12"/>
      <c r="AL1226" s="12"/>
      <c r="AM1226" s="12"/>
    </row>
    <row r="1227" spans="2:39" ht="25.2" customHeight="1" x14ac:dyDescent="0.3">
      <c r="B1227" s="13" t="str">
        <f t="shared" si="23"/>
        <v/>
      </c>
      <c r="C1227" s="18"/>
      <c r="D1227" s="19" t="str">
        <f>IF(Tabela2[[#This Row],[AGRUPADOR]]&lt;&gt;"",VLOOKUP(Tabela2[[#This Row],[AGRUPADOR]],Tabela1[],2,0),"")</f>
        <v/>
      </c>
      <c r="E1227" s="19" t="str">
        <f>IF(Tabela2[[#This Row],[AGRUPADOR]]&lt;&gt;"",VLOOKUP(Tabela2[[#This Row],[AGRUPADOR]],Tabela1[],4,0),"")</f>
        <v/>
      </c>
      <c r="F1227" s="14"/>
      <c r="G1227" s="6"/>
      <c r="H1227" s="6"/>
      <c r="I1227" s="25"/>
      <c r="J1227" s="7"/>
      <c r="K1227" s="15"/>
      <c r="L1227" s="379">
        <f>IF(H1227&lt;&gt;"",J1227*K1227,SUMIFS(L1228:L$9844,$F1228:$F$9844,"*"&amp;F1227&amp;"*",$H1228:$H$9844,"&lt;&gt;"))</f>
        <v>0</v>
      </c>
      <c r="M1227" s="379" t="str">
        <f>IF(Tabela2[[#This Row],[UNID.]]&lt;&gt;"",IFERROR(VLOOKUP(Tabela2[[#This Row],[AGRUPADOR]],Lucratividade!$D$4:$O$129,6,0),0),"")</f>
        <v/>
      </c>
      <c r="N1227" s="379">
        <f>IF(H1227&lt;&gt;"",J1227*M1227*I1227,SUMIFS(N1228:N$9844,$F1228:$F$9844,"*"&amp;F1227&amp;"*",$H1228:$H$9844,"&lt;&gt;"))</f>
        <v>0</v>
      </c>
      <c r="O1227" s="162" t="str">
        <f>IFERROR((-Tabela2[[#This Row],[CUSTO TOTAL]]+Tabela2[[#This Row],[VENDA TOTAL]])/Tabela2[[#This Row],[VENDA TOTAL]]-PARAMETROS!$C$19,"")</f>
        <v/>
      </c>
      <c r="AA1227" s="219">
        <f>SUM(Plan_Orc[[#This Row],[01/jan]:[01/dez]])</f>
        <v>0</v>
      </c>
      <c r="AB1227" s="15"/>
      <c r="AC1227" s="15"/>
      <c r="AD1227" s="15"/>
      <c r="AE1227" s="15"/>
      <c r="AF1227" s="15"/>
      <c r="AG1227" s="15"/>
      <c r="AH1227" s="15"/>
      <c r="AI1227" s="15"/>
      <c r="AJ1227" s="15"/>
      <c r="AK1227" s="15"/>
      <c r="AL1227" s="15"/>
      <c r="AM1227" s="15"/>
    </row>
    <row r="1228" spans="2:39" ht="25.2" customHeight="1" x14ac:dyDescent="0.3">
      <c r="B1228" s="13" t="str">
        <f t="shared" si="23"/>
        <v/>
      </c>
      <c r="C1228" s="18"/>
      <c r="D1228" s="19" t="str">
        <f>IF(Tabela2[[#This Row],[AGRUPADOR]]&lt;&gt;"",VLOOKUP(Tabela2[[#This Row],[AGRUPADOR]],Tabela1[],2,0),"")</f>
        <v/>
      </c>
      <c r="E1228" s="19" t="str">
        <f>IF(Tabela2[[#This Row],[AGRUPADOR]]&lt;&gt;"",VLOOKUP(Tabela2[[#This Row],[AGRUPADOR]],Tabela1[],4,0),"")</f>
        <v/>
      </c>
      <c r="F1228" s="14"/>
      <c r="G1228" s="6"/>
      <c r="H1228" s="6"/>
      <c r="I1228" s="25"/>
      <c r="J1228" s="7"/>
      <c r="K1228" s="15"/>
      <c r="L1228" s="379">
        <f>IF(H1228&lt;&gt;"",J1228*K1228,SUMIFS(L1229:L$9844,$F1229:$F$9844,"*"&amp;F1228&amp;"*",$H1229:$H$9844,"&lt;&gt;"))</f>
        <v>0</v>
      </c>
      <c r="M1228" s="379" t="str">
        <f>IF(Tabela2[[#This Row],[UNID.]]&lt;&gt;"",IFERROR(VLOOKUP(Tabela2[[#This Row],[AGRUPADOR]],Lucratividade!$D$4:$O$129,6,0),0),"")</f>
        <v/>
      </c>
      <c r="N1228" s="379">
        <f>IF(H1228&lt;&gt;"",J1228*M1228*I1228,SUMIFS(N1229:N$9844,$F1229:$F$9844,"*"&amp;F1228&amp;"*",$H1229:$H$9844,"&lt;&gt;"))</f>
        <v>0</v>
      </c>
      <c r="O1228" s="162" t="str">
        <f>IFERROR((-Tabela2[[#This Row],[CUSTO TOTAL]]+Tabela2[[#This Row],[VENDA TOTAL]])/Tabela2[[#This Row],[VENDA TOTAL]]-PARAMETROS!$C$19,"")</f>
        <v/>
      </c>
      <c r="AA1228" s="219">
        <f>SUM(Plan_Orc[[#This Row],[01/jan]:[01/dez]])</f>
        <v>0</v>
      </c>
      <c r="AB1228" s="15"/>
      <c r="AC1228" s="15"/>
      <c r="AD1228" s="15"/>
      <c r="AE1228" s="15"/>
      <c r="AF1228" s="15"/>
      <c r="AG1228" s="15"/>
      <c r="AH1228" s="15"/>
      <c r="AI1228" s="15"/>
      <c r="AJ1228" s="15"/>
      <c r="AK1228" s="15"/>
      <c r="AL1228" s="15"/>
      <c r="AM1228" s="15"/>
    </row>
    <row r="1229" spans="2:39" ht="25.2" customHeight="1" x14ac:dyDescent="0.3">
      <c r="B1229" s="13" t="str">
        <f t="shared" si="23"/>
        <v/>
      </c>
      <c r="C1229" s="18"/>
      <c r="D1229" s="19" t="str">
        <f>IF(Tabela2[[#This Row],[AGRUPADOR]]&lt;&gt;"",VLOOKUP(Tabela2[[#This Row],[AGRUPADOR]],Tabela1[],2,0),"")</f>
        <v/>
      </c>
      <c r="E1229" s="19" t="str">
        <f>IF(Tabela2[[#This Row],[AGRUPADOR]]&lt;&gt;"",VLOOKUP(Tabela2[[#This Row],[AGRUPADOR]],Tabela1[],4,0),"")</f>
        <v/>
      </c>
      <c r="F1229" s="14"/>
      <c r="G1229" s="6"/>
      <c r="H1229" s="6"/>
      <c r="I1229" s="25"/>
      <c r="J1229" s="7"/>
      <c r="K1229" s="15"/>
      <c r="L1229" s="379">
        <f>IF(H1229&lt;&gt;"",J1229*K1229,SUMIFS(L1230:L$9844,$F1230:$F$9844,"*"&amp;F1229&amp;"*",$H1230:$H$9844,"&lt;&gt;"))</f>
        <v>0</v>
      </c>
      <c r="M1229" s="379" t="str">
        <f>IF(Tabela2[[#This Row],[UNID.]]&lt;&gt;"",IFERROR(VLOOKUP(Tabela2[[#This Row],[AGRUPADOR]],Lucratividade!$D$4:$O$129,6,0),0),"")</f>
        <v/>
      </c>
      <c r="N1229" s="379">
        <f>IF(H1229&lt;&gt;"",J1229*M1229*I1229,SUMIFS(N1230:N$9844,$F1230:$F$9844,"*"&amp;F1229&amp;"*",$H1230:$H$9844,"&lt;&gt;"))</f>
        <v>0</v>
      </c>
      <c r="O1229" s="162" t="str">
        <f>IFERROR((-Tabela2[[#This Row],[CUSTO TOTAL]]+Tabela2[[#This Row],[VENDA TOTAL]])/Tabela2[[#This Row],[VENDA TOTAL]]-PARAMETROS!$C$19,"")</f>
        <v/>
      </c>
      <c r="AA1229" s="219">
        <f>SUM(Plan_Orc[[#This Row],[01/jan]:[01/dez]])</f>
        <v>0</v>
      </c>
      <c r="AB1229" s="15"/>
      <c r="AC1229" s="15"/>
      <c r="AD1229" s="15"/>
      <c r="AE1229" s="15"/>
      <c r="AF1229" s="15"/>
      <c r="AG1229" s="15"/>
      <c r="AH1229" s="15"/>
      <c r="AI1229" s="15"/>
      <c r="AJ1229" s="15"/>
      <c r="AK1229" s="15"/>
      <c r="AL1229" s="15"/>
      <c r="AM1229" s="15"/>
    </row>
    <row r="1230" spans="2:39" ht="25.2" customHeight="1" x14ac:dyDescent="0.3">
      <c r="B1230" s="13" t="str">
        <f t="shared" si="23"/>
        <v/>
      </c>
      <c r="C1230" s="18"/>
      <c r="D1230" s="19" t="str">
        <f>IF(Tabela2[[#This Row],[AGRUPADOR]]&lt;&gt;"",VLOOKUP(Tabela2[[#This Row],[AGRUPADOR]],Tabela1[],2,0),"")</f>
        <v/>
      </c>
      <c r="E1230" s="19" t="str">
        <f>IF(Tabela2[[#This Row],[AGRUPADOR]]&lt;&gt;"",VLOOKUP(Tabela2[[#This Row],[AGRUPADOR]],Tabela1[],4,0),"")</f>
        <v/>
      </c>
      <c r="F1230" s="14"/>
      <c r="G1230" s="6"/>
      <c r="H1230" s="6"/>
      <c r="I1230" s="25"/>
      <c r="J1230" s="7"/>
      <c r="K1230" s="15"/>
      <c r="L1230" s="379">
        <f>IF(H1230&lt;&gt;"",J1230*K1230,SUMIFS(L1231:L$9844,$F1231:$F$9844,"*"&amp;F1230&amp;"*",$H1231:$H$9844,"&lt;&gt;"))</f>
        <v>0</v>
      </c>
      <c r="M1230" s="379" t="str">
        <f>IF(Tabela2[[#This Row],[UNID.]]&lt;&gt;"",IFERROR(VLOOKUP(Tabela2[[#This Row],[AGRUPADOR]],Lucratividade!$D$4:$O$129,6,0),0),"")</f>
        <v/>
      </c>
      <c r="N1230" s="379">
        <f>IF(H1230&lt;&gt;"",J1230*M1230*I1230,SUMIFS(N1231:N$9844,$F1231:$F$9844,"*"&amp;F1230&amp;"*",$H1231:$H$9844,"&lt;&gt;"))</f>
        <v>0</v>
      </c>
      <c r="O1230" s="162" t="str">
        <f>IFERROR((-Tabela2[[#This Row],[CUSTO TOTAL]]+Tabela2[[#This Row],[VENDA TOTAL]])/Tabela2[[#This Row],[VENDA TOTAL]]-PARAMETROS!$C$19,"")</f>
        <v/>
      </c>
      <c r="AA1230" s="219">
        <f>SUM(Plan_Orc[[#This Row],[01/jan]:[01/dez]])</f>
        <v>0</v>
      </c>
      <c r="AB1230" s="15"/>
      <c r="AC1230" s="15"/>
      <c r="AD1230" s="15"/>
      <c r="AE1230" s="15"/>
      <c r="AF1230" s="15"/>
      <c r="AG1230" s="15"/>
      <c r="AH1230" s="15"/>
      <c r="AI1230" s="15"/>
      <c r="AJ1230" s="15"/>
      <c r="AK1230" s="15"/>
      <c r="AL1230" s="15"/>
      <c r="AM1230" s="15"/>
    </row>
    <row r="1231" spans="2:39" ht="25.2" customHeight="1" x14ac:dyDescent="0.3">
      <c r="B1231" s="13" t="str">
        <f t="shared" si="23"/>
        <v/>
      </c>
      <c r="C1231" s="18"/>
      <c r="D1231" s="19" t="str">
        <f>IF(Tabela2[[#This Row],[AGRUPADOR]]&lt;&gt;"",VLOOKUP(Tabela2[[#This Row],[AGRUPADOR]],Tabela1[],2,0),"")</f>
        <v/>
      </c>
      <c r="E1231" s="19" t="str">
        <f>IF(Tabela2[[#This Row],[AGRUPADOR]]&lt;&gt;"",VLOOKUP(Tabela2[[#This Row],[AGRUPADOR]],Tabela1[],4,0),"")</f>
        <v/>
      </c>
      <c r="F1231" s="14"/>
      <c r="G1231" s="6"/>
      <c r="H1231" s="6"/>
      <c r="I1231" s="25"/>
      <c r="J1231" s="7"/>
      <c r="K1231" s="15"/>
      <c r="L1231" s="379">
        <f>IF(H1231&lt;&gt;"",J1231*K1231,SUMIFS(L1232:L$9844,$F1232:$F$9844,"*"&amp;F1231&amp;"*",$H1232:$H$9844,"&lt;&gt;"))</f>
        <v>0</v>
      </c>
      <c r="M1231" s="379" t="str">
        <f>IF(Tabela2[[#This Row],[UNID.]]&lt;&gt;"",IFERROR(VLOOKUP(Tabela2[[#This Row],[AGRUPADOR]],Lucratividade!$D$4:$O$129,6,0),0),"")</f>
        <v/>
      </c>
      <c r="N1231" s="379">
        <f>IF(H1231&lt;&gt;"",J1231*M1231*I1231,SUMIFS(N1232:N$9844,$F1232:$F$9844,"*"&amp;F1231&amp;"*",$H1232:$H$9844,"&lt;&gt;"))</f>
        <v>0</v>
      </c>
      <c r="O1231" s="162" t="str">
        <f>IFERROR((-Tabela2[[#This Row],[CUSTO TOTAL]]+Tabela2[[#This Row],[VENDA TOTAL]])/Tabela2[[#This Row],[VENDA TOTAL]]-PARAMETROS!$C$19,"")</f>
        <v/>
      </c>
      <c r="AA1231" s="219">
        <f>SUM(Plan_Orc[[#This Row],[01/jan]:[01/dez]])</f>
        <v>0</v>
      </c>
      <c r="AB1231" s="15"/>
      <c r="AC1231" s="15"/>
      <c r="AD1231" s="15"/>
      <c r="AE1231" s="15"/>
      <c r="AF1231" s="15"/>
      <c r="AG1231" s="15"/>
      <c r="AH1231" s="15"/>
      <c r="AI1231" s="15"/>
      <c r="AJ1231" s="15"/>
      <c r="AK1231" s="15"/>
      <c r="AL1231" s="15"/>
      <c r="AM1231" s="15"/>
    </row>
    <row r="1232" spans="2:39" ht="25.2" customHeight="1" x14ac:dyDescent="0.3">
      <c r="B1232" s="13" t="str">
        <f t="shared" si="23"/>
        <v/>
      </c>
      <c r="C1232" s="18"/>
      <c r="D1232" s="19" t="str">
        <f>IF(Tabela2[[#This Row],[AGRUPADOR]]&lt;&gt;"",VLOOKUP(Tabela2[[#This Row],[AGRUPADOR]],Tabela1[],2,0),"")</f>
        <v/>
      </c>
      <c r="E1232" s="19" t="str">
        <f>IF(Tabela2[[#This Row],[AGRUPADOR]]&lt;&gt;"",VLOOKUP(Tabela2[[#This Row],[AGRUPADOR]],Tabela1[],4,0),"")</f>
        <v/>
      </c>
      <c r="F1232" s="14"/>
      <c r="G1232" s="6"/>
      <c r="H1232" s="6"/>
      <c r="I1232" s="25"/>
      <c r="J1232" s="7"/>
      <c r="K1232" s="15"/>
      <c r="L1232" s="379">
        <f>IF(H1232&lt;&gt;"",J1232*K1232,SUMIFS(L1233:L$9844,$F1233:$F$9844,"*"&amp;F1232&amp;"*",$H1233:$H$9844,"&lt;&gt;"))</f>
        <v>0</v>
      </c>
      <c r="M1232" s="379" t="str">
        <f>IF(Tabela2[[#This Row],[UNID.]]&lt;&gt;"",IFERROR(VLOOKUP(Tabela2[[#This Row],[AGRUPADOR]],Lucratividade!$D$4:$O$129,6,0),0),"")</f>
        <v/>
      </c>
      <c r="N1232" s="379">
        <f>IF(H1232&lt;&gt;"",J1232*M1232*I1232,SUMIFS(N1233:N$9844,$F1233:$F$9844,"*"&amp;F1232&amp;"*",$H1233:$H$9844,"&lt;&gt;"))</f>
        <v>0</v>
      </c>
      <c r="O1232" s="162" t="str">
        <f>IFERROR((-Tabela2[[#This Row],[CUSTO TOTAL]]+Tabela2[[#This Row],[VENDA TOTAL]])/Tabela2[[#This Row],[VENDA TOTAL]]-PARAMETROS!$C$19,"")</f>
        <v/>
      </c>
      <c r="AA1232" s="219">
        <f>SUM(Plan_Orc[[#This Row],[01/jan]:[01/dez]])</f>
        <v>0</v>
      </c>
      <c r="AB1232" s="15"/>
      <c r="AC1232" s="15"/>
      <c r="AD1232" s="15"/>
      <c r="AE1232" s="15"/>
      <c r="AF1232" s="15"/>
      <c r="AG1232" s="15"/>
      <c r="AH1232" s="15"/>
      <c r="AI1232" s="15"/>
      <c r="AJ1232" s="15"/>
      <c r="AK1232" s="15"/>
      <c r="AL1232" s="15"/>
      <c r="AM1232" s="15"/>
    </row>
    <row r="1233" spans="2:39" ht="25.2" customHeight="1" x14ac:dyDescent="0.3">
      <c r="B1233" s="13" t="str">
        <f t="shared" si="23"/>
        <v/>
      </c>
      <c r="C1233" s="18"/>
      <c r="D1233" s="19" t="str">
        <f>IF(Tabela2[[#This Row],[AGRUPADOR]]&lt;&gt;"",VLOOKUP(Tabela2[[#This Row],[AGRUPADOR]],Tabela1[],2,0),"")</f>
        <v/>
      </c>
      <c r="E1233" s="19" t="str">
        <f>IF(Tabela2[[#This Row],[AGRUPADOR]]&lt;&gt;"",VLOOKUP(Tabela2[[#This Row],[AGRUPADOR]],Tabela1[],4,0),"")</f>
        <v/>
      </c>
      <c r="F1233" s="14"/>
      <c r="G1233" s="6"/>
      <c r="H1233" s="6"/>
      <c r="I1233" s="25"/>
      <c r="J1233" s="7"/>
      <c r="K1233" s="15"/>
      <c r="L1233" s="379">
        <f>IF(H1233&lt;&gt;"",J1233*K1233,SUMIFS(L1234:L$9844,$F1234:$F$9844,"*"&amp;F1233&amp;"*",$H1234:$H$9844,"&lt;&gt;"))</f>
        <v>0</v>
      </c>
      <c r="M1233" s="379" t="str">
        <f>IF(Tabela2[[#This Row],[UNID.]]&lt;&gt;"",IFERROR(VLOOKUP(Tabela2[[#This Row],[AGRUPADOR]],Lucratividade!$D$4:$O$129,6,0),0),"")</f>
        <v/>
      </c>
      <c r="N1233" s="379">
        <f>IF(H1233&lt;&gt;"",J1233*M1233*I1233,SUMIFS(N1234:N$9844,$F1234:$F$9844,"*"&amp;F1233&amp;"*",$H1234:$H$9844,"&lt;&gt;"))</f>
        <v>0</v>
      </c>
      <c r="O1233" s="162" t="str">
        <f>IFERROR((-Tabela2[[#This Row],[CUSTO TOTAL]]+Tabela2[[#This Row],[VENDA TOTAL]])/Tabela2[[#This Row],[VENDA TOTAL]]-PARAMETROS!$C$19,"")</f>
        <v/>
      </c>
      <c r="AA1233" s="219">
        <f>SUM(Plan_Orc[[#This Row],[01/jan]:[01/dez]])</f>
        <v>0</v>
      </c>
      <c r="AB1233" s="15"/>
      <c r="AC1233" s="15"/>
      <c r="AD1233" s="15"/>
      <c r="AE1233" s="15"/>
      <c r="AF1233" s="15"/>
      <c r="AG1233" s="15"/>
      <c r="AH1233" s="15"/>
      <c r="AI1233" s="15"/>
      <c r="AJ1233" s="15"/>
      <c r="AK1233" s="15"/>
      <c r="AL1233" s="15"/>
      <c r="AM1233" s="15"/>
    </row>
    <row r="1234" spans="2:39" ht="25.2" customHeight="1" x14ac:dyDescent="0.3">
      <c r="B1234" s="13" t="str">
        <f t="shared" si="23"/>
        <v/>
      </c>
      <c r="C1234" s="18"/>
      <c r="D1234" s="19" t="str">
        <f>IF(Tabela2[[#This Row],[AGRUPADOR]]&lt;&gt;"",VLOOKUP(Tabela2[[#This Row],[AGRUPADOR]],Tabela1[],2,0),"")</f>
        <v/>
      </c>
      <c r="E1234" s="19" t="str">
        <f>IF(Tabela2[[#This Row],[AGRUPADOR]]&lt;&gt;"",VLOOKUP(Tabela2[[#This Row],[AGRUPADOR]],Tabela1[],4,0),"")</f>
        <v/>
      </c>
      <c r="F1234" s="14"/>
      <c r="G1234" s="6"/>
      <c r="H1234" s="6"/>
      <c r="I1234" s="25"/>
      <c r="J1234" s="7"/>
      <c r="K1234" s="15"/>
      <c r="L1234" s="379">
        <f>IF(H1234&lt;&gt;"",J1234*K1234,SUMIFS(L1235:L$9844,$F1235:$F$9844,"*"&amp;F1234&amp;"*",$H1235:$H$9844,"&lt;&gt;"))</f>
        <v>0</v>
      </c>
      <c r="M1234" s="379" t="str">
        <f>IF(Tabela2[[#This Row],[UNID.]]&lt;&gt;"",IFERROR(VLOOKUP(Tabela2[[#This Row],[AGRUPADOR]],Lucratividade!$D$4:$O$129,6,0),0),"")</f>
        <v/>
      </c>
      <c r="N1234" s="379">
        <f>IF(H1234&lt;&gt;"",J1234*M1234*I1234,SUMIFS(N1235:N$9844,$F1235:$F$9844,"*"&amp;F1234&amp;"*",$H1235:$H$9844,"&lt;&gt;"))</f>
        <v>0</v>
      </c>
      <c r="O1234" s="162" t="str">
        <f>IFERROR((-Tabela2[[#This Row],[CUSTO TOTAL]]+Tabela2[[#This Row],[VENDA TOTAL]])/Tabela2[[#This Row],[VENDA TOTAL]]-PARAMETROS!$C$19,"")</f>
        <v/>
      </c>
      <c r="AA1234" s="219">
        <f>SUM(Plan_Orc[[#This Row],[01/jan]:[01/dez]])</f>
        <v>0</v>
      </c>
      <c r="AB1234" s="15"/>
      <c r="AC1234" s="15"/>
      <c r="AD1234" s="15"/>
      <c r="AE1234" s="15"/>
      <c r="AF1234" s="15"/>
      <c r="AG1234" s="15"/>
      <c r="AH1234" s="15"/>
      <c r="AI1234" s="15"/>
      <c r="AJ1234" s="15"/>
      <c r="AK1234" s="15"/>
      <c r="AL1234" s="15"/>
      <c r="AM1234" s="15"/>
    </row>
    <row r="1235" spans="2:39" ht="25.2" customHeight="1" x14ac:dyDescent="0.3">
      <c r="B1235" s="13" t="str">
        <f t="shared" si="23"/>
        <v/>
      </c>
      <c r="C1235" s="18"/>
      <c r="D1235" s="19" t="str">
        <f>IF(Tabela2[[#This Row],[AGRUPADOR]]&lt;&gt;"",VLOOKUP(Tabela2[[#This Row],[AGRUPADOR]],Tabela1[],2,0),"")</f>
        <v/>
      </c>
      <c r="E1235" s="19" t="str">
        <f>IF(Tabela2[[#This Row],[AGRUPADOR]]&lt;&gt;"",VLOOKUP(Tabela2[[#This Row],[AGRUPADOR]],Tabela1[],4,0),"")</f>
        <v/>
      </c>
      <c r="F1235" s="14"/>
      <c r="G1235" s="6"/>
      <c r="H1235" s="6"/>
      <c r="I1235" s="25"/>
      <c r="J1235" s="7"/>
      <c r="K1235" s="15"/>
      <c r="L1235" s="379">
        <f>IF(H1235&lt;&gt;"",J1235*K1235,SUMIFS(L1236:L$9844,$F1236:$F$9844,"*"&amp;F1235&amp;"*",$H1236:$H$9844,"&lt;&gt;"))</f>
        <v>0</v>
      </c>
      <c r="M1235" s="379" t="str">
        <f>IF(Tabela2[[#This Row],[UNID.]]&lt;&gt;"",IFERROR(VLOOKUP(Tabela2[[#This Row],[AGRUPADOR]],Lucratividade!$D$4:$O$129,6,0),0),"")</f>
        <v/>
      </c>
      <c r="N1235" s="379">
        <f>IF(H1235&lt;&gt;"",J1235*M1235*I1235,SUMIFS(N1236:N$9844,$F1236:$F$9844,"*"&amp;F1235&amp;"*",$H1236:$H$9844,"&lt;&gt;"))</f>
        <v>0</v>
      </c>
      <c r="O1235" s="162" t="str">
        <f>IFERROR((-Tabela2[[#This Row],[CUSTO TOTAL]]+Tabela2[[#This Row],[VENDA TOTAL]])/Tabela2[[#This Row],[VENDA TOTAL]]-PARAMETROS!$C$19,"")</f>
        <v/>
      </c>
      <c r="AA1235" s="219">
        <f>SUM(Plan_Orc[[#This Row],[01/jan]:[01/dez]])</f>
        <v>0</v>
      </c>
      <c r="AB1235" s="15"/>
      <c r="AC1235" s="15"/>
      <c r="AD1235" s="15"/>
      <c r="AE1235" s="15"/>
      <c r="AF1235" s="15"/>
      <c r="AG1235" s="15"/>
      <c r="AH1235" s="15"/>
      <c r="AI1235" s="15"/>
      <c r="AJ1235" s="15"/>
      <c r="AK1235" s="15"/>
      <c r="AL1235" s="15"/>
      <c r="AM1235" s="15"/>
    </row>
    <row r="1236" spans="2:39" ht="25.2" customHeight="1" x14ac:dyDescent="0.3">
      <c r="B1236" s="13" t="str">
        <f t="shared" si="23"/>
        <v/>
      </c>
      <c r="C1236" s="18"/>
      <c r="D1236" s="19" t="str">
        <f>IF(Tabela2[[#This Row],[AGRUPADOR]]&lt;&gt;"",VLOOKUP(Tabela2[[#This Row],[AGRUPADOR]],Tabela1[],2,0),"")</f>
        <v/>
      </c>
      <c r="E1236" s="19" t="str">
        <f>IF(Tabela2[[#This Row],[AGRUPADOR]]&lt;&gt;"",VLOOKUP(Tabela2[[#This Row],[AGRUPADOR]],Tabela1[],4,0),"")</f>
        <v/>
      </c>
      <c r="F1236" s="14"/>
      <c r="G1236" s="6"/>
      <c r="H1236" s="6"/>
      <c r="I1236" s="25"/>
      <c r="J1236" s="7"/>
      <c r="K1236" s="15"/>
      <c r="L1236" s="379">
        <f>IF(H1236&lt;&gt;"",J1236*K1236,SUMIFS(L1237:L$9844,$F1237:$F$9844,"*"&amp;F1236&amp;"*",$H1237:$H$9844,"&lt;&gt;"))</f>
        <v>0</v>
      </c>
      <c r="M1236" s="379" t="str">
        <f>IF(Tabela2[[#This Row],[UNID.]]&lt;&gt;"",IFERROR(VLOOKUP(Tabela2[[#This Row],[AGRUPADOR]],Lucratividade!$D$4:$O$129,6,0),0),"")</f>
        <v/>
      </c>
      <c r="N1236" s="379">
        <f>IF(H1236&lt;&gt;"",J1236*M1236*I1236,SUMIFS(N1237:N$9844,$F1237:$F$9844,"*"&amp;F1236&amp;"*",$H1237:$H$9844,"&lt;&gt;"))</f>
        <v>0</v>
      </c>
      <c r="O1236" s="162" t="str">
        <f>IFERROR((-Tabela2[[#This Row],[CUSTO TOTAL]]+Tabela2[[#This Row],[VENDA TOTAL]])/Tabela2[[#This Row],[VENDA TOTAL]]-PARAMETROS!$C$19,"")</f>
        <v/>
      </c>
      <c r="AA1236" s="219">
        <f>SUM(Plan_Orc[[#This Row],[01/jan]:[01/dez]])</f>
        <v>0</v>
      </c>
      <c r="AB1236" s="15"/>
      <c r="AC1236" s="15"/>
      <c r="AD1236" s="15"/>
      <c r="AE1236" s="15"/>
      <c r="AF1236" s="15"/>
      <c r="AG1236" s="15"/>
      <c r="AH1236" s="15"/>
      <c r="AI1236" s="15"/>
      <c r="AJ1236" s="15"/>
      <c r="AK1236" s="15"/>
      <c r="AL1236" s="15"/>
      <c r="AM1236" s="15"/>
    </row>
    <row r="1237" spans="2:39" ht="25.2" customHeight="1" x14ac:dyDescent="0.3">
      <c r="B1237" s="13" t="str">
        <f t="shared" si="23"/>
        <v/>
      </c>
      <c r="C1237" s="18"/>
      <c r="D1237" s="19" t="str">
        <f>IF(Tabela2[[#This Row],[AGRUPADOR]]&lt;&gt;"",VLOOKUP(Tabela2[[#This Row],[AGRUPADOR]],Tabela1[],2,0),"")</f>
        <v/>
      </c>
      <c r="E1237" s="19" t="str">
        <f>IF(Tabela2[[#This Row],[AGRUPADOR]]&lt;&gt;"",VLOOKUP(Tabela2[[#This Row],[AGRUPADOR]],Tabela1[],4,0),"")</f>
        <v/>
      </c>
      <c r="F1237" s="14"/>
      <c r="G1237" s="6"/>
      <c r="H1237" s="6"/>
      <c r="I1237" s="25"/>
      <c r="J1237" s="7"/>
      <c r="K1237" s="15"/>
      <c r="L1237" s="379">
        <f>IF(H1237&lt;&gt;"",J1237*K1237,SUMIFS(L1238:L$9844,$F1238:$F$9844,"*"&amp;F1237&amp;"*",$H1238:$H$9844,"&lt;&gt;"))</f>
        <v>0</v>
      </c>
      <c r="M1237" s="379" t="str">
        <f>IF(Tabela2[[#This Row],[UNID.]]&lt;&gt;"",IFERROR(VLOOKUP(Tabela2[[#This Row],[AGRUPADOR]],Lucratividade!$D$4:$O$129,6,0),0),"")</f>
        <v/>
      </c>
      <c r="N1237" s="379">
        <f>IF(H1237&lt;&gt;"",J1237*M1237*I1237,SUMIFS(N1238:N$9844,$F1238:$F$9844,"*"&amp;F1237&amp;"*",$H1238:$H$9844,"&lt;&gt;"))</f>
        <v>0</v>
      </c>
      <c r="O1237" s="162" t="str">
        <f>IFERROR((-Tabela2[[#This Row],[CUSTO TOTAL]]+Tabela2[[#This Row],[VENDA TOTAL]])/Tabela2[[#This Row],[VENDA TOTAL]]-PARAMETROS!$C$19,"")</f>
        <v/>
      </c>
      <c r="AA1237" s="219">
        <f>SUM(Plan_Orc[[#This Row],[01/jan]:[01/dez]])</f>
        <v>0</v>
      </c>
      <c r="AB1237" s="15"/>
      <c r="AC1237" s="15"/>
      <c r="AD1237" s="15"/>
      <c r="AE1237" s="15"/>
      <c r="AF1237" s="15"/>
      <c r="AG1237" s="15"/>
      <c r="AH1237" s="15"/>
      <c r="AI1237" s="15"/>
      <c r="AJ1237" s="15"/>
      <c r="AK1237" s="15"/>
      <c r="AL1237" s="15"/>
      <c r="AM1237" s="15"/>
    </row>
    <row r="1238" spans="2:39" ht="25.2" customHeight="1" x14ac:dyDescent="0.3">
      <c r="B1238" s="13" t="str">
        <f t="shared" si="23"/>
        <v/>
      </c>
      <c r="C1238" s="18"/>
      <c r="D1238" s="19" t="str">
        <f>IF(Tabela2[[#This Row],[AGRUPADOR]]&lt;&gt;"",VLOOKUP(Tabela2[[#This Row],[AGRUPADOR]],Tabela1[],2,0),"")</f>
        <v/>
      </c>
      <c r="E1238" s="19" t="str">
        <f>IF(Tabela2[[#This Row],[AGRUPADOR]]&lt;&gt;"",VLOOKUP(Tabela2[[#This Row],[AGRUPADOR]],Tabela1[],4,0),"")</f>
        <v/>
      </c>
      <c r="F1238" s="14"/>
      <c r="G1238" s="6"/>
      <c r="H1238" s="6"/>
      <c r="I1238" s="25"/>
      <c r="J1238" s="7"/>
      <c r="K1238" s="15"/>
      <c r="L1238" s="379">
        <f>IF(H1238&lt;&gt;"",J1238*K1238,SUMIFS(L1239:L$9844,$F1239:$F$9844,"*"&amp;F1238&amp;"*",$H1239:$H$9844,"&lt;&gt;"))</f>
        <v>0</v>
      </c>
      <c r="M1238" s="379" t="str">
        <f>IF(Tabela2[[#This Row],[UNID.]]&lt;&gt;"",IFERROR(VLOOKUP(Tabela2[[#This Row],[AGRUPADOR]],Lucratividade!$D$4:$O$129,6,0),0),"")</f>
        <v/>
      </c>
      <c r="N1238" s="379">
        <f>IF(H1238&lt;&gt;"",J1238*M1238*I1238,SUMIFS(N1239:N$9844,$F1239:$F$9844,"*"&amp;F1238&amp;"*",$H1239:$H$9844,"&lt;&gt;"))</f>
        <v>0</v>
      </c>
      <c r="O1238" s="162" t="str">
        <f>IFERROR((-Tabela2[[#This Row],[CUSTO TOTAL]]+Tabela2[[#This Row],[VENDA TOTAL]])/Tabela2[[#This Row],[VENDA TOTAL]]-PARAMETROS!$C$19,"")</f>
        <v/>
      </c>
      <c r="AA1238" s="219">
        <f>SUM(Plan_Orc[[#This Row],[01/jan]:[01/dez]])</f>
        <v>0</v>
      </c>
      <c r="AB1238" s="15"/>
      <c r="AC1238" s="15"/>
      <c r="AD1238" s="15"/>
      <c r="AE1238" s="15"/>
      <c r="AF1238" s="15"/>
      <c r="AG1238" s="15"/>
      <c r="AH1238" s="15"/>
      <c r="AI1238" s="15"/>
      <c r="AJ1238" s="15"/>
      <c r="AK1238" s="15"/>
      <c r="AL1238" s="15"/>
      <c r="AM1238" s="15"/>
    </row>
    <row r="1239" spans="2:39" ht="25.2" customHeight="1" x14ac:dyDescent="0.3">
      <c r="B1239" s="13" t="str">
        <f t="shared" si="23"/>
        <v/>
      </c>
      <c r="C1239" s="18"/>
      <c r="D1239" s="19" t="str">
        <f>IF(Tabela2[[#This Row],[AGRUPADOR]]&lt;&gt;"",VLOOKUP(Tabela2[[#This Row],[AGRUPADOR]],Tabela1[],2,0),"")</f>
        <v/>
      </c>
      <c r="E1239" s="19" t="str">
        <f>IF(Tabela2[[#This Row],[AGRUPADOR]]&lt;&gt;"",VLOOKUP(Tabela2[[#This Row],[AGRUPADOR]],Tabela1[],4,0),"")</f>
        <v/>
      </c>
      <c r="F1239" s="14"/>
      <c r="G1239" s="6"/>
      <c r="H1239" s="6"/>
      <c r="I1239" s="25"/>
      <c r="J1239" s="7"/>
      <c r="K1239" s="15"/>
      <c r="L1239" s="379">
        <f>IF(H1239&lt;&gt;"",J1239*K1239,SUMIFS(L1240:L$9844,$F1240:$F$9844,"*"&amp;F1239&amp;"*",$H1240:$H$9844,"&lt;&gt;"))</f>
        <v>0</v>
      </c>
      <c r="M1239" s="379" t="str">
        <f>IF(Tabela2[[#This Row],[UNID.]]&lt;&gt;"",IFERROR(VLOOKUP(Tabela2[[#This Row],[AGRUPADOR]],Lucratividade!$D$4:$O$129,6,0),0),"")</f>
        <v/>
      </c>
      <c r="N1239" s="379">
        <f>IF(H1239&lt;&gt;"",J1239*M1239*I1239,SUMIFS(N1240:N$9844,$F1240:$F$9844,"*"&amp;F1239&amp;"*",$H1240:$H$9844,"&lt;&gt;"))</f>
        <v>0</v>
      </c>
      <c r="O1239" s="162" t="str">
        <f>IFERROR((-Tabela2[[#This Row],[CUSTO TOTAL]]+Tabela2[[#This Row],[VENDA TOTAL]])/Tabela2[[#This Row],[VENDA TOTAL]]-PARAMETROS!$C$19,"")</f>
        <v/>
      </c>
      <c r="AA1239" s="219">
        <f>SUM(Plan_Orc[[#This Row],[01/jan]:[01/dez]])</f>
        <v>0</v>
      </c>
      <c r="AB1239" s="15"/>
      <c r="AC1239" s="15"/>
      <c r="AD1239" s="15"/>
      <c r="AE1239" s="15"/>
      <c r="AF1239" s="15"/>
      <c r="AG1239" s="15"/>
      <c r="AH1239" s="15"/>
      <c r="AI1239" s="15"/>
      <c r="AJ1239" s="15"/>
      <c r="AK1239" s="15"/>
      <c r="AL1239" s="15"/>
      <c r="AM1239" s="15"/>
    </row>
    <row r="1240" spans="2:39" ht="25.2" customHeight="1" x14ac:dyDescent="0.3">
      <c r="B1240" s="13" t="str">
        <f t="shared" si="23"/>
        <v/>
      </c>
      <c r="C1240" s="18"/>
      <c r="D1240" s="19" t="str">
        <f>IF(Tabela2[[#This Row],[AGRUPADOR]]&lt;&gt;"",VLOOKUP(Tabela2[[#This Row],[AGRUPADOR]],Tabela1[],2,0),"")</f>
        <v/>
      </c>
      <c r="E1240" s="19" t="str">
        <f>IF(Tabela2[[#This Row],[AGRUPADOR]]&lt;&gt;"",VLOOKUP(Tabela2[[#This Row],[AGRUPADOR]],Tabela1[],4,0),"")</f>
        <v/>
      </c>
      <c r="F1240" s="14"/>
      <c r="G1240" s="6"/>
      <c r="H1240" s="6"/>
      <c r="I1240" s="25"/>
      <c r="J1240" s="7"/>
      <c r="K1240" s="15"/>
      <c r="L1240" s="379">
        <f>IF(H1240&lt;&gt;"",J1240*K1240,SUMIFS(L1241:L$9844,$F1241:$F$9844,"*"&amp;F1240&amp;"*",$H1241:$H$9844,"&lt;&gt;"))</f>
        <v>0</v>
      </c>
      <c r="M1240" s="379" t="str">
        <f>IF(Tabela2[[#This Row],[UNID.]]&lt;&gt;"",IFERROR(VLOOKUP(Tabela2[[#This Row],[AGRUPADOR]],Lucratividade!$D$4:$O$129,6,0),0),"")</f>
        <v/>
      </c>
      <c r="N1240" s="379">
        <f>IF(H1240&lt;&gt;"",J1240*M1240*I1240,SUMIFS(N1241:N$9844,$F1241:$F$9844,"*"&amp;F1240&amp;"*",$H1241:$H$9844,"&lt;&gt;"))</f>
        <v>0</v>
      </c>
      <c r="O1240" s="162" t="str">
        <f>IFERROR((-Tabela2[[#This Row],[CUSTO TOTAL]]+Tabela2[[#This Row],[VENDA TOTAL]])/Tabela2[[#This Row],[VENDA TOTAL]]-PARAMETROS!$C$19,"")</f>
        <v/>
      </c>
      <c r="AA1240" s="219">
        <f>SUM(Plan_Orc[[#This Row],[01/jan]:[01/dez]])</f>
        <v>0</v>
      </c>
      <c r="AB1240" s="15"/>
      <c r="AC1240" s="15"/>
      <c r="AD1240" s="15"/>
      <c r="AE1240" s="15"/>
      <c r="AF1240" s="15"/>
      <c r="AG1240" s="15"/>
      <c r="AH1240" s="15"/>
      <c r="AI1240" s="15"/>
      <c r="AJ1240" s="15"/>
      <c r="AK1240" s="15"/>
      <c r="AL1240" s="15"/>
      <c r="AM1240" s="15"/>
    </row>
    <row r="1241" spans="2:39" ht="25.2" customHeight="1" x14ac:dyDescent="0.3">
      <c r="B1241" s="13" t="str">
        <f t="shared" si="23"/>
        <v/>
      </c>
      <c r="C1241" s="18"/>
      <c r="D1241" s="19" t="str">
        <f>IF(Tabela2[[#This Row],[AGRUPADOR]]&lt;&gt;"",VLOOKUP(Tabela2[[#This Row],[AGRUPADOR]],Tabela1[],2,0),"")</f>
        <v/>
      </c>
      <c r="E1241" s="19" t="str">
        <f>IF(Tabela2[[#This Row],[AGRUPADOR]]&lt;&gt;"",VLOOKUP(Tabela2[[#This Row],[AGRUPADOR]],Tabela1[],4,0),"")</f>
        <v/>
      </c>
      <c r="F1241" s="14"/>
      <c r="G1241" s="6"/>
      <c r="H1241" s="6"/>
      <c r="I1241" s="25"/>
      <c r="J1241" s="7"/>
      <c r="K1241" s="15"/>
      <c r="L1241" s="379">
        <f>IF(H1241&lt;&gt;"",J1241*K1241,SUMIFS(L1242:L$9844,$F1242:$F$9844,"*"&amp;F1241&amp;"*",$H1242:$H$9844,"&lt;&gt;"))</f>
        <v>0</v>
      </c>
      <c r="M1241" s="379" t="str">
        <f>IF(Tabela2[[#This Row],[UNID.]]&lt;&gt;"",IFERROR(VLOOKUP(Tabela2[[#This Row],[AGRUPADOR]],Lucratividade!$D$4:$O$129,6,0),0),"")</f>
        <v/>
      </c>
      <c r="N1241" s="379">
        <f>IF(H1241&lt;&gt;"",J1241*M1241*I1241,SUMIFS(N1242:N$9844,$F1242:$F$9844,"*"&amp;F1241&amp;"*",$H1242:$H$9844,"&lt;&gt;"))</f>
        <v>0</v>
      </c>
      <c r="O1241" s="162" t="str">
        <f>IFERROR((-Tabela2[[#This Row],[CUSTO TOTAL]]+Tabela2[[#This Row],[VENDA TOTAL]])/Tabela2[[#This Row],[VENDA TOTAL]]-PARAMETROS!$C$19,"")</f>
        <v/>
      </c>
      <c r="AA1241" s="219">
        <f>SUM(Plan_Orc[[#This Row],[01/jan]:[01/dez]])</f>
        <v>0</v>
      </c>
      <c r="AB1241" s="15"/>
      <c r="AC1241" s="15"/>
      <c r="AD1241" s="15"/>
      <c r="AE1241" s="15"/>
      <c r="AF1241" s="15"/>
      <c r="AG1241" s="15"/>
      <c r="AH1241" s="15"/>
      <c r="AI1241" s="15"/>
      <c r="AJ1241" s="15"/>
      <c r="AK1241" s="15"/>
      <c r="AL1241" s="15"/>
      <c r="AM1241" s="15"/>
    </row>
    <row r="1242" spans="2:39" ht="25.2" customHeight="1" x14ac:dyDescent="0.3">
      <c r="B1242" s="13" t="str">
        <f t="shared" si="23"/>
        <v/>
      </c>
      <c r="C1242" s="18"/>
      <c r="D1242" s="19" t="str">
        <f>IF(Tabela2[[#This Row],[AGRUPADOR]]&lt;&gt;"",VLOOKUP(Tabela2[[#This Row],[AGRUPADOR]],Tabela1[],2,0),"")</f>
        <v/>
      </c>
      <c r="E1242" s="19" t="str">
        <f>IF(Tabela2[[#This Row],[AGRUPADOR]]&lt;&gt;"",VLOOKUP(Tabela2[[#This Row],[AGRUPADOR]],Tabela1[],4,0),"")</f>
        <v/>
      </c>
      <c r="F1242" s="14"/>
      <c r="G1242" s="6"/>
      <c r="H1242" s="6"/>
      <c r="I1242" s="25"/>
      <c r="J1242" s="7"/>
      <c r="K1242" s="15"/>
      <c r="L1242" s="379">
        <f>IF(H1242&lt;&gt;"",J1242*K1242,SUMIFS(L1243:L$9844,$F1243:$F$9844,"*"&amp;F1242&amp;"*",$H1243:$H$9844,"&lt;&gt;"))</f>
        <v>0</v>
      </c>
      <c r="M1242" s="379" t="str">
        <f>IF(Tabela2[[#This Row],[UNID.]]&lt;&gt;"",IFERROR(VLOOKUP(Tabela2[[#This Row],[AGRUPADOR]],Lucratividade!$D$4:$O$129,6,0),0),"")</f>
        <v/>
      </c>
      <c r="N1242" s="379">
        <f>IF(H1242&lt;&gt;"",J1242*M1242*I1242,SUMIFS(N1243:N$9844,$F1243:$F$9844,"*"&amp;F1242&amp;"*",$H1243:$H$9844,"&lt;&gt;"))</f>
        <v>0</v>
      </c>
      <c r="O1242" s="162" t="str">
        <f>IFERROR((-Tabela2[[#This Row],[CUSTO TOTAL]]+Tabela2[[#This Row],[VENDA TOTAL]])/Tabela2[[#This Row],[VENDA TOTAL]]-PARAMETROS!$C$19,"")</f>
        <v/>
      </c>
      <c r="AA1242" s="219">
        <f>SUM(Plan_Orc[[#This Row],[01/jan]:[01/dez]])</f>
        <v>0</v>
      </c>
      <c r="AB1242" s="15"/>
      <c r="AC1242" s="15"/>
      <c r="AD1242" s="15"/>
      <c r="AE1242" s="15"/>
      <c r="AF1242" s="15"/>
      <c r="AG1242" s="15"/>
      <c r="AH1242" s="15"/>
      <c r="AI1242" s="15"/>
      <c r="AJ1242" s="15"/>
      <c r="AK1242" s="15"/>
      <c r="AL1242" s="15"/>
      <c r="AM1242" s="15"/>
    </row>
    <row r="1243" spans="2:39" ht="25.2" customHeight="1" x14ac:dyDescent="0.3">
      <c r="B1243" s="13" t="str">
        <f t="shared" si="23"/>
        <v/>
      </c>
      <c r="C1243" s="18"/>
      <c r="D1243" s="19" t="str">
        <f>IF(Tabela2[[#This Row],[AGRUPADOR]]&lt;&gt;"",VLOOKUP(Tabela2[[#This Row],[AGRUPADOR]],Tabela1[],2,0),"")</f>
        <v/>
      </c>
      <c r="E1243" s="19" t="str">
        <f>IF(Tabela2[[#This Row],[AGRUPADOR]]&lt;&gt;"",VLOOKUP(Tabela2[[#This Row],[AGRUPADOR]],Tabela1[],4,0),"")</f>
        <v/>
      </c>
      <c r="F1243" s="14"/>
      <c r="G1243" s="6"/>
      <c r="H1243" s="6"/>
      <c r="I1243" s="25"/>
      <c r="J1243" s="7"/>
      <c r="K1243" s="15"/>
      <c r="L1243" s="379">
        <f>IF(H1243&lt;&gt;"",J1243*K1243,SUMIFS(L1244:L$9844,$F1244:$F$9844,"*"&amp;F1243&amp;"*",$H1244:$H$9844,"&lt;&gt;"))</f>
        <v>0</v>
      </c>
      <c r="M1243" s="379" t="str">
        <f>IF(Tabela2[[#This Row],[UNID.]]&lt;&gt;"",IFERROR(VLOOKUP(Tabela2[[#This Row],[AGRUPADOR]],Lucratividade!$D$4:$O$129,6,0),0),"")</f>
        <v/>
      </c>
      <c r="N1243" s="379">
        <f>IF(H1243&lt;&gt;"",J1243*M1243*I1243,SUMIFS(N1244:N$9844,$F1244:$F$9844,"*"&amp;F1243&amp;"*",$H1244:$H$9844,"&lt;&gt;"))</f>
        <v>0</v>
      </c>
      <c r="O1243" s="162" t="str">
        <f>IFERROR((-Tabela2[[#This Row],[CUSTO TOTAL]]+Tabela2[[#This Row],[VENDA TOTAL]])/Tabela2[[#This Row],[VENDA TOTAL]]-PARAMETROS!$C$19,"")</f>
        <v/>
      </c>
      <c r="AA1243" s="219">
        <f>SUM(Plan_Orc[[#This Row],[01/jan]:[01/dez]])</f>
        <v>0</v>
      </c>
      <c r="AB1243" s="15"/>
      <c r="AC1243" s="15"/>
      <c r="AD1243" s="15"/>
      <c r="AE1243" s="15"/>
      <c r="AF1243" s="15"/>
      <c r="AG1243" s="15"/>
      <c r="AH1243" s="15"/>
      <c r="AI1243" s="15"/>
      <c r="AJ1243" s="15"/>
      <c r="AK1243" s="15"/>
      <c r="AL1243" s="15"/>
      <c r="AM1243" s="15"/>
    </row>
    <row r="1244" spans="2:39" ht="25.2" customHeight="1" x14ac:dyDescent="0.3">
      <c r="B1244" s="13" t="str">
        <f t="shared" si="23"/>
        <v/>
      </c>
      <c r="C1244" s="18"/>
      <c r="D1244" s="19" t="str">
        <f>IF(Tabela2[[#This Row],[AGRUPADOR]]&lt;&gt;"",VLOOKUP(Tabela2[[#This Row],[AGRUPADOR]],Tabela1[],2,0),"")</f>
        <v/>
      </c>
      <c r="E1244" s="19" t="str">
        <f>IF(Tabela2[[#This Row],[AGRUPADOR]]&lt;&gt;"",VLOOKUP(Tabela2[[#This Row],[AGRUPADOR]],Tabela1[],4,0),"")</f>
        <v/>
      </c>
      <c r="F1244" s="14"/>
      <c r="G1244" s="6"/>
      <c r="H1244" s="6"/>
      <c r="I1244" s="25"/>
      <c r="J1244" s="7"/>
      <c r="K1244" s="15"/>
      <c r="L1244" s="379">
        <f>IF(H1244&lt;&gt;"",J1244*K1244,SUMIFS(L1245:L$9844,$F1245:$F$9844,"*"&amp;F1244&amp;"*",$H1245:$H$9844,"&lt;&gt;"))</f>
        <v>0</v>
      </c>
      <c r="M1244" s="379" t="str">
        <f>IF(Tabela2[[#This Row],[UNID.]]&lt;&gt;"",IFERROR(VLOOKUP(Tabela2[[#This Row],[AGRUPADOR]],Lucratividade!$D$4:$O$129,6,0),0),"")</f>
        <v/>
      </c>
      <c r="N1244" s="379">
        <f>IF(H1244&lt;&gt;"",J1244*M1244*I1244,SUMIFS(N1245:N$9844,$F1245:$F$9844,"*"&amp;F1244&amp;"*",$H1245:$H$9844,"&lt;&gt;"))</f>
        <v>0</v>
      </c>
      <c r="O1244" s="162" t="str">
        <f>IFERROR((-Tabela2[[#This Row],[CUSTO TOTAL]]+Tabela2[[#This Row],[VENDA TOTAL]])/Tabela2[[#This Row],[VENDA TOTAL]]-PARAMETROS!$C$19,"")</f>
        <v/>
      </c>
      <c r="AA1244" s="219">
        <f>SUM(Plan_Orc[[#This Row],[01/jan]:[01/dez]])</f>
        <v>0</v>
      </c>
      <c r="AB1244" s="15"/>
      <c r="AC1244" s="15"/>
      <c r="AD1244" s="15"/>
      <c r="AE1244" s="15"/>
      <c r="AF1244" s="15"/>
      <c r="AG1244" s="15"/>
      <c r="AH1244" s="15"/>
      <c r="AI1244" s="15"/>
      <c r="AJ1244" s="15"/>
      <c r="AK1244" s="15"/>
      <c r="AL1244" s="15"/>
      <c r="AM1244" s="15"/>
    </row>
    <row r="1245" spans="2:39" ht="25.2" customHeight="1" x14ac:dyDescent="0.3">
      <c r="B1245" s="13" t="str">
        <f t="shared" si="23"/>
        <v/>
      </c>
      <c r="C1245" s="18"/>
      <c r="D1245" s="19" t="str">
        <f>IF(Tabela2[[#This Row],[AGRUPADOR]]&lt;&gt;"",VLOOKUP(Tabela2[[#This Row],[AGRUPADOR]],Tabela1[],2,0),"")</f>
        <v/>
      </c>
      <c r="E1245" s="19" t="str">
        <f>IF(Tabela2[[#This Row],[AGRUPADOR]]&lt;&gt;"",VLOOKUP(Tabela2[[#This Row],[AGRUPADOR]],Tabela1[],4,0),"")</f>
        <v/>
      </c>
      <c r="F1245" s="14"/>
      <c r="G1245" s="6"/>
      <c r="H1245" s="6"/>
      <c r="I1245" s="25"/>
      <c r="J1245" s="7"/>
      <c r="K1245" s="15"/>
      <c r="L1245" s="379">
        <f>IF(H1245&lt;&gt;"",J1245*K1245,SUMIFS(L1246:L$9844,$F1246:$F$9844,"*"&amp;F1245&amp;"*",$H1246:$H$9844,"&lt;&gt;"))</f>
        <v>0</v>
      </c>
      <c r="M1245" s="379" t="str">
        <f>IF(Tabela2[[#This Row],[UNID.]]&lt;&gt;"",IFERROR(VLOOKUP(Tabela2[[#This Row],[AGRUPADOR]],Lucratividade!$D$4:$O$129,6,0),0),"")</f>
        <v/>
      </c>
      <c r="N1245" s="379">
        <f>IF(H1245&lt;&gt;"",J1245*M1245*I1245,SUMIFS(N1246:N$9844,$F1246:$F$9844,"*"&amp;F1245&amp;"*",$H1246:$H$9844,"&lt;&gt;"))</f>
        <v>0</v>
      </c>
      <c r="O1245" s="162" t="str">
        <f>IFERROR((-Tabela2[[#This Row],[CUSTO TOTAL]]+Tabela2[[#This Row],[VENDA TOTAL]])/Tabela2[[#This Row],[VENDA TOTAL]]-PARAMETROS!$C$19,"")</f>
        <v/>
      </c>
      <c r="AA1245" s="218">
        <f>SUM(Plan_Orc[[#This Row],[01/jan]:[01/dez]])</f>
        <v>0</v>
      </c>
      <c r="AB1245" s="12"/>
      <c r="AC1245" s="12"/>
      <c r="AD1245" s="12"/>
      <c r="AE1245" s="12"/>
      <c r="AF1245" s="12"/>
      <c r="AG1245" s="12"/>
      <c r="AH1245" s="12"/>
      <c r="AI1245" s="12"/>
      <c r="AJ1245" s="12"/>
      <c r="AK1245" s="12"/>
      <c r="AL1245" s="12"/>
      <c r="AM1245" s="12"/>
    </row>
    <row r="1246" spans="2:39" ht="25.2" customHeight="1" x14ac:dyDescent="0.3">
      <c r="B1246" s="13" t="str">
        <f t="shared" si="23"/>
        <v/>
      </c>
      <c r="C1246" s="18"/>
      <c r="D1246" s="19" t="str">
        <f>IF(Tabela2[[#This Row],[AGRUPADOR]]&lt;&gt;"",VLOOKUP(Tabela2[[#This Row],[AGRUPADOR]],Tabela1[],2,0),"")</f>
        <v/>
      </c>
      <c r="E1246" s="19" t="str">
        <f>IF(Tabela2[[#This Row],[AGRUPADOR]]&lt;&gt;"",VLOOKUP(Tabela2[[#This Row],[AGRUPADOR]],Tabela1[],4,0),"")</f>
        <v/>
      </c>
      <c r="F1246" s="14"/>
      <c r="G1246" s="6"/>
      <c r="H1246" s="6"/>
      <c r="I1246" s="25"/>
      <c r="J1246" s="7"/>
      <c r="K1246" s="15"/>
      <c r="L1246" s="379">
        <f>IF(H1246&lt;&gt;"",J1246*K1246,SUMIFS(L1247:L$9844,$F1247:$F$9844,"*"&amp;F1246&amp;"*",$H1247:$H$9844,"&lt;&gt;"))</f>
        <v>0</v>
      </c>
      <c r="M1246" s="379" t="str">
        <f>IF(Tabela2[[#This Row],[UNID.]]&lt;&gt;"",IFERROR(VLOOKUP(Tabela2[[#This Row],[AGRUPADOR]],Lucratividade!$D$4:$O$129,6,0),0),"")</f>
        <v/>
      </c>
      <c r="N1246" s="379">
        <f>IF(H1246&lt;&gt;"",J1246*M1246*I1246,SUMIFS(N1247:N$9844,$F1247:$F$9844,"*"&amp;F1246&amp;"*",$H1247:$H$9844,"&lt;&gt;"))</f>
        <v>0</v>
      </c>
      <c r="O1246" s="162" t="str">
        <f>IFERROR((-Tabela2[[#This Row],[CUSTO TOTAL]]+Tabela2[[#This Row],[VENDA TOTAL]])/Tabela2[[#This Row],[VENDA TOTAL]]-PARAMETROS!$C$19,"")</f>
        <v/>
      </c>
      <c r="AA1246" s="219">
        <f>SUM(Plan_Orc[[#This Row],[01/jan]:[01/dez]])</f>
        <v>0</v>
      </c>
      <c r="AB1246" s="15"/>
      <c r="AC1246" s="15"/>
      <c r="AD1246" s="15"/>
      <c r="AE1246" s="15"/>
      <c r="AF1246" s="15"/>
      <c r="AG1246" s="15"/>
      <c r="AH1246" s="15"/>
      <c r="AI1246" s="15"/>
      <c r="AJ1246" s="15"/>
      <c r="AK1246" s="15"/>
      <c r="AL1246" s="15"/>
      <c r="AM1246" s="15"/>
    </row>
    <row r="1247" spans="2:39" ht="25.2" customHeight="1" x14ac:dyDescent="0.3">
      <c r="B1247" s="13" t="str">
        <f t="shared" si="23"/>
        <v/>
      </c>
      <c r="C1247" s="18"/>
      <c r="D1247" s="19" t="str">
        <f>IF(Tabela2[[#This Row],[AGRUPADOR]]&lt;&gt;"",VLOOKUP(Tabela2[[#This Row],[AGRUPADOR]],Tabela1[],2,0),"")</f>
        <v/>
      </c>
      <c r="E1247" s="19" t="str">
        <f>IF(Tabela2[[#This Row],[AGRUPADOR]]&lt;&gt;"",VLOOKUP(Tabela2[[#This Row],[AGRUPADOR]],Tabela1[],4,0),"")</f>
        <v/>
      </c>
      <c r="F1247" s="14"/>
      <c r="G1247" s="6"/>
      <c r="H1247" s="6"/>
      <c r="I1247" s="25"/>
      <c r="J1247" s="7"/>
      <c r="K1247" s="15"/>
      <c r="L1247" s="379">
        <f>IF(H1247&lt;&gt;"",J1247*K1247,SUMIFS(L1248:L$9844,$F1248:$F$9844,"*"&amp;F1247&amp;"*",$H1248:$H$9844,"&lt;&gt;"))</f>
        <v>0</v>
      </c>
      <c r="M1247" s="379" t="str">
        <f>IF(Tabela2[[#This Row],[UNID.]]&lt;&gt;"",IFERROR(VLOOKUP(Tabela2[[#This Row],[AGRUPADOR]],Lucratividade!$D$4:$O$129,6,0),0),"")</f>
        <v/>
      </c>
      <c r="N1247" s="379">
        <f>IF(H1247&lt;&gt;"",J1247*M1247*I1247,SUMIFS(N1248:N$9844,$F1248:$F$9844,"*"&amp;F1247&amp;"*",$H1248:$H$9844,"&lt;&gt;"))</f>
        <v>0</v>
      </c>
      <c r="O1247" s="162" t="str">
        <f>IFERROR((-Tabela2[[#This Row],[CUSTO TOTAL]]+Tabela2[[#This Row],[VENDA TOTAL]])/Tabela2[[#This Row],[VENDA TOTAL]]-PARAMETROS!$C$19,"")</f>
        <v/>
      </c>
      <c r="AA1247" s="220">
        <f>SUM(Plan_Orc[[#This Row],[01/jan]:[01/dez]])</f>
        <v>0</v>
      </c>
      <c r="AB1247" s="9"/>
      <c r="AC1247" s="9"/>
      <c r="AD1247" s="9"/>
      <c r="AE1247" s="9"/>
      <c r="AF1247" s="9"/>
      <c r="AG1247" s="9"/>
      <c r="AH1247" s="9"/>
      <c r="AI1247" s="9"/>
      <c r="AJ1247" s="9"/>
      <c r="AK1247" s="9"/>
      <c r="AL1247" s="9"/>
      <c r="AM1247" s="9"/>
    </row>
    <row r="1248" spans="2:39" ht="25.2" customHeight="1" x14ac:dyDescent="0.3">
      <c r="B1248" s="13" t="str">
        <f t="shared" si="23"/>
        <v/>
      </c>
      <c r="C1248" s="18"/>
      <c r="D1248" s="19" t="str">
        <f>IF(Tabela2[[#This Row],[AGRUPADOR]]&lt;&gt;"",VLOOKUP(Tabela2[[#This Row],[AGRUPADOR]],Tabela1[],2,0),"")</f>
        <v/>
      </c>
      <c r="E1248" s="19" t="str">
        <f>IF(Tabela2[[#This Row],[AGRUPADOR]]&lt;&gt;"",VLOOKUP(Tabela2[[#This Row],[AGRUPADOR]],Tabela1[],4,0),"")</f>
        <v/>
      </c>
      <c r="F1248" s="14"/>
      <c r="G1248" s="6"/>
      <c r="H1248" s="6"/>
      <c r="I1248" s="25"/>
      <c r="J1248" s="7"/>
      <c r="K1248" s="15"/>
      <c r="L1248" s="379">
        <f>IF(H1248&lt;&gt;"",J1248*K1248,SUMIFS(L1249:L$9844,$F1249:$F$9844,"*"&amp;F1248&amp;"*",$H1249:$H$9844,"&lt;&gt;"))</f>
        <v>0</v>
      </c>
      <c r="M1248" s="379" t="str">
        <f>IF(Tabela2[[#This Row],[UNID.]]&lt;&gt;"",IFERROR(VLOOKUP(Tabela2[[#This Row],[AGRUPADOR]],Lucratividade!$D$4:$O$129,6,0),0),"")</f>
        <v/>
      </c>
      <c r="N1248" s="379">
        <f>IF(H1248&lt;&gt;"",J1248*M1248*I1248,SUMIFS(N1249:N$9844,$F1249:$F$9844,"*"&amp;F1248&amp;"*",$H1249:$H$9844,"&lt;&gt;"))</f>
        <v>0</v>
      </c>
      <c r="O1248" s="162" t="str">
        <f>IFERROR((-Tabela2[[#This Row],[CUSTO TOTAL]]+Tabela2[[#This Row],[VENDA TOTAL]])/Tabela2[[#This Row],[VENDA TOTAL]]-PARAMETROS!$C$19,"")</f>
        <v/>
      </c>
      <c r="AA1248" s="219">
        <f>SUM(Plan_Orc[[#This Row],[01/jan]:[01/dez]])</f>
        <v>0</v>
      </c>
      <c r="AB1248" s="15"/>
      <c r="AC1248" s="15"/>
      <c r="AD1248" s="15"/>
      <c r="AE1248" s="15"/>
      <c r="AF1248" s="15"/>
      <c r="AG1248" s="15"/>
      <c r="AH1248" s="15"/>
      <c r="AI1248" s="15"/>
      <c r="AJ1248" s="15"/>
      <c r="AK1248" s="15"/>
      <c r="AL1248" s="15"/>
      <c r="AM1248" s="15"/>
    </row>
    <row r="1249" spans="2:39" ht="25.2" customHeight="1" x14ac:dyDescent="0.3">
      <c r="B1249" s="13" t="str">
        <f t="shared" si="23"/>
        <v/>
      </c>
      <c r="C1249" s="18"/>
      <c r="D1249" s="19" t="str">
        <f>IF(Tabela2[[#This Row],[AGRUPADOR]]&lt;&gt;"",VLOOKUP(Tabela2[[#This Row],[AGRUPADOR]],Tabela1[],2,0),"")</f>
        <v/>
      </c>
      <c r="E1249" s="19" t="str">
        <f>IF(Tabela2[[#This Row],[AGRUPADOR]]&lt;&gt;"",VLOOKUP(Tabela2[[#This Row],[AGRUPADOR]],Tabela1[],4,0),"")</f>
        <v/>
      </c>
      <c r="F1249" s="14"/>
      <c r="G1249" s="6"/>
      <c r="H1249" s="6"/>
      <c r="I1249" s="25"/>
      <c r="J1249" s="7"/>
      <c r="K1249" s="15"/>
      <c r="L1249" s="379">
        <f>IF(H1249&lt;&gt;"",J1249*K1249,SUMIFS(L1250:L$9844,$F1250:$F$9844,"*"&amp;F1249&amp;"*",$H1250:$H$9844,"&lt;&gt;"))</f>
        <v>0</v>
      </c>
      <c r="M1249" s="379" t="str">
        <f>IF(Tabela2[[#This Row],[UNID.]]&lt;&gt;"",IFERROR(VLOOKUP(Tabela2[[#This Row],[AGRUPADOR]],Lucratividade!$D$4:$O$129,6,0),0),"")</f>
        <v/>
      </c>
      <c r="N1249" s="379">
        <f>IF(H1249&lt;&gt;"",J1249*M1249*I1249,SUMIFS(N1250:N$9844,$F1250:$F$9844,"*"&amp;F1249&amp;"*",$H1250:$H$9844,"&lt;&gt;"))</f>
        <v>0</v>
      </c>
      <c r="O1249" s="162" t="str">
        <f>IFERROR((-Tabela2[[#This Row],[CUSTO TOTAL]]+Tabela2[[#This Row],[VENDA TOTAL]])/Tabela2[[#This Row],[VENDA TOTAL]]-PARAMETROS!$C$19,"")</f>
        <v/>
      </c>
      <c r="AA1249" s="219">
        <f>SUM(Plan_Orc[[#This Row],[01/jan]:[01/dez]])</f>
        <v>0</v>
      </c>
      <c r="AB1249" s="15"/>
      <c r="AC1249" s="15"/>
      <c r="AD1249" s="15"/>
      <c r="AE1249" s="15"/>
      <c r="AF1249" s="15"/>
      <c r="AG1249" s="15"/>
      <c r="AH1249" s="15"/>
      <c r="AI1249" s="15"/>
      <c r="AJ1249" s="15"/>
      <c r="AK1249" s="15"/>
      <c r="AL1249" s="15"/>
      <c r="AM1249" s="15"/>
    </row>
    <row r="1250" spans="2:39" ht="25.2" customHeight="1" x14ac:dyDescent="0.3">
      <c r="B1250" s="13" t="str">
        <f t="shared" si="23"/>
        <v/>
      </c>
      <c r="C1250" s="18"/>
      <c r="D1250" s="19" t="str">
        <f>IF(Tabela2[[#This Row],[AGRUPADOR]]&lt;&gt;"",VLOOKUP(Tabela2[[#This Row],[AGRUPADOR]],Tabela1[],2,0),"")</f>
        <v/>
      </c>
      <c r="E1250" s="19" t="str">
        <f>IF(Tabela2[[#This Row],[AGRUPADOR]]&lt;&gt;"",VLOOKUP(Tabela2[[#This Row],[AGRUPADOR]],Tabela1[],4,0),"")</f>
        <v/>
      </c>
      <c r="F1250" s="14"/>
      <c r="G1250" s="6"/>
      <c r="H1250" s="6"/>
      <c r="I1250" s="25"/>
      <c r="J1250" s="7"/>
      <c r="K1250" s="15"/>
      <c r="L1250" s="379">
        <f>IF(H1250&lt;&gt;"",J1250*K1250,SUMIFS(L1251:L$9844,$F1251:$F$9844,"*"&amp;F1250&amp;"*",$H1251:$H$9844,"&lt;&gt;"))</f>
        <v>0</v>
      </c>
      <c r="M1250" s="379" t="str">
        <f>IF(Tabela2[[#This Row],[UNID.]]&lt;&gt;"",IFERROR(VLOOKUP(Tabela2[[#This Row],[AGRUPADOR]],Lucratividade!$D$4:$O$129,6,0),0),"")</f>
        <v/>
      </c>
      <c r="N1250" s="379">
        <f>IF(H1250&lt;&gt;"",J1250*M1250*I1250,SUMIFS(N1251:N$9844,$F1251:$F$9844,"*"&amp;F1250&amp;"*",$H1251:$H$9844,"&lt;&gt;"))</f>
        <v>0</v>
      </c>
      <c r="O1250" s="162" t="str">
        <f>IFERROR((-Tabela2[[#This Row],[CUSTO TOTAL]]+Tabela2[[#This Row],[VENDA TOTAL]])/Tabela2[[#This Row],[VENDA TOTAL]]-PARAMETROS!$C$19,"")</f>
        <v/>
      </c>
      <c r="AA1250" s="219">
        <f>SUM(Plan_Orc[[#This Row],[01/jan]:[01/dez]])</f>
        <v>0</v>
      </c>
      <c r="AB1250" s="15"/>
      <c r="AC1250" s="15"/>
      <c r="AD1250" s="15"/>
      <c r="AE1250" s="15"/>
      <c r="AF1250" s="15"/>
      <c r="AG1250" s="15"/>
      <c r="AH1250" s="15"/>
      <c r="AI1250" s="15"/>
      <c r="AJ1250" s="15"/>
      <c r="AK1250" s="15"/>
      <c r="AL1250" s="15"/>
      <c r="AM1250" s="15"/>
    </row>
    <row r="1251" spans="2:39" ht="25.2" customHeight="1" x14ac:dyDescent="0.3">
      <c r="B1251" s="13" t="str">
        <f t="shared" si="23"/>
        <v/>
      </c>
      <c r="C1251" s="18"/>
      <c r="D1251" s="19" t="str">
        <f>IF(Tabela2[[#This Row],[AGRUPADOR]]&lt;&gt;"",VLOOKUP(Tabela2[[#This Row],[AGRUPADOR]],Tabela1[],2,0),"")</f>
        <v/>
      </c>
      <c r="E1251" s="19" t="str">
        <f>IF(Tabela2[[#This Row],[AGRUPADOR]]&lt;&gt;"",VLOOKUP(Tabela2[[#This Row],[AGRUPADOR]],Tabela1[],4,0),"")</f>
        <v/>
      </c>
      <c r="F1251" s="14"/>
      <c r="G1251" s="6"/>
      <c r="H1251" s="6"/>
      <c r="I1251" s="25"/>
      <c r="J1251" s="7"/>
      <c r="K1251" s="15"/>
      <c r="L1251" s="379">
        <f>IF(H1251&lt;&gt;"",J1251*K1251,SUMIFS(L1252:L$9844,$F1252:$F$9844,"*"&amp;F1251&amp;"*",$H1252:$H$9844,"&lt;&gt;"))</f>
        <v>0</v>
      </c>
      <c r="M1251" s="379" t="str">
        <f>IF(Tabela2[[#This Row],[UNID.]]&lt;&gt;"",IFERROR(VLOOKUP(Tabela2[[#This Row],[AGRUPADOR]],Lucratividade!$D$4:$O$129,6,0),0),"")</f>
        <v/>
      </c>
      <c r="N1251" s="379">
        <f>IF(H1251&lt;&gt;"",J1251*M1251*I1251,SUMIFS(N1252:N$9844,$F1252:$F$9844,"*"&amp;F1251&amp;"*",$H1252:$H$9844,"&lt;&gt;"))</f>
        <v>0</v>
      </c>
      <c r="O1251" s="162" t="str">
        <f>IFERROR((-Tabela2[[#This Row],[CUSTO TOTAL]]+Tabela2[[#This Row],[VENDA TOTAL]])/Tabela2[[#This Row],[VENDA TOTAL]]-PARAMETROS!$C$19,"")</f>
        <v/>
      </c>
      <c r="AA1251" s="219">
        <f>SUM(Plan_Orc[[#This Row],[01/jan]:[01/dez]])</f>
        <v>0</v>
      </c>
      <c r="AB1251" s="15"/>
      <c r="AC1251" s="15"/>
      <c r="AD1251" s="15"/>
      <c r="AE1251" s="15"/>
      <c r="AF1251" s="15"/>
      <c r="AG1251" s="15"/>
      <c r="AH1251" s="15"/>
      <c r="AI1251" s="15"/>
      <c r="AJ1251" s="15"/>
      <c r="AK1251" s="15"/>
      <c r="AL1251" s="15"/>
      <c r="AM1251" s="15"/>
    </row>
    <row r="1252" spans="2:39" ht="25.2" customHeight="1" x14ac:dyDescent="0.3">
      <c r="B1252" s="13" t="str">
        <f t="shared" si="23"/>
        <v/>
      </c>
      <c r="C1252" s="18"/>
      <c r="D1252" s="19" t="str">
        <f>IF(Tabela2[[#This Row],[AGRUPADOR]]&lt;&gt;"",VLOOKUP(Tabela2[[#This Row],[AGRUPADOR]],Tabela1[],2,0),"")</f>
        <v/>
      </c>
      <c r="E1252" s="19" t="str">
        <f>IF(Tabela2[[#This Row],[AGRUPADOR]]&lt;&gt;"",VLOOKUP(Tabela2[[#This Row],[AGRUPADOR]],Tabela1[],4,0),"")</f>
        <v/>
      </c>
      <c r="F1252" s="14"/>
      <c r="G1252" s="6"/>
      <c r="H1252" s="6"/>
      <c r="I1252" s="25"/>
      <c r="J1252" s="7"/>
      <c r="K1252" s="15"/>
      <c r="L1252" s="379">
        <f>IF(H1252&lt;&gt;"",J1252*K1252,SUMIFS(L1253:L$9844,$F1253:$F$9844,"*"&amp;F1252&amp;"*",$H1253:$H$9844,"&lt;&gt;"))</f>
        <v>0</v>
      </c>
      <c r="M1252" s="379" t="str">
        <f>IF(Tabela2[[#This Row],[UNID.]]&lt;&gt;"",IFERROR(VLOOKUP(Tabela2[[#This Row],[AGRUPADOR]],Lucratividade!$D$4:$O$129,6,0),0),"")</f>
        <v/>
      </c>
      <c r="N1252" s="379">
        <f>IF(H1252&lt;&gt;"",J1252*M1252*I1252,SUMIFS(N1253:N$9844,$F1253:$F$9844,"*"&amp;F1252&amp;"*",$H1253:$H$9844,"&lt;&gt;"))</f>
        <v>0</v>
      </c>
      <c r="O1252" s="162" t="str">
        <f>IFERROR((-Tabela2[[#This Row],[CUSTO TOTAL]]+Tabela2[[#This Row],[VENDA TOTAL]])/Tabela2[[#This Row],[VENDA TOTAL]]-PARAMETROS!$C$19,"")</f>
        <v/>
      </c>
      <c r="AA1252" s="220">
        <f>SUM(Plan_Orc[[#This Row],[01/jan]:[01/dez]])</f>
        <v>0</v>
      </c>
      <c r="AB1252" s="9"/>
      <c r="AC1252" s="9"/>
      <c r="AD1252" s="9"/>
      <c r="AE1252" s="9"/>
      <c r="AF1252" s="9"/>
      <c r="AG1252" s="9"/>
      <c r="AH1252" s="9"/>
      <c r="AI1252" s="9"/>
      <c r="AJ1252" s="9"/>
      <c r="AK1252" s="9"/>
      <c r="AL1252" s="9"/>
      <c r="AM1252" s="9"/>
    </row>
    <row r="1253" spans="2:39" ht="25.2" customHeight="1" x14ac:dyDescent="0.3">
      <c r="B1253" s="13" t="str">
        <f t="shared" si="23"/>
        <v/>
      </c>
      <c r="C1253" s="18"/>
      <c r="D1253" s="19" t="str">
        <f>IF(Tabela2[[#This Row],[AGRUPADOR]]&lt;&gt;"",VLOOKUP(Tabela2[[#This Row],[AGRUPADOR]],Tabela1[],2,0),"")</f>
        <v/>
      </c>
      <c r="E1253" s="19" t="str">
        <f>IF(Tabela2[[#This Row],[AGRUPADOR]]&lt;&gt;"",VLOOKUP(Tabela2[[#This Row],[AGRUPADOR]],Tabela1[],4,0),"")</f>
        <v/>
      </c>
      <c r="F1253" s="14"/>
      <c r="G1253" s="6"/>
      <c r="H1253" s="6"/>
      <c r="I1253" s="25"/>
      <c r="J1253" s="7"/>
      <c r="K1253" s="15"/>
      <c r="L1253" s="379">
        <f>IF(H1253&lt;&gt;"",J1253*K1253,SUMIFS(L1254:L$9844,$F1254:$F$9844,"*"&amp;F1253&amp;"*",$H1254:$H$9844,"&lt;&gt;"))</f>
        <v>0</v>
      </c>
      <c r="M1253" s="379" t="str">
        <f>IF(Tabela2[[#This Row],[UNID.]]&lt;&gt;"",IFERROR(VLOOKUP(Tabela2[[#This Row],[AGRUPADOR]],Lucratividade!$D$4:$O$129,6,0),0),"")</f>
        <v/>
      </c>
      <c r="N1253" s="379">
        <f>IF(H1253&lt;&gt;"",J1253*M1253*I1253,SUMIFS(N1254:N$9844,$F1254:$F$9844,"*"&amp;F1253&amp;"*",$H1254:$H$9844,"&lt;&gt;"))</f>
        <v>0</v>
      </c>
      <c r="O1253" s="162" t="str">
        <f>IFERROR((-Tabela2[[#This Row],[CUSTO TOTAL]]+Tabela2[[#This Row],[VENDA TOTAL]])/Tabela2[[#This Row],[VENDA TOTAL]]-PARAMETROS!$C$19,"")</f>
        <v/>
      </c>
      <c r="AA1253" s="218">
        <f>SUM(Plan_Orc[[#This Row],[01/jan]:[01/dez]])</f>
        <v>0</v>
      </c>
      <c r="AB1253" s="12"/>
      <c r="AC1253" s="12"/>
      <c r="AD1253" s="12"/>
      <c r="AE1253" s="12"/>
      <c r="AF1253" s="12"/>
      <c r="AG1253" s="12"/>
      <c r="AH1253" s="12"/>
      <c r="AI1253" s="12"/>
      <c r="AJ1253" s="12"/>
      <c r="AK1253" s="12"/>
      <c r="AL1253" s="12"/>
      <c r="AM1253" s="12"/>
    </row>
    <row r="1254" spans="2:39" ht="25.2" customHeight="1" x14ac:dyDescent="0.3">
      <c r="B1254" s="13" t="str">
        <f t="shared" si="23"/>
        <v/>
      </c>
      <c r="C1254" s="18"/>
      <c r="D1254" s="19" t="str">
        <f>IF(Tabela2[[#This Row],[AGRUPADOR]]&lt;&gt;"",VLOOKUP(Tabela2[[#This Row],[AGRUPADOR]],Tabela1[],2,0),"")</f>
        <v/>
      </c>
      <c r="E1254" s="19" t="str">
        <f>IF(Tabela2[[#This Row],[AGRUPADOR]]&lt;&gt;"",VLOOKUP(Tabela2[[#This Row],[AGRUPADOR]],Tabela1[],4,0),"")</f>
        <v/>
      </c>
      <c r="F1254" s="14"/>
      <c r="G1254" s="6"/>
      <c r="H1254" s="6"/>
      <c r="I1254" s="25"/>
      <c r="J1254" s="7"/>
      <c r="K1254" s="15"/>
      <c r="L1254" s="379">
        <f>IF(H1254&lt;&gt;"",J1254*K1254,SUMIFS(L1255:L$9844,$F1255:$F$9844,"*"&amp;F1254&amp;"*",$H1255:$H$9844,"&lt;&gt;"))</f>
        <v>0</v>
      </c>
      <c r="M1254" s="379" t="str">
        <f>IF(Tabela2[[#This Row],[UNID.]]&lt;&gt;"",IFERROR(VLOOKUP(Tabela2[[#This Row],[AGRUPADOR]],Lucratividade!$D$4:$O$129,6,0),0),"")</f>
        <v/>
      </c>
      <c r="N1254" s="379">
        <f>IF(H1254&lt;&gt;"",J1254*M1254*I1254,SUMIFS(N1255:N$9844,$F1255:$F$9844,"*"&amp;F1254&amp;"*",$H1255:$H$9844,"&lt;&gt;"))</f>
        <v>0</v>
      </c>
      <c r="O1254" s="162" t="str">
        <f>IFERROR((-Tabela2[[#This Row],[CUSTO TOTAL]]+Tabela2[[#This Row],[VENDA TOTAL]])/Tabela2[[#This Row],[VENDA TOTAL]]-PARAMETROS!$C$19,"")</f>
        <v/>
      </c>
      <c r="AA1254" s="219">
        <f>SUM(Plan_Orc[[#This Row],[01/jan]:[01/dez]])</f>
        <v>0</v>
      </c>
      <c r="AB1254" s="15"/>
      <c r="AC1254" s="15"/>
      <c r="AD1254" s="15"/>
      <c r="AE1254" s="15"/>
      <c r="AF1254" s="15"/>
      <c r="AG1254" s="15"/>
      <c r="AH1254" s="15"/>
      <c r="AI1254" s="15"/>
      <c r="AJ1254" s="15"/>
      <c r="AK1254" s="15"/>
      <c r="AL1254" s="15"/>
      <c r="AM1254" s="15"/>
    </row>
    <row r="1255" spans="2:39" ht="25.2" customHeight="1" x14ac:dyDescent="0.3">
      <c r="B1255" s="13" t="str">
        <f t="shared" si="23"/>
        <v/>
      </c>
      <c r="C1255" s="18"/>
      <c r="D1255" s="19" t="str">
        <f>IF(Tabela2[[#This Row],[AGRUPADOR]]&lt;&gt;"",VLOOKUP(Tabela2[[#This Row],[AGRUPADOR]],Tabela1[],2,0),"")</f>
        <v/>
      </c>
      <c r="E1255" s="19" t="str">
        <f>IF(Tabela2[[#This Row],[AGRUPADOR]]&lt;&gt;"",VLOOKUP(Tabela2[[#This Row],[AGRUPADOR]],Tabela1[],4,0),"")</f>
        <v/>
      </c>
      <c r="F1255" s="14"/>
      <c r="G1255" s="6"/>
      <c r="H1255" s="6"/>
      <c r="I1255" s="25"/>
      <c r="J1255" s="7"/>
      <c r="K1255" s="15"/>
      <c r="L1255" s="379">
        <f>IF(H1255&lt;&gt;"",J1255*K1255,SUMIFS(L1256:L$9844,$F1256:$F$9844,"*"&amp;F1255&amp;"*",$H1256:$H$9844,"&lt;&gt;"))</f>
        <v>0</v>
      </c>
      <c r="M1255" s="379" t="str">
        <f>IF(Tabela2[[#This Row],[UNID.]]&lt;&gt;"",IFERROR(VLOOKUP(Tabela2[[#This Row],[AGRUPADOR]],Lucratividade!$D$4:$O$129,6,0),0),"")</f>
        <v/>
      </c>
      <c r="N1255" s="379">
        <f>IF(H1255&lt;&gt;"",J1255*M1255*I1255,SUMIFS(N1256:N$9844,$F1256:$F$9844,"*"&amp;F1255&amp;"*",$H1256:$H$9844,"&lt;&gt;"))</f>
        <v>0</v>
      </c>
      <c r="O1255" s="162" t="str">
        <f>IFERROR((-Tabela2[[#This Row],[CUSTO TOTAL]]+Tabela2[[#This Row],[VENDA TOTAL]])/Tabela2[[#This Row],[VENDA TOTAL]]-PARAMETROS!$C$19,"")</f>
        <v/>
      </c>
      <c r="AA1255" s="222">
        <f>SUM(Plan_Orc[[#This Row],[01/jan]:[01/dez]])</f>
        <v>0</v>
      </c>
      <c r="AB1255" s="161"/>
      <c r="AC1255" s="161"/>
      <c r="AD1255" s="161"/>
      <c r="AE1255" s="161"/>
      <c r="AF1255" s="161"/>
      <c r="AG1255" s="161"/>
      <c r="AH1255" s="161"/>
      <c r="AI1255" s="161"/>
      <c r="AJ1255" s="161"/>
      <c r="AK1255" s="161"/>
      <c r="AL1255" s="161"/>
      <c r="AM1255" s="161"/>
    </row>
    <row r="1256" spans="2:39" ht="25.2" customHeight="1" x14ac:dyDescent="0.3">
      <c r="B1256" s="13" t="str">
        <f t="shared" si="23"/>
        <v/>
      </c>
      <c r="C1256" s="18"/>
      <c r="D1256" s="19" t="str">
        <f>IF(Tabela2[[#This Row],[AGRUPADOR]]&lt;&gt;"",VLOOKUP(Tabela2[[#This Row],[AGRUPADOR]],Tabela1[],2,0),"")</f>
        <v/>
      </c>
      <c r="E1256" s="19" t="str">
        <f>IF(Tabela2[[#This Row],[AGRUPADOR]]&lt;&gt;"",VLOOKUP(Tabela2[[#This Row],[AGRUPADOR]],Tabela1[],4,0),"")</f>
        <v/>
      </c>
      <c r="F1256" s="14"/>
      <c r="G1256" s="6"/>
      <c r="H1256" s="6"/>
      <c r="I1256" s="25"/>
      <c r="J1256" s="7"/>
      <c r="K1256" s="15"/>
      <c r="L1256" s="379">
        <f>IF(H1256&lt;&gt;"",J1256*K1256,SUMIFS(L1257:L$9844,$F1257:$F$9844,"*"&amp;F1256&amp;"*",$H1257:$H$9844,"&lt;&gt;"))</f>
        <v>0</v>
      </c>
      <c r="M1256" s="379" t="str">
        <f>IF(Tabela2[[#This Row],[UNID.]]&lt;&gt;"",IFERROR(VLOOKUP(Tabela2[[#This Row],[AGRUPADOR]],Lucratividade!$D$4:$O$129,6,0),0),"")</f>
        <v/>
      </c>
      <c r="N1256" s="379">
        <f>IF(H1256&lt;&gt;"",J1256*M1256*I1256,SUMIFS(N1257:N$9844,$F1257:$F$9844,"*"&amp;F1256&amp;"*",$H1257:$H$9844,"&lt;&gt;"))</f>
        <v>0</v>
      </c>
      <c r="O1256" s="162" t="str">
        <f>IFERROR((-Tabela2[[#This Row],[CUSTO TOTAL]]+Tabela2[[#This Row],[VENDA TOTAL]])/Tabela2[[#This Row],[VENDA TOTAL]]-PARAMETROS!$C$19,"")</f>
        <v/>
      </c>
      <c r="AA1256" s="217">
        <f>SUM(Plan_Orc[[#This Row],[01/jan]:[01/dez]])</f>
        <v>0</v>
      </c>
      <c r="AB1256" s="202"/>
      <c r="AC1256" s="202"/>
      <c r="AD1256" s="202"/>
      <c r="AE1256" s="202"/>
      <c r="AF1256" s="202"/>
      <c r="AG1256" s="202"/>
      <c r="AH1256" s="202"/>
      <c r="AI1256" s="202"/>
      <c r="AJ1256" s="202"/>
      <c r="AK1256" s="202"/>
      <c r="AL1256" s="202"/>
      <c r="AM1256" s="202"/>
    </row>
    <row r="1257" spans="2:39" ht="25.2" customHeight="1" x14ac:dyDescent="0.3">
      <c r="B1257" s="13" t="str">
        <f t="shared" si="23"/>
        <v/>
      </c>
      <c r="C1257" s="18"/>
      <c r="D1257" s="19" t="str">
        <f>IF(Tabela2[[#This Row],[AGRUPADOR]]&lt;&gt;"",VLOOKUP(Tabela2[[#This Row],[AGRUPADOR]],Tabela1[],2,0),"")</f>
        <v/>
      </c>
      <c r="E1257" s="19" t="str">
        <f>IF(Tabela2[[#This Row],[AGRUPADOR]]&lt;&gt;"",VLOOKUP(Tabela2[[#This Row],[AGRUPADOR]],Tabela1[],4,0),"")</f>
        <v/>
      </c>
      <c r="F1257" s="14"/>
      <c r="G1257" s="6"/>
      <c r="H1257" s="6"/>
      <c r="I1257" s="25"/>
      <c r="J1257" s="7"/>
      <c r="K1257" s="15"/>
      <c r="L1257" s="379">
        <f>IF(H1257&lt;&gt;"",J1257*K1257,SUMIFS(L1258:L$9844,$F1258:$F$9844,"*"&amp;F1257&amp;"*",$H1258:$H$9844,"&lt;&gt;"))</f>
        <v>0</v>
      </c>
      <c r="M1257" s="379" t="str">
        <f>IF(Tabela2[[#This Row],[UNID.]]&lt;&gt;"",IFERROR(VLOOKUP(Tabela2[[#This Row],[AGRUPADOR]],Lucratividade!$D$4:$O$129,6,0),0),"")</f>
        <v/>
      </c>
      <c r="N1257" s="379">
        <f>IF(H1257&lt;&gt;"",J1257*M1257*I1257,SUMIFS(N1258:N$9844,$F1258:$F$9844,"*"&amp;F1257&amp;"*",$H1258:$H$9844,"&lt;&gt;"))</f>
        <v>0</v>
      </c>
      <c r="O1257" s="162" t="str">
        <f>IFERROR((-Tabela2[[#This Row],[CUSTO TOTAL]]+Tabela2[[#This Row],[VENDA TOTAL]])/Tabela2[[#This Row],[VENDA TOTAL]]-PARAMETROS!$C$19,"")</f>
        <v/>
      </c>
      <c r="AA1257" s="218">
        <f>SUM(Plan_Orc[[#This Row],[01/jan]:[01/dez]])</f>
        <v>0</v>
      </c>
      <c r="AB1257" s="12"/>
      <c r="AC1257" s="12"/>
      <c r="AD1257" s="12"/>
      <c r="AE1257" s="12"/>
      <c r="AF1257" s="12"/>
      <c r="AG1257" s="12"/>
      <c r="AH1257" s="12"/>
      <c r="AI1257" s="12"/>
      <c r="AJ1257" s="12"/>
      <c r="AK1257" s="12"/>
      <c r="AL1257" s="12"/>
      <c r="AM1257" s="12"/>
    </row>
    <row r="1258" spans="2:39" ht="25.2" customHeight="1" x14ac:dyDescent="0.3">
      <c r="B1258" s="13" t="str">
        <f t="shared" si="23"/>
        <v/>
      </c>
      <c r="C1258" s="18"/>
      <c r="D1258" s="19" t="str">
        <f>IF(Tabela2[[#This Row],[AGRUPADOR]]&lt;&gt;"",VLOOKUP(Tabela2[[#This Row],[AGRUPADOR]],Tabela1[],2,0),"")</f>
        <v/>
      </c>
      <c r="E1258" s="19" t="str">
        <f>IF(Tabela2[[#This Row],[AGRUPADOR]]&lt;&gt;"",VLOOKUP(Tabela2[[#This Row],[AGRUPADOR]],Tabela1[],4,0),"")</f>
        <v/>
      </c>
      <c r="F1258" s="14"/>
      <c r="G1258" s="6"/>
      <c r="H1258" s="6"/>
      <c r="I1258" s="25"/>
      <c r="J1258" s="7"/>
      <c r="K1258" s="15"/>
      <c r="L1258" s="379">
        <f>IF(H1258&lt;&gt;"",J1258*K1258,SUMIFS(L1259:L$9844,$F1259:$F$9844,"*"&amp;F1258&amp;"*",$H1259:$H$9844,"&lt;&gt;"))</f>
        <v>0</v>
      </c>
      <c r="M1258" s="379" t="str">
        <f>IF(Tabela2[[#This Row],[UNID.]]&lt;&gt;"",IFERROR(VLOOKUP(Tabela2[[#This Row],[AGRUPADOR]],Lucratividade!$D$4:$O$129,6,0),0),"")</f>
        <v/>
      </c>
      <c r="N1258" s="379">
        <f>IF(H1258&lt;&gt;"",J1258*M1258*I1258,SUMIFS(N1259:N$9844,$F1259:$F$9844,"*"&amp;F1258&amp;"*",$H1259:$H$9844,"&lt;&gt;"))</f>
        <v>0</v>
      </c>
      <c r="O1258" s="162" t="str">
        <f>IFERROR((-Tabela2[[#This Row],[CUSTO TOTAL]]+Tabela2[[#This Row],[VENDA TOTAL]])/Tabela2[[#This Row],[VENDA TOTAL]]-PARAMETROS!$C$19,"")</f>
        <v/>
      </c>
      <c r="AA1258" s="219">
        <f>SUM(Plan_Orc[[#This Row],[01/jan]:[01/dez]])</f>
        <v>0</v>
      </c>
      <c r="AB1258" s="15"/>
      <c r="AC1258" s="15"/>
      <c r="AD1258" s="15"/>
      <c r="AE1258" s="15"/>
      <c r="AF1258" s="15"/>
      <c r="AG1258" s="15"/>
      <c r="AH1258" s="15"/>
      <c r="AI1258" s="15"/>
      <c r="AJ1258" s="15"/>
      <c r="AK1258" s="15"/>
      <c r="AL1258" s="15"/>
      <c r="AM1258" s="15"/>
    </row>
    <row r="1259" spans="2:39" ht="25.2" customHeight="1" x14ac:dyDescent="0.3">
      <c r="B1259" s="13" t="str">
        <f t="shared" si="23"/>
        <v/>
      </c>
      <c r="C1259" s="18"/>
      <c r="D1259" s="19" t="str">
        <f>IF(Tabela2[[#This Row],[AGRUPADOR]]&lt;&gt;"",VLOOKUP(Tabela2[[#This Row],[AGRUPADOR]],Tabela1[],2,0),"")</f>
        <v/>
      </c>
      <c r="E1259" s="19" t="str">
        <f>IF(Tabela2[[#This Row],[AGRUPADOR]]&lt;&gt;"",VLOOKUP(Tabela2[[#This Row],[AGRUPADOR]],Tabela1[],4,0),"")</f>
        <v/>
      </c>
      <c r="F1259" s="14"/>
      <c r="G1259" s="6"/>
      <c r="H1259" s="6"/>
      <c r="I1259" s="25"/>
      <c r="J1259" s="7"/>
      <c r="K1259" s="15"/>
      <c r="L1259" s="379">
        <f>IF(H1259&lt;&gt;"",J1259*K1259,SUMIFS(L1260:L$9844,$F1260:$F$9844,"*"&amp;F1259&amp;"*",$H1260:$H$9844,"&lt;&gt;"))</f>
        <v>0</v>
      </c>
      <c r="M1259" s="379" t="str">
        <f>IF(Tabela2[[#This Row],[UNID.]]&lt;&gt;"",IFERROR(VLOOKUP(Tabela2[[#This Row],[AGRUPADOR]],Lucratividade!$D$4:$O$129,6,0),0),"")</f>
        <v/>
      </c>
      <c r="N1259" s="379">
        <f>IF(H1259&lt;&gt;"",J1259*M1259*I1259,SUMIFS(N1260:N$9844,$F1260:$F$9844,"*"&amp;F1259&amp;"*",$H1260:$H$9844,"&lt;&gt;"))</f>
        <v>0</v>
      </c>
      <c r="O1259" s="162" t="str">
        <f>IFERROR((-Tabela2[[#This Row],[CUSTO TOTAL]]+Tabela2[[#This Row],[VENDA TOTAL]])/Tabela2[[#This Row],[VENDA TOTAL]]-PARAMETROS!$C$19,"")</f>
        <v/>
      </c>
      <c r="AA1259" s="217">
        <f>SUM(Plan_Orc[[#This Row],[01/jan]:[01/dez]])</f>
        <v>0</v>
      </c>
      <c r="AB1259" s="202"/>
      <c r="AC1259" s="202"/>
      <c r="AD1259" s="202"/>
      <c r="AE1259" s="202"/>
      <c r="AF1259" s="202"/>
      <c r="AG1259" s="202"/>
      <c r="AH1259" s="202"/>
      <c r="AI1259" s="202"/>
      <c r="AJ1259" s="202"/>
      <c r="AK1259" s="202"/>
      <c r="AL1259" s="202"/>
      <c r="AM1259" s="202"/>
    </row>
    <row r="1260" spans="2:39" ht="25.2" customHeight="1" x14ac:dyDescent="0.3">
      <c r="B1260" s="13" t="str">
        <f t="shared" si="23"/>
        <v/>
      </c>
      <c r="C1260" s="18"/>
      <c r="D1260" s="19" t="str">
        <f>IF(Tabela2[[#This Row],[AGRUPADOR]]&lt;&gt;"",VLOOKUP(Tabela2[[#This Row],[AGRUPADOR]],Tabela1[],2,0),"")</f>
        <v/>
      </c>
      <c r="E1260" s="19" t="str">
        <f>IF(Tabela2[[#This Row],[AGRUPADOR]]&lt;&gt;"",VLOOKUP(Tabela2[[#This Row],[AGRUPADOR]],Tabela1[],4,0),"")</f>
        <v/>
      </c>
      <c r="F1260" s="14"/>
      <c r="G1260" s="6"/>
      <c r="H1260" s="6"/>
      <c r="I1260" s="25"/>
      <c r="J1260" s="7"/>
      <c r="K1260" s="15"/>
      <c r="L1260" s="379">
        <f>IF(H1260&lt;&gt;"",J1260*K1260,SUMIFS(L1261:L$9844,$F1261:$F$9844,"*"&amp;F1260&amp;"*",$H1261:$H$9844,"&lt;&gt;"))</f>
        <v>0</v>
      </c>
      <c r="M1260" s="379" t="str">
        <f>IF(Tabela2[[#This Row],[UNID.]]&lt;&gt;"",IFERROR(VLOOKUP(Tabela2[[#This Row],[AGRUPADOR]],Lucratividade!$D$4:$O$129,6,0),0),"")</f>
        <v/>
      </c>
      <c r="N1260" s="379">
        <f>IF(H1260&lt;&gt;"",J1260*M1260*I1260,SUMIFS(N1261:N$9844,$F1261:$F$9844,"*"&amp;F1260&amp;"*",$H1261:$H$9844,"&lt;&gt;"))</f>
        <v>0</v>
      </c>
      <c r="O1260" s="162" t="str">
        <f>IFERROR((-Tabela2[[#This Row],[CUSTO TOTAL]]+Tabela2[[#This Row],[VENDA TOTAL]])/Tabela2[[#This Row],[VENDA TOTAL]]-PARAMETROS!$C$19,"")</f>
        <v/>
      </c>
      <c r="AA1260" s="218">
        <f>SUM(Plan_Orc[[#This Row],[01/jan]:[01/dez]])</f>
        <v>0</v>
      </c>
      <c r="AB1260" s="12"/>
      <c r="AC1260" s="12"/>
      <c r="AD1260" s="12"/>
      <c r="AE1260" s="12"/>
      <c r="AF1260" s="12"/>
      <c r="AG1260" s="12"/>
      <c r="AH1260" s="12"/>
      <c r="AI1260" s="12"/>
      <c r="AJ1260" s="12"/>
      <c r="AK1260" s="12"/>
      <c r="AL1260" s="12"/>
      <c r="AM1260" s="12"/>
    </row>
    <row r="1261" spans="2:39" ht="25.2" customHeight="1" x14ac:dyDescent="0.3">
      <c r="B1261" s="13" t="str">
        <f t="shared" si="23"/>
        <v/>
      </c>
      <c r="C1261" s="18"/>
      <c r="D1261" s="19" t="str">
        <f>IF(Tabela2[[#This Row],[AGRUPADOR]]&lt;&gt;"",VLOOKUP(Tabela2[[#This Row],[AGRUPADOR]],Tabela1[],2,0),"")</f>
        <v/>
      </c>
      <c r="E1261" s="19" t="str">
        <f>IF(Tabela2[[#This Row],[AGRUPADOR]]&lt;&gt;"",VLOOKUP(Tabela2[[#This Row],[AGRUPADOR]],Tabela1[],4,0),"")</f>
        <v/>
      </c>
      <c r="F1261" s="14"/>
      <c r="G1261" s="6"/>
      <c r="H1261" s="6"/>
      <c r="I1261" s="25"/>
      <c r="J1261" s="7"/>
      <c r="K1261" s="15"/>
      <c r="L1261" s="379">
        <f>IF(H1261&lt;&gt;"",J1261*K1261,SUMIFS(L1262:L$9844,$F1262:$F$9844,"*"&amp;F1261&amp;"*",$H1262:$H$9844,"&lt;&gt;"))</f>
        <v>0</v>
      </c>
      <c r="M1261" s="379" t="str">
        <f>IF(Tabela2[[#This Row],[UNID.]]&lt;&gt;"",IFERROR(VLOOKUP(Tabela2[[#This Row],[AGRUPADOR]],Lucratividade!$D$4:$O$129,6,0),0),"")</f>
        <v/>
      </c>
      <c r="N1261" s="379">
        <f>IF(H1261&lt;&gt;"",J1261*M1261*I1261,SUMIFS(N1262:N$9844,$F1262:$F$9844,"*"&amp;F1261&amp;"*",$H1262:$H$9844,"&lt;&gt;"))</f>
        <v>0</v>
      </c>
      <c r="O1261" s="162" t="str">
        <f>IFERROR((-Tabela2[[#This Row],[CUSTO TOTAL]]+Tabela2[[#This Row],[VENDA TOTAL]])/Tabela2[[#This Row],[VENDA TOTAL]]-PARAMETROS!$C$19,"")</f>
        <v/>
      </c>
      <c r="AA1261" s="219">
        <f>SUM(Plan_Orc[[#This Row],[01/jan]:[01/dez]])</f>
        <v>0</v>
      </c>
      <c r="AB1261" s="15"/>
      <c r="AC1261" s="15"/>
      <c r="AD1261" s="15"/>
      <c r="AE1261" s="15"/>
      <c r="AF1261" s="15"/>
      <c r="AG1261" s="15"/>
      <c r="AH1261" s="15"/>
      <c r="AI1261" s="15"/>
      <c r="AJ1261" s="15"/>
      <c r="AK1261" s="15"/>
      <c r="AL1261" s="15"/>
      <c r="AM1261" s="15"/>
    </row>
    <row r="1262" spans="2:39" ht="25.2" customHeight="1" x14ac:dyDescent="0.3">
      <c r="B1262" s="13" t="str">
        <f t="shared" si="23"/>
        <v/>
      </c>
      <c r="C1262" s="18"/>
      <c r="D1262" s="19" t="str">
        <f>IF(Tabela2[[#This Row],[AGRUPADOR]]&lt;&gt;"",VLOOKUP(Tabela2[[#This Row],[AGRUPADOR]],Tabela1[],2,0),"")</f>
        <v/>
      </c>
      <c r="E1262" s="19" t="str">
        <f>IF(Tabela2[[#This Row],[AGRUPADOR]]&lt;&gt;"",VLOOKUP(Tabela2[[#This Row],[AGRUPADOR]],Tabela1[],4,0),"")</f>
        <v/>
      </c>
      <c r="F1262" s="14"/>
      <c r="G1262" s="6"/>
      <c r="H1262" s="6"/>
      <c r="I1262" s="25"/>
      <c r="J1262" s="7"/>
      <c r="K1262" s="15"/>
      <c r="L1262" s="379">
        <f>IF(H1262&lt;&gt;"",J1262*K1262,SUMIFS(L1263:L$9844,$F1263:$F$9844,"*"&amp;F1262&amp;"*",$H1263:$H$9844,"&lt;&gt;"))</f>
        <v>0</v>
      </c>
      <c r="M1262" s="379" t="str">
        <f>IF(Tabela2[[#This Row],[UNID.]]&lt;&gt;"",IFERROR(VLOOKUP(Tabela2[[#This Row],[AGRUPADOR]],Lucratividade!$D$4:$O$129,6,0),0),"")</f>
        <v/>
      </c>
      <c r="N1262" s="379">
        <f>IF(H1262&lt;&gt;"",J1262*M1262*I1262,SUMIFS(N1263:N$9844,$F1263:$F$9844,"*"&amp;F1262&amp;"*",$H1263:$H$9844,"&lt;&gt;"))</f>
        <v>0</v>
      </c>
      <c r="O1262" s="162" t="str">
        <f>IFERROR((-Tabela2[[#This Row],[CUSTO TOTAL]]+Tabela2[[#This Row],[VENDA TOTAL]])/Tabela2[[#This Row],[VENDA TOTAL]]-PARAMETROS!$C$19,"")</f>
        <v/>
      </c>
      <c r="AA1262" s="219">
        <f>SUM(Plan_Orc[[#This Row],[01/jan]:[01/dez]])</f>
        <v>0</v>
      </c>
      <c r="AB1262" s="15"/>
      <c r="AC1262" s="15"/>
      <c r="AD1262" s="15"/>
      <c r="AE1262" s="15"/>
      <c r="AF1262" s="15"/>
      <c r="AG1262" s="15"/>
      <c r="AH1262" s="15"/>
      <c r="AI1262" s="15"/>
      <c r="AJ1262" s="15"/>
      <c r="AK1262" s="15"/>
      <c r="AL1262" s="15"/>
      <c r="AM1262" s="15"/>
    </row>
    <row r="1263" spans="2:39" ht="25.2" customHeight="1" x14ac:dyDescent="0.3">
      <c r="B1263" s="13" t="str">
        <f t="shared" si="23"/>
        <v/>
      </c>
      <c r="C1263" s="18"/>
      <c r="D1263" s="19" t="str">
        <f>IF(Tabela2[[#This Row],[AGRUPADOR]]&lt;&gt;"",VLOOKUP(Tabela2[[#This Row],[AGRUPADOR]],Tabela1[],2,0),"")</f>
        <v/>
      </c>
      <c r="E1263" s="19" t="str">
        <f>IF(Tabela2[[#This Row],[AGRUPADOR]]&lt;&gt;"",VLOOKUP(Tabela2[[#This Row],[AGRUPADOR]],Tabela1[],4,0),"")</f>
        <v/>
      </c>
      <c r="F1263" s="14"/>
      <c r="G1263" s="6"/>
      <c r="H1263" s="6"/>
      <c r="I1263" s="25"/>
      <c r="J1263" s="7"/>
      <c r="K1263" s="15"/>
      <c r="L1263" s="379">
        <f>IF(H1263&lt;&gt;"",J1263*K1263,SUMIFS(L1264:L$9844,$F1264:$F$9844,"*"&amp;F1263&amp;"*",$H1264:$H$9844,"&lt;&gt;"))</f>
        <v>0</v>
      </c>
      <c r="M1263" s="379" t="str">
        <f>IF(Tabela2[[#This Row],[UNID.]]&lt;&gt;"",IFERROR(VLOOKUP(Tabela2[[#This Row],[AGRUPADOR]],Lucratividade!$D$4:$O$129,6,0),0),"")</f>
        <v/>
      </c>
      <c r="N1263" s="379">
        <f>IF(H1263&lt;&gt;"",J1263*M1263*I1263,SUMIFS(N1264:N$9844,$F1264:$F$9844,"*"&amp;F1263&amp;"*",$H1264:$H$9844,"&lt;&gt;"))</f>
        <v>0</v>
      </c>
      <c r="O1263" s="162" t="str">
        <f>IFERROR((-Tabela2[[#This Row],[CUSTO TOTAL]]+Tabela2[[#This Row],[VENDA TOTAL]])/Tabela2[[#This Row],[VENDA TOTAL]]-PARAMETROS!$C$19,"")</f>
        <v/>
      </c>
      <c r="AA1263" s="219">
        <f>SUM(Plan_Orc[[#This Row],[01/jan]:[01/dez]])</f>
        <v>0</v>
      </c>
      <c r="AB1263" s="15"/>
      <c r="AC1263" s="15"/>
      <c r="AD1263" s="15"/>
      <c r="AE1263" s="15"/>
      <c r="AF1263" s="15"/>
      <c r="AG1263" s="15"/>
      <c r="AH1263" s="15"/>
      <c r="AI1263" s="15"/>
      <c r="AJ1263" s="15"/>
      <c r="AK1263" s="15"/>
      <c r="AL1263" s="15"/>
      <c r="AM1263" s="15"/>
    </row>
    <row r="1264" spans="2:39" ht="25.2" customHeight="1" x14ac:dyDescent="0.3">
      <c r="B1264" s="13" t="str">
        <f t="shared" si="23"/>
        <v/>
      </c>
      <c r="C1264" s="18"/>
      <c r="D1264" s="19" t="str">
        <f>IF(Tabela2[[#This Row],[AGRUPADOR]]&lt;&gt;"",VLOOKUP(Tabela2[[#This Row],[AGRUPADOR]],Tabela1[],2,0),"")</f>
        <v/>
      </c>
      <c r="E1264" s="19" t="str">
        <f>IF(Tabela2[[#This Row],[AGRUPADOR]]&lt;&gt;"",VLOOKUP(Tabela2[[#This Row],[AGRUPADOR]],Tabela1[],4,0),"")</f>
        <v/>
      </c>
      <c r="F1264" s="14"/>
      <c r="G1264" s="6"/>
      <c r="H1264" s="6"/>
      <c r="I1264" s="25"/>
      <c r="J1264" s="7"/>
      <c r="K1264" s="15"/>
      <c r="L1264" s="379">
        <f>IF(H1264&lt;&gt;"",J1264*K1264,SUMIFS(L1265:L$9844,$F1265:$F$9844,"*"&amp;F1264&amp;"*",$H1265:$H$9844,"&lt;&gt;"))</f>
        <v>0</v>
      </c>
      <c r="M1264" s="379" t="str">
        <f>IF(Tabela2[[#This Row],[UNID.]]&lt;&gt;"",IFERROR(VLOOKUP(Tabela2[[#This Row],[AGRUPADOR]],Lucratividade!$D$4:$O$129,6,0),0),"")</f>
        <v/>
      </c>
      <c r="N1264" s="379">
        <f>IF(H1264&lt;&gt;"",J1264*M1264*I1264,SUMIFS(N1265:N$9844,$F1265:$F$9844,"*"&amp;F1264&amp;"*",$H1265:$H$9844,"&lt;&gt;"))</f>
        <v>0</v>
      </c>
      <c r="O1264" s="162" t="str">
        <f>IFERROR((-Tabela2[[#This Row],[CUSTO TOTAL]]+Tabela2[[#This Row],[VENDA TOTAL]])/Tabela2[[#This Row],[VENDA TOTAL]]-PARAMETROS!$C$19,"")</f>
        <v/>
      </c>
      <c r="AA1264" s="219">
        <f>SUM(Plan_Orc[[#This Row],[01/jan]:[01/dez]])</f>
        <v>0</v>
      </c>
      <c r="AB1264" s="15"/>
      <c r="AC1264" s="15"/>
      <c r="AD1264" s="15"/>
      <c r="AE1264" s="15"/>
      <c r="AF1264" s="15"/>
      <c r="AG1264" s="15"/>
      <c r="AH1264" s="15"/>
      <c r="AI1264" s="15"/>
      <c r="AJ1264" s="15"/>
      <c r="AK1264" s="15"/>
      <c r="AL1264" s="15"/>
      <c r="AM1264" s="15"/>
    </row>
    <row r="1265" spans="2:39" ht="25.2" customHeight="1" x14ac:dyDescent="0.3">
      <c r="B1265" s="13" t="str">
        <f t="shared" si="23"/>
        <v/>
      </c>
      <c r="C1265" s="18"/>
      <c r="D1265" s="19" t="str">
        <f>IF(Tabela2[[#This Row],[AGRUPADOR]]&lt;&gt;"",VLOOKUP(Tabela2[[#This Row],[AGRUPADOR]],Tabela1[],2,0),"")</f>
        <v/>
      </c>
      <c r="E1265" s="19" t="str">
        <f>IF(Tabela2[[#This Row],[AGRUPADOR]]&lt;&gt;"",VLOOKUP(Tabela2[[#This Row],[AGRUPADOR]],Tabela1[],4,0),"")</f>
        <v/>
      </c>
      <c r="F1265" s="14"/>
      <c r="G1265" s="6"/>
      <c r="H1265" s="6"/>
      <c r="I1265" s="25"/>
      <c r="J1265" s="7"/>
      <c r="K1265" s="15"/>
      <c r="L1265" s="379">
        <f>IF(H1265&lt;&gt;"",J1265*K1265,SUMIFS(L1266:L$9844,$F1266:$F$9844,"*"&amp;F1265&amp;"*",$H1266:$H$9844,"&lt;&gt;"))</f>
        <v>0</v>
      </c>
      <c r="M1265" s="379" t="str">
        <f>IF(Tabela2[[#This Row],[UNID.]]&lt;&gt;"",IFERROR(VLOOKUP(Tabela2[[#This Row],[AGRUPADOR]],Lucratividade!$D$4:$O$129,6,0),0),"")</f>
        <v/>
      </c>
      <c r="N1265" s="379">
        <f>IF(H1265&lt;&gt;"",J1265*M1265*I1265,SUMIFS(N1266:N$9844,$F1266:$F$9844,"*"&amp;F1265&amp;"*",$H1266:$H$9844,"&lt;&gt;"))</f>
        <v>0</v>
      </c>
      <c r="O1265" s="162" t="str">
        <f>IFERROR((-Tabela2[[#This Row],[CUSTO TOTAL]]+Tabela2[[#This Row],[VENDA TOTAL]])/Tabela2[[#This Row],[VENDA TOTAL]]-PARAMETROS!$C$19,"")</f>
        <v/>
      </c>
      <c r="AA1265" s="219">
        <f>SUM(Plan_Orc[[#This Row],[01/jan]:[01/dez]])</f>
        <v>0</v>
      </c>
      <c r="AB1265" s="15"/>
      <c r="AC1265" s="15"/>
      <c r="AD1265" s="15"/>
      <c r="AE1265" s="15"/>
      <c r="AF1265" s="15"/>
      <c r="AG1265" s="15"/>
      <c r="AH1265" s="15"/>
      <c r="AI1265" s="15"/>
      <c r="AJ1265" s="15"/>
      <c r="AK1265" s="15"/>
      <c r="AL1265" s="15"/>
      <c r="AM1265" s="15"/>
    </row>
    <row r="1266" spans="2:39" ht="25.2" customHeight="1" x14ac:dyDescent="0.3">
      <c r="B1266" s="13" t="str">
        <f t="shared" si="23"/>
        <v/>
      </c>
      <c r="C1266" s="18"/>
      <c r="D1266" s="19" t="str">
        <f>IF(Tabela2[[#This Row],[AGRUPADOR]]&lt;&gt;"",VLOOKUP(Tabela2[[#This Row],[AGRUPADOR]],Tabela1[],2,0),"")</f>
        <v/>
      </c>
      <c r="E1266" s="19" t="str">
        <f>IF(Tabela2[[#This Row],[AGRUPADOR]]&lt;&gt;"",VLOOKUP(Tabela2[[#This Row],[AGRUPADOR]],Tabela1[],4,0),"")</f>
        <v/>
      </c>
      <c r="F1266" s="14"/>
      <c r="G1266" s="6"/>
      <c r="H1266" s="6"/>
      <c r="I1266" s="25"/>
      <c r="J1266" s="7"/>
      <c r="K1266" s="15"/>
      <c r="L1266" s="379">
        <f>IF(H1266&lt;&gt;"",J1266*K1266,SUMIFS(L1267:L$9844,$F1267:$F$9844,"*"&amp;F1266&amp;"*",$H1267:$H$9844,"&lt;&gt;"))</f>
        <v>0</v>
      </c>
      <c r="M1266" s="379" t="str">
        <f>IF(Tabela2[[#This Row],[UNID.]]&lt;&gt;"",IFERROR(VLOOKUP(Tabela2[[#This Row],[AGRUPADOR]],Lucratividade!$D$4:$O$129,6,0),0),"")</f>
        <v/>
      </c>
      <c r="N1266" s="379">
        <f>IF(H1266&lt;&gt;"",J1266*M1266*I1266,SUMIFS(N1267:N$9844,$F1267:$F$9844,"*"&amp;F1266&amp;"*",$H1267:$H$9844,"&lt;&gt;"))</f>
        <v>0</v>
      </c>
      <c r="O1266" s="162" t="str">
        <f>IFERROR((-Tabela2[[#This Row],[CUSTO TOTAL]]+Tabela2[[#This Row],[VENDA TOTAL]])/Tabela2[[#This Row],[VENDA TOTAL]]-PARAMETROS!$C$19,"")</f>
        <v/>
      </c>
      <c r="AA1266" s="219">
        <f>SUM(Plan_Orc[[#This Row],[01/jan]:[01/dez]])</f>
        <v>0</v>
      </c>
      <c r="AB1266" s="15"/>
      <c r="AC1266" s="15"/>
      <c r="AD1266" s="15"/>
      <c r="AE1266" s="15"/>
      <c r="AF1266" s="15"/>
      <c r="AG1266" s="15"/>
      <c r="AH1266" s="15"/>
      <c r="AI1266" s="15"/>
      <c r="AJ1266" s="15"/>
      <c r="AK1266" s="15"/>
      <c r="AL1266" s="15"/>
      <c r="AM1266" s="15"/>
    </row>
    <row r="1267" spans="2:39" ht="25.2" customHeight="1" x14ac:dyDescent="0.3">
      <c r="B1267" s="13" t="str">
        <f t="shared" si="23"/>
        <v/>
      </c>
      <c r="C1267" s="18"/>
      <c r="D1267" s="19" t="str">
        <f>IF(Tabela2[[#This Row],[AGRUPADOR]]&lt;&gt;"",VLOOKUP(Tabela2[[#This Row],[AGRUPADOR]],Tabela1[],2,0),"")</f>
        <v/>
      </c>
      <c r="E1267" s="19" t="str">
        <f>IF(Tabela2[[#This Row],[AGRUPADOR]]&lt;&gt;"",VLOOKUP(Tabela2[[#This Row],[AGRUPADOR]],Tabela1[],4,0),"")</f>
        <v/>
      </c>
      <c r="F1267" s="14"/>
      <c r="G1267" s="6"/>
      <c r="H1267" s="6"/>
      <c r="I1267" s="25"/>
      <c r="J1267" s="7"/>
      <c r="K1267" s="15"/>
      <c r="L1267" s="379">
        <f>IF(H1267&lt;&gt;"",J1267*K1267,SUMIFS(L1268:L$9844,$F1268:$F$9844,"*"&amp;F1267&amp;"*",$H1268:$H$9844,"&lt;&gt;"))</f>
        <v>0</v>
      </c>
      <c r="M1267" s="379" t="str">
        <f>IF(Tabela2[[#This Row],[UNID.]]&lt;&gt;"",IFERROR(VLOOKUP(Tabela2[[#This Row],[AGRUPADOR]],Lucratividade!$D$4:$O$129,6,0),0),"")</f>
        <v/>
      </c>
      <c r="N1267" s="379">
        <f>IF(H1267&lt;&gt;"",J1267*M1267*I1267,SUMIFS(N1268:N$9844,$F1268:$F$9844,"*"&amp;F1267&amp;"*",$H1268:$H$9844,"&lt;&gt;"))</f>
        <v>0</v>
      </c>
      <c r="O1267" s="162" t="str">
        <f>IFERROR((-Tabela2[[#This Row],[CUSTO TOTAL]]+Tabela2[[#This Row],[VENDA TOTAL]])/Tabela2[[#This Row],[VENDA TOTAL]]-PARAMETROS!$C$19,"")</f>
        <v/>
      </c>
      <c r="AA1267" s="219">
        <f>SUM(Plan_Orc[[#This Row],[01/jan]:[01/dez]])</f>
        <v>0</v>
      </c>
      <c r="AB1267" s="15"/>
      <c r="AC1267" s="15"/>
      <c r="AD1267" s="15"/>
      <c r="AE1267" s="15"/>
      <c r="AF1267" s="15"/>
      <c r="AG1267" s="15"/>
      <c r="AH1267" s="15"/>
      <c r="AI1267" s="15"/>
      <c r="AJ1267" s="15"/>
      <c r="AK1267" s="15"/>
      <c r="AL1267" s="15"/>
      <c r="AM1267" s="15"/>
    </row>
    <row r="1268" spans="2:39" ht="25.2" customHeight="1" x14ac:dyDescent="0.3">
      <c r="B1268" s="13" t="str">
        <f t="shared" si="23"/>
        <v/>
      </c>
      <c r="C1268" s="18"/>
      <c r="D1268" s="19" t="str">
        <f>IF(Tabela2[[#This Row],[AGRUPADOR]]&lt;&gt;"",VLOOKUP(Tabela2[[#This Row],[AGRUPADOR]],Tabela1[],2,0),"")</f>
        <v/>
      </c>
      <c r="E1268" s="19" t="str">
        <f>IF(Tabela2[[#This Row],[AGRUPADOR]]&lt;&gt;"",VLOOKUP(Tabela2[[#This Row],[AGRUPADOR]],Tabela1[],4,0),"")</f>
        <v/>
      </c>
      <c r="F1268" s="14"/>
      <c r="G1268" s="6"/>
      <c r="H1268" s="6"/>
      <c r="I1268" s="25"/>
      <c r="J1268" s="7"/>
      <c r="K1268" s="15"/>
      <c r="L1268" s="379">
        <f>IF(H1268&lt;&gt;"",J1268*K1268,SUMIFS(L1269:L$9844,$F1269:$F$9844,"*"&amp;F1268&amp;"*",$H1269:$H$9844,"&lt;&gt;"))</f>
        <v>0</v>
      </c>
      <c r="M1268" s="379" t="str">
        <f>IF(Tabela2[[#This Row],[UNID.]]&lt;&gt;"",IFERROR(VLOOKUP(Tabela2[[#This Row],[AGRUPADOR]],Lucratividade!$D$4:$O$129,6,0),0),"")</f>
        <v/>
      </c>
      <c r="N1268" s="379">
        <f>IF(H1268&lt;&gt;"",J1268*M1268*I1268,SUMIFS(N1269:N$9844,$F1269:$F$9844,"*"&amp;F1268&amp;"*",$H1269:$H$9844,"&lt;&gt;"))</f>
        <v>0</v>
      </c>
      <c r="O1268" s="162" t="str">
        <f>IFERROR((-Tabela2[[#This Row],[CUSTO TOTAL]]+Tabela2[[#This Row],[VENDA TOTAL]])/Tabela2[[#This Row],[VENDA TOTAL]]-PARAMETROS!$C$19,"")</f>
        <v/>
      </c>
      <c r="AA1268" s="219">
        <f>SUM(Plan_Orc[[#This Row],[01/jan]:[01/dez]])</f>
        <v>0</v>
      </c>
      <c r="AB1268" s="15"/>
      <c r="AC1268" s="15"/>
      <c r="AD1268" s="15"/>
      <c r="AE1268" s="15"/>
      <c r="AF1268" s="15"/>
      <c r="AG1268" s="15"/>
      <c r="AH1268" s="15"/>
      <c r="AI1268" s="15"/>
      <c r="AJ1268" s="15"/>
      <c r="AK1268" s="15"/>
      <c r="AL1268" s="15"/>
      <c r="AM1268" s="15"/>
    </row>
    <row r="1269" spans="2:39" ht="25.2" customHeight="1" x14ac:dyDescent="0.3">
      <c r="B1269" s="13" t="str">
        <f t="shared" si="23"/>
        <v/>
      </c>
      <c r="C1269" s="18"/>
      <c r="D1269" s="19" t="str">
        <f>IF(Tabela2[[#This Row],[AGRUPADOR]]&lt;&gt;"",VLOOKUP(Tabela2[[#This Row],[AGRUPADOR]],Tabela1[],2,0),"")</f>
        <v/>
      </c>
      <c r="E1269" s="19" t="str">
        <f>IF(Tabela2[[#This Row],[AGRUPADOR]]&lt;&gt;"",VLOOKUP(Tabela2[[#This Row],[AGRUPADOR]],Tabela1[],4,0),"")</f>
        <v/>
      </c>
      <c r="F1269" s="14"/>
      <c r="G1269" s="6"/>
      <c r="H1269" s="6"/>
      <c r="I1269" s="25"/>
      <c r="J1269" s="7"/>
      <c r="K1269" s="15"/>
      <c r="L1269" s="379">
        <f>IF(H1269&lt;&gt;"",J1269*K1269,SUMIFS(L1270:L$9844,$F1270:$F$9844,"*"&amp;F1269&amp;"*",$H1270:$H$9844,"&lt;&gt;"))</f>
        <v>0</v>
      </c>
      <c r="M1269" s="379" t="str">
        <f>IF(Tabela2[[#This Row],[UNID.]]&lt;&gt;"",IFERROR(VLOOKUP(Tabela2[[#This Row],[AGRUPADOR]],Lucratividade!$D$4:$O$129,6,0),0),"")</f>
        <v/>
      </c>
      <c r="N1269" s="379">
        <f>IF(H1269&lt;&gt;"",J1269*M1269*I1269,SUMIFS(N1270:N$9844,$F1270:$F$9844,"*"&amp;F1269&amp;"*",$H1270:$H$9844,"&lt;&gt;"))</f>
        <v>0</v>
      </c>
      <c r="O1269" s="162" t="str">
        <f>IFERROR((-Tabela2[[#This Row],[CUSTO TOTAL]]+Tabela2[[#This Row],[VENDA TOTAL]])/Tabela2[[#This Row],[VENDA TOTAL]]-PARAMETROS!$C$19,"")</f>
        <v/>
      </c>
      <c r="AA1269" s="219">
        <f>SUM(Plan_Orc[[#This Row],[01/jan]:[01/dez]])</f>
        <v>0</v>
      </c>
      <c r="AB1269" s="15"/>
      <c r="AC1269" s="15"/>
      <c r="AD1269" s="15"/>
      <c r="AE1269" s="15"/>
      <c r="AF1269" s="15"/>
      <c r="AG1269" s="15"/>
      <c r="AH1269" s="15"/>
      <c r="AI1269" s="15"/>
      <c r="AJ1269" s="15"/>
      <c r="AK1269" s="15"/>
      <c r="AL1269" s="15"/>
      <c r="AM1269" s="15"/>
    </row>
    <row r="1270" spans="2:39" ht="25.2" customHeight="1" x14ac:dyDescent="0.3">
      <c r="B1270" s="13" t="str">
        <f t="shared" si="23"/>
        <v/>
      </c>
      <c r="C1270" s="18"/>
      <c r="D1270" s="19" t="str">
        <f>IF(Tabela2[[#This Row],[AGRUPADOR]]&lt;&gt;"",VLOOKUP(Tabela2[[#This Row],[AGRUPADOR]],Tabela1[],2,0),"")</f>
        <v/>
      </c>
      <c r="E1270" s="19" t="str">
        <f>IF(Tabela2[[#This Row],[AGRUPADOR]]&lt;&gt;"",VLOOKUP(Tabela2[[#This Row],[AGRUPADOR]],Tabela1[],4,0),"")</f>
        <v/>
      </c>
      <c r="F1270" s="14"/>
      <c r="G1270" s="6"/>
      <c r="H1270" s="6"/>
      <c r="I1270" s="25"/>
      <c r="J1270" s="7"/>
      <c r="K1270" s="15"/>
      <c r="L1270" s="379">
        <f>IF(H1270&lt;&gt;"",J1270*K1270,SUMIFS(L1271:L$9844,$F1271:$F$9844,"*"&amp;F1270&amp;"*",$H1271:$H$9844,"&lt;&gt;"))</f>
        <v>0</v>
      </c>
      <c r="M1270" s="379" t="str">
        <f>IF(Tabela2[[#This Row],[UNID.]]&lt;&gt;"",IFERROR(VLOOKUP(Tabela2[[#This Row],[AGRUPADOR]],Lucratividade!$D$4:$O$129,6,0),0),"")</f>
        <v/>
      </c>
      <c r="N1270" s="379">
        <f>IF(H1270&lt;&gt;"",J1270*M1270*I1270,SUMIFS(N1271:N$9844,$F1271:$F$9844,"*"&amp;F1270&amp;"*",$H1271:$H$9844,"&lt;&gt;"))</f>
        <v>0</v>
      </c>
      <c r="O1270" s="162" t="str">
        <f>IFERROR((-Tabela2[[#This Row],[CUSTO TOTAL]]+Tabela2[[#This Row],[VENDA TOTAL]])/Tabela2[[#This Row],[VENDA TOTAL]]-PARAMETROS!$C$19,"")</f>
        <v/>
      </c>
      <c r="AA1270" s="219">
        <f>SUM(Plan_Orc[[#This Row],[01/jan]:[01/dez]])</f>
        <v>0</v>
      </c>
      <c r="AB1270" s="15"/>
      <c r="AC1270" s="15"/>
      <c r="AD1270" s="15"/>
      <c r="AE1270" s="15"/>
      <c r="AF1270" s="15"/>
      <c r="AG1270" s="15"/>
      <c r="AH1270" s="15"/>
      <c r="AI1270" s="15"/>
      <c r="AJ1270" s="15"/>
      <c r="AK1270" s="15"/>
      <c r="AL1270" s="15"/>
      <c r="AM1270" s="15"/>
    </row>
    <row r="1271" spans="2:39" ht="25.2" customHeight="1" x14ac:dyDescent="0.3">
      <c r="B1271" s="13" t="str">
        <f t="shared" si="23"/>
        <v/>
      </c>
      <c r="C1271" s="18"/>
      <c r="D1271" s="19" t="str">
        <f>IF(Tabela2[[#This Row],[AGRUPADOR]]&lt;&gt;"",VLOOKUP(Tabela2[[#This Row],[AGRUPADOR]],Tabela1[],2,0),"")</f>
        <v/>
      </c>
      <c r="E1271" s="19" t="str">
        <f>IF(Tabela2[[#This Row],[AGRUPADOR]]&lt;&gt;"",VLOOKUP(Tabela2[[#This Row],[AGRUPADOR]],Tabela1[],4,0),"")</f>
        <v/>
      </c>
      <c r="F1271" s="14"/>
      <c r="G1271" s="6"/>
      <c r="H1271" s="6"/>
      <c r="I1271" s="25"/>
      <c r="J1271" s="7"/>
      <c r="K1271" s="15"/>
      <c r="L1271" s="379">
        <f>IF(H1271&lt;&gt;"",J1271*K1271,SUMIFS(L1272:L$9844,$F1272:$F$9844,"*"&amp;F1271&amp;"*",$H1272:$H$9844,"&lt;&gt;"))</f>
        <v>0</v>
      </c>
      <c r="M1271" s="379" t="str">
        <f>IF(Tabela2[[#This Row],[UNID.]]&lt;&gt;"",IFERROR(VLOOKUP(Tabela2[[#This Row],[AGRUPADOR]],Lucratividade!$D$4:$O$129,6,0),0),"")</f>
        <v/>
      </c>
      <c r="N1271" s="379">
        <f>IF(H1271&lt;&gt;"",J1271*M1271*I1271,SUMIFS(N1272:N$9844,$F1272:$F$9844,"*"&amp;F1271&amp;"*",$H1272:$H$9844,"&lt;&gt;"))</f>
        <v>0</v>
      </c>
      <c r="O1271" s="162" t="str">
        <f>IFERROR((-Tabela2[[#This Row],[CUSTO TOTAL]]+Tabela2[[#This Row],[VENDA TOTAL]])/Tabela2[[#This Row],[VENDA TOTAL]]-PARAMETROS!$C$19,"")</f>
        <v/>
      </c>
      <c r="AA1271" s="219">
        <f>SUM(Plan_Orc[[#This Row],[01/jan]:[01/dez]])</f>
        <v>0</v>
      </c>
      <c r="AB1271" s="15"/>
      <c r="AC1271" s="15"/>
      <c r="AD1271" s="15"/>
      <c r="AE1271" s="15"/>
      <c r="AF1271" s="15"/>
      <c r="AG1271" s="15"/>
      <c r="AH1271" s="15"/>
      <c r="AI1271" s="15"/>
      <c r="AJ1271" s="15"/>
      <c r="AK1271" s="15"/>
      <c r="AL1271" s="15"/>
      <c r="AM1271" s="15"/>
    </row>
    <row r="1272" spans="2:39" ht="25.2" customHeight="1" x14ac:dyDescent="0.3">
      <c r="B1272" s="13" t="str">
        <f t="shared" si="23"/>
        <v/>
      </c>
      <c r="C1272" s="18"/>
      <c r="D1272" s="19" t="str">
        <f>IF(Tabela2[[#This Row],[AGRUPADOR]]&lt;&gt;"",VLOOKUP(Tabela2[[#This Row],[AGRUPADOR]],Tabela1[],2,0),"")</f>
        <v/>
      </c>
      <c r="E1272" s="19" t="str">
        <f>IF(Tabela2[[#This Row],[AGRUPADOR]]&lt;&gt;"",VLOOKUP(Tabela2[[#This Row],[AGRUPADOR]],Tabela1[],4,0),"")</f>
        <v/>
      </c>
      <c r="F1272" s="14"/>
      <c r="G1272" s="6"/>
      <c r="H1272" s="6"/>
      <c r="I1272" s="25"/>
      <c r="J1272" s="7"/>
      <c r="K1272" s="15"/>
      <c r="L1272" s="379">
        <f>IF(H1272&lt;&gt;"",J1272*K1272,SUMIFS(L1273:L$9844,$F1273:$F$9844,"*"&amp;F1272&amp;"*",$H1273:$H$9844,"&lt;&gt;"))</f>
        <v>0</v>
      </c>
      <c r="M1272" s="379" t="str">
        <f>IF(Tabela2[[#This Row],[UNID.]]&lt;&gt;"",IFERROR(VLOOKUP(Tabela2[[#This Row],[AGRUPADOR]],Lucratividade!$D$4:$O$129,6,0),0),"")</f>
        <v/>
      </c>
      <c r="N1272" s="379">
        <f>IF(H1272&lt;&gt;"",J1272*M1272*I1272,SUMIFS(N1273:N$9844,$F1273:$F$9844,"*"&amp;F1272&amp;"*",$H1273:$H$9844,"&lt;&gt;"))</f>
        <v>0</v>
      </c>
      <c r="O1272" s="162" t="str">
        <f>IFERROR((-Tabela2[[#This Row],[CUSTO TOTAL]]+Tabela2[[#This Row],[VENDA TOTAL]])/Tabela2[[#This Row],[VENDA TOTAL]]-PARAMETROS!$C$19,"")</f>
        <v/>
      </c>
      <c r="AA1272" s="219">
        <f>SUM(Plan_Orc[[#This Row],[01/jan]:[01/dez]])</f>
        <v>0</v>
      </c>
      <c r="AB1272" s="15"/>
      <c r="AC1272" s="15"/>
      <c r="AD1272" s="15"/>
      <c r="AE1272" s="15"/>
      <c r="AF1272" s="15"/>
      <c r="AG1272" s="15"/>
      <c r="AH1272" s="15"/>
      <c r="AI1272" s="15"/>
      <c r="AJ1272" s="15"/>
      <c r="AK1272" s="15"/>
      <c r="AL1272" s="15"/>
      <c r="AM1272" s="15"/>
    </row>
    <row r="1273" spans="2:39" ht="25.2" customHeight="1" x14ac:dyDescent="0.3">
      <c r="B1273" s="13" t="str">
        <f t="shared" si="23"/>
        <v/>
      </c>
      <c r="C1273" s="18"/>
      <c r="D1273" s="19" t="str">
        <f>IF(Tabela2[[#This Row],[AGRUPADOR]]&lt;&gt;"",VLOOKUP(Tabela2[[#This Row],[AGRUPADOR]],Tabela1[],2,0),"")</f>
        <v/>
      </c>
      <c r="E1273" s="19" t="str">
        <f>IF(Tabela2[[#This Row],[AGRUPADOR]]&lt;&gt;"",VLOOKUP(Tabela2[[#This Row],[AGRUPADOR]],Tabela1[],4,0),"")</f>
        <v/>
      </c>
      <c r="F1273" s="14"/>
      <c r="G1273" s="6"/>
      <c r="H1273" s="6"/>
      <c r="I1273" s="25"/>
      <c r="J1273" s="7"/>
      <c r="K1273" s="15"/>
      <c r="L1273" s="379">
        <f>IF(H1273&lt;&gt;"",J1273*K1273,SUMIFS(L1274:L$9844,$F1274:$F$9844,"*"&amp;F1273&amp;"*",$H1274:$H$9844,"&lt;&gt;"))</f>
        <v>0</v>
      </c>
      <c r="M1273" s="379" t="str">
        <f>IF(Tabela2[[#This Row],[UNID.]]&lt;&gt;"",IFERROR(VLOOKUP(Tabela2[[#This Row],[AGRUPADOR]],Lucratividade!$D$4:$O$129,6,0),0),"")</f>
        <v/>
      </c>
      <c r="N1273" s="379">
        <f>IF(H1273&lt;&gt;"",J1273*M1273*I1273,SUMIFS(N1274:N$9844,$F1274:$F$9844,"*"&amp;F1273&amp;"*",$H1274:$H$9844,"&lt;&gt;"))</f>
        <v>0</v>
      </c>
      <c r="O1273" s="162" t="str">
        <f>IFERROR((-Tabela2[[#This Row],[CUSTO TOTAL]]+Tabela2[[#This Row],[VENDA TOTAL]])/Tabela2[[#This Row],[VENDA TOTAL]]-PARAMETROS!$C$19,"")</f>
        <v/>
      </c>
      <c r="AA1273" s="219">
        <f>SUM(Plan_Orc[[#This Row],[01/jan]:[01/dez]])</f>
        <v>0</v>
      </c>
      <c r="AB1273" s="15"/>
      <c r="AC1273" s="15"/>
      <c r="AD1273" s="15"/>
      <c r="AE1273" s="15"/>
      <c r="AF1273" s="15"/>
      <c r="AG1273" s="15"/>
      <c r="AH1273" s="15"/>
      <c r="AI1273" s="15"/>
      <c r="AJ1273" s="15"/>
      <c r="AK1273" s="15"/>
      <c r="AL1273" s="15"/>
      <c r="AM1273" s="15"/>
    </row>
    <row r="1274" spans="2:39" ht="25.2" customHeight="1" x14ac:dyDescent="0.3">
      <c r="B1274" s="13" t="str">
        <f t="shared" si="23"/>
        <v/>
      </c>
      <c r="C1274" s="18"/>
      <c r="D1274" s="19" t="str">
        <f>IF(Tabela2[[#This Row],[AGRUPADOR]]&lt;&gt;"",VLOOKUP(Tabela2[[#This Row],[AGRUPADOR]],Tabela1[],2,0),"")</f>
        <v/>
      </c>
      <c r="E1274" s="19" t="str">
        <f>IF(Tabela2[[#This Row],[AGRUPADOR]]&lt;&gt;"",VLOOKUP(Tabela2[[#This Row],[AGRUPADOR]],Tabela1[],4,0),"")</f>
        <v/>
      </c>
      <c r="F1274" s="14"/>
      <c r="G1274" s="6"/>
      <c r="H1274" s="6"/>
      <c r="I1274" s="25"/>
      <c r="J1274" s="7"/>
      <c r="K1274" s="15"/>
      <c r="L1274" s="379">
        <f>IF(H1274&lt;&gt;"",J1274*K1274,SUMIFS(L1275:L$9844,$F1275:$F$9844,"*"&amp;F1274&amp;"*",$H1275:$H$9844,"&lt;&gt;"))</f>
        <v>0</v>
      </c>
      <c r="M1274" s="379" t="str">
        <f>IF(Tabela2[[#This Row],[UNID.]]&lt;&gt;"",IFERROR(VLOOKUP(Tabela2[[#This Row],[AGRUPADOR]],Lucratividade!$D$4:$O$129,6,0),0),"")</f>
        <v/>
      </c>
      <c r="N1274" s="379">
        <f>IF(H1274&lt;&gt;"",J1274*M1274*I1274,SUMIFS(N1275:N$9844,$F1275:$F$9844,"*"&amp;F1274&amp;"*",$H1275:$H$9844,"&lt;&gt;"))</f>
        <v>0</v>
      </c>
      <c r="O1274" s="162" t="str">
        <f>IFERROR((-Tabela2[[#This Row],[CUSTO TOTAL]]+Tabela2[[#This Row],[VENDA TOTAL]])/Tabela2[[#This Row],[VENDA TOTAL]]-PARAMETROS!$C$19,"")</f>
        <v/>
      </c>
      <c r="AA1274" s="219">
        <f>SUM(Plan_Orc[[#This Row],[01/jan]:[01/dez]])</f>
        <v>0</v>
      </c>
      <c r="AB1274" s="15"/>
      <c r="AC1274" s="15"/>
      <c r="AD1274" s="15"/>
      <c r="AE1274" s="15"/>
      <c r="AF1274" s="15"/>
      <c r="AG1274" s="15"/>
      <c r="AH1274" s="15"/>
      <c r="AI1274" s="15"/>
      <c r="AJ1274" s="15"/>
      <c r="AK1274" s="15"/>
      <c r="AL1274" s="15"/>
      <c r="AM1274" s="15"/>
    </row>
    <row r="1275" spans="2:39" ht="25.2" customHeight="1" x14ac:dyDescent="0.3">
      <c r="B1275" s="13" t="str">
        <f t="shared" si="23"/>
        <v/>
      </c>
      <c r="C1275" s="18"/>
      <c r="D1275" s="19" t="str">
        <f>IF(Tabela2[[#This Row],[AGRUPADOR]]&lt;&gt;"",VLOOKUP(Tabela2[[#This Row],[AGRUPADOR]],Tabela1[],2,0),"")</f>
        <v/>
      </c>
      <c r="E1275" s="19" t="str">
        <f>IF(Tabela2[[#This Row],[AGRUPADOR]]&lt;&gt;"",VLOOKUP(Tabela2[[#This Row],[AGRUPADOR]],Tabela1[],4,0),"")</f>
        <v/>
      </c>
      <c r="F1275" s="14"/>
      <c r="G1275" s="6"/>
      <c r="H1275" s="6"/>
      <c r="I1275" s="25"/>
      <c r="J1275" s="7"/>
      <c r="K1275" s="15"/>
      <c r="L1275" s="379">
        <f>IF(H1275&lt;&gt;"",J1275*K1275,SUMIFS(L1276:L$9844,$F1276:$F$9844,"*"&amp;F1275&amp;"*",$H1276:$H$9844,"&lt;&gt;"))</f>
        <v>0</v>
      </c>
      <c r="M1275" s="379" t="str">
        <f>IF(Tabela2[[#This Row],[UNID.]]&lt;&gt;"",IFERROR(VLOOKUP(Tabela2[[#This Row],[AGRUPADOR]],Lucratividade!$D$4:$O$129,6,0),0),"")</f>
        <v/>
      </c>
      <c r="N1275" s="379">
        <f>IF(H1275&lt;&gt;"",J1275*M1275*I1275,SUMIFS(N1276:N$9844,$F1276:$F$9844,"*"&amp;F1275&amp;"*",$H1276:$H$9844,"&lt;&gt;"))</f>
        <v>0</v>
      </c>
      <c r="O1275" s="162" t="str">
        <f>IFERROR((-Tabela2[[#This Row],[CUSTO TOTAL]]+Tabela2[[#This Row],[VENDA TOTAL]])/Tabela2[[#This Row],[VENDA TOTAL]]-PARAMETROS!$C$19,"")</f>
        <v/>
      </c>
      <c r="AA1275" s="219">
        <f>SUM(Plan_Orc[[#This Row],[01/jan]:[01/dez]])</f>
        <v>0</v>
      </c>
      <c r="AB1275" s="15"/>
      <c r="AC1275" s="15"/>
      <c r="AD1275" s="15"/>
      <c r="AE1275" s="15"/>
      <c r="AF1275" s="15"/>
      <c r="AG1275" s="15"/>
      <c r="AH1275" s="15"/>
      <c r="AI1275" s="15"/>
      <c r="AJ1275" s="15"/>
      <c r="AK1275" s="15"/>
      <c r="AL1275" s="15"/>
      <c r="AM1275" s="15"/>
    </row>
    <row r="1276" spans="2:39" ht="25.2" customHeight="1" x14ac:dyDescent="0.3">
      <c r="B1276" s="13" t="str">
        <f t="shared" si="23"/>
        <v/>
      </c>
      <c r="C1276" s="18"/>
      <c r="D1276" s="19" t="str">
        <f>IF(Tabela2[[#This Row],[AGRUPADOR]]&lt;&gt;"",VLOOKUP(Tabela2[[#This Row],[AGRUPADOR]],Tabela1[],2,0),"")</f>
        <v/>
      </c>
      <c r="E1276" s="19" t="str">
        <f>IF(Tabela2[[#This Row],[AGRUPADOR]]&lt;&gt;"",VLOOKUP(Tabela2[[#This Row],[AGRUPADOR]],Tabela1[],4,0),"")</f>
        <v/>
      </c>
      <c r="F1276" s="14"/>
      <c r="G1276" s="6"/>
      <c r="H1276" s="6"/>
      <c r="I1276" s="25"/>
      <c r="J1276" s="7"/>
      <c r="K1276" s="15"/>
      <c r="L1276" s="379">
        <f>IF(H1276&lt;&gt;"",J1276*K1276,SUMIFS(L1277:L$9844,$F1277:$F$9844,"*"&amp;F1276&amp;"*",$H1277:$H$9844,"&lt;&gt;"))</f>
        <v>0</v>
      </c>
      <c r="M1276" s="379" t="str">
        <f>IF(Tabela2[[#This Row],[UNID.]]&lt;&gt;"",IFERROR(VLOOKUP(Tabela2[[#This Row],[AGRUPADOR]],Lucratividade!$D$4:$O$129,6,0),0),"")</f>
        <v/>
      </c>
      <c r="N1276" s="379">
        <f>IF(H1276&lt;&gt;"",J1276*M1276*I1276,SUMIFS(N1277:N$9844,$F1277:$F$9844,"*"&amp;F1276&amp;"*",$H1277:$H$9844,"&lt;&gt;"))</f>
        <v>0</v>
      </c>
      <c r="O1276" s="162" t="str">
        <f>IFERROR((-Tabela2[[#This Row],[CUSTO TOTAL]]+Tabela2[[#This Row],[VENDA TOTAL]])/Tabela2[[#This Row],[VENDA TOTAL]]-PARAMETROS!$C$19,"")</f>
        <v/>
      </c>
      <c r="AA1276" s="219">
        <f>SUM(Plan_Orc[[#This Row],[01/jan]:[01/dez]])</f>
        <v>0</v>
      </c>
      <c r="AB1276" s="15"/>
      <c r="AC1276" s="15"/>
      <c r="AD1276" s="15"/>
      <c r="AE1276" s="15"/>
      <c r="AF1276" s="15"/>
      <c r="AG1276" s="15"/>
      <c r="AH1276" s="15"/>
      <c r="AI1276" s="15"/>
      <c r="AJ1276" s="15"/>
      <c r="AK1276" s="15"/>
      <c r="AL1276" s="15"/>
      <c r="AM1276" s="15"/>
    </row>
    <row r="1277" spans="2:39" ht="25.2" customHeight="1" x14ac:dyDescent="0.3">
      <c r="B1277" s="13" t="str">
        <f t="shared" si="23"/>
        <v/>
      </c>
      <c r="C1277" s="18"/>
      <c r="D1277" s="19" t="str">
        <f>IF(Tabela2[[#This Row],[AGRUPADOR]]&lt;&gt;"",VLOOKUP(Tabela2[[#This Row],[AGRUPADOR]],Tabela1[],2,0),"")</f>
        <v/>
      </c>
      <c r="E1277" s="19" t="str">
        <f>IF(Tabela2[[#This Row],[AGRUPADOR]]&lt;&gt;"",VLOOKUP(Tabela2[[#This Row],[AGRUPADOR]],Tabela1[],4,0),"")</f>
        <v/>
      </c>
      <c r="F1277" s="14"/>
      <c r="G1277" s="6"/>
      <c r="H1277" s="6"/>
      <c r="I1277" s="25"/>
      <c r="J1277" s="7"/>
      <c r="K1277" s="15"/>
      <c r="L1277" s="379">
        <f>IF(H1277&lt;&gt;"",J1277*K1277,SUMIFS(L1278:L$9844,$F1278:$F$9844,"*"&amp;F1277&amp;"*",$H1278:$H$9844,"&lt;&gt;"))</f>
        <v>0</v>
      </c>
      <c r="M1277" s="379" t="str">
        <f>IF(Tabela2[[#This Row],[UNID.]]&lt;&gt;"",IFERROR(VLOOKUP(Tabela2[[#This Row],[AGRUPADOR]],Lucratividade!$D$4:$O$129,6,0),0),"")</f>
        <v/>
      </c>
      <c r="N1277" s="379">
        <f>IF(H1277&lt;&gt;"",J1277*M1277*I1277,SUMIFS(N1278:N$9844,$F1278:$F$9844,"*"&amp;F1277&amp;"*",$H1278:$H$9844,"&lt;&gt;"))</f>
        <v>0</v>
      </c>
      <c r="O1277" s="162" t="str">
        <f>IFERROR((-Tabela2[[#This Row],[CUSTO TOTAL]]+Tabela2[[#This Row],[VENDA TOTAL]])/Tabela2[[#This Row],[VENDA TOTAL]]-PARAMETROS!$C$19,"")</f>
        <v/>
      </c>
      <c r="AA1277" s="219">
        <f>SUM(Plan_Orc[[#This Row],[01/jan]:[01/dez]])</f>
        <v>0</v>
      </c>
      <c r="AB1277" s="15"/>
      <c r="AC1277" s="15"/>
      <c r="AD1277" s="15"/>
      <c r="AE1277" s="15"/>
      <c r="AF1277" s="15"/>
      <c r="AG1277" s="15"/>
      <c r="AH1277" s="15"/>
      <c r="AI1277" s="15"/>
      <c r="AJ1277" s="15"/>
      <c r="AK1277" s="15"/>
      <c r="AL1277" s="15"/>
      <c r="AM1277" s="15"/>
    </row>
    <row r="1278" spans="2:39" ht="25.2" customHeight="1" x14ac:dyDescent="0.3">
      <c r="B1278" s="13" t="str">
        <f t="shared" si="23"/>
        <v/>
      </c>
      <c r="C1278" s="18"/>
      <c r="D1278" s="19" t="str">
        <f>IF(Tabela2[[#This Row],[AGRUPADOR]]&lt;&gt;"",VLOOKUP(Tabela2[[#This Row],[AGRUPADOR]],Tabela1[],2,0),"")</f>
        <v/>
      </c>
      <c r="E1278" s="19" t="str">
        <f>IF(Tabela2[[#This Row],[AGRUPADOR]]&lt;&gt;"",VLOOKUP(Tabela2[[#This Row],[AGRUPADOR]],Tabela1[],4,0),"")</f>
        <v/>
      </c>
      <c r="F1278" s="14"/>
      <c r="G1278" s="6"/>
      <c r="H1278" s="6"/>
      <c r="I1278" s="25"/>
      <c r="J1278" s="7"/>
      <c r="K1278" s="15"/>
      <c r="L1278" s="379">
        <f>IF(H1278&lt;&gt;"",J1278*K1278,SUMIFS(L1279:L$9844,$F1279:$F$9844,"*"&amp;F1278&amp;"*",$H1279:$H$9844,"&lt;&gt;"))</f>
        <v>0</v>
      </c>
      <c r="M1278" s="379" t="str">
        <f>IF(Tabela2[[#This Row],[UNID.]]&lt;&gt;"",IFERROR(VLOOKUP(Tabela2[[#This Row],[AGRUPADOR]],Lucratividade!$D$4:$O$129,6,0),0),"")</f>
        <v/>
      </c>
      <c r="N1278" s="379">
        <f>IF(H1278&lt;&gt;"",J1278*M1278*I1278,SUMIFS(N1279:N$9844,$F1279:$F$9844,"*"&amp;F1278&amp;"*",$H1279:$H$9844,"&lt;&gt;"))</f>
        <v>0</v>
      </c>
      <c r="O1278" s="162" t="str">
        <f>IFERROR((-Tabela2[[#This Row],[CUSTO TOTAL]]+Tabela2[[#This Row],[VENDA TOTAL]])/Tabela2[[#This Row],[VENDA TOTAL]]-PARAMETROS!$C$19,"")</f>
        <v/>
      </c>
      <c r="AA1278" s="219">
        <f>SUM(Plan_Orc[[#This Row],[01/jan]:[01/dez]])</f>
        <v>0</v>
      </c>
      <c r="AB1278" s="15"/>
      <c r="AC1278" s="15"/>
      <c r="AD1278" s="15"/>
      <c r="AE1278" s="15"/>
      <c r="AF1278" s="15"/>
      <c r="AG1278" s="15"/>
      <c r="AH1278" s="15"/>
      <c r="AI1278" s="15"/>
      <c r="AJ1278" s="15"/>
      <c r="AK1278" s="15"/>
      <c r="AL1278" s="15"/>
      <c r="AM1278" s="15"/>
    </row>
    <row r="1279" spans="2:39" ht="25.2" customHeight="1" x14ac:dyDescent="0.3">
      <c r="B1279" s="13" t="str">
        <f t="shared" si="23"/>
        <v/>
      </c>
      <c r="C1279" s="18"/>
      <c r="D1279" s="19" t="str">
        <f>IF(Tabela2[[#This Row],[AGRUPADOR]]&lt;&gt;"",VLOOKUP(Tabela2[[#This Row],[AGRUPADOR]],Tabela1[],2,0),"")</f>
        <v/>
      </c>
      <c r="E1279" s="19" t="str">
        <f>IF(Tabela2[[#This Row],[AGRUPADOR]]&lt;&gt;"",VLOOKUP(Tabela2[[#This Row],[AGRUPADOR]],Tabela1[],4,0),"")</f>
        <v/>
      </c>
      <c r="F1279" s="14"/>
      <c r="G1279" s="6"/>
      <c r="H1279" s="6"/>
      <c r="I1279" s="25"/>
      <c r="J1279" s="7"/>
      <c r="K1279" s="15"/>
      <c r="L1279" s="379">
        <f>IF(H1279&lt;&gt;"",J1279*K1279,SUMIFS(L1280:L$9844,$F1280:$F$9844,"*"&amp;F1279&amp;"*",$H1280:$H$9844,"&lt;&gt;"))</f>
        <v>0</v>
      </c>
      <c r="M1279" s="379" t="str">
        <f>IF(Tabela2[[#This Row],[UNID.]]&lt;&gt;"",IFERROR(VLOOKUP(Tabela2[[#This Row],[AGRUPADOR]],Lucratividade!$D$4:$O$129,6,0),0),"")</f>
        <v/>
      </c>
      <c r="N1279" s="379">
        <f>IF(H1279&lt;&gt;"",J1279*M1279*I1279,SUMIFS(N1280:N$9844,$F1280:$F$9844,"*"&amp;F1279&amp;"*",$H1280:$H$9844,"&lt;&gt;"))</f>
        <v>0</v>
      </c>
      <c r="O1279" s="162" t="str">
        <f>IFERROR((-Tabela2[[#This Row],[CUSTO TOTAL]]+Tabela2[[#This Row],[VENDA TOTAL]])/Tabela2[[#This Row],[VENDA TOTAL]]-PARAMETROS!$C$19,"")</f>
        <v/>
      </c>
      <c r="AA1279" s="219">
        <f>SUM(Plan_Orc[[#This Row],[01/jan]:[01/dez]])</f>
        <v>0</v>
      </c>
      <c r="AB1279" s="15"/>
      <c r="AC1279" s="15"/>
      <c r="AD1279" s="15"/>
      <c r="AE1279" s="15"/>
      <c r="AF1279" s="15"/>
      <c r="AG1279" s="15"/>
      <c r="AH1279" s="15"/>
      <c r="AI1279" s="15"/>
      <c r="AJ1279" s="15"/>
      <c r="AK1279" s="15"/>
      <c r="AL1279" s="15"/>
      <c r="AM1279" s="15"/>
    </row>
    <row r="1280" spans="2:39" ht="25.2" customHeight="1" x14ac:dyDescent="0.3">
      <c r="B1280" s="13" t="str">
        <f t="shared" si="23"/>
        <v/>
      </c>
      <c r="C1280" s="18"/>
      <c r="D1280" s="19" t="str">
        <f>IF(Tabela2[[#This Row],[AGRUPADOR]]&lt;&gt;"",VLOOKUP(Tabela2[[#This Row],[AGRUPADOR]],Tabela1[],2,0),"")</f>
        <v/>
      </c>
      <c r="E1280" s="19" t="str">
        <f>IF(Tabela2[[#This Row],[AGRUPADOR]]&lt;&gt;"",VLOOKUP(Tabela2[[#This Row],[AGRUPADOR]],Tabela1[],4,0),"")</f>
        <v/>
      </c>
      <c r="F1280" s="14"/>
      <c r="G1280" s="6"/>
      <c r="H1280" s="6"/>
      <c r="I1280" s="25"/>
      <c r="J1280" s="7"/>
      <c r="K1280" s="15"/>
      <c r="L1280" s="379">
        <f>IF(H1280&lt;&gt;"",J1280*K1280,SUMIFS(L1281:L$9844,$F1281:$F$9844,"*"&amp;F1280&amp;"*",$H1281:$H$9844,"&lt;&gt;"))</f>
        <v>0</v>
      </c>
      <c r="M1280" s="379" t="str">
        <f>IF(Tabela2[[#This Row],[UNID.]]&lt;&gt;"",IFERROR(VLOOKUP(Tabela2[[#This Row],[AGRUPADOR]],Lucratividade!$D$4:$O$129,6,0),0),"")</f>
        <v/>
      </c>
      <c r="N1280" s="379">
        <f>IF(H1280&lt;&gt;"",J1280*M1280*I1280,SUMIFS(N1281:N$9844,$F1281:$F$9844,"*"&amp;F1280&amp;"*",$H1281:$H$9844,"&lt;&gt;"))</f>
        <v>0</v>
      </c>
      <c r="O1280" s="162" t="str">
        <f>IFERROR((-Tabela2[[#This Row],[CUSTO TOTAL]]+Tabela2[[#This Row],[VENDA TOTAL]])/Tabela2[[#This Row],[VENDA TOTAL]]-PARAMETROS!$C$19,"")</f>
        <v/>
      </c>
      <c r="AA1280" s="218">
        <f>SUM(Plan_Orc[[#This Row],[01/jan]:[01/dez]])</f>
        <v>0</v>
      </c>
      <c r="AB1280" s="12"/>
      <c r="AC1280" s="12"/>
      <c r="AD1280" s="12"/>
      <c r="AE1280" s="12"/>
      <c r="AF1280" s="12"/>
      <c r="AG1280" s="12"/>
      <c r="AH1280" s="12"/>
      <c r="AI1280" s="12"/>
      <c r="AJ1280" s="12"/>
      <c r="AK1280" s="12"/>
      <c r="AL1280" s="12"/>
      <c r="AM1280" s="12"/>
    </row>
    <row r="1281" spans="2:39" ht="25.2" customHeight="1" x14ac:dyDescent="0.3">
      <c r="B1281" s="13" t="str">
        <f t="shared" si="23"/>
        <v/>
      </c>
      <c r="C1281" s="18"/>
      <c r="D1281" s="19" t="str">
        <f>IF(Tabela2[[#This Row],[AGRUPADOR]]&lt;&gt;"",VLOOKUP(Tabela2[[#This Row],[AGRUPADOR]],Tabela1[],2,0),"")</f>
        <v/>
      </c>
      <c r="E1281" s="19" t="str">
        <f>IF(Tabela2[[#This Row],[AGRUPADOR]]&lt;&gt;"",VLOOKUP(Tabela2[[#This Row],[AGRUPADOR]],Tabela1[],4,0),"")</f>
        <v/>
      </c>
      <c r="F1281" s="14"/>
      <c r="G1281" s="6"/>
      <c r="H1281" s="6"/>
      <c r="I1281" s="25"/>
      <c r="J1281" s="7"/>
      <c r="K1281" s="15"/>
      <c r="L1281" s="379">
        <f>IF(H1281&lt;&gt;"",J1281*K1281,SUMIFS(L1282:L$9844,$F1282:$F$9844,"*"&amp;F1281&amp;"*",$H1282:$H$9844,"&lt;&gt;"))</f>
        <v>0</v>
      </c>
      <c r="M1281" s="379" t="str">
        <f>IF(Tabela2[[#This Row],[UNID.]]&lt;&gt;"",IFERROR(VLOOKUP(Tabela2[[#This Row],[AGRUPADOR]],Lucratividade!$D$4:$O$129,6,0),0),"")</f>
        <v/>
      </c>
      <c r="N1281" s="379">
        <f>IF(H1281&lt;&gt;"",J1281*M1281*I1281,SUMIFS(N1282:N$9844,$F1282:$F$9844,"*"&amp;F1281&amp;"*",$H1282:$H$9844,"&lt;&gt;"))</f>
        <v>0</v>
      </c>
      <c r="O1281" s="162" t="str">
        <f>IFERROR((-Tabela2[[#This Row],[CUSTO TOTAL]]+Tabela2[[#This Row],[VENDA TOTAL]])/Tabela2[[#This Row],[VENDA TOTAL]]-PARAMETROS!$C$19,"")</f>
        <v/>
      </c>
      <c r="AA1281" s="219">
        <f>SUM(Plan_Orc[[#This Row],[01/jan]:[01/dez]])</f>
        <v>0</v>
      </c>
      <c r="AB1281" s="15"/>
      <c r="AC1281" s="15"/>
      <c r="AD1281" s="15"/>
      <c r="AE1281" s="15"/>
      <c r="AF1281" s="15"/>
      <c r="AG1281" s="15"/>
      <c r="AH1281" s="15"/>
      <c r="AI1281" s="15"/>
      <c r="AJ1281" s="15"/>
      <c r="AK1281" s="15"/>
      <c r="AL1281" s="15"/>
      <c r="AM1281" s="15"/>
    </row>
    <row r="1282" spans="2:39" ht="25.2" customHeight="1" x14ac:dyDescent="0.3">
      <c r="B1282" s="13" t="str">
        <f t="shared" si="23"/>
        <v/>
      </c>
      <c r="C1282" s="18"/>
      <c r="D1282" s="19" t="str">
        <f>IF(Tabela2[[#This Row],[AGRUPADOR]]&lt;&gt;"",VLOOKUP(Tabela2[[#This Row],[AGRUPADOR]],Tabela1[],2,0),"")</f>
        <v/>
      </c>
      <c r="E1282" s="19" t="str">
        <f>IF(Tabela2[[#This Row],[AGRUPADOR]]&lt;&gt;"",VLOOKUP(Tabela2[[#This Row],[AGRUPADOR]],Tabela1[],4,0),"")</f>
        <v/>
      </c>
      <c r="F1282" s="14"/>
      <c r="G1282" s="6"/>
      <c r="H1282" s="6"/>
      <c r="I1282" s="25"/>
      <c r="J1282" s="7"/>
      <c r="K1282" s="15"/>
      <c r="L1282" s="379">
        <f>IF(H1282&lt;&gt;"",J1282*K1282,SUMIFS(L1283:L$9844,$F1283:$F$9844,"*"&amp;F1282&amp;"*",$H1283:$H$9844,"&lt;&gt;"))</f>
        <v>0</v>
      </c>
      <c r="M1282" s="379" t="str">
        <f>IF(Tabela2[[#This Row],[UNID.]]&lt;&gt;"",IFERROR(VLOOKUP(Tabela2[[#This Row],[AGRUPADOR]],Lucratividade!$D$4:$O$129,6,0),0),"")</f>
        <v/>
      </c>
      <c r="N1282" s="379">
        <f>IF(H1282&lt;&gt;"",J1282*M1282*I1282,SUMIFS(N1283:N$9844,$F1283:$F$9844,"*"&amp;F1282&amp;"*",$H1283:$H$9844,"&lt;&gt;"))</f>
        <v>0</v>
      </c>
      <c r="O1282" s="162" t="str">
        <f>IFERROR((-Tabela2[[#This Row],[CUSTO TOTAL]]+Tabela2[[#This Row],[VENDA TOTAL]])/Tabela2[[#This Row],[VENDA TOTAL]]-PARAMETROS!$C$19,"")</f>
        <v/>
      </c>
      <c r="AA1282" s="219">
        <f>SUM(Plan_Orc[[#This Row],[01/jan]:[01/dez]])</f>
        <v>0</v>
      </c>
      <c r="AB1282" s="15"/>
      <c r="AC1282" s="15"/>
      <c r="AD1282" s="15"/>
      <c r="AE1282" s="15"/>
      <c r="AF1282" s="15"/>
      <c r="AG1282" s="15"/>
      <c r="AH1282" s="15"/>
      <c r="AI1282" s="15"/>
      <c r="AJ1282" s="15"/>
      <c r="AK1282" s="15"/>
      <c r="AL1282" s="15"/>
      <c r="AM1282" s="15"/>
    </row>
    <row r="1283" spans="2:39" ht="25.2" customHeight="1" x14ac:dyDescent="0.3">
      <c r="B1283" s="13" t="str">
        <f t="shared" si="23"/>
        <v/>
      </c>
      <c r="C1283" s="18"/>
      <c r="D1283" s="19" t="str">
        <f>IF(Tabela2[[#This Row],[AGRUPADOR]]&lt;&gt;"",VLOOKUP(Tabela2[[#This Row],[AGRUPADOR]],Tabela1[],2,0),"")</f>
        <v/>
      </c>
      <c r="E1283" s="19" t="str">
        <f>IF(Tabela2[[#This Row],[AGRUPADOR]]&lt;&gt;"",VLOOKUP(Tabela2[[#This Row],[AGRUPADOR]],Tabela1[],4,0),"")</f>
        <v/>
      </c>
      <c r="F1283" s="14"/>
      <c r="G1283" s="6"/>
      <c r="H1283" s="6"/>
      <c r="I1283" s="25"/>
      <c r="J1283" s="7"/>
      <c r="K1283" s="15"/>
      <c r="L1283" s="379">
        <f>IF(H1283&lt;&gt;"",J1283*K1283,SUMIFS(L1284:L$9844,$F1284:$F$9844,"*"&amp;F1283&amp;"*",$H1284:$H$9844,"&lt;&gt;"))</f>
        <v>0</v>
      </c>
      <c r="M1283" s="379" t="str">
        <f>IF(Tabela2[[#This Row],[UNID.]]&lt;&gt;"",IFERROR(VLOOKUP(Tabela2[[#This Row],[AGRUPADOR]],Lucratividade!$D$4:$O$129,6,0),0),"")</f>
        <v/>
      </c>
      <c r="N1283" s="379">
        <f>IF(H1283&lt;&gt;"",J1283*M1283*I1283,SUMIFS(N1284:N$9844,$F1284:$F$9844,"*"&amp;F1283&amp;"*",$H1284:$H$9844,"&lt;&gt;"))</f>
        <v>0</v>
      </c>
      <c r="O1283" s="162" t="str">
        <f>IFERROR((-Tabela2[[#This Row],[CUSTO TOTAL]]+Tabela2[[#This Row],[VENDA TOTAL]])/Tabela2[[#This Row],[VENDA TOTAL]]-PARAMETROS!$C$19,"")</f>
        <v/>
      </c>
      <c r="AA1283" s="219">
        <f>SUM(Plan_Orc[[#This Row],[01/jan]:[01/dez]])</f>
        <v>0</v>
      </c>
      <c r="AB1283" s="15"/>
      <c r="AC1283" s="15"/>
      <c r="AD1283" s="15"/>
      <c r="AE1283" s="15"/>
      <c r="AF1283" s="15"/>
      <c r="AG1283" s="15"/>
      <c r="AH1283" s="15"/>
      <c r="AI1283" s="15"/>
      <c r="AJ1283" s="15"/>
      <c r="AK1283" s="15"/>
      <c r="AL1283" s="15"/>
      <c r="AM1283" s="15"/>
    </row>
    <row r="1284" spans="2:39" ht="25.2" customHeight="1" x14ac:dyDescent="0.3">
      <c r="B1284" s="13" t="str">
        <f t="shared" ref="B1284:B1347" si="24">IF(LEN(F1284)=3,1,"")</f>
        <v/>
      </c>
      <c r="C1284" s="18"/>
      <c r="D1284" s="19" t="str">
        <f>IF(Tabela2[[#This Row],[AGRUPADOR]]&lt;&gt;"",VLOOKUP(Tabela2[[#This Row],[AGRUPADOR]],Tabela1[],2,0),"")</f>
        <v/>
      </c>
      <c r="E1284" s="19" t="str">
        <f>IF(Tabela2[[#This Row],[AGRUPADOR]]&lt;&gt;"",VLOOKUP(Tabela2[[#This Row],[AGRUPADOR]],Tabela1[],4,0),"")</f>
        <v/>
      </c>
      <c r="F1284" s="14"/>
      <c r="G1284" s="6"/>
      <c r="H1284" s="6"/>
      <c r="I1284" s="25"/>
      <c r="J1284" s="7"/>
      <c r="K1284" s="15"/>
      <c r="L1284" s="379">
        <f>IF(H1284&lt;&gt;"",J1284*K1284,SUMIFS(L1285:L$9844,$F1285:$F$9844,"*"&amp;F1284&amp;"*",$H1285:$H$9844,"&lt;&gt;"))</f>
        <v>0</v>
      </c>
      <c r="M1284" s="379" t="str">
        <f>IF(Tabela2[[#This Row],[UNID.]]&lt;&gt;"",IFERROR(VLOOKUP(Tabela2[[#This Row],[AGRUPADOR]],Lucratividade!$D$4:$O$129,6,0),0),"")</f>
        <v/>
      </c>
      <c r="N1284" s="379">
        <f>IF(H1284&lt;&gt;"",J1284*M1284*I1284,SUMIFS(N1285:N$9844,$F1285:$F$9844,"*"&amp;F1284&amp;"*",$H1285:$H$9844,"&lt;&gt;"))</f>
        <v>0</v>
      </c>
      <c r="O1284" s="162" t="str">
        <f>IFERROR((-Tabela2[[#This Row],[CUSTO TOTAL]]+Tabela2[[#This Row],[VENDA TOTAL]])/Tabela2[[#This Row],[VENDA TOTAL]]-PARAMETROS!$C$19,"")</f>
        <v/>
      </c>
      <c r="AA1284" s="219">
        <f>SUM(Plan_Orc[[#This Row],[01/jan]:[01/dez]])</f>
        <v>0</v>
      </c>
      <c r="AB1284" s="15"/>
      <c r="AC1284" s="15"/>
      <c r="AD1284" s="15"/>
      <c r="AE1284" s="15"/>
      <c r="AF1284" s="15"/>
      <c r="AG1284" s="15"/>
      <c r="AH1284" s="15"/>
      <c r="AI1284" s="15"/>
      <c r="AJ1284" s="15"/>
      <c r="AK1284" s="15"/>
      <c r="AL1284" s="15"/>
      <c r="AM1284" s="15"/>
    </row>
    <row r="1285" spans="2:39" ht="25.2" customHeight="1" x14ac:dyDescent="0.3">
      <c r="B1285" s="13" t="str">
        <f t="shared" si="24"/>
        <v/>
      </c>
      <c r="C1285" s="18"/>
      <c r="D1285" s="19" t="str">
        <f>IF(Tabela2[[#This Row],[AGRUPADOR]]&lt;&gt;"",VLOOKUP(Tabela2[[#This Row],[AGRUPADOR]],Tabela1[],2,0),"")</f>
        <v/>
      </c>
      <c r="E1285" s="19" t="str">
        <f>IF(Tabela2[[#This Row],[AGRUPADOR]]&lt;&gt;"",VLOOKUP(Tabela2[[#This Row],[AGRUPADOR]],Tabela1[],4,0),"")</f>
        <v/>
      </c>
      <c r="F1285" s="14"/>
      <c r="G1285" s="6"/>
      <c r="H1285" s="6"/>
      <c r="I1285" s="25"/>
      <c r="J1285" s="7"/>
      <c r="K1285" s="15"/>
      <c r="L1285" s="379">
        <f>IF(H1285&lt;&gt;"",J1285*K1285,SUMIFS(L1286:L$9844,$F1286:$F$9844,"*"&amp;F1285&amp;"*",$H1286:$H$9844,"&lt;&gt;"))</f>
        <v>0</v>
      </c>
      <c r="M1285" s="379" t="str">
        <f>IF(Tabela2[[#This Row],[UNID.]]&lt;&gt;"",IFERROR(VLOOKUP(Tabela2[[#This Row],[AGRUPADOR]],Lucratividade!$D$4:$O$129,6,0),0),"")</f>
        <v/>
      </c>
      <c r="N1285" s="379">
        <f>IF(H1285&lt;&gt;"",J1285*M1285*I1285,SUMIFS(N1286:N$9844,$F1286:$F$9844,"*"&amp;F1285&amp;"*",$H1286:$H$9844,"&lt;&gt;"))</f>
        <v>0</v>
      </c>
      <c r="O1285" s="162" t="str">
        <f>IFERROR((-Tabela2[[#This Row],[CUSTO TOTAL]]+Tabela2[[#This Row],[VENDA TOTAL]])/Tabela2[[#This Row],[VENDA TOTAL]]-PARAMETROS!$C$19,"")</f>
        <v/>
      </c>
      <c r="AA1285" s="219">
        <f>SUM(Plan_Orc[[#This Row],[01/jan]:[01/dez]])</f>
        <v>0</v>
      </c>
      <c r="AB1285" s="15"/>
      <c r="AC1285" s="15"/>
      <c r="AD1285" s="15"/>
      <c r="AE1285" s="15"/>
      <c r="AF1285" s="15"/>
      <c r="AG1285" s="15"/>
      <c r="AH1285" s="15"/>
      <c r="AI1285" s="15"/>
      <c r="AJ1285" s="15"/>
      <c r="AK1285" s="15"/>
      <c r="AL1285" s="15"/>
      <c r="AM1285" s="15"/>
    </row>
    <row r="1286" spans="2:39" ht="25.2" customHeight="1" x14ac:dyDescent="0.3">
      <c r="B1286" s="13" t="str">
        <f t="shared" si="24"/>
        <v/>
      </c>
      <c r="C1286" s="18"/>
      <c r="D1286" s="19" t="str">
        <f>IF(Tabela2[[#This Row],[AGRUPADOR]]&lt;&gt;"",VLOOKUP(Tabela2[[#This Row],[AGRUPADOR]],Tabela1[],2,0),"")</f>
        <v/>
      </c>
      <c r="E1286" s="19" t="str">
        <f>IF(Tabela2[[#This Row],[AGRUPADOR]]&lt;&gt;"",VLOOKUP(Tabela2[[#This Row],[AGRUPADOR]],Tabela1[],4,0),"")</f>
        <v/>
      </c>
      <c r="F1286" s="14"/>
      <c r="G1286" s="6"/>
      <c r="H1286" s="6"/>
      <c r="I1286" s="25"/>
      <c r="J1286" s="7"/>
      <c r="K1286" s="15"/>
      <c r="L1286" s="379">
        <f>IF(H1286&lt;&gt;"",J1286*K1286,SUMIFS(L1287:L$9844,$F1287:$F$9844,"*"&amp;F1286&amp;"*",$H1287:$H$9844,"&lt;&gt;"))</f>
        <v>0</v>
      </c>
      <c r="M1286" s="379" t="str">
        <f>IF(Tabela2[[#This Row],[UNID.]]&lt;&gt;"",IFERROR(VLOOKUP(Tabela2[[#This Row],[AGRUPADOR]],Lucratividade!$D$4:$O$129,6,0),0),"")</f>
        <v/>
      </c>
      <c r="N1286" s="379">
        <f>IF(H1286&lt;&gt;"",J1286*M1286*I1286,SUMIFS(N1287:N$9844,$F1287:$F$9844,"*"&amp;F1286&amp;"*",$H1287:$H$9844,"&lt;&gt;"))</f>
        <v>0</v>
      </c>
      <c r="O1286" s="162" t="str">
        <f>IFERROR((-Tabela2[[#This Row],[CUSTO TOTAL]]+Tabela2[[#This Row],[VENDA TOTAL]])/Tabela2[[#This Row],[VENDA TOTAL]]-PARAMETROS!$C$19,"")</f>
        <v/>
      </c>
      <c r="AA1286" s="219">
        <f>SUM(Plan_Orc[[#This Row],[01/jan]:[01/dez]])</f>
        <v>0</v>
      </c>
      <c r="AB1286" s="15"/>
      <c r="AC1286" s="15"/>
      <c r="AD1286" s="15"/>
      <c r="AE1286" s="15"/>
      <c r="AF1286" s="15"/>
      <c r="AG1286" s="15"/>
      <c r="AH1286" s="15"/>
      <c r="AI1286" s="15"/>
      <c r="AJ1286" s="15"/>
      <c r="AK1286" s="15"/>
      <c r="AL1286" s="15"/>
      <c r="AM1286" s="15"/>
    </row>
    <row r="1287" spans="2:39" ht="25.2" customHeight="1" x14ac:dyDescent="0.3">
      <c r="B1287" s="13" t="str">
        <f t="shared" si="24"/>
        <v/>
      </c>
      <c r="C1287" s="18"/>
      <c r="D1287" s="19" t="str">
        <f>IF(Tabela2[[#This Row],[AGRUPADOR]]&lt;&gt;"",VLOOKUP(Tabela2[[#This Row],[AGRUPADOR]],Tabela1[],2,0),"")</f>
        <v/>
      </c>
      <c r="E1287" s="19" t="str">
        <f>IF(Tabela2[[#This Row],[AGRUPADOR]]&lt;&gt;"",VLOOKUP(Tabela2[[#This Row],[AGRUPADOR]],Tabela1[],4,0),"")</f>
        <v/>
      </c>
      <c r="F1287" s="14"/>
      <c r="G1287" s="6"/>
      <c r="H1287" s="6"/>
      <c r="I1287" s="25"/>
      <c r="J1287" s="7"/>
      <c r="K1287" s="15"/>
      <c r="L1287" s="379">
        <f>IF(H1287&lt;&gt;"",J1287*K1287,SUMIFS(L1288:L$9844,$F1288:$F$9844,"*"&amp;F1287&amp;"*",$H1288:$H$9844,"&lt;&gt;"))</f>
        <v>0</v>
      </c>
      <c r="M1287" s="379" t="str">
        <f>IF(Tabela2[[#This Row],[UNID.]]&lt;&gt;"",IFERROR(VLOOKUP(Tabela2[[#This Row],[AGRUPADOR]],Lucratividade!$D$4:$O$129,6,0),0),"")</f>
        <v/>
      </c>
      <c r="N1287" s="379">
        <f>IF(H1287&lt;&gt;"",J1287*M1287*I1287,SUMIFS(N1288:N$9844,$F1288:$F$9844,"*"&amp;F1287&amp;"*",$H1288:$H$9844,"&lt;&gt;"))</f>
        <v>0</v>
      </c>
      <c r="O1287" s="162" t="str">
        <f>IFERROR((-Tabela2[[#This Row],[CUSTO TOTAL]]+Tabela2[[#This Row],[VENDA TOTAL]])/Tabela2[[#This Row],[VENDA TOTAL]]-PARAMETROS!$C$19,"")</f>
        <v/>
      </c>
      <c r="AA1287" s="219">
        <f>SUM(Plan_Orc[[#This Row],[01/jan]:[01/dez]])</f>
        <v>0</v>
      </c>
      <c r="AB1287" s="15"/>
      <c r="AC1287" s="15"/>
      <c r="AD1287" s="15"/>
      <c r="AE1287" s="15"/>
      <c r="AF1287" s="15"/>
      <c r="AG1287" s="15"/>
      <c r="AH1287" s="15"/>
      <c r="AI1287" s="15"/>
      <c r="AJ1287" s="15"/>
      <c r="AK1287" s="15"/>
      <c r="AL1287" s="15"/>
      <c r="AM1287" s="15"/>
    </row>
    <row r="1288" spans="2:39" ht="25.2" customHeight="1" x14ac:dyDescent="0.3">
      <c r="B1288" s="13" t="str">
        <f t="shared" si="24"/>
        <v/>
      </c>
      <c r="C1288" s="18"/>
      <c r="D1288" s="19" t="str">
        <f>IF(Tabela2[[#This Row],[AGRUPADOR]]&lt;&gt;"",VLOOKUP(Tabela2[[#This Row],[AGRUPADOR]],Tabela1[],2,0),"")</f>
        <v/>
      </c>
      <c r="E1288" s="19" t="str">
        <f>IF(Tabela2[[#This Row],[AGRUPADOR]]&lt;&gt;"",VLOOKUP(Tabela2[[#This Row],[AGRUPADOR]],Tabela1[],4,0),"")</f>
        <v/>
      </c>
      <c r="F1288" s="14"/>
      <c r="G1288" s="6"/>
      <c r="H1288" s="6"/>
      <c r="I1288" s="25"/>
      <c r="J1288" s="7"/>
      <c r="K1288" s="15"/>
      <c r="L1288" s="379">
        <f>IF(H1288&lt;&gt;"",J1288*K1288,SUMIFS(L1289:L$9844,$F1289:$F$9844,"*"&amp;F1288&amp;"*",$H1289:$H$9844,"&lt;&gt;"))</f>
        <v>0</v>
      </c>
      <c r="M1288" s="379" t="str">
        <f>IF(Tabela2[[#This Row],[UNID.]]&lt;&gt;"",IFERROR(VLOOKUP(Tabela2[[#This Row],[AGRUPADOR]],Lucratividade!$D$4:$O$129,6,0),0),"")</f>
        <v/>
      </c>
      <c r="N1288" s="379">
        <f>IF(H1288&lt;&gt;"",J1288*M1288*I1288,SUMIFS(N1289:N$9844,$F1289:$F$9844,"*"&amp;F1288&amp;"*",$H1289:$H$9844,"&lt;&gt;"))</f>
        <v>0</v>
      </c>
      <c r="O1288" s="162" t="str">
        <f>IFERROR((-Tabela2[[#This Row],[CUSTO TOTAL]]+Tabela2[[#This Row],[VENDA TOTAL]])/Tabela2[[#This Row],[VENDA TOTAL]]-PARAMETROS!$C$19,"")</f>
        <v/>
      </c>
      <c r="AA1288" s="219">
        <f>SUM(Plan_Orc[[#This Row],[01/jan]:[01/dez]])</f>
        <v>0</v>
      </c>
      <c r="AB1288" s="15"/>
      <c r="AC1288" s="15"/>
      <c r="AD1288" s="15"/>
      <c r="AE1288" s="15"/>
      <c r="AF1288" s="15"/>
      <c r="AG1288" s="15"/>
      <c r="AH1288" s="15"/>
      <c r="AI1288" s="15"/>
      <c r="AJ1288" s="15"/>
      <c r="AK1288" s="15"/>
      <c r="AL1288" s="15"/>
      <c r="AM1288" s="15"/>
    </row>
    <row r="1289" spans="2:39" ht="25.2" customHeight="1" x14ac:dyDescent="0.3">
      <c r="B1289" s="13" t="str">
        <f t="shared" si="24"/>
        <v/>
      </c>
      <c r="C1289" s="18"/>
      <c r="D1289" s="19" t="str">
        <f>IF(Tabela2[[#This Row],[AGRUPADOR]]&lt;&gt;"",VLOOKUP(Tabela2[[#This Row],[AGRUPADOR]],Tabela1[],2,0),"")</f>
        <v/>
      </c>
      <c r="E1289" s="19" t="str">
        <f>IF(Tabela2[[#This Row],[AGRUPADOR]]&lt;&gt;"",VLOOKUP(Tabela2[[#This Row],[AGRUPADOR]],Tabela1[],4,0),"")</f>
        <v/>
      </c>
      <c r="F1289" s="14"/>
      <c r="G1289" s="6"/>
      <c r="H1289" s="6"/>
      <c r="I1289" s="25"/>
      <c r="J1289" s="7"/>
      <c r="K1289" s="15"/>
      <c r="L1289" s="379">
        <f>IF(H1289&lt;&gt;"",J1289*K1289,SUMIFS(L1290:L$9844,$F1290:$F$9844,"*"&amp;F1289&amp;"*",$H1290:$H$9844,"&lt;&gt;"))</f>
        <v>0</v>
      </c>
      <c r="M1289" s="379" t="str">
        <f>IF(Tabela2[[#This Row],[UNID.]]&lt;&gt;"",IFERROR(VLOOKUP(Tabela2[[#This Row],[AGRUPADOR]],Lucratividade!$D$4:$O$129,6,0),0),"")</f>
        <v/>
      </c>
      <c r="N1289" s="379">
        <f>IF(H1289&lt;&gt;"",J1289*M1289*I1289,SUMIFS(N1290:N$9844,$F1290:$F$9844,"*"&amp;F1289&amp;"*",$H1290:$H$9844,"&lt;&gt;"))</f>
        <v>0</v>
      </c>
      <c r="O1289" s="162" t="str">
        <f>IFERROR((-Tabela2[[#This Row],[CUSTO TOTAL]]+Tabela2[[#This Row],[VENDA TOTAL]])/Tabela2[[#This Row],[VENDA TOTAL]]-PARAMETROS!$C$19,"")</f>
        <v/>
      </c>
      <c r="AA1289" s="219">
        <f>SUM(Plan_Orc[[#This Row],[01/jan]:[01/dez]])</f>
        <v>0</v>
      </c>
      <c r="AB1289" s="15"/>
      <c r="AC1289" s="15"/>
      <c r="AD1289" s="15"/>
      <c r="AE1289" s="15"/>
      <c r="AF1289" s="15"/>
      <c r="AG1289" s="15"/>
      <c r="AH1289" s="15"/>
      <c r="AI1289" s="15"/>
      <c r="AJ1289" s="15"/>
      <c r="AK1289" s="15"/>
      <c r="AL1289" s="15"/>
      <c r="AM1289" s="15"/>
    </row>
    <row r="1290" spans="2:39" ht="25.2" customHeight="1" x14ac:dyDescent="0.3">
      <c r="B1290" s="13" t="str">
        <f t="shared" si="24"/>
        <v/>
      </c>
      <c r="C1290" s="18"/>
      <c r="D1290" s="19" t="str">
        <f>IF(Tabela2[[#This Row],[AGRUPADOR]]&lt;&gt;"",VLOOKUP(Tabela2[[#This Row],[AGRUPADOR]],Tabela1[],2,0),"")</f>
        <v/>
      </c>
      <c r="E1290" s="19" t="str">
        <f>IF(Tabela2[[#This Row],[AGRUPADOR]]&lt;&gt;"",VLOOKUP(Tabela2[[#This Row],[AGRUPADOR]],Tabela1[],4,0),"")</f>
        <v/>
      </c>
      <c r="F1290" s="14"/>
      <c r="G1290" s="6"/>
      <c r="H1290" s="6"/>
      <c r="I1290" s="25"/>
      <c r="J1290" s="7"/>
      <c r="K1290" s="15"/>
      <c r="L1290" s="379">
        <f>IF(H1290&lt;&gt;"",J1290*K1290,SUMIFS(L1291:L$9844,$F1291:$F$9844,"*"&amp;F1290&amp;"*",$H1291:$H$9844,"&lt;&gt;"))</f>
        <v>0</v>
      </c>
      <c r="M1290" s="379" t="str">
        <f>IF(Tabela2[[#This Row],[UNID.]]&lt;&gt;"",IFERROR(VLOOKUP(Tabela2[[#This Row],[AGRUPADOR]],Lucratividade!$D$4:$O$129,6,0),0),"")</f>
        <v/>
      </c>
      <c r="N1290" s="379">
        <f>IF(H1290&lt;&gt;"",J1290*M1290*I1290,SUMIFS(N1291:N$9844,$F1291:$F$9844,"*"&amp;F1290&amp;"*",$H1291:$H$9844,"&lt;&gt;"))</f>
        <v>0</v>
      </c>
      <c r="O1290" s="162" t="str">
        <f>IFERROR((-Tabela2[[#This Row],[CUSTO TOTAL]]+Tabela2[[#This Row],[VENDA TOTAL]])/Tabela2[[#This Row],[VENDA TOTAL]]-PARAMETROS!$C$19,"")</f>
        <v/>
      </c>
      <c r="AA1290" s="224">
        <f>SUM(Plan_Orc[[#This Row],[01/jan]:[01/dez]])</f>
        <v>0</v>
      </c>
      <c r="AB1290" s="203"/>
      <c r="AC1290" s="203"/>
      <c r="AD1290" s="203"/>
      <c r="AE1290" s="203"/>
      <c r="AF1290" s="203"/>
      <c r="AG1290" s="203"/>
      <c r="AH1290" s="203"/>
      <c r="AI1290" s="203"/>
      <c r="AJ1290" s="203"/>
      <c r="AK1290" s="203"/>
      <c r="AL1290" s="203"/>
      <c r="AM1290" s="203"/>
    </row>
    <row r="1291" spans="2:39" ht="25.2" customHeight="1" x14ac:dyDescent="0.3">
      <c r="B1291" s="13" t="str">
        <f t="shared" si="24"/>
        <v/>
      </c>
      <c r="C1291" s="18"/>
      <c r="D1291" s="19" t="str">
        <f>IF(Tabela2[[#This Row],[AGRUPADOR]]&lt;&gt;"",VLOOKUP(Tabela2[[#This Row],[AGRUPADOR]],Tabela1[],2,0),"")</f>
        <v/>
      </c>
      <c r="E1291" s="19" t="str">
        <f>IF(Tabela2[[#This Row],[AGRUPADOR]]&lt;&gt;"",VLOOKUP(Tabela2[[#This Row],[AGRUPADOR]],Tabela1[],4,0),"")</f>
        <v/>
      </c>
      <c r="F1291" s="14"/>
      <c r="G1291" s="6"/>
      <c r="H1291" s="6"/>
      <c r="I1291" s="25"/>
      <c r="J1291" s="7"/>
      <c r="K1291" s="15"/>
      <c r="L1291" s="379">
        <f>IF(H1291&lt;&gt;"",J1291*K1291,SUMIFS(L1292:L$9844,$F1292:$F$9844,"*"&amp;F1291&amp;"*",$H1292:$H$9844,"&lt;&gt;"))</f>
        <v>0</v>
      </c>
      <c r="M1291" s="379" t="str">
        <f>IF(Tabela2[[#This Row],[UNID.]]&lt;&gt;"",IFERROR(VLOOKUP(Tabela2[[#This Row],[AGRUPADOR]],Lucratividade!$D$4:$O$129,6,0),0),"")</f>
        <v/>
      </c>
      <c r="N1291" s="379">
        <f>IF(H1291&lt;&gt;"",J1291*M1291*I1291,SUMIFS(N1292:N$9844,$F1292:$F$9844,"*"&amp;F1291&amp;"*",$H1292:$H$9844,"&lt;&gt;"))</f>
        <v>0</v>
      </c>
      <c r="O1291" s="162" t="str">
        <f>IFERROR((-Tabela2[[#This Row],[CUSTO TOTAL]]+Tabela2[[#This Row],[VENDA TOTAL]])/Tabela2[[#This Row],[VENDA TOTAL]]-PARAMETROS!$C$19,"")</f>
        <v/>
      </c>
      <c r="AA1291" s="218">
        <f>SUM(Plan_Orc[[#This Row],[01/jan]:[01/dez]])</f>
        <v>0</v>
      </c>
      <c r="AB1291" s="12"/>
      <c r="AC1291" s="12"/>
      <c r="AD1291" s="12"/>
      <c r="AE1291" s="12"/>
      <c r="AF1291" s="12"/>
      <c r="AG1291" s="12"/>
      <c r="AH1291" s="12"/>
      <c r="AI1291" s="12"/>
      <c r="AJ1291" s="12"/>
      <c r="AK1291" s="12"/>
      <c r="AL1291" s="12"/>
      <c r="AM1291" s="12"/>
    </row>
    <row r="1292" spans="2:39" ht="25.2" customHeight="1" x14ac:dyDescent="0.3">
      <c r="B1292" s="13" t="str">
        <f t="shared" si="24"/>
        <v/>
      </c>
      <c r="C1292" s="18"/>
      <c r="D1292" s="19" t="str">
        <f>IF(Tabela2[[#This Row],[AGRUPADOR]]&lt;&gt;"",VLOOKUP(Tabela2[[#This Row],[AGRUPADOR]],Tabela1[],2,0),"")</f>
        <v/>
      </c>
      <c r="E1292" s="19" t="str">
        <f>IF(Tabela2[[#This Row],[AGRUPADOR]]&lt;&gt;"",VLOOKUP(Tabela2[[#This Row],[AGRUPADOR]],Tabela1[],4,0),"")</f>
        <v/>
      </c>
      <c r="F1292" s="14"/>
      <c r="G1292" s="6"/>
      <c r="H1292" s="6"/>
      <c r="I1292" s="25"/>
      <c r="J1292" s="7"/>
      <c r="K1292" s="15"/>
      <c r="L1292" s="379">
        <f>IF(H1292&lt;&gt;"",J1292*K1292,SUMIFS(L1293:L$9844,$F1293:$F$9844,"*"&amp;F1292&amp;"*",$H1293:$H$9844,"&lt;&gt;"))</f>
        <v>0</v>
      </c>
      <c r="M1292" s="379" t="str">
        <f>IF(Tabela2[[#This Row],[UNID.]]&lt;&gt;"",IFERROR(VLOOKUP(Tabela2[[#This Row],[AGRUPADOR]],Lucratividade!$D$4:$O$129,6,0),0),"")</f>
        <v/>
      </c>
      <c r="N1292" s="379">
        <f>IF(H1292&lt;&gt;"",J1292*M1292*I1292,SUMIFS(N1293:N$9844,$F1293:$F$9844,"*"&amp;F1292&amp;"*",$H1293:$H$9844,"&lt;&gt;"))</f>
        <v>0</v>
      </c>
      <c r="O1292" s="162" t="str">
        <f>IFERROR((-Tabela2[[#This Row],[CUSTO TOTAL]]+Tabela2[[#This Row],[VENDA TOTAL]])/Tabela2[[#This Row],[VENDA TOTAL]]-PARAMETROS!$C$19,"")</f>
        <v/>
      </c>
      <c r="AA1292" s="219">
        <f>SUM(Plan_Orc[[#This Row],[01/jan]:[01/dez]])</f>
        <v>0</v>
      </c>
      <c r="AB1292" s="15"/>
      <c r="AC1292" s="15"/>
      <c r="AD1292" s="15"/>
      <c r="AE1292" s="15"/>
      <c r="AF1292" s="15"/>
      <c r="AG1292" s="15"/>
      <c r="AH1292" s="15"/>
      <c r="AI1292" s="15"/>
      <c r="AJ1292" s="15"/>
      <c r="AK1292" s="15"/>
      <c r="AL1292" s="15"/>
      <c r="AM1292" s="15"/>
    </row>
    <row r="1293" spans="2:39" ht="25.2" customHeight="1" x14ac:dyDescent="0.3">
      <c r="B1293" s="13" t="str">
        <f t="shared" si="24"/>
        <v/>
      </c>
      <c r="C1293" s="18"/>
      <c r="D1293" s="19" t="str">
        <f>IF(Tabela2[[#This Row],[AGRUPADOR]]&lt;&gt;"",VLOOKUP(Tabela2[[#This Row],[AGRUPADOR]],Tabela1[],2,0),"")</f>
        <v/>
      </c>
      <c r="E1293" s="19" t="str">
        <f>IF(Tabela2[[#This Row],[AGRUPADOR]]&lt;&gt;"",VLOOKUP(Tabela2[[#This Row],[AGRUPADOR]],Tabela1[],4,0),"")</f>
        <v/>
      </c>
      <c r="F1293" s="14"/>
      <c r="G1293" s="6"/>
      <c r="H1293" s="6"/>
      <c r="I1293" s="25"/>
      <c r="J1293" s="7"/>
      <c r="K1293" s="15"/>
      <c r="L1293" s="379">
        <f>IF(H1293&lt;&gt;"",J1293*K1293,SUMIFS(L1294:L$9844,$F1294:$F$9844,"*"&amp;F1293&amp;"*",$H1294:$H$9844,"&lt;&gt;"))</f>
        <v>0</v>
      </c>
      <c r="M1293" s="379" t="str">
        <f>IF(Tabela2[[#This Row],[UNID.]]&lt;&gt;"",IFERROR(VLOOKUP(Tabela2[[#This Row],[AGRUPADOR]],Lucratividade!$D$4:$O$129,6,0),0),"")</f>
        <v/>
      </c>
      <c r="N1293" s="379">
        <f>IF(H1293&lt;&gt;"",J1293*M1293*I1293,SUMIFS(N1294:N$9844,$F1294:$F$9844,"*"&amp;F1293&amp;"*",$H1294:$H$9844,"&lt;&gt;"))</f>
        <v>0</v>
      </c>
      <c r="O1293" s="162" t="str">
        <f>IFERROR((-Tabela2[[#This Row],[CUSTO TOTAL]]+Tabela2[[#This Row],[VENDA TOTAL]])/Tabela2[[#This Row],[VENDA TOTAL]]-PARAMETROS!$C$19,"")</f>
        <v/>
      </c>
      <c r="AA1293" s="219">
        <f>SUM(Plan_Orc[[#This Row],[01/jan]:[01/dez]])</f>
        <v>0</v>
      </c>
      <c r="AB1293" s="15"/>
      <c r="AC1293" s="15"/>
      <c r="AD1293" s="15"/>
      <c r="AE1293" s="15"/>
      <c r="AF1293" s="15"/>
      <c r="AG1293" s="15"/>
      <c r="AH1293" s="15"/>
      <c r="AI1293" s="15"/>
      <c r="AJ1293" s="15"/>
      <c r="AK1293" s="15"/>
      <c r="AL1293" s="15"/>
      <c r="AM1293" s="15"/>
    </row>
    <row r="1294" spans="2:39" ht="25.2" customHeight="1" x14ac:dyDescent="0.3">
      <c r="B1294" s="13" t="str">
        <f t="shared" si="24"/>
        <v/>
      </c>
      <c r="C1294" s="18"/>
      <c r="D1294" s="19" t="str">
        <f>IF(Tabela2[[#This Row],[AGRUPADOR]]&lt;&gt;"",VLOOKUP(Tabela2[[#This Row],[AGRUPADOR]],Tabela1[],2,0),"")</f>
        <v/>
      </c>
      <c r="E1294" s="19" t="str">
        <f>IF(Tabela2[[#This Row],[AGRUPADOR]]&lt;&gt;"",VLOOKUP(Tabela2[[#This Row],[AGRUPADOR]],Tabela1[],4,0),"")</f>
        <v/>
      </c>
      <c r="F1294" s="14"/>
      <c r="G1294" s="6"/>
      <c r="H1294" s="6"/>
      <c r="I1294" s="25"/>
      <c r="J1294" s="7"/>
      <c r="K1294" s="15"/>
      <c r="L1294" s="379">
        <f>IF(H1294&lt;&gt;"",J1294*K1294,SUMIFS(L1295:L$9844,$F1295:$F$9844,"*"&amp;F1294&amp;"*",$H1295:$H$9844,"&lt;&gt;"))</f>
        <v>0</v>
      </c>
      <c r="M1294" s="379" t="str">
        <f>IF(Tabela2[[#This Row],[UNID.]]&lt;&gt;"",IFERROR(VLOOKUP(Tabela2[[#This Row],[AGRUPADOR]],Lucratividade!$D$4:$O$129,6,0),0),"")</f>
        <v/>
      </c>
      <c r="N1294" s="379">
        <f>IF(H1294&lt;&gt;"",J1294*M1294*I1294,SUMIFS(N1295:N$9844,$F1295:$F$9844,"*"&amp;F1294&amp;"*",$H1295:$H$9844,"&lt;&gt;"))</f>
        <v>0</v>
      </c>
      <c r="O1294" s="162" t="str">
        <f>IFERROR((-Tabela2[[#This Row],[CUSTO TOTAL]]+Tabela2[[#This Row],[VENDA TOTAL]])/Tabela2[[#This Row],[VENDA TOTAL]]-PARAMETROS!$C$19,"")</f>
        <v/>
      </c>
      <c r="AA1294" s="219">
        <f>SUM(Plan_Orc[[#This Row],[01/jan]:[01/dez]])</f>
        <v>0</v>
      </c>
      <c r="AB1294" s="15"/>
      <c r="AC1294" s="15"/>
      <c r="AD1294" s="15"/>
      <c r="AE1294" s="15"/>
      <c r="AF1294" s="15"/>
      <c r="AG1294" s="15"/>
      <c r="AH1294" s="15"/>
      <c r="AI1294" s="15"/>
      <c r="AJ1294" s="15"/>
      <c r="AK1294" s="15"/>
      <c r="AL1294" s="15"/>
      <c r="AM1294" s="15"/>
    </row>
    <row r="1295" spans="2:39" ht="25.2" customHeight="1" x14ac:dyDescent="0.3">
      <c r="B1295" s="13" t="str">
        <f t="shared" si="24"/>
        <v/>
      </c>
      <c r="C1295" s="18"/>
      <c r="D1295" s="19" t="str">
        <f>IF(Tabela2[[#This Row],[AGRUPADOR]]&lt;&gt;"",VLOOKUP(Tabela2[[#This Row],[AGRUPADOR]],Tabela1[],2,0),"")</f>
        <v/>
      </c>
      <c r="E1295" s="19" t="str">
        <f>IF(Tabela2[[#This Row],[AGRUPADOR]]&lt;&gt;"",VLOOKUP(Tabela2[[#This Row],[AGRUPADOR]],Tabela1[],4,0),"")</f>
        <v/>
      </c>
      <c r="F1295" s="14"/>
      <c r="G1295" s="6"/>
      <c r="H1295" s="6"/>
      <c r="I1295" s="25"/>
      <c r="J1295" s="7"/>
      <c r="K1295" s="15"/>
      <c r="L1295" s="379">
        <f>IF(H1295&lt;&gt;"",J1295*K1295,SUMIFS(L1296:L$9844,$F1296:$F$9844,"*"&amp;F1295&amp;"*",$H1296:$H$9844,"&lt;&gt;"))</f>
        <v>0</v>
      </c>
      <c r="M1295" s="379" t="str">
        <f>IF(Tabela2[[#This Row],[UNID.]]&lt;&gt;"",IFERROR(VLOOKUP(Tabela2[[#This Row],[AGRUPADOR]],Lucratividade!$D$4:$O$129,6,0),0),"")</f>
        <v/>
      </c>
      <c r="N1295" s="379">
        <f>IF(H1295&lt;&gt;"",J1295*M1295*I1295,SUMIFS(N1296:N$9844,$F1296:$F$9844,"*"&amp;F1295&amp;"*",$H1296:$H$9844,"&lt;&gt;"))</f>
        <v>0</v>
      </c>
      <c r="O1295" s="162" t="str">
        <f>IFERROR((-Tabela2[[#This Row],[CUSTO TOTAL]]+Tabela2[[#This Row],[VENDA TOTAL]])/Tabela2[[#This Row],[VENDA TOTAL]]-PARAMETROS!$C$19,"")</f>
        <v/>
      </c>
      <c r="AA1295" s="219">
        <f>SUM(Plan_Orc[[#This Row],[01/jan]:[01/dez]])</f>
        <v>0</v>
      </c>
      <c r="AB1295" s="15"/>
      <c r="AC1295" s="15"/>
      <c r="AD1295" s="15"/>
      <c r="AE1295" s="15"/>
      <c r="AF1295" s="15"/>
      <c r="AG1295" s="15"/>
      <c r="AH1295" s="15"/>
      <c r="AI1295" s="15"/>
      <c r="AJ1295" s="15"/>
      <c r="AK1295" s="15"/>
      <c r="AL1295" s="15"/>
      <c r="AM1295" s="15"/>
    </row>
    <row r="1296" spans="2:39" ht="25.2" customHeight="1" x14ac:dyDescent="0.3">
      <c r="B1296" s="13" t="str">
        <f t="shared" si="24"/>
        <v/>
      </c>
      <c r="C1296" s="18"/>
      <c r="D1296" s="19" t="str">
        <f>IF(Tabela2[[#This Row],[AGRUPADOR]]&lt;&gt;"",VLOOKUP(Tabela2[[#This Row],[AGRUPADOR]],Tabela1[],2,0),"")</f>
        <v/>
      </c>
      <c r="E1296" s="19" t="str">
        <f>IF(Tabela2[[#This Row],[AGRUPADOR]]&lt;&gt;"",VLOOKUP(Tabela2[[#This Row],[AGRUPADOR]],Tabela1[],4,0),"")</f>
        <v/>
      </c>
      <c r="F1296" s="14"/>
      <c r="G1296" s="6"/>
      <c r="H1296" s="6"/>
      <c r="I1296" s="25"/>
      <c r="J1296" s="7"/>
      <c r="K1296" s="15"/>
      <c r="L1296" s="379">
        <f>IF(H1296&lt;&gt;"",J1296*K1296,SUMIFS(L1297:L$9844,$F1297:$F$9844,"*"&amp;F1296&amp;"*",$H1297:$H$9844,"&lt;&gt;"))</f>
        <v>0</v>
      </c>
      <c r="M1296" s="379" t="str">
        <f>IF(Tabela2[[#This Row],[UNID.]]&lt;&gt;"",IFERROR(VLOOKUP(Tabela2[[#This Row],[AGRUPADOR]],Lucratividade!$D$4:$O$129,6,0),0),"")</f>
        <v/>
      </c>
      <c r="N1296" s="379">
        <f>IF(H1296&lt;&gt;"",J1296*M1296*I1296,SUMIFS(N1297:N$9844,$F1297:$F$9844,"*"&amp;F1296&amp;"*",$H1297:$H$9844,"&lt;&gt;"))</f>
        <v>0</v>
      </c>
      <c r="O1296" s="162" t="str">
        <f>IFERROR((-Tabela2[[#This Row],[CUSTO TOTAL]]+Tabela2[[#This Row],[VENDA TOTAL]])/Tabela2[[#This Row],[VENDA TOTAL]]-PARAMETROS!$C$19,"")</f>
        <v/>
      </c>
      <c r="AA1296" s="219">
        <f>SUM(Plan_Orc[[#This Row],[01/jan]:[01/dez]])</f>
        <v>0</v>
      </c>
      <c r="AB1296" s="15"/>
      <c r="AC1296" s="15"/>
      <c r="AD1296" s="15"/>
      <c r="AE1296" s="15"/>
      <c r="AF1296" s="15"/>
      <c r="AG1296" s="15"/>
      <c r="AH1296" s="15"/>
      <c r="AI1296" s="15"/>
      <c r="AJ1296" s="15"/>
      <c r="AK1296" s="15"/>
      <c r="AL1296" s="15"/>
      <c r="AM1296" s="15"/>
    </row>
    <row r="1297" spans="2:39" ht="25.2" customHeight="1" x14ac:dyDescent="0.3">
      <c r="B1297" s="13" t="str">
        <f t="shared" si="24"/>
        <v/>
      </c>
      <c r="C1297" s="18"/>
      <c r="D1297" s="19" t="str">
        <f>IF(Tabela2[[#This Row],[AGRUPADOR]]&lt;&gt;"",VLOOKUP(Tabela2[[#This Row],[AGRUPADOR]],Tabela1[],2,0),"")</f>
        <v/>
      </c>
      <c r="E1297" s="19" t="str">
        <f>IF(Tabela2[[#This Row],[AGRUPADOR]]&lt;&gt;"",VLOOKUP(Tabela2[[#This Row],[AGRUPADOR]],Tabela1[],4,0),"")</f>
        <v/>
      </c>
      <c r="F1297" s="14"/>
      <c r="G1297" s="6"/>
      <c r="H1297" s="6"/>
      <c r="I1297" s="25"/>
      <c r="J1297" s="7"/>
      <c r="K1297" s="15"/>
      <c r="L1297" s="379">
        <f>IF(H1297&lt;&gt;"",J1297*K1297,SUMIFS(L1298:L$9844,$F1298:$F$9844,"*"&amp;F1297&amp;"*",$H1298:$H$9844,"&lt;&gt;"))</f>
        <v>0</v>
      </c>
      <c r="M1297" s="379" t="str">
        <f>IF(Tabela2[[#This Row],[UNID.]]&lt;&gt;"",IFERROR(VLOOKUP(Tabela2[[#This Row],[AGRUPADOR]],Lucratividade!$D$4:$O$129,6,0),0),"")</f>
        <v/>
      </c>
      <c r="N1297" s="379">
        <f>IF(H1297&lt;&gt;"",J1297*M1297*I1297,SUMIFS(N1298:N$9844,$F1298:$F$9844,"*"&amp;F1297&amp;"*",$H1298:$H$9844,"&lt;&gt;"))</f>
        <v>0</v>
      </c>
      <c r="O1297" s="162" t="str">
        <f>IFERROR((-Tabela2[[#This Row],[CUSTO TOTAL]]+Tabela2[[#This Row],[VENDA TOTAL]])/Tabela2[[#This Row],[VENDA TOTAL]]-PARAMETROS!$C$19,"")</f>
        <v/>
      </c>
      <c r="AA1297" s="219">
        <f>SUM(Plan_Orc[[#This Row],[01/jan]:[01/dez]])</f>
        <v>0</v>
      </c>
      <c r="AB1297" s="15"/>
      <c r="AC1297" s="15"/>
      <c r="AD1297" s="15"/>
      <c r="AE1297" s="15"/>
      <c r="AF1297" s="15"/>
      <c r="AG1297" s="15"/>
      <c r="AH1297" s="15"/>
      <c r="AI1297" s="15"/>
      <c r="AJ1297" s="15"/>
      <c r="AK1297" s="15"/>
      <c r="AL1297" s="15"/>
      <c r="AM1297" s="15"/>
    </row>
    <row r="1298" spans="2:39" ht="25.2" customHeight="1" x14ac:dyDescent="0.3">
      <c r="B1298" s="13" t="str">
        <f t="shared" si="24"/>
        <v/>
      </c>
      <c r="C1298" s="18"/>
      <c r="D1298" s="19" t="str">
        <f>IF(Tabela2[[#This Row],[AGRUPADOR]]&lt;&gt;"",VLOOKUP(Tabela2[[#This Row],[AGRUPADOR]],Tabela1[],2,0),"")</f>
        <v/>
      </c>
      <c r="E1298" s="19" t="str">
        <f>IF(Tabela2[[#This Row],[AGRUPADOR]]&lt;&gt;"",VLOOKUP(Tabela2[[#This Row],[AGRUPADOR]],Tabela1[],4,0),"")</f>
        <v/>
      </c>
      <c r="F1298" s="14"/>
      <c r="G1298" s="6"/>
      <c r="H1298" s="6"/>
      <c r="I1298" s="25"/>
      <c r="J1298" s="7"/>
      <c r="K1298" s="15"/>
      <c r="L1298" s="379">
        <f>IF(H1298&lt;&gt;"",J1298*K1298,SUMIFS(L1299:L$9844,$F1299:$F$9844,"*"&amp;F1298&amp;"*",$H1299:$H$9844,"&lt;&gt;"))</f>
        <v>0</v>
      </c>
      <c r="M1298" s="379" t="str">
        <f>IF(Tabela2[[#This Row],[UNID.]]&lt;&gt;"",IFERROR(VLOOKUP(Tabela2[[#This Row],[AGRUPADOR]],Lucratividade!$D$4:$O$129,6,0),0),"")</f>
        <v/>
      </c>
      <c r="N1298" s="379">
        <f>IF(H1298&lt;&gt;"",J1298*M1298*I1298,SUMIFS(N1299:N$9844,$F1299:$F$9844,"*"&amp;F1298&amp;"*",$H1299:$H$9844,"&lt;&gt;"))</f>
        <v>0</v>
      </c>
      <c r="O1298" s="162" t="str">
        <f>IFERROR((-Tabela2[[#This Row],[CUSTO TOTAL]]+Tabela2[[#This Row],[VENDA TOTAL]])/Tabela2[[#This Row],[VENDA TOTAL]]-PARAMETROS!$C$19,"")</f>
        <v/>
      </c>
      <c r="AA1298" s="219">
        <f>SUM(Plan_Orc[[#This Row],[01/jan]:[01/dez]])</f>
        <v>0</v>
      </c>
      <c r="AB1298" s="15"/>
      <c r="AC1298" s="15"/>
      <c r="AD1298" s="15"/>
      <c r="AE1298" s="15"/>
      <c r="AF1298" s="15"/>
      <c r="AG1298" s="15"/>
      <c r="AH1298" s="15"/>
      <c r="AI1298" s="15"/>
      <c r="AJ1298" s="15"/>
      <c r="AK1298" s="15"/>
      <c r="AL1298" s="15"/>
      <c r="AM1298" s="15"/>
    </row>
    <row r="1299" spans="2:39" ht="25.2" customHeight="1" x14ac:dyDescent="0.3">
      <c r="B1299" s="13" t="str">
        <f t="shared" si="24"/>
        <v/>
      </c>
      <c r="C1299" s="18"/>
      <c r="D1299" s="19" t="str">
        <f>IF(Tabela2[[#This Row],[AGRUPADOR]]&lt;&gt;"",VLOOKUP(Tabela2[[#This Row],[AGRUPADOR]],Tabela1[],2,0),"")</f>
        <v/>
      </c>
      <c r="E1299" s="19" t="str">
        <f>IF(Tabela2[[#This Row],[AGRUPADOR]]&lt;&gt;"",VLOOKUP(Tabela2[[#This Row],[AGRUPADOR]],Tabela1[],4,0),"")</f>
        <v/>
      </c>
      <c r="F1299" s="14"/>
      <c r="G1299" s="6"/>
      <c r="H1299" s="6"/>
      <c r="I1299" s="25"/>
      <c r="J1299" s="7"/>
      <c r="K1299" s="15"/>
      <c r="L1299" s="379">
        <f>IF(H1299&lt;&gt;"",J1299*K1299,SUMIFS(L1300:L$9844,$F1300:$F$9844,"*"&amp;F1299&amp;"*",$H1300:$H$9844,"&lt;&gt;"))</f>
        <v>0</v>
      </c>
      <c r="M1299" s="379" t="str">
        <f>IF(Tabela2[[#This Row],[UNID.]]&lt;&gt;"",IFERROR(VLOOKUP(Tabela2[[#This Row],[AGRUPADOR]],Lucratividade!$D$4:$O$129,6,0),0),"")</f>
        <v/>
      </c>
      <c r="N1299" s="379">
        <f>IF(H1299&lt;&gt;"",J1299*M1299*I1299,SUMIFS(N1300:N$9844,$F1300:$F$9844,"*"&amp;F1299&amp;"*",$H1300:$H$9844,"&lt;&gt;"))</f>
        <v>0</v>
      </c>
      <c r="O1299" s="162" t="str">
        <f>IFERROR((-Tabela2[[#This Row],[CUSTO TOTAL]]+Tabela2[[#This Row],[VENDA TOTAL]])/Tabela2[[#This Row],[VENDA TOTAL]]-PARAMETROS!$C$19,"")</f>
        <v/>
      </c>
      <c r="AA1299" s="219">
        <f>SUM(Plan_Orc[[#This Row],[01/jan]:[01/dez]])</f>
        <v>0</v>
      </c>
      <c r="AB1299" s="15"/>
      <c r="AC1299" s="15"/>
      <c r="AD1299" s="15"/>
      <c r="AE1299" s="15"/>
      <c r="AF1299" s="15"/>
      <c r="AG1299" s="15"/>
      <c r="AH1299" s="15"/>
      <c r="AI1299" s="15"/>
      <c r="AJ1299" s="15"/>
      <c r="AK1299" s="15"/>
      <c r="AL1299" s="15"/>
      <c r="AM1299" s="15"/>
    </row>
    <row r="1300" spans="2:39" ht="25.2" customHeight="1" x14ac:dyDescent="0.3">
      <c r="B1300" s="13" t="str">
        <f t="shared" si="24"/>
        <v/>
      </c>
      <c r="C1300" s="18"/>
      <c r="D1300" s="19" t="str">
        <f>IF(Tabela2[[#This Row],[AGRUPADOR]]&lt;&gt;"",VLOOKUP(Tabela2[[#This Row],[AGRUPADOR]],Tabela1[],2,0),"")</f>
        <v/>
      </c>
      <c r="E1300" s="19" t="str">
        <f>IF(Tabela2[[#This Row],[AGRUPADOR]]&lt;&gt;"",VLOOKUP(Tabela2[[#This Row],[AGRUPADOR]],Tabela1[],4,0),"")</f>
        <v/>
      </c>
      <c r="F1300" s="14"/>
      <c r="G1300" s="6"/>
      <c r="H1300" s="6"/>
      <c r="I1300" s="25"/>
      <c r="J1300" s="7"/>
      <c r="K1300" s="15"/>
      <c r="L1300" s="379">
        <f>IF(H1300&lt;&gt;"",J1300*K1300,SUMIFS(L1301:L$9844,$F1301:$F$9844,"*"&amp;F1300&amp;"*",$H1301:$H$9844,"&lt;&gt;"))</f>
        <v>0</v>
      </c>
      <c r="M1300" s="379" t="str">
        <f>IF(Tabela2[[#This Row],[UNID.]]&lt;&gt;"",IFERROR(VLOOKUP(Tabela2[[#This Row],[AGRUPADOR]],Lucratividade!$D$4:$O$129,6,0),0),"")</f>
        <v/>
      </c>
      <c r="N1300" s="379">
        <f>IF(H1300&lt;&gt;"",J1300*M1300*I1300,SUMIFS(N1301:N$9844,$F1301:$F$9844,"*"&amp;F1300&amp;"*",$H1301:$H$9844,"&lt;&gt;"))</f>
        <v>0</v>
      </c>
      <c r="O1300" s="162" t="str">
        <f>IFERROR((-Tabela2[[#This Row],[CUSTO TOTAL]]+Tabela2[[#This Row],[VENDA TOTAL]])/Tabela2[[#This Row],[VENDA TOTAL]]-PARAMETROS!$C$19,"")</f>
        <v/>
      </c>
      <c r="AA1300" s="219">
        <f>SUM(Plan_Orc[[#This Row],[01/jan]:[01/dez]])</f>
        <v>0</v>
      </c>
      <c r="AB1300" s="15"/>
      <c r="AC1300" s="15"/>
      <c r="AD1300" s="15"/>
      <c r="AE1300" s="15"/>
      <c r="AF1300" s="15"/>
      <c r="AG1300" s="15"/>
      <c r="AH1300" s="15"/>
      <c r="AI1300" s="15"/>
      <c r="AJ1300" s="15"/>
      <c r="AK1300" s="15"/>
      <c r="AL1300" s="15"/>
      <c r="AM1300" s="15"/>
    </row>
    <row r="1301" spans="2:39" ht="25.2" customHeight="1" x14ac:dyDescent="0.3">
      <c r="B1301" s="13" t="str">
        <f t="shared" si="24"/>
        <v/>
      </c>
      <c r="C1301" s="18"/>
      <c r="D1301" s="19" t="str">
        <f>IF(Tabela2[[#This Row],[AGRUPADOR]]&lt;&gt;"",VLOOKUP(Tabela2[[#This Row],[AGRUPADOR]],Tabela1[],2,0),"")</f>
        <v/>
      </c>
      <c r="E1301" s="19" t="str">
        <f>IF(Tabela2[[#This Row],[AGRUPADOR]]&lt;&gt;"",VLOOKUP(Tabela2[[#This Row],[AGRUPADOR]],Tabela1[],4,0),"")</f>
        <v/>
      </c>
      <c r="F1301" s="14"/>
      <c r="G1301" s="6"/>
      <c r="H1301" s="6"/>
      <c r="I1301" s="25"/>
      <c r="J1301" s="7"/>
      <c r="K1301" s="15"/>
      <c r="L1301" s="379">
        <f>IF(H1301&lt;&gt;"",J1301*K1301,SUMIFS(L1302:L$9844,$F1302:$F$9844,"*"&amp;F1301&amp;"*",$H1302:$H$9844,"&lt;&gt;"))</f>
        <v>0</v>
      </c>
      <c r="M1301" s="379" t="str">
        <f>IF(Tabela2[[#This Row],[UNID.]]&lt;&gt;"",IFERROR(VLOOKUP(Tabela2[[#This Row],[AGRUPADOR]],Lucratividade!$D$4:$O$129,6,0),0),"")</f>
        <v/>
      </c>
      <c r="N1301" s="379">
        <f>IF(H1301&lt;&gt;"",J1301*M1301*I1301,SUMIFS(N1302:N$9844,$F1302:$F$9844,"*"&amp;F1301&amp;"*",$H1302:$H$9844,"&lt;&gt;"))</f>
        <v>0</v>
      </c>
      <c r="O1301" s="162" t="str">
        <f>IFERROR((-Tabela2[[#This Row],[CUSTO TOTAL]]+Tabela2[[#This Row],[VENDA TOTAL]])/Tabela2[[#This Row],[VENDA TOTAL]]-PARAMETROS!$C$19,"")</f>
        <v/>
      </c>
      <c r="AA1301" s="219">
        <f>SUM(Plan_Orc[[#This Row],[01/jan]:[01/dez]])</f>
        <v>0</v>
      </c>
      <c r="AB1301" s="15"/>
      <c r="AC1301" s="15"/>
      <c r="AD1301" s="15"/>
      <c r="AE1301" s="15"/>
      <c r="AF1301" s="15"/>
      <c r="AG1301" s="15"/>
      <c r="AH1301" s="15"/>
      <c r="AI1301" s="15"/>
      <c r="AJ1301" s="15"/>
      <c r="AK1301" s="15"/>
      <c r="AL1301" s="15"/>
      <c r="AM1301" s="15"/>
    </row>
    <row r="1302" spans="2:39" ht="25.2" customHeight="1" x14ac:dyDescent="0.3">
      <c r="B1302" s="13" t="str">
        <f t="shared" si="24"/>
        <v/>
      </c>
      <c r="C1302" s="18"/>
      <c r="D1302" s="19" t="str">
        <f>IF(Tabela2[[#This Row],[AGRUPADOR]]&lt;&gt;"",VLOOKUP(Tabela2[[#This Row],[AGRUPADOR]],Tabela1[],2,0),"")</f>
        <v/>
      </c>
      <c r="E1302" s="19" t="str">
        <f>IF(Tabela2[[#This Row],[AGRUPADOR]]&lt;&gt;"",VLOOKUP(Tabela2[[#This Row],[AGRUPADOR]],Tabela1[],4,0),"")</f>
        <v/>
      </c>
      <c r="F1302" s="14"/>
      <c r="G1302" s="6"/>
      <c r="H1302" s="6"/>
      <c r="I1302" s="25"/>
      <c r="J1302" s="7"/>
      <c r="K1302" s="15"/>
      <c r="L1302" s="379">
        <f>IF(H1302&lt;&gt;"",J1302*K1302,SUMIFS(L1303:L$9844,$F1303:$F$9844,"*"&amp;F1302&amp;"*",$H1303:$H$9844,"&lt;&gt;"))</f>
        <v>0</v>
      </c>
      <c r="M1302" s="379" t="str">
        <f>IF(Tabela2[[#This Row],[UNID.]]&lt;&gt;"",IFERROR(VLOOKUP(Tabela2[[#This Row],[AGRUPADOR]],Lucratividade!$D$4:$O$129,6,0),0),"")</f>
        <v/>
      </c>
      <c r="N1302" s="379">
        <f>IF(H1302&lt;&gt;"",J1302*M1302*I1302,SUMIFS(N1303:N$9844,$F1303:$F$9844,"*"&amp;F1302&amp;"*",$H1303:$H$9844,"&lt;&gt;"))</f>
        <v>0</v>
      </c>
      <c r="O1302" s="162" t="str">
        <f>IFERROR((-Tabela2[[#This Row],[CUSTO TOTAL]]+Tabela2[[#This Row],[VENDA TOTAL]])/Tabela2[[#This Row],[VENDA TOTAL]]-PARAMETROS!$C$19,"")</f>
        <v/>
      </c>
      <c r="AA1302" s="219">
        <f>SUM(Plan_Orc[[#This Row],[01/jan]:[01/dez]])</f>
        <v>0</v>
      </c>
      <c r="AB1302" s="15"/>
      <c r="AC1302" s="15"/>
      <c r="AD1302" s="15"/>
      <c r="AE1302" s="15"/>
      <c r="AF1302" s="15"/>
      <c r="AG1302" s="15"/>
      <c r="AH1302" s="15"/>
      <c r="AI1302" s="15"/>
      <c r="AJ1302" s="15"/>
      <c r="AK1302" s="15"/>
      <c r="AL1302" s="15"/>
      <c r="AM1302" s="15"/>
    </row>
    <row r="1303" spans="2:39" ht="25.2" customHeight="1" x14ac:dyDescent="0.3">
      <c r="B1303" s="13" t="str">
        <f t="shared" si="24"/>
        <v/>
      </c>
      <c r="C1303" s="18"/>
      <c r="D1303" s="19" t="str">
        <f>IF(Tabela2[[#This Row],[AGRUPADOR]]&lt;&gt;"",VLOOKUP(Tabela2[[#This Row],[AGRUPADOR]],Tabela1[],2,0),"")</f>
        <v/>
      </c>
      <c r="E1303" s="19" t="str">
        <f>IF(Tabela2[[#This Row],[AGRUPADOR]]&lt;&gt;"",VLOOKUP(Tabela2[[#This Row],[AGRUPADOR]],Tabela1[],4,0),"")</f>
        <v/>
      </c>
      <c r="F1303" s="14"/>
      <c r="G1303" s="6"/>
      <c r="H1303" s="6"/>
      <c r="I1303" s="25"/>
      <c r="J1303" s="7"/>
      <c r="K1303" s="15"/>
      <c r="L1303" s="379">
        <f>IF(H1303&lt;&gt;"",J1303*K1303,SUMIFS(L1304:L$9844,$F1304:$F$9844,"*"&amp;F1303&amp;"*",$H1304:$H$9844,"&lt;&gt;"))</f>
        <v>0</v>
      </c>
      <c r="M1303" s="379" t="str">
        <f>IF(Tabela2[[#This Row],[UNID.]]&lt;&gt;"",IFERROR(VLOOKUP(Tabela2[[#This Row],[AGRUPADOR]],Lucratividade!$D$4:$O$129,6,0),0),"")</f>
        <v/>
      </c>
      <c r="N1303" s="379">
        <f>IF(H1303&lt;&gt;"",J1303*M1303*I1303,SUMIFS(N1304:N$9844,$F1304:$F$9844,"*"&amp;F1303&amp;"*",$H1304:$H$9844,"&lt;&gt;"))</f>
        <v>0</v>
      </c>
      <c r="O1303" s="162" t="str">
        <f>IFERROR((-Tabela2[[#This Row],[CUSTO TOTAL]]+Tabela2[[#This Row],[VENDA TOTAL]])/Tabela2[[#This Row],[VENDA TOTAL]]-PARAMETROS!$C$19,"")</f>
        <v/>
      </c>
      <c r="AA1303" s="218">
        <f>SUM(Plan_Orc[[#This Row],[01/jan]:[01/dez]])</f>
        <v>0</v>
      </c>
      <c r="AB1303" s="12"/>
      <c r="AC1303" s="12"/>
      <c r="AD1303" s="12"/>
      <c r="AE1303" s="12"/>
      <c r="AF1303" s="12"/>
      <c r="AG1303" s="12"/>
      <c r="AH1303" s="12"/>
      <c r="AI1303" s="12"/>
      <c r="AJ1303" s="12"/>
      <c r="AK1303" s="12"/>
      <c r="AL1303" s="12"/>
      <c r="AM1303" s="12"/>
    </row>
    <row r="1304" spans="2:39" ht="25.2" customHeight="1" x14ac:dyDescent="0.3">
      <c r="B1304" s="13" t="str">
        <f t="shared" si="24"/>
        <v/>
      </c>
      <c r="C1304" s="18"/>
      <c r="D1304" s="19" t="str">
        <f>IF(Tabela2[[#This Row],[AGRUPADOR]]&lt;&gt;"",VLOOKUP(Tabela2[[#This Row],[AGRUPADOR]],Tabela1[],2,0),"")</f>
        <v/>
      </c>
      <c r="E1304" s="19" t="str">
        <f>IF(Tabela2[[#This Row],[AGRUPADOR]]&lt;&gt;"",VLOOKUP(Tabela2[[#This Row],[AGRUPADOR]],Tabela1[],4,0),"")</f>
        <v/>
      </c>
      <c r="F1304" s="14"/>
      <c r="G1304" s="6"/>
      <c r="H1304" s="6"/>
      <c r="I1304" s="25"/>
      <c r="J1304" s="7"/>
      <c r="K1304" s="15"/>
      <c r="L1304" s="379">
        <f>IF(H1304&lt;&gt;"",J1304*K1304,SUMIFS(L1305:L$9844,$F1305:$F$9844,"*"&amp;F1304&amp;"*",$H1305:$H$9844,"&lt;&gt;"))</f>
        <v>0</v>
      </c>
      <c r="M1304" s="379" t="str">
        <f>IF(Tabela2[[#This Row],[UNID.]]&lt;&gt;"",IFERROR(VLOOKUP(Tabela2[[#This Row],[AGRUPADOR]],Lucratividade!$D$4:$O$129,6,0),0),"")</f>
        <v/>
      </c>
      <c r="N1304" s="379">
        <f>IF(H1304&lt;&gt;"",J1304*M1304*I1304,SUMIFS(N1305:N$9844,$F1305:$F$9844,"*"&amp;F1304&amp;"*",$H1305:$H$9844,"&lt;&gt;"))</f>
        <v>0</v>
      </c>
      <c r="O1304" s="162" t="str">
        <f>IFERROR((-Tabela2[[#This Row],[CUSTO TOTAL]]+Tabela2[[#This Row],[VENDA TOTAL]])/Tabela2[[#This Row],[VENDA TOTAL]]-PARAMETROS!$C$19,"")</f>
        <v/>
      </c>
      <c r="AA1304" s="219">
        <f>SUM(Plan_Orc[[#This Row],[01/jan]:[01/dez]])</f>
        <v>0</v>
      </c>
      <c r="AB1304" s="15"/>
      <c r="AC1304" s="15"/>
      <c r="AD1304" s="15"/>
      <c r="AE1304" s="15"/>
      <c r="AF1304" s="15"/>
      <c r="AG1304" s="15"/>
      <c r="AH1304" s="15"/>
      <c r="AI1304" s="15"/>
      <c r="AJ1304" s="15"/>
      <c r="AK1304" s="15"/>
      <c r="AL1304" s="15"/>
      <c r="AM1304" s="15"/>
    </row>
    <row r="1305" spans="2:39" ht="25.2" customHeight="1" x14ac:dyDescent="0.3">
      <c r="B1305" s="13" t="str">
        <f t="shared" si="24"/>
        <v/>
      </c>
      <c r="C1305" s="18"/>
      <c r="D1305" s="19" t="str">
        <f>IF(Tabela2[[#This Row],[AGRUPADOR]]&lt;&gt;"",VLOOKUP(Tabela2[[#This Row],[AGRUPADOR]],Tabela1[],2,0),"")</f>
        <v/>
      </c>
      <c r="E1305" s="19" t="str">
        <f>IF(Tabela2[[#This Row],[AGRUPADOR]]&lt;&gt;"",VLOOKUP(Tabela2[[#This Row],[AGRUPADOR]],Tabela1[],4,0),"")</f>
        <v/>
      </c>
      <c r="F1305" s="14"/>
      <c r="G1305" s="6"/>
      <c r="H1305" s="6"/>
      <c r="I1305" s="25"/>
      <c r="J1305" s="7"/>
      <c r="K1305" s="15"/>
      <c r="L1305" s="379">
        <f>IF(H1305&lt;&gt;"",J1305*K1305,SUMIFS(L1306:L$9844,$F1306:$F$9844,"*"&amp;F1305&amp;"*",$H1306:$H$9844,"&lt;&gt;"))</f>
        <v>0</v>
      </c>
      <c r="M1305" s="379" t="str">
        <f>IF(Tabela2[[#This Row],[UNID.]]&lt;&gt;"",IFERROR(VLOOKUP(Tabela2[[#This Row],[AGRUPADOR]],Lucratividade!$D$4:$O$129,6,0),0),"")</f>
        <v/>
      </c>
      <c r="N1305" s="379">
        <f>IF(H1305&lt;&gt;"",J1305*M1305*I1305,SUMIFS(N1306:N$9844,$F1306:$F$9844,"*"&amp;F1305&amp;"*",$H1306:$H$9844,"&lt;&gt;"))</f>
        <v>0</v>
      </c>
      <c r="O1305" s="162" t="str">
        <f>IFERROR((-Tabela2[[#This Row],[CUSTO TOTAL]]+Tabela2[[#This Row],[VENDA TOTAL]])/Tabela2[[#This Row],[VENDA TOTAL]]-PARAMETROS!$C$19,"")</f>
        <v/>
      </c>
      <c r="AA1305" s="219">
        <f>SUM(Plan_Orc[[#This Row],[01/jan]:[01/dez]])</f>
        <v>0</v>
      </c>
      <c r="AB1305" s="15"/>
      <c r="AC1305" s="15"/>
      <c r="AD1305" s="15"/>
      <c r="AE1305" s="15"/>
      <c r="AF1305" s="15"/>
      <c r="AG1305" s="15"/>
      <c r="AH1305" s="15"/>
      <c r="AI1305" s="15"/>
      <c r="AJ1305" s="15"/>
      <c r="AK1305" s="15"/>
      <c r="AL1305" s="15"/>
      <c r="AM1305" s="15"/>
    </row>
    <row r="1306" spans="2:39" ht="25.2" customHeight="1" x14ac:dyDescent="0.3">
      <c r="B1306" s="13" t="str">
        <f t="shared" si="24"/>
        <v/>
      </c>
      <c r="C1306" s="18"/>
      <c r="D1306" s="19" t="str">
        <f>IF(Tabela2[[#This Row],[AGRUPADOR]]&lt;&gt;"",VLOOKUP(Tabela2[[#This Row],[AGRUPADOR]],Tabela1[],2,0),"")</f>
        <v/>
      </c>
      <c r="E1306" s="19" t="str">
        <f>IF(Tabela2[[#This Row],[AGRUPADOR]]&lt;&gt;"",VLOOKUP(Tabela2[[#This Row],[AGRUPADOR]],Tabela1[],4,0),"")</f>
        <v/>
      </c>
      <c r="F1306" s="14"/>
      <c r="G1306" s="6"/>
      <c r="H1306" s="6"/>
      <c r="I1306" s="25"/>
      <c r="J1306" s="7"/>
      <c r="K1306" s="15"/>
      <c r="L1306" s="379">
        <f>IF(H1306&lt;&gt;"",J1306*K1306,SUMIFS(L1307:L$9844,$F1307:$F$9844,"*"&amp;F1306&amp;"*",$H1307:$H$9844,"&lt;&gt;"))</f>
        <v>0</v>
      </c>
      <c r="M1306" s="379" t="str">
        <f>IF(Tabela2[[#This Row],[UNID.]]&lt;&gt;"",IFERROR(VLOOKUP(Tabela2[[#This Row],[AGRUPADOR]],Lucratividade!$D$4:$O$129,6,0),0),"")</f>
        <v/>
      </c>
      <c r="N1306" s="379">
        <f>IF(H1306&lt;&gt;"",J1306*M1306*I1306,SUMIFS(N1307:N$9844,$F1307:$F$9844,"*"&amp;F1306&amp;"*",$H1307:$H$9844,"&lt;&gt;"))</f>
        <v>0</v>
      </c>
      <c r="O1306" s="162" t="str">
        <f>IFERROR((-Tabela2[[#This Row],[CUSTO TOTAL]]+Tabela2[[#This Row],[VENDA TOTAL]])/Tabela2[[#This Row],[VENDA TOTAL]]-PARAMETROS!$C$19,"")</f>
        <v/>
      </c>
      <c r="AA1306" s="219">
        <f>SUM(Plan_Orc[[#This Row],[01/jan]:[01/dez]])</f>
        <v>0</v>
      </c>
      <c r="AB1306" s="15"/>
      <c r="AC1306" s="15"/>
      <c r="AD1306" s="15"/>
      <c r="AE1306" s="15"/>
      <c r="AF1306" s="15"/>
      <c r="AG1306" s="15"/>
      <c r="AH1306" s="15"/>
      <c r="AI1306" s="15"/>
      <c r="AJ1306" s="15"/>
      <c r="AK1306" s="15"/>
      <c r="AL1306" s="15"/>
      <c r="AM1306" s="15"/>
    </row>
    <row r="1307" spans="2:39" ht="25.2" customHeight="1" x14ac:dyDescent="0.3">
      <c r="B1307" s="13" t="str">
        <f t="shared" si="24"/>
        <v/>
      </c>
      <c r="C1307" s="18"/>
      <c r="D1307" s="19" t="str">
        <f>IF(Tabela2[[#This Row],[AGRUPADOR]]&lt;&gt;"",VLOOKUP(Tabela2[[#This Row],[AGRUPADOR]],Tabela1[],2,0),"")</f>
        <v/>
      </c>
      <c r="E1307" s="19" t="str">
        <f>IF(Tabela2[[#This Row],[AGRUPADOR]]&lt;&gt;"",VLOOKUP(Tabela2[[#This Row],[AGRUPADOR]],Tabela1[],4,0),"")</f>
        <v/>
      </c>
      <c r="F1307" s="14"/>
      <c r="G1307" s="6"/>
      <c r="H1307" s="6"/>
      <c r="I1307" s="25"/>
      <c r="J1307" s="7"/>
      <c r="K1307" s="15"/>
      <c r="L1307" s="379">
        <f>IF(H1307&lt;&gt;"",J1307*K1307,SUMIFS(L1308:L$9844,$F1308:$F$9844,"*"&amp;F1307&amp;"*",$H1308:$H$9844,"&lt;&gt;"))</f>
        <v>0</v>
      </c>
      <c r="M1307" s="379" t="str">
        <f>IF(Tabela2[[#This Row],[UNID.]]&lt;&gt;"",IFERROR(VLOOKUP(Tabela2[[#This Row],[AGRUPADOR]],Lucratividade!$D$4:$O$129,6,0),0),"")</f>
        <v/>
      </c>
      <c r="N1307" s="379">
        <f>IF(H1307&lt;&gt;"",J1307*M1307*I1307,SUMIFS(N1308:N$9844,$F1308:$F$9844,"*"&amp;F1307&amp;"*",$H1308:$H$9844,"&lt;&gt;"))</f>
        <v>0</v>
      </c>
      <c r="O1307" s="162" t="str">
        <f>IFERROR((-Tabela2[[#This Row],[CUSTO TOTAL]]+Tabela2[[#This Row],[VENDA TOTAL]])/Tabela2[[#This Row],[VENDA TOTAL]]-PARAMETROS!$C$19,"")</f>
        <v/>
      </c>
      <c r="AA1307" s="219">
        <f>SUM(Plan_Orc[[#This Row],[01/jan]:[01/dez]])</f>
        <v>0</v>
      </c>
      <c r="AB1307" s="15"/>
      <c r="AC1307" s="15"/>
      <c r="AD1307" s="15"/>
      <c r="AE1307" s="15"/>
      <c r="AF1307" s="15"/>
      <c r="AG1307" s="15"/>
      <c r="AH1307" s="15"/>
      <c r="AI1307" s="15"/>
      <c r="AJ1307" s="15"/>
      <c r="AK1307" s="15"/>
      <c r="AL1307" s="15"/>
      <c r="AM1307" s="15"/>
    </row>
    <row r="1308" spans="2:39" ht="25.2" customHeight="1" x14ac:dyDescent="0.3">
      <c r="B1308" s="13" t="str">
        <f t="shared" si="24"/>
        <v/>
      </c>
      <c r="C1308" s="18"/>
      <c r="D1308" s="19" t="str">
        <f>IF(Tabela2[[#This Row],[AGRUPADOR]]&lt;&gt;"",VLOOKUP(Tabela2[[#This Row],[AGRUPADOR]],Tabela1[],2,0),"")</f>
        <v/>
      </c>
      <c r="E1308" s="19" t="str">
        <f>IF(Tabela2[[#This Row],[AGRUPADOR]]&lt;&gt;"",VLOOKUP(Tabela2[[#This Row],[AGRUPADOR]],Tabela1[],4,0),"")</f>
        <v/>
      </c>
      <c r="F1308" s="14"/>
      <c r="G1308" s="6"/>
      <c r="H1308" s="6"/>
      <c r="I1308" s="25"/>
      <c r="J1308" s="7"/>
      <c r="K1308" s="15"/>
      <c r="L1308" s="379">
        <f>IF(H1308&lt;&gt;"",J1308*K1308,SUMIFS(L1309:L$9844,$F1309:$F$9844,"*"&amp;F1308&amp;"*",$H1309:$H$9844,"&lt;&gt;"))</f>
        <v>0</v>
      </c>
      <c r="M1308" s="379" t="str">
        <f>IF(Tabela2[[#This Row],[UNID.]]&lt;&gt;"",IFERROR(VLOOKUP(Tabela2[[#This Row],[AGRUPADOR]],Lucratividade!$D$4:$O$129,6,0),0),"")</f>
        <v/>
      </c>
      <c r="N1308" s="379">
        <f>IF(H1308&lt;&gt;"",J1308*M1308*I1308,SUMIFS(N1309:N$9844,$F1309:$F$9844,"*"&amp;F1308&amp;"*",$H1309:$H$9844,"&lt;&gt;"))</f>
        <v>0</v>
      </c>
      <c r="O1308" s="162" t="str">
        <f>IFERROR((-Tabela2[[#This Row],[CUSTO TOTAL]]+Tabela2[[#This Row],[VENDA TOTAL]])/Tabela2[[#This Row],[VENDA TOTAL]]-PARAMETROS!$C$19,"")</f>
        <v/>
      </c>
      <c r="AA1308" s="219">
        <f>SUM(Plan_Orc[[#This Row],[01/jan]:[01/dez]])</f>
        <v>0</v>
      </c>
      <c r="AB1308" s="15"/>
      <c r="AC1308" s="15"/>
      <c r="AD1308" s="15"/>
      <c r="AE1308" s="15"/>
      <c r="AF1308" s="15"/>
      <c r="AG1308" s="15"/>
      <c r="AH1308" s="15"/>
      <c r="AI1308" s="15"/>
      <c r="AJ1308" s="15"/>
      <c r="AK1308" s="15"/>
      <c r="AL1308" s="15"/>
      <c r="AM1308" s="15"/>
    </row>
    <row r="1309" spans="2:39" ht="25.2" customHeight="1" x14ac:dyDescent="0.3">
      <c r="B1309" s="13" t="str">
        <f t="shared" si="24"/>
        <v/>
      </c>
      <c r="C1309" s="18"/>
      <c r="D1309" s="19" t="str">
        <f>IF(Tabela2[[#This Row],[AGRUPADOR]]&lt;&gt;"",VLOOKUP(Tabela2[[#This Row],[AGRUPADOR]],Tabela1[],2,0),"")</f>
        <v/>
      </c>
      <c r="E1309" s="19" t="str">
        <f>IF(Tabela2[[#This Row],[AGRUPADOR]]&lt;&gt;"",VLOOKUP(Tabela2[[#This Row],[AGRUPADOR]],Tabela1[],4,0),"")</f>
        <v/>
      </c>
      <c r="F1309" s="14"/>
      <c r="G1309" s="6"/>
      <c r="H1309" s="6"/>
      <c r="I1309" s="25"/>
      <c r="J1309" s="7"/>
      <c r="K1309" s="15"/>
      <c r="L1309" s="379">
        <f>IF(H1309&lt;&gt;"",J1309*K1309,SUMIFS(L1310:L$9844,$F1310:$F$9844,"*"&amp;F1309&amp;"*",$H1310:$H$9844,"&lt;&gt;"))</f>
        <v>0</v>
      </c>
      <c r="M1309" s="379" t="str">
        <f>IF(Tabela2[[#This Row],[UNID.]]&lt;&gt;"",IFERROR(VLOOKUP(Tabela2[[#This Row],[AGRUPADOR]],Lucratividade!$D$4:$O$129,6,0),0),"")</f>
        <v/>
      </c>
      <c r="N1309" s="379">
        <f>IF(H1309&lt;&gt;"",J1309*M1309*I1309,SUMIFS(N1310:N$9844,$F1310:$F$9844,"*"&amp;F1309&amp;"*",$H1310:$H$9844,"&lt;&gt;"))</f>
        <v>0</v>
      </c>
      <c r="O1309" s="162" t="str">
        <f>IFERROR((-Tabela2[[#This Row],[CUSTO TOTAL]]+Tabela2[[#This Row],[VENDA TOTAL]])/Tabela2[[#This Row],[VENDA TOTAL]]-PARAMETROS!$C$19,"")</f>
        <v/>
      </c>
      <c r="AA1309" s="219">
        <f>SUM(Plan_Orc[[#This Row],[01/jan]:[01/dez]])</f>
        <v>0</v>
      </c>
      <c r="AB1309" s="15"/>
      <c r="AC1309" s="15"/>
      <c r="AD1309" s="15"/>
      <c r="AE1309" s="15"/>
      <c r="AF1309" s="15"/>
      <c r="AG1309" s="15"/>
      <c r="AH1309" s="15"/>
      <c r="AI1309" s="15"/>
      <c r="AJ1309" s="15"/>
      <c r="AK1309" s="15"/>
      <c r="AL1309" s="15"/>
      <c r="AM1309" s="15"/>
    </row>
    <row r="1310" spans="2:39" ht="25.2" customHeight="1" x14ac:dyDescent="0.3">
      <c r="B1310" s="13" t="str">
        <f t="shared" si="24"/>
        <v/>
      </c>
      <c r="C1310" s="18"/>
      <c r="D1310" s="19" t="str">
        <f>IF(Tabela2[[#This Row],[AGRUPADOR]]&lt;&gt;"",VLOOKUP(Tabela2[[#This Row],[AGRUPADOR]],Tabela1[],2,0),"")</f>
        <v/>
      </c>
      <c r="E1310" s="19" t="str">
        <f>IF(Tabela2[[#This Row],[AGRUPADOR]]&lt;&gt;"",VLOOKUP(Tabela2[[#This Row],[AGRUPADOR]],Tabela1[],4,0),"")</f>
        <v/>
      </c>
      <c r="F1310" s="14"/>
      <c r="G1310" s="6"/>
      <c r="H1310" s="6"/>
      <c r="I1310" s="25"/>
      <c r="J1310" s="7"/>
      <c r="K1310" s="15"/>
      <c r="L1310" s="379">
        <f>IF(H1310&lt;&gt;"",J1310*K1310,SUMIFS(L1311:L$9844,$F1311:$F$9844,"*"&amp;F1310&amp;"*",$H1311:$H$9844,"&lt;&gt;"))</f>
        <v>0</v>
      </c>
      <c r="M1310" s="379" t="str">
        <f>IF(Tabela2[[#This Row],[UNID.]]&lt;&gt;"",IFERROR(VLOOKUP(Tabela2[[#This Row],[AGRUPADOR]],Lucratividade!$D$4:$O$129,6,0),0),"")</f>
        <v/>
      </c>
      <c r="N1310" s="379">
        <f>IF(H1310&lt;&gt;"",J1310*M1310*I1310,SUMIFS(N1311:N$9844,$F1311:$F$9844,"*"&amp;F1310&amp;"*",$H1311:$H$9844,"&lt;&gt;"))</f>
        <v>0</v>
      </c>
      <c r="O1310" s="162" t="str">
        <f>IFERROR((-Tabela2[[#This Row],[CUSTO TOTAL]]+Tabela2[[#This Row],[VENDA TOTAL]])/Tabela2[[#This Row],[VENDA TOTAL]]-PARAMETROS!$C$19,"")</f>
        <v/>
      </c>
      <c r="AA1310" s="219">
        <f>SUM(Plan_Orc[[#This Row],[01/jan]:[01/dez]])</f>
        <v>0</v>
      </c>
      <c r="AB1310" s="15"/>
      <c r="AC1310" s="15"/>
      <c r="AD1310" s="15"/>
      <c r="AE1310" s="15"/>
      <c r="AF1310" s="15"/>
      <c r="AG1310" s="15"/>
      <c r="AH1310" s="15"/>
      <c r="AI1310" s="15"/>
      <c r="AJ1310" s="15"/>
      <c r="AK1310" s="15"/>
      <c r="AL1310" s="15"/>
      <c r="AM1310" s="15"/>
    </row>
    <row r="1311" spans="2:39" ht="25.2" customHeight="1" x14ac:dyDescent="0.3">
      <c r="B1311" s="13" t="str">
        <f t="shared" si="24"/>
        <v/>
      </c>
      <c r="C1311" s="18"/>
      <c r="D1311" s="19" t="str">
        <f>IF(Tabela2[[#This Row],[AGRUPADOR]]&lt;&gt;"",VLOOKUP(Tabela2[[#This Row],[AGRUPADOR]],Tabela1[],2,0),"")</f>
        <v/>
      </c>
      <c r="E1311" s="19" t="str">
        <f>IF(Tabela2[[#This Row],[AGRUPADOR]]&lt;&gt;"",VLOOKUP(Tabela2[[#This Row],[AGRUPADOR]],Tabela1[],4,0),"")</f>
        <v/>
      </c>
      <c r="F1311" s="14"/>
      <c r="G1311" s="6"/>
      <c r="H1311" s="6"/>
      <c r="I1311" s="25"/>
      <c r="J1311" s="7"/>
      <c r="K1311" s="15"/>
      <c r="L1311" s="379">
        <f>IF(H1311&lt;&gt;"",J1311*K1311,SUMIFS(L1312:L$9844,$F1312:$F$9844,"*"&amp;F1311&amp;"*",$H1312:$H$9844,"&lt;&gt;"))</f>
        <v>0</v>
      </c>
      <c r="M1311" s="379" t="str">
        <f>IF(Tabela2[[#This Row],[UNID.]]&lt;&gt;"",IFERROR(VLOOKUP(Tabela2[[#This Row],[AGRUPADOR]],Lucratividade!$D$4:$O$129,6,0),0),"")</f>
        <v/>
      </c>
      <c r="N1311" s="379">
        <f>IF(H1311&lt;&gt;"",J1311*M1311*I1311,SUMIFS(N1312:N$9844,$F1312:$F$9844,"*"&amp;F1311&amp;"*",$H1312:$H$9844,"&lt;&gt;"))</f>
        <v>0</v>
      </c>
      <c r="O1311" s="162" t="str">
        <f>IFERROR((-Tabela2[[#This Row],[CUSTO TOTAL]]+Tabela2[[#This Row],[VENDA TOTAL]])/Tabela2[[#This Row],[VENDA TOTAL]]-PARAMETROS!$C$19,"")</f>
        <v/>
      </c>
      <c r="AA1311" s="219">
        <f>SUM(Plan_Orc[[#This Row],[01/jan]:[01/dez]])</f>
        <v>0</v>
      </c>
      <c r="AB1311" s="15"/>
      <c r="AC1311" s="15"/>
      <c r="AD1311" s="15"/>
      <c r="AE1311" s="15"/>
      <c r="AF1311" s="15"/>
      <c r="AG1311" s="15"/>
      <c r="AH1311" s="15"/>
      <c r="AI1311" s="15"/>
      <c r="AJ1311" s="15"/>
      <c r="AK1311" s="15"/>
      <c r="AL1311" s="15"/>
      <c r="AM1311" s="15"/>
    </row>
    <row r="1312" spans="2:39" ht="25.2" customHeight="1" x14ac:dyDescent="0.3">
      <c r="B1312" s="13" t="str">
        <f t="shared" si="24"/>
        <v/>
      </c>
      <c r="C1312" s="18"/>
      <c r="D1312" s="19" t="str">
        <f>IF(Tabela2[[#This Row],[AGRUPADOR]]&lt;&gt;"",VLOOKUP(Tabela2[[#This Row],[AGRUPADOR]],Tabela1[],2,0),"")</f>
        <v/>
      </c>
      <c r="E1312" s="19" t="str">
        <f>IF(Tabela2[[#This Row],[AGRUPADOR]]&lt;&gt;"",VLOOKUP(Tabela2[[#This Row],[AGRUPADOR]],Tabela1[],4,0),"")</f>
        <v/>
      </c>
      <c r="F1312" s="14"/>
      <c r="G1312" s="6"/>
      <c r="H1312" s="6"/>
      <c r="I1312" s="25"/>
      <c r="J1312" s="7"/>
      <c r="K1312" s="15"/>
      <c r="L1312" s="379">
        <f>IF(H1312&lt;&gt;"",J1312*K1312,SUMIFS(L1313:L$9844,$F1313:$F$9844,"*"&amp;F1312&amp;"*",$H1313:$H$9844,"&lt;&gt;"))</f>
        <v>0</v>
      </c>
      <c r="M1312" s="379" t="str">
        <f>IF(Tabela2[[#This Row],[UNID.]]&lt;&gt;"",IFERROR(VLOOKUP(Tabela2[[#This Row],[AGRUPADOR]],Lucratividade!$D$4:$O$129,6,0),0),"")</f>
        <v/>
      </c>
      <c r="N1312" s="379">
        <f>IF(H1312&lt;&gt;"",J1312*M1312*I1312,SUMIFS(N1313:N$9844,$F1313:$F$9844,"*"&amp;F1312&amp;"*",$H1313:$H$9844,"&lt;&gt;"))</f>
        <v>0</v>
      </c>
      <c r="O1312" s="162" t="str">
        <f>IFERROR((-Tabela2[[#This Row],[CUSTO TOTAL]]+Tabela2[[#This Row],[VENDA TOTAL]])/Tabela2[[#This Row],[VENDA TOTAL]]-PARAMETROS!$C$19,"")</f>
        <v/>
      </c>
      <c r="AA1312" s="219">
        <f>SUM(Plan_Orc[[#This Row],[01/jan]:[01/dez]])</f>
        <v>0</v>
      </c>
      <c r="AB1312" s="15"/>
      <c r="AC1312" s="15"/>
      <c r="AD1312" s="15"/>
      <c r="AE1312" s="15"/>
      <c r="AF1312" s="15"/>
      <c r="AG1312" s="15"/>
      <c r="AH1312" s="15"/>
      <c r="AI1312" s="15"/>
      <c r="AJ1312" s="15"/>
      <c r="AK1312" s="15"/>
      <c r="AL1312" s="15"/>
      <c r="AM1312" s="15"/>
    </row>
    <row r="1313" spans="2:39" ht="25.2" customHeight="1" x14ac:dyDescent="0.3">
      <c r="B1313" s="13" t="str">
        <f t="shared" si="24"/>
        <v/>
      </c>
      <c r="C1313" s="18"/>
      <c r="D1313" s="19" t="str">
        <f>IF(Tabela2[[#This Row],[AGRUPADOR]]&lt;&gt;"",VLOOKUP(Tabela2[[#This Row],[AGRUPADOR]],Tabela1[],2,0),"")</f>
        <v/>
      </c>
      <c r="E1313" s="19" t="str">
        <f>IF(Tabela2[[#This Row],[AGRUPADOR]]&lt;&gt;"",VLOOKUP(Tabela2[[#This Row],[AGRUPADOR]],Tabela1[],4,0),"")</f>
        <v/>
      </c>
      <c r="F1313" s="14"/>
      <c r="G1313" s="6"/>
      <c r="H1313" s="6"/>
      <c r="I1313" s="25"/>
      <c r="J1313" s="7"/>
      <c r="K1313" s="15"/>
      <c r="L1313" s="379">
        <f>IF(H1313&lt;&gt;"",J1313*K1313,SUMIFS(L1314:L$9844,$F1314:$F$9844,"*"&amp;F1313&amp;"*",$H1314:$H$9844,"&lt;&gt;"))</f>
        <v>0</v>
      </c>
      <c r="M1313" s="379" t="str">
        <f>IF(Tabela2[[#This Row],[UNID.]]&lt;&gt;"",IFERROR(VLOOKUP(Tabela2[[#This Row],[AGRUPADOR]],Lucratividade!$D$4:$O$129,6,0),0),"")</f>
        <v/>
      </c>
      <c r="N1313" s="379">
        <f>IF(H1313&lt;&gt;"",J1313*M1313*I1313,SUMIFS(N1314:N$9844,$F1314:$F$9844,"*"&amp;F1313&amp;"*",$H1314:$H$9844,"&lt;&gt;"))</f>
        <v>0</v>
      </c>
      <c r="O1313" s="162" t="str">
        <f>IFERROR((-Tabela2[[#This Row],[CUSTO TOTAL]]+Tabela2[[#This Row],[VENDA TOTAL]])/Tabela2[[#This Row],[VENDA TOTAL]]-PARAMETROS!$C$19,"")</f>
        <v/>
      </c>
      <c r="AA1313" s="219">
        <f>SUM(Plan_Orc[[#This Row],[01/jan]:[01/dez]])</f>
        <v>0</v>
      </c>
      <c r="AB1313" s="15"/>
      <c r="AC1313" s="15"/>
      <c r="AD1313" s="15"/>
      <c r="AE1313" s="15"/>
      <c r="AF1313" s="15"/>
      <c r="AG1313" s="15"/>
      <c r="AH1313" s="15"/>
      <c r="AI1313" s="15"/>
      <c r="AJ1313" s="15"/>
      <c r="AK1313" s="15"/>
      <c r="AL1313" s="15"/>
      <c r="AM1313" s="15"/>
    </row>
    <row r="1314" spans="2:39" ht="25.2" customHeight="1" x14ac:dyDescent="0.3">
      <c r="B1314" s="13" t="str">
        <f t="shared" si="24"/>
        <v/>
      </c>
      <c r="C1314" s="18"/>
      <c r="D1314" s="19" t="str">
        <f>IF(Tabela2[[#This Row],[AGRUPADOR]]&lt;&gt;"",VLOOKUP(Tabela2[[#This Row],[AGRUPADOR]],Tabela1[],2,0),"")</f>
        <v/>
      </c>
      <c r="E1314" s="19" t="str">
        <f>IF(Tabela2[[#This Row],[AGRUPADOR]]&lt;&gt;"",VLOOKUP(Tabela2[[#This Row],[AGRUPADOR]],Tabela1[],4,0),"")</f>
        <v/>
      </c>
      <c r="F1314" s="14"/>
      <c r="G1314" s="6"/>
      <c r="H1314" s="6"/>
      <c r="I1314" s="25"/>
      <c r="J1314" s="7"/>
      <c r="K1314" s="15"/>
      <c r="L1314" s="379">
        <f>IF(H1314&lt;&gt;"",J1314*K1314,SUMIFS(L1315:L$9844,$F1315:$F$9844,"*"&amp;F1314&amp;"*",$H1315:$H$9844,"&lt;&gt;"))</f>
        <v>0</v>
      </c>
      <c r="M1314" s="379" t="str">
        <f>IF(Tabela2[[#This Row],[UNID.]]&lt;&gt;"",IFERROR(VLOOKUP(Tabela2[[#This Row],[AGRUPADOR]],Lucratividade!$D$4:$O$129,6,0),0),"")</f>
        <v/>
      </c>
      <c r="N1314" s="379">
        <f>IF(H1314&lt;&gt;"",J1314*M1314*I1314,SUMIFS(N1315:N$9844,$F1315:$F$9844,"*"&amp;F1314&amp;"*",$H1315:$H$9844,"&lt;&gt;"))</f>
        <v>0</v>
      </c>
      <c r="O1314" s="162" t="str">
        <f>IFERROR((-Tabela2[[#This Row],[CUSTO TOTAL]]+Tabela2[[#This Row],[VENDA TOTAL]])/Tabela2[[#This Row],[VENDA TOTAL]]-PARAMETROS!$C$19,"")</f>
        <v/>
      </c>
      <c r="AA1314" s="219">
        <f>SUM(Plan_Orc[[#This Row],[01/jan]:[01/dez]])</f>
        <v>0</v>
      </c>
      <c r="AB1314" s="15"/>
      <c r="AC1314" s="15"/>
      <c r="AD1314" s="15"/>
      <c r="AE1314" s="15"/>
      <c r="AF1314" s="15"/>
      <c r="AG1314" s="15"/>
      <c r="AH1314" s="15"/>
      <c r="AI1314" s="15"/>
      <c r="AJ1314" s="15"/>
      <c r="AK1314" s="15"/>
      <c r="AL1314" s="15"/>
      <c r="AM1314" s="15"/>
    </row>
    <row r="1315" spans="2:39" ht="25.2" customHeight="1" x14ac:dyDescent="0.3">
      <c r="B1315" s="13" t="str">
        <f t="shared" si="24"/>
        <v/>
      </c>
      <c r="C1315" s="18"/>
      <c r="D1315" s="19" t="str">
        <f>IF(Tabela2[[#This Row],[AGRUPADOR]]&lt;&gt;"",VLOOKUP(Tabela2[[#This Row],[AGRUPADOR]],Tabela1[],2,0),"")</f>
        <v/>
      </c>
      <c r="E1315" s="19" t="str">
        <f>IF(Tabela2[[#This Row],[AGRUPADOR]]&lt;&gt;"",VLOOKUP(Tabela2[[#This Row],[AGRUPADOR]],Tabela1[],4,0),"")</f>
        <v/>
      </c>
      <c r="F1315" s="14"/>
      <c r="G1315" s="6"/>
      <c r="H1315" s="6"/>
      <c r="I1315" s="25"/>
      <c r="J1315" s="7"/>
      <c r="K1315" s="15"/>
      <c r="L1315" s="379">
        <f>IF(H1315&lt;&gt;"",J1315*K1315,SUMIFS(L1316:L$9844,$F1316:$F$9844,"*"&amp;F1315&amp;"*",$H1316:$H$9844,"&lt;&gt;"))</f>
        <v>0</v>
      </c>
      <c r="M1315" s="379" t="str">
        <f>IF(Tabela2[[#This Row],[UNID.]]&lt;&gt;"",IFERROR(VLOOKUP(Tabela2[[#This Row],[AGRUPADOR]],Lucratividade!$D$4:$O$129,6,0),0),"")</f>
        <v/>
      </c>
      <c r="N1315" s="379">
        <f>IF(H1315&lt;&gt;"",J1315*M1315*I1315,SUMIFS(N1316:N$9844,$F1316:$F$9844,"*"&amp;F1315&amp;"*",$H1316:$H$9844,"&lt;&gt;"))</f>
        <v>0</v>
      </c>
      <c r="O1315" s="162" t="str">
        <f>IFERROR((-Tabela2[[#This Row],[CUSTO TOTAL]]+Tabela2[[#This Row],[VENDA TOTAL]])/Tabela2[[#This Row],[VENDA TOTAL]]-PARAMETROS!$C$19,"")</f>
        <v/>
      </c>
      <c r="AA1315" s="219">
        <f>SUM(Plan_Orc[[#This Row],[01/jan]:[01/dez]])</f>
        <v>0</v>
      </c>
      <c r="AB1315" s="15"/>
      <c r="AC1315" s="15"/>
      <c r="AD1315" s="15"/>
      <c r="AE1315" s="15"/>
      <c r="AF1315" s="15"/>
      <c r="AG1315" s="15"/>
      <c r="AH1315" s="15"/>
      <c r="AI1315" s="15"/>
      <c r="AJ1315" s="15"/>
      <c r="AK1315" s="15"/>
      <c r="AL1315" s="15"/>
      <c r="AM1315" s="15"/>
    </row>
    <row r="1316" spans="2:39" ht="25.2" customHeight="1" x14ac:dyDescent="0.3">
      <c r="B1316" s="13" t="str">
        <f t="shared" si="24"/>
        <v/>
      </c>
      <c r="C1316" s="18"/>
      <c r="D1316" s="19" t="str">
        <f>IF(Tabela2[[#This Row],[AGRUPADOR]]&lt;&gt;"",VLOOKUP(Tabela2[[#This Row],[AGRUPADOR]],Tabela1[],2,0),"")</f>
        <v/>
      </c>
      <c r="E1316" s="19" t="str">
        <f>IF(Tabela2[[#This Row],[AGRUPADOR]]&lt;&gt;"",VLOOKUP(Tabela2[[#This Row],[AGRUPADOR]],Tabela1[],4,0),"")</f>
        <v/>
      </c>
      <c r="F1316" s="14"/>
      <c r="G1316" s="6"/>
      <c r="H1316" s="6"/>
      <c r="I1316" s="25"/>
      <c r="J1316" s="7"/>
      <c r="K1316" s="15"/>
      <c r="L1316" s="379">
        <f>IF(H1316&lt;&gt;"",J1316*K1316,SUMIFS(L1317:L$9844,$F1317:$F$9844,"*"&amp;F1316&amp;"*",$H1317:$H$9844,"&lt;&gt;"))</f>
        <v>0</v>
      </c>
      <c r="M1316" s="379" t="str">
        <f>IF(Tabela2[[#This Row],[UNID.]]&lt;&gt;"",IFERROR(VLOOKUP(Tabela2[[#This Row],[AGRUPADOR]],Lucratividade!$D$4:$O$129,6,0),0),"")</f>
        <v/>
      </c>
      <c r="N1316" s="379">
        <f>IF(H1316&lt;&gt;"",J1316*M1316*I1316,SUMIFS(N1317:N$9844,$F1317:$F$9844,"*"&amp;F1316&amp;"*",$H1317:$H$9844,"&lt;&gt;"))</f>
        <v>0</v>
      </c>
      <c r="O1316" s="162" t="str">
        <f>IFERROR((-Tabela2[[#This Row],[CUSTO TOTAL]]+Tabela2[[#This Row],[VENDA TOTAL]])/Tabela2[[#This Row],[VENDA TOTAL]]-PARAMETROS!$C$19,"")</f>
        <v/>
      </c>
      <c r="AA1316" s="219">
        <f>SUM(Plan_Orc[[#This Row],[01/jan]:[01/dez]])</f>
        <v>0</v>
      </c>
      <c r="AB1316" s="15"/>
      <c r="AC1316" s="15"/>
      <c r="AD1316" s="15"/>
      <c r="AE1316" s="15"/>
      <c r="AF1316" s="15"/>
      <c r="AG1316" s="15"/>
      <c r="AH1316" s="15"/>
      <c r="AI1316" s="15"/>
      <c r="AJ1316" s="15"/>
      <c r="AK1316" s="15"/>
      <c r="AL1316" s="15"/>
      <c r="AM1316" s="15"/>
    </row>
    <row r="1317" spans="2:39" ht="25.2" customHeight="1" x14ac:dyDescent="0.3">
      <c r="B1317" s="13" t="str">
        <f t="shared" si="24"/>
        <v/>
      </c>
      <c r="C1317" s="18"/>
      <c r="D1317" s="19" t="str">
        <f>IF(Tabela2[[#This Row],[AGRUPADOR]]&lt;&gt;"",VLOOKUP(Tabela2[[#This Row],[AGRUPADOR]],Tabela1[],2,0),"")</f>
        <v/>
      </c>
      <c r="E1317" s="19" t="str">
        <f>IF(Tabela2[[#This Row],[AGRUPADOR]]&lt;&gt;"",VLOOKUP(Tabela2[[#This Row],[AGRUPADOR]],Tabela1[],4,0),"")</f>
        <v/>
      </c>
      <c r="F1317" s="14"/>
      <c r="G1317" s="6"/>
      <c r="H1317" s="6"/>
      <c r="I1317" s="25"/>
      <c r="J1317" s="7"/>
      <c r="K1317" s="15"/>
      <c r="L1317" s="379">
        <f>IF(H1317&lt;&gt;"",J1317*K1317,SUMIFS(L1318:L$9844,$F1318:$F$9844,"*"&amp;F1317&amp;"*",$H1318:$H$9844,"&lt;&gt;"))</f>
        <v>0</v>
      </c>
      <c r="M1317" s="379" t="str">
        <f>IF(Tabela2[[#This Row],[UNID.]]&lt;&gt;"",IFERROR(VLOOKUP(Tabela2[[#This Row],[AGRUPADOR]],Lucratividade!$D$4:$O$129,6,0),0),"")</f>
        <v/>
      </c>
      <c r="N1317" s="379">
        <f>IF(H1317&lt;&gt;"",J1317*M1317*I1317,SUMIFS(N1318:N$9844,$F1318:$F$9844,"*"&amp;F1317&amp;"*",$H1318:$H$9844,"&lt;&gt;"))</f>
        <v>0</v>
      </c>
      <c r="O1317" s="162" t="str">
        <f>IFERROR((-Tabela2[[#This Row],[CUSTO TOTAL]]+Tabela2[[#This Row],[VENDA TOTAL]])/Tabela2[[#This Row],[VENDA TOTAL]]-PARAMETROS!$C$19,"")</f>
        <v/>
      </c>
      <c r="AA1317" s="219">
        <f>SUM(Plan_Orc[[#This Row],[01/jan]:[01/dez]])</f>
        <v>0</v>
      </c>
      <c r="AB1317" s="15"/>
      <c r="AC1317" s="15"/>
      <c r="AD1317" s="15"/>
      <c r="AE1317" s="15"/>
      <c r="AF1317" s="15"/>
      <c r="AG1317" s="15"/>
      <c r="AH1317" s="15"/>
      <c r="AI1317" s="15"/>
      <c r="AJ1317" s="15"/>
      <c r="AK1317" s="15"/>
      <c r="AL1317" s="15"/>
      <c r="AM1317" s="15"/>
    </row>
    <row r="1318" spans="2:39" ht="25.2" customHeight="1" x14ac:dyDescent="0.3">
      <c r="B1318" s="13" t="str">
        <f t="shared" si="24"/>
        <v/>
      </c>
      <c r="C1318" s="18"/>
      <c r="D1318" s="19" t="str">
        <f>IF(Tabela2[[#This Row],[AGRUPADOR]]&lt;&gt;"",VLOOKUP(Tabela2[[#This Row],[AGRUPADOR]],Tabela1[],2,0),"")</f>
        <v/>
      </c>
      <c r="E1318" s="19" t="str">
        <f>IF(Tabela2[[#This Row],[AGRUPADOR]]&lt;&gt;"",VLOOKUP(Tabela2[[#This Row],[AGRUPADOR]],Tabela1[],4,0),"")</f>
        <v/>
      </c>
      <c r="F1318" s="14"/>
      <c r="G1318" s="6"/>
      <c r="H1318" s="6"/>
      <c r="I1318" s="25"/>
      <c r="J1318" s="7"/>
      <c r="K1318" s="15"/>
      <c r="L1318" s="379">
        <f>IF(H1318&lt;&gt;"",J1318*K1318,SUMIFS(L1319:L$9844,$F1319:$F$9844,"*"&amp;F1318&amp;"*",$H1319:$H$9844,"&lt;&gt;"))</f>
        <v>0</v>
      </c>
      <c r="M1318" s="379" t="str">
        <f>IF(Tabela2[[#This Row],[UNID.]]&lt;&gt;"",IFERROR(VLOOKUP(Tabela2[[#This Row],[AGRUPADOR]],Lucratividade!$D$4:$O$129,6,0),0),"")</f>
        <v/>
      </c>
      <c r="N1318" s="379">
        <f>IF(H1318&lt;&gt;"",J1318*M1318*I1318,SUMIFS(N1319:N$9844,$F1319:$F$9844,"*"&amp;F1318&amp;"*",$H1319:$H$9844,"&lt;&gt;"))</f>
        <v>0</v>
      </c>
      <c r="O1318" s="162" t="str">
        <f>IFERROR((-Tabela2[[#This Row],[CUSTO TOTAL]]+Tabela2[[#This Row],[VENDA TOTAL]])/Tabela2[[#This Row],[VENDA TOTAL]]-PARAMETROS!$C$19,"")</f>
        <v/>
      </c>
      <c r="AA1318" s="219">
        <f>SUM(Plan_Orc[[#This Row],[01/jan]:[01/dez]])</f>
        <v>0</v>
      </c>
      <c r="AB1318" s="15"/>
      <c r="AC1318" s="15"/>
      <c r="AD1318" s="15"/>
      <c r="AE1318" s="15"/>
      <c r="AF1318" s="15"/>
      <c r="AG1318" s="15"/>
      <c r="AH1318" s="15"/>
      <c r="AI1318" s="15"/>
      <c r="AJ1318" s="15"/>
      <c r="AK1318" s="15"/>
      <c r="AL1318" s="15"/>
      <c r="AM1318" s="15"/>
    </row>
    <row r="1319" spans="2:39" ht="25.2" customHeight="1" x14ac:dyDescent="0.3">
      <c r="B1319" s="13" t="str">
        <f t="shared" si="24"/>
        <v/>
      </c>
      <c r="C1319" s="18"/>
      <c r="D1319" s="19" t="str">
        <f>IF(Tabela2[[#This Row],[AGRUPADOR]]&lt;&gt;"",VLOOKUP(Tabela2[[#This Row],[AGRUPADOR]],Tabela1[],2,0),"")</f>
        <v/>
      </c>
      <c r="E1319" s="19" t="str">
        <f>IF(Tabela2[[#This Row],[AGRUPADOR]]&lt;&gt;"",VLOOKUP(Tabela2[[#This Row],[AGRUPADOR]],Tabela1[],4,0),"")</f>
        <v/>
      </c>
      <c r="F1319" s="14"/>
      <c r="G1319" s="6"/>
      <c r="H1319" s="6"/>
      <c r="I1319" s="25"/>
      <c r="J1319" s="7"/>
      <c r="K1319" s="15"/>
      <c r="L1319" s="379">
        <f>IF(H1319&lt;&gt;"",J1319*K1319,SUMIFS(L1320:L$9844,$F1320:$F$9844,"*"&amp;F1319&amp;"*",$H1320:$H$9844,"&lt;&gt;"))</f>
        <v>0</v>
      </c>
      <c r="M1319" s="379" t="str">
        <f>IF(Tabela2[[#This Row],[UNID.]]&lt;&gt;"",IFERROR(VLOOKUP(Tabela2[[#This Row],[AGRUPADOR]],Lucratividade!$D$4:$O$129,6,0),0),"")</f>
        <v/>
      </c>
      <c r="N1319" s="379">
        <f>IF(H1319&lt;&gt;"",J1319*M1319*I1319,SUMIFS(N1320:N$9844,$F1320:$F$9844,"*"&amp;F1319&amp;"*",$H1320:$H$9844,"&lt;&gt;"))</f>
        <v>0</v>
      </c>
      <c r="O1319" s="162" t="str">
        <f>IFERROR((-Tabela2[[#This Row],[CUSTO TOTAL]]+Tabela2[[#This Row],[VENDA TOTAL]])/Tabela2[[#This Row],[VENDA TOTAL]]-PARAMETROS!$C$19,"")</f>
        <v/>
      </c>
      <c r="AA1319" s="219">
        <f>SUM(Plan_Orc[[#This Row],[01/jan]:[01/dez]])</f>
        <v>0</v>
      </c>
      <c r="AB1319" s="15"/>
      <c r="AC1319" s="15"/>
      <c r="AD1319" s="15"/>
      <c r="AE1319" s="15"/>
      <c r="AF1319" s="15"/>
      <c r="AG1319" s="15"/>
      <c r="AH1319" s="15"/>
      <c r="AI1319" s="15"/>
      <c r="AJ1319" s="15"/>
      <c r="AK1319" s="15"/>
      <c r="AL1319" s="15"/>
      <c r="AM1319" s="15"/>
    </row>
    <row r="1320" spans="2:39" ht="25.2" customHeight="1" x14ac:dyDescent="0.3">
      <c r="B1320" s="13" t="str">
        <f t="shared" si="24"/>
        <v/>
      </c>
      <c r="C1320" s="18"/>
      <c r="D1320" s="19" t="str">
        <f>IF(Tabela2[[#This Row],[AGRUPADOR]]&lt;&gt;"",VLOOKUP(Tabela2[[#This Row],[AGRUPADOR]],Tabela1[],2,0),"")</f>
        <v/>
      </c>
      <c r="E1320" s="19" t="str">
        <f>IF(Tabela2[[#This Row],[AGRUPADOR]]&lt;&gt;"",VLOOKUP(Tabela2[[#This Row],[AGRUPADOR]],Tabela1[],4,0),"")</f>
        <v/>
      </c>
      <c r="F1320" s="14"/>
      <c r="G1320" s="6"/>
      <c r="H1320" s="6"/>
      <c r="I1320" s="25"/>
      <c r="J1320" s="7"/>
      <c r="K1320" s="15"/>
      <c r="L1320" s="379">
        <f>IF(H1320&lt;&gt;"",J1320*K1320,SUMIFS(L1321:L$9844,$F1321:$F$9844,"*"&amp;F1320&amp;"*",$H1321:$H$9844,"&lt;&gt;"))</f>
        <v>0</v>
      </c>
      <c r="M1320" s="379" t="str">
        <f>IF(Tabela2[[#This Row],[UNID.]]&lt;&gt;"",IFERROR(VLOOKUP(Tabela2[[#This Row],[AGRUPADOR]],Lucratividade!$D$4:$O$129,6,0),0),"")</f>
        <v/>
      </c>
      <c r="N1320" s="379">
        <f>IF(H1320&lt;&gt;"",J1320*M1320*I1320,SUMIFS(N1321:N$9844,$F1321:$F$9844,"*"&amp;F1320&amp;"*",$H1321:$H$9844,"&lt;&gt;"))</f>
        <v>0</v>
      </c>
      <c r="O1320" s="162" t="str">
        <f>IFERROR((-Tabela2[[#This Row],[CUSTO TOTAL]]+Tabela2[[#This Row],[VENDA TOTAL]])/Tabela2[[#This Row],[VENDA TOTAL]]-PARAMETROS!$C$19,"")</f>
        <v/>
      </c>
      <c r="AA1320" s="219">
        <f>SUM(Plan_Orc[[#This Row],[01/jan]:[01/dez]])</f>
        <v>0</v>
      </c>
      <c r="AB1320" s="15"/>
      <c r="AC1320" s="15"/>
      <c r="AD1320" s="15"/>
      <c r="AE1320" s="15"/>
      <c r="AF1320" s="15"/>
      <c r="AG1320" s="15"/>
      <c r="AH1320" s="15"/>
      <c r="AI1320" s="15"/>
      <c r="AJ1320" s="15"/>
      <c r="AK1320" s="15"/>
      <c r="AL1320" s="15"/>
      <c r="AM1320" s="15"/>
    </row>
    <row r="1321" spans="2:39" ht="25.2" customHeight="1" x14ac:dyDescent="0.3">
      <c r="B1321" s="13" t="str">
        <f t="shared" si="24"/>
        <v/>
      </c>
      <c r="C1321" s="18"/>
      <c r="D1321" s="19" t="str">
        <f>IF(Tabela2[[#This Row],[AGRUPADOR]]&lt;&gt;"",VLOOKUP(Tabela2[[#This Row],[AGRUPADOR]],Tabela1[],2,0),"")</f>
        <v/>
      </c>
      <c r="E1321" s="19" t="str">
        <f>IF(Tabela2[[#This Row],[AGRUPADOR]]&lt;&gt;"",VLOOKUP(Tabela2[[#This Row],[AGRUPADOR]],Tabela1[],4,0),"")</f>
        <v/>
      </c>
      <c r="F1321" s="14"/>
      <c r="G1321" s="6"/>
      <c r="H1321" s="6"/>
      <c r="I1321" s="25"/>
      <c r="J1321" s="7"/>
      <c r="K1321" s="15"/>
      <c r="L1321" s="379">
        <f>IF(H1321&lt;&gt;"",J1321*K1321,SUMIFS(L1322:L$9844,$F1322:$F$9844,"*"&amp;F1321&amp;"*",$H1322:$H$9844,"&lt;&gt;"))</f>
        <v>0</v>
      </c>
      <c r="M1321" s="379" t="str">
        <f>IF(Tabela2[[#This Row],[UNID.]]&lt;&gt;"",IFERROR(VLOOKUP(Tabela2[[#This Row],[AGRUPADOR]],Lucratividade!$D$4:$O$129,6,0),0),"")</f>
        <v/>
      </c>
      <c r="N1321" s="379">
        <f>IF(H1321&lt;&gt;"",J1321*M1321*I1321,SUMIFS(N1322:N$9844,$F1322:$F$9844,"*"&amp;F1321&amp;"*",$H1322:$H$9844,"&lt;&gt;"))</f>
        <v>0</v>
      </c>
      <c r="O1321" s="162" t="str">
        <f>IFERROR((-Tabela2[[#This Row],[CUSTO TOTAL]]+Tabela2[[#This Row],[VENDA TOTAL]])/Tabela2[[#This Row],[VENDA TOTAL]]-PARAMETROS!$C$19,"")</f>
        <v/>
      </c>
      <c r="AA1321" s="219">
        <f>SUM(Plan_Orc[[#This Row],[01/jan]:[01/dez]])</f>
        <v>0</v>
      </c>
      <c r="AB1321" s="15"/>
      <c r="AC1321" s="15"/>
      <c r="AD1321" s="15"/>
      <c r="AE1321" s="15"/>
      <c r="AF1321" s="15"/>
      <c r="AG1321" s="15"/>
      <c r="AH1321" s="15"/>
      <c r="AI1321" s="15"/>
      <c r="AJ1321" s="15"/>
      <c r="AK1321" s="15"/>
      <c r="AL1321" s="15"/>
      <c r="AM1321" s="15"/>
    </row>
    <row r="1322" spans="2:39" ht="25.2" customHeight="1" x14ac:dyDescent="0.3">
      <c r="B1322" s="13" t="str">
        <f t="shared" si="24"/>
        <v/>
      </c>
      <c r="C1322" s="18"/>
      <c r="D1322" s="19" t="str">
        <f>IF(Tabela2[[#This Row],[AGRUPADOR]]&lt;&gt;"",VLOOKUP(Tabela2[[#This Row],[AGRUPADOR]],Tabela1[],2,0),"")</f>
        <v/>
      </c>
      <c r="E1322" s="19" t="str">
        <f>IF(Tabela2[[#This Row],[AGRUPADOR]]&lt;&gt;"",VLOOKUP(Tabela2[[#This Row],[AGRUPADOR]],Tabela1[],4,0),"")</f>
        <v/>
      </c>
      <c r="F1322" s="14"/>
      <c r="G1322" s="6"/>
      <c r="H1322" s="6"/>
      <c r="I1322" s="25"/>
      <c r="J1322" s="7"/>
      <c r="K1322" s="15"/>
      <c r="L1322" s="379">
        <f>IF(H1322&lt;&gt;"",J1322*K1322,SUMIFS(L1323:L$9844,$F1323:$F$9844,"*"&amp;F1322&amp;"*",$H1323:$H$9844,"&lt;&gt;"))</f>
        <v>0</v>
      </c>
      <c r="M1322" s="379" t="str">
        <f>IF(Tabela2[[#This Row],[UNID.]]&lt;&gt;"",IFERROR(VLOOKUP(Tabela2[[#This Row],[AGRUPADOR]],Lucratividade!$D$4:$O$129,6,0),0),"")</f>
        <v/>
      </c>
      <c r="N1322" s="379">
        <f>IF(H1322&lt;&gt;"",J1322*M1322*I1322,SUMIFS(N1323:N$9844,$F1323:$F$9844,"*"&amp;F1322&amp;"*",$H1323:$H$9844,"&lt;&gt;"))</f>
        <v>0</v>
      </c>
      <c r="O1322" s="162" t="str">
        <f>IFERROR((-Tabela2[[#This Row],[CUSTO TOTAL]]+Tabela2[[#This Row],[VENDA TOTAL]])/Tabela2[[#This Row],[VENDA TOTAL]]-PARAMETROS!$C$19,"")</f>
        <v/>
      </c>
      <c r="AA1322" s="219">
        <f>SUM(Plan_Orc[[#This Row],[01/jan]:[01/dez]])</f>
        <v>0</v>
      </c>
      <c r="AB1322" s="15"/>
      <c r="AC1322" s="15"/>
      <c r="AD1322" s="15"/>
      <c r="AE1322" s="15"/>
      <c r="AF1322" s="15"/>
      <c r="AG1322" s="15"/>
      <c r="AH1322" s="15"/>
      <c r="AI1322" s="15"/>
      <c r="AJ1322" s="15"/>
      <c r="AK1322" s="15"/>
      <c r="AL1322" s="15"/>
      <c r="AM1322" s="15"/>
    </row>
    <row r="1323" spans="2:39" ht="25.2" customHeight="1" x14ac:dyDescent="0.3">
      <c r="B1323" s="13" t="str">
        <f t="shared" si="24"/>
        <v/>
      </c>
      <c r="C1323" s="18"/>
      <c r="D1323" s="19" t="str">
        <f>IF(Tabela2[[#This Row],[AGRUPADOR]]&lt;&gt;"",VLOOKUP(Tabela2[[#This Row],[AGRUPADOR]],Tabela1[],2,0),"")</f>
        <v/>
      </c>
      <c r="E1323" s="19" t="str">
        <f>IF(Tabela2[[#This Row],[AGRUPADOR]]&lt;&gt;"",VLOOKUP(Tabela2[[#This Row],[AGRUPADOR]],Tabela1[],4,0),"")</f>
        <v/>
      </c>
      <c r="F1323" s="14"/>
      <c r="G1323" s="6"/>
      <c r="H1323" s="6"/>
      <c r="I1323" s="25"/>
      <c r="J1323" s="7"/>
      <c r="K1323" s="15"/>
      <c r="L1323" s="379">
        <f>IF(H1323&lt;&gt;"",J1323*K1323,SUMIFS(L1324:L$9844,$F1324:$F$9844,"*"&amp;F1323&amp;"*",$H1324:$H$9844,"&lt;&gt;"))</f>
        <v>0</v>
      </c>
      <c r="M1323" s="379" t="str">
        <f>IF(Tabela2[[#This Row],[UNID.]]&lt;&gt;"",IFERROR(VLOOKUP(Tabela2[[#This Row],[AGRUPADOR]],Lucratividade!$D$4:$O$129,6,0),0),"")</f>
        <v/>
      </c>
      <c r="N1323" s="379">
        <f>IF(H1323&lt;&gt;"",J1323*M1323*I1323,SUMIFS(N1324:N$9844,$F1324:$F$9844,"*"&amp;F1323&amp;"*",$H1324:$H$9844,"&lt;&gt;"))</f>
        <v>0</v>
      </c>
      <c r="O1323" s="162" t="str">
        <f>IFERROR((-Tabela2[[#This Row],[CUSTO TOTAL]]+Tabela2[[#This Row],[VENDA TOTAL]])/Tabela2[[#This Row],[VENDA TOTAL]]-PARAMETROS!$C$19,"")</f>
        <v/>
      </c>
      <c r="AA1323" s="218">
        <f>SUM(Plan_Orc[[#This Row],[01/jan]:[01/dez]])</f>
        <v>0</v>
      </c>
      <c r="AB1323" s="12"/>
      <c r="AC1323" s="12"/>
      <c r="AD1323" s="12"/>
      <c r="AE1323" s="12"/>
      <c r="AF1323" s="12"/>
      <c r="AG1323" s="12"/>
      <c r="AH1323" s="12"/>
      <c r="AI1323" s="12"/>
      <c r="AJ1323" s="12"/>
      <c r="AK1323" s="12"/>
      <c r="AL1323" s="12"/>
      <c r="AM1323" s="12"/>
    </row>
    <row r="1324" spans="2:39" ht="25.2" customHeight="1" x14ac:dyDescent="0.3">
      <c r="B1324" s="13" t="str">
        <f t="shared" si="24"/>
        <v/>
      </c>
      <c r="C1324" s="18"/>
      <c r="D1324" s="19" t="str">
        <f>IF(Tabela2[[#This Row],[AGRUPADOR]]&lt;&gt;"",VLOOKUP(Tabela2[[#This Row],[AGRUPADOR]],Tabela1[],2,0),"")</f>
        <v/>
      </c>
      <c r="E1324" s="19" t="str">
        <f>IF(Tabela2[[#This Row],[AGRUPADOR]]&lt;&gt;"",VLOOKUP(Tabela2[[#This Row],[AGRUPADOR]],Tabela1[],4,0),"")</f>
        <v/>
      </c>
      <c r="F1324" s="14"/>
      <c r="G1324" s="6"/>
      <c r="H1324" s="6"/>
      <c r="I1324" s="25"/>
      <c r="J1324" s="7"/>
      <c r="K1324" s="15"/>
      <c r="L1324" s="379">
        <f>IF(H1324&lt;&gt;"",J1324*K1324,SUMIFS(L1325:L$9844,$F1325:$F$9844,"*"&amp;F1324&amp;"*",$H1325:$H$9844,"&lt;&gt;"))</f>
        <v>0</v>
      </c>
      <c r="M1324" s="379" t="str">
        <f>IF(Tabela2[[#This Row],[UNID.]]&lt;&gt;"",IFERROR(VLOOKUP(Tabela2[[#This Row],[AGRUPADOR]],Lucratividade!$D$4:$O$129,6,0),0),"")</f>
        <v/>
      </c>
      <c r="N1324" s="379">
        <f>IF(H1324&lt;&gt;"",J1324*M1324*I1324,SUMIFS(N1325:N$9844,$F1325:$F$9844,"*"&amp;F1324&amp;"*",$H1325:$H$9844,"&lt;&gt;"))</f>
        <v>0</v>
      </c>
      <c r="O1324" s="162" t="str">
        <f>IFERROR((-Tabela2[[#This Row],[CUSTO TOTAL]]+Tabela2[[#This Row],[VENDA TOTAL]])/Tabela2[[#This Row],[VENDA TOTAL]]-PARAMETROS!$C$19,"")</f>
        <v/>
      </c>
      <c r="AA1324" s="219">
        <f>SUM(Plan_Orc[[#This Row],[01/jan]:[01/dez]])</f>
        <v>0</v>
      </c>
      <c r="AB1324" s="15"/>
      <c r="AC1324" s="15"/>
      <c r="AD1324" s="15"/>
      <c r="AE1324" s="15"/>
      <c r="AF1324" s="15"/>
      <c r="AG1324" s="15"/>
      <c r="AH1324" s="15"/>
      <c r="AI1324" s="15"/>
      <c r="AJ1324" s="15"/>
      <c r="AK1324" s="15"/>
      <c r="AL1324" s="15"/>
      <c r="AM1324" s="15"/>
    </row>
    <row r="1325" spans="2:39" ht="25.2" customHeight="1" x14ac:dyDescent="0.3">
      <c r="B1325" s="13" t="str">
        <f t="shared" si="24"/>
        <v/>
      </c>
      <c r="C1325" s="18"/>
      <c r="D1325" s="19" t="str">
        <f>IF(Tabela2[[#This Row],[AGRUPADOR]]&lt;&gt;"",VLOOKUP(Tabela2[[#This Row],[AGRUPADOR]],Tabela1[],2,0),"")</f>
        <v/>
      </c>
      <c r="E1325" s="19" t="str">
        <f>IF(Tabela2[[#This Row],[AGRUPADOR]]&lt;&gt;"",VLOOKUP(Tabela2[[#This Row],[AGRUPADOR]],Tabela1[],4,0),"")</f>
        <v/>
      </c>
      <c r="F1325" s="14"/>
      <c r="G1325" s="6"/>
      <c r="H1325" s="6"/>
      <c r="I1325" s="25"/>
      <c r="J1325" s="7"/>
      <c r="K1325" s="15"/>
      <c r="L1325" s="379">
        <f>IF(H1325&lt;&gt;"",J1325*K1325,SUMIFS(L1326:L$9844,$F1326:$F$9844,"*"&amp;F1325&amp;"*",$H1326:$H$9844,"&lt;&gt;"))</f>
        <v>0</v>
      </c>
      <c r="M1325" s="379" t="str">
        <f>IF(Tabela2[[#This Row],[UNID.]]&lt;&gt;"",IFERROR(VLOOKUP(Tabela2[[#This Row],[AGRUPADOR]],Lucratividade!$D$4:$O$129,6,0),0),"")</f>
        <v/>
      </c>
      <c r="N1325" s="379">
        <f>IF(H1325&lt;&gt;"",J1325*M1325*I1325,SUMIFS(N1326:N$9844,$F1326:$F$9844,"*"&amp;F1325&amp;"*",$H1326:$H$9844,"&lt;&gt;"))</f>
        <v>0</v>
      </c>
      <c r="O1325" s="162" t="str">
        <f>IFERROR((-Tabela2[[#This Row],[CUSTO TOTAL]]+Tabela2[[#This Row],[VENDA TOTAL]])/Tabela2[[#This Row],[VENDA TOTAL]]-PARAMETROS!$C$19,"")</f>
        <v/>
      </c>
      <c r="AA1325" s="219">
        <f>SUM(Plan_Orc[[#This Row],[01/jan]:[01/dez]])</f>
        <v>0</v>
      </c>
      <c r="AB1325" s="15"/>
      <c r="AC1325" s="15"/>
      <c r="AD1325" s="15"/>
      <c r="AE1325" s="15"/>
      <c r="AF1325" s="15"/>
      <c r="AG1325" s="15"/>
      <c r="AH1325" s="15"/>
      <c r="AI1325" s="15"/>
      <c r="AJ1325" s="15"/>
      <c r="AK1325" s="15"/>
      <c r="AL1325" s="15"/>
      <c r="AM1325" s="15"/>
    </row>
    <row r="1326" spans="2:39" ht="25.2" customHeight="1" x14ac:dyDescent="0.3">
      <c r="B1326" s="13" t="str">
        <f t="shared" si="24"/>
        <v/>
      </c>
      <c r="C1326" s="18"/>
      <c r="D1326" s="19" t="str">
        <f>IF(Tabela2[[#This Row],[AGRUPADOR]]&lt;&gt;"",VLOOKUP(Tabela2[[#This Row],[AGRUPADOR]],Tabela1[],2,0),"")</f>
        <v/>
      </c>
      <c r="E1326" s="19" t="str">
        <f>IF(Tabela2[[#This Row],[AGRUPADOR]]&lt;&gt;"",VLOOKUP(Tabela2[[#This Row],[AGRUPADOR]],Tabela1[],4,0),"")</f>
        <v/>
      </c>
      <c r="F1326" s="14"/>
      <c r="G1326" s="6"/>
      <c r="H1326" s="6"/>
      <c r="I1326" s="25"/>
      <c r="J1326" s="7"/>
      <c r="K1326" s="15"/>
      <c r="L1326" s="379">
        <f>IF(H1326&lt;&gt;"",J1326*K1326,SUMIFS(L1327:L$9844,$F1327:$F$9844,"*"&amp;F1326&amp;"*",$H1327:$H$9844,"&lt;&gt;"))</f>
        <v>0</v>
      </c>
      <c r="M1326" s="379" t="str">
        <f>IF(Tabela2[[#This Row],[UNID.]]&lt;&gt;"",IFERROR(VLOOKUP(Tabela2[[#This Row],[AGRUPADOR]],Lucratividade!$D$4:$O$129,6,0),0),"")</f>
        <v/>
      </c>
      <c r="N1326" s="379">
        <f>IF(H1326&lt;&gt;"",J1326*M1326*I1326,SUMIFS(N1327:N$9844,$F1327:$F$9844,"*"&amp;F1326&amp;"*",$H1327:$H$9844,"&lt;&gt;"))</f>
        <v>0</v>
      </c>
      <c r="O1326" s="162" t="str">
        <f>IFERROR((-Tabela2[[#This Row],[CUSTO TOTAL]]+Tabela2[[#This Row],[VENDA TOTAL]])/Tabela2[[#This Row],[VENDA TOTAL]]-PARAMETROS!$C$19,"")</f>
        <v/>
      </c>
      <c r="AA1326" s="219">
        <f>SUM(Plan_Orc[[#This Row],[01/jan]:[01/dez]])</f>
        <v>0</v>
      </c>
      <c r="AB1326" s="15"/>
      <c r="AC1326" s="15"/>
      <c r="AD1326" s="15"/>
      <c r="AE1326" s="15"/>
      <c r="AF1326" s="15"/>
      <c r="AG1326" s="15"/>
      <c r="AH1326" s="15"/>
      <c r="AI1326" s="15"/>
      <c r="AJ1326" s="15"/>
      <c r="AK1326" s="15"/>
      <c r="AL1326" s="15"/>
      <c r="AM1326" s="15"/>
    </row>
    <row r="1327" spans="2:39" ht="25.2" customHeight="1" x14ac:dyDescent="0.3">
      <c r="B1327" s="13" t="str">
        <f t="shared" si="24"/>
        <v/>
      </c>
      <c r="C1327" s="18"/>
      <c r="D1327" s="19" t="str">
        <f>IF(Tabela2[[#This Row],[AGRUPADOR]]&lt;&gt;"",VLOOKUP(Tabela2[[#This Row],[AGRUPADOR]],Tabela1[],2,0),"")</f>
        <v/>
      </c>
      <c r="E1327" s="19" t="str">
        <f>IF(Tabela2[[#This Row],[AGRUPADOR]]&lt;&gt;"",VLOOKUP(Tabela2[[#This Row],[AGRUPADOR]],Tabela1[],4,0),"")</f>
        <v/>
      </c>
      <c r="F1327" s="14"/>
      <c r="G1327" s="6"/>
      <c r="H1327" s="6"/>
      <c r="I1327" s="25"/>
      <c r="J1327" s="7"/>
      <c r="K1327" s="15"/>
      <c r="L1327" s="379">
        <f>IF(H1327&lt;&gt;"",J1327*K1327,SUMIFS(L1328:L$9844,$F1328:$F$9844,"*"&amp;F1327&amp;"*",$H1328:$H$9844,"&lt;&gt;"))</f>
        <v>0</v>
      </c>
      <c r="M1327" s="379" t="str">
        <f>IF(Tabela2[[#This Row],[UNID.]]&lt;&gt;"",IFERROR(VLOOKUP(Tabela2[[#This Row],[AGRUPADOR]],Lucratividade!$D$4:$O$129,6,0),0),"")</f>
        <v/>
      </c>
      <c r="N1327" s="379">
        <f>IF(H1327&lt;&gt;"",J1327*M1327*I1327,SUMIFS(N1328:N$9844,$F1328:$F$9844,"*"&amp;F1327&amp;"*",$H1328:$H$9844,"&lt;&gt;"))</f>
        <v>0</v>
      </c>
      <c r="O1327" s="162" t="str">
        <f>IFERROR((-Tabela2[[#This Row],[CUSTO TOTAL]]+Tabela2[[#This Row],[VENDA TOTAL]])/Tabela2[[#This Row],[VENDA TOTAL]]-PARAMETROS!$C$19,"")</f>
        <v/>
      </c>
      <c r="AA1327" s="219">
        <f>SUM(Plan_Orc[[#This Row],[01/jan]:[01/dez]])</f>
        <v>0</v>
      </c>
      <c r="AB1327" s="15"/>
      <c r="AC1327" s="15"/>
      <c r="AD1327" s="15"/>
      <c r="AE1327" s="15"/>
      <c r="AF1327" s="15"/>
      <c r="AG1327" s="15"/>
      <c r="AH1327" s="15"/>
      <c r="AI1327" s="15"/>
      <c r="AJ1327" s="15"/>
      <c r="AK1327" s="15"/>
      <c r="AL1327" s="15"/>
      <c r="AM1327" s="15"/>
    </row>
    <row r="1328" spans="2:39" ht="25.2" customHeight="1" x14ac:dyDescent="0.3">
      <c r="B1328" s="13" t="str">
        <f t="shared" si="24"/>
        <v/>
      </c>
      <c r="C1328" s="18"/>
      <c r="D1328" s="19" t="str">
        <f>IF(Tabela2[[#This Row],[AGRUPADOR]]&lt;&gt;"",VLOOKUP(Tabela2[[#This Row],[AGRUPADOR]],Tabela1[],2,0),"")</f>
        <v/>
      </c>
      <c r="E1328" s="19" t="str">
        <f>IF(Tabela2[[#This Row],[AGRUPADOR]]&lt;&gt;"",VLOOKUP(Tabela2[[#This Row],[AGRUPADOR]],Tabela1[],4,0),"")</f>
        <v/>
      </c>
      <c r="F1328" s="14"/>
      <c r="G1328" s="6"/>
      <c r="H1328" s="6"/>
      <c r="I1328" s="25"/>
      <c r="J1328" s="7"/>
      <c r="K1328" s="15"/>
      <c r="L1328" s="379">
        <f>IF(H1328&lt;&gt;"",J1328*K1328,SUMIFS(L1329:L$9844,$F1329:$F$9844,"*"&amp;F1328&amp;"*",$H1329:$H$9844,"&lt;&gt;"))</f>
        <v>0</v>
      </c>
      <c r="M1328" s="379" t="str">
        <f>IF(Tabela2[[#This Row],[UNID.]]&lt;&gt;"",IFERROR(VLOOKUP(Tabela2[[#This Row],[AGRUPADOR]],Lucratividade!$D$4:$O$129,6,0),0),"")</f>
        <v/>
      </c>
      <c r="N1328" s="379">
        <f>IF(H1328&lt;&gt;"",J1328*M1328*I1328,SUMIFS(N1329:N$9844,$F1329:$F$9844,"*"&amp;F1328&amp;"*",$H1329:$H$9844,"&lt;&gt;"))</f>
        <v>0</v>
      </c>
      <c r="O1328" s="162" t="str">
        <f>IFERROR((-Tabela2[[#This Row],[CUSTO TOTAL]]+Tabela2[[#This Row],[VENDA TOTAL]])/Tabela2[[#This Row],[VENDA TOTAL]]-PARAMETROS!$C$19,"")</f>
        <v/>
      </c>
      <c r="AA1328" s="219">
        <f>SUM(Plan_Orc[[#This Row],[01/jan]:[01/dez]])</f>
        <v>0</v>
      </c>
      <c r="AB1328" s="15"/>
      <c r="AC1328" s="15"/>
      <c r="AD1328" s="15"/>
      <c r="AE1328" s="15"/>
      <c r="AF1328" s="15"/>
      <c r="AG1328" s="15"/>
      <c r="AH1328" s="15"/>
      <c r="AI1328" s="15"/>
      <c r="AJ1328" s="15"/>
      <c r="AK1328" s="15"/>
      <c r="AL1328" s="15"/>
      <c r="AM1328" s="15"/>
    </row>
    <row r="1329" spans="2:39" ht="25.2" customHeight="1" x14ac:dyDescent="0.3">
      <c r="B1329" s="13" t="str">
        <f t="shared" si="24"/>
        <v/>
      </c>
      <c r="C1329" s="18"/>
      <c r="D1329" s="19" t="str">
        <f>IF(Tabela2[[#This Row],[AGRUPADOR]]&lt;&gt;"",VLOOKUP(Tabela2[[#This Row],[AGRUPADOR]],Tabela1[],2,0),"")</f>
        <v/>
      </c>
      <c r="E1329" s="19" t="str">
        <f>IF(Tabela2[[#This Row],[AGRUPADOR]]&lt;&gt;"",VLOOKUP(Tabela2[[#This Row],[AGRUPADOR]],Tabela1[],4,0),"")</f>
        <v/>
      </c>
      <c r="F1329" s="14"/>
      <c r="G1329" s="6"/>
      <c r="H1329" s="6"/>
      <c r="I1329" s="25"/>
      <c r="J1329" s="7"/>
      <c r="K1329" s="15"/>
      <c r="L1329" s="379">
        <f>IF(H1329&lt;&gt;"",J1329*K1329,SUMIFS(L1330:L$9844,$F1330:$F$9844,"*"&amp;F1329&amp;"*",$H1330:$H$9844,"&lt;&gt;"))</f>
        <v>0</v>
      </c>
      <c r="M1329" s="379" t="str">
        <f>IF(Tabela2[[#This Row],[UNID.]]&lt;&gt;"",IFERROR(VLOOKUP(Tabela2[[#This Row],[AGRUPADOR]],Lucratividade!$D$4:$O$129,6,0),0),"")</f>
        <v/>
      </c>
      <c r="N1329" s="379">
        <f>IF(H1329&lt;&gt;"",J1329*M1329*I1329,SUMIFS(N1330:N$9844,$F1330:$F$9844,"*"&amp;F1329&amp;"*",$H1330:$H$9844,"&lt;&gt;"))</f>
        <v>0</v>
      </c>
      <c r="O1329" s="162" t="str">
        <f>IFERROR((-Tabela2[[#This Row],[CUSTO TOTAL]]+Tabela2[[#This Row],[VENDA TOTAL]])/Tabela2[[#This Row],[VENDA TOTAL]]-PARAMETROS!$C$19,"")</f>
        <v/>
      </c>
      <c r="AA1329" s="219">
        <f>SUM(Plan_Orc[[#This Row],[01/jan]:[01/dez]])</f>
        <v>0</v>
      </c>
      <c r="AB1329" s="15"/>
      <c r="AC1329" s="15"/>
      <c r="AD1329" s="15"/>
      <c r="AE1329" s="15"/>
      <c r="AF1329" s="15"/>
      <c r="AG1329" s="15"/>
      <c r="AH1329" s="15"/>
      <c r="AI1329" s="15"/>
      <c r="AJ1329" s="15"/>
      <c r="AK1329" s="15"/>
      <c r="AL1329" s="15"/>
      <c r="AM1329" s="15"/>
    </row>
    <row r="1330" spans="2:39" ht="25.2" customHeight="1" x14ac:dyDescent="0.3">
      <c r="B1330" s="13" t="str">
        <f t="shared" si="24"/>
        <v/>
      </c>
      <c r="C1330" s="18"/>
      <c r="D1330" s="19" t="str">
        <f>IF(Tabela2[[#This Row],[AGRUPADOR]]&lt;&gt;"",VLOOKUP(Tabela2[[#This Row],[AGRUPADOR]],Tabela1[],2,0),"")</f>
        <v/>
      </c>
      <c r="E1330" s="19" t="str">
        <f>IF(Tabela2[[#This Row],[AGRUPADOR]]&lt;&gt;"",VLOOKUP(Tabela2[[#This Row],[AGRUPADOR]],Tabela1[],4,0),"")</f>
        <v/>
      </c>
      <c r="F1330" s="14"/>
      <c r="G1330" s="6"/>
      <c r="H1330" s="6"/>
      <c r="I1330" s="25"/>
      <c r="J1330" s="7"/>
      <c r="K1330" s="15"/>
      <c r="L1330" s="379">
        <f>IF(H1330&lt;&gt;"",J1330*K1330,SUMIFS(L1331:L$9844,$F1331:$F$9844,"*"&amp;F1330&amp;"*",$H1331:$H$9844,"&lt;&gt;"))</f>
        <v>0</v>
      </c>
      <c r="M1330" s="379" t="str">
        <f>IF(Tabela2[[#This Row],[UNID.]]&lt;&gt;"",IFERROR(VLOOKUP(Tabela2[[#This Row],[AGRUPADOR]],Lucratividade!$D$4:$O$129,6,0),0),"")</f>
        <v/>
      </c>
      <c r="N1330" s="379">
        <f>IF(H1330&lt;&gt;"",J1330*M1330*I1330,SUMIFS(N1331:N$9844,$F1331:$F$9844,"*"&amp;F1330&amp;"*",$H1331:$H$9844,"&lt;&gt;"))</f>
        <v>0</v>
      </c>
      <c r="O1330" s="162" t="str">
        <f>IFERROR((-Tabela2[[#This Row],[CUSTO TOTAL]]+Tabela2[[#This Row],[VENDA TOTAL]])/Tabela2[[#This Row],[VENDA TOTAL]]-PARAMETROS!$C$19,"")</f>
        <v/>
      </c>
      <c r="AA1330" s="219">
        <f>SUM(Plan_Orc[[#This Row],[01/jan]:[01/dez]])</f>
        <v>0</v>
      </c>
      <c r="AB1330" s="15"/>
      <c r="AC1330" s="15"/>
      <c r="AD1330" s="15"/>
      <c r="AE1330" s="15"/>
      <c r="AF1330" s="15"/>
      <c r="AG1330" s="15"/>
      <c r="AH1330" s="15"/>
      <c r="AI1330" s="15"/>
      <c r="AJ1330" s="15"/>
      <c r="AK1330" s="15"/>
      <c r="AL1330" s="15"/>
      <c r="AM1330" s="15"/>
    </row>
    <row r="1331" spans="2:39" ht="25.2" customHeight="1" x14ac:dyDescent="0.3">
      <c r="B1331" s="13" t="str">
        <f t="shared" si="24"/>
        <v/>
      </c>
      <c r="C1331" s="18"/>
      <c r="D1331" s="19" t="str">
        <f>IF(Tabela2[[#This Row],[AGRUPADOR]]&lt;&gt;"",VLOOKUP(Tabela2[[#This Row],[AGRUPADOR]],Tabela1[],2,0),"")</f>
        <v/>
      </c>
      <c r="E1331" s="19" t="str">
        <f>IF(Tabela2[[#This Row],[AGRUPADOR]]&lt;&gt;"",VLOOKUP(Tabela2[[#This Row],[AGRUPADOR]],Tabela1[],4,0),"")</f>
        <v/>
      </c>
      <c r="F1331" s="14"/>
      <c r="G1331" s="6"/>
      <c r="H1331" s="6"/>
      <c r="I1331" s="25"/>
      <c r="J1331" s="7"/>
      <c r="K1331" s="15"/>
      <c r="L1331" s="379">
        <f>IF(H1331&lt;&gt;"",J1331*K1331,SUMIFS(L1332:L$9844,$F1332:$F$9844,"*"&amp;F1331&amp;"*",$H1332:$H$9844,"&lt;&gt;"))</f>
        <v>0</v>
      </c>
      <c r="M1331" s="379" t="str">
        <f>IF(Tabela2[[#This Row],[UNID.]]&lt;&gt;"",IFERROR(VLOOKUP(Tabela2[[#This Row],[AGRUPADOR]],Lucratividade!$D$4:$O$129,6,0),0),"")</f>
        <v/>
      </c>
      <c r="N1331" s="379">
        <f>IF(H1331&lt;&gt;"",J1331*M1331*I1331,SUMIFS(N1332:N$9844,$F1332:$F$9844,"*"&amp;F1331&amp;"*",$H1332:$H$9844,"&lt;&gt;"))</f>
        <v>0</v>
      </c>
      <c r="O1331" s="162" t="str">
        <f>IFERROR((-Tabela2[[#This Row],[CUSTO TOTAL]]+Tabela2[[#This Row],[VENDA TOTAL]])/Tabela2[[#This Row],[VENDA TOTAL]]-PARAMETROS!$C$19,"")</f>
        <v/>
      </c>
      <c r="AA1331" s="219">
        <f>SUM(Plan_Orc[[#This Row],[01/jan]:[01/dez]])</f>
        <v>0</v>
      </c>
      <c r="AB1331" s="15"/>
      <c r="AC1331" s="15"/>
      <c r="AD1331" s="15"/>
      <c r="AE1331" s="15"/>
      <c r="AF1331" s="15"/>
      <c r="AG1331" s="15"/>
      <c r="AH1331" s="15"/>
      <c r="AI1331" s="15"/>
      <c r="AJ1331" s="15"/>
      <c r="AK1331" s="15"/>
      <c r="AL1331" s="15"/>
      <c r="AM1331" s="15"/>
    </row>
    <row r="1332" spans="2:39" ht="25.2" customHeight="1" x14ac:dyDescent="0.3">
      <c r="B1332" s="13" t="str">
        <f t="shared" si="24"/>
        <v/>
      </c>
      <c r="C1332" s="18"/>
      <c r="D1332" s="19" t="str">
        <f>IF(Tabela2[[#This Row],[AGRUPADOR]]&lt;&gt;"",VLOOKUP(Tabela2[[#This Row],[AGRUPADOR]],Tabela1[],2,0),"")</f>
        <v/>
      </c>
      <c r="E1332" s="19" t="str">
        <f>IF(Tabela2[[#This Row],[AGRUPADOR]]&lt;&gt;"",VLOOKUP(Tabela2[[#This Row],[AGRUPADOR]],Tabela1[],4,0),"")</f>
        <v/>
      </c>
      <c r="F1332" s="14"/>
      <c r="G1332" s="6"/>
      <c r="H1332" s="6"/>
      <c r="I1332" s="25"/>
      <c r="J1332" s="7"/>
      <c r="K1332" s="15"/>
      <c r="L1332" s="379">
        <f>IF(H1332&lt;&gt;"",J1332*K1332,SUMIFS(L1333:L$9844,$F1333:$F$9844,"*"&amp;F1332&amp;"*",$H1333:$H$9844,"&lt;&gt;"))</f>
        <v>0</v>
      </c>
      <c r="M1332" s="379" t="str">
        <f>IF(Tabela2[[#This Row],[UNID.]]&lt;&gt;"",IFERROR(VLOOKUP(Tabela2[[#This Row],[AGRUPADOR]],Lucratividade!$D$4:$O$129,6,0),0),"")</f>
        <v/>
      </c>
      <c r="N1332" s="379">
        <f>IF(H1332&lt;&gt;"",J1332*M1332*I1332,SUMIFS(N1333:N$9844,$F1333:$F$9844,"*"&amp;F1332&amp;"*",$H1333:$H$9844,"&lt;&gt;"))</f>
        <v>0</v>
      </c>
      <c r="O1332" s="162" t="str">
        <f>IFERROR((-Tabela2[[#This Row],[CUSTO TOTAL]]+Tabela2[[#This Row],[VENDA TOTAL]])/Tabela2[[#This Row],[VENDA TOTAL]]-PARAMETROS!$C$19,"")</f>
        <v/>
      </c>
      <c r="AA1332" s="219">
        <f>SUM(Plan_Orc[[#This Row],[01/jan]:[01/dez]])</f>
        <v>0</v>
      </c>
      <c r="AB1332" s="15"/>
      <c r="AC1332" s="15"/>
      <c r="AD1332" s="15"/>
      <c r="AE1332" s="15"/>
      <c r="AF1332" s="15"/>
      <c r="AG1332" s="15"/>
      <c r="AH1332" s="15"/>
      <c r="AI1332" s="15"/>
      <c r="AJ1332" s="15"/>
      <c r="AK1332" s="15"/>
      <c r="AL1332" s="15"/>
      <c r="AM1332" s="15"/>
    </row>
    <row r="1333" spans="2:39" ht="25.2" customHeight="1" x14ac:dyDescent="0.3">
      <c r="B1333" s="13" t="str">
        <f t="shared" si="24"/>
        <v/>
      </c>
      <c r="C1333" s="18"/>
      <c r="D1333" s="19" t="str">
        <f>IF(Tabela2[[#This Row],[AGRUPADOR]]&lt;&gt;"",VLOOKUP(Tabela2[[#This Row],[AGRUPADOR]],Tabela1[],2,0),"")</f>
        <v/>
      </c>
      <c r="E1333" s="19" t="str">
        <f>IF(Tabela2[[#This Row],[AGRUPADOR]]&lt;&gt;"",VLOOKUP(Tabela2[[#This Row],[AGRUPADOR]],Tabela1[],4,0),"")</f>
        <v/>
      </c>
      <c r="F1333" s="14"/>
      <c r="G1333" s="6"/>
      <c r="H1333" s="6"/>
      <c r="I1333" s="25"/>
      <c r="J1333" s="7"/>
      <c r="K1333" s="15"/>
      <c r="L1333" s="379">
        <f>IF(H1333&lt;&gt;"",J1333*K1333,SUMIFS(L1334:L$9844,$F1334:$F$9844,"*"&amp;F1333&amp;"*",$H1334:$H$9844,"&lt;&gt;"))</f>
        <v>0</v>
      </c>
      <c r="M1333" s="379" t="str">
        <f>IF(Tabela2[[#This Row],[UNID.]]&lt;&gt;"",IFERROR(VLOOKUP(Tabela2[[#This Row],[AGRUPADOR]],Lucratividade!$D$4:$O$129,6,0),0),"")</f>
        <v/>
      </c>
      <c r="N1333" s="379">
        <f>IF(H1333&lt;&gt;"",J1333*M1333*I1333,SUMIFS(N1334:N$9844,$F1334:$F$9844,"*"&amp;F1333&amp;"*",$H1334:$H$9844,"&lt;&gt;"))</f>
        <v>0</v>
      </c>
      <c r="O1333" s="162" t="str">
        <f>IFERROR((-Tabela2[[#This Row],[CUSTO TOTAL]]+Tabela2[[#This Row],[VENDA TOTAL]])/Tabela2[[#This Row],[VENDA TOTAL]]-PARAMETROS!$C$19,"")</f>
        <v/>
      </c>
      <c r="AA1333" s="219">
        <f>SUM(Plan_Orc[[#This Row],[01/jan]:[01/dez]])</f>
        <v>0</v>
      </c>
      <c r="AB1333" s="15"/>
      <c r="AC1333" s="15"/>
      <c r="AD1333" s="15"/>
      <c r="AE1333" s="15"/>
      <c r="AF1333" s="15"/>
      <c r="AG1333" s="15"/>
      <c r="AH1333" s="15"/>
      <c r="AI1333" s="15"/>
      <c r="AJ1333" s="15"/>
      <c r="AK1333" s="15"/>
      <c r="AL1333" s="15"/>
      <c r="AM1333" s="15"/>
    </row>
    <row r="1334" spans="2:39" ht="25.2" customHeight="1" x14ac:dyDescent="0.3">
      <c r="B1334" s="13" t="str">
        <f t="shared" si="24"/>
        <v/>
      </c>
      <c r="C1334" s="18"/>
      <c r="D1334" s="19" t="str">
        <f>IF(Tabela2[[#This Row],[AGRUPADOR]]&lt;&gt;"",VLOOKUP(Tabela2[[#This Row],[AGRUPADOR]],Tabela1[],2,0),"")</f>
        <v/>
      </c>
      <c r="E1334" s="19" t="str">
        <f>IF(Tabela2[[#This Row],[AGRUPADOR]]&lt;&gt;"",VLOOKUP(Tabela2[[#This Row],[AGRUPADOR]],Tabela1[],4,0),"")</f>
        <v/>
      </c>
      <c r="F1334" s="14"/>
      <c r="G1334" s="6"/>
      <c r="H1334" s="6"/>
      <c r="I1334" s="25"/>
      <c r="J1334" s="7"/>
      <c r="K1334" s="15"/>
      <c r="L1334" s="379">
        <f>IF(H1334&lt;&gt;"",J1334*K1334,SUMIFS(L1335:L$9844,$F1335:$F$9844,"*"&amp;F1334&amp;"*",$H1335:$H$9844,"&lt;&gt;"))</f>
        <v>0</v>
      </c>
      <c r="M1334" s="379" t="str">
        <f>IF(Tabela2[[#This Row],[UNID.]]&lt;&gt;"",IFERROR(VLOOKUP(Tabela2[[#This Row],[AGRUPADOR]],Lucratividade!$D$4:$O$129,6,0),0),"")</f>
        <v/>
      </c>
      <c r="N1334" s="379">
        <f>IF(H1334&lt;&gt;"",J1334*M1334*I1334,SUMIFS(N1335:N$9844,$F1335:$F$9844,"*"&amp;F1334&amp;"*",$H1335:$H$9844,"&lt;&gt;"))</f>
        <v>0</v>
      </c>
      <c r="O1334" s="162" t="str">
        <f>IFERROR((-Tabela2[[#This Row],[CUSTO TOTAL]]+Tabela2[[#This Row],[VENDA TOTAL]])/Tabela2[[#This Row],[VENDA TOTAL]]-PARAMETROS!$C$19,"")</f>
        <v/>
      </c>
      <c r="AA1334" s="219">
        <f>SUM(Plan_Orc[[#This Row],[01/jan]:[01/dez]])</f>
        <v>0</v>
      </c>
      <c r="AB1334" s="15"/>
      <c r="AC1334" s="15"/>
      <c r="AD1334" s="15"/>
      <c r="AE1334" s="15"/>
      <c r="AF1334" s="15"/>
      <c r="AG1334" s="15"/>
      <c r="AH1334" s="15"/>
      <c r="AI1334" s="15"/>
      <c r="AJ1334" s="15"/>
      <c r="AK1334" s="15"/>
      <c r="AL1334" s="15"/>
      <c r="AM1334" s="15"/>
    </row>
    <row r="1335" spans="2:39" ht="25.2" customHeight="1" x14ac:dyDescent="0.3">
      <c r="B1335" s="13" t="str">
        <f t="shared" si="24"/>
        <v/>
      </c>
      <c r="C1335" s="18"/>
      <c r="D1335" s="19" t="str">
        <f>IF(Tabela2[[#This Row],[AGRUPADOR]]&lt;&gt;"",VLOOKUP(Tabela2[[#This Row],[AGRUPADOR]],Tabela1[],2,0),"")</f>
        <v/>
      </c>
      <c r="E1335" s="19" t="str">
        <f>IF(Tabela2[[#This Row],[AGRUPADOR]]&lt;&gt;"",VLOOKUP(Tabela2[[#This Row],[AGRUPADOR]],Tabela1[],4,0),"")</f>
        <v/>
      </c>
      <c r="F1335" s="14"/>
      <c r="G1335" s="6"/>
      <c r="H1335" s="6"/>
      <c r="I1335" s="25"/>
      <c r="J1335" s="7"/>
      <c r="K1335" s="15"/>
      <c r="L1335" s="379">
        <f>IF(H1335&lt;&gt;"",J1335*K1335,SUMIFS(L1336:L$9844,$F1336:$F$9844,"*"&amp;F1335&amp;"*",$H1336:$H$9844,"&lt;&gt;"))</f>
        <v>0</v>
      </c>
      <c r="M1335" s="379" t="str">
        <f>IF(Tabela2[[#This Row],[UNID.]]&lt;&gt;"",IFERROR(VLOOKUP(Tabela2[[#This Row],[AGRUPADOR]],Lucratividade!$D$4:$O$129,6,0),0),"")</f>
        <v/>
      </c>
      <c r="N1335" s="379">
        <f>IF(H1335&lt;&gt;"",J1335*M1335*I1335,SUMIFS(N1336:N$9844,$F1336:$F$9844,"*"&amp;F1335&amp;"*",$H1336:$H$9844,"&lt;&gt;"))</f>
        <v>0</v>
      </c>
      <c r="O1335" s="162" t="str">
        <f>IFERROR((-Tabela2[[#This Row],[CUSTO TOTAL]]+Tabela2[[#This Row],[VENDA TOTAL]])/Tabela2[[#This Row],[VENDA TOTAL]]-PARAMETROS!$C$19,"")</f>
        <v/>
      </c>
      <c r="AA1335" s="219">
        <f>SUM(Plan_Orc[[#This Row],[01/jan]:[01/dez]])</f>
        <v>0</v>
      </c>
      <c r="AB1335" s="15"/>
      <c r="AC1335" s="15"/>
      <c r="AD1335" s="15"/>
      <c r="AE1335" s="15"/>
      <c r="AF1335" s="15"/>
      <c r="AG1335" s="15"/>
      <c r="AH1335" s="15"/>
      <c r="AI1335" s="15"/>
      <c r="AJ1335" s="15"/>
      <c r="AK1335" s="15"/>
      <c r="AL1335" s="15"/>
      <c r="AM1335" s="15"/>
    </row>
    <row r="1336" spans="2:39" ht="25.2" customHeight="1" x14ac:dyDescent="0.3">
      <c r="B1336" s="13" t="str">
        <f t="shared" si="24"/>
        <v/>
      </c>
      <c r="C1336" s="18"/>
      <c r="D1336" s="19" t="str">
        <f>IF(Tabela2[[#This Row],[AGRUPADOR]]&lt;&gt;"",VLOOKUP(Tabela2[[#This Row],[AGRUPADOR]],Tabela1[],2,0),"")</f>
        <v/>
      </c>
      <c r="E1336" s="19" t="str">
        <f>IF(Tabela2[[#This Row],[AGRUPADOR]]&lt;&gt;"",VLOOKUP(Tabela2[[#This Row],[AGRUPADOR]],Tabela1[],4,0),"")</f>
        <v/>
      </c>
      <c r="F1336" s="14"/>
      <c r="G1336" s="6"/>
      <c r="H1336" s="6"/>
      <c r="I1336" s="25"/>
      <c r="J1336" s="7"/>
      <c r="K1336" s="15"/>
      <c r="L1336" s="379">
        <f>IF(H1336&lt;&gt;"",J1336*K1336,SUMIFS(L1337:L$9844,$F1337:$F$9844,"*"&amp;F1336&amp;"*",$H1337:$H$9844,"&lt;&gt;"))</f>
        <v>0</v>
      </c>
      <c r="M1336" s="379" t="str">
        <f>IF(Tabela2[[#This Row],[UNID.]]&lt;&gt;"",IFERROR(VLOOKUP(Tabela2[[#This Row],[AGRUPADOR]],Lucratividade!$D$4:$O$129,6,0),0),"")</f>
        <v/>
      </c>
      <c r="N1336" s="379">
        <f>IF(H1336&lt;&gt;"",J1336*M1336*I1336,SUMIFS(N1337:N$9844,$F1337:$F$9844,"*"&amp;F1336&amp;"*",$H1337:$H$9844,"&lt;&gt;"))</f>
        <v>0</v>
      </c>
      <c r="O1336" s="162" t="str">
        <f>IFERROR((-Tabela2[[#This Row],[CUSTO TOTAL]]+Tabela2[[#This Row],[VENDA TOTAL]])/Tabela2[[#This Row],[VENDA TOTAL]]-PARAMETROS!$C$19,"")</f>
        <v/>
      </c>
      <c r="AA1336" s="219">
        <f>SUM(Plan_Orc[[#This Row],[01/jan]:[01/dez]])</f>
        <v>0</v>
      </c>
      <c r="AB1336" s="15"/>
      <c r="AC1336" s="15"/>
      <c r="AD1336" s="15"/>
      <c r="AE1336" s="15"/>
      <c r="AF1336" s="15"/>
      <c r="AG1336" s="15"/>
      <c r="AH1336" s="15"/>
      <c r="AI1336" s="15"/>
      <c r="AJ1336" s="15"/>
      <c r="AK1336" s="15"/>
      <c r="AL1336" s="15"/>
      <c r="AM1336" s="15"/>
    </row>
    <row r="1337" spans="2:39" ht="25.2" customHeight="1" x14ac:dyDescent="0.3">
      <c r="B1337" s="13" t="str">
        <f t="shared" si="24"/>
        <v/>
      </c>
      <c r="C1337" s="18"/>
      <c r="D1337" s="19" t="str">
        <f>IF(Tabela2[[#This Row],[AGRUPADOR]]&lt;&gt;"",VLOOKUP(Tabela2[[#This Row],[AGRUPADOR]],Tabela1[],2,0),"")</f>
        <v/>
      </c>
      <c r="E1337" s="19" t="str">
        <f>IF(Tabela2[[#This Row],[AGRUPADOR]]&lt;&gt;"",VLOOKUP(Tabela2[[#This Row],[AGRUPADOR]],Tabela1[],4,0),"")</f>
        <v/>
      </c>
      <c r="F1337" s="14"/>
      <c r="G1337" s="6"/>
      <c r="H1337" s="6"/>
      <c r="I1337" s="25"/>
      <c r="J1337" s="7"/>
      <c r="K1337" s="15"/>
      <c r="L1337" s="379">
        <f>IF(H1337&lt;&gt;"",J1337*K1337,SUMIFS(L1338:L$9844,$F1338:$F$9844,"*"&amp;F1337&amp;"*",$H1338:$H$9844,"&lt;&gt;"))</f>
        <v>0</v>
      </c>
      <c r="M1337" s="379" t="str">
        <f>IF(Tabela2[[#This Row],[UNID.]]&lt;&gt;"",IFERROR(VLOOKUP(Tabela2[[#This Row],[AGRUPADOR]],Lucratividade!$D$4:$O$129,6,0),0),"")</f>
        <v/>
      </c>
      <c r="N1337" s="379">
        <f>IF(H1337&lt;&gt;"",J1337*M1337*I1337,SUMIFS(N1338:N$9844,$F1338:$F$9844,"*"&amp;F1337&amp;"*",$H1338:$H$9844,"&lt;&gt;"))</f>
        <v>0</v>
      </c>
      <c r="O1337" s="162" t="str">
        <f>IFERROR((-Tabela2[[#This Row],[CUSTO TOTAL]]+Tabela2[[#This Row],[VENDA TOTAL]])/Tabela2[[#This Row],[VENDA TOTAL]]-PARAMETROS!$C$19,"")</f>
        <v/>
      </c>
      <c r="AA1337" s="219">
        <f>SUM(Plan_Orc[[#This Row],[01/jan]:[01/dez]])</f>
        <v>0</v>
      </c>
      <c r="AB1337" s="15"/>
      <c r="AC1337" s="15"/>
      <c r="AD1337" s="15"/>
      <c r="AE1337" s="15"/>
      <c r="AF1337" s="15"/>
      <c r="AG1337" s="15"/>
      <c r="AH1337" s="15"/>
      <c r="AI1337" s="15"/>
      <c r="AJ1337" s="15"/>
      <c r="AK1337" s="15"/>
      <c r="AL1337" s="15"/>
      <c r="AM1337" s="15"/>
    </row>
    <row r="1338" spans="2:39" ht="25.2" customHeight="1" x14ac:dyDescent="0.3">
      <c r="B1338" s="13" t="str">
        <f t="shared" si="24"/>
        <v/>
      </c>
      <c r="C1338" s="18"/>
      <c r="D1338" s="19" t="str">
        <f>IF(Tabela2[[#This Row],[AGRUPADOR]]&lt;&gt;"",VLOOKUP(Tabela2[[#This Row],[AGRUPADOR]],Tabela1[],2,0),"")</f>
        <v/>
      </c>
      <c r="E1338" s="19" t="str">
        <f>IF(Tabela2[[#This Row],[AGRUPADOR]]&lt;&gt;"",VLOOKUP(Tabela2[[#This Row],[AGRUPADOR]],Tabela1[],4,0),"")</f>
        <v/>
      </c>
      <c r="F1338" s="14"/>
      <c r="G1338" s="6"/>
      <c r="H1338" s="6"/>
      <c r="I1338" s="25"/>
      <c r="J1338" s="7"/>
      <c r="K1338" s="15"/>
      <c r="L1338" s="379">
        <f>IF(H1338&lt;&gt;"",J1338*K1338,SUMIFS(L1339:L$9844,$F1339:$F$9844,"*"&amp;F1338&amp;"*",$H1339:$H$9844,"&lt;&gt;"))</f>
        <v>0</v>
      </c>
      <c r="M1338" s="379" t="str">
        <f>IF(Tabela2[[#This Row],[UNID.]]&lt;&gt;"",IFERROR(VLOOKUP(Tabela2[[#This Row],[AGRUPADOR]],Lucratividade!$D$4:$O$129,6,0),0),"")</f>
        <v/>
      </c>
      <c r="N1338" s="379">
        <f>IF(H1338&lt;&gt;"",J1338*M1338*I1338,SUMIFS(N1339:N$9844,$F1339:$F$9844,"*"&amp;F1338&amp;"*",$H1339:$H$9844,"&lt;&gt;"))</f>
        <v>0</v>
      </c>
      <c r="O1338" s="162" t="str">
        <f>IFERROR((-Tabela2[[#This Row],[CUSTO TOTAL]]+Tabela2[[#This Row],[VENDA TOTAL]])/Tabela2[[#This Row],[VENDA TOTAL]]-PARAMETROS!$C$19,"")</f>
        <v/>
      </c>
      <c r="AA1338" s="219">
        <f>SUM(Plan_Orc[[#This Row],[01/jan]:[01/dez]])</f>
        <v>0</v>
      </c>
      <c r="AB1338" s="15"/>
      <c r="AC1338" s="15"/>
      <c r="AD1338" s="15"/>
      <c r="AE1338" s="15"/>
      <c r="AF1338" s="15"/>
      <c r="AG1338" s="15"/>
      <c r="AH1338" s="15"/>
      <c r="AI1338" s="15"/>
      <c r="AJ1338" s="15"/>
      <c r="AK1338" s="15"/>
      <c r="AL1338" s="15"/>
      <c r="AM1338" s="15"/>
    </row>
    <row r="1339" spans="2:39" ht="25.2" customHeight="1" x14ac:dyDescent="0.3">
      <c r="B1339" s="13" t="str">
        <f t="shared" si="24"/>
        <v/>
      </c>
      <c r="C1339" s="18"/>
      <c r="D1339" s="19" t="str">
        <f>IF(Tabela2[[#This Row],[AGRUPADOR]]&lt;&gt;"",VLOOKUP(Tabela2[[#This Row],[AGRUPADOR]],Tabela1[],2,0),"")</f>
        <v/>
      </c>
      <c r="E1339" s="19" t="str">
        <f>IF(Tabela2[[#This Row],[AGRUPADOR]]&lt;&gt;"",VLOOKUP(Tabela2[[#This Row],[AGRUPADOR]],Tabela1[],4,0),"")</f>
        <v/>
      </c>
      <c r="F1339" s="14"/>
      <c r="G1339" s="6"/>
      <c r="H1339" s="6"/>
      <c r="I1339" s="25"/>
      <c r="J1339" s="7"/>
      <c r="K1339" s="15"/>
      <c r="L1339" s="379">
        <f>IF(H1339&lt;&gt;"",J1339*K1339,SUMIFS(L1340:L$9844,$F1340:$F$9844,"*"&amp;F1339&amp;"*",$H1340:$H$9844,"&lt;&gt;"))</f>
        <v>0</v>
      </c>
      <c r="M1339" s="379" t="str">
        <f>IF(Tabela2[[#This Row],[UNID.]]&lt;&gt;"",IFERROR(VLOOKUP(Tabela2[[#This Row],[AGRUPADOR]],Lucratividade!$D$4:$O$129,6,0),0),"")</f>
        <v/>
      </c>
      <c r="N1339" s="379">
        <f>IF(H1339&lt;&gt;"",J1339*M1339*I1339,SUMIFS(N1340:N$9844,$F1340:$F$9844,"*"&amp;F1339&amp;"*",$H1340:$H$9844,"&lt;&gt;"))</f>
        <v>0</v>
      </c>
      <c r="O1339" s="162" t="str">
        <f>IFERROR((-Tabela2[[#This Row],[CUSTO TOTAL]]+Tabela2[[#This Row],[VENDA TOTAL]])/Tabela2[[#This Row],[VENDA TOTAL]]-PARAMETROS!$C$19,"")</f>
        <v/>
      </c>
      <c r="AA1339" s="219">
        <f>SUM(Plan_Orc[[#This Row],[01/jan]:[01/dez]])</f>
        <v>0</v>
      </c>
      <c r="AB1339" s="15"/>
      <c r="AC1339" s="15"/>
      <c r="AD1339" s="15"/>
      <c r="AE1339" s="15"/>
      <c r="AF1339" s="15"/>
      <c r="AG1339" s="15"/>
      <c r="AH1339" s="15"/>
      <c r="AI1339" s="15"/>
      <c r="AJ1339" s="15"/>
      <c r="AK1339" s="15"/>
      <c r="AL1339" s="15"/>
      <c r="AM1339" s="15"/>
    </row>
    <row r="1340" spans="2:39" ht="25.2" customHeight="1" x14ac:dyDescent="0.3">
      <c r="B1340" s="13" t="str">
        <f t="shared" si="24"/>
        <v/>
      </c>
      <c r="C1340" s="18"/>
      <c r="D1340" s="19" t="str">
        <f>IF(Tabela2[[#This Row],[AGRUPADOR]]&lt;&gt;"",VLOOKUP(Tabela2[[#This Row],[AGRUPADOR]],Tabela1[],2,0),"")</f>
        <v/>
      </c>
      <c r="E1340" s="19" t="str">
        <f>IF(Tabela2[[#This Row],[AGRUPADOR]]&lt;&gt;"",VLOOKUP(Tabela2[[#This Row],[AGRUPADOR]],Tabela1[],4,0),"")</f>
        <v/>
      </c>
      <c r="F1340" s="14"/>
      <c r="G1340" s="6"/>
      <c r="H1340" s="6"/>
      <c r="I1340" s="25"/>
      <c r="J1340" s="7"/>
      <c r="K1340" s="15"/>
      <c r="L1340" s="379">
        <f>IF(H1340&lt;&gt;"",J1340*K1340,SUMIFS(L1341:L$9844,$F1341:$F$9844,"*"&amp;F1340&amp;"*",$H1341:$H$9844,"&lt;&gt;"))</f>
        <v>0</v>
      </c>
      <c r="M1340" s="379" t="str">
        <f>IF(Tabela2[[#This Row],[UNID.]]&lt;&gt;"",IFERROR(VLOOKUP(Tabela2[[#This Row],[AGRUPADOR]],Lucratividade!$D$4:$O$129,6,0),0),"")</f>
        <v/>
      </c>
      <c r="N1340" s="379">
        <f>IF(H1340&lt;&gt;"",J1340*M1340*I1340,SUMIFS(N1341:N$9844,$F1341:$F$9844,"*"&amp;F1340&amp;"*",$H1341:$H$9844,"&lt;&gt;"))</f>
        <v>0</v>
      </c>
      <c r="O1340" s="162" t="str">
        <f>IFERROR((-Tabela2[[#This Row],[CUSTO TOTAL]]+Tabela2[[#This Row],[VENDA TOTAL]])/Tabela2[[#This Row],[VENDA TOTAL]]-PARAMETROS!$C$19,"")</f>
        <v/>
      </c>
      <c r="AA1340" s="219">
        <f>SUM(Plan_Orc[[#This Row],[01/jan]:[01/dez]])</f>
        <v>0</v>
      </c>
      <c r="AB1340" s="15"/>
      <c r="AC1340" s="15"/>
      <c r="AD1340" s="15"/>
      <c r="AE1340" s="15"/>
      <c r="AF1340" s="15"/>
      <c r="AG1340" s="15"/>
      <c r="AH1340" s="15"/>
      <c r="AI1340" s="15"/>
      <c r="AJ1340" s="15"/>
      <c r="AK1340" s="15"/>
      <c r="AL1340" s="15"/>
      <c r="AM1340" s="15"/>
    </row>
    <row r="1341" spans="2:39" ht="25.2" customHeight="1" x14ac:dyDescent="0.3">
      <c r="B1341" s="13" t="str">
        <f t="shared" si="24"/>
        <v/>
      </c>
      <c r="C1341" s="18"/>
      <c r="D1341" s="19" t="str">
        <f>IF(Tabela2[[#This Row],[AGRUPADOR]]&lt;&gt;"",VLOOKUP(Tabela2[[#This Row],[AGRUPADOR]],Tabela1[],2,0),"")</f>
        <v/>
      </c>
      <c r="E1341" s="19" t="str">
        <f>IF(Tabela2[[#This Row],[AGRUPADOR]]&lt;&gt;"",VLOOKUP(Tabela2[[#This Row],[AGRUPADOR]],Tabela1[],4,0),"")</f>
        <v/>
      </c>
      <c r="F1341" s="14"/>
      <c r="G1341" s="6"/>
      <c r="H1341" s="6"/>
      <c r="I1341" s="25"/>
      <c r="J1341" s="7"/>
      <c r="K1341" s="15"/>
      <c r="L1341" s="379">
        <f>IF(H1341&lt;&gt;"",J1341*K1341,SUMIFS(L1342:L$9844,$F1342:$F$9844,"*"&amp;F1341&amp;"*",$H1342:$H$9844,"&lt;&gt;"))</f>
        <v>0</v>
      </c>
      <c r="M1341" s="379" t="str">
        <f>IF(Tabela2[[#This Row],[UNID.]]&lt;&gt;"",IFERROR(VLOOKUP(Tabela2[[#This Row],[AGRUPADOR]],Lucratividade!$D$4:$O$129,6,0),0),"")</f>
        <v/>
      </c>
      <c r="N1341" s="379">
        <f>IF(H1341&lt;&gt;"",J1341*M1341*I1341,SUMIFS(N1342:N$9844,$F1342:$F$9844,"*"&amp;F1341&amp;"*",$H1342:$H$9844,"&lt;&gt;"))</f>
        <v>0</v>
      </c>
      <c r="O1341" s="162" t="str">
        <f>IFERROR((-Tabela2[[#This Row],[CUSTO TOTAL]]+Tabela2[[#This Row],[VENDA TOTAL]])/Tabela2[[#This Row],[VENDA TOTAL]]-PARAMETROS!$C$19,"")</f>
        <v/>
      </c>
      <c r="AA1341" s="219">
        <f>SUM(Plan_Orc[[#This Row],[01/jan]:[01/dez]])</f>
        <v>0</v>
      </c>
      <c r="AB1341" s="15"/>
      <c r="AC1341" s="15"/>
      <c r="AD1341" s="15"/>
      <c r="AE1341" s="15"/>
      <c r="AF1341" s="15"/>
      <c r="AG1341" s="15"/>
      <c r="AH1341" s="15"/>
      <c r="AI1341" s="15"/>
      <c r="AJ1341" s="15"/>
      <c r="AK1341" s="15"/>
      <c r="AL1341" s="15"/>
      <c r="AM1341" s="15"/>
    </row>
    <row r="1342" spans="2:39" ht="25.2" customHeight="1" x14ac:dyDescent="0.3">
      <c r="B1342" s="13" t="str">
        <f t="shared" si="24"/>
        <v/>
      </c>
      <c r="C1342" s="18"/>
      <c r="D1342" s="19" t="str">
        <f>IF(Tabela2[[#This Row],[AGRUPADOR]]&lt;&gt;"",VLOOKUP(Tabela2[[#This Row],[AGRUPADOR]],Tabela1[],2,0),"")</f>
        <v/>
      </c>
      <c r="E1342" s="19" t="str">
        <f>IF(Tabela2[[#This Row],[AGRUPADOR]]&lt;&gt;"",VLOOKUP(Tabela2[[#This Row],[AGRUPADOR]],Tabela1[],4,0),"")</f>
        <v/>
      </c>
      <c r="F1342" s="14"/>
      <c r="G1342" s="6"/>
      <c r="H1342" s="6"/>
      <c r="I1342" s="25"/>
      <c r="J1342" s="7"/>
      <c r="K1342" s="15"/>
      <c r="L1342" s="379">
        <f>IF(H1342&lt;&gt;"",J1342*K1342,SUMIFS(L1343:L$9844,$F1343:$F$9844,"*"&amp;F1342&amp;"*",$H1343:$H$9844,"&lt;&gt;"))</f>
        <v>0</v>
      </c>
      <c r="M1342" s="379" t="str">
        <f>IF(Tabela2[[#This Row],[UNID.]]&lt;&gt;"",IFERROR(VLOOKUP(Tabela2[[#This Row],[AGRUPADOR]],Lucratividade!$D$4:$O$129,6,0),0),"")</f>
        <v/>
      </c>
      <c r="N1342" s="379">
        <f>IF(H1342&lt;&gt;"",J1342*M1342*I1342,SUMIFS(N1343:N$9844,$F1343:$F$9844,"*"&amp;F1342&amp;"*",$H1343:$H$9844,"&lt;&gt;"))</f>
        <v>0</v>
      </c>
      <c r="O1342" s="162" t="str">
        <f>IFERROR((-Tabela2[[#This Row],[CUSTO TOTAL]]+Tabela2[[#This Row],[VENDA TOTAL]])/Tabela2[[#This Row],[VENDA TOTAL]]-PARAMETROS!$C$19,"")</f>
        <v/>
      </c>
      <c r="AA1342" s="219">
        <f>SUM(Plan_Orc[[#This Row],[01/jan]:[01/dez]])</f>
        <v>0</v>
      </c>
      <c r="AB1342" s="15"/>
      <c r="AC1342" s="15"/>
      <c r="AD1342" s="15"/>
      <c r="AE1342" s="15"/>
      <c r="AF1342" s="15"/>
      <c r="AG1342" s="15"/>
      <c r="AH1342" s="15"/>
      <c r="AI1342" s="15"/>
      <c r="AJ1342" s="15"/>
      <c r="AK1342" s="15"/>
      <c r="AL1342" s="15"/>
      <c r="AM1342" s="15"/>
    </row>
    <row r="1343" spans="2:39" ht="25.2" customHeight="1" x14ac:dyDescent="0.3">
      <c r="B1343" s="13" t="str">
        <f t="shared" si="24"/>
        <v/>
      </c>
      <c r="C1343" s="18"/>
      <c r="D1343" s="19" t="str">
        <f>IF(Tabela2[[#This Row],[AGRUPADOR]]&lt;&gt;"",VLOOKUP(Tabela2[[#This Row],[AGRUPADOR]],Tabela1[],2,0),"")</f>
        <v/>
      </c>
      <c r="E1343" s="19" t="str">
        <f>IF(Tabela2[[#This Row],[AGRUPADOR]]&lt;&gt;"",VLOOKUP(Tabela2[[#This Row],[AGRUPADOR]],Tabela1[],4,0),"")</f>
        <v/>
      </c>
      <c r="F1343" s="14"/>
      <c r="G1343" s="6"/>
      <c r="H1343" s="6"/>
      <c r="I1343" s="25"/>
      <c r="J1343" s="7"/>
      <c r="K1343" s="15"/>
      <c r="L1343" s="379">
        <f>IF(H1343&lt;&gt;"",J1343*K1343,SUMIFS(L1344:L$9844,$F1344:$F$9844,"*"&amp;F1343&amp;"*",$H1344:$H$9844,"&lt;&gt;"))</f>
        <v>0</v>
      </c>
      <c r="M1343" s="379" t="str">
        <f>IF(Tabela2[[#This Row],[UNID.]]&lt;&gt;"",IFERROR(VLOOKUP(Tabela2[[#This Row],[AGRUPADOR]],Lucratividade!$D$4:$O$129,6,0),0),"")</f>
        <v/>
      </c>
      <c r="N1343" s="379">
        <f>IF(H1343&lt;&gt;"",J1343*M1343*I1343,SUMIFS(N1344:N$9844,$F1344:$F$9844,"*"&amp;F1343&amp;"*",$H1344:$H$9844,"&lt;&gt;"))</f>
        <v>0</v>
      </c>
      <c r="O1343" s="162" t="str">
        <f>IFERROR((-Tabela2[[#This Row],[CUSTO TOTAL]]+Tabela2[[#This Row],[VENDA TOTAL]])/Tabela2[[#This Row],[VENDA TOTAL]]-PARAMETROS!$C$19,"")</f>
        <v/>
      </c>
      <c r="AA1343" s="219">
        <f>SUM(Plan_Orc[[#This Row],[01/jan]:[01/dez]])</f>
        <v>0</v>
      </c>
      <c r="AB1343" s="15"/>
      <c r="AC1343" s="15"/>
      <c r="AD1343" s="15"/>
      <c r="AE1343" s="15"/>
      <c r="AF1343" s="15"/>
      <c r="AG1343" s="15"/>
      <c r="AH1343" s="15"/>
      <c r="AI1343" s="15"/>
      <c r="AJ1343" s="15"/>
      <c r="AK1343" s="15"/>
      <c r="AL1343" s="15"/>
      <c r="AM1343" s="15"/>
    </row>
    <row r="1344" spans="2:39" ht="25.2" customHeight="1" x14ac:dyDescent="0.3">
      <c r="B1344" s="13" t="str">
        <f t="shared" si="24"/>
        <v/>
      </c>
      <c r="C1344" s="18"/>
      <c r="D1344" s="19" t="str">
        <f>IF(Tabela2[[#This Row],[AGRUPADOR]]&lt;&gt;"",VLOOKUP(Tabela2[[#This Row],[AGRUPADOR]],Tabela1[],2,0),"")</f>
        <v/>
      </c>
      <c r="E1344" s="19" t="str">
        <f>IF(Tabela2[[#This Row],[AGRUPADOR]]&lt;&gt;"",VLOOKUP(Tabela2[[#This Row],[AGRUPADOR]],Tabela1[],4,0),"")</f>
        <v/>
      </c>
      <c r="F1344" s="14"/>
      <c r="G1344" s="6"/>
      <c r="H1344" s="6"/>
      <c r="I1344" s="25"/>
      <c r="J1344" s="7"/>
      <c r="K1344" s="15"/>
      <c r="L1344" s="379">
        <f>IF(H1344&lt;&gt;"",J1344*K1344,SUMIFS(L1345:L$9844,$F1345:$F$9844,"*"&amp;F1344&amp;"*",$H1345:$H$9844,"&lt;&gt;"))</f>
        <v>0</v>
      </c>
      <c r="M1344" s="379" t="str">
        <f>IF(Tabela2[[#This Row],[UNID.]]&lt;&gt;"",IFERROR(VLOOKUP(Tabela2[[#This Row],[AGRUPADOR]],Lucratividade!$D$4:$O$129,6,0),0),"")</f>
        <v/>
      </c>
      <c r="N1344" s="379">
        <f>IF(H1344&lt;&gt;"",J1344*M1344*I1344,SUMIFS(N1345:N$9844,$F1345:$F$9844,"*"&amp;F1344&amp;"*",$H1345:$H$9844,"&lt;&gt;"))</f>
        <v>0</v>
      </c>
      <c r="O1344" s="162" t="str">
        <f>IFERROR((-Tabela2[[#This Row],[CUSTO TOTAL]]+Tabela2[[#This Row],[VENDA TOTAL]])/Tabela2[[#This Row],[VENDA TOTAL]]-PARAMETROS!$C$19,"")</f>
        <v/>
      </c>
      <c r="AA1344" s="219">
        <f>SUM(Plan_Orc[[#This Row],[01/jan]:[01/dez]])</f>
        <v>0</v>
      </c>
      <c r="AB1344" s="15"/>
      <c r="AC1344" s="15"/>
      <c r="AD1344" s="15"/>
      <c r="AE1344" s="15"/>
      <c r="AF1344" s="15"/>
      <c r="AG1344" s="15"/>
      <c r="AH1344" s="15"/>
      <c r="AI1344" s="15"/>
      <c r="AJ1344" s="15"/>
      <c r="AK1344" s="15"/>
      <c r="AL1344" s="15"/>
      <c r="AM1344" s="15"/>
    </row>
    <row r="1345" spans="2:39" ht="25.2" customHeight="1" x14ac:dyDescent="0.3">
      <c r="B1345" s="13" t="str">
        <f t="shared" si="24"/>
        <v/>
      </c>
      <c r="C1345" s="18"/>
      <c r="D1345" s="19" t="str">
        <f>IF(Tabela2[[#This Row],[AGRUPADOR]]&lt;&gt;"",VLOOKUP(Tabela2[[#This Row],[AGRUPADOR]],Tabela1[],2,0),"")</f>
        <v/>
      </c>
      <c r="E1345" s="19" t="str">
        <f>IF(Tabela2[[#This Row],[AGRUPADOR]]&lt;&gt;"",VLOOKUP(Tabela2[[#This Row],[AGRUPADOR]],Tabela1[],4,0),"")</f>
        <v/>
      </c>
      <c r="F1345" s="14"/>
      <c r="G1345" s="6"/>
      <c r="H1345" s="6"/>
      <c r="I1345" s="25"/>
      <c r="J1345" s="7"/>
      <c r="K1345" s="15"/>
      <c r="L1345" s="379">
        <f>IF(H1345&lt;&gt;"",J1345*K1345,SUMIFS(L1346:L$9844,$F1346:$F$9844,"*"&amp;F1345&amp;"*",$H1346:$H$9844,"&lt;&gt;"))</f>
        <v>0</v>
      </c>
      <c r="M1345" s="379" t="str">
        <f>IF(Tabela2[[#This Row],[UNID.]]&lt;&gt;"",IFERROR(VLOOKUP(Tabela2[[#This Row],[AGRUPADOR]],Lucratividade!$D$4:$O$129,6,0),0),"")</f>
        <v/>
      </c>
      <c r="N1345" s="379">
        <f>IF(H1345&lt;&gt;"",J1345*M1345*I1345,SUMIFS(N1346:N$9844,$F1346:$F$9844,"*"&amp;F1345&amp;"*",$H1346:$H$9844,"&lt;&gt;"))</f>
        <v>0</v>
      </c>
      <c r="O1345" s="162" t="str">
        <f>IFERROR((-Tabela2[[#This Row],[CUSTO TOTAL]]+Tabela2[[#This Row],[VENDA TOTAL]])/Tabela2[[#This Row],[VENDA TOTAL]]-PARAMETROS!$C$19,"")</f>
        <v/>
      </c>
      <c r="AA1345" s="219">
        <f>SUM(Plan_Orc[[#This Row],[01/jan]:[01/dez]])</f>
        <v>0</v>
      </c>
      <c r="AB1345" s="15"/>
      <c r="AC1345" s="15"/>
      <c r="AD1345" s="15"/>
      <c r="AE1345" s="15"/>
      <c r="AF1345" s="15"/>
      <c r="AG1345" s="15"/>
      <c r="AH1345" s="15"/>
      <c r="AI1345" s="15"/>
      <c r="AJ1345" s="15"/>
      <c r="AK1345" s="15"/>
      <c r="AL1345" s="15"/>
      <c r="AM1345" s="15"/>
    </row>
    <row r="1346" spans="2:39" ht="25.2" customHeight="1" x14ac:dyDescent="0.3">
      <c r="B1346" s="13" t="str">
        <f t="shared" si="24"/>
        <v/>
      </c>
      <c r="C1346" s="18"/>
      <c r="D1346" s="19" t="str">
        <f>IF(Tabela2[[#This Row],[AGRUPADOR]]&lt;&gt;"",VLOOKUP(Tabela2[[#This Row],[AGRUPADOR]],Tabela1[],2,0),"")</f>
        <v/>
      </c>
      <c r="E1346" s="19" t="str">
        <f>IF(Tabela2[[#This Row],[AGRUPADOR]]&lt;&gt;"",VLOOKUP(Tabela2[[#This Row],[AGRUPADOR]],Tabela1[],4,0),"")</f>
        <v/>
      </c>
      <c r="F1346" s="14"/>
      <c r="G1346" s="6"/>
      <c r="H1346" s="6"/>
      <c r="I1346" s="25"/>
      <c r="J1346" s="7"/>
      <c r="K1346" s="15"/>
      <c r="L1346" s="379">
        <f>IF(H1346&lt;&gt;"",J1346*K1346,SUMIFS(L1347:L$9844,$F1347:$F$9844,"*"&amp;F1346&amp;"*",$H1347:$H$9844,"&lt;&gt;"))</f>
        <v>0</v>
      </c>
      <c r="M1346" s="379" t="str">
        <f>IF(Tabela2[[#This Row],[UNID.]]&lt;&gt;"",IFERROR(VLOOKUP(Tabela2[[#This Row],[AGRUPADOR]],Lucratividade!$D$4:$O$129,6,0),0),"")</f>
        <v/>
      </c>
      <c r="N1346" s="379">
        <f>IF(H1346&lt;&gt;"",J1346*M1346*I1346,SUMIFS(N1347:N$9844,$F1347:$F$9844,"*"&amp;F1346&amp;"*",$H1347:$H$9844,"&lt;&gt;"))</f>
        <v>0</v>
      </c>
      <c r="O1346" s="162" t="str">
        <f>IFERROR((-Tabela2[[#This Row],[CUSTO TOTAL]]+Tabela2[[#This Row],[VENDA TOTAL]])/Tabela2[[#This Row],[VENDA TOTAL]]-PARAMETROS!$C$19,"")</f>
        <v/>
      </c>
      <c r="AA1346" s="219">
        <f>SUM(Plan_Orc[[#This Row],[01/jan]:[01/dez]])</f>
        <v>0</v>
      </c>
      <c r="AB1346" s="15"/>
      <c r="AC1346" s="15"/>
      <c r="AD1346" s="15"/>
      <c r="AE1346" s="15"/>
      <c r="AF1346" s="15"/>
      <c r="AG1346" s="15"/>
      <c r="AH1346" s="15"/>
      <c r="AI1346" s="15"/>
      <c r="AJ1346" s="15"/>
      <c r="AK1346" s="15"/>
      <c r="AL1346" s="15"/>
      <c r="AM1346" s="15"/>
    </row>
    <row r="1347" spans="2:39" ht="25.2" customHeight="1" x14ac:dyDescent="0.3">
      <c r="B1347" s="13" t="str">
        <f t="shared" si="24"/>
        <v/>
      </c>
      <c r="C1347" s="18"/>
      <c r="D1347" s="19" t="str">
        <f>IF(Tabela2[[#This Row],[AGRUPADOR]]&lt;&gt;"",VLOOKUP(Tabela2[[#This Row],[AGRUPADOR]],Tabela1[],2,0),"")</f>
        <v/>
      </c>
      <c r="E1347" s="19" t="str">
        <f>IF(Tabela2[[#This Row],[AGRUPADOR]]&lt;&gt;"",VLOOKUP(Tabela2[[#This Row],[AGRUPADOR]],Tabela1[],4,0),"")</f>
        <v/>
      </c>
      <c r="F1347" s="14"/>
      <c r="G1347" s="6"/>
      <c r="H1347" s="6"/>
      <c r="I1347" s="25"/>
      <c r="J1347" s="7"/>
      <c r="K1347" s="15"/>
      <c r="L1347" s="379">
        <f>IF(H1347&lt;&gt;"",J1347*K1347,SUMIFS(L1348:L$9844,$F1348:$F$9844,"*"&amp;F1347&amp;"*",$H1348:$H$9844,"&lt;&gt;"))</f>
        <v>0</v>
      </c>
      <c r="M1347" s="379" t="str">
        <f>IF(Tabela2[[#This Row],[UNID.]]&lt;&gt;"",IFERROR(VLOOKUP(Tabela2[[#This Row],[AGRUPADOR]],Lucratividade!$D$4:$O$129,6,0),0),"")</f>
        <v/>
      </c>
      <c r="N1347" s="379">
        <f>IF(H1347&lt;&gt;"",J1347*M1347*I1347,SUMIFS(N1348:N$9844,$F1348:$F$9844,"*"&amp;F1347&amp;"*",$H1348:$H$9844,"&lt;&gt;"))</f>
        <v>0</v>
      </c>
      <c r="O1347" s="162" t="str">
        <f>IFERROR((-Tabela2[[#This Row],[CUSTO TOTAL]]+Tabela2[[#This Row],[VENDA TOTAL]])/Tabela2[[#This Row],[VENDA TOTAL]]-PARAMETROS!$C$19,"")</f>
        <v/>
      </c>
      <c r="AA1347" s="219">
        <f>SUM(Plan_Orc[[#This Row],[01/jan]:[01/dez]])</f>
        <v>0</v>
      </c>
      <c r="AB1347" s="15"/>
      <c r="AC1347" s="15"/>
      <c r="AD1347" s="15"/>
      <c r="AE1347" s="15"/>
      <c r="AF1347" s="15"/>
      <c r="AG1347" s="15"/>
      <c r="AH1347" s="15"/>
      <c r="AI1347" s="15"/>
      <c r="AJ1347" s="15"/>
      <c r="AK1347" s="15"/>
      <c r="AL1347" s="15"/>
      <c r="AM1347" s="15"/>
    </row>
    <row r="1348" spans="2:39" ht="25.2" customHeight="1" x14ac:dyDescent="0.3">
      <c r="B1348" s="13" t="str">
        <f t="shared" ref="B1348:B1411" si="25">IF(LEN(F1348)=3,1,"")</f>
        <v/>
      </c>
      <c r="C1348" s="18"/>
      <c r="D1348" s="19" t="str">
        <f>IF(Tabela2[[#This Row],[AGRUPADOR]]&lt;&gt;"",VLOOKUP(Tabela2[[#This Row],[AGRUPADOR]],Tabela1[],2,0),"")</f>
        <v/>
      </c>
      <c r="E1348" s="19" t="str">
        <f>IF(Tabela2[[#This Row],[AGRUPADOR]]&lt;&gt;"",VLOOKUP(Tabela2[[#This Row],[AGRUPADOR]],Tabela1[],4,0),"")</f>
        <v/>
      </c>
      <c r="F1348" s="14"/>
      <c r="G1348" s="6"/>
      <c r="H1348" s="6"/>
      <c r="I1348" s="25"/>
      <c r="J1348" s="7"/>
      <c r="K1348" s="15"/>
      <c r="L1348" s="379">
        <f>IF(H1348&lt;&gt;"",J1348*K1348,SUMIFS(L1349:L$9844,$F1349:$F$9844,"*"&amp;F1348&amp;"*",$H1349:$H$9844,"&lt;&gt;"))</f>
        <v>0</v>
      </c>
      <c r="M1348" s="379" t="str">
        <f>IF(Tabela2[[#This Row],[UNID.]]&lt;&gt;"",IFERROR(VLOOKUP(Tabela2[[#This Row],[AGRUPADOR]],Lucratividade!$D$4:$O$129,6,0),0),"")</f>
        <v/>
      </c>
      <c r="N1348" s="379">
        <f>IF(H1348&lt;&gt;"",J1348*M1348*I1348,SUMIFS(N1349:N$9844,$F1349:$F$9844,"*"&amp;F1348&amp;"*",$H1349:$H$9844,"&lt;&gt;"))</f>
        <v>0</v>
      </c>
      <c r="O1348" s="162" t="str">
        <f>IFERROR((-Tabela2[[#This Row],[CUSTO TOTAL]]+Tabela2[[#This Row],[VENDA TOTAL]])/Tabela2[[#This Row],[VENDA TOTAL]]-PARAMETROS!$C$19,"")</f>
        <v/>
      </c>
      <c r="AA1348" s="219">
        <f>SUM(Plan_Orc[[#This Row],[01/jan]:[01/dez]])</f>
        <v>0</v>
      </c>
      <c r="AB1348" s="15"/>
      <c r="AC1348" s="15"/>
      <c r="AD1348" s="15"/>
      <c r="AE1348" s="15"/>
      <c r="AF1348" s="15"/>
      <c r="AG1348" s="15"/>
      <c r="AH1348" s="15"/>
      <c r="AI1348" s="15"/>
      <c r="AJ1348" s="15"/>
      <c r="AK1348" s="15"/>
      <c r="AL1348" s="15"/>
      <c r="AM1348" s="15"/>
    </row>
    <row r="1349" spans="2:39" ht="25.2" customHeight="1" x14ac:dyDescent="0.3">
      <c r="B1349" s="13" t="str">
        <f t="shared" si="25"/>
        <v/>
      </c>
      <c r="C1349" s="18"/>
      <c r="D1349" s="19" t="str">
        <f>IF(Tabela2[[#This Row],[AGRUPADOR]]&lt;&gt;"",VLOOKUP(Tabela2[[#This Row],[AGRUPADOR]],Tabela1[],2,0),"")</f>
        <v/>
      </c>
      <c r="E1349" s="19" t="str">
        <f>IF(Tabela2[[#This Row],[AGRUPADOR]]&lt;&gt;"",VLOOKUP(Tabela2[[#This Row],[AGRUPADOR]],Tabela1[],4,0),"")</f>
        <v/>
      </c>
      <c r="F1349" s="14"/>
      <c r="G1349" s="6"/>
      <c r="H1349" s="6"/>
      <c r="I1349" s="25"/>
      <c r="J1349" s="7"/>
      <c r="K1349" s="15"/>
      <c r="L1349" s="379">
        <f>IF(H1349&lt;&gt;"",J1349*K1349,SUMIFS(L1350:L$9844,$F1350:$F$9844,"*"&amp;F1349&amp;"*",$H1350:$H$9844,"&lt;&gt;"))</f>
        <v>0</v>
      </c>
      <c r="M1349" s="379" t="str">
        <f>IF(Tabela2[[#This Row],[UNID.]]&lt;&gt;"",IFERROR(VLOOKUP(Tabela2[[#This Row],[AGRUPADOR]],Lucratividade!$D$4:$O$129,6,0),0),"")</f>
        <v/>
      </c>
      <c r="N1349" s="379">
        <f>IF(H1349&lt;&gt;"",J1349*M1349*I1349,SUMIFS(N1350:N$9844,$F1350:$F$9844,"*"&amp;F1349&amp;"*",$H1350:$H$9844,"&lt;&gt;"))</f>
        <v>0</v>
      </c>
      <c r="O1349" s="162" t="str">
        <f>IFERROR((-Tabela2[[#This Row],[CUSTO TOTAL]]+Tabela2[[#This Row],[VENDA TOTAL]])/Tabela2[[#This Row],[VENDA TOTAL]]-PARAMETROS!$C$19,"")</f>
        <v/>
      </c>
      <c r="AA1349" s="219">
        <f>SUM(Plan_Orc[[#This Row],[01/jan]:[01/dez]])</f>
        <v>0</v>
      </c>
      <c r="AB1349" s="15"/>
      <c r="AC1349" s="15"/>
      <c r="AD1349" s="15"/>
      <c r="AE1349" s="15"/>
      <c r="AF1349" s="15"/>
      <c r="AG1349" s="15"/>
      <c r="AH1349" s="15"/>
      <c r="AI1349" s="15"/>
      <c r="AJ1349" s="15"/>
      <c r="AK1349" s="15"/>
      <c r="AL1349" s="15"/>
      <c r="AM1349" s="15"/>
    </row>
    <row r="1350" spans="2:39" ht="25.2" customHeight="1" x14ac:dyDescent="0.3">
      <c r="B1350" s="13" t="str">
        <f t="shared" si="25"/>
        <v/>
      </c>
      <c r="C1350" s="18"/>
      <c r="D1350" s="19" t="str">
        <f>IF(Tabela2[[#This Row],[AGRUPADOR]]&lt;&gt;"",VLOOKUP(Tabela2[[#This Row],[AGRUPADOR]],Tabela1[],2,0),"")</f>
        <v/>
      </c>
      <c r="E1350" s="19" t="str">
        <f>IF(Tabela2[[#This Row],[AGRUPADOR]]&lt;&gt;"",VLOOKUP(Tabela2[[#This Row],[AGRUPADOR]],Tabela1[],4,0),"")</f>
        <v/>
      </c>
      <c r="F1350" s="14"/>
      <c r="G1350" s="6"/>
      <c r="H1350" s="6"/>
      <c r="I1350" s="25"/>
      <c r="J1350" s="7"/>
      <c r="K1350" s="15"/>
      <c r="L1350" s="379">
        <f>IF(H1350&lt;&gt;"",J1350*K1350,SUMIFS(L1351:L$9844,$F1351:$F$9844,"*"&amp;F1350&amp;"*",$H1351:$H$9844,"&lt;&gt;"))</f>
        <v>0</v>
      </c>
      <c r="M1350" s="379" t="str">
        <f>IF(Tabela2[[#This Row],[UNID.]]&lt;&gt;"",IFERROR(VLOOKUP(Tabela2[[#This Row],[AGRUPADOR]],Lucratividade!$D$4:$O$129,6,0),0),"")</f>
        <v/>
      </c>
      <c r="N1350" s="379">
        <f>IF(H1350&lt;&gt;"",J1350*M1350*I1350,SUMIFS(N1351:N$9844,$F1351:$F$9844,"*"&amp;F1350&amp;"*",$H1351:$H$9844,"&lt;&gt;"))</f>
        <v>0</v>
      </c>
      <c r="O1350" s="162" t="str">
        <f>IFERROR((-Tabela2[[#This Row],[CUSTO TOTAL]]+Tabela2[[#This Row],[VENDA TOTAL]])/Tabela2[[#This Row],[VENDA TOTAL]]-PARAMETROS!$C$19,"")</f>
        <v/>
      </c>
      <c r="AA1350" s="219">
        <f>SUM(Plan_Orc[[#This Row],[01/jan]:[01/dez]])</f>
        <v>0</v>
      </c>
      <c r="AB1350" s="15"/>
      <c r="AC1350" s="15"/>
      <c r="AD1350" s="15"/>
      <c r="AE1350" s="15"/>
      <c r="AF1350" s="15"/>
      <c r="AG1350" s="15"/>
      <c r="AH1350" s="15"/>
      <c r="AI1350" s="15"/>
      <c r="AJ1350" s="15"/>
      <c r="AK1350" s="15"/>
      <c r="AL1350" s="15"/>
      <c r="AM1350" s="15"/>
    </row>
    <row r="1351" spans="2:39" ht="25.2" customHeight="1" x14ac:dyDescent="0.3">
      <c r="B1351" s="13" t="str">
        <f t="shared" si="25"/>
        <v/>
      </c>
      <c r="C1351" s="18"/>
      <c r="D1351" s="19" t="str">
        <f>IF(Tabela2[[#This Row],[AGRUPADOR]]&lt;&gt;"",VLOOKUP(Tabela2[[#This Row],[AGRUPADOR]],Tabela1[],2,0),"")</f>
        <v/>
      </c>
      <c r="E1351" s="19" t="str">
        <f>IF(Tabela2[[#This Row],[AGRUPADOR]]&lt;&gt;"",VLOOKUP(Tabela2[[#This Row],[AGRUPADOR]],Tabela1[],4,0),"")</f>
        <v/>
      </c>
      <c r="F1351" s="14"/>
      <c r="G1351" s="6"/>
      <c r="H1351" s="6"/>
      <c r="I1351" s="25"/>
      <c r="J1351" s="7"/>
      <c r="K1351" s="15"/>
      <c r="L1351" s="379">
        <f>IF(H1351&lt;&gt;"",J1351*K1351,SUMIFS(L1352:L$9844,$F1352:$F$9844,"*"&amp;F1351&amp;"*",$H1352:$H$9844,"&lt;&gt;"))</f>
        <v>0</v>
      </c>
      <c r="M1351" s="379" t="str">
        <f>IF(Tabela2[[#This Row],[UNID.]]&lt;&gt;"",IFERROR(VLOOKUP(Tabela2[[#This Row],[AGRUPADOR]],Lucratividade!$D$4:$O$129,6,0),0),"")</f>
        <v/>
      </c>
      <c r="N1351" s="379">
        <f>IF(H1351&lt;&gt;"",J1351*M1351*I1351,SUMIFS(N1352:N$9844,$F1352:$F$9844,"*"&amp;F1351&amp;"*",$H1352:$H$9844,"&lt;&gt;"))</f>
        <v>0</v>
      </c>
      <c r="O1351" s="162" t="str">
        <f>IFERROR((-Tabela2[[#This Row],[CUSTO TOTAL]]+Tabela2[[#This Row],[VENDA TOTAL]])/Tabela2[[#This Row],[VENDA TOTAL]]-PARAMETROS!$C$19,"")</f>
        <v/>
      </c>
      <c r="AA1351" s="218">
        <f>SUM(Plan_Orc[[#This Row],[01/jan]:[01/dez]])</f>
        <v>0</v>
      </c>
      <c r="AB1351" s="12"/>
      <c r="AC1351" s="12"/>
      <c r="AD1351" s="12"/>
      <c r="AE1351" s="12"/>
      <c r="AF1351" s="12"/>
      <c r="AG1351" s="12"/>
      <c r="AH1351" s="12"/>
      <c r="AI1351" s="12"/>
      <c r="AJ1351" s="12"/>
      <c r="AK1351" s="12"/>
      <c r="AL1351" s="12"/>
      <c r="AM1351" s="12"/>
    </row>
    <row r="1352" spans="2:39" ht="25.2" customHeight="1" x14ac:dyDescent="0.3">
      <c r="B1352" s="13" t="str">
        <f t="shared" si="25"/>
        <v/>
      </c>
      <c r="C1352" s="18"/>
      <c r="D1352" s="19" t="str">
        <f>IF(Tabela2[[#This Row],[AGRUPADOR]]&lt;&gt;"",VLOOKUP(Tabela2[[#This Row],[AGRUPADOR]],Tabela1[],2,0),"")</f>
        <v/>
      </c>
      <c r="E1352" s="19" t="str">
        <f>IF(Tabela2[[#This Row],[AGRUPADOR]]&lt;&gt;"",VLOOKUP(Tabela2[[#This Row],[AGRUPADOR]],Tabela1[],4,0),"")</f>
        <v/>
      </c>
      <c r="F1352" s="14"/>
      <c r="G1352" s="6"/>
      <c r="H1352" s="6"/>
      <c r="I1352" s="25"/>
      <c r="J1352" s="7"/>
      <c r="K1352" s="15"/>
      <c r="L1352" s="379">
        <f>IF(H1352&lt;&gt;"",J1352*K1352,SUMIFS(L1353:L$9844,$F1353:$F$9844,"*"&amp;F1352&amp;"*",$H1353:$H$9844,"&lt;&gt;"))</f>
        <v>0</v>
      </c>
      <c r="M1352" s="379" t="str">
        <f>IF(Tabela2[[#This Row],[UNID.]]&lt;&gt;"",IFERROR(VLOOKUP(Tabela2[[#This Row],[AGRUPADOR]],Lucratividade!$D$4:$O$129,6,0),0),"")</f>
        <v/>
      </c>
      <c r="N1352" s="379">
        <f>IF(H1352&lt;&gt;"",J1352*M1352*I1352,SUMIFS(N1353:N$9844,$F1353:$F$9844,"*"&amp;F1352&amp;"*",$H1353:$H$9844,"&lt;&gt;"))</f>
        <v>0</v>
      </c>
      <c r="O1352" s="162" t="str">
        <f>IFERROR((-Tabela2[[#This Row],[CUSTO TOTAL]]+Tabela2[[#This Row],[VENDA TOTAL]])/Tabela2[[#This Row],[VENDA TOTAL]]-PARAMETROS!$C$19,"")</f>
        <v/>
      </c>
      <c r="AA1352" s="219">
        <f>SUM(Plan_Orc[[#This Row],[01/jan]:[01/dez]])</f>
        <v>0</v>
      </c>
      <c r="AB1352" s="15"/>
      <c r="AC1352" s="15"/>
      <c r="AD1352" s="15"/>
      <c r="AE1352" s="15"/>
      <c r="AF1352" s="15"/>
      <c r="AG1352" s="15"/>
      <c r="AH1352" s="15"/>
      <c r="AI1352" s="15"/>
      <c r="AJ1352" s="15"/>
      <c r="AK1352" s="15"/>
      <c r="AL1352" s="15"/>
      <c r="AM1352" s="15"/>
    </row>
    <row r="1353" spans="2:39" ht="25.2" customHeight="1" x14ac:dyDescent="0.3">
      <c r="B1353" s="13" t="str">
        <f t="shared" si="25"/>
        <v/>
      </c>
      <c r="C1353" s="18"/>
      <c r="D1353" s="19" t="str">
        <f>IF(Tabela2[[#This Row],[AGRUPADOR]]&lt;&gt;"",VLOOKUP(Tabela2[[#This Row],[AGRUPADOR]],Tabela1[],2,0),"")</f>
        <v/>
      </c>
      <c r="E1353" s="19" t="str">
        <f>IF(Tabela2[[#This Row],[AGRUPADOR]]&lt;&gt;"",VLOOKUP(Tabela2[[#This Row],[AGRUPADOR]],Tabela1[],4,0),"")</f>
        <v/>
      </c>
      <c r="F1353" s="14"/>
      <c r="G1353" s="6"/>
      <c r="H1353" s="6"/>
      <c r="I1353" s="25"/>
      <c r="J1353" s="7"/>
      <c r="K1353" s="15"/>
      <c r="L1353" s="379">
        <f>IF(H1353&lt;&gt;"",J1353*K1353,SUMIFS(L1354:L$9844,$F1354:$F$9844,"*"&amp;F1353&amp;"*",$H1354:$H$9844,"&lt;&gt;"))</f>
        <v>0</v>
      </c>
      <c r="M1353" s="379" t="str">
        <f>IF(Tabela2[[#This Row],[UNID.]]&lt;&gt;"",IFERROR(VLOOKUP(Tabela2[[#This Row],[AGRUPADOR]],Lucratividade!$D$4:$O$129,6,0),0),"")</f>
        <v/>
      </c>
      <c r="N1353" s="379">
        <f>IF(H1353&lt;&gt;"",J1353*M1353*I1353,SUMIFS(N1354:N$9844,$F1354:$F$9844,"*"&amp;F1353&amp;"*",$H1354:$H$9844,"&lt;&gt;"))</f>
        <v>0</v>
      </c>
      <c r="O1353" s="162" t="str">
        <f>IFERROR((-Tabela2[[#This Row],[CUSTO TOTAL]]+Tabela2[[#This Row],[VENDA TOTAL]])/Tabela2[[#This Row],[VENDA TOTAL]]-PARAMETROS!$C$19,"")</f>
        <v/>
      </c>
      <c r="AA1353" s="219">
        <f>SUM(Plan_Orc[[#This Row],[01/jan]:[01/dez]])</f>
        <v>0</v>
      </c>
      <c r="AB1353" s="15"/>
      <c r="AC1353" s="15"/>
      <c r="AD1353" s="15"/>
      <c r="AE1353" s="15"/>
      <c r="AF1353" s="15"/>
      <c r="AG1353" s="15"/>
      <c r="AH1353" s="15"/>
      <c r="AI1353" s="15"/>
      <c r="AJ1353" s="15"/>
      <c r="AK1353" s="15"/>
      <c r="AL1353" s="15"/>
      <c r="AM1353" s="15"/>
    </row>
    <row r="1354" spans="2:39" ht="25.2" customHeight="1" x14ac:dyDescent="0.3">
      <c r="B1354" s="13" t="str">
        <f t="shared" si="25"/>
        <v/>
      </c>
      <c r="C1354" s="18"/>
      <c r="D1354" s="19" t="str">
        <f>IF(Tabela2[[#This Row],[AGRUPADOR]]&lt;&gt;"",VLOOKUP(Tabela2[[#This Row],[AGRUPADOR]],Tabela1[],2,0),"")</f>
        <v/>
      </c>
      <c r="E1354" s="19" t="str">
        <f>IF(Tabela2[[#This Row],[AGRUPADOR]]&lt;&gt;"",VLOOKUP(Tabela2[[#This Row],[AGRUPADOR]],Tabela1[],4,0),"")</f>
        <v/>
      </c>
      <c r="F1354" s="14"/>
      <c r="G1354" s="6"/>
      <c r="H1354" s="6"/>
      <c r="I1354" s="25"/>
      <c r="J1354" s="7"/>
      <c r="K1354" s="15"/>
      <c r="L1354" s="379">
        <f>IF(H1354&lt;&gt;"",J1354*K1354,SUMIFS(L1355:L$9844,$F1355:$F$9844,"*"&amp;F1354&amp;"*",$H1355:$H$9844,"&lt;&gt;"))</f>
        <v>0</v>
      </c>
      <c r="M1354" s="379" t="str">
        <f>IF(Tabela2[[#This Row],[UNID.]]&lt;&gt;"",IFERROR(VLOOKUP(Tabela2[[#This Row],[AGRUPADOR]],Lucratividade!$D$4:$O$129,6,0),0),"")</f>
        <v/>
      </c>
      <c r="N1354" s="379">
        <f>IF(H1354&lt;&gt;"",J1354*M1354*I1354,SUMIFS(N1355:N$9844,$F1355:$F$9844,"*"&amp;F1354&amp;"*",$H1355:$H$9844,"&lt;&gt;"))</f>
        <v>0</v>
      </c>
      <c r="O1354" s="162" t="str">
        <f>IFERROR((-Tabela2[[#This Row],[CUSTO TOTAL]]+Tabela2[[#This Row],[VENDA TOTAL]])/Tabela2[[#This Row],[VENDA TOTAL]]-PARAMETROS!$C$19,"")</f>
        <v/>
      </c>
      <c r="AA1354" s="219">
        <f>SUM(Plan_Orc[[#This Row],[01/jan]:[01/dez]])</f>
        <v>0</v>
      </c>
      <c r="AB1354" s="15"/>
      <c r="AC1354" s="15"/>
      <c r="AD1354" s="15"/>
      <c r="AE1354" s="15"/>
      <c r="AF1354" s="15"/>
      <c r="AG1354" s="15"/>
      <c r="AH1354" s="15"/>
      <c r="AI1354" s="15"/>
      <c r="AJ1354" s="15"/>
      <c r="AK1354" s="15"/>
      <c r="AL1354" s="15"/>
      <c r="AM1354" s="15"/>
    </row>
    <row r="1355" spans="2:39" ht="25.2" customHeight="1" x14ac:dyDescent="0.3">
      <c r="B1355" s="13" t="str">
        <f t="shared" si="25"/>
        <v/>
      </c>
      <c r="C1355" s="18"/>
      <c r="D1355" s="19" t="str">
        <f>IF(Tabela2[[#This Row],[AGRUPADOR]]&lt;&gt;"",VLOOKUP(Tabela2[[#This Row],[AGRUPADOR]],Tabela1[],2,0),"")</f>
        <v/>
      </c>
      <c r="E1355" s="19" t="str">
        <f>IF(Tabela2[[#This Row],[AGRUPADOR]]&lt;&gt;"",VLOOKUP(Tabela2[[#This Row],[AGRUPADOR]],Tabela1[],4,0),"")</f>
        <v/>
      </c>
      <c r="F1355" s="14"/>
      <c r="G1355" s="6"/>
      <c r="H1355" s="6"/>
      <c r="I1355" s="25"/>
      <c r="J1355" s="7"/>
      <c r="K1355" s="15"/>
      <c r="L1355" s="379">
        <f>IF(H1355&lt;&gt;"",J1355*K1355,SUMIFS(L1356:L$9844,$F1356:$F$9844,"*"&amp;F1355&amp;"*",$H1356:$H$9844,"&lt;&gt;"))</f>
        <v>0</v>
      </c>
      <c r="M1355" s="379" t="str">
        <f>IF(Tabela2[[#This Row],[UNID.]]&lt;&gt;"",IFERROR(VLOOKUP(Tabela2[[#This Row],[AGRUPADOR]],Lucratividade!$D$4:$O$129,6,0),0),"")</f>
        <v/>
      </c>
      <c r="N1355" s="379">
        <f>IF(H1355&lt;&gt;"",J1355*M1355*I1355,SUMIFS(N1356:N$9844,$F1356:$F$9844,"*"&amp;F1355&amp;"*",$H1356:$H$9844,"&lt;&gt;"))</f>
        <v>0</v>
      </c>
      <c r="O1355" s="162" t="str">
        <f>IFERROR((-Tabela2[[#This Row],[CUSTO TOTAL]]+Tabela2[[#This Row],[VENDA TOTAL]])/Tabela2[[#This Row],[VENDA TOTAL]]-PARAMETROS!$C$19,"")</f>
        <v/>
      </c>
      <c r="AA1355" s="219">
        <f>SUM(Plan_Orc[[#This Row],[01/jan]:[01/dez]])</f>
        <v>0</v>
      </c>
      <c r="AB1355" s="15"/>
      <c r="AC1355" s="15"/>
      <c r="AD1355" s="15"/>
      <c r="AE1355" s="15"/>
      <c r="AF1355" s="15"/>
      <c r="AG1355" s="15"/>
      <c r="AH1355" s="15"/>
      <c r="AI1355" s="15"/>
      <c r="AJ1355" s="15"/>
      <c r="AK1355" s="15"/>
      <c r="AL1355" s="15"/>
      <c r="AM1355" s="15"/>
    </row>
    <row r="1356" spans="2:39" ht="25.2" customHeight="1" x14ac:dyDescent="0.3">
      <c r="B1356" s="13" t="str">
        <f t="shared" si="25"/>
        <v/>
      </c>
      <c r="C1356" s="18"/>
      <c r="D1356" s="19" t="str">
        <f>IF(Tabela2[[#This Row],[AGRUPADOR]]&lt;&gt;"",VLOOKUP(Tabela2[[#This Row],[AGRUPADOR]],Tabela1[],2,0),"")</f>
        <v/>
      </c>
      <c r="E1356" s="19" t="str">
        <f>IF(Tabela2[[#This Row],[AGRUPADOR]]&lt;&gt;"",VLOOKUP(Tabela2[[#This Row],[AGRUPADOR]],Tabela1[],4,0),"")</f>
        <v/>
      </c>
      <c r="F1356" s="14"/>
      <c r="G1356" s="6"/>
      <c r="H1356" s="6"/>
      <c r="I1356" s="25"/>
      <c r="J1356" s="7"/>
      <c r="K1356" s="15"/>
      <c r="L1356" s="379">
        <f>IF(H1356&lt;&gt;"",J1356*K1356,SUMIFS(L1357:L$9844,$F1357:$F$9844,"*"&amp;F1356&amp;"*",$H1357:$H$9844,"&lt;&gt;"))</f>
        <v>0</v>
      </c>
      <c r="M1356" s="379" t="str">
        <f>IF(Tabela2[[#This Row],[UNID.]]&lt;&gt;"",IFERROR(VLOOKUP(Tabela2[[#This Row],[AGRUPADOR]],Lucratividade!$D$4:$O$129,6,0),0),"")</f>
        <v/>
      </c>
      <c r="N1356" s="379">
        <f>IF(H1356&lt;&gt;"",J1356*M1356*I1356,SUMIFS(N1357:N$9844,$F1357:$F$9844,"*"&amp;F1356&amp;"*",$H1357:$H$9844,"&lt;&gt;"))</f>
        <v>0</v>
      </c>
      <c r="O1356" s="162" t="str">
        <f>IFERROR((-Tabela2[[#This Row],[CUSTO TOTAL]]+Tabela2[[#This Row],[VENDA TOTAL]])/Tabela2[[#This Row],[VENDA TOTAL]]-PARAMETROS!$C$19,"")</f>
        <v/>
      </c>
      <c r="AA1356" s="219">
        <f>SUM(Plan_Orc[[#This Row],[01/jan]:[01/dez]])</f>
        <v>0</v>
      </c>
      <c r="AB1356" s="15"/>
      <c r="AC1356" s="15"/>
      <c r="AD1356" s="15"/>
      <c r="AE1356" s="15"/>
      <c r="AF1356" s="15"/>
      <c r="AG1356" s="15"/>
      <c r="AH1356" s="15"/>
      <c r="AI1356" s="15"/>
      <c r="AJ1356" s="15"/>
      <c r="AK1356" s="15"/>
      <c r="AL1356" s="15"/>
      <c r="AM1356" s="15"/>
    </row>
    <row r="1357" spans="2:39" ht="25.2" customHeight="1" x14ac:dyDescent="0.3">
      <c r="B1357" s="13" t="str">
        <f t="shared" si="25"/>
        <v/>
      </c>
      <c r="C1357" s="18"/>
      <c r="D1357" s="19" t="str">
        <f>IF(Tabela2[[#This Row],[AGRUPADOR]]&lt;&gt;"",VLOOKUP(Tabela2[[#This Row],[AGRUPADOR]],Tabela1[],2,0),"")</f>
        <v/>
      </c>
      <c r="E1357" s="19" t="str">
        <f>IF(Tabela2[[#This Row],[AGRUPADOR]]&lt;&gt;"",VLOOKUP(Tabela2[[#This Row],[AGRUPADOR]],Tabela1[],4,0),"")</f>
        <v/>
      </c>
      <c r="F1357" s="14"/>
      <c r="G1357" s="6"/>
      <c r="H1357" s="6"/>
      <c r="I1357" s="25"/>
      <c r="J1357" s="7"/>
      <c r="K1357" s="15"/>
      <c r="L1357" s="379">
        <f>IF(H1357&lt;&gt;"",J1357*K1357,SUMIFS(L1358:L$9844,$F1358:$F$9844,"*"&amp;F1357&amp;"*",$H1358:$H$9844,"&lt;&gt;"))</f>
        <v>0</v>
      </c>
      <c r="M1357" s="379" t="str">
        <f>IF(Tabela2[[#This Row],[UNID.]]&lt;&gt;"",IFERROR(VLOOKUP(Tabela2[[#This Row],[AGRUPADOR]],Lucratividade!$D$4:$O$129,6,0),0),"")</f>
        <v/>
      </c>
      <c r="N1357" s="379">
        <f>IF(H1357&lt;&gt;"",J1357*M1357*I1357,SUMIFS(N1358:N$9844,$F1358:$F$9844,"*"&amp;F1357&amp;"*",$H1358:$H$9844,"&lt;&gt;"))</f>
        <v>0</v>
      </c>
      <c r="O1357" s="162" t="str">
        <f>IFERROR((-Tabela2[[#This Row],[CUSTO TOTAL]]+Tabela2[[#This Row],[VENDA TOTAL]])/Tabela2[[#This Row],[VENDA TOTAL]]-PARAMETROS!$C$19,"")</f>
        <v/>
      </c>
      <c r="AA1357" s="219">
        <f>SUM(Plan_Orc[[#This Row],[01/jan]:[01/dez]])</f>
        <v>0</v>
      </c>
      <c r="AB1357" s="15"/>
      <c r="AC1357" s="15"/>
      <c r="AD1357" s="15"/>
      <c r="AE1357" s="15"/>
      <c r="AF1357" s="15"/>
      <c r="AG1357" s="15"/>
      <c r="AH1357" s="15"/>
      <c r="AI1357" s="15"/>
      <c r="AJ1357" s="15"/>
      <c r="AK1357" s="15"/>
      <c r="AL1357" s="15"/>
      <c r="AM1357" s="15"/>
    </row>
    <row r="1358" spans="2:39" ht="25.2" customHeight="1" x14ac:dyDescent="0.3">
      <c r="B1358" s="13" t="str">
        <f t="shared" si="25"/>
        <v/>
      </c>
      <c r="C1358" s="18"/>
      <c r="D1358" s="19" t="str">
        <f>IF(Tabela2[[#This Row],[AGRUPADOR]]&lt;&gt;"",VLOOKUP(Tabela2[[#This Row],[AGRUPADOR]],Tabela1[],2,0),"")</f>
        <v/>
      </c>
      <c r="E1358" s="19" t="str">
        <f>IF(Tabela2[[#This Row],[AGRUPADOR]]&lt;&gt;"",VLOOKUP(Tabela2[[#This Row],[AGRUPADOR]],Tabela1[],4,0),"")</f>
        <v/>
      </c>
      <c r="F1358" s="14"/>
      <c r="G1358" s="6"/>
      <c r="H1358" s="6"/>
      <c r="I1358" s="25"/>
      <c r="J1358" s="7"/>
      <c r="K1358" s="15"/>
      <c r="L1358" s="379">
        <f>IF(H1358&lt;&gt;"",J1358*K1358,SUMIFS(L1359:L$9844,$F1359:$F$9844,"*"&amp;F1358&amp;"*",$H1359:$H$9844,"&lt;&gt;"))</f>
        <v>0</v>
      </c>
      <c r="M1358" s="379" t="str">
        <f>IF(Tabela2[[#This Row],[UNID.]]&lt;&gt;"",IFERROR(VLOOKUP(Tabela2[[#This Row],[AGRUPADOR]],Lucratividade!$D$4:$O$129,6,0),0),"")</f>
        <v/>
      </c>
      <c r="N1358" s="379">
        <f>IF(H1358&lt;&gt;"",J1358*M1358*I1358,SUMIFS(N1359:N$9844,$F1359:$F$9844,"*"&amp;F1358&amp;"*",$H1359:$H$9844,"&lt;&gt;"))</f>
        <v>0</v>
      </c>
      <c r="O1358" s="162" t="str">
        <f>IFERROR((-Tabela2[[#This Row],[CUSTO TOTAL]]+Tabela2[[#This Row],[VENDA TOTAL]])/Tabela2[[#This Row],[VENDA TOTAL]]-PARAMETROS!$C$19,"")</f>
        <v/>
      </c>
      <c r="AA1358" s="219">
        <f>SUM(Plan_Orc[[#This Row],[01/jan]:[01/dez]])</f>
        <v>0</v>
      </c>
      <c r="AB1358" s="15"/>
      <c r="AC1358" s="15"/>
      <c r="AD1358" s="15"/>
      <c r="AE1358" s="15"/>
      <c r="AF1358" s="15"/>
      <c r="AG1358" s="15"/>
      <c r="AH1358" s="15"/>
      <c r="AI1358" s="15"/>
      <c r="AJ1358" s="15"/>
      <c r="AK1358" s="15"/>
      <c r="AL1358" s="15"/>
      <c r="AM1358" s="15"/>
    </row>
    <row r="1359" spans="2:39" ht="25.2" customHeight="1" x14ac:dyDescent="0.3">
      <c r="B1359" s="13" t="str">
        <f t="shared" si="25"/>
        <v/>
      </c>
      <c r="C1359" s="18"/>
      <c r="D1359" s="19" t="str">
        <f>IF(Tabela2[[#This Row],[AGRUPADOR]]&lt;&gt;"",VLOOKUP(Tabela2[[#This Row],[AGRUPADOR]],Tabela1[],2,0),"")</f>
        <v/>
      </c>
      <c r="E1359" s="19" t="str">
        <f>IF(Tabela2[[#This Row],[AGRUPADOR]]&lt;&gt;"",VLOOKUP(Tabela2[[#This Row],[AGRUPADOR]],Tabela1[],4,0),"")</f>
        <v/>
      </c>
      <c r="F1359" s="14"/>
      <c r="G1359" s="6"/>
      <c r="H1359" s="6"/>
      <c r="I1359" s="25"/>
      <c r="J1359" s="7"/>
      <c r="K1359" s="15"/>
      <c r="L1359" s="379">
        <f>IF(H1359&lt;&gt;"",J1359*K1359,SUMIFS(L1360:L$9844,$F1360:$F$9844,"*"&amp;F1359&amp;"*",$H1360:$H$9844,"&lt;&gt;"))</f>
        <v>0</v>
      </c>
      <c r="M1359" s="379" t="str">
        <f>IF(Tabela2[[#This Row],[UNID.]]&lt;&gt;"",IFERROR(VLOOKUP(Tabela2[[#This Row],[AGRUPADOR]],Lucratividade!$D$4:$O$129,6,0),0),"")</f>
        <v/>
      </c>
      <c r="N1359" s="379">
        <f>IF(H1359&lt;&gt;"",J1359*M1359*I1359,SUMIFS(N1360:N$9844,$F1360:$F$9844,"*"&amp;F1359&amp;"*",$H1360:$H$9844,"&lt;&gt;"))</f>
        <v>0</v>
      </c>
      <c r="O1359" s="162" t="str">
        <f>IFERROR((-Tabela2[[#This Row],[CUSTO TOTAL]]+Tabela2[[#This Row],[VENDA TOTAL]])/Tabela2[[#This Row],[VENDA TOTAL]]-PARAMETROS!$C$19,"")</f>
        <v/>
      </c>
      <c r="AA1359" s="219">
        <f>SUM(Plan_Orc[[#This Row],[01/jan]:[01/dez]])</f>
        <v>0</v>
      </c>
      <c r="AB1359" s="15"/>
      <c r="AC1359" s="15"/>
      <c r="AD1359" s="15"/>
      <c r="AE1359" s="15"/>
      <c r="AF1359" s="15"/>
      <c r="AG1359" s="15"/>
      <c r="AH1359" s="15"/>
      <c r="AI1359" s="15"/>
      <c r="AJ1359" s="15"/>
      <c r="AK1359" s="15"/>
      <c r="AL1359" s="15"/>
      <c r="AM1359" s="15"/>
    </row>
    <row r="1360" spans="2:39" ht="25.2" customHeight="1" x14ac:dyDescent="0.3">
      <c r="B1360" s="13" t="str">
        <f t="shared" si="25"/>
        <v/>
      </c>
      <c r="C1360" s="18"/>
      <c r="D1360" s="19" t="str">
        <f>IF(Tabela2[[#This Row],[AGRUPADOR]]&lt;&gt;"",VLOOKUP(Tabela2[[#This Row],[AGRUPADOR]],Tabela1[],2,0),"")</f>
        <v/>
      </c>
      <c r="E1360" s="19" t="str">
        <f>IF(Tabela2[[#This Row],[AGRUPADOR]]&lt;&gt;"",VLOOKUP(Tabela2[[#This Row],[AGRUPADOR]],Tabela1[],4,0),"")</f>
        <v/>
      </c>
      <c r="F1360" s="14"/>
      <c r="G1360" s="6"/>
      <c r="H1360" s="6"/>
      <c r="I1360" s="25"/>
      <c r="J1360" s="7"/>
      <c r="K1360" s="15"/>
      <c r="L1360" s="379">
        <f>IF(H1360&lt;&gt;"",J1360*K1360,SUMIFS(L1361:L$9844,$F1361:$F$9844,"*"&amp;F1360&amp;"*",$H1361:$H$9844,"&lt;&gt;"))</f>
        <v>0</v>
      </c>
      <c r="M1360" s="379" t="str">
        <f>IF(Tabela2[[#This Row],[UNID.]]&lt;&gt;"",IFERROR(VLOOKUP(Tabela2[[#This Row],[AGRUPADOR]],Lucratividade!$D$4:$O$129,6,0),0),"")</f>
        <v/>
      </c>
      <c r="N1360" s="379">
        <f>IF(H1360&lt;&gt;"",J1360*M1360*I1360,SUMIFS(N1361:N$9844,$F1361:$F$9844,"*"&amp;F1360&amp;"*",$H1361:$H$9844,"&lt;&gt;"))</f>
        <v>0</v>
      </c>
      <c r="O1360" s="162" t="str">
        <f>IFERROR((-Tabela2[[#This Row],[CUSTO TOTAL]]+Tabela2[[#This Row],[VENDA TOTAL]])/Tabela2[[#This Row],[VENDA TOTAL]]-PARAMETROS!$C$19,"")</f>
        <v/>
      </c>
      <c r="AA1360" s="219">
        <f>SUM(Plan_Orc[[#This Row],[01/jan]:[01/dez]])</f>
        <v>0</v>
      </c>
      <c r="AB1360" s="15"/>
      <c r="AC1360" s="15"/>
      <c r="AD1360" s="15"/>
      <c r="AE1360" s="15"/>
      <c r="AF1360" s="15"/>
      <c r="AG1360" s="15"/>
      <c r="AH1360" s="15"/>
      <c r="AI1360" s="15"/>
      <c r="AJ1360" s="15"/>
      <c r="AK1360" s="15"/>
      <c r="AL1360" s="15"/>
      <c r="AM1360" s="15"/>
    </row>
    <row r="1361" spans="2:39" ht="25.2" customHeight="1" x14ac:dyDescent="0.3">
      <c r="B1361" s="13" t="str">
        <f t="shared" si="25"/>
        <v/>
      </c>
      <c r="C1361" s="18"/>
      <c r="D1361" s="19" t="str">
        <f>IF(Tabela2[[#This Row],[AGRUPADOR]]&lt;&gt;"",VLOOKUP(Tabela2[[#This Row],[AGRUPADOR]],Tabela1[],2,0),"")</f>
        <v/>
      </c>
      <c r="E1361" s="19" t="str">
        <f>IF(Tabela2[[#This Row],[AGRUPADOR]]&lt;&gt;"",VLOOKUP(Tabela2[[#This Row],[AGRUPADOR]],Tabela1[],4,0),"")</f>
        <v/>
      </c>
      <c r="F1361" s="14"/>
      <c r="G1361" s="6"/>
      <c r="H1361" s="6"/>
      <c r="I1361" s="25"/>
      <c r="J1361" s="7"/>
      <c r="K1361" s="15"/>
      <c r="L1361" s="379">
        <f>IF(H1361&lt;&gt;"",J1361*K1361,SUMIFS(L1362:L$9844,$F1362:$F$9844,"*"&amp;F1361&amp;"*",$H1362:$H$9844,"&lt;&gt;"))</f>
        <v>0</v>
      </c>
      <c r="M1361" s="379" t="str">
        <f>IF(Tabela2[[#This Row],[UNID.]]&lt;&gt;"",IFERROR(VLOOKUP(Tabela2[[#This Row],[AGRUPADOR]],Lucratividade!$D$4:$O$129,6,0),0),"")</f>
        <v/>
      </c>
      <c r="N1361" s="379">
        <f>IF(H1361&lt;&gt;"",J1361*M1361*I1361,SUMIFS(N1362:N$9844,$F1362:$F$9844,"*"&amp;F1361&amp;"*",$H1362:$H$9844,"&lt;&gt;"))</f>
        <v>0</v>
      </c>
      <c r="O1361" s="162" t="str">
        <f>IFERROR((-Tabela2[[#This Row],[CUSTO TOTAL]]+Tabela2[[#This Row],[VENDA TOTAL]])/Tabela2[[#This Row],[VENDA TOTAL]]-PARAMETROS!$C$19,"")</f>
        <v/>
      </c>
      <c r="AA1361" s="219">
        <f>SUM(Plan_Orc[[#This Row],[01/jan]:[01/dez]])</f>
        <v>0</v>
      </c>
      <c r="AB1361" s="15"/>
      <c r="AC1361" s="15"/>
      <c r="AD1361" s="15"/>
      <c r="AE1361" s="15"/>
      <c r="AF1361" s="15"/>
      <c r="AG1361" s="15"/>
      <c r="AH1361" s="15"/>
      <c r="AI1361" s="15"/>
      <c r="AJ1361" s="15"/>
      <c r="AK1361" s="15"/>
      <c r="AL1361" s="15"/>
      <c r="AM1361" s="15"/>
    </row>
    <row r="1362" spans="2:39" ht="25.2" customHeight="1" x14ac:dyDescent="0.3">
      <c r="B1362" s="13" t="str">
        <f t="shared" si="25"/>
        <v/>
      </c>
      <c r="C1362" s="18"/>
      <c r="D1362" s="19" t="str">
        <f>IF(Tabela2[[#This Row],[AGRUPADOR]]&lt;&gt;"",VLOOKUP(Tabela2[[#This Row],[AGRUPADOR]],Tabela1[],2,0),"")</f>
        <v/>
      </c>
      <c r="E1362" s="19" t="str">
        <f>IF(Tabela2[[#This Row],[AGRUPADOR]]&lt;&gt;"",VLOOKUP(Tabela2[[#This Row],[AGRUPADOR]],Tabela1[],4,0),"")</f>
        <v/>
      </c>
      <c r="F1362" s="14"/>
      <c r="G1362" s="6"/>
      <c r="H1362" s="6"/>
      <c r="I1362" s="25"/>
      <c r="J1362" s="7"/>
      <c r="K1362" s="15"/>
      <c r="L1362" s="379">
        <f>IF(H1362&lt;&gt;"",J1362*K1362,SUMIFS(L1363:L$9844,$F1363:$F$9844,"*"&amp;F1362&amp;"*",$H1363:$H$9844,"&lt;&gt;"))</f>
        <v>0</v>
      </c>
      <c r="M1362" s="379" t="str">
        <f>IF(Tabela2[[#This Row],[UNID.]]&lt;&gt;"",IFERROR(VLOOKUP(Tabela2[[#This Row],[AGRUPADOR]],Lucratividade!$D$4:$O$129,6,0),0),"")</f>
        <v/>
      </c>
      <c r="N1362" s="379">
        <f>IF(H1362&lt;&gt;"",J1362*M1362*I1362,SUMIFS(N1363:N$9844,$F1363:$F$9844,"*"&amp;F1362&amp;"*",$H1363:$H$9844,"&lt;&gt;"))</f>
        <v>0</v>
      </c>
      <c r="O1362" s="162" t="str">
        <f>IFERROR((-Tabela2[[#This Row],[CUSTO TOTAL]]+Tabela2[[#This Row],[VENDA TOTAL]])/Tabela2[[#This Row],[VENDA TOTAL]]-PARAMETROS!$C$19,"")</f>
        <v/>
      </c>
      <c r="AA1362" s="219">
        <f>SUM(Plan_Orc[[#This Row],[01/jan]:[01/dez]])</f>
        <v>0</v>
      </c>
      <c r="AB1362" s="15"/>
      <c r="AC1362" s="15"/>
      <c r="AD1362" s="15"/>
      <c r="AE1362" s="15"/>
      <c r="AF1362" s="15"/>
      <c r="AG1362" s="15"/>
      <c r="AH1362" s="15"/>
      <c r="AI1362" s="15"/>
      <c r="AJ1362" s="15"/>
      <c r="AK1362" s="15"/>
      <c r="AL1362" s="15"/>
      <c r="AM1362" s="15"/>
    </row>
    <row r="1363" spans="2:39" ht="25.2" customHeight="1" x14ac:dyDescent="0.3">
      <c r="B1363" s="13" t="str">
        <f t="shared" si="25"/>
        <v/>
      </c>
      <c r="C1363" s="18"/>
      <c r="D1363" s="19" t="str">
        <f>IF(Tabela2[[#This Row],[AGRUPADOR]]&lt;&gt;"",VLOOKUP(Tabela2[[#This Row],[AGRUPADOR]],Tabela1[],2,0),"")</f>
        <v/>
      </c>
      <c r="E1363" s="19" t="str">
        <f>IF(Tabela2[[#This Row],[AGRUPADOR]]&lt;&gt;"",VLOOKUP(Tabela2[[#This Row],[AGRUPADOR]],Tabela1[],4,0),"")</f>
        <v/>
      </c>
      <c r="F1363" s="14"/>
      <c r="G1363" s="6"/>
      <c r="H1363" s="6"/>
      <c r="I1363" s="25"/>
      <c r="J1363" s="7"/>
      <c r="K1363" s="15"/>
      <c r="L1363" s="379">
        <f>IF(H1363&lt;&gt;"",J1363*K1363,SUMIFS(L1364:L$9844,$F1364:$F$9844,"*"&amp;F1363&amp;"*",$H1364:$H$9844,"&lt;&gt;"))</f>
        <v>0</v>
      </c>
      <c r="M1363" s="379" t="str">
        <f>IF(Tabela2[[#This Row],[UNID.]]&lt;&gt;"",IFERROR(VLOOKUP(Tabela2[[#This Row],[AGRUPADOR]],Lucratividade!$D$4:$O$129,6,0),0),"")</f>
        <v/>
      </c>
      <c r="N1363" s="379">
        <f>IF(H1363&lt;&gt;"",J1363*M1363*I1363,SUMIFS(N1364:N$9844,$F1364:$F$9844,"*"&amp;F1363&amp;"*",$H1364:$H$9844,"&lt;&gt;"))</f>
        <v>0</v>
      </c>
      <c r="O1363" s="162" t="str">
        <f>IFERROR((-Tabela2[[#This Row],[CUSTO TOTAL]]+Tabela2[[#This Row],[VENDA TOTAL]])/Tabela2[[#This Row],[VENDA TOTAL]]-PARAMETROS!$C$19,"")</f>
        <v/>
      </c>
      <c r="AA1363" s="219">
        <f>SUM(Plan_Orc[[#This Row],[01/jan]:[01/dez]])</f>
        <v>0</v>
      </c>
      <c r="AB1363" s="15"/>
      <c r="AC1363" s="15"/>
      <c r="AD1363" s="15"/>
      <c r="AE1363" s="15"/>
      <c r="AF1363" s="15"/>
      <c r="AG1363" s="15"/>
      <c r="AH1363" s="15"/>
      <c r="AI1363" s="15"/>
      <c r="AJ1363" s="15"/>
      <c r="AK1363" s="15"/>
      <c r="AL1363" s="15"/>
      <c r="AM1363" s="15"/>
    </row>
    <row r="1364" spans="2:39" ht="25.2" customHeight="1" x14ac:dyDescent="0.3">
      <c r="B1364" s="13" t="str">
        <f t="shared" si="25"/>
        <v/>
      </c>
      <c r="C1364" s="18"/>
      <c r="D1364" s="19" t="str">
        <f>IF(Tabela2[[#This Row],[AGRUPADOR]]&lt;&gt;"",VLOOKUP(Tabela2[[#This Row],[AGRUPADOR]],Tabela1[],2,0),"")</f>
        <v/>
      </c>
      <c r="E1364" s="19" t="str">
        <f>IF(Tabela2[[#This Row],[AGRUPADOR]]&lt;&gt;"",VLOOKUP(Tabela2[[#This Row],[AGRUPADOR]],Tabela1[],4,0),"")</f>
        <v/>
      </c>
      <c r="F1364" s="14"/>
      <c r="G1364" s="6"/>
      <c r="H1364" s="6"/>
      <c r="I1364" s="25"/>
      <c r="J1364" s="7"/>
      <c r="K1364" s="15"/>
      <c r="L1364" s="379">
        <f>IF(H1364&lt;&gt;"",J1364*K1364,SUMIFS(L1365:L$9844,$F1365:$F$9844,"*"&amp;F1364&amp;"*",$H1365:$H$9844,"&lt;&gt;"))</f>
        <v>0</v>
      </c>
      <c r="M1364" s="379" t="str">
        <f>IF(Tabela2[[#This Row],[UNID.]]&lt;&gt;"",IFERROR(VLOOKUP(Tabela2[[#This Row],[AGRUPADOR]],Lucratividade!$D$4:$O$129,6,0),0),"")</f>
        <v/>
      </c>
      <c r="N1364" s="379">
        <f>IF(H1364&lt;&gt;"",J1364*M1364*I1364,SUMIFS(N1365:N$9844,$F1365:$F$9844,"*"&amp;F1364&amp;"*",$H1365:$H$9844,"&lt;&gt;"))</f>
        <v>0</v>
      </c>
      <c r="O1364" s="162" t="str">
        <f>IFERROR((-Tabela2[[#This Row],[CUSTO TOTAL]]+Tabela2[[#This Row],[VENDA TOTAL]])/Tabela2[[#This Row],[VENDA TOTAL]]-PARAMETROS!$C$19,"")</f>
        <v/>
      </c>
      <c r="AA1364" s="219">
        <f>SUM(Plan_Orc[[#This Row],[01/jan]:[01/dez]])</f>
        <v>0</v>
      </c>
      <c r="AB1364" s="15"/>
      <c r="AC1364" s="15"/>
      <c r="AD1364" s="15"/>
      <c r="AE1364" s="15"/>
      <c r="AF1364" s="15"/>
      <c r="AG1364" s="15"/>
      <c r="AH1364" s="15"/>
      <c r="AI1364" s="15"/>
      <c r="AJ1364" s="15"/>
      <c r="AK1364" s="15"/>
      <c r="AL1364" s="15"/>
      <c r="AM1364" s="15"/>
    </row>
    <row r="1365" spans="2:39" ht="25.2" customHeight="1" x14ac:dyDescent="0.3">
      <c r="B1365" s="13" t="str">
        <f t="shared" si="25"/>
        <v/>
      </c>
      <c r="C1365" s="18"/>
      <c r="D1365" s="19" t="str">
        <f>IF(Tabela2[[#This Row],[AGRUPADOR]]&lt;&gt;"",VLOOKUP(Tabela2[[#This Row],[AGRUPADOR]],Tabela1[],2,0),"")</f>
        <v/>
      </c>
      <c r="E1365" s="19" t="str">
        <f>IF(Tabela2[[#This Row],[AGRUPADOR]]&lt;&gt;"",VLOOKUP(Tabela2[[#This Row],[AGRUPADOR]],Tabela1[],4,0),"")</f>
        <v/>
      </c>
      <c r="F1365" s="14"/>
      <c r="G1365" s="6"/>
      <c r="H1365" s="6"/>
      <c r="I1365" s="25"/>
      <c r="J1365" s="7"/>
      <c r="K1365" s="15"/>
      <c r="L1365" s="379">
        <f>IF(H1365&lt;&gt;"",J1365*K1365,SUMIFS(L1366:L$9844,$F1366:$F$9844,"*"&amp;F1365&amp;"*",$H1366:$H$9844,"&lt;&gt;"))</f>
        <v>0</v>
      </c>
      <c r="M1365" s="379" t="str">
        <f>IF(Tabela2[[#This Row],[UNID.]]&lt;&gt;"",IFERROR(VLOOKUP(Tabela2[[#This Row],[AGRUPADOR]],Lucratividade!$D$4:$O$129,6,0),0),"")</f>
        <v/>
      </c>
      <c r="N1365" s="379">
        <f>IF(H1365&lt;&gt;"",J1365*M1365*I1365,SUMIFS(N1366:N$9844,$F1366:$F$9844,"*"&amp;F1365&amp;"*",$H1366:$H$9844,"&lt;&gt;"))</f>
        <v>0</v>
      </c>
      <c r="O1365" s="162" t="str">
        <f>IFERROR((-Tabela2[[#This Row],[CUSTO TOTAL]]+Tabela2[[#This Row],[VENDA TOTAL]])/Tabela2[[#This Row],[VENDA TOTAL]]-PARAMETROS!$C$19,"")</f>
        <v/>
      </c>
      <c r="AA1365" s="219">
        <f>SUM(Plan_Orc[[#This Row],[01/jan]:[01/dez]])</f>
        <v>0</v>
      </c>
      <c r="AB1365" s="15"/>
      <c r="AC1365" s="15"/>
      <c r="AD1365" s="15"/>
      <c r="AE1365" s="15"/>
      <c r="AF1365" s="15"/>
      <c r="AG1365" s="15"/>
      <c r="AH1365" s="15"/>
      <c r="AI1365" s="15"/>
      <c r="AJ1365" s="15"/>
      <c r="AK1365" s="15"/>
      <c r="AL1365" s="15"/>
      <c r="AM1365" s="15"/>
    </row>
    <row r="1366" spans="2:39" ht="25.2" customHeight="1" x14ac:dyDescent="0.3">
      <c r="B1366" s="13" t="str">
        <f t="shared" si="25"/>
        <v/>
      </c>
      <c r="C1366" s="18"/>
      <c r="D1366" s="19" t="str">
        <f>IF(Tabela2[[#This Row],[AGRUPADOR]]&lt;&gt;"",VLOOKUP(Tabela2[[#This Row],[AGRUPADOR]],Tabela1[],2,0),"")</f>
        <v/>
      </c>
      <c r="E1366" s="19" t="str">
        <f>IF(Tabela2[[#This Row],[AGRUPADOR]]&lt;&gt;"",VLOOKUP(Tabela2[[#This Row],[AGRUPADOR]],Tabela1[],4,0),"")</f>
        <v/>
      </c>
      <c r="F1366" s="14"/>
      <c r="G1366" s="6"/>
      <c r="H1366" s="6"/>
      <c r="I1366" s="25"/>
      <c r="J1366" s="7"/>
      <c r="K1366" s="15"/>
      <c r="L1366" s="379">
        <f>IF(H1366&lt;&gt;"",J1366*K1366,SUMIFS(L1367:L$9844,$F1367:$F$9844,"*"&amp;F1366&amp;"*",$H1367:$H$9844,"&lt;&gt;"))</f>
        <v>0</v>
      </c>
      <c r="M1366" s="379" t="str">
        <f>IF(Tabela2[[#This Row],[UNID.]]&lt;&gt;"",IFERROR(VLOOKUP(Tabela2[[#This Row],[AGRUPADOR]],Lucratividade!$D$4:$O$129,6,0),0),"")</f>
        <v/>
      </c>
      <c r="N1366" s="379">
        <f>IF(H1366&lt;&gt;"",J1366*M1366*I1366,SUMIFS(N1367:N$9844,$F1367:$F$9844,"*"&amp;F1366&amp;"*",$H1367:$H$9844,"&lt;&gt;"))</f>
        <v>0</v>
      </c>
      <c r="O1366" s="162" t="str">
        <f>IFERROR((-Tabela2[[#This Row],[CUSTO TOTAL]]+Tabela2[[#This Row],[VENDA TOTAL]])/Tabela2[[#This Row],[VENDA TOTAL]]-PARAMETROS!$C$19,"")</f>
        <v/>
      </c>
      <c r="AA1366" s="219">
        <f>SUM(Plan_Orc[[#This Row],[01/jan]:[01/dez]])</f>
        <v>0</v>
      </c>
      <c r="AB1366" s="15"/>
      <c r="AC1366" s="15"/>
      <c r="AD1366" s="15"/>
      <c r="AE1366" s="15"/>
      <c r="AF1366" s="15"/>
      <c r="AG1366" s="15"/>
      <c r="AH1366" s="15"/>
      <c r="AI1366" s="15"/>
      <c r="AJ1366" s="15"/>
      <c r="AK1366" s="15"/>
      <c r="AL1366" s="15"/>
      <c r="AM1366" s="15"/>
    </row>
    <row r="1367" spans="2:39" ht="25.2" customHeight="1" x14ac:dyDescent="0.3">
      <c r="B1367" s="13" t="str">
        <f t="shared" si="25"/>
        <v/>
      </c>
      <c r="C1367" s="18"/>
      <c r="D1367" s="19" t="str">
        <f>IF(Tabela2[[#This Row],[AGRUPADOR]]&lt;&gt;"",VLOOKUP(Tabela2[[#This Row],[AGRUPADOR]],Tabela1[],2,0),"")</f>
        <v/>
      </c>
      <c r="E1367" s="19" t="str">
        <f>IF(Tabela2[[#This Row],[AGRUPADOR]]&lt;&gt;"",VLOOKUP(Tabela2[[#This Row],[AGRUPADOR]],Tabela1[],4,0),"")</f>
        <v/>
      </c>
      <c r="F1367" s="14"/>
      <c r="G1367" s="6"/>
      <c r="H1367" s="6"/>
      <c r="I1367" s="25"/>
      <c r="J1367" s="7"/>
      <c r="K1367" s="15"/>
      <c r="L1367" s="379">
        <f>IF(H1367&lt;&gt;"",J1367*K1367,SUMIFS(L1368:L$9844,$F1368:$F$9844,"*"&amp;F1367&amp;"*",$H1368:$H$9844,"&lt;&gt;"))</f>
        <v>0</v>
      </c>
      <c r="M1367" s="379" t="str">
        <f>IF(Tabela2[[#This Row],[UNID.]]&lt;&gt;"",IFERROR(VLOOKUP(Tabela2[[#This Row],[AGRUPADOR]],Lucratividade!$D$4:$O$129,6,0),0),"")</f>
        <v/>
      </c>
      <c r="N1367" s="379">
        <f>IF(H1367&lt;&gt;"",J1367*M1367*I1367,SUMIFS(N1368:N$9844,$F1368:$F$9844,"*"&amp;F1367&amp;"*",$H1368:$H$9844,"&lt;&gt;"))</f>
        <v>0</v>
      </c>
      <c r="O1367" s="162" t="str">
        <f>IFERROR((-Tabela2[[#This Row],[CUSTO TOTAL]]+Tabela2[[#This Row],[VENDA TOTAL]])/Tabela2[[#This Row],[VENDA TOTAL]]-PARAMETROS!$C$19,"")</f>
        <v/>
      </c>
      <c r="AA1367" s="219">
        <f>SUM(Plan_Orc[[#This Row],[01/jan]:[01/dez]])</f>
        <v>0</v>
      </c>
      <c r="AB1367" s="15"/>
      <c r="AC1367" s="15"/>
      <c r="AD1367" s="15"/>
      <c r="AE1367" s="15"/>
      <c r="AF1367" s="15"/>
      <c r="AG1367" s="15"/>
      <c r="AH1367" s="15"/>
      <c r="AI1367" s="15"/>
      <c r="AJ1367" s="15"/>
      <c r="AK1367" s="15"/>
      <c r="AL1367" s="15"/>
      <c r="AM1367" s="15"/>
    </row>
    <row r="1368" spans="2:39" ht="25.2" customHeight="1" x14ac:dyDescent="0.3">
      <c r="B1368" s="13" t="str">
        <f t="shared" si="25"/>
        <v/>
      </c>
      <c r="C1368" s="18"/>
      <c r="D1368" s="19" t="str">
        <f>IF(Tabela2[[#This Row],[AGRUPADOR]]&lt;&gt;"",VLOOKUP(Tabela2[[#This Row],[AGRUPADOR]],Tabela1[],2,0),"")</f>
        <v/>
      </c>
      <c r="E1368" s="19" t="str">
        <f>IF(Tabela2[[#This Row],[AGRUPADOR]]&lt;&gt;"",VLOOKUP(Tabela2[[#This Row],[AGRUPADOR]],Tabela1[],4,0),"")</f>
        <v/>
      </c>
      <c r="F1368" s="14"/>
      <c r="G1368" s="6"/>
      <c r="H1368" s="6"/>
      <c r="I1368" s="25"/>
      <c r="J1368" s="7"/>
      <c r="K1368" s="15"/>
      <c r="L1368" s="379">
        <f>IF(H1368&lt;&gt;"",J1368*K1368,SUMIFS(L1369:L$9844,$F1369:$F$9844,"*"&amp;F1368&amp;"*",$H1369:$H$9844,"&lt;&gt;"))</f>
        <v>0</v>
      </c>
      <c r="M1368" s="379" t="str">
        <f>IF(Tabela2[[#This Row],[UNID.]]&lt;&gt;"",IFERROR(VLOOKUP(Tabela2[[#This Row],[AGRUPADOR]],Lucratividade!$D$4:$O$129,6,0),0),"")</f>
        <v/>
      </c>
      <c r="N1368" s="379">
        <f>IF(H1368&lt;&gt;"",J1368*M1368*I1368,SUMIFS(N1369:N$9844,$F1369:$F$9844,"*"&amp;F1368&amp;"*",$H1369:$H$9844,"&lt;&gt;"))</f>
        <v>0</v>
      </c>
      <c r="O1368" s="162" t="str">
        <f>IFERROR((-Tabela2[[#This Row],[CUSTO TOTAL]]+Tabela2[[#This Row],[VENDA TOTAL]])/Tabela2[[#This Row],[VENDA TOTAL]]-PARAMETROS!$C$19,"")</f>
        <v/>
      </c>
      <c r="AA1368" s="219">
        <f>SUM(Plan_Orc[[#This Row],[01/jan]:[01/dez]])</f>
        <v>0</v>
      </c>
      <c r="AB1368" s="15"/>
      <c r="AC1368" s="15"/>
      <c r="AD1368" s="15"/>
      <c r="AE1368" s="15"/>
      <c r="AF1368" s="15"/>
      <c r="AG1368" s="15"/>
      <c r="AH1368" s="15"/>
      <c r="AI1368" s="15"/>
      <c r="AJ1368" s="15"/>
      <c r="AK1368" s="15"/>
      <c r="AL1368" s="15"/>
      <c r="AM1368" s="15"/>
    </row>
    <row r="1369" spans="2:39" ht="25.2" customHeight="1" x14ac:dyDescent="0.3">
      <c r="B1369" s="13" t="str">
        <f t="shared" si="25"/>
        <v/>
      </c>
      <c r="C1369" s="18"/>
      <c r="D1369" s="19" t="str">
        <f>IF(Tabela2[[#This Row],[AGRUPADOR]]&lt;&gt;"",VLOOKUP(Tabela2[[#This Row],[AGRUPADOR]],Tabela1[],2,0),"")</f>
        <v/>
      </c>
      <c r="E1369" s="19" t="str">
        <f>IF(Tabela2[[#This Row],[AGRUPADOR]]&lt;&gt;"",VLOOKUP(Tabela2[[#This Row],[AGRUPADOR]],Tabela1[],4,0),"")</f>
        <v/>
      </c>
      <c r="F1369" s="14"/>
      <c r="G1369" s="6"/>
      <c r="H1369" s="6"/>
      <c r="I1369" s="25"/>
      <c r="J1369" s="7"/>
      <c r="K1369" s="15"/>
      <c r="L1369" s="379">
        <f>IF(H1369&lt;&gt;"",J1369*K1369,SUMIFS(L1370:L$9844,$F1370:$F$9844,"*"&amp;F1369&amp;"*",$H1370:$H$9844,"&lt;&gt;"))</f>
        <v>0</v>
      </c>
      <c r="M1369" s="379" t="str">
        <f>IF(Tabela2[[#This Row],[UNID.]]&lt;&gt;"",IFERROR(VLOOKUP(Tabela2[[#This Row],[AGRUPADOR]],Lucratividade!$D$4:$O$129,6,0),0),"")</f>
        <v/>
      </c>
      <c r="N1369" s="379">
        <f>IF(H1369&lt;&gt;"",J1369*M1369*I1369,SUMIFS(N1370:N$9844,$F1370:$F$9844,"*"&amp;F1369&amp;"*",$H1370:$H$9844,"&lt;&gt;"))</f>
        <v>0</v>
      </c>
      <c r="O1369" s="162" t="str">
        <f>IFERROR((-Tabela2[[#This Row],[CUSTO TOTAL]]+Tabela2[[#This Row],[VENDA TOTAL]])/Tabela2[[#This Row],[VENDA TOTAL]]-PARAMETROS!$C$19,"")</f>
        <v/>
      </c>
      <c r="AA1369" s="219">
        <f>SUM(Plan_Orc[[#This Row],[01/jan]:[01/dez]])</f>
        <v>0</v>
      </c>
      <c r="AB1369" s="15"/>
      <c r="AC1369" s="15"/>
      <c r="AD1369" s="15"/>
      <c r="AE1369" s="15"/>
      <c r="AF1369" s="15"/>
      <c r="AG1369" s="15"/>
      <c r="AH1369" s="15"/>
      <c r="AI1369" s="15"/>
      <c r="AJ1369" s="15"/>
      <c r="AK1369" s="15"/>
      <c r="AL1369" s="15"/>
      <c r="AM1369" s="15"/>
    </row>
    <row r="1370" spans="2:39" ht="25.2" customHeight="1" x14ac:dyDescent="0.3">
      <c r="B1370" s="13" t="str">
        <f t="shared" si="25"/>
        <v/>
      </c>
      <c r="C1370" s="18"/>
      <c r="D1370" s="19" t="str">
        <f>IF(Tabela2[[#This Row],[AGRUPADOR]]&lt;&gt;"",VLOOKUP(Tabela2[[#This Row],[AGRUPADOR]],Tabela1[],2,0),"")</f>
        <v/>
      </c>
      <c r="E1370" s="19" t="str">
        <f>IF(Tabela2[[#This Row],[AGRUPADOR]]&lt;&gt;"",VLOOKUP(Tabela2[[#This Row],[AGRUPADOR]],Tabela1[],4,0),"")</f>
        <v/>
      </c>
      <c r="F1370" s="14"/>
      <c r="G1370" s="6"/>
      <c r="H1370" s="6"/>
      <c r="I1370" s="25"/>
      <c r="J1370" s="7"/>
      <c r="K1370" s="15"/>
      <c r="L1370" s="379">
        <f>IF(H1370&lt;&gt;"",J1370*K1370,SUMIFS(L1371:L$9844,$F1371:$F$9844,"*"&amp;F1370&amp;"*",$H1371:$H$9844,"&lt;&gt;"))</f>
        <v>0</v>
      </c>
      <c r="M1370" s="379" t="str">
        <f>IF(Tabela2[[#This Row],[UNID.]]&lt;&gt;"",IFERROR(VLOOKUP(Tabela2[[#This Row],[AGRUPADOR]],Lucratividade!$D$4:$O$129,6,0),0),"")</f>
        <v/>
      </c>
      <c r="N1370" s="379">
        <f>IF(H1370&lt;&gt;"",J1370*M1370*I1370,SUMIFS(N1371:N$9844,$F1371:$F$9844,"*"&amp;F1370&amp;"*",$H1371:$H$9844,"&lt;&gt;"))</f>
        <v>0</v>
      </c>
      <c r="O1370" s="162" t="str">
        <f>IFERROR((-Tabela2[[#This Row],[CUSTO TOTAL]]+Tabela2[[#This Row],[VENDA TOTAL]])/Tabela2[[#This Row],[VENDA TOTAL]]-PARAMETROS!$C$19,"")</f>
        <v/>
      </c>
      <c r="AA1370" s="218">
        <f>SUM(Plan_Orc[[#This Row],[01/jan]:[01/dez]])</f>
        <v>0</v>
      </c>
      <c r="AB1370" s="12"/>
      <c r="AC1370" s="12"/>
      <c r="AD1370" s="12"/>
      <c r="AE1370" s="12"/>
      <c r="AF1370" s="12"/>
      <c r="AG1370" s="12"/>
      <c r="AH1370" s="12"/>
      <c r="AI1370" s="12"/>
      <c r="AJ1370" s="12"/>
      <c r="AK1370" s="12"/>
      <c r="AL1370" s="12"/>
      <c r="AM1370" s="12"/>
    </row>
    <row r="1371" spans="2:39" ht="25.2" customHeight="1" x14ac:dyDescent="0.3">
      <c r="B1371" s="13" t="str">
        <f t="shared" si="25"/>
        <v/>
      </c>
      <c r="C1371" s="18"/>
      <c r="D1371" s="19" t="str">
        <f>IF(Tabela2[[#This Row],[AGRUPADOR]]&lt;&gt;"",VLOOKUP(Tabela2[[#This Row],[AGRUPADOR]],Tabela1[],2,0),"")</f>
        <v/>
      </c>
      <c r="E1371" s="19" t="str">
        <f>IF(Tabela2[[#This Row],[AGRUPADOR]]&lt;&gt;"",VLOOKUP(Tabela2[[#This Row],[AGRUPADOR]],Tabela1[],4,0),"")</f>
        <v/>
      </c>
      <c r="F1371" s="14"/>
      <c r="G1371" s="6"/>
      <c r="H1371" s="6"/>
      <c r="I1371" s="25"/>
      <c r="J1371" s="7"/>
      <c r="K1371" s="15"/>
      <c r="L1371" s="379">
        <f>IF(H1371&lt;&gt;"",J1371*K1371,SUMIFS(L1372:L$9844,$F1372:$F$9844,"*"&amp;F1371&amp;"*",$H1372:$H$9844,"&lt;&gt;"))</f>
        <v>0</v>
      </c>
      <c r="M1371" s="379" t="str">
        <f>IF(Tabela2[[#This Row],[UNID.]]&lt;&gt;"",IFERROR(VLOOKUP(Tabela2[[#This Row],[AGRUPADOR]],Lucratividade!$D$4:$O$129,6,0),0),"")</f>
        <v/>
      </c>
      <c r="N1371" s="379">
        <f>IF(H1371&lt;&gt;"",J1371*M1371*I1371,SUMIFS(N1372:N$9844,$F1372:$F$9844,"*"&amp;F1371&amp;"*",$H1372:$H$9844,"&lt;&gt;"))</f>
        <v>0</v>
      </c>
      <c r="O1371" s="162" t="str">
        <f>IFERROR((-Tabela2[[#This Row],[CUSTO TOTAL]]+Tabela2[[#This Row],[VENDA TOTAL]])/Tabela2[[#This Row],[VENDA TOTAL]]-PARAMETROS!$C$19,"")</f>
        <v/>
      </c>
      <c r="AA1371" s="219">
        <f>SUM(Plan_Orc[[#This Row],[01/jan]:[01/dez]])</f>
        <v>0</v>
      </c>
      <c r="AB1371" s="15"/>
      <c r="AC1371" s="15"/>
      <c r="AD1371" s="15"/>
      <c r="AE1371" s="15"/>
      <c r="AF1371" s="15"/>
      <c r="AG1371" s="15"/>
      <c r="AH1371" s="15"/>
      <c r="AI1371" s="15"/>
      <c r="AJ1371" s="15"/>
      <c r="AK1371" s="15"/>
      <c r="AL1371" s="15"/>
      <c r="AM1371" s="15"/>
    </row>
    <row r="1372" spans="2:39" ht="25.2" customHeight="1" x14ac:dyDescent="0.3">
      <c r="B1372" s="13" t="str">
        <f t="shared" si="25"/>
        <v/>
      </c>
      <c r="C1372" s="18"/>
      <c r="D1372" s="19" t="str">
        <f>IF(Tabela2[[#This Row],[AGRUPADOR]]&lt;&gt;"",VLOOKUP(Tabela2[[#This Row],[AGRUPADOR]],Tabela1[],2,0),"")</f>
        <v/>
      </c>
      <c r="E1372" s="19" t="str">
        <f>IF(Tabela2[[#This Row],[AGRUPADOR]]&lt;&gt;"",VLOOKUP(Tabela2[[#This Row],[AGRUPADOR]],Tabela1[],4,0),"")</f>
        <v/>
      </c>
      <c r="F1372" s="14"/>
      <c r="G1372" s="6"/>
      <c r="H1372" s="6"/>
      <c r="I1372" s="25"/>
      <c r="J1372" s="7"/>
      <c r="K1372" s="15"/>
      <c r="L1372" s="379">
        <f>IF(H1372&lt;&gt;"",J1372*K1372,SUMIFS(L1373:L$9844,$F1373:$F$9844,"*"&amp;F1372&amp;"*",$H1373:$H$9844,"&lt;&gt;"))</f>
        <v>0</v>
      </c>
      <c r="M1372" s="379" t="str">
        <f>IF(Tabela2[[#This Row],[UNID.]]&lt;&gt;"",IFERROR(VLOOKUP(Tabela2[[#This Row],[AGRUPADOR]],Lucratividade!$D$4:$O$129,6,0),0),"")</f>
        <v/>
      </c>
      <c r="N1372" s="379">
        <f>IF(H1372&lt;&gt;"",J1372*M1372*I1372,SUMIFS(N1373:N$9844,$F1373:$F$9844,"*"&amp;F1372&amp;"*",$H1373:$H$9844,"&lt;&gt;"))</f>
        <v>0</v>
      </c>
      <c r="O1372" s="162" t="str">
        <f>IFERROR((-Tabela2[[#This Row],[CUSTO TOTAL]]+Tabela2[[#This Row],[VENDA TOTAL]])/Tabela2[[#This Row],[VENDA TOTAL]]-PARAMETROS!$C$19,"")</f>
        <v/>
      </c>
      <c r="AA1372" s="220">
        <f>SUM(Plan_Orc[[#This Row],[01/jan]:[01/dez]])</f>
        <v>0</v>
      </c>
      <c r="AB1372" s="9"/>
      <c r="AC1372" s="9"/>
      <c r="AD1372" s="9"/>
      <c r="AE1372" s="9"/>
      <c r="AF1372" s="9"/>
      <c r="AG1372" s="9"/>
      <c r="AH1372" s="9"/>
      <c r="AI1372" s="9"/>
      <c r="AJ1372" s="9"/>
      <c r="AK1372" s="9"/>
      <c r="AL1372" s="9"/>
      <c r="AM1372" s="9"/>
    </row>
    <row r="1373" spans="2:39" ht="25.2" customHeight="1" x14ac:dyDescent="0.3">
      <c r="B1373" s="13" t="str">
        <f t="shared" si="25"/>
        <v/>
      </c>
      <c r="C1373" s="18"/>
      <c r="D1373" s="19" t="str">
        <f>IF(Tabela2[[#This Row],[AGRUPADOR]]&lt;&gt;"",VLOOKUP(Tabela2[[#This Row],[AGRUPADOR]],Tabela1[],2,0),"")</f>
        <v/>
      </c>
      <c r="E1373" s="19" t="str">
        <f>IF(Tabela2[[#This Row],[AGRUPADOR]]&lt;&gt;"",VLOOKUP(Tabela2[[#This Row],[AGRUPADOR]],Tabela1[],4,0),"")</f>
        <v/>
      </c>
      <c r="F1373" s="14"/>
      <c r="G1373" s="6"/>
      <c r="H1373" s="6"/>
      <c r="I1373" s="25"/>
      <c r="J1373" s="7"/>
      <c r="K1373" s="15"/>
      <c r="L1373" s="379">
        <f>IF(H1373&lt;&gt;"",J1373*K1373,SUMIFS(L1374:L$9844,$F1374:$F$9844,"*"&amp;F1373&amp;"*",$H1374:$H$9844,"&lt;&gt;"))</f>
        <v>0</v>
      </c>
      <c r="M1373" s="379" t="str">
        <f>IF(Tabela2[[#This Row],[UNID.]]&lt;&gt;"",IFERROR(VLOOKUP(Tabela2[[#This Row],[AGRUPADOR]],Lucratividade!$D$4:$O$129,6,0),0),"")</f>
        <v/>
      </c>
      <c r="N1373" s="379">
        <f>IF(H1373&lt;&gt;"",J1373*M1373*I1373,SUMIFS(N1374:N$9844,$F1374:$F$9844,"*"&amp;F1373&amp;"*",$H1374:$H$9844,"&lt;&gt;"))</f>
        <v>0</v>
      </c>
      <c r="O1373" s="162" t="str">
        <f>IFERROR((-Tabela2[[#This Row],[CUSTO TOTAL]]+Tabela2[[#This Row],[VENDA TOTAL]])/Tabela2[[#This Row],[VENDA TOTAL]]-PARAMETROS!$C$19,"")</f>
        <v/>
      </c>
      <c r="AA1373" s="219">
        <f>SUM(Plan_Orc[[#This Row],[01/jan]:[01/dez]])</f>
        <v>0</v>
      </c>
      <c r="AB1373" s="15"/>
      <c r="AC1373" s="15"/>
      <c r="AD1373" s="15"/>
      <c r="AE1373" s="15"/>
      <c r="AF1373" s="15"/>
      <c r="AG1373" s="15"/>
      <c r="AH1373" s="15"/>
      <c r="AI1373" s="15"/>
      <c r="AJ1373" s="15"/>
      <c r="AK1373" s="15"/>
      <c r="AL1373" s="15"/>
      <c r="AM1373" s="15"/>
    </row>
    <row r="1374" spans="2:39" ht="25.2" customHeight="1" x14ac:dyDescent="0.3">
      <c r="B1374" s="13" t="str">
        <f t="shared" si="25"/>
        <v/>
      </c>
      <c r="C1374" s="18"/>
      <c r="D1374" s="19" t="str">
        <f>IF(Tabela2[[#This Row],[AGRUPADOR]]&lt;&gt;"",VLOOKUP(Tabela2[[#This Row],[AGRUPADOR]],Tabela1[],2,0),"")</f>
        <v/>
      </c>
      <c r="E1374" s="19" t="str">
        <f>IF(Tabela2[[#This Row],[AGRUPADOR]]&lt;&gt;"",VLOOKUP(Tabela2[[#This Row],[AGRUPADOR]],Tabela1[],4,0),"")</f>
        <v/>
      </c>
      <c r="F1374" s="14"/>
      <c r="G1374" s="6"/>
      <c r="H1374" s="6"/>
      <c r="I1374" s="25"/>
      <c r="J1374" s="7"/>
      <c r="K1374" s="15"/>
      <c r="L1374" s="379">
        <f>IF(H1374&lt;&gt;"",J1374*K1374,SUMIFS(L1375:L$9844,$F1375:$F$9844,"*"&amp;F1374&amp;"*",$H1375:$H$9844,"&lt;&gt;"))</f>
        <v>0</v>
      </c>
      <c r="M1374" s="379" t="str">
        <f>IF(Tabela2[[#This Row],[UNID.]]&lt;&gt;"",IFERROR(VLOOKUP(Tabela2[[#This Row],[AGRUPADOR]],Lucratividade!$D$4:$O$129,6,0),0),"")</f>
        <v/>
      </c>
      <c r="N1374" s="379">
        <f>IF(H1374&lt;&gt;"",J1374*M1374*I1374,SUMIFS(N1375:N$9844,$F1375:$F$9844,"*"&amp;F1374&amp;"*",$H1375:$H$9844,"&lt;&gt;"))</f>
        <v>0</v>
      </c>
      <c r="O1374" s="162" t="str">
        <f>IFERROR((-Tabela2[[#This Row],[CUSTO TOTAL]]+Tabela2[[#This Row],[VENDA TOTAL]])/Tabela2[[#This Row],[VENDA TOTAL]]-PARAMETROS!$C$19,"")</f>
        <v/>
      </c>
      <c r="AA1374" s="219">
        <f>SUM(Plan_Orc[[#This Row],[01/jan]:[01/dez]])</f>
        <v>0</v>
      </c>
      <c r="AB1374" s="15"/>
      <c r="AC1374" s="15"/>
      <c r="AD1374" s="15"/>
      <c r="AE1374" s="15"/>
      <c r="AF1374" s="15"/>
      <c r="AG1374" s="15"/>
      <c r="AH1374" s="15"/>
      <c r="AI1374" s="15"/>
      <c r="AJ1374" s="15"/>
      <c r="AK1374" s="15"/>
      <c r="AL1374" s="15"/>
      <c r="AM1374" s="15"/>
    </row>
    <row r="1375" spans="2:39" ht="25.2" customHeight="1" x14ac:dyDescent="0.3">
      <c r="B1375" s="13" t="str">
        <f t="shared" si="25"/>
        <v/>
      </c>
      <c r="C1375" s="18"/>
      <c r="D1375" s="19" t="str">
        <f>IF(Tabela2[[#This Row],[AGRUPADOR]]&lt;&gt;"",VLOOKUP(Tabela2[[#This Row],[AGRUPADOR]],Tabela1[],2,0),"")</f>
        <v/>
      </c>
      <c r="E1375" s="19" t="str">
        <f>IF(Tabela2[[#This Row],[AGRUPADOR]]&lt;&gt;"",VLOOKUP(Tabela2[[#This Row],[AGRUPADOR]],Tabela1[],4,0),"")</f>
        <v/>
      </c>
      <c r="F1375" s="14"/>
      <c r="G1375" s="6"/>
      <c r="H1375" s="6"/>
      <c r="I1375" s="25"/>
      <c r="J1375" s="7"/>
      <c r="K1375" s="15"/>
      <c r="L1375" s="379">
        <f>IF(H1375&lt;&gt;"",J1375*K1375,SUMIFS(L1376:L$9844,$F1376:$F$9844,"*"&amp;F1375&amp;"*",$H1376:$H$9844,"&lt;&gt;"))</f>
        <v>0</v>
      </c>
      <c r="M1375" s="379" t="str">
        <f>IF(Tabela2[[#This Row],[UNID.]]&lt;&gt;"",IFERROR(VLOOKUP(Tabela2[[#This Row],[AGRUPADOR]],Lucratividade!$D$4:$O$129,6,0),0),"")</f>
        <v/>
      </c>
      <c r="N1375" s="379">
        <f>IF(H1375&lt;&gt;"",J1375*M1375*I1375,SUMIFS(N1376:N$9844,$F1376:$F$9844,"*"&amp;F1375&amp;"*",$H1376:$H$9844,"&lt;&gt;"))</f>
        <v>0</v>
      </c>
      <c r="O1375" s="162" t="str">
        <f>IFERROR((-Tabela2[[#This Row],[CUSTO TOTAL]]+Tabela2[[#This Row],[VENDA TOTAL]])/Tabela2[[#This Row],[VENDA TOTAL]]-PARAMETROS!$C$19,"")</f>
        <v/>
      </c>
      <c r="AA1375" s="219">
        <f>SUM(Plan_Orc[[#This Row],[01/jan]:[01/dez]])</f>
        <v>0</v>
      </c>
      <c r="AB1375" s="15"/>
      <c r="AC1375" s="15"/>
      <c r="AD1375" s="15"/>
      <c r="AE1375" s="15"/>
      <c r="AF1375" s="15"/>
      <c r="AG1375" s="15"/>
      <c r="AH1375" s="15"/>
      <c r="AI1375" s="15"/>
      <c r="AJ1375" s="15"/>
      <c r="AK1375" s="15"/>
      <c r="AL1375" s="15"/>
      <c r="AM1375" s="15"/>
    </row>
    <row r="1376" spans="2:39" ht="25.2" customHeight="1" x14ac:dyDescent="0.3">
      <c r="B1376" s="13" t="str">
        <f t="shared" si="25"/>
        <v/>
      </c>
      <c r="C1376" s="18"/>
      <c r="D1376" s="19" t="str">
        <f>IF(Tabela2[[#This Row],[AGRUPADOR]]&lt;&gt;"",VLOOKUP(Tabela2[[#This Row],[AGRUPADOR]],Tabela1[],2,0),"")</f>
        <v/>
      </c>
      <c r="E1376" s="19" t="str">
        <f>IF(Tabela2[[#This Row],[AGRUPADOR]]&lt;&gt;"",VLOOKUP(Tabela2[[#This Row],[AGRUPADOR]],Tabela1[],4,0),"")</f>
        <v/>
      </c>
      <c r="F1376" s="14"/>
      <c r="G1376" s="6"/>
      <c r="H1376" s="6"/>
      <c r="I1376" s="25"/>
      <c r="J1376" s="7"/>
      <c r="K1376" s="15"/>
      <c r="L1376" s="379">
        <f>IF(H1376&lt;&gt;"",J1376*K1376,SUMIFS(L1377:L$9844,$F1377:$F$9844,"*"&amp;F1376&amp;"*",$H1377:$H$9844,"&lt;&gt;"))</f>
        <v>0</v>
      </c>
      <c r="M1376" s="379" t="str">
        <f>IF(Tabela2[[#This Row],[UNID.]]&lt;&gt;"",IFERROR(VLOOKUP(Tabela2[[#This Row],[AGRUPADOR]],Lucratividade!$D$4:$O$129,6,0),0),"")</f>
        <v/>
      </c>
      <c r="N1376" s="379">
        <f>IF(H1376&lt;&gt;"",J1376*M1376*I1376,SUMIFS(N1377:N$9844,$F1377:$F$9844,"*"&amp;F1376&amp;"*",$H1377:$H$9844,"&lt;&gt;"))</f>
        <v>0</v>
      </c>
      <c r="O1376" s="162" t="str">
        <f>IFERROR((-Tabela2[[#This Row],[CUSTO TOTAL]]+Tabela2[[#This Row],[VENDA TOTAL]])/Tabela2[[#This Row],[VENDA TOTAL]]-PARAMETROS!$C$19,"")</f>
        <v/>
      </c>
      <c r="AA1376" s="219">
        <f>SUM(Plan_Orc[[#This Row],[01/jan]:[01/dez]])</f>
        <v>0</v>
      </c>
      <c r="AB1376" s="15"/>
      <c r="AC1376" s="15"/>
      <c r="AD1376" s="15"/>
      <c r="AE1376" s="15"/>
      <c r="AF1376" s="15"/>
      <c r="AG1376" s="15"/>
      <c r="AH1376" s="15"/>
      <c r="AI1376" s="15"/>
      <c r="AJ1376" s="15"/>
      <c r="AK1376" s="15"/>
      <c r="AL1376" s="15"/>
      <c r="AM1376" s="15"/>
    </row>
    <row r="1377" spans="2:39" ht="25.2" customHeight="1" x14ac:dyDescent="0.3">
      <c r="B1377" s="13" t="str">
        <f t="shared" si="25"/>
        <v/>
      </c>
      <c r="C1377" s="18"/>
      <c r="D1377" s="19" t="str">
        <f>IF(Tabela2[[#This Row],[AGRUPADOR]]&lt;&gt;"",VLOOKUP(Tabela2[[#This Row],[AGRUPADOR]],Tabela1[],2,0),"")</f>
        <v/>
      </c>
      <c r="E1377" s="19" t="str">
        <f>IF(Tabela2[[#This Row],[AGRUPADOR]]&lt;&gt;"",VLOOKUP(Tabela2[[#This Row],[AGRUPADOR]],Tabela1[],4,0),"")</f>
        <v/>
      </c>
      <c r="F1377" s="14"/>
      <c r="G1377" s="6"/>
      <c r="H1377" s="6"/>
      <c r="I1377" s="25"/>
      <c r="J1377" s="7"/>
      <c r="K1377" s="15"/>
      <c r="L1377" s="379">
        <f>IF(H1377&lt;&gt;"",J1377*K1377,SUMIFS(L1378:L$9844,$F1378:$F$9844,"*"&amp;F1377&amp;"*",$H1378:$H$9844,"&lt;&gt;"))</f>
        <v>0</v>
      </c>
      <c r="M1377" s="379" t="str">
        <f>IF(Tabela2[[#This Row],[UNID.]]&lt;&gt;"",IFERROR(VLOOKUP(Tabela2[[#This Row],[AGRUPADOR]],Lucratividade!$D$4:$O$129,6,0),0),"")</f>
        <v/>
      </c>
      <c r="N1377" s="379">
        <f>IF(H1377&lt;&gt;"",J1377*M1377*I1377,SUMIFS(N1378:N$9844,$F1378:$F$9844,"*"&amp;F1377&amp;"*",$H1378:$H$9844,"&lt;&gt;"))</f>
        <v>0</v>
      </c>
      <c r="O1377" s="162" t="str">
        <f>IFERROR((-Tabela2[[#This Row],[CUSTO TOTAL]]+Tabela2[[#This Row],[VENDA TOTAL]])/Tabela2[[#This Row],[VENDA TOTAL]]-PARAMETROS!$C$19,"")</f>
        <v/>
      </c>
      <c r="AA1377" s="220">
        <f>SUM(Plan_Orc[[#This Row],[01/jan]:[01/dez]])</f>
        <v>0</v>
      </c>
      <c r="AB1377" s="9"/>
      <c r="AC1377" s="9"/>
      <c r="AD1377" s="9"/>
      <c r="AE1377" s="9"/>
      <c r="AF1377" s="9"/>
      <c r="AG1377" s="9"/>
      <c r="AH1377" s="9"/>
      <c r="AI1377" s="9"/>
      <c r="AJ1377" s="9"/>
      <c r="AK1377" s="9"/>
      <c r="AL1377" s="9"/>
      <c r="AM1377" s="9"/>
    </row>
    <row r="1378" spans="2:39" ht="25.2" customHeight="1" x14ac:dyDescent="0.3">
      <c r="B1378" s="13" t="str">
        <f t="shared" si="25"/>
        <v/>
      </c>
      <c r="C1378" s="18"/>
      <c r="D1378" s="19" t="str">
        <f>IF(Tabela2[[#This Row],[AGRUPADOR]]&lt;&gt;"",VLOOKUP(Tabela2[[#This Row],[AGRUPADOR]],Tabela1[],2,0),"")</f>
        <v/>
      </c>
      <c r="E1378" s="19" t="str">
        <f>IF(Tabela2[[#This Row],[AGRUPADOR]]&lt;&gt;"",VLOOKUP(Tabela2[[#This Row],[AGRUPADOR]],Tabela1[],4,0),"")</f>
        <v/>
      </c>
      <c r="F1378" s="14"/>
      <c r="G1378" s="6"/>
      <c r="H1378" s="6"/>
      <c r="I1378" s="25"/>
      <c r="J1378" s="7"/>
      <c r="K1378" s="15"/>
      <c r="L1378" s="379">
        <f>IF(H1378&lt;&gt;"",J1378*K1378,SUMIFS(L1379:L$9844,$F1379:$F$9844,"*"&amp;F1378&amp;"*",$H1379:$H$9844,"&lt;&gt;"))</f>
        <v>0</v>
      </c>
      <c r="M1378" s="379" t="str">
        <f>IF(Tabela2[[#This Row],[UNID.]]&lt;&gt;"",IFERROR(VLOOKUP(Tabela2[[#This Row],[AGRUPADOR]],Lucratividade!$D$4:$O$129,6,0),0),"")</f>
        <v/>
      </c>
      <c r="N1378" s="379">
        <f>IF(H1378&lt;&gt;"",J1378*M1378*I1378,SUMIFS(N1379:N$9844,$F1379:$F$9844,"*"&amp;F1378&amp;"*",$H1379:$H$9844,"&lt;&gt;"))</f>
        <v>0</v>
      </c>
      <c r="O1378" s="162" t="str">
        <f>IFERROR((-Tabela2[[#This Row],[CUSTO TOTAL]]+Tabela2[[#This Row],[VENDA TOTAL]])/Tabela2[[#This Row],[VENDA TOTAL]]-PARAMETROS!$C$19,"")</f>
        <v/>
      </c>
      <c r="AA1378" s="218">
        <f>SUM(Plan_Orc[[#This Row],[01/jan]:[01/dez]])</f>
        <v>0</v>
      </c>
      <c r="AB1378" s="12"/>
      <c r="AC1378" s="12"/>
      <c r="AD1378" s="12"/>
      <c r="AE1378" s="12"/>
      <c r="AF1378" s="12"/>
      <c r="AG1378" s="12"/>
      <c r="AH1378" s="12"/>
      <c r="AI1378" s="12"/>
      <c r="AJ1378" s="12"/>
      <c r="AK1378" s="12"/>
      <c r="AL1378" s="12"/>
      <c r="AM1378" s="12"/>
    </row>
    <row r="1379" spans="2:39" ht="25.2" customHeight="1" x14ac:dyDescent="0.3">
      <c r="B1379" s="13" t="str">
        <f t="shared" si="25"/>
        <v/>
      </c>
      <c r="C1379" s="18"/>
      <c r="D1379" s="19" t="str">
        <f>IF(Tabela2[[#This Row],[AGRUPADOR]]&lt;&gt;"",VLOOKUP(Tabela2[[#This Row],[AGRUPADOR]],Tabela1[],2,0),"")</f>
        <v/>
      </c>
      <c r="E1379" s="19" t="str">
        <f>IF(Tabela2[[#This Row],[AGRUPADOR]]&lt;&gt;"",VLOOKUP(Tabela2[[#This Row],[AGRUPADOR]],Tabela1[],4,0),"")</f>
        <v/>
      </c>
      <c r="F1379" s="14"/>
      <c r="G1379" s="6"/>
      <c r="H1379" s="6"/>
      <c r="I1379" s="25"/>
      <c r="J1379" s="7"/>
      <c r="K1379" s="15"/>
      <c r="L1379" s="379">
        <f>IF(H1379&lt;&gt;"",J1379*K1379,SUMIFS(L1380:L$9844,$F1380:$F$9844,"*"&amp;F1379&amp;"*",$H1380:$H$9844,"&lt;&gt;"))</f>
        <v>0</v>
      </c>
      <c r="M1379" s="379" t="str">
        <f>IF(Tabela2[[#This Row],[UNID.]]&lt;&gt;"",IFERROR(VLOOKUP(Tabela2[[#This Row],[AGRUPADOR]],Lucratividade!$D$4:$O$129,6,0),0),"")</f>
        <v/>
      </c>
      <c r="N1379" s="379">
        <f>IF(H1379&lt;&gt;"",J1379*M1379*I1379,SUMIFS(N1380:N$9844,$F1380:$F$9844,"*"&amp;F1379&amp;"*",$H1380:$H$9844,"&lt;&gt;"))</f>
        <v>0</v>
      </c>
      <c r="O1379" s="162" t="str">
        <f>IFERROR((-Tabela2[[#This Row],[CUSTO TOTAL]]+Tabela2[[#This Row],[VENDA TOTAL]])/Tabela2[[#This Row],[VENDA TOTAL]]-PARAMETROS!$C$19,"")</f>
        <v/>
      </c>
      <c r="AA1379" s="219">
        <f>SUM(Plan_Orc[[#This Row],[01/jan]:[01/dez]])</f>
        <v>0</v>
      </c>
      <c r="AB1379" s="15"/>
      <c r="AC1379" s="15"/>
      <c r="AD1379" s="15"/>
      <c r="AE1379" s="15"/>
      <c r="AF1379" s="15"/>
      <c r="AG1379" s="15"/>
      <c r="AH1379" s="15"/>
      <c r="AI1379" s="15"/>
      <c r="AJ1379" s="15"/>
      <c r="AK1379" s="15"/>
      <c r="AL1379" s="15"/>
      <c r="AM1379" s="15"/>
    </row>
    <row r="1380" spans="2:39" ht="25.2" customHeight="1" x14ac:dyDescent="0.3">
      <c r="B1380" s="13" t="str">
        <f t="shared" si="25"/>
        <v/>
      </c>
      <c r="C1380" s="18"/>
      <c r="D1380" s="19" t="str">
        <f>IF(Tabela2[[#This Row],[AGRUPADOR]]&lt;&gt;"",VLOOKUP(Tabela2[[#This Row],[AGRUPADOR]],Tabela1[],2,0),"")</f>
        <v/>
      </c>
      <c r="E1380" s="19" t="str">
        <f>IF(Tabela2[[#This Row],[AGRUPADOR]]&lt;&gt;"",VLOOKUP(Tabela2[[#This Row],[AGRUPADOR]],Tabela1[],4,0),"")</f>
        <v/>
      </c>
      <c r="F1380" s="14"/>
      <c r="G1380" s="6"/>
      <c r="H1380" s="6"/>
      <c r="I1380" s="25"/>
      <c r="J1380" s="7"/>
      <c r="K1380" s="15"/>
      <c r="L1380" s="379">
        <f>IF(H1380&lt;&gt;"",J1380*K1380,SUMIFS(L1381:L$9844,$F1381:$F$9844,"*"&amp;F1380&amp;"*",$H1381:$H$9844,"&lt;&gt;"))</f>
        <v>0</v>
      </c>
      <c r="M1380" s="379" t="str">
        <f>IF(Tabela2[[#This Row],[UNID.]]&lt;&gt;"",IFERROR(VLOOKUP(Tabela2[[#This Row],[AGRUPADOR]],Lucratividade!$D$4:$O$129,6,0),0),"")</f>
        <v/>
      </c>
      <c r="N1380" s="379">
        <f>IF(H1380&lt;&gt;"",J1380*M1380*I1380,SUMIFS(N1381:N$9844,$F1381:$F$9844,"*"&amp;F1380&amp;"*",$H1381:$H$9844,"&lt;&gt;"))</f>
        <v>0</v>
      </c>
      <c r="O1380" s="162" t="str">
        <f>IFERROR((-Tabela2[[#This Row],[CUSTO TOTAL]]+Tabela2[[#This Row],[VENDA TOTAL]])/Tabela2[[#This Row],[VENDA TOTAL]]-PARAMETROS!$C$19,"")</f>
        <v/>
      </c>
      <c r="AA1380" s="222">
        <f>SUM(Plan_Orc[[#This Row],[01/jan]:[01/dez]])</f>
        <v>0</v>
      </c>
      <c r="AB1380" s="161"/>
      <c r="AC1380" s="161"/>
      <c r="AD1380" s="161"/>
      <c r="AE1380" s="161"/>
      <c r="AF1380" s="161"/>
      <c r="AG1380" s="161"/>
      <c r="AH1380" s="161"/>
      <c r="AI1380" s="161"/>
      <c r="AJ1380" s="161"/>
      <c r="AK1380" s="161"/>
      <c r="AL1380" s="161"/>
      <c r="AM1380" s="161"/>
    </row>
    <row r="1381" spans="2:39" ht="25.2" customHeight="1" x14ac:dyDescent="0.3">
      <c r="B1381" s="13" t="str">
        <f t="shared" si="25"/>
        <v/>
      </c>
      <c r="C1381" s="18"/>
      <c r="D1381" s="19" t="str">
        <f>IF(Tabela2[[#This Row],[AGRUPADOR]]&lt;&gt;"",VLOOKUP(Tabela2[[#This Row],[AGRUPADOR]],Tabela1[],2,0),"")</f>
        <v/>
      </c>
      <c r="E1381" s="19" t="str">
        <f>IF(Tabela2[[#This Row],[AGRUPADOR]]&lt;&gt;"",VLOOKUP(Tabela2[[#This Row],[AGRUPADOR]],Tabela1[],4,0),"")</f>
        <v/>
      </c>
      <c r="F1381" s="14"/>
      <c r="G1381" s="6"/>
      <c r="H1381" s="6"/>
      <c r="I1381" s="25"/>
      <c r="J1381" s="7"/>
      <c r="K1381" s="15"/>
      <c r="L1381" s="379">
        <f>IF(H1381&lt;&gt;"",J1381*K1381,SUMIFS(L1382:L$9844,$F1382:$F$9844,"*"&amp;F1381&amp;"*",$H1382:$H$9844,"&lt;&gt;"))</f>
        <v>0</v>
      </c>
      <c r="M1381" s="379" t="str">
        <f>IF(Tabela2[[#This Row],[UNID.]]&lt;&gt;"",IFERROR(VLOOKUP(Tabela2[[#This Row],[AGRUPADOR]],Lucratividade!$D$4:$O$129,6,0),0),"")</f>
        <v/>
      </c>
      <c r="N1381" s="379">
        <f>IF(H1381&lt;&gt;"",J1381*M1381*I1381,SUMIFS(N1382:N$9844,$F1382:$F$9844,"*"&amp;F1381&amp;"*",$H1382:$H$9844,"&lt;&gt;"))</f>
        <v>0</v>
      </c>
      <c r="O1381" s="162" t="str">
        <f>IFERROR((-Tabela2[[#This Row],[CUSTO TOTAL]]+Tabela2[[#This Row],[VENDA TOTAL]])/Tabela2[[#This Row],[VENDA TOTAL]]-PARAMETROS!$C$19,"")</f>
        <v/>
      </c>
      <c r="AA1381" s="217">
        <f>SUM(Plan_Orc[[#This Row],[01/jan]:[01/dez]])</f>
        <v>0</v>
      </c>
      <c r="AB1381" s="202"/>
      <c r="AC1381" s="202"/>
      <c r="AD1381" s="202"/>
      <c r="AE1381" s="202"/>
      <c r="AF1381" s="202"/>
      <c r="AG1381" s="202"/>
      <c r="AH1381" s="202"/>
      <c r="AI1381" s="202"/>
      <c r="AJ1381" s="202"/>
      <c r="AK1381" s="202"/>
      <c r="AL1381" s="202"/>
      <c r="AM1381" s="202"/>
    </row>
    <row r="1382" spans="2:39" ht="25.2" customHeight="1" x14ac:dyDescent="0.3">
      <c r="B1382" s="13" t="str">
        <f t="shared" si="25"/>
        <v/>
      </c>
      <c r="C1382" s="18"/>
      <c r="D1382" s="19" t="str">
        <f>IF(Tabela2[[#This Row],[AGRUPADOR]]&lt;&gt;"",VLOOKUP(Tabela2[[#This Row],[AGRUPADOR]],Tabela1[],2,0),"")</f>
        <v/>
      </c>
      <c r="E1382" s="19" t="str">
        <f>IF(Tabela2[[#This Row],[AGRUPADOR]]&lt;&gt;"",VLOOKUP(Tabela2[[#This Row],[AGRUPADOR]],Tabela1[],4,0),"")</f>
        <v/>
      </c>
      <c r="F1382" s="14"/>
      <c r="G1382" s="6"/>
      <c r="H1382" s="6"/>
      <c r="I1382" s="25"/>
      <c r="J1382" s="7"/>
      <c r="K1382" s="15"/>
      <c r="L1382" s="379">
        <f>IF(H1382&lt;&gt;"",J1382*K1382,SUMIFS(L1383:L$9844,$F1383:$F$9844,"*"&amp;F1382&amp;"*",$H1383:$H$9844,"&lt;&gt;"))</f>
        <v>0</v>
      </c>
      <c r="M1382" s="379" t="str">
        <f>IF(Tabela2[[#This Row],[UNID.]]&lt;&gt;"",IFERROR(VLOOKUP(Tabela2[[#This Row],[AGRUPADOR]],Lucratividade!$D$4:$O$129,6,0),0),"")</f>
        <v/>
      </c>
      <c r="N1382" s="379">
        <f>IF(H1382&lt;&gt;"",J1382*M1382*I1382,SUMIFS(N1383:N$9844,$F1383:$F$9844,"*"&amp;F1382&amp;"*",$H1383:$H$9844,"&lt;&gt;"))</f>
        <v>0</v>
      </c>
      <c r="O1382" s="162" t="str">
        <f>IFERROR((-Tabela2[[#This Row],[CUSTO TOTAL]]+Tabela2[[#This Row],[VENDA TOTAL]])/Tabela2[[#This Row],[VENDA TOTAL]]-PARAMETROS!$C$19,"")</f>
        <v/>
      </c>
      <c r="AA1382" s="218">
        <f>SUM(Plan_Orc[[#This Row],[01/jan]:[01/dez]])</f>
        <v>0</v>
      </c>
      <c r="AB1382" s="12"/>
      <c r="AC1382" s="12"/>
      <c r="AD1382" s="12"/>
      <c r="AE1382" s="12"/>
      <c r="AF1382" s="12"/>
      <c r="AG1382" s="12"/>
      <c r="AH1382" s="12"/>
      <c r="AI1382" s="12"/>
      <c r="AJ1382" s="12"/>
      <c r="AK1382" s="12"/>
      <c r="AL1382" s="12"/>
      <c r="AM1382" s="12"/>
    </row>
    <row r="1383" spans="2:39" ht="25.2" customHeight="1" x14ac:dyDescent="0.3">
      <c r="B1383" s="13" t="str">
        <f t="shared" si="25"/>
        <v/>
      </c>
      <c r="C1383" s="18"/>
      <c r="D1383" s="19" t="str">
        <f>IF(Tabela2[[#This Row],[AGRUPADOR]]&lt;&gt;"",VLOOKUP(Tabela2[[#This Row],[AGRUPADOR]],Tabela1[],2,0),"")</f>
        <v/>
      </c>
      <c r="E1383" s="19" t="str">
        <f>IF(Tabela2[[#This Row],[AGRUPADOR]]&lt;&gt;"",VLOOKUP(Tabela2[[#This Row],[AGRUPADOR]],Tabela1[],4,0),"")</f>
        <v/>
      </c>
      <c r="F1383" s="14"/>
      <c r="G1383" s="6"/>
      <c r="H1383" s="6"/>
      <c r="I1383" s="25"/>
      <c r="J1383" s="7"/>
      <c r="K1383" s="15"/>
      <c r="L1383" s="379">
        <f>IF(H1383&lt;&gt;"",J1383*K1383,SUMIFS(L1384:L$9844,$F1384:$F$9844,"*"&amp;F1383&amp;"*",$H1384:$H$9844,"&lt;&gt;"))</f>
        <v>0</v>
      </c>
      <c r="M1383" s="379" t="str">
        <f>IF(Tabela2[[#This Row],[UNID.]]&lt;&gt;"",IFERROR(VLOOKUP(Tabela2[[#This Row],[AGRUPADOR]],Lucratividade!$D$4:$O$129,6,0),0),"")</f>
        <v/>
      </c>
      <c r="N1383" s="379">
        <f>IF(H1383&lt;&gt;"",J1383*M1383*I1383,SUMIFS(N1384:N$9844,$F1384:$F$9844,"*"&amp;F1383&amp;"*",$H1384:$H$9844,"&lt;&gt;"))</f>
        <v>0</v>
      </c>
      <c r="O1383" s="162" t="str">
        <f>IFERROR((-Tabela2[[#This Row],[CUSTO TOTAL]]+Tabela2[[#This Row],[VENDA TOTAL]])/Tabela2[[#This Row],[VENDA TOTAL]]-PARAMETROS!$C$19,"")</f>
        <v/>
      </c>
      <c r="AA1383" s="219">
        <f>SUM(Plan_Orc[[#This Row],[01/jan]:[01/dez]])</f>
        <v>0</v>
      </c>
      <c r="AB1383" s="15"/>
      <c r="AC1383" s="15"/>
      <c r="AD1383" s="15"/>
      <c r="AE1383" s="15"/>
      <c r="AF1383" s="15"/>
      <c r="AG1383" s="15"/>
      <c r="AH1383" s="15"/>
      <c r="AI1383" s="15"/>
      <c r="AJ1383" s="15"/>
      <c r="AK1383" s="15"/>
      <c r="AL1383" s="15"/>
      <c r="AM1383" s="15"/>
    </row>
    <row r="1384" spans="2:39" ht="25.2" customHeight="1" x14ac:dyDescent="0.3">
      <c r="B1384" s="13" t="str">
        <f t="shared" si="25"/>
        <v/>
      </c>
      <c r="C1384" s="18"/>
      <c r="D1384" s="19" t="str">
        <f>IF(Tabela2[[#This Row],[AGRUPADOR]]&lt;&gt;"",VLOOKUP(Tabela2[[#This Row],[AGRUPADOR]],Tabela1[],2,0),"")</f>
        <v/>
      </c>
      <c r="E1384" s="19" t="str">
        <f>IF(Tabela2[[#This Row],[AGRUPADOR]]&lt;&gt;"",VLOOKUP(Tabela2[[#This Row],[AGRUPADOR]],Tabela1[],4,0),"")</f>
        <v/>
      </c>
      <c r="F1384" s="14"/>
      <c r="G1384" s="6"/>
      <c r="H1384" s="6"/>
      <c r="I1384" s="25"/>
      <c r="J1384" s="7"/>
      <c r="K1384" s="15"/>
      <c r="L1384" s="379">
        <f>IF(H1384&lt;&gt;"",J1384*K1384,SUMIFS(L1385:L$9844,$F1385:$F$9844,"*"&amp;F1384&amp;"*",$H1385:$H$9844,"&lt;&gt;"))</f>
        <v>0</v>
      </c>
      <c r="M1384" s="379" t="str">
        <f>IF(Tabela2[[#This Row],[UNID.]]&lt;&gt;"",IFERROR(VLOOKUP(Tabela2[[#This Row],[AGRUPADOR]],Lucratividade!$D$4:$O$129,6,0),0),"")</f>
        <v/>
      </c>
      <c r="N1384" s="379">
        <f>IF(H1384&lt;&gt;"",J1384*M1384*I1384,SUMIFS(N1385:N$9844,$F1385:$F$9844,"*"&amp;F1384&amp;"*",$H1385:$H$9844,"&lt;&gt;"))</f>
        <v>0</v>
      </c>
      <c r="O1384" s="162" t="str">
        <f>IFERROR((-Tabela2[[#This Row],[CUSTO TOTAL]]+Tabela2[[#This Row],[VENDA TOTAL]])/Tabela2[[#This Row],[VENDA TOTAL]]-PARAMETROS!$C$19,"")</f>
        <v/>
      </c>
      <c r="AA1384" s="217">
        <f>SUM(Plan_Orc[[#This Row],[01/jan]:[01/dez]])</f>
        <v>0</v>
      </c>
      <c r="AB1384" s="202"/>
      <c r="AC1384" s="202"/>
      <c r="AD1384" s="202"/>
      <c r="AE1384" s="202"/>
      <c r="AF1384" s="202"/>
      <c r="AG1384" s="202"/>
      <c r="AH1384" s="202"/>
      <c r="AI1384" s="202"/>
      <c r="AJ1384" s="202"/>
      <c r="AK1384" s="202"/>
      <c r="AL1384" s="202"/>
      <c r="AM1384" s="202"/>
    </row>
    <row r="1385" spans="2:39" ht="25.2" customHeight="1" x14ac:dyDescent="0.3">
      <c r="B1385" s="13" t="str">
        <f t="shared" si="25"/>
        <v/>
      </c>
      <c r="C1385" s="18"/>
      <c r="D1385" s="19" t="str">
        <f>IF(Tabela2[[#This Row],[AGRUPADOR]]&lt;&gt;"",VLOOKUP(Tabela2[[#This Row],[AGRUPADOR]],Tabela1[],2,0),"")</f>
        <v/>
      </c>
      <c r="E1385" s="19" t="str">
        <f>IF(Tabela2[[#This Row],[AGRUPADOR]]&lt;&gt;"",VLOOKUP(Tabela2[[#This Row],[AGRUPADOR]],Tabela1[],4,0),"")</f>
        <v/>
      </c>
      <c r="F1385" s="14"/>
      <c r="G1385" s="6"/>
      <c r="H1385" s="6"/>
      <c r="I1385" s="25"/>
      <c r="J1385" s="7"/>
      <c r="K1385" s="15"/>
      <c r="L1385" s="379">
        <f>IF(H1385&lt;&gt;"",J1385*K1385,SUMIFS(L1386:L$9844,$F1386:$F$9844,"*"&amp;F1385&amp;"*",$H1386:$H$9844,"&lt;&gt;"))</f>
        <v>0</v>
      </c>
      <c r="M1385" s="379" t="str">
        <f>IF(Tabela2[[#This Row],[UNID.]]&lt;&gt;"",IFERROR(VLOOKUP(Tabela2[[#This Row],[AGRUPADOR]],Lucratividade!$D$4:$O$129,6,0),0),"")</f>
        <v/>
      </c>
      <c r="N1385" s="379">
        <f>IF(H1385&lt;&gt;"",J1385*M1385*I1385,SUMIFS(N1386:N$9844,$F1386:$F$9844,"*"&amp;F1385&amp;"*",$H1386:$H$9844,"&lt;&gt;"))</f>
        <v>0</v>
      </c>
      <c r="O1385" s="162" t="str">
        <f>IFERROR((-Tabela2[[#This Row],[CUSTO TOTAL]]+Tabela2[[#This Row],[VENDA TOTAL]])/Tabela2[[#This Row],[VENDA TOTAL]]-PARAMETROS!$C$19,"")</f>
        <v/>
      </c>
      <c r="AA1385" s="218">
        <f>SUM(Plan_Orc[[#This Row],[01/jan]:[01/dez]])</f>
        <v>0</v>
      </c>
      <c r="AB1385" s="12"/>
      <c r="AC1385" s="12"/>
      <c r="AD1385" s="12"/>
      <c r="AE1385" s="12"/>
      <c r="AF1385" s="12"/>
      <c r="AG1385" s="12"/>
      <c r="AH1385" s="12"/>
      <c r="AI1385" s="12"/>
      <c r="AJ1385" s="12"/>
      <c r="AK1385" s="12"/>
      <c r="AL1385" s="12"/>
      <c r="AM1385" s="12"/>
    </row>
    <row r="1386" spans="2:39" ht="25.2" customHeight="1" x14ac:dyDescent="0.3">
      <c r="B1386" s="13" t="str">
        <f t="shared" si="25"/>
        <v/>
      </c>
      <c r="C1386" s="18"/>
      <c r="D1386" s="19" t="str">
        <f>IF(Tabela2[[#This Row],[AGRUPADOR]]&lt;&gt;"",VLOOKUP(Tabela2[[#This Row],[AGRUPADOR]],Tabela1[],2,0),"")</f>
        <v/>
      </c>
      <c r="E1386" s="19" t="str">
        <f>IF(Tabela2[[#This Row],[AGRUPADOR]]&lt;&gt;"",VLOOKUP(Tabela2[[#This Row],[AGRUPADOR]],Tabela1[],4,0),"")</f>
        <v/>
      </c>
      <c r="F1386" s="14"/>
      <c r="G1386" s="6"/>
      <c r="H1386" s="6"/>
      <c r="I1386" s="25"/>
      <c r="J1386" s="7"/>
      <c r="K1386" s="15"/>
      <c r="L1386" s="379">
        <f>IF(H1386&lt;&gt;"",J1386*K1386,SUMIFS(L1387:L$9844,$F1387:$F$9844,"*"&amp;F1386&amp;"*",$H1387:$H$9844,"&lt;&gt;"))</f>
        <v>0</v>
      </c>
      <c r="M1386" s="379" t="str">
        <f>IF(Tabela2[[#This Row],[UNID.]]&lt;&gt;"",IFERROR(VLOOKUP(Tabela2[[#This Row],[AGRUPADOR]],Lucratividade!$D$4:$O$129,6,0),0),"")</f>
        <v/>
      </c>
      <c r="N1386" s="379">
        <f>IF(H1386&lt;&gt;"",J1386*M1386*I1386,SUMIFS(N1387:N$9844,$F1387:$F$9844,"*"&amp;F1386&amp;"*",$H1387:$H$9844,"&lt;&gt;"))</f>
        <v>0</v>
      </c>
      <c r="O1386" s="162" t="str">
        <f>IFERROR((-Tabela2[[#This Row],[CUSTO TOTAL]]+Tabela2[[#This Row],[VENDA TOTAL]])/Tabela2[[#This Row],[VENDA TOTAL]]-PARAMETROS!$C$19,"")</f>
        <v/>
      </c>
      <c r="AA1386" s="219">
        <f>SUM(Plan_Orc[[#This Row],[01/jan]:[01/dez]])</f>
        <v>0</v>
      </c>
      <c r="AB1386" s="15"/>
      <c r="AC1386" s="15"/>
      <c r="AD1386" s="15"/>
      <c r="AE1386" s="15"/>
      <c r="AF1386" s="15"/>
      <c r="AG1386" s="15"/>
      <c r="AH1386" s="15"/>
      <c r="AI1386" s="15"/>
      <c r="AJ1386" s="15"/>
      <c r="AK1386" s="15"/>
      <c r="AL1386" s="15"/>
      <c r="AM1386" s="15"/>
    </row>
    <row r="1387" spans="2:39" ht="25.2" customHeight="1" x14ac:dyDescent="0.3">
      <c r="B1387" s="13" t="str">
        <f t="shared" si="25"/>
        <v/>
      </c>
      <c r="C1387" s="18"/>
      <c r="D1387" s="19" t="str">
        <f>IF(Tabela2[[#This Row],[AGRUPADOR]]&lt;&gt;"",VLOOKUP(Tabela2[[#This Row],[AGRUPADOR]],Tabela1[],2,0),"")</f>
        <v/>
      </c>
      <c r="E1387" s="19" t="str">
        <f>IF(Tabela2[[#This Row],[AGRUPADOR]]&lt;&gt;"",VLOOKUP(Tabela2[[#This Row],[AGRUPADOR]],Tabela1[],4,0),"")</f>
        <v/>
      </c>
      <c r="F1387" s="14"/>
      <c r="G1387" s="6"/>
      <c r="H1387" s="6"/>
      <c r="I1387" s="25"/>
      <c r="J1387" s="7"/>
      <c r="K1387" s="15"/>
      <c r="L1387" s="379">
        <f>IF(H1387&lt;&gt;"",J1387*K1387,SUMIFS(L1388:L$9844,$F1388:$F$9844,"*"&amp;F1387&amp;"*",$H1388:$H$9844,"&lt;&gt;"))</f>
        <v>0</v>
      </c>
      <c r="M1387" s="379" t="str">
        <f>IF(Tabela2[[#This Row],[UNID.]]&lt;&gt;"",IFERROR(VLOOKUP(Tabela2[[#This Row],[AGRUPADOR]],Lucratividade!$D$4:$O$129,6,0),0),"")</f>
        <v/>
      </c>
      <c r="N1387" s="379">
        <f>IF(H1387&lt;&gt;"",J1387*M1387*I1387,SUMIFS(N1388:N$9844,$F1388:$F$9844,"*"&amp;F1387&amp;"*",$H1388:$H$9844,"&lt;&gt;"))</f>
        <v>0</v>
      </c>
      <c r="O1387" s="162" t="str">
        <f>IFERROR((-Tabela2[[#This Row],[CUSTO TOTAL]]+Tabela2[[#This Row],[VENDA TOTAL]])/Tabela2[[#This Row],[VENDA TOTAL]]-PARAMETROS!$C$19,"")</f>
        <v/>
      </c>
      <c r="AA1387" s="219">
        <f>SUM(Plan_Orc[[#This Row],[01/jan]:[01/dez]])</f>
        <v>0</v>
      </c>
      <c r="AB1387" s="15"/>
      <c r="AC1387" s="15"/>
      <c r="AD1387" s="15"/>
      <c r="AE1387" s="15"/>
      <c r="AF1387" s="15"/>
      <c r="AG1387" s="15"/>
      <c r="AH1387" s="15"/>
      <c r="AI1387" s="15"/>
      <c r="AJ1387" s="15"/>
      <c r="AK1387" s="15"/>
      <c r="AL1387" s="15"/>
      <c r="AM1387" s="15"/>
    </row>
    <row r="1388" spans="2:39" ht="25.2" customHeight="1" x14ac:dyDescent="0.3">
      <c r="B1388" s="13" t="str">
        <f t="shared" si="25"/>
        <v/>
      </c>
      <c r="C1388" s="18"/>
      <c r="D1388" s="19" t="str">
        <f>IF(Tabela2[[#This Row],[AGRUPADOR]]&lt;&gt;"",VLOOKUP(Tabela2[[#This Row],[AGRUPADOR]],Tabela1[],2,0),"")</f>
        <v/>
      </c>
      <c r="E1388" s="19" t="str">
        <f>IF(Tabela2[[#This Row],[AGRUPADOR]]&lt;&gt;"",VLOOKUP(Tabela2[[#This Row],[AGRUPADOR]],Tabela1[],4,0),"")</f>
        <v/>
      </c>
      <c r="F1388" s="14"/>
      <c r="G1388" s="6"/>
      <c r="H1388" s="6"/>
      <c r="I1388" s="25"/>
      <c r="J1388" s="7"/>
      <c r="K1388" s="15"/>
      <c r="L1388" s="379">
        <f>IF(H1388&lt;&gt;"",J1388*K1388,SUMIFS(L1389:L$9844,$F1389:$F$9844,"*"&amp;F1388&amp;"*",$H1389:$H$9844,"&lt;&gt;"))</f>
        <v>0</v>
      </c>
      <c r="M1388" s="379" t="str">
        <f>IF(Tabela2[[#This Row],[UNID.]]&lt;&gt;"",IFERROR(VLOOKUP(Tabela2[[#This Row],[AGRUPADOR]],Lucratividade!$D$4:$O$129,6,0),0),"")</f>
        <v/>
      </c>
      <c r="N1388" s="379">
        <f>IF(H1388&lt;&gt;"",J1388*M1388*I1388,SUMIFS(N1389:N$9844,$F1389:$F$9844,"*"&amp;F1388&amp;"*",$H1389:$H$9844,"&lt;&gt;"))</f>
        <v>0</v>
      </c>
      <c r="O1388" s="162" t="str">
        <f>IFERROR((-Tabela2[[#This Row],[CUSTO TOTAL]]+Tabela2[[#This Row],[VENDA TOTAL]])/Tabela2[[#This Row],[VENDA TOTAL]]-PARAMETROS!$C$19,"")</f>
        <v/>
      </c>
      <c r="AA1388" s="219">
        <f>SUM(Plan_Orc[[#This Row],[01/jan]:[01/dez]])</f>
        <v>0</v>
      </c>
      <c r="AB1388" s="15"/>
      <c r="AC1388" s="15"/>
      <c r="AD1388" s="15"/>
      <c r="AE1388" s="15"/>
      <c r="AF1388" s="15"/>
      <c r="AG1388" s="15"/>
      <c r="AH1388" s="15"/>
      <c r="AI1388" s="15"/>
      <c r="AJ1388" s="15"/>
      <c r="AK1388" s="15"/>
      <c r="AL1388" s="15"/>
      <c r="AM1388" s="15"/>
    </row>
    <row r="1389" spans="2:39" ht="25.2" customHeight="1" x14ac:dyDescent="0.3">
      <c r="B1389" s="13" t="str">
        <f t="shared" si="25"/>
        <v/>
      </c>
      <c r="C1389" s="18"/>
      <c r="D1389" s="19" t="str">
        <f>IF(Tabela2[[#This Row],[AGRUPADOR]]&lt;&gt;"",VLOOKUP(Tabela2[[#This Row],[AGRUPADOR]],Tabela1[],2,0),"")</f>
        <v/>
      </c>
      <c r="E1389" s="19" t="str">
        <f>IF(Tabela2[[#This Row],[AGRUPADOR]]&lt;&gt;"",VLOOKUP(Tabela2[[#This Row],[AGRUPADOR]],Tabela1[],4,0),"")</f>
        <v/>
      </c>
      <c r="F1389" s="14"/>
      <c r="G1389" s="6"/>
      <c r="H1389" s="6"/>
      <c r="I1389" s="25"/>
      <c r="J1389" s="7"/>
      <c r="K1389" s="15"/>
      <c r="L1389" s="379">
        <f>IF(H1389&lt;&gt;"",J1389*K1389,SUMIFS(L1390:L$9844,$F1390:$F$9844,"*"&amp;F1389&amp;"*",$H1390:$H$9844,"&lt;&gt;"))</f>
        <v>0</v>
      </c>
      <c r="M1389" s="379" t="str">
        <f>IF(Tabela2[[#This Row],[UNID.]]&lt;&gt;"",IFERROR(VLOOKUP(Tabela2[[#This Row],[AGRUPADOR]],Lucratividade!$D$4:$O$129,6,0),0),"")</f>
        <v/>
      </c>
      <c r="N1389" s="379">
        <f>IF(H1389&lt;&gt;"",J1389*M1389*I1389,SUMIFS(N1390:N$9844,$F1390:$F$9844,"*"&amp;F1389&amp;"*",$H1390:$H$9844,"&lt;&gt;"))</f>
        <v>0</v>
      </c>
      <c r="O1389" s="162" t="str">
        <f>IFERROR((-Tabela2[[#This Row],[CUSTO TOTAL]]+Tabela2[[#This Row],[VENDA TOTAL]])/Tabela2[[#This Row],[VENDA TOTAL]]-PARAMETROS!$C$19,"")</f>
        <v/>
      </c>
      <c r="AA1389" s="219">
        <f>SUM(Plan_Orc[[#This Row],[01/jan]:[01/dez]])</f>
        <v>0</v>
      </c>
      <c r="AB1389" s="15"/>
      <c r="AC1389" s="15"/>
      <c r="AD1389" s="15"/>
      <c r="AE1389" s="15"/>
      <c r="AF1389" s="15"/>
      <c r="AG1389" s="15"/>
      <c r="AH1389" s="15"/>
      <c r="AI1389" s="15"/>
      <c r="AJ1389" s="15"/>
      <c r="AK1389" s="15"/>
      <c r="AL1389" s="15"/>
      <c r="AM1389" s="15"/>
    </row>
    <row r="1390" spans="2:39" ht="25.2" customHeight="1" x14ac:dyDescent="0.3">
      <c r="B1390" s="13" t="str">
        <f t="shared" si="25"/>
        <v/>
      </c>
      <c r="C1390" s="18"/>
      <c r="D1390" s="19" t="str">
        <f>IF(Tabela2[[#This Row],[AGRUPADOR]]&lt;&gt;"",VLOOKUP(Tabela2[[#This Row],[AGRUPADOR]],Tabela1[],2,0),"")</f>
        <v/>
      </c>
      <c r="E1390" s="19" t="str">
        <f>IF(Tabela2[[#This Row],[AGRUPADOR]]&lt;&gt;"",VLOOKUP(Tabela2[[#This Row],[AGRUPADOR]],Tabela1[],4,0),"")</f>
        <v/>
      </c>
      <c r="F1390" s="14"/>
      <c r="G1390" s="6"/>
      <c r="H1390" s="6"/>
      <c r="I1390" s="25"/>
      <c r="J1390" s="7"/>
      <c r="K1390" s="15"/>
      <c r="L1390" s="379">
        <f>IF(H1390&lt;&gt;"",J1390*K1390,SUMIFS(L1391:L$9844,$F1391:$F$9844,"*"&amp;F1390&amp;"*",$H1391:$H$9844,"&lt;&gt;"))</f>
        <v>0</v>
      </c>
      <c r="M1390" s="379" t="str">
        <f>IF(Tabela2[[#This Row],[UNID.]]&lt;&gt;"",IFERROR(VLOOKUP(Tabela2[[#This Row],[AGRUPADOR]],Lucratividade!$D$4:$O$129,6,0),0),"")</f>
        <v/>
      </c>
      <c r="N1390" s="379">
        <f>IF(H1390&lt;&gt;"",J1390*M1390*I1390,SUMIFS(N1391:N$9844,$F1391:$F$9844,"*"&amp;F1390&amp;"*",$H1391:$H$9844,"&lt;&gt;"))</f>
        <v>0</v>
      </c>
      <c r="O1390" s="162" t="str">
        <f>IFERROR((-Tabela2[[#This Row],[CUSTO TOTAL]]+Tabela2[[#This Row],[VENDA TOTAL]])/Tabela2[[#This Row],[VENDA TOTAL]]-PARAMETROS!$C$19,"")</f>
        <v/>
      </c>
      <c r="AA1390" s="219">
        <f>SUM(Plan_Orc[[#This Row],[01/jan]:[01/dez]])</f>
        <v>0</v>
      </c>
      <c r="AB1390" s="15"/>
      <c r="AC1390" s="15"/>
      <c r="AD1390" s="15"/>
      <c r="AE1390" s="15"/>
      <c r="AF1390" s="15"/>
      <c r="AG1390" s="15"/>
      <c r="AH1390" s="15"/>
      <c r="AI1390" s="15"/>
      <c r="AJ1390" s="15"/>
      <c r="AK1390" s="15"/>
      <c r="AL1390" s="15"/>
      <c r="AM1390" s="15"/>
    </row>
    <row r="1391" spans="2:39" ht="25.2" customHeight="1" x14ac:dyDescent="0.3">
      <c r="B1391" s="13" t="str">
        <f t="shared" si="25"/>
        <v/>
      </c>
      <c r="C1391" s="18"/>
      <c r="D1391" s="19" t="str">
        <f>IF(Tabela2[[#This Row],[AGRUPADOR]]&lt;&gt;"",VLOOKUP(Tabela2[[#This Row],[AGRUPADOR]],Tabela1[],2,0),"")</f>
        <v/>
      </c>
      <c r="E1391" s="19" t="str">
        <f>IF(Tabela2[[#This Row],[AGRUPADOR]]&lt;&gt;"",VLOOKUP(Tabela2[[#This Row],[AGRUPADOR]],Tabela1[],4,0),"")</f>
        <v/>
      </c>
      <c r="F1391" s="14"/>
      <c r="G1391" s="6"/>
      <c r="H1391" s="6"/>
      <c r="I1391" s="25"/>
      <c r="J1391" s="7"/>
      <c r="K1391" s="15"/>
      <c r="L1391" s="379">
        <f>IF(H1391&lt;&gt;"",J1391*K1391,SUMIFS(L1392:L$9844,$F1392:$F$9844,"*"&amp;F1391&amp;"*",$H1392:$H$9844,"&lt;&gt;"))</f>
        <v>0</v>
      </c>
      <c r="M1391" s="379" t="str">
        <f>IF(Tabela2[[#This Row],[UNID.]]&lt;&gt;"",IFERROR(VLOOKUP(Tabela2[[#This Row],[AGRUPADOR]],Lucratividade!$D$4:$O$129,6,0),0),"")</f>
        <v/>
      </c>
      <c r="N1391" s="379">
        <f>IF(H1391&lt;&gt;"",J1391*M1391*I1391,SUMIFS(N1392:N$9844,$F1392:$F$9844,"*"&amp;F1391&amp;"*",$H1392:$H$9844,"&lt;&gt;"))</f>
        <v>0</v>
      </c>
      <c r="O1391" s="162" t="str">
        <f>IFERROR((-Tabela2[[#This Row],[CUSTO TOTAL]]+Tabela2[[#This Row],[VENDA TOTAL]])/Tabela2[[#This Row],[VENDA TOTAL]]-PARAMETROS!$C$19,"")</f>
        <v/>
      </c>
      <c r="AA1391" s="219">
        <f>SUM(Plan_Orc[[#This Row],[01/jan]:[01/dez]])</f>
        <v>0</v>
      </c>
      <c r="AB1391" s="15"/>
      <c r="AC1391" s="15"/>
      <c r="AD1391" s="15"/>
      <c r="AE1391" s="15"/>
      <c r="AF1391" s="15"/>
      <c r="AG1391" s="15"/>
      <c r="AH1391" s="15"/>
      <c r="AI1391" s="15"/>
      <c r="AJ1391" s="15"/>
      <c r="AK1391" s="15"/>
      <c r="AL1391" s="15"/>
      <c r="AM1391" s="15"/>
    </row>
    <row r="1392" spans="2:39" ht="25.2" customHeight="1" x14ac:dyDescent="0.3">
      <c r="B1392" s="13" t="str">
        <f t="shared" si="25"/>
        <v/>
      </c>
      <c r="C1392" s="18"/>
      <c r="D1392" s="19" t="str">
        <f>IF(Tabela2[[#This Row],[AGRUPADOR]]&lt;&gt;"",VLOOKUP(Tabela2[[#This Row],[AGRUPADOR]],Tabela1[],2,0),"")</f>
        <v/>
      </c>
      <c r="E1392" s="19" t="str">
        <f>IF(Tabela2[[#This Row],[AGRUPADOR]]&lt;&gt;"",VLOOKUP(Tabela2[[#This Row],[AGRUPADOR]],Tabela1[],4,0),"")</f>
        <v/>
      </c>
      <c r="F1392" s="14"/>
      <c r="G1392" s="6"/>
      <c r="H1392" s="6"/>
      <c r="I1392" s="25"/>
      <c r="J1392" s="7"/>
      <c r="K1392" s="15"/>
      <c r="L1392" s="379">
        <f>IF(H1392&lt;&gt;"",J1392*K1392,SUMIFS(L1393:L$9844,$F1393:$F$9844,"*"&amp;F1392&amp;"*",$H1393:$H$9844,"&lt;&gt;"))</f>
        <v>0</v>
      </c>
      <c r="M1392" s="379" t="str">
        <f>IF(Tabela2[[#This Row],[UNID.]]&lt;&gt;"",IFERROR(VLOOKUP(Tabela2[[#This Row],[AGRUPADOR]],Lucratividade!$D$4:$O$129,6,0),0),"")</f>
        <v/>
      </c>
      <c r="N1392" s="379">
        <f>IF(H1392&lt;&gt;"",J1392*M1392*I1392,SUMIFS(N1393:N$9844,$F1393:$F$9844,"*"&amp;F1392&amp;"*",$H1393:$H$9844,"&lt;&gt;"))</f>
        <v>0</v>
      </c>
      <c r="O1392" s="162" t="str">
        <f>IFERROR((-Tabela2[[#This Row],[CUSTO TOTAL]]+Tabela2[[#This Row],[VENDA TOTAL]])/Tabela2[[#This Row],[VENDA TOTAL]]-PARAMETROS!$C$19,"")</f>
        <v/>
      </c>
      <c r="AA1392" s="219">
        <f>SUM(Plan_Orc[[#This Row],[01/jan]:[01/dez]])</f>
        <v>0</v>
      </c>
      <c r="AB1392" s="15"/>
      <c r="AC1392" s="15"/>
      <c r="AD1392" s="15"/>
      <c r="AE1392" s="15"/>
      <c r="AF1392" s="15"/>
      <c r="AG1392" s="15"/>
      <c r="AH1392" s="15"/>
      <c r="AI1392" s="15"/>
      <c r="AJ1392" s="15"/>
      <c r="AK1392" s="15"/>
      <c r="AL1392" s="15"/>
      <c r="AM1392" s="15"/>
    </row>
    <row r="1393" spans="2:39" ht="25.2" customHeight="1" x14ac:dyDescent="0.3">
      <c r="B1393" s="13" t="str">
        <f t="shared" si="25"/>
        <v/>
      </c>
      <c r="C1393" s="18"/>
      <c r="D1393" s="19" t="str">
        <f>IF(Tabela2[[#This Row],[AGRUPADOR]]&lt;&gt;"",VLOOKUP(Tabela2[[#This Row],[AGRUPADOR]],Tabela1[],2,0),"")</f>
        <v/>
      </c>
      <c r="E1393" s="19" t="str">
        <f>IF(Tabela2[[#This Row],[AGRUPADOR]]&lt;&gt;"",VLOOKUP(Tabela2[[#This Row],[AGRUPADOR]],Tabela1[],4,0),"")</f>
        <v/>
      </c>
      <c r="F1393" s="14"/>
      <c r="G1393" s="6"/>
      <c r="H1393" s="6"/>
      <c r="I1393" s="25"/>
      <c r="J1393" s="7"/>
      <c r="K1393" s="15"/>
      <c r="L1393" s="379">
        <f>IF(H1393&lt;&gt;"",J1393*K1393,SUMIFS(L1394:L$9844,$F1394:$F$9844,"*"&amp;F1393&amp;"*",$H1394:$H$9844,"&lt;&gt;"))</f>
        <v>0</v>
      </c>
      <c r="M1393" s="379" t="str">
        <f>IF(Tabela2[[#This Row],[UNID.]]&lt;&gt;"",IFERROR(VLOOKUP(Tabela2[[#This Row],[AGRUPADOR]],Lucratividade!$D$4:$O$129,6,0),0),"")</f>
        <v/>
      </c>
      <c r="N1393" s="379">
        <f>IF(H1393&lt;&gt;"",J1393*M1393*I1393,SUMIFS(N1394:N$9844,$F1394:$F$9844,"*"&amp;F1393&amp;"*",$H1394:$H$9844,"&lt;&gt;"))</f>
        <v>0</v>
      </c>
      <c r="O1393" s="162" t="str">
        <f>IFERROR((-Tabela2[[#This Row],[CUSTO TOTAL]]+Tabela2[[#This Row],[VENDA TOTAL]])/Tabela2[[#This Row],[VENDA TOTAL]]-PARAMETROS!$C$19,"")</f>
        <v/>
      </c>
      <c r="AA1393" s="219">
        <f>SUM(Plan_Orc[[#This Row],[01/jan]:[01/dez]])</f>
        <v>0</v>
      </c>
      <c r="AB1393" s="15"/>
      <c r="AC1393" s="15"/>
      <c r="AD1393" s="15"/>
      <c r="AE1393" s="15"/>
      <c r="AF1393" s="15"/>
      <c r="AG1393" s="15"/>
      <c r="AH1393" s="15"/>
      <c r="AI1393" s="15"/>
      <c r="AJ1393" s="15"/>
      <c r="AK1393" s="15"/>
      <c r="AL1393" s="15"/>
      <c r="AM1393" s="15"/>
    </row>
    <row r="1394" spans="2:39" ht="25.2" customHeight="1" x14ac:dyDescent="0.3">
      <c r="B1394" s="13" t="str">
        <f t="shared" si="25"/>
        <v/>
      </c>
      <c r="C1394" s="18"/>
      <c r="D1394" s="19" t="str">
        <f>IF(Tabela2[[#This Row],[AGRUPADOR]]&lt;&gt;"",VLOOKUP(Tabela2[[#This Row],[AGRUPADOR]],Tabela1[],2,0),"")</f>
        <v/>
      </c>
      <c r="E1394" s="19" t="str">
        <f>IF(Tabela2[[#This Row],[AGRUPADOR]]&lt;&gt;"",VLOOKUP(Tabela2[[#This Row],[AGRUPADOR]],Tabela1[],4,0),"")</f>
        <v/>
      </c>
      <c r="F1394" s="14"/>
      <c r="G1394" s="6"/>
      <c r="H1394" s="6"/>
      <c r="I1394" s="25"/>
      <c r="J1394" s="7"/>
      <c r="K1394" s="15"/>
      <c r="L1394" s="379">
        <f>IF(H1394&lt;&gt;"",J1394*K1394,SUMIFS(L1395:L$9844,$F1395:$F$9844,"*"&amp;F1394&amp;"*",$H1395:$H$9844,"&lt;&gt;"))</f>
        <v>0</v>
      </c>
      <c r="M1394" s="379" t="str">
        <f>IF(Tabela2[[#This Row],[UNID.]]&lt;&gt;"",IFERROR(VLOOKUP(Tabela2[[#This Row],[AGRUPADOR]],Lucratividade!$D$4:$O$129,6,0),0),"")</f>
        <v/>
      </c>
      <c r="N1394" s="379">
        <f>IF(H1394&lt;&gt;"",J1394*M1394*I1394,SUMIFS(N1395:N$9844,$F1395:$F$9844,"*"&amp;F1394&amp;"*",$H1395:$H$9844,"&lt;&gt;"))</f>
        <v>0</v>
      </c>
      <c r="O1394" s="162" t="str">
        <f>IFERROR((-Tabela2[[#This Row],[CUSTO TOTAL]]+Tabela2[[#This Row],[VENDA TOTAL]])/Tabela2[[#This Row],[VENDA TOTAL]]-PARAMETROS!$C$19,"")</f>
        <v/>
      </c>
      <c r="AA1394" s="219">
        <f>SUM(Plan_Orc[[#This Row],[01/jan]:[01/dez]])</f>
        <v>0</v>
      </c>
      <c r="AB1394" s="15"/>
      <c r="AC1394" s="15"/>
      <c r="AD1394" s="15"/>
      <c r="AE1394" s="15"/>
      <c r="AF1394" s="15"/>
      <c r="AG1394" s="15"/>
      <c r="AH1394" s="15"/>
      <c r="AI1394" s="15"/>
      <c r="AJ1394" s="15"/>
      <c r="AK1394" s="15"/>
      <c r="AL1394" s="15"/>
      <c r="AM1394" s="15"/>
    </row>
    <row r="1395" spans="2:39" ht="25.2" customHeight="1" x14ac:dyDescent="0.3">
      <c r="B1395" s="13" t="str">
        <f t="shared" si="25"/>
        <v/>
      </c>
      <c r="C1395" s="18"/>
      <c r="D1395" s="19" t="str">
        <f>IF(Tabela2[[#This Row],[AGRUPADOR]]&lt;&gt;"",VLOOKUP(Tabela2[[#This Row],[AGRUPADOR]],Tabela1[],2,0),"")</f>
        <v/>
      </c>
      <c r="E1395" s="19" t="str">
        <f>IF(Tabela2[[#This Row],[AGRUPADOR]]&lt;&gt;"",VLOOKUP(Tabela2[[#This Row],[AGRUPADOR]],Tabela1[],4,0),"")</f>
        <v/>
      </c>
      <c r="F1395" s="14"/>
      <c r="G1395" s="6"/>
      <c r="H1395" s="6"/>
      <c r="I1395" s="25"/>
      <c r="J1395" s="7"/>
      <c r="K1395" s="15"/>
      <c r="L1395" s="379">
        <f>IF(H1395&lt;&gt;"",J1395*K1395,SUMIFS(L1396:L$9844,$F1396:$F$9844,"*"&amp;F1395&amp;"*",$H1396:$H$9844,"&lt;&gt;"))</f>
        <v>0</v>
      </c>
      <c r="M1395" s="379" t="str">
        <f>IF(Tabela2[[#This Row],[UNID.]]&lt;&gt;"",IFERROR(VLOOKUP(Tabela2[[#This Row],[AGRUPADOR]],Lucratividade!$D$4:$O$129,6,0),0),"")</f>
        <v/>
      </c>
      <c r="N1395" s="379">
        <f>IF(H1395&lt;&gt;"",J1395*M1395*I1395,SUMIFS(N1396:N$9844,$F1396:$F$9844,"*"&amp;F1395&amp;"*",$H1396:$H$9844,"&lt;&gt;"))</f>
        <v>0</v>
      </c>
      <c r="O1395" s="162" t="str">
        <f>IFERROR((-Tabela2[[#This Row],[CUSTO TOTAL]]+Tabela2[[#This Row],[VENDA TOTAL]])/Tabela2[[#This Row],[VENDA TOTAL]]-PARAMETROS!$C$19,"")</f>
        <v/>
      </c>
      <c r="AA1395" s="219">
        <f>SUM(Plan_Orc[[#This Row],[01/jan]:[01/dez]])</f>
        <v>0</v>
      </c>
      <c r="AB1395" s="15"/>
      <c r="AC1395" s="15"/>
      <c r="AD1395" s="15"/>
      <c r="AE1395" s="15"/>
      <c r="AF1395" s="15"/>
      <c r="AG1395" s="15"/>
      <c r="AH1395" s="15"/>
      <c r="AI1395" s="15"/>
      <c r="AJ1395" s="15"/>
      <c r="AK1395" s="15"/>
      <c r="AL1395" s="15"/>
      <c r="AM1395" s="15"/>
    </row>
    <row r="1396" spans="2:39" ht="25.2" customHeight="1" x14ac:dyDescent="0.3">
      <c r="B1396" s="13" t="str">
        <f t="shared" si="25"/>
        <v/>
      </c>
      <c r="C1396" s="18"/>
      <c r="D1396" s="19" t="str">
        <f>IF(Tabela2[[#This Row],[AGRUPADOR]]&lt;&gt;"",VLOOKUP(Tabela2[[#This Row],[AGRUPADOR]],Tabela1[],2,0),"")</f>
        <v/>
      </c>
      <c r="E1396" s="19" t="str">
        <f>IF(Tabela2[[#This Row],[AGRUPADOR]]&lt;&gt;"",VLOOKUP(Tabela2[[#This Row],[AGRUPADOR]],Tabela1[],4,0),"")</f>
        <v/>
      </c>
      <c r="F1396" s="14"/>
      <c r="G1396" s="6"/>
      <c r="H1396" s="6"/>
      <c r="I1396" s="25"/>
      <c r="J1396" s="7"/>
      <c r="K1396" s="15"/>
      <c r="L1396" s="379">
        <f>IF(H1396&lt;&gt;"",J1396*K1396,SUMIFS(L1397:L$9844,$F1397:$F$9844,"*"&amp;F1396&amp;"*",$H1397:$H$9844,"&lt;&gt;"))</f>
        <v>0</v>
      </c>
      <c r="M1396" s="379" t="str">
        <f>IF(Tabela2[[#This Row],[UNID.]]&lt;&gt;"",IFERROR(VLOOKUP(Tabela2[[#This Row],[AGRUPADOR]],Lucratividade!$D$4:$O$129,6,0),0),"")</f>
        <v/>
      </c>
      <c r="N1396" s="379">
        <f>IF(H1396&lt;&gt;"",J1396*M1396*I1396,SUMIFS(N1397:N$9844,$F1397:$F$9844,"*"&amp;F1396&amp;"*",$H1397:$H$9844,"&lt;&gt;"))</f>
        <v>0</v>
      </c>
      <c r="O1396" s="162" t="str">
        <f>IFERROR((-Tabela2[[#This Row],[CUSTO TOTAL]]+Tabela2[[#This Row],[VENDA TOTAL]])/Tabela2[[#This Row],[VENDA TOTAL]]-PARAMETROS!$C$19,"")</f>
        <v/>
      </c>
      <c r="AA1396" s="219">
        <f>SUM(Plan_Orc[[#This Row],[01/jan]:[01/dez]])</f>
        <v>0</v>
      </c>
      <c r="AB1396" s="15"/>
      <c r="AC1396" s="15"/>
      <c r="AD1396" s="15"/>
      <c r="AE1396" s="15"/>
      <c r="AF1396" s="15"/>
      <c r="AG1396" s="15"/>
      <c r="AH1396" s="15"/>
      <c r="AI1396" s="15"/>
      <c r="AJ1396" s="15"/>
      <c r="AK1396" s="15"/>
      <c r="AL1396" s="15"/>
      <c r="AM1396" s="15"/>
    </row>
    <row r="1397" spans="2:39" ht="25.2" customHeight="1" x14ac:dyDescent="0.3">
      <c r="B1397" s="13" t="str">
        <f t="shared" si="25"/>
        <v/>
      </c>
      <c r="C1397" s="18"/>
      <c r="D1397" s="19" t="str">
        <f>IF(Tabela2[[#This Row],[AGRUPADOR]]&lt;&gt;"",VLOOKUP(Tabela2[[#This Row],[AGRUPADOR]],Tabela1[],2,0),"")</f>
        <v/>
      </c>
      <c r="E1397" s="19" t="str">
        <f>IF(Tabela2[[#This Row],[AGRUPADOR]]&lt;&gt;"",VLOOKUP(Tabela2[[#This Row],[AGRUPADOR]],Tabela1[],4,0),"")</f>
        <v/>
      </c>
      <c r="F1397" s="14"/>
      <c r="G1397" s="6"/>
      <c r="H1397" s="6"/>
      <c r="I1397" s="25"/>
      <c r="J1397" s="7"/>
      <c r="K1397" s="15"/>
      <c r="L1397" s="379">
        <f>IF(H1397&lt;&gt;"",J1397*K1397,SUMIFS(L1398:L$9844,$F1398:$F$9844,"*"&amp;F1397&amp;"*",$H1398:$H$9844,"&lt;&gt;"))</f>
        <v>0</v>
      </c>
      <c r="M1397" s="379" t="str">
        <f>IF(Tabela2[[#This Row],[UNID.]]&lt;&gt;"",IFERROR(VLOOKUP(Tabela2[[#This Row],[AGRUPADOR]],Lucratividade!$D$4:$O$129,6,0),0),"")</f>
        <v/>
      </c>
      <c r="N1397" s="379">
        <f>IF(H1397&lt;&gt;"",J1397*M1397*I1397,SUMIFS(N1398:N$9844,$F1398:$F$9844,"*"&amp;F1397&amp;"*",$H1398:$H$9844,"&lt;&gt;"))</f>
        <v>0</v>
      </c>
      <c r="O1397" s="162" t="str">
        <f>IFERROR((-Tabela2[[#This Row],[CUSTO TOTAL]]+Tabela2[[#This Row],[VENDA TOTAL]])/Tabela2[[#This Row],[VENDA TOTAL]]-PARAMETROS!$C$19,"")</f>
        <v/>
      </c>
      <c r="AA1397" s="219">
        <f>SUM(Plan_Orc[[#This Row],[01/jan]:[01/dez]])</f>
        <v>0</v>
      </c>
      <c r="AB1397" s="15"/>
      <c r="AC1397" s="15"/>
      <c r="AD1397" s="15"/>
      <c r="AE1397" s="15"/>
      <c r="AF1397" s="15"/>
      <c r="AG1397" s="15"/>
      <c r="AH1397" s="15"/>
      <c r="AI1397" s="15"/>
      <c r="AJ1397" s="15"/>
      <c r="AK1397" s="15"/>
      <c r="AL1397" s="15"/>
      <c r="AM1397" s="15"/>
    </row>
    <row r="1398" spans="2:39" ht="25.2" customHeight="1" x14ac:dyDescent="0.3">
      <c r="B1398" s="13" t="str">
        <f t="shared" si="25"/>
        <v/>
      </c>
      <c r="C1398" s="18"/>
      <c r="D1398" s="19" t="str">
        <f>IF(Tabela2[[#This Row],[AGRUPADOR]]&lt;&gt;"",VLOOKUP(Tabela2[[#This Row],[AGRUPADOR]],Tabela1[],2,0),"")</f>
        <v/>
      </c>
      <c r="E1398" s="19" t="str">
        <f>IF(Tabela2[[#This Row],[AGRUPADOR]]&lt;&gt;"",VLOOKUP(Tabela2[[#This Row],[AGRUPADOR]],Tabela1[],4,0),"")</f>
        <v/>
      </c>
      <c r="F1398" s="14"/>
      <c r="G1398" s="6"/>
      <c r="H1398" s="6"/>
      <c r="I1398" s="25"/>
      <c r="J1398" s="7"/>
      <c r="K1398" s="15"/>
      <c r="L1398" s="379">
        <f>IF(H1398&lt;&gt;"",J1398*K1398,SUMIFS(L1399:L$9844,$F1399:$F$9844,"*"&amp;F1398&amp;"*",$H1399:$H$9844,"&lt;&gt;"))</f>
        <v>0</v>
      </c>
      <c r="M1398" s="379" t="str">
        <f>IF(Tabela2[[#This Row],[UNID.]]&lt;&gt;"",IFERROR(VLOOKUP(Tabela2[[#This Row],[AGRUPADOR]],Lucratividade!$D$4:$O$129,6,0),0),"")</f>
        <v/>
      </c>
      <c r="N1398" s="379">
        <f>IF(H1398&lt;&gt;"",J1398*M1398*I1398,SUMIFS(N1399:N$9844,$F1399:$F$9844,"*"&amp;F1398&amp;"*",$H1399:$H$9844,"&lt;&gt;"))</f>
        <v>0</v>
      </c>
      <c r="O1398" s="162" t="str">
        <f>IFERROR((-Tabela2[[#This Row],[CUSTO TOTAL]]+Tabela2[[#This Row],[VENDA TOTAL]])/Tabela2[[#This Row],[VENDA TOTAL]]-PARAMETROS!$C$19,"")</f>
        <v/>
      </c>
      <c r="AA1398" s="219">
        <f>SUM(Plan_Orc[[#This Row],[01/jan]:[01/dez]])</f>
        <v>0</v>
      </c>
      <c r="AB1398" s="15"/>
      <c r="AC1398" s="15"/>
      <c r="AD1398" s="15"/>
      <c r="AE1398" s="15"/>
      <c r="AF1398" s="15"/>
      <c r="AG1398" s="15"/>
      <c r="AH1398" s="15"/>
      <c r="AI1398" s="15"/>
      <c r="AJ1398" s="15"/>
      <c r="AK1398" s="15"/>
      <c r="AL1398" s="15"/>
      <c r="AM1398" s="15"/>
    </row>
    <row r="1399" spans="2:39" ht="25.2" customHeight="1" x14ac:dyDescent="0.3">
      <c r="B1399" s="13" t="str">
        <f t="shared" si="25"/>
        <v/>
      </c>
      <c r="C1399" s="18"/>
      <c r="D1399" s="19" t="str">
        <f>IF(Tabela2[[#This Row],[AGRUPADOR]]&lt;&gt;"",VLOOKUP(Tabela2[[#This Row],[AGRUPADOR]],Tabela1[],2,0),"")</f>
        <v/>
      </c>
      <c r="E1399" s="19" t="str">
        <f>IF(Tabela2[[#This Row],[AGRUPADOR]]&lt;&gt;"",VLOOKUP(Tabela2[[#This Row],[AGRUPADOR]],Tabela1[],4,0),"")</f>
        <v/>
      </c>
      <c r="F1399" s="14"/>
      <c r="G1399" s="6"/>
      <c r="H1399" s="6"/>
      <c r="I1399" s="25"/>
      <c r="J1399" s="7"/>
      <c r="K1399" s="15"/>
      <c r="L1399" s="379">
        <f>IF(H1399&lt;&gt;"",J1399*K1399,SUMIFS(L1400:L$9844,$F1400:$F$9844,"*"&amp;F1399&amp;"*",$H1400:$H$9844,"&lt;&gt;"))</f>
        <v>0</v>
      </c>
      <c r="M1399" s="379" t="str">
        <f>IF(Tabela2[[#This Row],[UNID.]]&lt;&gt;"",IFERROR(VLOOKUP(Tabela2[[#This Row],[AGRUPADOR]],Lucratividade!$D$4:$O$129,6,0),0),"")</f>
        <v/>
      </c>
      <c r="N1399" s="379">
        <f>IF(H1399&lt;&gt;"",J1399*M1399*I1399,SUMIFS(N1400:N$9844,$F1400:$F$9844,"*"&amp;F1399&amp;"*",$H1400:$H$9844,"&lt;&gt;"))</f>
        <v>0</v>
      </c>
      <c r="O1399" s="162" t="str">
        <f>IFERROR((-Tabela2[[#This Row],[CUSTO TOTAL]]+Tabela2[[#This Row],[VENDA TOTAL]])/Tabela2[[#This Row],[VENDA TOTAL]]-PARAMETROS!$C$19,"")</f>
        <v/>
      </c>
      <c r="AA1399" s="219">
        <f>SUM(Plan_Orc[[#This Row],[01/jan]:[01/dez]])</f>
        <v>0</v>
      </c>
      <c r="AB1399" s="15"/>
      <c r="AC1399" s="15"/>
      <c r="AD1399" s="15"/>
      <c r="AE1399" s="15"/>
      <c r="AF1399" s="15"/>
      <c r="AG1399" s="15"/>
      <c r="AH1399" s="15"/>
      <c r="AI1399" s="15"/>
      <c r="AJ1399" s="15"/>
      <c r="AK1399" s="15"/>
      <c r="AL1399" s="15"/>
      <c r="AM1399" s="15"/>
    </row>
    <row r="1400" spans="2:39" ht="25.2" customHeight="1" x14ac:dyDescent="0.3">
      <c r="B1400" s="13" t="str">
        <f t="shared" si="25"/>
        <v/>
      </c>
      <c r="C1400" s="18"/>
      <c r="D1400" s="19" t="str">
        <f>IF(Tabela2[[#This Row],[AGRUPADOR]]&lt;&gt;"",VLOOKUP(Tabela2[[#This Row],[AGRUPADOR]],Tabela1[],2,0),"")</f>
        <v/>
      </c>
      <c r="E1400" s="19" t="str">
        <f>IF(Tabela2[[#This Row],[AGRUPADOR]]&lt;&gt;"",VLOOKUP(Tabela2[[#This Row],[AGRUPADOR]],Tabela1[],4,0),"")</f>
        <v/>
      </c>
      <c r="F1400" s="14"/>
      <c r="G1400" s="6"/>
      <c r="H1400" s="6"/>
      <c r="I1400" s="25"/>
      <c r="J1400" s="7"/>
      <c r="K1400" s="15"/>
      <c r="L1400" s="379">
        <f>IF(H1400&lt;&gt;"",J1400*K1400,SUMIFS(L1401:L$9844,$F1401:$F$9844,"*"&amp;F1400&amp;"*",$H1401:$H$9844,"&lt;&gt;"))</f>
        <v>0</v>
      </c>
      <c r="M1400" s="379" t="str">
        <f>IF(Tabela2[[#This Row],[UNID.]]&lt;&gt;"",IFERROR(VLOOKUP(Tabela2[[#This Row],[AGRUPADOR]],Lucratividade!$D$4:$O$129,6,0),0),"")</f>
        <v/>
      </c>
      <c r="N1400" s="379">
        <f>IF(H1400&lt;&gt;"",J1400*M1400*I1400,SUMIFS(N1401:N$9844,$F1401:$F$9844,"*"&amp;F1400&amp;"*",$H1401:$H$9844,"&lt;&gt;"))</f>
        <v>0</v>
      </c>
      <c r="O1400" s="162" t="str">
        <f>IFERROR((-Tabela2[[#This Row],[CUSTO TOTAL]]+Tabela2[[#This Row],[VENDA TOTAL]])/Tabela2[[#This Row],[VENDA TOTAL]]-PARAMETROS!$C$19,"")</f>
        <v/>
      </c>
      <c r="AA1400" s="219">
        <f>SUM(Plan_Orc[[#This Row],[01/jan]:[01/dez]])</f>
        <v>0</v>
      </c>
      <c r="AB1400" s="15"/>
      <c r="AC1400" s="15"/>
      <c r="AD1400" s="15"/>
      <c r="AE1400" s="15"/>
      <c r="AF1400" s="15"/>
      <c r="AG1400" s="15"/>
      <c r="AH1400" s="15"/>
      <c r="AI1400" s="15"/>
      <c r="AJ1400" s="15"/>
      <c r="AK1400" s="15"/>
      <c r="AL1400" s="15"/>
      <c r="AM1400" s="15"/>
    </row>
    <row r="1401" spans="2:39" ht="25.2" customHeight="1" x14ac:dyDescent="0.3">
      <c r="B1401" s="13" t="str">
        <f t="shared" si="25"/>
        <v/>
      </c>
      <c r="C1401" s="18"/>
      <c r="D1401" s="19" t="str">
        <f>IF(Tabela2[[#This Row],[AGRUPADOR]]&lt;&gt;"",VLOOKUP(Tabela2[[#This Row],[AGRUPADOR]],Tabela1[],2,0),"")</f>
        <v/>
      </c>
      <c r="E1401" s="19" t="str">
        <f>IF(Tabela2[[#This Row],[AGRUPADOR]]&lt;&gt;"",VLOOKUP(Tabela2[[#This Row],[AGRUPADOR]],Tabela1[],4,0),"")</f>
        <v/>
      </c>
      <c r="F1401" s="14"/>
      <c r="G1401" s="6"/>
      <c r="H1401" s="6"/>
      <c r="I1401" s="25"/>
      <c r="J1401" s="7"/>
      <c r="K1401" s="15"/>
      <c r="L1401" s="379">
        <f>IF(H1401&lt;&gt;"",J1401*K1401,SUMIFS(L1402:L$9844,$F1402:$F$9844,"*"&amp;F1401&amp;"*",$H1402:$H$9844,"&lt;&gt;"))</f>
        <v>0</v>
      </c>
      <c r="M1401" s="379" t="str">
        <f>IF(Tabela2[[#This Row],[UNID.]]&lt;&gt;"",IFERROR(VLOOKUP(Tabela2[[#This Row],[AGRUPADOR]],Lucratividade!$D$4:$O$129,6,0),0),"")</f>
        <v/>
      </c>
      <c r="N1401" s="379">
        <f>IF(H1401&lt;&gt;"",J1401*M1401*I1401,SUMIFS(N1402:N$9844,$F1402:$F$9844,"*"&amp;F1401&amp;"*",$H1402:$H$9844,"&lt;&gt;"))</f>
        <v>0</v>
      </c>
      <c r="O1401" s="162" t="str">
        <f>IFERROR((-Tabela2[[#This Row],[CUSTO TOTAL]]+Tabela2[[#This Row],[VENDA TOTAL]])/Tabela2[[#This Row],[VENDA TOTAL]]-PARAMETROS!$C$19,"")</f>
        <v/>
      </c>
      <c r="AA1401" s="219">
        <f>SUM(Plan_Orc[[#This Row],[01/jan]:[01/dez]])</f>
        <v>0</v>
      </c>
      <c r="AB1401" s="15"/>
      <c r="AC1401" s="15"/>
      <c r="AD1401" s="15"/>
      <c r="AE1401" s="15"/>
      <c r="AF1401" s="15"/>
      <c r="AG1401" s="15"/>
      <c r="AH1401" s="15"/>
      <c r="AI1401" s="15"/>
      <c r="AJ1401" s="15"/>
      <c r="AK1401" s="15"/>
      <c r="AL1401" s="15"/>
      <c r="AM1401" s="15"/>
    </row>
    <row r="1402" spans="2:39" ht="25.2" customHeight="1" x14ac:dyDescent="0.3">
      <c r="B1402" s="13" t="str">
        <f t="shared" si="25"/>
        <v/>
      </c>
      <c r="C1402" s="18"/>
      <c r="D1402" s="19" t="str">
        <f>IF(Tabela2[[#This Row],[AGRUPADOR]]&lt;&gt;"",VLOOKUP(Tabela2[[#This Row],[AGRUPADOR]],Tabela1[],2,0),"")</f>
        <v/>
      </c>
      <c r="E1402" s="19" t="str">
        <f>IF(Tabela2[[#This Row],[AGRUPADOR]]&lt;&gt;"",VLOOKUP(Tabela2[[#This Row],[AGRUPADOR]],Tabela1[],4,0),"")</f>
        <v/>
      </c>
      <c r="F1402" s="14"/>
      <c r="G1402" s="6"/>
      <c r="H1402" s="6"/>
      <c r="I1402" s="25"/>
      <c r="J1402" s="7"/>
      <c r="K1402" s="15"/>
      <c r="L1402" s="379">
        <f>IF(H1402&lt;&gt;"",J1402*K1402,SUMIFS(L1403:L$9844,$F1403:$F$9844,"*"&amp;F1402&amp;"*",$H1403:$H$9844,"&lt;&gt;"))</f>
        <v>0</v>
      </c>
      <c r="M1402" s="379" t="str">
        <f>IF(Tabela2[[#This Row],[UNID.]]&lt;&gt;"",IFERROR(VLOOKUP(Tabela2[[#This Row],[AGRUPADOR]],Lucratividade!$D$4:$O$129,6,0),0),"")</f>
        <v/>
      </c>
      <c r="N1402" s="379">
        <f>IF(H1402&lt;&gt;"",J1402*M1402*I1402,SUMIFS(N1403:N$9844,$F1403:$F$9844,"*"&amp;F1402&amp;"*",$H1403:$H$9844,"&lt;&gt;"))</f>
        <v>0</v>
      </c>
      <c r="O1402" s="162" t="str">
        <f>IFERROR((-Tabela2[[#This Row],[CUSTO TOTAL]]+Tabela2[[#This Row],[VENDA TOTAL]])/Tabela2[[#This Row],[VENDA TOTAL]]-PARAMETROS!$C$19,"")</f>
        <v/>
      </c>
      <c r="AA1402" s="219">
        <f>SUM(Plan_Orc[[#This Row],[01/jan]:[01/dez]])</f>
        <v>0</v>
      </c>
      <c r="AB1402" s="15"/>
      <c r="AC1402" s="15"/>
      <c r="AD1402" s="15"/>
      <c r="AE1402" s="15"/>
      <c r="AF1402" s="15"/>
      <c r="AG1402" s="15"/>
      <c r="AH1402" s="15"/>
      <c r="AI1402" s="15"/>
      <c r="AJ1402" s="15"/>
      <c r="AK1402" s="15"/>
      <c r="AL1402" s="15"/>
      <c r="AM1402" s="15"/>
    </row>
    <row r="1403" spans="2:39" ht="25.2" customHeight="1" x14ac:dyDescent="0.3">
      <c r="B1403" s="13" t="str">
        <f t="shared" si="25"/>
        <v/>
      </c>
      <c r="C1403" s="18"/>
      <c r="D1403" s="19" t="str">
        <f>IF(Tabela2[[#This Row],[AGRUPADOR]]&lt;&gt;"",VLOOKUP(Tabela2[[#This Row],[AGRUPADOR]],Tabela1[],2,0),"")</f>
        <v/>
      </c>
      <c r="E1403" s="19" t="str">
        <f>IF(Tabela2[[#This Row],[AGRUPADOR]]&lt;&gt;"",VLOOKUP(Tabela2[[#This Row],[AGRUPADOR]],Tabela1[],4,0),"")</f>
        <v/>
      </c>
      <c r="F1403" s="14"/>
      <c r="G1403" s="6"/>
      <c r="H1403" s="6"/>
      <c r="I1403" s="25"/>
      <c r="J1403" s="7"/>
      <c r="K1403" s="15"/>
      <c r="L1403" s="379">
        <f>IF(H1403&lt;&gt;"",J1403*K1403,SUMIFS(L1404:L$9844,$F1404:$F$9844,"*"&amp;F1403&amp;"*",$H1404:$H$9844,"&lt;&gt;"))</f>
        <v>0</v>
      </c>
      <c r="M1403" s="379" t="str">
        <f>IF(Tabela2[[#This Row],[UNID.]]&lt;&gt;"",IFERROR(VLOOKUP(Tabela2[[#This Row],[AGRUPADOR]],Lucratividade!$D$4:$O$129,6,0),0),"")</f>
        <v/>
      </c>
      <c r="N1403" s="379">
        <f>IF(H1403&lt;&gt;"",J1403*M1403*I1403,SUMIFS(N1404:N$9844,$F1404:$F$9844,"*"&amp;F1403&amp;"*",$H1404:$H$9844,"&lt;&gt;"))</f>
        <v>0</v>
      </c>
      <c r="O1403" s="162" t="str">
        <f>IFERROR((-Tabela2[[#This Row],[CUSTO TOTAL]]+Tabela2[[#This Row],[VENDA TOTAL]])/Tabela2[[#This Row],[VENDA TOTAL]]-PARAMETROS!$C$19,"")</f>
        <v/>
      </c>
      <c r="AA1403" s="219">
        <f>SUM(Plan_Orc[[#This Row],[01/jan]:[01/dez]])</f>
        <v>0</v>
      </c>
      <c r="AB1403" s="15"/>
      <c r="AC1403" s="15"/>
      <c r="AD1403" s="15"/>
      <c r="AE1403" s="15"/>
      <c r="AF1403" s="15"/>
      <c r="AG1403" s="15"/>
      <c r="AH1403" s="15"/>
      <c r="AI1403" s="15"/>
      <c r="AJ1403" s="15"/>
      <c r="AK1403" s="15"/>
      <c r="AL1403" s="15"/>
      <c r="AM1403" s="15"/>
    </row>
    <row r="1404" spans="2:39" ht="25.2" customHeight="1" x14ac:dyDescent="0.3">
      <c r="B1404" s="13" t="str">
        <f t="shared" si="25"/>
        <v/>
      </c>
      <c r="C1404" s="18"/>
      <c r="D1404" s="19" t="str">
        <f>IF(Tabela2[[#This Row],[AGRUPADOR]]&lt;&gt;"",VLOOKUP(Tabela2[[#This Row],[AGRUPADOR]],Tabela1[],2,0),"")</f>
        <v/>
      </c>
      <c r="E1404" s="19" t="str">
        <f>IF(Tabela2[[#This Row],[AGRUPADOR]]&lt;&gt;"",VLOOKUP(Tabela2[[#This Row],[AGRUPADOR]],Tabela1[],4,0),"")</f>
        <v/>
      </c>
      <c r="F1404" s="14"/>
      <c r="G1404" s="6"/>
      <c r="H1404" s="6"/>
      <c r="I1404" s="25"/>
      <c r="J1404" s="7"/>
      <c r="K1404" s="15"/>
      <c r="L1404" s="379">
        <f>IF(H1404&lt;&gt;"",J1404*K1404,SUMIFS(L1405:L$9844,$F1405:$F$9844,"*"&amp;F1404&amp;"*",$H1405:$H$9844,"&lt;&gt;"))</f>
        <v>0</v>
      </c>
      <c r="M1404" s="379" t="str">
        <f>IF(Tabela2[[#This Row],[UNID.]]&lt;&gt;"",IFERROR(VLOOKUP(Tabela2[[#This Row],[AGRUPADOR]],Lucratividade!$D$4:$O$129,6,0),0),"")</f>
        <v/>
      </c>
      <c r="N1404" s="379">
        <f>IF(H1404&lt;&gt;"",J1404*M1404*I1404,SUMIFS(N1405:N$9844,$F1405:$F$9844,"*"&amp;F1404&amp;"*",$H1405:$H$9844,"&lt;&gt;"))</f>
        <v>0</v>
      </c>
      <c r="O1404" s="162" t="str">
        <f>IFERROR((-Tabela2[[#This Row],[CUSTO TOTAL]]+Tabela2[[#This Row],[VENDA TOTAL]])/Tabela2[[#This Row],[VENDA TOTAL]]-PARAMETROS!$C$19,"")</f>
        <v/>
      </c>
      <c r="AA1404" s="219">
        <f>SUM(Plan_Orc[[#This Row],[01/jan]:[01/dez]])</f>
        <v>0</v>
      </c>
      <c r="AB1404" s="15"/>
      <c r="AC1404" s="15"/>
      <c r="AD1404" s="15"/>
      <c r="AE1404" s="15"/>
      <c r="AF1404" s="15"/>
      <c r="AG1404" s="15"/>
      <c r="AH1404" s="15"/>
      <c r="AI1404" s="15"/>
      <c r="AJ1404" s="15"/>
      <c r="AK1404" s="15"/>
      <c r="AL1404" s="15"/>
      <c r="AM1404" s="15"/>
    </row>
    <row r="1405" spans="2:39" ht="25.2" customHeight="1" x14ac:dyDescent="0.3">
      <c r="B1405" s="13" t="str">
        <f t="shared" si="25"/>
        <v/>
      </c>
      <c r="C1405" s="18"/>
      <c r="D1405" s="19" t="str">
        <f>IF(Tabela2[[#This Row],[AGRUPADOR]]&lt;&gt;"",VLOOKUP(Tabela2[[#This Row],[AGRUPADOR]],Tabela1[],2,0),"")</f>
        <v/>
      </c>
      <c r="E1405" s="19" t="str">
        <f>IF(Tabela2[[#This Row],[AGRUPADOR]]&lt;&gt;"",VLOOKUP(Tabela2[[#This Row],[AGRUPADOR]],Tabela1[],4,0),"")</f>
        <v/>
      </c>
      <c r="F1405" s="14"/>
      <c r="G1405" s="6"/>
      <c r="H1405" s="6"/>
      <c r="I1405" s="25"/>
      <c r="J1405" s="7"/>
      <c r="K1405" s="15"/>
      <c r="L1405" s="379">
        <f>IF(H1405&lt;&gt;"",J1405*K1405,SUMIFS(L1406:L$9844,$F1406:$F$9844,"*"&amp;F1405&amp;"*",$H1406:$H$9844,"&lt;&gt;"))</f>
        <v>0</v>
      </c>
      <c r="M1405" s="379" t="str">
        <f>IF(Tabela2[[#This Row],[UNID.]]&lt;&gt;"",IFERROR(VLOOKUP(Tabela2[[#This Row],[AGRUPADOR]],Lucratividade!$D$4:$O$129,6,0),0),"")</f>
        <v/>
      </c>
      <c r="N1405" s="379">
        <f>IF(H1405&lt;&gt;"",J1405*M1405*I1405,SUMIFS(N1406:N$9844,$F1406:$F$9844,"*"&amp;F1405&amp;"*",$H1406:$H$9844,"&lt;&gt;"))</f>
        <v>0</v>
      </c>
      <c r="O1405" s="162" t="str">
        <f>IFERROR((-Tabela2[[#This Row],[CUSTO TOTAL]]+Tabela2[[#This Row],[VENDA TOTAL]])/Tabela2[[#This Row],[VENDA TOTAL]]-PARAMETROS!$C$19,"")</f>
        <v/>
      </c>
      <c r="AA1405" s="218">
        <f>SUM(Plan_Orc[[#This Row],[01/jan]:[01/dez]])</f>
        <v>0</v>
      </c>
      <c r="AB1405" s="12"/>
      <c r="AC1405" s="12"/>
      <c r="AD1405" s="12"/>
      <c r="AE1405" s="12"/>
      <c r="AF1405" s="12"/>
      <c r="AG1405" s="12"/>
      <c r="AH1405" s="12"/>
      <c r="AI1405" s="12"/>
      <c r="AJ1405" s="12"/>
      <c r="AK1405" s="12"/>
      <c r="AL1405" s="12"/>
      <c r="AM1405" s="12"/>
    </row>
    <row r="1406" spans="2:39" ht="25.2" customHeight="1" x14ac:dyDescent="0.3">
      <c r="B1406" s="13" t="str">
        <f t="shared" si="25"/>
        <v/>
      </c>
      <c r="C1406" s="18"/>
      <c r="D1406" s="19" t="str">
        <f>IF(Tabela2[[#This Row],[AGRUPADOR]]&lt;&gt;"",VLOOKUP(Tabela2[[#This Row],[AGRUPADOR]],Tabela1[],2,0),"")</f>
        <v/>
      </c>
      <c r="E1406" s="19" t="str">
        <f>IF(Tabela2[[#This Row],[AGRUPADOR]]&lt;&gt;"",VLOOKUP(Tabela2[[#This Row],[AGRUPADOR]],Tabela1[],4,0),"")</f>
        <v/>
      </c>
      <c r="F1406" s="14"/>
      <c r="G1406" s="6"/>
      <c r="H1406" s="6"/>
      <c r="I1406" s="25"/>
      <c r="J1406" s="7"/>
      <c r="K1406" s="15"/>
      <c r="L1406" s="379">
        <f>IF(H1406&lt;&gt;"",J1406*K1406,SUMIFS(L1407:L$9844,$F1407:$F$9844,"*"&amp;F1406&amp;"*",$H1407:$H$9844,"&lt;&gt;"))</f>
        <v>0</v>
      </c>
      <c r="M1406" s="379" t="str">
        <f>IF(Tabela2[[#This Row],[UNID.]]&lt;&gt;"",IFERROR(VLOOKUP(Tabela2[[#This Row],[AGRUPADOR]],Lucratividade!$D$4:$O$129,6,0),0),"")</f>
        <v/>
      </c>
      <c r="N1406" s="379">
        <f>IF(H1406&lt;&gt;"",J1406*M1406*I1406,SUMIFS(N1407:N$9844,$F1407:$F$9844,"*"&amp;F1406&amp;"*",$H1407:$H$9844,"&lt;&gt;"))</f>
        <v>0</v>
      </c>
      <c r="O1406" s="162" t="str">
        <f>IFERROR((-Tabela2[[#This Row],[CUSTO TOTAL]]+Tabela2[[#This Row],[VENDA TOTAL]])/Tabela2[[#This Row],[VENDA TOTAL]]-PARAMETROS!$C$19,"")</f>
        <v/>
      </c>
      <c r="AA1406" s="219">
        <f>SUM(Plan_Orc[[#This Row],[01/jan]:[01/dez]])</f>
        <v>0</v>
      </c>
      <c r="AB1406" s="15"/>
      <c r="AC1406" s="15"/>
      <c r="AD1406" s="15"/>
      <c r="AE1406" s="15"/>
      <c r="AF1406" s="15"/>
      <c r="AG1406" s="15"/>
      <c r="AH1406" s="15"/>
      <c r="AI1406" s="15"/>
      <c r="AJ1406" s="15"/>
      <c r="AK1406" s="15"/>
      <c r="AL1406" s="15"/>
      <c r="AM1406" s="15"/>
    </row>
    <row r="1407" spans="2:39" ht="25.2" customHeight="1" x14ac:dyDescent="0.3">
      <c r="B1407" s="13" t="str">
        <f t="shared" si="25"/>
        <v/>
      </c>
      <c r="C1407" s="18"/>
      <c r="D1407" s="19" t="str">
        <f>IF(Tabela2[[#This Row],[AGRUPADOR]]&lt;&gt;"",VLOOKUP(Tabela2[[#This Row],[AGRUPADOR]],Tabela1[],2,0),"")</f>
        <v/>
      </c>
      <c r="E1407" s="19" t="str">
        <f>IF(Tabela2[[#This Row],[AGRUPADOR]]&lt;&gt;"",VLOOKUP(Tabela2[[#This Row],[AGRUPADOR]],Tabela1[],4,0),"")</f>
        <v/>
      </c>
      <c r="F1407" s="14"/>
      <c r="G1407" s="6"/>
      <c r="H1407" s="6"/>
      <c r="I1407" s="25"/>
      <c r="J1407" s="7"/>
      <c r="K1407" s="15"/>
      <c r="L1407" s="379">
        <f>IF(H1407&lt;&gt;"",J1407*K1407,SUMIFS(L1408:L$9844,$F1408:$F$9844,"*"&amp;F1407&amp;"*",$H1408:$H$9844,"&lt;&gt;"))</f>
        <v>0</v>
      </c>
      <c r="M1407" s="379" t="str">
        <f>IF(Tabela2[[#This Row],[UNID.]]&lt;&gt;"",IFERROR(VLOOKUP(Tabela2[[#This Row],[AGRUPADOR]],Lucratividade!$D$4:$O$129,6,0),0),"")</f>
        <v/>
      </c>
      <c r="N1407" s="379">
        <f>IF(H1407&lt;&gt;"",J1407*M1407*I1407,SUMIFS(N1408:N$9844,$F1408:$F$9844,"*"&amp;F1407&amp;"*",$H1408:$H$9844,"&lt;&gt;"))</f>
        <v>0</v>
      </c>
      <c r="O1407" s="162" t="str">
        <f>IFERROR((-Tabela2[[#This Row],[CUSTO TOTAL]]+Tabela2[[#This Row],[VENDA TOTAL]])/Tabela2[[#This Row],[VENDA TOTAL]]-PARAMETROS!$C$19,"")</f>
        <v/>
      </c>
      <c r="AA1407" s="219">
        <f>SUM(Plan_Orc[[#This Row],[01/jan]:[01/dez]])</f>
        <v>0</v>
      </c>
      <c r="AB1407" s="15"/>
      <c r="AC1407" s="15"/>
      <c r="AD1407" s="15"/>
      <c r="AE1407" s="15"/>
      <c r="AF1407" s="15"/>
      <c r="AG1407" s="15"/>
      <c r="AH1407" s="15"/>
      <c r="AI1407" s="15"/>
      <c r="AJ1407" s="15"/>
      <c r="AK1407" s="15"/>
      <c r="AL1407" s="15"/>
      <c r="AM1407" s="15"/>
    </row>
    <row r="1408" spans="2:39" ht="25.2" customHeight="1" x14ac:dyDescent="0.3">
      <c r="B1408" s="13" t="str">
        <f t="shared" si="25"/>
        <v/>
      </c>
      <c r="C1408" s="18"/>
      <c r="D1408" s="19" t="str">
        <f>IF(Tabela2[[#This Row],[AGRUPADOR]]&lt;&gt;"",VLOOKUP(Tabela2[[#This Row],[AGRUPADOR]],Tabela1[],2,0),"")</f>
        <v/>
      </c>
      <c r="E1408" s="19" t="str">
        <f>IF(Tabela2[[#This Row],[AGRUPADOR]]&lt;&gt;"",VLOOKUP(Tabela2[[#This Row],[AGRUPADOR]],Tabela1[],4,0),"")</f>
        <v/>
      </c>
      <c r="F1408" s="14"/>
      <c r="G1408" s="6"/>
      <c r="H1408" s="6"/>
      <c r="I1408" s="25"/>
      <c r="J1408" s="7"/>
      <c r="K1408" s="15"/>
      <c r="L1408" s="379">
        <f>IF(H1408&lt;&gt;"",J1408*K1408,SUMIFS(L1409:L$9844,$F1409:$F$9844,"*"&amp;F1408&amp;"*",$H1409:$H$9844,"&lt;&gt;"))</f>
        <v>0</v>
      </c>
      <c r="M1408" s="379" t="str">
        <f>IF(Tabela2[[#This Row],[UNID.]]&lt;&gt;"",IFERROR(VLOOKUP(Tabela2[[#This Row],[AGRUPADOR]],Lucratividade!$D$4:$O$129,6,0),0),"")</f>
        <v/>
      </c>
      <c r="N1408" s="379">
        <f>IF(H1408&lt;&gt;"",J1408*M1408*I1408,SUMIFS(N1409:N$9844,$F1409:$F$9844,"*"&amp;F1408&amp;"*",$H1409:$H$9844,"&lt;&gt;"))</f>
        <v>0</v>
      </c>
      <c r="O1408" s="162" t="str">
        <f>IFERROR((-Tabela2[[#This Row],[CUSTO TOTAL]]+Tabela2[[#This Row],[VENDA TOTAL]])/Tabela2[[#This Row],[VENDA TOTAL]]-PARAMETROS!$C$19,"")</f>
        <v/>
      </c>
      <c r="AA1408" s="219">
        <f>SUM(Plan_Orc[[#This Row],[01/jan]:[01/dez]])</f>
        <v>0</v>
      </c>
      <c r="AB1408" s="15"/>
      <c r="AC1408" s="15"/>
      <c r="AD1408" s="15"/>
      <c r="AE1408" s="15"/>
      <c r="AF1408" s="15"/>
      <c r="AG1408" s="15"/>
      <c r="AH1408" s="15"/>
      <c r="AI1408" s="15"/>
      <c r="AJ1408" s="15"/>
      <c r="AK1408" s="15"/>
      <c r="AL1408" s="15"/>
      <c r="AM1408" s="15"/>
    </row>
    <row r="1409" spans="2:39" ht="25.2" customHeight="1" x14ac:dyDescent="0.3">
      <c r="B1409" s="13" t="str">
        <f t="shared" si="25"/>
        <v/>
      </c>
      <c r="C1409" s="18"/>
      <c r="D1409" s="19" t="str">
        <f>IF(Tabela2[[#This Row],[AGRUPADOR]]&lt;&gt;"",VLOOKUP(Tabela2[[#This Row],[AGRUPADOR]],Tabela1[],2,0),"")</f>
        <v/>
      </c>
      <c r="E1409" s="19" t="str">
        <f>IF(Tabela2[[#This Row],[AGRUPADOR]]&lt;&gt;"",VLOOKUP(Tabela2[[#This Row],[AGRUPADOR]],Tabela1[],4,0),"")</f>
        <v/>
      </c>
      <c r="F1409" s="14"/>
      <c r="G1409" s="6"/>
      <c r="H1409" s="6"/>
      <c r="I1409" s="25"/>
      <c r="J1409" s="7"/>
      <c r="K1409" s="15"/>
      <c r="L1409" s="379">
        <f>IF(H1409&lt;&gt;"",J1409*K1409,SUMIFS(L1410:L$9844,$F1410:$F$9844,"*"&amp;F1409&amp;"*",$H1410:$H$9844,"&lt;&gt;"))</f>
        <v>0</v>
      </c>
      <c r="M1409" s="379" t="str">
        <f>IF(Tabela2[[#This Row],[UNID.]]&lt;&gt;"",IFERROR(VLOOKUP(Tabela2[[#This Row],[AGRUPADOR]],Lucratividade!$D$4:$O$129,6,0),0),"")</f>
        <v/>
      </c>
      <c r="N1409" s="379">
        <f>IF(H1409&lt;&gt;"",J1409*M1409*I1409,SUMIFS(N1410:N$9844,$F1410:$F$9844,"*"&amp;F1409&amp;"*",$H1410:$H$9844,"&lt;&gt;"))</f>
        <v>0</v>
      </c>
      <c r="O1409" s="162" t="str">
        <f>IFERROR((-Tabela2[[#This Row],[CUSTO TOTAL]]+Tabela2[[#This Row],[VENDA TOTAL]])/Tabela2[[#This Row],[VENDA TOTAL]]-PARAMETROS!$C$19,"")</f>
        <v/>
      </c>
      <c r="AA1409" s="219">
        <f>SUM(Plan_Orc[[#This Row],[01/jan]:[01/dez]])</f>
        <v>0</v>
      </c>
      <c r="AB1409" s="15"/>
      <c r="AC1409" s="15"/>
      <c r="AD1409" s="15"/>
      <c r="AE1409" s="15"/>
      <c r="AF1409" s="15"/>
      <c r="AG1409" s="15"/>
      <c r="AH1409" s="15"/>
      <c r="AI1409" s="15"/>
      <c r="AJ1409" s="15"/>
      <c r="AK1409" s="15"/>
      <c r="AL1409" s="15"/>
      <c r="AM1409" s="15"/>
    </row>
    <row r="1410" spans="2:39" ht="25.2" customHeight="1" x14ac:dyDescent="0.3">
      <c r="B1410" s="13" t="str">
        <f t="shared" si="25"/>
        <v/>
      </c>
      <c r="C1410" s="18"/>
      <c r="D1410" s="19" t="str">
        <f>IF(Tabela2[[#This Row],[AGRUPADOR]]&lt;&gt;"",VLOOKUP(Tabela2[[#This Row],[AGRUPADOR]],Tabela1[],2,0),"")</f>
        <v/>
      </c>
      <c r="E1410" s="19" t="str">
        <f>IF(Tabela2[[#This Row],[AGRUPADOR]]&lt;&gt;"",VLOOKUP(Tabela2[[#This Row],[AGRUPADOR]],Tabela1[],4,0),"")</f>
        <v/>
      </c>
      <c r="F1410" s="14"/>
      <c r="G1410" s="6"/>
      <c r="H1410" s="6"/>
      <c r="I1410" s="25"/>
      <c r="J1410" s="7"/>
      <c r="K1410" s="15"/>
      <c r="L1410" s="379">
        <f>IF(H1410&lt;&gt;"",J1410*K1410,SUMIFS(L1411:L$9844,$F1411:$F$9844,"*"&amp;F1410&amp;"*",$H1411:$H$9844,"&lt;&gt;"))</f>
        <v>0</v>
      </c>
      <c r="M1410" s="379" t="str">
        <f>IF(Tabela2[[#This Row],[UNID.]]&lt;&gt;"",IFERROR(VLOOKUP(Tabela2[[#This Row],[AGRUPADOR]],Lucratividade!$D$4:$O$129,6,0),0),"")</f>
        <v/>
      </c>
      <c r="N1410" s="379">
        <f>IF(H1410&lt;&gt;"",J1410*M1410*I1410,SUMIFS(N1411:N$9844,$F1411:$F$9844,"*"&amp;F1410&amp;"*",$H1411:$H$9844,"&lt;&gt;"))</f>
        <v>0</v>
      </c>
      <c r="O1410" s="162" t="str">
        <f>IFERROR((-Tabela2[[#This Row],[CUSTO TOTAL]]+Tabela2[[#This Row],[VENDA TOTAL]])/Tabela2[[#This Row],[VENDA TOTAL]]-PARAMETROS!$C$19,"")</f>
        <v/>
      </c>
      <c r="AA1410" s="219">
        <f>SUM(Plan_Orc[[#This Row],[01/jan]:[01/dez]])</f>
        <v>0</v>
      </c>
      <c r="AB1410" s="15"/>
      <c r="AC1410" s="15"/>
      <c r="AD1410" s="15"/>
      <c r="AE1410" s="15"/>
      <c r="AF1410" s="15"/>
      <c r="AG1410" s="15"/>
      <c r="AH1410" s="15"/>
      <c r="AI1410" s="15"/>
      <c r="AJ1410" s="15"/>
      <c r="AK1410" s="15"/>
      <c r="AL1410" s="15"/>
      <c r="AM1410" s="15"/>
    </row>
    <row r="1411" spans="2:39" ht="25.2" customHeight="1" x14ac:dyDescent="0.3">
      <c r="B1411" s="13" t="str">
        <f t="shared" si="25"/>
        <v/>
      </c>
      <c r="C1411" s="18"/>
      <c r="D1411" s="19" t="str">
        <f>IF(Tabela2[[#This Row],[AGRUPADOR]]&lt;&gt;"",VLOOKUP(Tabela2[[#This Row],[AGRUPADOR]],Tabela1[],2,0),"")</f>
        <v/>
      </c>
      <c r="E1411" s="19" t="str">
        <f>IF(Tabela2[[#This Row],[AGRUPADOR]]&lt;&gt;"",VLOOKUP(Tabela2[[#This Row],[AGRUPADOR]],Tabela1[],4,0),"")</f>
        <v/>
      </c>
      <c r="F1411" s="14"/>
      <c r="G1411" s="6"/>
      <c r="H1411" s="6"/>
      <c r="I1411" s="25"/>
      <c r="J1411" s="7"/>
      <c r="K1411" s="15"/>
      <c r="L1411" s="379">
        <f>IF(H1411&lt;&gt;"",J1411*K1411,SUMIFS(L1412:L$9844,$F1412:$F$9844,"*"&amp;F1411&amp;"*",$H1412:$H$9844,"&lt;&gt;"))</f>
        <v>0</v>
      </c>
      <c r="M1411" s="379" t="str">
        <f>IF(Tabela2[[#This Row],[UNID.]]&lt;&gt;"",IFERROR(VLOOKUP(Tabela2[[#This Row],[AGRUPADOR]],Lucratividade!$D$4:$O$129,6,0),0),"")</f>
        <v/>
      </c>
      <c r="N1411" s="379">
        <f>IF(H1411&lt;&gt;"",J1411*M1411*I1411,SUMIFS(N1412:N$9844,$F1412:$F$9844,"*"&amp;F1411&amp;"*",$H1412:$H$9844,"&lt;&gt;"))</f>
        <v>0</v>
      </c>
      <c r="O1411" s="162" t="str">
        <f>IFERROR((-Tabela2[[#This Row],[CUSTO TOTAL]]+Tabela2[[#This Row],[VENDA TOTAL]])/Tabela2[[#This Row],[VENDA TOTAL]]-PARAMETROS!$C$19,"")</f>
        <v/>
      </c>
      <c r="AA1411" s="219">
        <f>SUM(Plan_Orc[[#This Row],[01/jan]:[01/dez]])</f>
        <v>0</v>
      </c>
      <c r="AB1411" s="15"/>
      <c r="AC1411" s="15"/>
      <c r="AD1411" s="15"/>
      <c r="AE1411" s="15"/>
      <c r="AF1411" s="15"/>
      <c r="AG1411" s="15"/>
      <c r="AH1411" s="15"/>
      <c r="AI1411" s="15"/>
      <c r="AJ1411" s="15"/>
      <c r="AK1411" s="15"/>
      <c r="AL1411" s="15"/>
      <c r="AM1411" s="15"/>
    </row>
    <row r="1412" spans="2:39" ht="25.2" customHeight="1" x14ac:dyDescent="0.3">
      <c r="B1412" s="13" t="str">
        <f t="shared" ref="B1412:B1475" si="26">IF(LEN(F1412)=3,1,"")</f>
        <v/>
      </c>
      <c r="C1412" s="18"/>
      <c r="D1412" s="19" t="str">
        <f>IF(Tabela2[[#This Row],[AGRUPADOR]]&lt;&gt;"",VLOOKUP(Tabela2[[#This Row],[AGRUPADOR]],Tabela1[],2,0),"")</f>
        <v/>
      </c>
      <c r="E1412" s="19" t="str">
        <f>IF(Tabela2[[#This Row],[AGRUPADOR]]&lt;&gt;"",VLOOKUP(Tabela2[[#This Row],[AGRUPADOR]],Tabela1[],4,0),"")</f>
        <v/>
      </c>
      <c r="F1412" s="14"/>
      <c r="G1412" s="6"/>
      <c r="H1412" s="6"/>
      <c r="I1412" s="25"/>
      <c r="J1412" s="7"/>
      <c r="K1412" s="15"/>
      <c r="L1412" s="379">
        <f>IF(H1412&lt;&gt;"",J1412*K1412,SUMIFS(L1413:L$9844,$F1413:$F$9844,"*"&amp;F1412&amp;"*",$H1413:$H$9844,"&lt;&gt;"))</f>
        <v>0</v>
      </c>
      <c r="M1412" s="379" t="str">
        <f>IF(Tabela2[[#This Row],[UNID.]]&lt;&gt;"",IFERROR(VLOOKUP(Tabela2[[#This Row],[AGRUPADOR]],Lucratividade!$D$4:$O$129,6,0),0),"")</f>
        <v/>
      </c>
      <c r="N1412" s="379">
        <f>IF(H1412&lt;&gt;"",J1412*M1412*I1412,SUMIFS(N1413:N$9844,$F1413:$F$9844,"*"&amp;F1412&amp;"*",$H1413:$H$9844,"&lt;&gt;"))</f>
        <v>0</v>
      </c>
      <c r="O1412" s="162" t="str">
        <f>IFERROR((-Tabela2[[#This Row],[CUSTO TOTAL]]+Tabela2[[#This Row],[VENDA TOTAL]])/Tabela2[[#This Row],[VENDA TOTAL]]-PARAMETROS!$C$19,"")</f>
        <v/>
      </c>
      <c r="AA1412" s="219">
        <f>SUM(Plan_Orc[[#This Row],[01/jan]:[01/dez]])</f>
        <v>0</v>
      </c>
      <c r="AB1412" s="15"/>
      <c r="AC1412" s="15"/>
      <c r="AD1412" s="15"/>
      <c r="AE1412" s="15"/>
      <c r="AF1412" s="15"/>
      <c r="AG1412" s="15"/>
      <c r="AH1412" s="15"/>
      <c r="AI1412" s="15"/>
      <c r="AJ1412" s="15"/>
      <c r="AK1412" s="15"/>
      <c r="AL1412" s="15"/>
      <c r="AM1412" s="15"/>
    </row>
    <row r="1413" spans="2:39" ht="25.2" customHeight="1" x14ac:dyDescent="0.3">
      <c r="B1413" s="13" t="str">
        <f t="shared" si="26"/>
        <v/>
      </c>
      <c r="C1413" s="18"/>
      <c r="D1413" s="19" t="str">
        <f>IF(Tabela2[[#This Row],[AGRUPADOR]]&lt;&gt;"",VLOOKUP(Tabela2[[#This Row],[AGRUPADOR]],Tabela1[],2,0),"")</f>
        <v/>
      </c>
      <c r="E1413" s="19" t="str">
        <f>IF(Tabela2[[#This Row],[AGRUPADOR]]&lt;&gt;"",VLOOKUP(Tabela2[[#This Row],[AGRUPADOR]],Tabela1[],4,0),"")</f>
        <v/>
      </c>
      <c r="F1413" s="14"/>
      <c r="G1413" s="6"/>
      <c r="H1413" s="6"/>
      <c r="I1413" s="25"/>
      <c r="J1413" s="7"/>
      <c r="K1413" s="15"/>
      <c r="L1413" s="379">
        <f>IF(H1413&lt;&gt;"",J1413*K1413,SUMIFS(L1414:L$9844,$F1414:$F$9844,"*"&amp;F1413&amp;"*",$H1414:$H$9844,"&lt;&gt;"))</f>
        <v>0</v>
      </c>
      <c r="M1413" s="379" t="str">
        <f>IF(Tabela2[[#This Row],[UNID.]]&lt;&gt;"",IFERROR(VLOOKUP(Tabela2[[#This Row],[AGRUPADOR]],Lucratividade!$D$4:$O$129,6,0),0),"")</f>
        <v/>
      </c>
      <c r="N1413" s="379">
        <f>IF(H1413&lt;&gt;"",J1413*M1413*I1413,SUMIFS(N1414:N$9844,$F1414:$F$9844,"*"&amp;F1413&amp;"*",$H1414:$H$9844,"&lt;&gt;"))</f>
        <v>0</v>
      </c>
      <c r="O1413" s="162" t="str">
        <f>IFERROR((-Tabela2[[#This Row],[CUSTO TOTAL]]+Tabela2[[#This Row],[VENDA TOTAL]])/Tabela2[[#This Row],[VENDA TOTAL]]-PARAMETROS!$C$19,"")</f>
        <v/>
      </c>
      <c r="AA1413" s="219">
        <f>SUM(Plan_Orc[[#This Row],[01/jan]:[01/dez]])</f>
        <v>0</v>
      </c>
      <c r="AB1413" s="15"/>
      <c r="AC1413" s="15"/>
      <c r="AD1413" s="15"/>
      <c r="AE1413" s="15"/>
      <c r="AF1413" s="15"/>
      <c r="AG1413" s="15"/>
      <c r="AH1413" s="15"/>
      <c r="AI1413" s="15"/>
      <c r="AJ1413" s="15"/>
      <c r="AK1413" s="15"/>
      <c r="AL1413" s="15"/>
      <c r="AM1413" s="15"/>
    </row>
    <row r="1414" spans="2:39" ht="25.2" customHeight="1" x14ac:dyDescent="0.3">
      <c r="B1414" s="13" t="str">
        <f t="shared" si="26"/>
        <v/>
      </c>
      <c r="C1414" s="18"/>
      <c r="D1414" s="19" t="str">
        <f>IF(Tabela2[[#This Row],[AGRUPADOR]]&lt;&gt;"",VLOOKUP(Tabela2[[#This Row],[AGRUPADOR]],Tabela1[],2,0),"")</f>
        <v/>
      </c>
      <c r="E1414" s="19" t="str">
        <f>IF(Tabela2[[#This Row],[AGRUPADOR]]&lt;&gt;"",VLOOKUP(Tabela2[[#This Row],[AGRUPADOR]],Tabela1[],4,0),"")</f>
        <v/>
      </c>
      <c r="F1414" s="14"/>
      <c r="G1414" s="6"/>
      <c r="H1414" s="6"/>
      <c r="I1414" s="25"/>
      <c r="J1414" s="7"/>
      <c r="K1414" s="15"/>
      <c r="L1414" s="379">
        <f>IF(H1414&lt;&gt;"",J1414*K1414,SUMIFS(L1415:L$9844,$F1415:$F$9844,"*"&amp;F1414&amp;"*",$H1415:$H$9844,"&lt;&gt;"))</f>
        <v>0</v>
      </c>
      <c r="M1414" s="379" t="str">
        <f>IF(Tabela2[[#This Row],[UNID.]]&lt;&gt;"",IFERROR(VLOOKUP(Tabela2[[#This Row],[AGRUPADOR]],Lucratividade!$D$4:$O$129,6,0),0),"")</f>
        <v/>
      </c>
      <c r="N1414" s="379">
        <f>IF(H1414&lt;&gt;"",J1414*M1414*I1414,SUMIFS(N1415:N$9844,$F1415:$F$9844,"*"&amp;F1414&amp;"*",$H1415:$H$9844,"&lt;&gt;"))</f>
        <v>0</v>
      </c>
      <c r="O1414" s="162" t="str">
        <f>IFERROR((-Tabela2[[#This Row],[CUSTO TOTAL]]+Tabela2[[#This Row],[VENDA TOTAL]])/Tabela2[[#This Row],[VENDA TOTAL]]-PARAMETROS!$C$19,"")</f>
        <v/>
      </c>
      <c r="AA1414" s="219">
        <f>SUM(Plan_Orc[[#This Row],[01/jan]:[01/dez]])</f>
        <v>0</v>
      </c>
      <c r="AB1414" s="15"/>
      <c r="AC1414" s="15"/>
      <c r="AD1414" s="15"/>
      <c r="AE1414" s="15"/>
      <c r="AF1414" s="15"/>
      <c r="AG1414" s="15"/>
      <c r="AH1414" s="15"/>
      <c r="AI1414" s="15"/>
      <c r="AJ1414" s="15"/>
      <c r="AK1414" s="15"/>
      <c r="AL1414" s="15"/>
      <c r="AM1414" s="15"/>
    </row>
    <row r="1415" spans="2:39" ht="25.2" customHeight="1" x14ac:dyDescent="0.3">
      <c r="B1415" s="13" t="str">
        <f t="shared" si="26"/>
        <v/>
      </c>
      <c r="C1415" s="18"/>
      <c r="D1415" s="19" t="str">
        <f>IF(Tabela2[[#This Row],[AGRUPADOR]]&lt;&gt;"",VLOOKUP(Tabela2[[#This Row],[AGRUPADOR]],Tabela1[],2,0),"")</f>
        <v/>
      </c>
      <c r="E1415" s="19" t="str">
        <f>IF(Tabela2[[#This Row],[AGRUPADOR]]&lt;&gt;"",VLOOKUP(Tabela2[[#This Row],[AGRUPADOR]],Tabela1[],4,0),"")</f>
        <v/>
      </c>
      <c r="F1415" s="14"/>
      <c r="G1415" s="6"/>
      <c r="H1415" s="6"/>
      <c r="I1415" s="25"/>
      <c r="J1415" s="7"/>
      <c r="K1415" s="15"/>
      <c r="L1415" s="379">
        <f>IF(H1415&lt;&gt;"",J1415*K1415,SUMIFS(L1416:L$9844,$F1416:$F$9844,"*"&amp;F1415&amp;"*",$H1416:$H$9844,"&lt;&gt;"))</f>
        <v>0</v>
      </c>
      <c r="M1415" s="379" t="str">
        <f>IF(Tabela2[[#This Row],[UNID.]]&lt;&gt;"",IFERROR(VLOOKUP(Tabela2[[#This Row],[AGRUPADOR]],Lucratividade!$D$4:$O$129,6,0),0),"")</f>
        <v/>
      </c>
      <c r="N1415" s="379">
        <f>IF(H1415&lt;&gt;"",J1415*M1415*I1415,SUMIFS(N1416:N$9844,$F1416:$F$9844,"*"&amp;F1415&amp;"*",$H1416:$H$9844,"&lt;&gt;"))</f>
        <v>0</v>
      </c>
      <c r="O1415" s="162" t="str">
        <f>IFERROR((-Tabela2[[#This Row],[CUSTO TOTAL]]+Tabela2[[#This Row],[VENDA TOTAL]])/Tabela2[[#This Row],[VENDA TOTAL]]-PARAMETROS!$C$19,"")</f>
        <v/>
      </c>
      <c r="AA1415" s="224">
        <f>SUM(Plan_Orc[[#This Row],[01/jan]:[01/dez]])</f>
        <v>0</v>
      </c>
      <c r="AB1415" s="203"/>
      <c r="AC1415" s="203"/>
      <c r="AD1415" s="203"/>
      <c r="AE1415" s="203"/>
      <c r="AF1415" s="203"/>
      <c r="AG1415" s="203"/>
      <c r="AH1415" s="203"/>
      <c r="AI1415" s="203"/>
      <c r="AJ1415" s="203"/>
      <c r="AK1415" s="203"/>
      <c r="AL1415" s="203"/>
      <c r="AM1415" s="203"/>
    </row>
    <row r="1416" spans="2:39" ht="25.2" customHeight="1" x14ac:dyDescent="0.3">
      <c r="B1416" s="13" t="str">
        <f t="shared" si="26"/>
        <v/>
      </c>
      <c r="C1416" s="18"/>
      <c r="D1416" s="19" t="str">
        <f>IF(Tabela2[[#This Row],[AGRUPADOR]]&lt;&gt;"",VLOOKUP(Tabela2[[#This Row],[AGRUPADOR]],Tabela1[],2,0),"")</f>
        <v/>
      </c>
      <c r="E1416" s="19" t="str">
        <f>IF(Tabela2[[#This Row],[AGRUPADOR]]&lt;&gt;"",VLOOKUP(Tabela2[[#This Row],[AGRUPADOR]],Tabela1[],4,0),"")</f>
        <v/>
      </c>
      <c r="F1416" s="14"/>
      <c r="G1416" s="6"/>
      <c r="H1416" s="6"/>
      <c r="I1416" s="25"/>
      <c r="J1416" s="7"/>
      <c r="K1416" s="15"/>
      <c r="L1416" s="379">
        <f>IF(H1416&lt;&gt;"",J1416*K1416,SUMIFS(L1417:L$9844,$F1417:$F$9844,"*"&amp;F1416&amp;"*",$H1417:$H$9844,"&lt;&gt;"))</f>
        <v>0</v>
      </c>
      <c r="M1416" s="379" t="str">
        <f>IF(Tabela2[[#This Row],[UNID.]]&lt;&gt;"",IFERROR(VLOOKUP(Tabela2[[#This Row],[AGRUPADOR]],Lucratividade!$D$4:$O$129,6,0),0),"")</f>
        <v/>
      </c>
      <c r="N1416" s="379">
        <f>IF(H1416&lt;&gt;"",J1416*M1416*I1416,SUMIFS(N1417:N$9844,$F1417:$F$9844,"*"&amp;F1416&amp;"*",$H1417:$H$9844,"&lt;&gt;"))</f>
        <v>0</v>
      </c>
      <c r="O1416" s="162" t="str">
        <f>IFERROR((-Tabela2[[#This Row],[CUSTO TOTAL]]+Tabela2[[#This Row],[VENDA TOTAL]])/Tabela2[[#This Row],[VENDA TOTAL]]-PARAMETROS!$C$19,"")</f>
        <v/>
      </c>
      <c r="AA1416" s="218">
        <f>SUM(Plan_Orc[[#This Row],[01/jan]:[01/dez]])</f>
        <v>0</v>
      </c>
      <c r="AB1416" s="12"/>
      <c r="AC1416" s="12"/>
      <c r="AD1416" s="12"/>
      <c r="AE1416" s="12"/>
      <c r="AF1416" s="12"/>
      <c r="AG1416" s="12"/>
      <c r="AH1416" s="12"/>
      <c r="AI1416" s="12"/>
      <c r="AJ1416" s="12"/>
      <c r="AK1416" s="12"/>
      <c r="AL1416" s="12"/>
      <c r="AM1416" s="12"/>
    </row>
    <row r="1417" spans="2:39" ht="25.2" customHeight="1" x14ac:dyDescent="0.3">
      <c r="B1417" s="13" t="str">
        <f t="shared" si="26"/>
        <v/>
      </c>
      <c r="C1417" s="18"/>
      <c r="D1417" s="19" t="str">
        <f>IF(Tabela2[[#This Row],[AGRUPADOR]]&lt;&gt;"",VLOOKUP(Tabela2[[#This Row],[AGRUPADOR]],Tabela1[],2,0),"")</f>
        <v/>
      </c>
      <c r="E1417" s="19" t="str">
        <f>IF(Tabela2[[#This Row],[AGRUPADOR]]&lt;&gt;"",VLOOKUP(Tabela2[[#This Row],[AGRUPADOR]],Tabela1[],4,0),"")</f>
        <v/>
      </c>
      <c r="F1417" s="14"/>
      <c r="G1417" s="6"/>
      <c r="H1417" s="6"/>
      <c r="I1417" s="25"/>
      <c r="J1417" s="7"/>
      <c r="K1417" s="15"/>
      <c r="L1417" s="379">
        <f>IF(H1417&lt;&gt;"",J1417*K1417,SUMIFS(L1418:L$9844,$F1418:$F$9844,"*"&amp;F1417&amp;"*",$H1418:$H$9844,"&lt;&gt;"))</f>
        <v>0</v>
      </c>
      <c r="M1417" s="379" t="str">
        <f>IF(Tabela2[[#This Row],[UNID.]]&lt;&gt;"",IFERROR(VLOOKUP(Tabela2[[#This Row],[AGRUPADOR]],Lucratividade!$D$4:$O$129,6,0),0),"")</f>
        <v/>
      </c>
      <c r="N1417" s="379">
        <f>IF(H1417&lt;&gt;"",J1417*M1417*I1417,SUMIFS(N1418:N$9844,$F1418:$F$9844,"*"&amp;F1417&amp;"*",$H1418:$H$9844,"&lt;&gt;"))</f>
        <v>0</v>
      </c>
      <c r="O1417" s="162" t="str">
        <f>IFERROR((-Tabela2[[#This Row],[CUSTO TOTAL]]+Tabela2[[#This Row],[VENDA TOTAL]])/Tabela2[[#This Row],[VENDA TOTAL]]-PARAMETROS!$C$19,"")</f>
        <v/>
      </c>
      <c r="AA1417" s="219">
        <f>SUM(Plan_Orc[[#This Row],[01/jan]:[01/dez]])</f>
        <v>0</v>
      </c>
      <c r="AB1417" s="15"/>
      <c r="AC1417" s="15"/>
      <c r="AD1417" s="15"/>
      <c r="AE1417" s="15"/>
      <c r="AF1417" s="15"/>
      <c r="AG1417" s="15"/>
      <c r="AH1417" s="15"/>
      <c r="AI1417" s="15"/>
      <c r="AJ1417" s="15"/>
      <c r="AK1417" s="15"/>
      <c r="AL1417" s="15"/>
      <c r="AM1417" s="15"/>
    </row>
    <row r="1418" spans="2:39" ht="25.2" customHeight="1" x14ac:dyDescent="0.3">
      <c r="B1418" s="13" t="str">
        <f t="shared" si="26"/>
        <v/>
      </c>
      <c r="C1418" s="18"/>
      <c r="D1418" s="19" t="str">
        <f>IF(Tabela2[[#This Row],[AGRUPADOR]]&lt;&gt;"",VLOOKUP(Tabela2[[#This Row],[AGRUPADOR]],Tabela1[],2,0),"")</f>
        <v/>
      </c>
      <c r="E1418" s="19" t="str">
        <f>IF(Tabela2[[#This Row],[AGRUPADOR]]&lt;&gt;"",VLOOKUP(Tabela2[[#This Row],[AGRUPADOR]],Tabela1[],4,0),"")</f>
        <v/>
      </c>
      <c r="F1418" s="14"/>
      <c r="G1418" s="6"/>
      <c r="H1418" s="6"/>
      <c r="I1418" s="25"/>
      <c r="J1418" s="7"/>
      <c r="K1418" s="15"/>
      <c r="L1418" s="379">
        <f>IF(H1418&lt;&gt;"",J1418*K1418,SUMIFS(L1419:L$9844,$F1419:$F$9844,"*"&amp;F1418&amp;"*",$H1419:$H$9844,"&lt;&gt;"))</f>
        <v>0</v>
      </c>
      <c r="M1418" s="379" t="str">
        <f>IF(Tabela2[[#This Row],[UNID.]]&lt;&gt;"",IFERROR(VLOOKUP(Tabela2[[#This Row],[AGRUPADOR]],Lucratividade!$D$4:$O$129,6,0),0),"")</f>
        <v/>
      </c>
      <c r="N1418" s="379">
        <f>IF(H1418&lt;&gt;"",J1418*M1418*I1418,SUMIFS(N1419:N$9844,$F1419:$F$9844,"*"&amp;F1418&amp;"*",$H1419:$H$9844,"&lt;&gt;"))</f>
        <v>0</v>
      </c>
      <c r="O1418" s="162" t="str">
        <f>IFERROR((-Tabela2[[#This Row],[CUSTO TOTAL]]+Tabela2[[#This Row],[VENDA TOTAL]])/Tabela2[[#This Row],[VENDA TOTAL]]-PARAMETROS!$C$19,"")</f>
        <v/>
      </c>
      <c r="AA1418" s="219">
        <f>SUM(Plan_Orc[[#This Row],[01/jan]:[01/dez]])</f>
        <v>0</v>
      </c>
      <c r="AB1418" s="15"/>
      <c r="AC1418" s="15"/>
      <c r="AD1418" s="15"/>
      <c r="AE1418" s="15"/>
      <c r="AF1418" s="15"/>
      <c r="AG1418" s="15"/>
      <c r="AH1418" s="15"/>
      <c r="AI1418" s="15"/>
      <c r="AJ1418" s="15"/>
      <c r="AK1418" s="15"/>
      <c r="AL1418" s="15"/>
      <c r="AM1418" s="15"/>
    </row>
    <row r="1419" spans="2:39" ht="25.2" customHeight="1" x14ac:dyDescent="0.3">
      <c r="B1419" s="13" t="str">
        <f t="shared" si="26"/>
        <v/>
      </c>
      <c r="C1419" s="18"/>
      <c r="D1419" s="19" t="str">
        <f>IF(Tabela2[[#This Row],[AGRUPADOR]]&lt;&gt;"",VLOOKUP(Tabela2[[#This Row],[AGRUPADOR]],Tabela1[],2,0),"")</f>
        <v/>
      </c>
      <c r="E1419" s="19" t="str">
        <f>IF(Tabela2[[#This Row],[AGRUPADOR]]&lt;&gt;"",VLOOKUP(Tabela2[[#This Row],[AGRUPADOR]],Tabela1[],4,0),"")</f>
        <v/>
      </c>
      <c r="F1419" s="14"/>
      <c r="G1419" s="6"/>
      <c r="H1419" s="6"/>
      <c r="I1419" s="25"/>
      <c r="J1419" s="7"/>
      <c r="K1419" s="15"/>
      <c r="L1419" s="379">
        <f>IF(H1419&lt;&gt;"",J1419*K1419,SUMIFS(L1420:L$9844,$F1420:$F$9844,"*"&amp;F1419&amp;"*",$H1420:$H$9844,"&lt;&gt;"))</f>
        <v>0</v>
      </c>
      <c r="M1419" s="379" t="str">
        <f>IF(Tabela2[[#This Row],[UNID.]]&lt;&gt;"",IFERROR(VLOOKUP(Tabela2[[#This Row],[AGRUPADOR]],Lucratividade!$D$4:$O$129,6,0),0),"")</f>
        <v/>
      </c>
      <c r="N1419" s="379">
        <f>IF(H1419&lt;&gt;"",J1419*M1419*I1419,SUMIFS(N1420:N$9844,$F1420:$F$9844,"*"&amp;F1419&amp;"*",$H1420:$H$9844,"&lt;&gt;"))</f>
        <v>0</v>
      </c>
      <c r="O1419" s="162" t="str">
        <f>IFERROR((-Tabela2[[#This Row],[CUSTO TOTAL]]+Tabela2[[#This Row],[VENDA TOTAL]])/Tabela2[[#This Row],[VENDA TOTAL]]-PARAMETROS!$C$19,"")</f>
        <v/>
      </c>
      <c r="AA1419" s="219">
        <f>SUM(Plan_Orc[[#This Row],[01/jan]:[01/dez]])</f>
        <v>0</v>
      </c>
      <c r="AB1419" s="15"/>
      <c r="AC1419" s="15"/>
      <c r="AD1419" s="15"/>
      <c r="AE1419" s="15"/>
      <c r="AF1419" s="15"/>
      <c r="AG1419" s="15"/>
      <c r="AH1419" s="15"/>
      <c r="AI1419" s="15"/>
      <c r="AJ1419" s="15"/>
      <c r="AK1419" s="15"/>
      <c r="AL1419" s="15"/>
      <c r="AM1419" s="15"/>
    </row>
    <row r="1420" spans="2:39" ht="25.2" customHeight="1" x14ac:dyDescent="0.3">
      <c r="B1420" s="13" t="str">
        <f t="shared" si="26"/>
        <v/>
      </c>
      <c r="C1420" s="18"/>
      <c r="D1420" s="19" t="str">
        <f>IF(Tabela2[[#This Row],[AGRUPADOR]]&lt;&gt;"",VLOOKUP(Tabela2[[#This Row],[AGRUPADOR]],Tabela1[],2,0),"")</f>
        <v/>
      </c>
      <c r="E1420" s="19" t="str">
        <f>IF(Tabela2[[#This Row],[AGRUPADOR]]&lt;&gt;"",VLOOKUP(Tabela2[[#This Row],[AGRUPADOR]],Tabela1[],4,0),"")</f>
        <v/>
      </c>
      <c r="F1420" s="14"/>
      <c r="G1420" s="6"/>
      <c r="H1420" s="6"/>
      <c r="I1420" s="25"/>
      <c r="J1420" s="7"/>
      <c r="K1420" s="15"/>
      <c r="L1420" s="379">
        <f>IF(H1420&lt;&gt;"",J1420*K1420,SUMIFS(L1421:L$9844,$F1421:$F$9844,"*"&amp;F1420&amp;"*",$H1421:$H$9844,"&lt;&gt;"))</f>
        <v>0</v>
      </c>
      <c r="M1420" s="379" t="str">
        <f>IF(Tabela2[[#This Row],[UNID.]]&lt;&gt;"",IFERROR(VLOOKUP(Tabela2[[#This Row],[AGRUPADOR]],Lucratividade!$D$4:$O$129,6,0),0),"")</f>
        <v/>
      </c>
      <c r="N1420" s="379">
        <f>IF(H1420&lt;&gt;"",J1420*M1420*I1420,SUMIFS(N1421:N$9844,$F1421:$F$9844,"*"&amp;F1420&amp;"*",$H1421:$H$9844,"&lt;&gt;"))</f>
        <v>0</v>
      </c>
      <c r="O1420" s="162" t="str">
        <f>IFERROR((-Tabela2[[#This Row],[CUSTO TOTAL]]+Tabela2[[#This Row],[VENDA TOTAL]])/Tabela2[[#This Row],[VENDA TOTAL]]-PARAMETROS!$C$19,"")</f>
        <v/>
      </c>
      <c r="AA1420" s="219">
        <f>SUM(Plan_Orc[[#This Row],[01/jan]:[01/dez]])</f>
        <v>0</v>
      </c>
      <c r="AB1420" s="15"/>
      <c r="AC1420" s="15"/>
      <c r="AD1420" s="15"/>
      <c r="AE1420" s="15"/>
      <c r="AF1420" s="15"/>
      <c r="AG1420" s="15"/>
      <c r="AH1420" s="15"/>
      <c r="AI1420" s="15"/>
      <c r="AJ1420" s="15"/>
      <c r="AK1420" s="15"/>
      <c r="AL1420" s="15"/>
      <c r="AM1420" s="15"/>
    </row>
    <row r="1421" spans="2:39" ht="25.2" customHeight="1" x14ac:dyDescent="0.3">
      <c r="B1421" s="13" t="str">
        <f t="shared" si="26"/>
        <v/>
      </c>
      <c r="C1421" s="18"/>
      <c r="D1421" s="19" t="str">
        <f>IF(Tabela2[[#This Row],[AGRUPADOR]]&lt;&gt;"",VLOOKUP(Tabela2[[#This Row],[AGRUPADOR]],Tabela1[],2,0),"")</f>
        <v/>
      </c>
      <c r="E1421" s="19" t="str">
        <f>IF(Tabela2[[#This Row],[AGRUPADOR]]&lt;&gt;"",VLOOKUP(Tabela2[[#This Row],[AGRUPADOR]],Tabela1[],4,0),"")</f>
        <v/>
      </c>
      <c r="F1421" s="14"/>
      <c r="G1421" s="6"/>
      <c r="H1421" s="6"/>
      <c r="I1421" s="25"/>
      <c r="J1421" s="7"/>
      <c r="K1421" s="15"/>
      <c r="L1421" s="379">
        <f>IF(H1421&lt;&gt;"",J1421*K1421,SUMIFS(L1422:L$9844,$F1422:$F$9844,"*"&amp;F1421&amp;"*",$H1422:$H$9844,"&lt;&gt;"))</f>
        <v>0</v>
      </c>
      <c r="M1421" s="379" t="str">
        <f>IF(Tabela2[[#This Row],[UNID.]]&lt;&gt;"",IFERROR(VLOOKUP(Tabela2[[#This Row],[AGRUPADOR]],Lucratividade!$D$4:$O$129,6,0),0),"")</f>
        <v/>
      </c>
      <c r="N1421" s="379">
        <f>IF(H1421&lt;&gt;"",J1421*M1421*I1421,SUMIFS(N1422:N$9844,$F1422:$F$9844,"*"&amp;F1421&amp;"*",$H1422:$H$9844,"&lt;&gt;"))</f>
        <v>0</v>
      </c>
      <c r="O1421" s="162" t="str">
        <f>IFERROR((-Tabela2[[#This Row],[CUSTO TOTAL]]+Tabela2[[#This Row],[VENDA TOTAL]])/Tabela2[[#This Row],[VENDA TOTAL]]-PARAMETROS!$C$19,"")</f>
        <v/>
      </c>
      <c r="AA1421" s="219">
        <f>SUM(Plan_Orc[[#This Row],[01/jan]:[01/dez]])</f>
        <v>0</v>
      </c>
      <c r="AB1421" s="15"/>
      <c r="AC1421" s="15"/>
      <c r="AD1421" s="15"/>
      <c r="AE1421" s="15"/>
      <c r="AF1421" s="15"/>
      <c r="AG1421" s="15"/>
      <c r="AH1421" s="15"/>
      <c r="AI1421" s="15"/>
      <c r="AJ1421" s="15"/>
      <c r="AK1421" s="15"/>
      <c r="AL1421" s="15"/>
      <c r="AM1421" s="15"/>
    </row>
    <row r="1422" spans="2:39" ht="25.2" customHeight="1" x14ac:dyDescent="0.3">
      <c r="B1422" s="13" t="str">
        <f t="shared" si="26"/>
        <v/>
      </c>
      <c r="C1422" s="18"/>
      <c r="D1422" s="19" t="str">
        <f>IF(Tabela2[[#This Row],[AGRUPADOR]]&lt;&gt;"",VLOOKUP(Tabela2[[#This Row],[AGRUPADOR]],Tabela1[],2,0),"")</f>
        <v/>
      </c>
      <c r="E1422" s="19" t="str">
        <f>IF(Tabela2[[#This Row],[AGRUPADOR]]&lt;&gt;"",VLOOKUP(Tabela2[[#This Row],[AGRUPADOR]],Tabela1[],4,0),"")</f>
        <v/>
      </c>
      <c r="F1422" s="14"/>
      <c r="G1422" s="6"/>
      <c r="H1422" s="6"/>
      <c r="I1422" s="25"/>
      <c r="J1422" s="7"/>
      <c r="K1422" s="15"/>
      <c r="L1422" s="379">
        <f>IF(H1422&lt;&gt;"",J1422*K1422,SUMIFS(L1423:L$9844,$F1423:$F$9844,"*"&amp;F1422&amp;"*",$H1423:$H$9844,"&lt;&gt;"))</f>
        <v>0</v>
      </c>
      <c r="M1422" s="379" t="str">
        <f>IF(Tabela2[[#This Row],[UNID.]]&lt;&gt;"",IFERROR(VLOOKUP(Tabela2[[#This Row],[AGRUPADOR]],Lucratividade!$D$4:$O$129,6,0),0),"")</f>
        <v/>
      </c>
      <c r="N1422" s="379">
        <f>IF(H1422&lt;&gt;"",J1422*M1422*I1422,SUMIFS(N1423:N$9844,$F1423:$F$9844,"*"&amp;F1422&amp;"*",$H1423:$H$9844,"&lt;&gt;"))</f>
        <v>0</v>
      </c>
      <c r="O1422" s="162" t="str">
        <f>IFERROR((-Tabela2[[#This Row],[CUSTO TOTAL]]+Tabela2[[#This Row],[VENDA TOTAL]])/Tabela2[[#This Row],[VENDA TOTAL]]-PARAMETROS!$C$19,"")</f>
        <v/>
      </c>
      <c r="AA1422" s="219">
        <f>SUM(Plan_Orc[[#This Row],[01/jan]:[01/dez]])</f>
        <v>0</v>
      </c>
      <c r="AB1422" s="15"/>
      <c r="AC1422" s="15"/>
      <c r="AD1422" s="15"/>
      <c r="AE1422" s="15"/>
      <c r="AF1422" s="15"/>
      <c r="AG1422" s="15"/>
      <c r="AH1422" s="15"/>
      <c r="AI1422" s="15"/>
      <c r="AJ1422" s="15"/>
      <c r="AK1422" s="15"/>
      <c r="AL1422" s="15"/>
      <c r="AM1422" s="15"/>
    </row>
    <row r="1423" spans="2:39" ht="25.2" customHeight="1" x14ac:dyDescent="0.3">
      <c r="B1423" s="13" t="str">
        <f t="shared" si="26"/>
        <v/>
      </c>
      <c r="C1423" s="18"/>
      <c r="D1423" s="19" t="str">
        <f>IF(Tabela2[[#This Row],[AGRUPADOR]]&lt;&gt;"",VLOOKUP(Tabela2[[#This Row],[AGRUPADOR]],Tabela1[],2,0),"")</f>
        <v/>
      </c>
      <c r="E1423" s="19" t="str">
        <f>IF(Tabela2[[#This Row],[AGRUPADOR]]&lt;&gt;"",VLOOKUP(Tabela2[[#This Row],[AGRUPADOR]],Tabela1[],4,0),"")</f>
        <v/>
      </c>
      <c r="F1423" s="14"/>
      <c r="G1423" s="6"/>
      <c r="H1423" s="6"/>
      <c r="I1423" s="25"/>
      <c r="J1423" s="7"/>
      <c r="K1423" s="15"/>
      <c r="L1423" s="379">
        <f>IF(H1423&lt;&gt;"",J1423*K1423,SUMIFS(L1424:L$9844,$F1424:$F$9844,"*"&amp;F1423&amp;"*",$H1424:$H$9844,"&lt;&gt;"))</f>
        <v>0</v>
      </c>
      <c r="M1423" s="379" t="str">
        <f>IF(Tabela2[[#This Row],[UNID.]]&lt;&gt;"",IFERROR(VLOOKUP(Tabela2[[#This Row],[AGRUPADOR]],Lucratividade!$D$4:$O$129,6,0),0),"")</f>
        <v/>
      </c>
      <c r="N1423" s="379">
        <f>IF(H1423&lt;&gt;"",J1423*M1423*I1423,SUMIFS(N1424:N$9844,$F1424:$F$9844,"*"&amp;F1423&amp;"*",$H1424:$H$9844,"&lt;&gt;"))</f>
        <v>0</v>
      </c>
      <c r="O1423" s="162" t="str">
        <f>IFERROR((-Tabela2[[#This Row],[CUSTO TOTAL]]+Tabela2[[#This Row],[VENDA TOTAL]])/Tabela2[[#This Row],[VENDA TOTAL]]-PARAMETROS!$C$19,"")</f>
        <v/>
      </c>
      <c r="AA1423" s="219">
        <f>SUM(Plan_Orc[[#This Row],[01/jan]:[01/dez]])</f>
        <v>0</v>
      </c>
      <c r="AB1423" s="15"/>
      <c r="AC1423" s="15"/>
      <c r="AD1423" s="15"/>
      <c r="AE1423" s="15"/>
      <c r="AF1423" s="15"/>
      <c r="AG1423" s="15"/>
      <c r="AH1423" s="15"/>
      <c r="AI1423" s="15"/>
      <c r="AJ1423" s="15"/>
      <c r="AK1423" s="15"/>
      <c r="AL1423" s="15"/>
      <c r="AM1423" s="15"/>
    </row>
    <row r="1424" spans="2:39" ht="25.2" customHeight="1" x14ac:dyDescent="0.3">
      <c r="B1424" s="13" t="str">
        <f t="shared" si="26"/>
        <v/>
      </c>
      <c r="C1424" s="18"/>
      <c r="D1424" s="19" t="str">
        <f>IF(Tabela2[[#This Row],[AGRUPADOR]]&lt;&gt;"",VLOOKUP(Tabela2[[#This Row],[AGRUPADOR]],Tabela1[],2,0),"")</f>
        <v/>
      </c>
      <c r="E1424" s="19" t="str">
        <f>IF(Tabela2[[#This Row],[AGRUPADOR]]&lt;&gt;"",VLOOKUP(Tabela2[[#This Row],[AGRUPADOR]],Tabela1[],4,0),"")</f>
        <v/>
      </c>
      <c r="F1424" s="14"/>
      <c r="G1424" s="6"/>
      <c r="H1424" s="6"/>
      <c r="I1424" s="25"/>
      <c r="J1424" s="7"/>
      <c r="K1424" s="15"/>
      <c r="L1424" s="379">
        <f>IF(H1424&lt;&gt;"",J1424*K1424,SUMIFS(L1425:L$9844,$F1425:$F$9844,"*"&amp;F1424&amp;"*",$H1425:$H$9844,"&lt;&gt;"))</f>
        <v>0</v>
      </c>
      <c r="M1424" s="379" t="str">
        <f>IF(Tabela2[[#This Row],[UNID.]]&lt;&gt;"",IFERROR(VLOOKUP(Tabela2[[#This Row],[AGRUPADOR]],Lucratividade!$D$4:$O$129,6,0),0),"")</f>
        <v/>
      </c>
      <c r="N1424" s="379">
        <f>IF(H1424&lt;&gt;"",J1424*M1424*I1424,SUMIFS(N1425:N$9844,$F1425:$F$9844,"*"&amp;F1424&amp;"*",$H1425:$H$9844,"&lt;&gt;"))</f>
        <v>0</v>
      </c>
      <c r="O1424" s="162" t="str">
        <f>IFERROR((-Tabela2[[#This Row],[CUSTO TOTAL]]+Tabela2[[#This Row],[VENDA TOTAL]])/Tabela2[[#This Row],[VENDA TOTAL]]-PARAMETROS!$C$19,"")</f>
        <v/>
      </c>
      <c r="AA1424" s="219">
        <f>SUM(Plan_Orc[[#This Row],[01/jan]:[01/dez]])</f>
        <v>0</v>
      </c>
      <c r="AB1424" s="15"/>
      <c r="AC1424" s="15"/>
      <c r="AD1424" s="15"/>
      <c r="AE1424" s="15"/>
      <c r="AF1424" s="15"/>
      <c r="AG1424" s="15"/>
      <c r="AH1424" s="15"/>
      <c r="AI1424" s="15"/>
      <c r="AJ1424" s="15"/>
      <c r="AK1424" s="15"/>
      <c r="AL1424" s="15"/>
      <c r="AM1424" s="15"/>
    </row>
    <row r="1425" spans="2:39" ht="25.2" customHeight="1" x14ac:dyDescent="0.3">
      <c r="B1425" s="13" t="str">
        <f t="shared" si="26"/>
        <v/>
      </c>
      <c r="C1425" s="18"/>
      <c r="D1425" s="19" t="str">
        <f>IF(Tabela2[[#This Row],[AGRUPADOR]]&lt;&gt;"",VLOOKUP(Tabela2[[#This Row],[AGRUPADOR]],Tabela1[],2,0),"")</f>
        <v/>
      </c>
      <c r="E1425" s="19" t="str">
        <f>IF(Tabela2[[#This Row],[AGRUPADOR]]&lt;&gt;"",VLOOKUP(Tabela2[[#This Row],[AGRUPADOR]],Tabela1[],4,0),"")</f>
        <v/>
      </c>
      <c r="F1425" s="14"/>
      <c r="G1425" s="6"/>
      <c r="H1425" s="6"/>
      <c r="I1425" s="25"/>
      <c r="J1425" s="7"/>
      <c r="K1425" s="15"/>
      <c r="L1425" s="379">
        <f>IF(H1425&lt;&gt;"",J1425*K1425,SUMIFS(L1426:L$9844,$F1426:$F$9844,"*"&amp;F1425&amp;"*",$H1426:$H$9844,"&lt;&gt;"))</f>
        <v>0</v>
      </c>
      <c r="M1425" s="379" t="str">
        <f>IF(Tabela2[[#This Row],[UNID.]]&lt;&gt;"",IFERROR(VLOOKUP(Tabela2[[#This Row],[AGRUPADOR]],Lucratividade!$D$4:$O$129,6,0),0),"")</f>
        <v/>
      </c>
      <c r="N1425" s="379">
        <f>IF(H1425&lt;&gt;"",J1425*M1425*I1425,SUMIFS(N1426:N$9844,$F1426:$F$9844,"*"&amp;F1425&amp;"*",$H1426:$H$9844,"&lt;&gt;"))</f>
        <v>0</v>
      </c>
      <c r="O1425" s="162" t="str">
        <f>IFERROR((-Tabela2[[#This Row],[CUSTO TOTAL]]+Tabela2[[#This Row],[VENDA TOTAL]])/Tabela2[[#This Row],[VENDA TOTAL]]-PARAMETROS!$C$19,"")</f>
        <v/>
      </c>
      <c r="AA1425" s="219">
        <f>SUM(Plan_Orc[[#This Row],[01/jan]:[01/dez]])</f>
        <v>0</v>
      </c>
      <c r="AB1425" s="15"/>
      <c r="AC1425" s="15"/>
      <c r="AD1425" s="15"/>
      <c r="AE1425" s="15"/>
      <c r="AF1425" s="15"/>
      <c r="AG1425" s="15"/>
      <c r="AH1425" s="15"/>
      <c r="AI1425" s="15"/>
      <c r="AJ1425" s="15"/>
      <c r="AK1425" s="15"/>
      <c r="AL1425" s="15"/>
      <c r="AM1425" s="15"/>
    </row>
    <row r="1426" spans="2:39" ht="25.2" customHeight="1" x14ac:dyDescent="0.3">
      <c r="B1426" s="13" t="str">
        <f t="shared" si="26"/>
        <v/>
      </c>
      <c r="C1426" s="18"/>
      <c r="D1426" s="19" t="str">
        <f>IF(Tabela2[[#This Row],[AGRUPADOR]]&lt;&gt;"",VLOOKUP(Tabela2[[#This Row],[AGRUPADOR]],Tabela1[],2,0),"")</f>
        <v/>
      </c>
      <c r="E1426" s="19" t="str">
        <f>IF(Tabela2[[#This Row],[AGRUPADOR]]&lt;&gt;"",VLOOKUP(Tabela2[[#This Row],[AGRUPADOR]],Tabela1[],4,0),"")</f>
        <v/>
      </c>
      <c r="F1426" s="14"/>
      <c r="G1426" s="6"/>
      <c r="H1426" s="6"/>
      <c r="I1426" s="25"/>
      <c r="J1426" s="7"/>
      <c r="K1426" s="15"/>
      <c r="L1426" s="379">
        <f>IF(H1426&lt;&gt;"",J1426*K1426,SUMIFS(L1427:L$9844,$F1427:$F$9844,"*"&amp;F1426&amp;"*",$H1427:$H$9844,"&lt;&gt;"))</f>
        <v>0</v>
      </c>
      <c r="M1426" s="379" t="str">
        <f>IF(Tabela2[[#This Row],[UNID.]]&lt;&gt;"",IFERROR(VLOOKUP(Tabela2[[#This Row],[AGRUPADOR]],Lucratividade!$D$4:$O$129,6,0),0),"")</f>
        <v/>
      </c>
      <c r="N1426" s="379">
        <f>IF(H1426&lt;&gt;"",J1426*M1426*I1426,SUMIFS(N1427:N$9844,$F1427:$F$9844,"*"&amp;F1426&amp;"*",$H1427:$H$9844,"&lt;&gt;"))</f>
        <v>0</v>
      </c>
      <c r="O1426" s="162" t="str">
        <f>IFERROR((-Tabela2[[#This Row],[CUSTO TOTAL]]+Tabela2[[#This Row],[VENDA TOTAL]])/Tabela2[[#This Row],[VENDA TOTAL]]-PARAMETROS!$C$19,"")</f>
        <v/>
      </c>
      <c r="AA1426" s="219">
        <f>SUM(Plan_Orc[[#This Row],[01/jan]:[01/dez]])</f>
        <v>0</v>
      </c>
      <c r="AB1426" s="15"/>
      <c r="AC1426" s="15"/>
      <c r="AD1426" s="15"/>
      <c r="AE1426" s="15"/>
      <c r="AF1426" s="15"/>
      <c r="AG1426" s="15"/>
      <c r="AH1426" s="15"/>
      <c r="AI1426" s="15"/>
      <c r="AJ1426" s="15"/>
      <c r="AK1426" s="15"/>
      <c r="AL1426" s="15"/>
      <c r="AM1426" s="15"/>
    </row>
    <row r="1427" spans="2:39" ht="25.2" customHeight="1" x14ac:dyDescent="0.3">
      <c r="B1427" s="13" t="str">
        <f t="shared" si="26"/>
        <v/>
      </c>
      <c r="C1427" s="18"/>
      <c r="D1427" s="19" t="str">
        <f>IF(Tabela2[[#This Row],[AGRUPADOR]]&lt;&gt;"",VLOOKUP(Tabela2[[#This Row],[AGRUPADOR]],Tabela1[],2,0),"")</f>
        <v/>
      </c>
      <c r="E1427" s="19" t="str">
        <f>IF(Tabela2[[#This Row],[AGRUPADOR]]&lt;&gt;"",VLOOKUP(Tabela2[[#This Row],[AGRUPADOR]],Tabela1[],4,0),"")</f>
        <v/>
      </c>
      <c r="F1427" s="14"/>
      <c r="G1427" s="6"/>
      <c r="H1427" s="6"/>
      <c r="I1427" s="25"/>
      <c r="J1427" s="7"/>
      <c r="K1427" s="15"/>
      <c r="L1427" s="379">
        <f>IF(H1427&lt;&gt;"",J1427*K1427,SUMIFS(L1428:L$9844,$F1428:$F$9844,"*"&amp;F1427&amp;"*",$H1428:$H$9844,"&lt;&gt;"))</f>
        <v>0</v>
      </c>
      <c r="M1427" s="379" t="str">
        <f>IF(Tabela2[[#This Row],[UNID.]]&lt;&gt;"",IFERROR(VLOOKUP(Tabela2[[#This Row],[AGRUPADOR]],Lucratividade!$D$4:$O$129,6,0),0),"")</f>
        <v/>
      </c>
      <c r="N1427" s="379">
        <f>IF(H1427&lt;&gt;"",J1427*M1427*I1427,SUMIFS(N1428:N$9844,$F1428:$F$9844,"*"&amp;F1427&amp;"*",$H1428:$H$9844,"&lt;&gt;"))</f>
        <v>0</v>
      </c>
      <c r="O1427" s="162" t="str">
        <f>IFERROR((-Tabela2[[#This Row],[CUSTO TOTAL]]+Tabela2[[#This Row],[VENDA TOTAL]])/Tabela2[[#This Row],[VENDA TOTAL]]-PARAMETROS!$C$19,"")</f>
        <v/>
      </c>
      <c r="AA1427" s="219">
        <f>SUM(Plan_Orc[[#This Row],[01/jan]:[01/dez]])</f>
        <v>0</v>
      </c>
      <c r="AB1427" s="15"/>
      <c r="AC1427" s="15"/>
      <c r="AD1427" s="15"/>
      <c r="AE1427" s="15"/>
      <c r="AF1427" s="15"/>
      <c r="AG1427" s="15"/>
      <c r="AH1427" s="15"/>
      <c r="AI1427" s="15"/>
      <c r="AJ1427" s="15"/>
      <c r="AK1427" s="15"/>
      <c r="AL1427" s="15"/>
      <c r="AM1427" s="15"/>
    </row>
    <row r="1428" spans="2:39" ht="25.2" customHeight="1" x14ac:dyDescent="0.3">
      <c r="B1428" s="13" t="str">
        <f t="shared" si="26"/>
        <v/>
      </c>
      <c r="C1428" s="18"/>
      <c r="D1428" s="19" t="str">
        <f>IF(Tabela2[[#This Row],[AGRUPADOR]]&lt;&gt;"",VLOOKUP(Tabela2[[#This Row],[AGRUPADOR]],Tabela1[],2,0),"")</f>
        <v/>
      </c>
      <c r="E1428" s="19" t="str">
        <f>IF(Tabela2[[#This Row],[AGRUPADOR]]&lt;&gt;"",VLOOKUP(Tabela2[[#This Row],[AGRUPADOR]],Tabela1[],4,0),"")</f>
        <v/>
      </c>
      <c r="F1428" s="14"/>
      <c r="G1428" s="6"/>
      <c r="H1428" s="6"/>
      <c r="I1428" s="25"/>
      <c r="J1428" s="7"/>
      <c r="K1428" s="15"/>
      <c r="L1428" s="379">
        <f>IF(H1428&lt;&gt;"",J1428*K1428,SUMIFS(L1429:L$9844,$F1429:$F$9844,"*"&amp;F1428&amp;"*",$H1429:$H$9844,"&lt;&gt;"))</f>
        <v>0</v>
      </c>
      <c r="M1428" s="379" t="str">
        <f>IF(Tabela2[[#This Row],[UNID.]]&lt;&gt;"",IFERROR(VLOOKUP(Tabela2[[#This Row],[AGRUPADOR]],Lucratividade!$D$4:$O$129,6,0),0),"")</f>
        <v/>
      </c>
      <c r="N1428" s="379">
        <f>IF(H1428&lt;&gt;"",J1428*M1428*I1428,SUMIFS(N1429:N$9844,$F1429:$F$9844,"*"&amp;F1428&amp;"*",$H1429:$H$9844,"&lt;&gt;"))</f>
        <v>0</v>
      </c>
      <c r="O1428" s="162" t="str">
        <f>IFERROR((-Tabela2[[#This Row],[CUSTO TOTAL]]+Tabela2[[#This Row],[VENDA TOTAL]])/Tabela2[[#This Row],[VENDA TOTAL]]-PARAMETROS!$C$19,"")</f>
        <v/>
      </c>
      <c r="AA1428" s="218">
        <f>SUM(Plan_Orc[[#This Row],[01/jan]:[01/dez]])</f>
        <v>0</v>
      </c>
      <c r="AB1428" s="12"/>
      <c r="AC1428" s="12"/>
      <c r="AD1428" s="12"/>
      <c r="AE1428" s="12"/>
      <c r="AF1428" s="12"/>
      <c r="AG1428" s="12"/>
      <c r="AH1428" s="12"/>
      <c r="AI1428" s="12"/>
      <c r="AJ1428" s="12"/>
      <c r="AK1428" s="12"/>
      <c r="AL1428" s="12"/>
      <c r="AM1428" s="12"/>
    </row>
    <row r="1429" spans="2:39" ht="25.2" customHeight="1" x14ac:dyDescent="0.3">
      <c r="B1429" s="13" t="str">
        <f t="shared" si="26"/>
        <v/>
      </c>
      <c r="C1429" s="18"/>
      <c r="D1429" s="19" t="str">
        <f>IF(Tabela2[[#This Row],[AGRUPADOR]]&lt;&gt;"",VLOOKUP(Tabela2[[#This Row],[AGRUPADOR]],Tabela1[],2,0),"")</f>
        <v/>
      </c>
      <c r="E1429" s="19" t="str">
        <f>IF(Tabela2[[#This Row],[AGRUPADOR]]&lt;&gt;"",VLOOKUP(Tabela2[[#This Row],[AGRUPADOR]],Tabela1[],4,0),"")</f>
        <v/>
      </c>
      <c r="F1429" s="14"/>
      <c r="G1429" s="6"/>
      <c r="H1429" s="6"/>
      <c r="I1429" s="25"/>
      <c r="J1429" s="7"/>
      <c r="K1429" s="15"/>
      <c r="L1429" s="379">
        <f>IF(H1429&lt;&gt;"",J1429*K1429,SUMIFS(L1430:L$9844,$F1430:$F$9844,"*"&amp;F1429&amp;"*",$H1430:$H$9844,"&lt;&gt;"))</f>
        <v>0</v>
      </c>
      <c r="M1429" s="379" t="str">
        <f>IF(Tabela2[[#This Row],[UNID.]]&lt;&gt;"",IFERROR(VLOOKUP(Tabela2[[#This Row],[AGRUPADOR]],Lucratividade!$D$4:$O$129,6,0),0),"")</f>
        <v/>
      </c>
      <c r="N1429" s="379">
        <f>IF(H1429&lt;&gt;"",J1429*M1429*I1429,SUMIFS(N1430:N$9844,$F1430:$F$9844,"*"&amp;F1429&amp;"*",$H1430:$H$9844,"&lt;&gt;"))</f>
        <v>0</v>
      </c>
      <c r="O1429" s="162" t="str">
        <f>IFERROR((-Tabela2[[#This Row],[CUSTO TOTAL]]+Tabela2[[#This Row],[VENDA TOTAL]])/Tabela2[[#This Row],[VENDA TOTAL]]-PARAMETROS!$C$19,"")</f>
        <v/>
      </c>
      <c r="AA1429" s="219">
        <f>SUM(Plan_Orc[[#This Row],[01/jan]:[01/dez]])</f>
        <v>0</v>
      </c>
      <c r="AB1429" s="15"/>
      <c r="AC1429" s="15"/>
      <c r="AD1429" s="15"/>
      <c r="AE1429" s="15"/>
      <c r="AF1429" s="15"/>
      <c r="AG1429" s="15"/>
      <c r="AH1429" s="15"/>
      <c r="AI1429" s="15"/>
      <c r="AJ1429" s="15"/>
      <c r="AK1429" s="15"/>
      <c r="AL1429" s="15"/>
      <c r="AM1429" s="15"/>
    </row>
    <row r="1430" spans="2:39" ht="25.2" customHeight="1" x14ac:dyDescent="0.3">
      <c r="B1430" s="13" t="str">
        <f t="shared" si="26"/>
        <v/>
      </c>
      <c r="C1430" s="18"/>
      <c r="D1430" s="19" t="str">
        <f>IF(Tabela2[[#This Row],[AGRUPADOR]]&lt;&gt;"",VLOOKUP(Tabela2[[#This Row],[AGRUPADOR]],Tabela1[],2,0),"")</f>
        <v/>
      </c>
      <c r="E1430" s="19" t="str">
        <f>IF(Tabela2[[#This Row],[AGRUPADOR]]&lt;&gt;"",VLOOKUP(Tabela2[[#This Row],[AGRUPADOR]],Tabela1[],4,0),"")</f>
        <v/>
      </c>
      <c r="F1430" s="14"/>
      <c r="G1430" s="6"/>
      <c r="H1430" s="6"/>
      <c r="I1430" s="25"/>
      <c r="J1430" s="7"/>
      <c r="K1430" s="15"/>
      <c r="L1430" s="379">
        <f>IF(H1430&lt;&gt;"",J1430*K1430,SUMIFS(L1431:L$9844,$F1431:$F$9844,"*"&amp;F1430&amp;"*",$H1431:$H$9844,"&lt;&gt;"))</f>
        <v>0</v>
      </c>
      <c r="M1430" s="379" t="str">
        <f>IF(Tabela2[[#This Row],[UNID.]]&lt;&gt;"",IFERROR(VLOOKUP(Tabela2[[#This Row],[AGRUPADOR]],Lucratividade!$D$4:$O$129,6,0),0),"")</f>
        <v/>
      </c>
      <c r="N1430" s="379">
        <f>IF(H1430&lt;&gt;"",J1430*M1430*I1430,SUMIFS(N1431:N$9844,$F1431:$F$9844,"*"&amp;F1430&amp;"*",$H1431:$H$9844,"&lt;&gt;"))</f>
        <v>0</v>
      </c>
      <c r="O1430" s="162" t="str">
        <f>IFERROR((-Tabela2[[#This Row],[CUSTO TOTAL]]+Tabela2[[#This Row],[VENDA TOTAL]])/Tabela2[[#This Row],[VENDA TOTAL]]-PARAMETROS!$C$19,"")</f>
        <v/>
      </c>
      <c r="AA1430" s="219">
        <f>SUM(Plan_Orc[[#This Row],[01/jan]:[01/dez]])</f>
        <v>0</v>
      </c>
      <c r="AB1430" s="15"/>
      <c r="AC1430" s="15"/>
      <c r="AD1430" s="15"/>
      <c r="AE1430" s="15"/>
      <c r="AF1430" s="15"/>
      <c r="AG1430" s="15"/>
      <c r="AH1430" s="15"/>
      <c r="AI1430" s="15"/>
      <c r="AJ1430" s="15"/>
      <c r="AK1430" s="15"/>
      <c r="AL1430" s="15"/>
      <c r="AM1430" s="15"/>
    </row>
    <row r="1431" spans="2:39" ht="25.2" customHeight="1" x14ac:dyDescent="0.3">
      <c r="B1431" s="13" t="str">
        <f t="shared" si="26"/>
        <v/>
      </c>
      <c r="C1431" s="18"/>
      <c r="D1431" s="19" t="str">
        <f>IF(Tabela2[[#This Row],[AGRUPADOR]]&lt;&gt;"",VLOOKUP(Tabela2[[#This Row],[AGRUPADOR]],Tabela1[],2,0),"")</f>
        <v/>
      </c>
      <c r="E1431" s="19" t="str">
        <f>IF(Tabela2[[#This Row],[AGRUPADOR]]&lt;&gt;"",VLOOKUP(Tabela2[[#This Row],[AGRUPADOR]],Tabela1[],4,0),"")</f>
        <v/>
      </c>
      <c r="F1431" s="14"/>
      <c r="G1431" s="6"/>
      <c r="H1431" s="6"/>
      <c r="I1431" s="25"/>
      <c r="J1431" s="7"/>
      <c r="K1431" s="15"/>
      <c r="L1431" s="379">
        <f>IF(H1431&lt;&gt;"",J1431*K1431,SUMIFS(L1432:L$9844,$F1432:$F$9844,"*"&amp;F1431&amp;"*",$H1432:$H$9844,"&lt;&gt;"))</f>
        <v>0</v>
      </c>
      <c r="M1431" s="379" t="str">
        <f>IF(Tabela2[[#This Row],[UNID.]]&lt;&gt;"",IFERROR(VLOOKUP(Tabela2[[#This Row],[AGRUPADOR]],Lucratividade!$D$4:$O$129,6,0),0),"")</f>
        <v/>
      </c>
      <c r="N1431" s="379">
        <f>IF(H1431&lt;&gt;"",J1431*M1431*I1431,SUMIFS(N1432:N$9844,$F1432:$F$9844,"*"&amp;F1431&amp;"*",$H1432:$H$9844,"&lt;&gt;"))</f>
        <v>0</v>
      </c>
      <c r="O1431" s="162" t="str">
        <f>IFERROR((-Tabela2[[#This Row],[CUSTO TOTAL]]+Tabela2[[#This Row],[VENDA TOTAL]])/Tabela2[[#This Row],[VENDA TOTAL]]-PARAMETROS!$C$19,"")</f>
        <v/>
      </c>
      <c r="AA1431" s="219">
        <f>SUM(Plan_Orc[[#This Row],[01/jan]:[01/dez]])</f>
        <v>0</v>
      </c>
      <c r="AB1431" s="15"/>
      <c r="AC1431" s="15"/>
      <c r="AD1431" s="15"/>
      <c r="AE1431" s="15"/>
      <c r="AF1431" s="15"/>
      <c r="AG1431" s="15"/>
      <c r="AH1431" s="15"/>
      <c r="AI1431" s="15"/>
      <c r="AJ1431" s="15"/>
      <c r="AK1431" s="15"/>
      <c r="AL1431" s="15"/>
      <c r="AM1431" s="15"/>
    </row>
    <row r="1432" spans="2:39" ht="25.2" customHeight="1" x14ac:dyDescent="0.3">
      <c r="B1432" s="13" t="str">
        <f t="shared" si="26"/>
        <v/>
      </c>
      <c r="C1432" s="18"/>
      <c r="D1432" s="19" t="str">
        <f>IF(Tabela2[[#This Row],[AGRUPADOR]]&lt;&gt;"",VLOOKUP(Tabela2[[#This Row],[AGRUPADOR]],Tabela1[],2,0),"")</f>
        <v/>
      </c>
      <c r="E1432" s="19" t="str">
        <f>IF(Tabela2[[#This Row],[AGRUPADOR]]&lt;&gt;"",VLOOKUP(Tabela2[[#This Row],[AGRUPADOR]],Tabela1[],4,0),"")</f>
        <v/>
      </c>
      <c r="F1432" s="14"/>
      <c r="G1432" s="6"/>
      <c r="H1432" s="6"/>
      <c r="I1432" s="25"/>
      <c r="J1432" s="7"/>
      <c r="K1432" s="15"/>
      <c r="L1432" s="379">
        <f>IF(H1432&lt;&gt;"",J1432*K1432,SUMIFS(L1433:L$9844,$F1433:$F$9844,"*"&amp;F1432&amp;"*",$H1433:$H$9844,"&lt;&gt;"))</f>
        <v>0</v>
      </c>
      <c r="M1432" s="379" t="str">
        <f>IF(Tabela2[[#This Row],[UNID.]]&lt;&gt;"",IFERROR(VLOOKUP(Tabela2[[#This Row],[AGRUPADOR]],Lucratividade!$D$4:$O$129,6,0),0),"")</f>
        <v/>
      </c>
      <c r="N1432" s="379">
        <f>IF(H1432&lt;&gt;"",J1432*M1432*I1432,SUMIFS(N1433:N$9844,$F1433:$F$9844,"*"&amp;F1432&amp;"*",$H1433:$H$9844,"&lt;&gt;"))</f>
        <v>0</v>
      </c>
      <c r="O1432" s="162" t="str">
        <f>IFERROR((-Tabela2[[#This Row],[CUSTO TOTAL]]+Tabela2[[#This Row],[VENDA TOTAL]])/Tabela2[[#This Row],[VENDA TOTAL]]-PARAMETROS!$C$19,"")</f>
        <v/>
      </c>
      <c r="AA1432" s="219">
        <f>SUM(Plan_Orc[[#This Row],[01/jan]:[01/dez]])</f>
        <v>0</v>
      </c>
      <c r="AB1432" s="15"/>
      <c r="AC1432" s="15"/>
      <c r="AD1432" s="15"/>
      <c r="AE1432" s="15"/>
      <c r="AF1432" s="15"/>
      <c r="AG1432" s="15"/>
      <c r="AH1432" s="15"/>
      <c r="AI1432" s="15"/>
      <c r="AJ1432" s="15"/>
      <c r="AK1432" s="15"/>
      <c r="AL1432" s="15"/>
      <c r="AM1432" s="15"/>
    </row>
    <row r="1433" spans="2:39" ht="25.2" customHeight="1" x14ac:dyDescent="0.3">
      <c r="B1433" s="13" t="str">
        <f t="shared" si="26"/>
        <v/>
      </c>
      <c r="C1433" s="18"/>
      <c r="D1433" s="19" t="str">
        <f>IF(Tabela2[[#This Row],[AGRUPADOR]]&lt;&gt;"",VLOOKUP(Tabela2[[#This Row],[AGRUPADOR]],Tabela1[],2,0),"")</f>
        <v/>
      </c>
      <c r="E1433" s="19" t="str">
        <f>IF(Tabela2[[#This Row],[AGRUPADOR]]&lt;&gt;"",VLOOKUP(Tabela2[[#This Row],[AGRUPADOR]],Tabela1[],4,0),"")</f>
        <v/>
      </c>
      <c r="F1433" s="14"/>
      <c r="G1433" s="6"/>
      <c r="H1433" s="6"/>
      <c r="I1433" s="25"/>
      <c r="J1433" s="7"/>
      <c r="K1433" s="15"/>
      <c r="L1433" s="379">
        <f>IF(H1433&lt;&gt;"",J1433*K1433,SUMIFS(L1434:L$9844,$F1434:$F$9844,"*"&amp;F1433&amp;"*",$H1434:$H$9844,"&lt;&gt;"))</f>
        <v>0</v>
      </c>
      <c r="M1433" s="379" t="str">
        <f>IF(Tabela2[[#This Row],[UNID.]]&lt;&gt;"",IFERROR(VLOOKUP(Tabela2[[#This Row],[AGRUPADOR]],Lucratividade!$D$4:$O$129,6,0),0),"")</f>
        <v/>
      </c>
      <c r="N1433" s="379">
        <f>IF(H1433&lt;&gt;"",J1433*M1433*I1433,SUMIFS(N1434:N$9844,$F1434:$F$9844,"*"&amp;F1433&amp;"*",$H1434:$H$9844,"&lt;&gt;"))</f>
        <v>0</v>
      </c>
      <c r="O1433" s="162" t="str">
        <f>IFERROR((-Tabela2[[#This Row],[CUSTO TOTAL]]+Tabela2[[#This Row],[VENDA TOTAL]])/Tabela2[[#This Row],[VENDA TOTAL]]-PARAMETROS!$C$19,"")</f>
        <v/>
      </c>
      <c r="AA1433" s="219">
        <f>SUM(Plan_Orc[[#This Row],[01/jan]:[01/dez]])</f>
        <v>0</v>
      </c>
      <c r="AB1433" s="15"/>
      <c r="AC1433" s="15"/>
      <c r="AD1433" s="15"/>
      <c r="AE1433" s="15"/>
      <c r="AF1433" s="15"/>
      <c r="AG1433" s="15"/>
      <c r="AH1433" s="15"/>
      <c r="AI1433" s="15"/>
      <c r="AJ1433" s="15"/>
      <c r="AK1433" s="15"/>
      <c r="AL1433" s="15"/>
      <c r="AM1433" s="15"/>
    </row>
    <row r="1434" spans="2:39" ht="25.2" customHeight="1" x14ac:dyDescent="0.3">
      <c r="B1434" s="13" t="str">
        <f t="shared" si="26"/>
        <v/>
      </c>
      <c r="C1434" s="18"/>
      <c r="D1434" s="19" t="str">
        <f>IF(Tabela2[[#This Row],[AGRUPADOR]]&lt;&gt;"",VLOOKUP(Tabela2[[#This Row],[AGRUPADOR]],Tabela1[],2,0),"")</f>
        <v/>
      </c>
      <c r="E1434" s="19" t="str">
        <f>IF(Tabela2[[#This Row],[AGRUPADOR]]&lt;&gt;"",VLOOKUP(Tabela2[[#This Row],[AGRUPADOR]],Tabela1[],4,0),"")</f>
        <v/>
      </c>
      <c r="F1434" s="14"/>
      <c r="G1434" s="6"/>
      <c r="H1434" s="6"/>
      <c r="I1434" s="25"/>
      <c r="J1434" s="7"/>
      <c r="K1434" s="15"/>
      <c r="L1434" s="379">
        <f>IF(H1434&lt;&gt;"",J1434*K1434,SUMIFS(L1435:L$9844,$F1435:$F$9844,"*"&amp;F1434&amp;"*",$H1435:$H$9844,"&lt;&gt;"))</f>
        <v>0</v>
      </c>
      <c r="M1434" s="379" t="str">
        <f>IF(Tabela2[[#This Row],[UNID.]]&lt;&gt;"",IFERROR(VLOOKUP(Tabela2[[#This Row],[AGRUPADOR]],Lucratividade!$D$4:$O$129,6,0),0),"")</f>
        <v/>
      </c>
      <c r="N1434" s="379">
        <f>IF(H1434&lt;&gt;"",J1434*M1434*I1434,SUMIFS(N1435:N$9844,$F1435:$F$9844,"*"&amp;F1434&amp;"*",$H1435:$H$9844,"&lt;&gt;"))</f>
        <v>0</v>
      </c>
      <c r="O1434" s="162" t="str">
        <f>IFERROR((-Tabela2[[#This Row],[CUSTO TOTAL]]+Tabela2[[#This Row],[VENDA TOTAL]])/Tabela2[[#This Row],[VENDA TOTAL]]-PARAMETROS!$C$19,"")</f>
        <v/>
      </c>
      <c r="AA1434" s="219">
        <f>SUM(Plan_Orc[[#This Row],[01/jan]:[01/dez]])</f>
        <v>0</v>
      </c>
      <c r="AB1434" s="15"/>
      <c r="AC1434" s="15"/>
      <c r="AD1434" s="15"/>
      <c r="AE1434" s="15"/>
      <c r="AF1434" s="15"/>
      <c r="AG1434" s="15"/>
      <c r="AH1434" s="15"/>
      <c r="AI1434" s="15"/>
      <c r="AJ1434" s="15"/>
      <c r="AK1434" s="15"/>
      <c r="AL1434" s="15"/>
      <c r="AM1434" s="15"/>
    </row>
    <row r="1435" spans="2:39" ht="25.2" customHeight="1" x14ac:dyDescent="0.3">
      <c r="B1435" s="13" t="str">
        <f t="shared" si="26"/>
        <v/>
      </c>
      <c r="C1435" s="18"/>
      <c r="D1435" s="19" t="str">
        <f>IF(Tabela2[[#This Row],[AGRUPADOR]]&lt;&gt;"",VLOOKUP(Tabela2[[#This Row],[AGRUPADOR]],Tabela1[],2,0),"")</f>
        <v/>
      </c>
      <c r="E1435" s="19" t="str">
        <f>IF(Tabela2[[#This Row],[AGRUPADOR]]&lt;&gt;"",VLOOKUP(Tabela2[[#This Row],[AGRUPADOR]],Tabela1[],4,0),"")</f>
        <v/>
      </c>
      <c r="F1435" s="14"/>
      <c r="G1435" s="6"/>
      <c r="H1435" s="6"/>
      <c r="I1435" s="25"/>
      <c r="J1435" s="7"/>
      <c r="K1435" s="15"/>
      <c r="L1435" s="379">
        <f>IF(H1435&lt;&gt;"",J1435*K1435,SUMIFS(L1436:L$9844,$F1436:$F$9844,"*"&amp;F1435&amp;"*",$H1436:$H$9844,"&lt;&gt;"))</f>
        <v>0</v>
      </c>
      <c r="M1435" s="379" t="str">
        <f>IF(Tabela2[[#This Row],[UNID.]]&lt;&gt;"",IFERROR(VLOOKUP(Tabela2[[#This Row],[AGRUPADOR]],Lucratividade!$D$4:$O$129,6,0),0),"")</f>
        <v/>
      </c>
      <c r="N1435" s="379">
        <f>IF(H1435&lt;&gt;"",J1435*M1435*I1435,SUMIFS(N1436:N$9844,$F1436:$F$9844,"*"&amp;F1435&amp;"*",$H1436:$H$9844,"&lt;&gt;"))</f>
        <v>0</v>
      </c>
      <c r="O1435" s="162" t="str">
        <f>IFERROR((-Tabela2[[#This Row],[CUSTO TOTAL]]+Tabela2[[#This Row],[VENDA TOTAL]])/Tabela2[[#This Row],[VENDA TOTAL]]-PARAMETROS!$C$19,"")</f>
        <v/>
      </c>
      <c r="AA1435" s="219">
        <f>SUM(Plan_Orc[[#This Row],[01/jan]:[01/dez]])</f>
        <v>0</v>
      </c>
      <c r="AB1435" s="15"/>
      <c r="AC1435" s="15"/>
      <c r="AD1435" s="15"/>
      <c r="AE1435" s="15"/>
      <c r="AF1435" s="15"/>
      <c r="AG1435" s="15"/>
      <c r="AH1435" s="15"/>
      <c r="AI1435" s="15"/>
      <c r="AJ1435" s="15"/>
      <c r="AK1435" s="15"/>
      <c r="AL1435" s="15"/>
      <c r="AM1435" s="15"/>
    </row>
    <row r="1436" spans="2:39" ht="25.2" customHeight="1" x14ac:dyDescent="0.3">
      <c r="B1436" s="13" t="str">
        <f t="shared" si="26"/>
        <v/>
      </c>
      <c r="C1436" s="18"/>
      <c r="D1436" s="19" t="str">
        <f>IF(Tabela2[[#This Row],[AGRUPADOR]]&lt;&gt;"",VLOOKUP(Tabela2[[#This Row],[AGRUPADOR]],Tabela1[],2,0),"")</f>
        <v/>
      </c>
      <c r="E1436" s="19" t="str">
        <f>IF(Tabela2[[#This Row],[AGRUPADOR]]&lt;&gt;"",VLOOKUP(Tabela2[[#This Row],[AGRUPADOR]],Tabela1[],4,0),"")</f>
        <v/>
      </c>
      <c r="F1436" s="14"/>
      <c r="G1436" s="6"/>
      <c r="H1436" s="6"/>
      <c r="I1436" s="25"/>
      <c r="J1436" s="7"/>
      <c r="K1436" s="15"/>
      <c r="L1436" s="379">
        <f>IF(H1436&lt;&gt;"",J1436*K1436,SUMIFS(L1437:L$9844,$F1437:$F$9844,"*"&amp;F1436&amp;"*",$H1437:$H$9844,"&lt;&gt;"))</f>
        <v>0</v>
      </c>
      <c r="M1436" s="379" t="str">
        <f>IF(Tabela2[[#This Row],[UNID.]]&lt;&gt;"",IFERROR(VLOOKUP(Tabela2[[#This Row],[AGRUPADOR]],Lucratividade!$D$4:$O$129,6,0),0),"")</f>
        <v/>
      </c>
      <c r="N1436" s="379">
        <f>IF(H1436&lt;&gt;"",J1436*M1436*I1436,SUMIFS(N1437:N$9844,$F1437:$F$9844,"*"&amp;F1436&amp;"*",$H1437:$H$9844,"&lt;&gt;"))</f>
        <v>0</v>
      </c>
      <c r="O1436" s="162" t="str">
        <f>IFERROR((-Tabela2[[#This Row],[CUSTO TOTAL]]+Tabela2[[#This Row],[VENDA TOTAL]])/Tabela2[[#This Row],[VENDA TOTAL]]-PARAMETROS!$C$19,"")</f>
        <v/>
      </c>
      <c r="AA1436" s="219">
        <f>SUM(Plan_Orc[[#This Row],[01/jan]:[01/dez]])</f>
        <v>0</v>
      </c>
      <c r="AB1436" s="15"/>
      <c r="AC1436" s="15"/>
      <c r="AD1436" s="15"/>
      <c r="AE1436" s="15"/>
      <c r="AF1436" s="15"/>
      <c r="AG1436" s="15"/>
      <c r="AH1436" s="15"/>
      <c r="AI1436" s="15"/>
      <c r="AJ1436" s="15"/>
      <c r="AK1436" s="15"/>
      <c r="AL1436" s="15"/>
      <c r="AM1436" s="15"/>
    </row>
    <row r="1437" spans="2:39" ht="25.2" customHeight="1" x14ac:dyDescent="0.3">
      <c r="B1437" s="13" t="str">
        <f t="shared" si="26"/>
        <v/>
      </c>
      <c r="C1437" s="18"/>
      <c r="D1437" s="19" t="str">
        <f>IF(Tabela2[[#This Row],[AGRUPADOR]]&lt;&gt;"",VLOOKUP(Tabela2[[#This Row],[AGRUPADOR]],Tabela1[],2,0),"")</f>
        <v/>
      </c>
      <c r="E1437" s="19" t="str">
        <f>IF(Tabela2[[#This Row],[AGRUPADOR]]&lt;&gt;"",VLOOKUP(Tabela2[[#This Row],[AGRUPADOR]],Tabela1[],4,0),"")</f>
        <v/>
      </c>
      <c r="F1437" s="14"/>
      <c r="G1437" s="6"/>
      <c r="H1437" s="6"/>
      <c r="I1437" s="25"/>
      <c r="J1437" s="7"/>
      <c r="K1437" s="15"/>
      <c r="L1437" s="379">
        <f>IF(H1437&lt;&gt;"",J1437*K1437,SUMIFS(L1438:L$9844,$F1438:$F$9844,"*"&amp;F1437&amp;"*",$H1438:$H$9844,"&lt;&gt;"))</f>
        <v>0</v>
      </c>
      <c r="M1437" s="379" t="str">
        <f>IF(Tabela2[[#This Row],[UNID.]]&lt;&gt;"",IFERROR(VLOOKUP(Tabela2[[#This Row],[AGRUPADOR]],Lucratividade!$D$4:$O$129,6,0),0),"")</f>
        <v/>
      </c>
      <c r="N1437" s="379">
        <f>IF(H1437&lt;&gt;"",J1437*M1437*I1437,SUMIFS(N1438:N$9844,$F1438:$F$9844,"*"&amp;F1437&amp;"*",$H1438:$H$9844,"&lt;&gt;"))</f>
        <v>0</v>
      </c>
      <c r="O1437" s="162" t="str">
        <f>IFERROR((-Tabela2[[#This Row],[CUSTO TOTAL]]+Tabela2[[#This Row],[VENDA TOTAL]])/Tabela2[[#This Row],[VENDA TOTAL]]-PARAMETROS!$C$19,"")</f>
        <v/>
      </c>
      <c r="AA1437" s="219">
        <f>SUM(Plan_Orc[[#This Row],[01/jan]:[01/dez]])</f>
        <v>0</v>
      </c>
      <c r="AB1437" s="15"/>
      <c r="AC1437" s="15"/>
      <c r="AD1437" s="15"/>
      <c r="AE1437" s="15"/>
      <c r="AF1437" s="15"/>
      <c r="AG1437" s="15"/>
      <c r="AH1437" s="15"/>
      <c r="AI1437" s="15"/>
      <c r="AJ1437" s="15"/>
      <c r="AK1437" s="15"/>
      <c r="AL1437" s="15"/>
      <c r="AM1437" s="15"/>
    </row>
    <row r="1438" spans="2:39" ht="25.2" customHeight="1" x14ac:dyDescent="0.3">
      <c r="B1438" s="13" t="str">
        <f t="shared" si="26"/>
        <v/>
      </c>
      <c r="C1438" s="18"/>
      <c r="D1438" s="19" t="str">
        <f>IF(Tabela2[[#This Row],[AGRUPADOR]]&lt;&gt;"",VLOOKUP(Tabela2[[#This Row],[AGRUPADOR]],Tabela1[],2,0),"")</f>
        <v/>
      </c>
      <c r="E1438" s="19" t="str">
        <f>IF(Tabela2[[#This Row],[AGRUPADOR]]&lt;&gt;"",VLOOKUP(Tabela2[[#This Row],[AGRUPADOR]],Tabela1[],4,0),"")</f>
        <v/>
      </c>
      <c r="F1438" s="14"/>
      <c r="G1438" s="6"/>
      <c r="H1438" s="6"/>
      <c r="I1438" s="25"/>
      <c r="J1438" s="7"/>
      <c r="K1438" s="15"/>
      <c r="L1438" s="379">
        <f>IF(H1438&lt;&gt;"",J1438*K1438,SUMIFS(L1439:L$9844,$F1439:$F$9844,"*"&amp;F1438&amp;"*",$H1439:$H$9844,"&lt;&gt;"))</f>
        <v>0</v>
      </c>
      <c r="M1438" s="379" t="str">
        <f>IF(Tabela2[[#This Row],[UNID.]]&lt;&gt;"",IFERROR(VLOOKUP(Tabela2[[#This Row],[AGRUPADOR]],Lucratividade!$D$4:$O$129,6,0),0),"")</f>
        <v/>
      </c>
      <c r="N1438" s="379">
        <f>IF(H1438&lt;&gt;"",J1438*M1438*I1438,SUMIFS(N1439:N$9844,$F1439:$F$9844,"*"&amp;F1438&amp;"*",$H1439:$H$9844,"&lt;&gt;"))</f>
        <v>0</v>
      </c>
      <c r="O1438" s="162" t="str">
        <f>IFERROR((-Tabela2[[#This Row],[CUSTO TOTAL]]+Tabela2[[#This Row],[VENDA TOTAL]])/Tabela2[[#This Row],[VENDA TOTAL]]-PARAMETROS!$C$19,"")</f>
        <v/>
      </c>
      <c r="AA1438" s="219">
        <f>SUM(Plan_Orc[[#This Row],[01/jan]:[01/dez]])</f>
        <v>0</v>
      </c>
      <c r="AB1438" s="15"/>
      <c r="AC1438" s="15"/>
      <c r="AD1438" s="15"/>
      <c r="AE1438" s="15"/>
      <c r="AF1438" s="15"/>
      <c r="AG1438" s="15"/>
      <c r="AH1438" s="15"/>
      <c r="AI1438" s="15"/>
      <c r="AJ1438" s="15"/>
      <c r="AK1438" s="15"/>
      <c r="AL1438" s="15"/>
      <c r="AM1438" s="15"/>
    </row>
    <row r="1439" spans="2:39" ht="25.2" customHeight="1" x14ac:dyDescent="0.3">
      <c r="B1439" s="13" t="str">
        <f t="shared" si="26"/>
        <v/>
      </c>
      <c r="C1439" s="18"/>
      <c r="D1439" s="19" t="str">
        <f>IF(Tabela2[[#This Row],[AGRUPADOR]]&lt;&gt;"",VLOOKUP(Tabela2[[#This Row],[AGRUPADOR]],Tabela1[],2,0),"")</f>
        <v/>
      </c>
      <c r="E1439" s="19" t="str">
        <f>IF(Tabela2[[#This Row],[AGRUPADOR]]&lt;&gt;"",VLOOKUP(Tabela2[[#This Row],[AGRUPADOR]],Tabela1[],4,0),"")</f>
        <v/>
      </c>
      <c r="F1439" s="14"/>
      <c r="G1439" s="6"/>
      <c r="H1439" s="6"/>
      <c r="I1439" s="25"/>
      <c r="J1439" s="7"/>
      <c r="K1439" s="15"/>
      <c r="L1439" s="379">
        <f>IF(H1439&lt;&gt;"",J1439*K1439,SUMIFS(L1440:L$9844,$F1440:$F$9844,"*"&amp;F1439&amp;"*",$H1440:$H$9844,"&lt;&gt;"))</f>
        <v>0</v>
      </c>
      <c r="M1439" s="379" t="str">
        <f>IF(Tabela2[[#This Row],[UNID.]]&lt;&gt;"",IFERROR(VLOOKUP(Tabela2[[#This Row],[AGRUPADOR]],Lucratividade!$D$4:$O$129,6,0),0),"")</f>
        <v/>
      </c>
      <c r="N1439" s="379">
        <f>IF(H1439&lt;&gt;"",J1439*M1439*I1439,SUMIFS(N1440:N$9844,$F1440:$F$9844,"*"&amp;F1439&amp;"*",$H1440:$H$9844,"&lt;&gt;"))</f>
        <v>0</v>
      </c>
      <c r="O1439" s="162" t="str">
        <f>IFERROR((-Tabela2[[#This Row],[CUSTO TOTAL]]+Tabela2[[#This Row],[VENDA TOTAL]])/Tabela2[[#This Row],[VENDA TOTAL]]-PARAMETROS!$C$19,"")</f>
        <v/>
      </c>
      <c r="AA1439" s="219">
        <f>SUM(Plan_Orc[[#This Row],[01/jan]:[01/dez]])</f>
        <v>0</v>
      </c>
      <c r="AB1439" s="15"/>
      <c r="AC1439" s="15"/>
      <c r="AD1439" s="15"/>
      <c r="AE1439" s="15"/>
      <c r="AF1439" s="15"/>
      <c r="AG1439" s="15"/>
      <c r="AH1439" s="15"/>
      <c r="AI1439" s="15"/>
      <c r="AJ1439" s="15"/>
      <c r="AK1439" s="15"/>
      <c r="AL1439" s="15"/>
      <c r="AM1439" s="15"/>
    </row>
    <row r="1440" spans="2:39" ht="25.2" customHeight="1" x14ac:dyDescent="0.3">
      <c r="B1440" s="13" t="str">
        <f t="shared" si="26"/>
        <v/>
      </c>
      <c r="C1440" s="18"/>
      <c r="D1440" s="19" t="str">
        <f>IF(Tabela2[[#This Row],[AGRUPADOR]]&lt;&gt;"",VLOOKUP(Tabela2[[#This Row],[AGRUPADOR]],Tabela1[],2,0),"")</f>
        <v/>
      </c>
      <c r="E1440" s="19" t="str">
        <f>IF(Tabela2[[#This Row],[AGRUPADOR]]&lt;&gt;"",VLOOKUP(Tabela2[[#This Row],[AGRUPADOR]],Tabela1[],4,0),"")</f>
        <v/>
      </c>
      <c r="F1440" s="14"/>
      <c r="G1440" s="6"/>
      <c r="H1440" s="6"/>
      <c r="I1440" s="25"/>
      <c r="J1440" s="7"/>
      <c r="K1440" s="15"/>
      <c r="L1440" s="379">
        <f>IF(H1440&lt;&gt;"",J1440*K1440,SUMIFS(L1441:L$9844,$F1441:$F$9844,"*"&amp;F1440&amp;"*",$H1441:$H$9844,"&lt;&gt;"))</f>
        <v>0</v>
      </c>
      <c r="M1440" s="379" t="str">
        <f>IF(Tabela2[[#This Row],[UNID.]]&lt;&gt;"",IFERROR(VLOOKUP(Tabela2[[#This Row],[AGRUPADOR]],Lucratividade!$D$4:$O$129,6,0),0),"")</f>
        <v/>
      </c>
      <c r="N1440" s="379">
        <f>IF(H1440&lt;&gt;"",J1440*M1440*I1440,SUMIFS(N1441:N$9844,$F1441:$F$9844,"*"&amp;F1440&amp;"*",$H1441:$H$9844,"&lt;&gt;"))</f>
        <v>0</v>
      </c>
      <c r="O1440" s="162" t="str">
        <f>IFERROR((-Tabela2[[#This Row],[CUSTO TOTAL]]+Tabela2[[#This Row],[VENDA TOTAL]])/Tabela2[[#This Row],[VENDA TOTAL]]-PARAMETROS!$C$19,"")</f>
        <v/>
      </c>
      <c r="AA1440" s="219">
        <f>SUM(Plan_Orc[[#This Row],[01/jan]:[01/dez]])</f>
        <v>0</v>
      </c>
      <c r="AB1440" s="15"/>
      <c r="AC1440" s="15"/>
      <c r="AD1440" s="15"/>
      <c r="AE1440" s="15"/>
      <c r="AF1440" s="15"/>
      <c r="AG1440" s="15"/>
      <c r="AH1440" s="15"/>
      <c r="AI1440" s="15"/>
      <c r="AJ1440" s="15"/>
      <c r="AK1440" s="15"/>
      <c r="AL1440" s="15"/>
      <c r="AM1440" s="15"/>
    </row>
    <row r="1441" spans="2:39" ht="25.2" customHeight="1" x14ac:dyDescent="0.3">
      <c r="B1441" s="13" t="str">
        <f t="shared" si="26"/>
        <v/>
      </c>
      <c r="C1441" s="18"/>
      <c r="D1441" s="19" t="str">
        <f>IF(Tabela2[[#This Row],[AGRUPADOR]]&lt;&gt;"",VLOOKUP(Tabela2[[#This Row],[AGRUPADOR]],Tabela1[],2,0),"")</f>
        <v/>
      </c>
      <c r="E1441" s="19" t="str">
        <f>IF(Tabela2[[#This Row],[AGRUPADOR]]&lt;&gt;"",VLOOKUP(Tabela2[[#This Row],[AGRUPADOR]],Tabela1[],4,0),"")</f>
        <v/>
      </c>
      <c r="F1441" s="14"/>
      <c r="G1441" s="6"/>
      <c r="H1441" s="6"/>
      <c r="I1441" s="25"/>
      <c r="J1441" s="7"/>
      <c r="K1441" s="15"/>
      <c r="L1441" s="379">
        <f>IF(H1441&lt;&gt;"",J1441*K1441,SUMIFS(L1442:L$9844,$F1442:$F$9844,"*"&amp;F1441&amp;"*",$H1442:$H$9844,"&lt;&gt;"))</f>
        <v>0</v>
      </c>
      <c r="M1441" s="379" t="str">
        <f>IF(Tabela2[[#This Row],[UNID.]]&lt;&gt;"",IFERROR(VLOOKUP(Tabela2[[#This Row],[AGRUPADOR]],Lucratividade!$D$4:$O$129,6,0),0),"")</f>
        <v/>
      </c>
      <c r="N1441" s="379">
        <f>IF(H1441&lt;&gt;"",J1441*M1441*I1441,SUMIFS(N1442:N$9844,$F1442:$F$9844,"*"&amp;F1441&amp;"*",$H1442:$H$9844,"&lt;&gt;"))</f>
        <v>0</v>
      </c>
      <c r="O1441" s="162" t="str">
        <f>IFERROR((-Tabela2[[#This Row],[CUSTO TOTAL]]+Tabela2[[#This Row],[VENDA TOTAL]])/Tabela2[[#This Row],[VENDA TOTAL]]-PARAMETROS!$C$19,"")</f>
        <v/>
      </c>
      <c r="AA1441" s="219">
        <f>SUM(Plan_Orc[[#This Row],[01/jan]:[01/dez]])</f>
        <v>0</v>
      </c>
      <c r="AB1441" s="15"/>
      <c r="AC1441" s="15"/>
      <c r="AD1441" s="15"/>
      <c r="AE1441" s="15"/>
      <c r="AF1441" s="15"/>
      <c r="AG1441" s="15"/>
      <c r="AH1441" s="15"/>
      <c r="AI1441" s="15"/>
      <c r="AJ1441" s="15"/>
      <c r="AK1441" s="15"/>
      <c r="AL1441" s="15"/>
      <c r="AM1441" s="15"/>
    </row>
    <row r="1442" spans="2:39" ht="25.2" customHeight="1" x14ac:dyDescent="0.3">
      <c r="B1442" s="13" t="str">
        <f t="shared" si="26"/>
        <v/>
      </c>
      <c r="C1442" s="18"/>
      <c r="D1442" s="19" t="str">
        <f>IF(Tabela2[[#This Row],[AGRUPADOR]]&lt;&gt;"",VLOOKUP(Tabela2[[#This Row],[AGRUPADOR]],Tabela1[],2,0),"")</f>
        <v/>
      </c>
      <c r="E1442" s="19" t="str">
        <f>IF(Tabela2[[#This Row],[AGRUPADOR]]&lt;&gt;"",VLOOKUP(Tabela2[[#This Row],[AGRUPADOR]],Tabela1[],4,0),"")</f>
        <v/>
      </c>
      <c r="F1442" s="14"/>
      <c r="G1442" s="6"/>
      <c r="H1442" s="6"/>
      <c r="I1442" s="25"/>
      <c r="J1442" s="7"/>
      <c r="K1442" s="15"/>
      <c r="L1442" s="379">
        <f>IF(H1442&lt;&gt;"",J1442*K1442,SUMIFS(L1443:L$9844,$F1443:$F$9844,"*"&amp;F1442&amp;"*",$H1443:$H$9844,"&lt;&gt;"))</f>
        <v>0</v>
      </c>
      <c r="M1442" s="379" t="str">
        <f>IF(Tabela2[[#This Row],[UNID.]]&lt;&gt;"",IFERROR(VLOOKUP(Tabela2[[#This Row],[AGRUPADOR]],Lucratividade!$D$4:$O$129,6,0),0),"")</f>
        <v/>
      </c>
      <c r="N1442" s="379">
        <f>IF(H1442&lt;&gt;"",J1442*M1442*I1442,SUMIFS(N1443:N$9844,$F1443:$F$9844,"*"&amp;F1442&amp;"*",$H1443:$H$9844,"&lt;&gt;"))</f>
        <v>0</v>
      </c>
      <c r="O1442" s="162" t="str">
        <f>IFERROR((-Tabela2[[#This Row],[CUSTO TOTAL]]+Tabela2[[#This Row],[VENDA TOTAL]])/Tabela2[[#This Row],[VENDA TOTAL]]-PARAMETROS!$C$19,"")</f>
        <v/>
      </c>
      <c r="AA1442" s="219">
        <f>SUM(Plan_Orc[[#This Row],[01/jan]:[01/dez]])</f>
        <v>0</v>
      </c>
      <c r="AB1442" s="15"/>
      <c r="AC1442" s="15"/>
      <c r="AD1442" s="15"/>
      <c r="AE1442" s="15"/>
      <c r="AF1442" s="15"/>
      <c r="AG1442" s="15"/>
      <c r="AH1442" s="15"/>
      <c r="AI1442" s="15"/>
      <c r="AJ1442" s="15"/>
      <c r="AK1442" s="15"/>
      <c r="AL1442" s="15"/>
      <c r="AM1442" s="15"/>
    </row>
    <row r="1443" spans="2:39" ht="25.2" customHeight="1" x14ac:dyDescent="0.3">
      <c r="B1443" s="13" t="str">
        <f t="shared" si="26"/>
        <v/>
      </c>
      <c r="C1443" s="18"/>
      <c r="D1443" s="19" t="str">
        <f>IF(Tabela2[[#This Row],[AGRUPADOR]]&lt;&gt;"",VLOOKUP(Tabela2[[#This Row],[AGRUPADOR]],Tabela1[],2,0),"")</f>
        <v/>
      </c>
      <c r="E1443" s="19" t="str">
        <f>IF(Tabela2[[#This Row],[AGRUPADOR]]&lt;&gt;"",VLOOKUP(Tabela2[[#This Row],[AGRUPADOR]],Tabela1[],4,0),"")</f>
        <v/>
      </c>
      <c r="F1443" s="14"/>
      <c r="G1443" s="6"/>
      <c r="H1443" s="6"/>
      <c r="I1443" s="25"/>
      <c r="J1443" s="7"/>
      <c r="K1443" s="15"/>
      <c r="L1443" s="379">
        <f>IF(H1443&lt;&gt;"",J1443*K1443,SUMIFS(L1444:L$9844,$F1444:$F$9844,"*"&amp;F1443&amp;"*",$H1444:$H$9844,"&lt;&gt;"))</f>
        <v>0</v>
      </c>
      <c r="M1443" s="379" t="str">
        <f>IF(Tabela2[[#This Row],[UNID.]]&lt;&gt;"",IFERROR(VLOOKUP(Tabela2[[#This Row],[AGRUPADOR]],Lucratividade!$D$4:$O$129,6,0),0),"")</f>
        <v/>
      </c>
      <c r="N1443" s="379">
        <f>IF(H1443&lt;&gt;"",J1443*M1443*I1443,SUMIFS(N1444:N$9844,$F1444:$F$9844,"*"&amp;F1443&amp;"*",$H1444:$H$9844,"&lt;&gt;"))</f>
        <v>0</v>
      </c>
      <c r="O1443" s="162" t="str">
        <f>IFERROR((-Tabela2[[#This Row],[CUSTO TOTAL]]+Tabela2[[#This Row],[VENDA TOTAL]])/Tabela2[[#This Row],[VENDA TOTAL]]-PARAMETROS!$C$19,"")</f>
        <v/>
      </c>
      <c r="AA1443" s="219">
        <f>SUM(Plan_Orc[[#This Row],[01/jan]:[01/dez]])</f>
        <v>0</v>
      </c>
      <c r="AB1443" s="15"/>
      <c r="AC1443" s="15"/>
      <c r="AD1443" s="15"/>
      <c r="AE1443" s="15"/>
      <c r="AF1443" s="15"/>
      <c r="AG1443" s="15"/>
      <c r="AH1443" s="15"/>
      <c r="AI1443" s="15"/>
      <c r="AJ1443" s="15"/>
      <c r="AK1443" s="15"/>
      <c r="AL1443" s="15"/>
      <c r="AM1443" s="15"/>
    </row>
    <row r="1444" spans="2:39" ht="25.2" customHeight="1" x14ac:dyDescent="0.3">
      <c r="B1444" s="13" t="str">
        <f t="shared" si="26"/>
        <v/>
      </c>
      <c r="C1444" s="18"/>
      <c r="D1444" s="19" t="str">
        <f>IF(Tabela2[[#This Row],[AGRUPADOR]]&lt;&gt;"",VLOOKUP(Tabela2[[#This Row],[AGRUPADOR]],Tabela1[],2,0),"")</f>
        <v/>
      </c>
      <c r="E1444" s="19" t="str">
        <f>IF(Tabela2[[#This Row],[AGRUPADOR]]&lt;&gt;"",VLOOKUP(Tabela2[[#This Row],[AGRUPADOR]],Tabela1[],4,0),"")</f>
        <v/>
      </c>
      <c r="F1444" s="14"/>
      <c r="G1444" s="6"/>
      <c r="H1444" s="6"/>
      <c r="I1444" s="25"/>
      <c r="J1444" s="7"/>
      <c r="K1444" s="15"/>
      <c r="L1444" s="379">
        <f>IF(H1444&lt;&gt;"",J1444*K1444,SUMIFS(L1445:L$9844,$F1445:$F$9844,"*"&amp;F1444&amp;"*",$H1445:$H$9844,"&lt;&gt;"))</f>
        <v>0</v>
      </c>
      <c r="M1444" s="379" t="str">
        <f>IF(Tabela2[[#This Row],[UNID.]]&lt;&gt;"",IFERROR(VLOOKUP(Tabela2[[#This Row],[AGRUPADOR]],Lucratividade!$D$4:$O$129,6,0),0),"")</f>
        <v/>
      </c>
      <c r="N1444" s="379">
        <f>IF(H1444&lt;&gt;"",J1444*M1444*I1444,SUMIFS(N1445:N$9844,$F1445:$F$9844,"*"&amp;F1444&amp;"*",$H1445:$H$9844,"&lt;&gt;"))</f>
        <v>0</v>
      </c>
      <c r="O1444" s="162" t="str">
        <f>IFERROR((-Tabela2[[#This Row],[CUSTO TOTAL]]+Tabela2[[#This Row],[VENDA TOTAL]])/Tabela2[[#This Row],[VENDA TOTAL]]-PARAMETROS!$C$19,"")</f>
        <v/>
      </c>
      <c r="AA1444" s="219">
        <f>SUM(Plan_Orc[[#This Row],[01/jan]:[01/dez]])</f>
        <v>0</v>
      </c>
      <c r="AB1444" s="15"/>
      <c r="AC1444" s="15"/>
      <c r="AD1444" s="15"/>
      <c r="AE1444" s="15"/>
      <c r="AF1444" s="15"/>
      <c r="AG1444" s="15"/>
      <c r="AH1444" s="15"/>
      <c r="AI1444" s="15"/>
      <c r="AJ1444" s="15"/>
      <c r="AK1444" s="15"/>
      <c r="AL1444" s="15"/>
      <c r="AM1444" s="15"/>
    </row>
    <row r="1445" spans="2:39" ht="25.2" customHeight="1" x14ac:dyDescent="0.3">
      <c r="B1445" s="13" t="str">
        <f t="shared" si="26"/>
        <v/>
      </c>
      <c r="C1445" s="18"/>
      <c r="D1445" s="19" t="str">
        <f>IF(Tabela2[[#This Row],[AGRUPADOR]]&lt;&gt;"",VLOOKUP(Tabela2[[#This Row],[AGRUPADOR]],Tabela1[],2,0),"")</f>
        <v/>
      </c>
      <c r="E1445" s="19" t="str">
        <f>IF(Tabela2[[#This Row],[AGRUPADOR]]&lt;&gt;"",VLOOKUP(Tabela2[[#This Row],[AGRUPADOR]],Tabela1[],4,0),"")</f>
        <v/>
      </c>
      <c r="F1445" s="14"/>
      <c r="G1445" s="6"/>
      <c r="H1445" s="6"/>
      <c r="I1445" s="25"/>
      <c r="J1445" s="7"/>
      <c r="K1445" s="15"/>
      <c r="L1445" s="379">
        <f>IF(H1445&lt;&gt;"",J1445*K1445,SUMIFS(L1446:L$9844,$F1446:$F$9844,"*"&amp;F1445&amp;"*",$H1446:$H$9844,"&lt;&gt;"))</f>
        <v>0</v>
      </c>
      <c r="M1445" s="379" t="str">
        <f>IF(Tabela2[[#This Row],[UNID.]]&lt;&gt;"",IFERROR(VLOOKUP(Tabela2[[#This Row],[AGRUPADOR]],Lucratividade!$D$4:$O$129,6,0),0),"")</f>
        <v/>
      </c>
      <c r="N1445" s="379">
        <f>IF(H1445&lt;&gt;"",J1445*M1445*I1445,SUMIFS(N1446:N$9844,$F1446:$F$9844,"*"&amp;F1445&amp;"*",$H1446:$H$9844,"&lt;&gt;"))</f>
        <v>0</v>
      </c>
      <c r="O1445" s="162" t="str">
        <f>IFERROR((-Tabela2[[#This Row],[CUSTO TOTAL]]+Tabela2[[#This Row],[VENDA TOTAL]])/Tabela2[[#This Row],[VENDA TOTAL]]-PARAMETROS!$C$19,"")</f>
        <v/>
      </c>
      <c r="AA1445" s="219">
        <f>SUM(Plan_Orc[[#This Row],[01/jan]:[01/dez]])</f>
        <v>0</v>
      </c>
      <c r="AB1445" s="15"/>
      <c r="AC1445" s="15"/>
      <c r="AD1445" s="15"/>
      <c r="AE1445" s="15"/>
      <c r="AF1445" s="15"/>
      <c r="AG1445" s="15"/>
      <c r="AH1445" s="15"/>
      <c r="AI1445" s="15"/>
      <c r="AJ1445" s="15"/>
      <c r="AK1445" s="15"/>
      <c r="AL1445" s="15"/>
      <c r="AM1445" s="15"/>
    </row>
    <row r="1446" spans="2:39" ht="25.2" customHeight="1" x14ac:dyDescent="0.3">
      <c r="B1446" s="13" t="str">
        <f t="shared" si="26"/>
        <v/>
      </c>
      <c r="C1446" s="18"/>
      <c r="D1446" s="19" t="str">
        <f>IF(Tabela2[[#This Row],[AGRUPADOR]]&lt;&gt;"",VLOOKUP(Tabela2[[#This Row],[AGRUPADOR]],Tabela1[],2,0),"")</f>
        <v/>
      </c>
      <c r="E1446" s="19" t="str">
        <f>IF(Tabela2[[#This Row],[AGRUPADOR]]&lt;&gt;"",VLOOKUP(Tabela2[[#This Row],[AGRUPADOR]],Tabela1[],4,0),"")</f>
        <v/>
      </c>
      <c r="F1446" s="14"/>
      <c r="G1446" s="6"/>
      <c r="H1446" s="6"/>
      <c r="I1446" s="25"/>
      <c r="J1446" s="7"/>
      <c r="K1446" s="15"/>
      <c r="L1446" s="379">
        <f>IF(H1446&lt;&gt;"",J1446*K1446,SUMIFS(L1447:L$9844,$F1447:$F$9844,"*"&amp;F1446&amp;"*",$H1447:$H$9844,"&lt;&gt;"))</f>
        <v>0</v>
      </c>
      <c r="M1446" s="379" t="str">
        <f>IF(Tabela2[[#This Row],[UNID.]]&lt;&gt;"",IFERROR(VLOOKUP(Tabela2[[#This Row],[AGRUPADOR]],Lucratividade!$D$4:$O$129,6,0),0),"")</f>
        <v/>
      </c>
      <c r="N1446" s="379">
        <f>IF(H1446&lt;&gt;"",J1446*M1446*I1446,SUMIFS(N1447:N$9844,$F1447:$F$9844,"*"&amp;F1446&amp;"*",$H1447:$H$9844,"&lt;&gt;"))</f>
        <v>0</v>
      </c>
      <c r="O1446" s="162" t="str">
        <f>IFERROR((-Tabela2[[#This Row],[CUSTO TOTAL]]+Tabela2[[#This Row],[VENDA TOTAL]])/Tabela2[[#This Row],[VENDA TOTAL]]-PARAMETROS!$C$19,"")</f>
        <v/>
      </c>
      <c r="AA1446" s="219">
        <f>SUM(Plan_Orc[[#This Row],[01/jan]:[01/dez]])</f>
        <v>0</v>
      </c>
      <c r="AB1446" s="15"/>
      <c r="AC1446" s="15"/>
      <c r="AD1446" s="15"/>
      <c r="AE1446" s="15"/>
      <c r="AF1446" s="15"/>
      <c r="AG1446" s="15"/>
      <c r="AH1446" s="15"/>
      <c r="AI1446" s="15"/>
      <c r="AJ1446" s="15"/>
      <c r="AK1446" s="15"/>
      <c r="AL1446" s="15"/>
      <c r="AM1446" s="15"/>
    </row>
    <row r="1447" spans="2:39" ht="25.2" customHeight="1" x14ac:dyDescent="0.3">
      <c r="B1447" s="13" t="str">
        <f t="shared" si="26"/>
        <v/>
      </c>
      <c r="C1447" s="18"/>
      <c r="D1447" s="19" t="str">
        <f>IF(Tabela2[[#This Row],[AGRUPADOR]]&lt;&gt;"",VLOOKUP(Tabela2[[#This Row],[AGRUPADOR]],Tabela1[],2,0),"")</f>
        <v/>
      </c>
      <c r="E1447" s="19" t="str">
        <f>IF(Tabela2[[#This Row],[AGRUPADOR]]&lt;&gt;"",VLOOKUP(Tabela2[[#This Row],[AGRUPADOR]],Tabela1[],4,0),"")</f>
        <v/>
      </c>
      <c r="F1447" s="14"/>
      <c r="G1447" s="6"/>
      <c r="H1447" s="6"/>
      <c r="I1447" s="25"/>
      <c r="J1447" s="7"/>
      <c r="K1447" s="15"/>
      <c r="L1447" s="379">
        <f>IF(H1447&lt;&gt;"",J1447*K1447,SUMIFS(L1448:L$9844,$F1448:$F$9844,"*"&amp;F1447&amp;"*",$H1448:$H$9844,"&lt;&gt;"))</f>
        <v>0</v>
      </c>
      <c r="M1447" s="379" t="str">
        <f>IF(Tabela2[[#This Row],[UNID.]]&lt;&gt;"",IFERROR(VLOOKUP(Tabela2[[#This Row],[AGRUPADOR]],Lucratividade!$D$4:$O$129,6,0),0),"")</f>
        <v/>
      </c>
      <c r="N1447" s="379">
        <f>IF(H1447&lt;&gt;"",J1447*M1447*I1447,SUMIFS(N1448:N$9844,$F1448:$F$9844,"*"&amp;F1447&amp;"*",$H1448:$H$9844,"&lt;&gt;"))</f>
        <v>0</v>
      </c>
      <c r="O1447" s="162" t="str">
        <f>IFERROR((-Tabela2[[#This Row],[CUSTO TOTAL]]+Tabela2[[#This Row],[VENDA TOTAL]])/Tabela2[[#This Row],[VENDA TOTAL]]-PARAMETROS!$C$19,"")</f>
        <v/>
      </c>
      <c r="AA1447" s="219">
        <f>SUM(Plan_Orc[[#This Row],[01/jan]:[01/dez]])</f>
        <v>0</v>
      </c>
      <c r="AB1447" s="15"/>
      <c r="AC1447" s="15"/>
      <c r="AD1447" s="15"/>
      <c r="AE1447" s="15"/>
      <c r="AF1447" s="15"/>
      <c r="AG1447" s="15"/>
      <c r="AH1447" s="15"/>
      <c r="AI1447" s="15"/>
      <c r="AJ1447" s="15"/>
      <c r="AK1447" s="15"/>
      <c r="AL1447" s="15"/>
      <c r="AM1447" s="15"/>
    </row>
    <row r="1448" spans="2:39" ht="25.2" customHeight="1" x14ac:dyDescent="0.3">
      <c r="B1448" s="13" t="str">
        <f t="shared" si="26"/>
        <v/>
      </c>
      <c r="C1448" s="18"/>
      <c r="D1448" s="19" t="str">
        <f>IF(Tabela2[[#This Row],[AGRUPADOR]]&lt;&gt;"",VLOOKUP(Tabela2[[#This Row],[AGRUPADOR]],Tabela1[],2,0),"")</f>
        <v/>
      </c>
      <c r="E1448" s="19" t="str">
        <f>IF(Tabela2[[#This Row],[AGRUPADOR]]&lt;&gt;"",VLOOKUP(Tabela2[[#This Row],[AGRUPADOR]],Tabela1[],4,0),"")</f>
        <v/>
      </c>
      <c r="F1448" s="14"/>
      <c r="G1448" s="6"/>
      <c r="H1448" s="6"/>
      <c r="I1448" s="25"/>
      <c r="J1448" s="7"/>
      <c r="K1448" s="15"/>
      <c r="L1448" s="379">
        <f>IF(H1448&lt;&gt;"",J1448*K1448,SUMIFS(L1449:L$9844,$F1449:$F$9844,"*"&amp;F1448&amp;"*",$H1449:$H$9844,"&lt;&gt;"))</f>
        <v>0</v>
      </c>
      <c r="M1448" s="379" t="str">
        <f>IF(Tabela2[[#This Row],[UNID.]]&lt;&gt;"",IFERROR(VLOOKUP(Tabela2[[#This Row],[AGRUPADOR]],Lucratividade!$D$4:$O$129,6,0),0),"")</f>
        <v/>
      </c>
      <c r="N1448" s="379">
        <f>IF(H1448&lt;&gt;"",J1448*M1448*I1448,SUMIFS(N1449:N$9844,$F1449:$F$9844,"*"&amp;F1448&amp;"*",$H1449:$H$9844,"&lt;&gt;"))</f>
        <v>0</v>
      </c>
      <c r="O1448" s="162" t="str">
        <f>IFERROR((-Tabela2[[#This Row],[CUSTO TOTAL]]+Tabela2[[#This Row],[VENDA TOTAL]])/Tabela2[[#This Row],[VENDA TOTAL]]-PARAMETROS!$C$19,"")</f>
        <v/>
      </c>
      <c r="AA1448" s="218">
        <f>SUM(Plan_Orc[[#This Row],[01/jan]:[01/dez]])</f>
        <v>0</v>
      </c>
      <c r="AB1448" s="12"/>
      <c r="AC1448" s="12"/>
      <c r="AD1448" s="12"/>
      <c r="AE1448" s="12"/>
      <c r="AF1448" s="12"/>
      <c r="AG1448" s="12"/>
      <c r="AH1448" s="12"/>
      <c r="AI1448" s="12"/>
      <c r="AJ1448" s="12"/>
      <c r="AK1448" s="12"/>
      <c r="AL1448" s="12"/>
      <c r="AM1448" s="12"/>
    </row>
    <row r="1449" spans="2:39" ht="25.2" customHeight="1" x14ac:dyDescent="0.3">
      <c r="B1449" s="13" t="str">
        <f t="shared" si="26"/>
        <v/>
      </c>
      <c r="C1449" s="18"/>
      <c r="D1449" s="19" t="str">
        <f>IF(Tabela2[[#This Row],[AGRUPADOR]]&lt;&gt;"",VLOOKUP(Tabela2[[#This Row],[AGRUPADOR]],Tabela1[],2,0),"")</f>
        <v/>
      </c>
      <c r="E1449" s="19" t="str">
        <f>IF(Tabela2[[#This Row],[AGRUPADOR]]&lt;&gt;"",VLOOKUP(Tabela2[[#This Row],[AGRUPADOR]],Tabela1[],4,0),"")</f>
        <v/>
      </c>
      <c r="F1449" s="14"/>
      <c r="G1449" s="6"/>
      <c r="H1449" s="6"/>
      <c r="I1449" s="25"/>
      <c r="J1449" s="7"/>
      <c r="K1449" s="15"/>
      <c r="L1449" s="379">
        <f>IF(H1449&lt;&gt;"",J1449*K1449,SUMIFS(L1450:L$9844,$F1450:$F$9844,"*"&amp;F1449&amp;"*",$H1450:$H$9844,"&lt;&gt;"))</f>
        <v>0</v>
      </c>
      <c r="M1449" s="379" t="str">
        <f>IF(Tabela2[[#This Row],[UNID.]]&lt;&gt;"",IFERROR(VLOOKUP(Tabela2[[#This Row],[AGRUPADOR]],Lucratividade!$D$4:$O$129,6,0),0),"")</f>
        <v/>
      </c>
      <c r="N1449" s="379">
        <f>IF(H1449&lt;&gt;"",J1449*M1449*I1449,SUMIFS(N1450:N$9844,$F1450:$F$9844,"*"&amp;F1449&amp;"*",$H1450:$H$9844,"&lt;&gt;"))</f>
        <v>0</v>
      </c>
      <c r="O1449" s="162" t="str">
        <f>IFERROR((-Tabela2[[#This Row],[CUSTO TOTAL]]+Tabela2[[#This Row],[VENDA TOTAL]])/Tabela2[[#This Row],[VENDA TOTAL]]-PARAMETROS!$C$19,"")</f>
        <v/>
      </c>
      <c r="AA1449" s="219">
        <f>SUM(Plan_Orc[[#This Row],[01/jan]:[01/dez]])</f>
        <v>0</v>
      </c>
      <c r="AB1449" s="15"/>
      <c r="AC1449" s="15"/>
      <c r="AD1449" s="15"/>
      <c r="AE1449" s="15"/>
      <c r="AF1449" s="15"/>
      <c r="AG1449" s="15"/>
      <c r="AH1449" s="15"/>
      <c r="AI1449" s="15"/>
      <c r="AJ1449" s="15"/>
      <c r="AK1449" s="15"/>
      <c r="AL1449" s="15"/>
      <c r="AM1449" s="15"/>
    </row>
    <row r="1450" spans="2:39" ht="25.2" customHeight="1" x14ac:dyDescent="0.3">
      <c r="B1450" s="13" t="str">
        <f t="shared" si="26"/>
        <v/>
      </c>
      <c r="C1450" s="18"/>
      <c r="D1450" s="19" t="str">
        <f>IF(Tabela2[[#This Row],[AGRUPADOR]]&lt;&gt;"",VLOOKUP(Tabela2[[#This Row],[AGRUPADOR]],Tabela1[],2,0),"")</f>
        <v/>
      </c>
      <c r="E1450" s="19" t="str">
        <f>IF(Tabela2[[#This Row],[AGRUPADOR]]&lt;&gt;"",VLOOKUP(Tabela2[[#This Row],[AGRUPADOR]],Tabela1[],4,0),"")</f>
        <v/>
      </c>
      <c r="F1450" s="14"/>
      <c r="G1450" s="6"/>
      <c r="H1450" s="6"/>
      <c r="I1450" s="25"/>
      <c r="J1450" s="7"/>
      <c r="K1450" s="15"/>
      <c r="L1450" s="379">
        <f>IF(H1450&lt;&gt;"",J1450*K1450,SUMIFS(L1451:L$9844,$F1451:$F$9844,"*"&amp;F1450&amp;"*",$H1451:$H$9844,"&lt;&gt;"))</f>
        <v>0</v>
      </c>
      <c r="M1450" s="379" t="str">
        <f>IF(Tabela2[[#This Row],[UNID.]]&lt;&gt;"",IFERROR(VLOOKUP(Tabela2[[#This Row],[AGRUPADOR]],Lucratividade!$D$4:$O$129,6,0),0),"")</f>
        <v/>
      </c>
      <c r="N1450" s="379">
        <f>IF(H1450&lt;&gt;"",J1450*M1450*I1450,SUMIFS(N1451:N$9844,$F1451:$F$9844,"*"&amp;F1450&amp;"*",$H1451:$H$9844,"&lt;&gt;"))</f>
        <v>0</v>
      </c>
      <c r="O1450" s="162" t="str">
        <f>IFERROR((-Tabela2[[#This Row],[CUSTO TOTAL]]+Tabela2[[#This Row],[VENDA TOTAL]])/Tabela2[[#This Row],[VENDA TOTAL]]-PARAMETROS!$C$19,"")</f>
        <v/>
      </c>
      <c r="AA1450" s="219">
        <f>SUM(Plan_Orc[[#This Row],[01/jan]:[01/dez]])</f>
        <v>0</v>
      </c>
      <c r="AB1450" s="15"/>
      <c r="AC1450" s="15"/>
      <c r="AD1450" s="15"/>
      <c r="AE1450" s="15"/>
      <c r="AF1450" s="15"/>
      <c r="AG1450" s="15"/>
      <c r="AH1450" s="15"/>
      <c r="AI1450" s="15"/>
      <c r="AJ1450" s="15"/>
      <c r="AK1450" s="15"/>
      <c r="AL1450" s="15"/>
      <c r="AM1450" s="15"/>
    </row>
    <row r="1451" spans="2:39" ht="25.2" customHeight="1" x14ac:dyDescent="0.3">
      <c r="B1451" s="13" t="str">
        <f t="shared" si="26"/>
        <v/>
      </c>
      <c r="C1451" s="18"/>
      <c r="D1451" s="19" t="str">
        <f>IF(Tabela2[[#This Row],[AGRUPADOR]]&lt;&gt;"",VLOOKUP(Tabela2[[#This Row],[AGRUPADOR]],Tabela1[],2,0),"")</f>
        <v/>
      </c>
      <c r="E1451" s="19" t="str">
        <f>IF(Tabela2[[#This Row],[AGRUPADOR]]&lt;&gt;"",VLOOKUP(Tabela2[[#This Row],[AGRUPADOR]],Tabela1[],4,0),"")</f>
        <v/>
      </c>
      <c r="F1451" s="14"/>
      <c r="G1451" s="6"/>
      <c r="H1451" s="6"/>
      <c r="I1451" s="25"/>
      <c r="J1451" s="7"/>
      <c r="K1451" s="15"/>
      <c r="L1451" s="379">
        <f>IF(H1451&lt;&gt;"",J1451*K1451,SUMIFS(L1452:L$9844,$F1452:$F$9844,"*"&amp;F1451&amp;"*",$H1452:$H$9844,"&lt;&gt;"))</f>
        <v>0</v>
      </c>
      <c r="M1451" s="379" t="str">
        <f>IF(Tabela2[[#This Row],[UNID.]]&lt;&gt;"",IFERROR(VLOOKUP(Tabela2[[#This Row],[AGRUPADOR]],Lucratividade!$D$4:$O$129,6,0),0),"")</f>
        <v/>
      </c>
      <c r="N1451" s="379">
        <f>IF(H1451&lt;&gt;"",J1451*M1451*I1451,SUMIFS(N1452:N$9844,$F1452:$F$9844,"*"&amp;F1451&amp;"*",$H1452:$H$9844,"&lt;&gt;"))</f>
        <v>0</v>
      </c>
      <c r="O1451" s="162" t="str">
        <f>IFERROR((-Tabela2[[#This Row],[CUSTO TOTAL]]+Tabela2[[#This Row],[VENDA TOTAL]])/Tabela2[[#This Row],[VENDA TOTAL]]-PARAMETROS!$C$19,"")</f>
        <v/>
      </c>
      <c r="AA1451" s="219">
        <f>SUM(Plan_Orc[[#This Row],[01/jan]:[01/dez]])</f>
        <v>0</v>
      </c>
      <c r="AB1451" s="15"/>
      <c r="AC1451" s="15"/>
      <c r="AD1451" s="15"/>
      <c r="AE1451" s="15"/>
      <c r="AF1451" s="15"/>
      <c r="AG1451" s="15"/>
      <c r="AH1451" s="15"/>
      <c r="AI1451" s="15"/>
      <c r="AJ1451" s="15"/>
      <c r="AK1451" s="15"/>
      <c r="AL1451" s="15"/>
      <c r="AM1451" s="15"/>
    </row>
    <row r="1452" spans="2:39" ht="25.2" customHeight="1" x14ac:dyDescent="0.3">
      <c r="B1452" s="13" t="str">
        <f t="shared" si="26"/>
        <v/>
      </c>
      <c r="C1452" s="18"/>
      <c r="D1452" s="19" t="str">
        <f>IF(Tabela2[[#This Row],[AGRUPADOR]]&lt;&gt;"",VLOOKUP(Tabela2[[#This Row],[AGRUPADOR]],Tabela1[],2,0),"")</f>
        <v/>
      </c>
      <c r="E1452" s="19" t="str">
        <f>IF(Tabela2[[#This Row],[AGRUPADOR]]&lt;&gt;"",VLOOKUP(Tabela2[[#This Row],[AGRUPADOR]],Tabela1[],4,0),"")</f>
        <v/>
      </c>
      <c r="F1452" s="14"/>
      <c r="G1452" s="6"/>
      <c r="H1452" s="6"/>
      <c r="I1452" s="25"/>
      <c r="J1452" s="7"/>
      <c r="K1452" s="15"/>
      <c r="L1452" s="379">
        <f>IF(H1452&lt;&gt;"",J1452*K1452,SUMIFS(L1453:L$9844,$F1453:$F$9844,"*"&amp;F1452&amp;"*",$H1453:$H$9844,"&lt;&gt;"))</f>
        <v>0</v>
      </c>
      <c r="M1452" s="379" t="str">
        <f>IF(Tabela2[[#This Row],[UNID.]]&lt;&gt;"",IFERROR(VLOOKUP(Tabela2[[#This Row],[AGRUPADOR]],Lucratividade!$D$4:$O$129,6,0),0),"")</f>
        <v/>
      </c>
      <c r="N1452" s="379">
        <f>IF(H1452&lt;&gt;"",J1452*M1452*I1452,SUMIFS(N1453:N$9844,$F1453:$F$9844,"*"&amp;F1452&amp;"*",$H1453:$H$9844,"&lt;&gt;"))</f>
        <v>0</v>
      </c>
      <c r="O1452" s="162" t="str">
        <f>IFERROR((-Tabela2[[#This Row],[CUSTO TOTAL]]+Tabela2[[#This Row],[VENDA TOTAL]])/Tabela2[[#This Row],[VENDA TOTAL]]-PARAMETROS!$C$19,"")</f>
        <v/>
      </c>
      <c r="AA1452" s="219">
        <f>SUM(Plan_Orc[[#This Row],[01/jan]:[01/dez]])</f>
        <v>0</v>
      </c>
      <c r="AB1452" s="15"/>
      <c r="AC1452" s="15"/>
      <c r="AD1452" s="15"/>
      <c r="AE1452" s="15"/>
      <c r="AF1452" s="15"/>
      <c r="AG1452" s="15"/>
      <c r="AH1452" s="15"/>
      <c r="AI1452" s="15"/>
      <c r="AJ1452" s="15"/>
      <c r="AK1452" s="15"/>
      <c r="AL1452" s="15"/>
      <c r="AM1452" s="15"/>
    </row>
    <row r="1453" spans="2:39" ht="25.2" customHeight="1" x14ac:dyDescent="0.3">
      <c r="B1453" s="13" t="str">
        <f t="shared" si="26"/>
        <v/>
      </c>
      <c r="C1453" s="18"/>
      <c r="D1453" s="19" t="str">
        <f>IF(Tabela2[[#This Row],[AGRUPADOR]]&lt;&gt;"",VLOOKUP(Tabela2[[#This Row],[AGRUPADOR]],Tabela1[],2,0),"")</f>
        <v/>
      </c>
      <c r="E1453" s="19" t="str">
        <f>IF(Tabela2[[#This Row],[AGRUPADOR]]&lt;&gt;"",VLOOKUP(Tabela2[[#This Row],[AGRUPADOR]],Tabela1[],4,0),"")</f>
        <v/>
      </c>
      <c r="F1453" s="14"/>
      <c r="G1453" s="6"/>
      <c r="H1453" s="6"/>
      <c r="I1453" s="25"/>
      <c r="J1453" s="7"/>
      <c r="K1453" s="15"/>
      <c r="L1453" s="379">
        <f>IF(H1453&lt;&gt;"",J1453*K1453,SUMIFS(L1454:L$9844,$F1454:$F$9844,"*"&amp;F1453&amp;"*",$H1454:$H$9844,"&lt;&gt;"))</f>
        <v>0</v>
      </c>
      <c r="M1453" s="379" t="str">
        <f>IF(Tabela2[[#This Row],[UNID.]]&lt;&gt;"",IFERROR(VLOOKUP(Tabela2[[#This Row],[AGRUPADOR]],Lucratividade!$D$4:$O$129,6,0),0),"")</f>
        <v/>
      </c>
      <c r="N1453" s="379">
        <f>IF(H1453&lt;&gt;"",J1453*M1453*I1453,SUMIFS(N1454:N$9844,$F1454:$F$9844,"*"&amp;F1453&amp;"*",$H1454:$H$9844,"&lt;&gt;"))</f>
        <v>0</v>
      </c>
      <c r="O1453" s="162" t="str">
        <f>IFERROR((-Tabela2[[#This Row],[CUSTO TOTAL]]+Tabela2[[#This Row],[VENDA TOTAL]])/Tabela2[[#This Row],[VENDA TOTAL]]-PARAMETROS!$C$19,"")</f>
        <v/>
      </c>
      <c r="AA1453" s="219">
        <f>SUM(Plan_Orc[[#This Row],[01/jan]:[01/dez]])</f>
        <v>0</v>
      </c>
      <c r="AB1453" s="15"/>
      <c r="AC1453" s="15"/>
      <c r="AD1453" s="15"/>
      <c r="AE1453" s="15"/>
      <c r="AF1453" s="15"/>
      <c r="AG1453" s="15"/>
      <c r="AH1453" s="15"/>
      <c r="AI1453" s="15"/>
      <c r="AJ1453" s="15"/>
      <c r="AK1453" s="15"/>
      <c r="AL1453" s="15"/>
      <c r="AM1453" s="15"/>
    </row>
    <row r="1454" spans="2:39" ht="25.2" customHeight="1" x14ac:dyDescent="0.3">
      <c r="B1454" s="13" t="str">
        <f t="shared" si="26"/>
        <v/>
      </c>
      <c r="C1454" s="18"/>
      <c r="D1454" s="19" t="str">
        <f>IF(Tabela2[[#This Row],[AGRUPADOR]]&lt;&gt;"",VLOOKUP(Tabela2[[#This Row],[AGRUPADOR]],Tabela1[],2,0),"")</f>
        <v/>
      </c>
      <c r="E1454" s="19" t="str">
        <f>IF(Tabela2[[#This Row],[AGRUPADOR]]&lt;&gt;"",VLOOKUP(Tabela2[[#This Row],[AGRUPADOR]],Tabela1[],4,0),"")</f>
        <v/>
      </c>
      <c r="F1454" s="14"/>
      <c r="G1454" s="6"/>
      <c r="H1454" s="6"/>
      <c r="I1454" s="25"/>
      <c r="J1454" s="7"/>
      <c r="K1454" s="15"/>
      <c r="L1454" s="379">
        <f>IF(H1454&lt;&gt;"",J1454*K1454,SUMIFS(L1455:L$9844,$F1455:$F$9844,"*"&amp;F1454&amp;"*",$H1455:$H$9844,"&lt;&gt;"))</f>
        <v>0</v>
      </c>
      <c r="M1454" s="379" t="str">
        <f>IF(Tabela2[[#This Row],[UNID.]]&lt;&gt;"",IFERROR(VLOOKUP(Tabela2[[#This Row],[AGRUPADOR]],Lucratividade!$D$4:$O$129,6,0),0),"")</f>
        <v/>
      </c>
      <c r="N1454" s="379">
        <f>IF(H1454&lt;&gt;"",J1454*M1454*I1454,SUMIFS(N1455:N$9844,$F1455:$F$9844,"*"&amp;F1454&amp;"*",$H1455:$H$9844,"&lt;&gt;"))</f>
        <v>0</v>
      </c>
      <c r="O1454" s="162" t="str">
        <f>IFERROR((-Tabela2[[#This Row],[CUSTO TOTAL]]+Tabela2[[#This Row],[VENDA TOTAL]])/Tabela2[[#This Row],[VENDA TOTAL]]-PARAMETROS!$C$19,"")</f>
        <v/>
      </c>
      <c r="AA1454" s="219">
        <f>SUM(Plan_Orc[[#This Row],[01/jan]:[01/dez]])</f>
        <v>0</v>
      </c>
      <c r="AB1454" s="15"/>
      <c r="AC1454" s="15"/>
      <c r="AD1454" s="15"/>
      <c r="AE1454" s="15"/>
      <c r="AF1454" s="15"/>
      <c r="AG1454" s="15"/>
      <c r="AH1454" s="15"/>
      <c r="AI1454" s="15"/>
      <c r="AJ1454" s="15"/>
      <c r="AK1454" s="15"/>
      <c r="AL1454" s="15"/>
      <c r="AM1454" s="15"/>
    </row>
    <row r="1455" spans="2:39" ht="25.2" customHeight="1" x14ac:dyDescent="0.3">
      <c r="B1455" s="13" t="str">
        <f t="shared" si="26"/>
        <v/>
      </c>
      <c r="C1455" s="18"/>
      <c r="D1455" s="19" t="str">
        <f>IF(Tabela2[[#This Row],[AGRUPADOR]]&lt;&gt;"",VLOOKUP(Tabela2[[#This Row],[AGRUPADOR]],Tabela1[],2,0),"")</f>
        <v/>
      </c>
      <c r="E1455" s="19" t="str">
        <f>IF(Tabela2[[#This Row],[AGRUPADOR]]&lt;&gt;"",VLOOKUP(Tabela2[[#This Row],[AGRUPADOR]],Tabela1[],4,0),"")</f>
        <v/>
      </c>
      <c r="F1455" s="14"/>
      <c r="G1455" s="6"/>
      <c r="H1455" s="6"/>
      <c r="I1455" s="25"/>
      <c r="J1455" s="7"/>
      <c r="K1455" s="15"/>
      <c r="L1455" s="379">
        <f>IF(H1455&lt;&gt;"",J1455*K1455,SUMIFS(L1456:L$9844,$F1456:$F$9844,"*"&amp;F1455&amp;"*",$H1456:$H$9844,"&lt;&gt;"))</f>
        <v>0</v>
      </c>
      <c r="M1455" s="379" t="str">
        <f>IF(Tabela2[[#This Row],[UNID.]]&lt;&gt;"",IFERROR(VLOOKUP(Tabela2[[#This Row],[AGRUPADOR]],Lucratividade!$D$4:$O$129,6,0),0),"")</f>
        <v/>
      </c>
      <c r="N1455" s="379">
        <f>IF(H1455&lt;&gt;"",J1455*M1455*I1455,SUMIFS(N1456:N$9844,$F1456:$F$9844,"*"&amp;F1455&amp;"*",$H1456:$H$9844,"&lt;&gt;"))</f>
        <v>0</v>
      </c>
      <c r="O1455" s="162" t="str">
        <f>IFERROR((-Tabela2[[#This Row],[CUSTO TOTAL]]+Tabela2[[#This Row],[VENDA TOTAL]])/Tabela2[[#This Row],[VENDA TOTAL]]-PARAMETROS!$C$19,"")</f>
        <v/>
      </c>
      <c r="AA1455" s="219">
        <f>SUM(Plan_Orc[[#This Row],[01/jan]:[01/dez]])</f>
        <v>0</v>
      </c>
      <c r="AB1455" s="15"/>
      <c r="AC1455" s="15"/>
      <c r="AD1455" s="15"/>
      <c r="AE1455" s="15"/>
      <c r="AF1455" s="15"/>
      <c r="AG1455" s="15"/>
      <c r="AH1455" s="15"/>
      <c r="AI1455" s="15"/>
      <c r="AJ1455" s="15"/>
      <c r="AK1455" s="15"/>
      <c r="AL1455" s="15"/>
      <c r="AM1455" s="15"/>
    </row>
    <row r="1456" spans="2:39" ht="25.2" customHeight="1" x14ac:dyDescent="0.3">
      <c r="B1456" s="13" t="str">
        <f t="shared" si="26"/>
        <v/>
      </c>
      <c r="C1456" s="18"/>
      <c r="D1456" s="19" t="str">
        <f>IF(Tabela2[[#This Row],[AGRUPADOR]]&lt;&gt;"",VLOOKUP(Tabela2[[#This Row],[AGRUPADOR]],Tabela1[],2,0),"")</f>
        <v/>
      </c>
      <c r="E1456" s="19" t="str">
        <f>IF(Tabela2[[#This Row],[AGRUPADOR]]&lt;&gt;"",VLOOKUP(Tabela2[[#This Row],[AGRUPADOR]],Tabela1[],4,0),"")</f>
        <v/>
      </c>
      <c r="F1456" s="14"/>
      <c r="G1456" s="6"/>
      <c r="H1456" s="6"/>
      <c r="I1456" s="25"/>
      <c r="J1456" s="7"/>
      <c r="K1456" s="15"/>
      <c r="L1456" s="379">
        <f>IF(H1456&lt;&gt;"",J1456*K1456,SUMIFS(L1457:L$9844,$F1457:$F$9844,"*"&amp;F1456&amp;"*",$H1457:$H$9844,"&lt;&gt;"))</f>
        <v>0</v>
      </c>
      <c r="M1456" s="379" t="str">
        <f>IF(Tabela2[[#This Row],[UNID.]]&lt;&gt;"",IFERROR(VLOOKUP(Tabela2[[#This Row],[AGRUPADOR]],Lucratividade!$D$4:$O$129,6,0),0),"")</f>
        <v/>
      </c>
      <c r="N1456" s="379">
        <f>IF(H1456&lt;&gt;"",J1456*M1456*I1456,SUMIFS(N1457:N$9844,$F1457:$F$9844,"*"&amp;F1456&amp;"*",$H1457:$H$9844,"&lt;&gt;"))</f>
        <v>0</v>
      </c>
      <c r="O1456" s="162" t="str">
        <f>IFERROR((-Tabela2[[#This Row],[CUSTO TOTAL]]+Tabela2[[#This Row],[VENDA TOTAL]])/Tabela2[[#This Row],[VENDA TOTAL]]-PARAMETROS!$C$19,"")</f>
        <v/>
      </c>
      <c r="AA1456" s="219">
        <f>SUM(Plan_Orc[[#This Row],[01/jan]:[01/dez]])</f>
        <v>0</v>
      </c>
      <c r="AB1456" s="15"/>
      <c r="AC1456" s="15"/>
      <c r="AD1456" s="15"/>
      <c r="AE1456" s="15"/>
      <c r="AF1456" s="15"/>
      <c r="AG1456" s="15"/>
      <c r="AH1456" s="15"/>
      <c r="AI1456" s="15"/>
      <c r="AJ1456" s="15"/>
      <c r="AK1456" s="15"/>
      <c r="AL1456" s="15"/>
      <c r="AM1456" s="15"/>
    </row>
    <row r="1457" spans="2:39" ht="25.2" customHeight="1" x14ac:dyDescent="0.3">
      <c r="B1457" s="13" t="str">
        <f t="shared" si="26"/>
        <v/>
      </c>
      <c r="C1457" s="18"/>
      <c r="D1457" s="19" t="str">
        <f>IF(Tabela2[[#This Row],[AGRUPADOR]]&lt;&gt;"",VLOOKUP(Tabela2[[#This Row],[AGRUPADOR]],Tabela1[],2,0),"")</f>
        <v/>
      </c>
      <c r="E1457" s="19" t="str">
        <f>IF(Tabela2[[#This Row],[AGRUPADOR]]&lt;&gt;"",VLOOKUP(Tabela2[[#This Row],[AGRUPADOR]],Tabela1[],4,0),"")</f>
        <v/>
      </c>
      <c r="F1457" s="14"/>
      <c r="G1457" s="6"/>
      <c r="H1457" s="6"/>
      <c r="I1457" s="25"/>
      <c r="J1457" s="7"/>
      <c r="K1457" s="15"/>
      <c r="L1457" s="379">
        <f>IF(H1457&lt;&gt;"",J1457*K1457,SUMIFS(L1458:L$9844,$F1458:$F$9844,"*"&amp;F1457&amp;"*",$H1458:$H$9844,"&lt;&gt;"))</f>
        <v>0</v>
      </c>
      <c r="M1457" s="379" t="str">
        <f>IF(Tabela2[[#This Row],[UNID.]]&lt;&gt;"",IFERROR(VLOOKUP(Tabela2[[#This Row],[AGRUPADOR]],Lucratividade!$D$4:$O$129,6,0),0),"")</f>
        <v/>
      </c>
      <c r="N1457" s="379">
        <f>IF(H1457&lt;&gt;"",J1457*M1457*I1457,SUMIFS(N1458:N$9844,$F1458:$F$9844,"*"&amp;F1457&amp;"*",$H1458:$H$9844,"&lt;&gt;"))</f>
        <v>0</v>
      </c>
      <c r="O1457" s="162" t="str">
        <f>IFERROR((-Tabela2[[#This Row],[CUSTO TOTAL]]+Tabela2[[#This Row],[VENDA TOTAL]])/Tabela2[[#This Row],[VENDA TOTAL]]-PARAMETROS!$C$19,"")</f>
        <v/>
      </c>
      <c r="AA1457" s="219">
        <f>SUM(Plan_Orc[[#This Row],[01/jan]:[01/dez]])</f>
        <v>0</v>
      </c>
      <c r="AB1457" s="15"/>
      <c r="AC1457" s="15"/>
      <c r="AD1457" s="15"/>
      <c r="AE1457" s="15"/>
      <c r="AF1457" s="15"/>
      <c r="AG1457" s="15"/>
      <c r="AH1457" s="15"/>
      <c r="AI1457" s="15"/>
      <c r="AJ1457" s="15"/>
      <c r="AK1457" s="15"/>
      <c r="AL1457" s="15"/>
      <c r="AM1457" s="15"/>
    </row>
    <row r="1458" spans="2:39" ht="25.2" customHeight="1" x14ac:dyDescent="0.3">
      <c r="B1458" s="13" t="str">
        <f t="shared" si="26"/>
        <v/>
      </c>
      <c r="C1458" s="18"/>
      <c r="D1458" s="19" t="str">
        <f>IF(Tabela2[[#This Row],[AGRUPADOR]]&lt;&gt;"",VLOOKUP(Tabela2[[#This Row],[AGRUPADOR]],Tabela1[],2,0),"")</f>
        <v/>
      </c>
      <c r="E1458" s="19" t="str">
        <f>IF(Tabela2[[#This Row],[AGRUPADOR]]&lt;&gt;"",VLOOKUP(Tabela2[[#This Row],[AGRUPADOR]],Tabela1[],4,0),"")</f>
        <v/>
      </c>
      <c r="F1458" s="14"/>
      <c r="G1458" s="6"/>
      <c r="H1458" s="6"/>
      <c r="I1458" s="25"/>
      <c r="J1458" s="7"/>
      <c r="K1458" s="15"/>
      <c r="L1458" s="379">
        <f>IF(H1458&lt;&gt;"",J1458*K1458,SUMIFS(L1459:L$9844,$F1459:$F$9844,"*"&amp;F1458&amp;"*",$H1459:$H$9844,"&lt;&gt;"))</f>
        <v>0</v>
      </c>
      <c r="M1458" s="379" t="str">
        <f>IF(Tabela2[[#This Row],[UNID.]]&lt;&gt;"",IFERROR(VLOOKUP(Tabela2[[#This Row],[AGRUPADOR]],Lucratividade!$D$4:$O$129,6,0),0),"")</f>
        <v/>
      </c>
      <c r="N1458" s="379">
        <f>IF(H1458&lt;&gt;"",J1458*M1458*I1458,SUMIFS(N1459:N$9844,$F1459:$F$9844,"*"&amp;F1458&amp;"*",$H1459:$H$9844,"&lt;&gt;"))</f>
        <v>0</v>
      </c>
      <c r="O1458" s="162" t="str">
        <f>IFERROR((-Tabela2[[#This Row],[CUSTO TOTAL]]+Tabela2[[#This Row],[VENDA TOTAL]])/Tabela2[[#This Row],[VENDA TOTAL]]-PARAMETROS!$C$19,"")</f>
        <v/>
      </c>
      <c r="AA1458" s="219">
        <f>SUM(Plan_Orc[[#This Row],[01/jan]:[01/dez]])</f>
        <v>0</v>
      </c>
      <c r="AB1458" s="15"/>
      <c r="AC1458" s="15"/>
      <c r="AD1458" s="15"/>
      <c r="AE1458" s="15"/>
      <c r="AF1458" s="15"/>
      <c r="AG1458" s="15"/>
      <c r="AH1458" s="15"/>
      <c r="AI1458" s="15"/>
      <c r="AJ1458" s="15"/>
      <c r="AK1458" s="15"/>
      <c r="AL1458" s="15"/>
      <c r="AM1458" s="15"/>
    </row>
    <row r="1459" spans="2:39" ht="25.2" customHeight="1" x14ac:dyDescent="0.3">
      <c r="B1459" s="13" t="str">
        <f t="shared" si="26"/>
        <v/>
      </c>
      <c r="C1459" s="18"/>
      <c r="D1459" s="19" t="str">
        <f>IF(Tabela2[[#This Row],[AGRUPADOR]]&lt;&gt;"",VLOOKUP(Tabela2[[#This Row],[AGRUPADOR]],Tabela1[],2,0),"")</f>
        <v/>
      </c>
      <c r="E1459" s="19" t="str">
        <f>IF(Tabela2[[#This Row],[AGRUPADOR]]&lt;&gt;"",VLOOKUP(Tabela2[[#This Row],[AGRUPADOR]],Tabela1[],4,0),"")</f>
        <v/>
      </c>
      <c r="F1459" s="14"/>
      <c r="G1459" s="6"/>
      <c r="H1459" s="6"/>
      <c r="I1459" s="25"/>
      <c r="J1459" s="7"/>
      <c r="K1459" s="15"/>
      <c r="L1459" s="379">
        <f>IF(H1459&lt;&gt;"",J1459*K1459,SUMIFS(L1460:L$9844,$F1460:$F$9844,"*"&amp;F1459&amp;"*",$H1460:$H$9844,"&lt;&gt;"))</f>
        <v>0</v>
      </c>
      <c r="M1459" s="379" t="str">
        <f>IF(Tabela2[[#This Row],[UNID.]]&lt;&gt;"",IFERROR(VLOOKUP(Tabela2[[#This Row],[AGRUPADOR]],Lucratividade!$D$4:$O$129,6,0),0),"")</f>
        <v/>
      </c>
      <c r="N1459" s="379">
        <f>IF(H1459&lt;&gt;"",J1459*M1459*I1459,SUMIFS(N1460:N$9844,$F1460:$F$9844,"*"&amp;F1459&amp;"*",$H1460:$H$9844,"&lt;&gt;"))</f>
        <v>0</v>
      </c>
      <c r="O1459" s="162" t="str">
        <f>IFERROR((-Tabela2[[#This Row],[CUSTO TOTAL]]+Tabela2[[#This Row],[VENDA TOTAL]])/Tabela2[[#This Row],[VENDA TOTAL]]-PARAMETROS!$C$19,"")</f>
        <v/>
      </c>
      <c r="AA1459" s="219">
        <f>SUM(Plan_Orc[[#This Row],[01/jan]:[01/dez]])</f>
        <v>0</v>
      </c>
      <c r="AB1459" s="15"/>
      <c r="AC1459" s="15"/>
      <c r="AD1459" s="15"/>
      <c r="AE1459" s="15"/>
      <c r="AF1459" s="15"/>
      <c r="AG1459" s="15"/>
      <c r="AH1459" s="15"/>
      <c r="AI1459" s="15"/>
      <c r="AJ1459" s="15"/>
      <c r="AK1459" s="15"/>
      <c r="AL1459" s="15"/>
      <c r="AM1459" s="15"/>
    </row>
    <row r="1460" spans="2:39" ht="25.2" customHeight="1" x14ac:dyDescent="0.3">
      <c r="B1460" s="13" t="str">
        <f t="shared" si="26"/>
        <v/>
      </c>
      <c r="C1460" s="18"/>
      <c r="D1460" s="19" t="str">
        <f>IF(Tabela2[[#This Row],[AGRUPADOR]]&lt;&gt;"",VLOOKUP(Tabela2[[#This Row],[AGRUPADOR]],Tabela1[],2,0),"")</f>
        <v/>
      </c>
      <c r="E1460" s="19" t="str">
        <f>IF(Tabela2[[#This Row],[AGRUPADOR]]&lt;&gt;"",VLOOKUP(Tabela2[[#This Row],[AGRUPADOR]],Tabela1[],4,0),"")</f>
        <v/>
      </c>
      <c r="F1460" s="14"/>
      <c r="G1460" s="6"/>
      <c r="H1460" s="6"/>
      <c r="I1460" s="25"/>
      <c r="J1460" s="7"/>
      <c r="K1460" s="15"/>
      <c r="L1460" s="379">
        <f>IF(H1460&lt;&gt;"",J1460*K1460,SUMIFS(L1461:L$9844,$F1461:$F$9844,"*"&amp;F1460&amp;"*",$H1461:$H$9844,"&lt;&gt;"))</f>
        <v>0</v>
      </c>
      <c r="M1460" s="379" t="str">
        <f>IF(Tabela2[[#This Row],[UNID.]]&lt;&gt;"",IFERROR(VLOOKUP(Tabela2[[#This Row],[AGRUPADOR]],Lucratividade!$D$4:$O$129,6,0),0),"")</f>
        <v/>
      </c>
      <c r="N1460" s="379">
        <f>IF(H1460&lt;&gt;"",J1460*M1460*I1460,SUMIFS(N1461:N$9844,$F1461:$F$9844,"*"&amp;F1460&amp;"*",$H1461:$H$9844,"&lt;&gt;"))</f>
        <v>0</v>
      </c>
      <c r="O1460" s="162" t="str">
        <f>IFERROR((-Tabela2[[#This Row],[CUSTO TOTAL]]+Tabela2[[#This Row],[VENDA TOTAL]])/Tabela2[[#This Row],[VENDA TOTAL]]-PARAMETROS!$C$19,"")</f>
        <v/>
      </c>
      <c r="AA1460" s="219">
        <f>SUM(Plan_Orc[[#This Row],[01/jan]:[01/dez]])</f>
        <v>0</v>
      </c>
      <c r="AB1460" s="15"/>
      <c r="AC1460" s="15"/>
      <c r="AD1460" s="15"/>
      <c r="AE1460" s="15"/>
      <c r="AF1460" s="15"/>
      <c r="AG1460" s="15"/>
      <c r="AH1460" s="15"/>
      <c r="AI1460" s="15"/>
      <c r="AJ1460" s="15"/>
      <c r="AK1460" s="15"/>
      <c r="AL1460" s="15"/>
      <c r="AM1460" s="15"/>
    </row>
    <row r="1461" spans="2:39" ht="25.2" customHeight="1" x14ac:dyDescent="0.3">
      <c r="B1461" s="13" t="str">
        <f t="shared" si="26"/>
        <v/>
      </c>
      <c r="C1461" s="18"/>
      <c r="D1461" s="19" t="str">
        <f>IF(Tabela2[[#This Row],[AGRUPADOR]]&lt;&gt;"",VLOOKUP(Tabela2[[#This Row],[AGRUPADOR]],Tabela1[],2,0),"")</f>
        <v/>
      </c>
      <c r="E1461" s="19" t="str">
        <f>IF(Tabela2[[#This Row],[AGRUPADOR]]&lt;&gt;"",VLOOKUP(Tabela2[[#This Row],[AGRUPADOR]],Tabela1[],4,0),"")</f>
        <v/>
      </c>
      <c r="F1461" s="14"/>
      <c r="G1461" s="6"/>
      <c r="H1461" s="6"/>
      <c r="I1461" s="25"/>
      <c r="J1461" s="7"/>
      <c r="K1461" s="15"/>
      <c r="L1461" s="379">
        <f>IF(H1461&lt;&gt;"",J1461*K1461,SUMIFS(L1462:L$9844,$F1462:$F$9844,"*"&amp;F1461&amp;"*",$H1462:$H$9844,"&lt;&gt;"))</f>
        <v>0</v>
      </c>
      <c r="M1461" s="379" t="str">
        <f>IF(Tabela2[[#This Row],[UNID.]]&lt;&gt;"",IFERROR(VLOOKUP(Tabela2[[#This Row],[AGRUPADOR]],Lucratividade!$D$4:$O$129,6,0),0),"")</f>
        <v/>
      </c>
      <c r="N1461" s="379">
        <f>IF(H1461&lt;&gt;"",J1461*M1461*I1461,SUMIFS(N1462:N$9844,$F1462:$F$9844,"*"&amp;F1461&amp;"*",$H1462:$H$9844,"&lt;&gt;"))</f>
        <v>0</v>
      </c>
      <c r="O1461" s="162" t="str">
        <f>IFERROR((-Tabela2[[#This Row],[CUSTO TOTAL]]+Tabela2[[#This Row],[VENDA TOTAL]])/Tabela2[[#This Row],[VENDA TOTAL]]-PARAMETROS!$C$19,"")</f>
        <v/>
      </c>
      <c r="AA1461" s="219">
        <f>SUM(Plan_Orc[[#This Row],[01/jan]:[01/dez]])</f>
        <v>0</v>
      </c>
      <c r="AB1461" s="15"/>
      <c r="AC1461" s="15"/>
      <c r="AD1461" s="15"/>
      <c r="AE1461" s="15"/>
      <c r="AF1461" s="15"/>
      <c r="AG1461" s="15"/>
      <c r="AH1461" s="15"/>
      <c r="AI1461" s="15"/>
      <c r="AJ1461" s="15"/>
      <c r="AK1461" s="15"/>
      <c r="AL1461" s="15"/>
      <c r="AM1461" s="15"/>
    </row>
    <row r="1462" spans="2:39" ht="25.2" customHeight="1" x14ac:dyDescent="0.3">
      <c r="B1462" s="13" t="str">
        <f t="shared" si="26"/>
        <v/>
      </c>
      <c r="C1462" s="18"/>
      <c r="D1462" s="19" t="str">
        <f>IF(Tabela2[[#This Row],[AGRUPADOR]]&lt;&gt;"",VLOOKUP(Tabela2[[#This Row],[AGRUPADOR]],Tabela1[],2,0),"")</f>
        <v/>
      </c>
      <c r="E1462" s="19" t="str">
        <f>IF(Tabela2[[#This Row],[AGRUPADOR]]&lt;&gt;"",VLOOKUP(Tabela2[[#This Row],[AGRUPADOR]],Tabela1[],4,0),"")</f>
        <v/>
      </c>
      <c r="F1462" s="14"/>
      <c r="G1462" s="6"/>
      <c r="H1462" s="6"/>
      <c r="I1462" s="25"/>
      <c r="J1462" s="7"/>
      <c r="K1462" s="15"/>
      <c r="L1462" s="379">
        <f>IF(H1462&lt;&gt;"",J1462*K1462,SUMIFS(L1463:L$9844,$F1463:$F$9844,"*"&amp;F1462&amp;"*",$H1463:$H$9844,"&lt;&gt;"))</f>
        <v>0</v>
      </c>
      <c r="M1462" s="379" t="str">
        <f>IF(Tabela2[[#This Row],[UNID.]]&lt;&gt;"",IFERROR(VLOOKUP(Tabela2[[#This Row],[AGRUPADOR]],Lucratividade!$D$4:$O$129,6,0),0),"")</f>
        <v/>
      </c>
      <c r="N1462" s="379">
        <f>IF(H1462&lt;&gt;"",J1462*M1462*I1462,SUMIFS(N1463:N$9844,$F1463:$F$9844,"*"&amp;F1462&amp;"*",$H1463:$H$9844,"&lt;&gt;"))</f>
        <v>0</v>
      </c>
      <c r="O1462" s="162" t="str">
        <f>IFERROR((-Tabela2[[#This Row],[CUSTO TOTAL]]+Tabela2[[#This Row],[VENDA TOTAL]])/Tabela2[[#This Row],[VENDA TOTAL]]-PARAMETROS!$C$19,"")</f>
        <v/>
      </c>
      <c r="AA1462" s="219">
        <f>SUM(Plan_Orc[[#This Row],[01/jan]:[01/dez]])</f>
        <v>0</v>
      </c>
      <c r="AB1462" s="15"/>
      <c r="AC1462" s="15"/>
      <c r="AD1462" s="15"/>
      <c r="AE1462" s="15"/>
      <c r="AF1462" s="15"/>
      <c r="AG1462" s="15"/>
      <c r="AH1462" s="15"/>
      <c r="AI1462" s="15"/>
      <c r="AJ1462" s="15"/>
      <c r="AK1462" s="15"/>
      <c r="AL1462" s="15"/>
      <c r="AM1462" s="15"/>
    </row>
    <row r="1463" spans="2:39" ht="25.2" customHeight="1" x14ac:dyDescent="0.3">
      <c r="B1463" s="13" t="str">
        <f t="shared" si="26"/>
        <v/>
      </c>
      <c r="C1463" s="18"/>
      <c r="D1463" s="19" t="str">
        <f>IF(Tabela2[[#This Row],[AGRUPADOR]]&lt;&gt;"",VLOOKUP(Tabela2[[#This Row],[AGRUPADOR]],Tabela1[],2,0),"")</f>
        <v/>
      </c>
      <c r="E1463" s="19" t="str">
        <f>IF(Tabela2[[#This Row],[AGRUPADOR]]&lt;&gt;"",VLOOKUP(Tabela2[[#This Row],[AGRUPADOR]],Tabela1[],4,0),"")</f>
        <v/>
      </c>
      <c r="F1463" s="14"/>
      <c r="G1463" s="6"/>
      <c r="H1463" s="6"/>
      <c r="I1463" s="25"/>
      <c r="J1463" s="7"/>
      <c r="K1463" s="15"/>
      <c r="L1463" s="379">
        <f>IF(H1463&lt;&gt;"",J1463*K1463,SUMIFS(L1464:L$9844,$F1464:$F$9844,"*"&amp;F1463&amp;"*",$H1464:$H$9844,"&lt;&gt;"))</f>
        <v>0</v>
      </c>
      <c r="M1463" s="379" t="str">
        <f>IF(Tabela2[[#This Row],[UNID.]]&lt;&gt;"",IFERROR(VLOOKUP(Tabela2[[#This Row],[AGRUPADOR]],Lucratividade!$D$4:$O$129,6,0),0),"")</f>
        <v/>
      </c>
      <c r="N1463" s="379">
        <f>IF(H1463&lt;&gt;"",J1463*M1463*I1463,SUMIFS(N1464:N$9844,$F1464:$F$9844,"*"&amp;F1463&amp;"*",$H1464:$H$9844,"&lt;&gt;"))</f>
        <v>0</v>
      </c>
      <c r="O1463" s="162" t="str">
        <f>IFERROR((-Tabela2[[#This Row],[CUSTO TOTAL]]+Tabela2[[#This Row],[VENDA TOTAL]])/Tabela2[[#This Row],[VENDA TOTAL]]-PARAMETROS!$C$19,"")</f>
        <v/>
      </c>
      <c r="AA1463" s="219">
        <f>SUM(Plan_Orc[[#This Row],[01/jan]:[01/dez]])</f>
        <v>0</v>
      </c>
      <c r="AB1463" s="15"/>
      <c r="AC1463" s="15"/>
      <c r="AD1463" s="15"/>
      <c r="AE1463" s="15"/>
      <c r="AF1463" s="15"/>
      <c r="AG1463" s="15"/>
      <c r="AH1463" s="15"/>
      <c r="AI1463" s="15"/>
      <c r="AJ1463" s="15"/>
      <c r="AK1463" s="15"/>
      <c r="AL1463" s="15"/>
      <c r="AM1463" s="15"/>
    </row>
    <row r="1464" spans="2:39" ht="25.2" customHeight="1" x14ac:dyDescent="0.3">
      <c r="B1464" s="13" t="str">
        <f t="shared" si="26"/>
        <v/>
      </c>
      <c r="C1464" s="18"/>
      <c r="D1464" s="19" t="str">
        <f>IF(Tabela2[[#This Row],[AGRUPADOR]]&lt;&gt;"",VLOOKUP(Tabela2[[#This Row],[AGRUPADOR]],Tabela1[],2,0),"")</f>
        <v/>
      </c>
      <c r="E1464" s="19" t="str">
        <f>IF(Tabela2[[#This Row],[AGRUPADOR]]&lt;&gt;"",VLOOKUP(Tabela2[[#This Row],[AGRUPADOR]],Tabela1[],4,0),"")</f>
        <v/>
      </c>
      <c r="F1464" s="14"/>
      <c r="G1464" s="6"/>
      <c r="H1464" s="6"/>
      <c r="I1464" s="25"/>
      <c r="J1464" s="7"/>
      <c r="K1464" s="15"/>
      <c r="L1464" s="379">
        <f>IF(H1464&lt;&gt;"",J1464*K1464,SUMIFS(L1465:L$9844,$F1465:$F$9844,"*"&amp;F1464&amp;"*",$H1465:$H$9844,"&lt;&gt;"))</f>
        <v>0</v>
      </c>
      <c r="M1464" s="379" t="str">
        <f>IF(Tabela2[[#This Row],[UNID.]]&lt;&gt;"",IFERROR(VLOOKUP(Tabela2[[#This Row],[AGRUPADOR]],Lucratividade!$D$4:$O$129,6,0),0),"")</f>
        <v/>
      </c>
      <c r="N1464" s="379">
        <f>IF(H1464&lt;&gt;"",J1464*M1464*I1464,SUMIFS(N1465:N$9844,$F1465:$F$9844,"*"&amp;F1464&amp;"*",$H1465:$H$9844,"&lt;&gt;"))</f>
        <v>0</v>
      </c>
      <c r="O1464" s="162" t="str">
        <f>IFERROR((-Tabela2[[#This Row],[CUSTO TOTAL]]+Tabela2[[#This Row],[VENDA TOTAL]])/Tabela2[[#This Row],[VENDA TOTAL]]-PARAMETROS!$C$19,"")</f>
        <v/>
      </c>
      <c r="AA1464" s="219">
        <f>SUM(Plan_Orc[[#This Row],[01/jan]:[01/dez]])</f>
        <v>0</v>
      </c>
      <c r="AB1464" s="15"/>
      <c r="AC1464" s="15"/>
      <c r="AD1464" s="15"/>
      <c r="AE1464" s="15"/>
      <c r="AF1464" s="15"/>
      <c r="AG1464" s="15"/>
      <c r="AH1464" s="15"/>
      <c r="AI1464" s="15"/>
      <c r="AJ1464" s="15"/>
      <c r="AK1464" s="15"/>
      <c r="AL1464" s="15"/>
      <c r="AM1464" s="15"/>
    </row>
    <row r="1465" spans="2:39" ht="25.2" customHeight="1" x14ac:dyDescent="0.3">
      <c r="B1465" s="13" t="str">
        <f t="shared" si="26"/>
        <v/>
      </c>
      <c r="C1465" s="18"/>
      <c r="D1465" s="19" t="str">
        <f>IF(Tabela2[[#This Row],[AGRUPADOR]]&lt;&gt;"",VLOOKUP(Tabela2[[#This Row],[AGRUPADOR]],Tabela1[],2,0),"")</f>
        <v/>
      </c>
      <c r="E1465" s="19" t="str">
        <f>IF(Tabela2[[#This Row],[AGRUPADOR]]&lt;&gt;"",VLOOKUP(Tabela2[[#This Row],[AGRUPADOR]],Tabela1[],4,0),"")</f>
        <v/>
      </c>
      <c r="F1465" s="14"/>
      <c r="G1465" s="6"/>
      <c r="H1465" s="6"/>
      <c r="I1465" s="25"/>
      <c r="J1465" s="7"/>
      <c r="K1465" s="15"/>
      <c r="L1465" s="379">
        <f>IF(H1465&lt;&gt;"",J1465*K1465,SUMIFS(L1466:L$9844,$F1466:$F$9844,"*"&amp;F1465&amp;"*",$H1466:$H$9844,"&lt;&gt;"))</f>
        <v>0</v>
      </c>
      <c r="M1465" s="379" t="str">
        <f>IF(Tabela2[[#This Row],[UNID.]]&lt;&gt;"",IFERROR(VLOOKUP(Tabela2[[#This Row],[AGRUPADOR]],Lucratividade!$D$4:$O$129,6,0),0),"")</f>
        <v/>
      </c>
      <c r="N1465" s="379">
        <f>IF(H1465&lt;&gt;"",J1465*M1465*I1465,SUMIFS(N1466:N$9844,$F1466:$F$9844,"*"&amp;F1465&amp;"*",$H1466:$H$9844,"&lt;&gt;"))</f>
        <v>0</v>
      </c>
      <c r="O1465" s="162" t="str">
        <f>IFERROR((-Tabela2[[#This Row],[CUSTO TOTAL]]+Tabela2[[#This Row],[VENDA TOTAL]])/Tabela2[[#This Row],[VENDA TOTAL]]-PARAMETROS!$C$19,"")</f>
        <v/>
      </c>
      <c r="AA1465" s="219">
        <f>SUM(Plan_Orc[[#This Row],[01/jan]:[01/dez]])</f>
        <v>0</v>
      </c>
      <c r="AB1465" s="15"/>
      <c r="AC1465" s="15"/>
      <c r="AD1465" s="15"/>
      <c r="AE1465" s="15"/>
      <c r="AF1465" s="15"/>
      <c r="AG1465" s="15"/>
      <c r="AH1465" s="15"/>
      <c r="AI1465" s="15"/>
      <c r="AJ1465" s="15"/>
      <c r="AK1465" s="15"/>
      <c r="AL1465" s="15"/>
      <c r="AM1465" s="15"/>
    </row>
    <row r="1466" spans="2:39" ht="25.2" customHeight="1" x14ac:dyDescent="0.3">
      <c r="B1466" s="13" t="str">
        <f t="shared" si="26"/>
        <v/>
      </c>
      <c r="C1466" s="18"/>
      <c r="D1466" s="19" t="str">
        <f>IF(Tabela2[[#This Row],[AGRUPADOR]]&lt;&gt;"",VLOOKUP(Tabela2[[#This Row],[AGRUPADOR]],Tabela1[],2,0),"")</f>
        <v/>
      </c>
      <c r="E1466" s="19" t="str">
        <f>IF(Tabela2[[#This Row],[AGRUPADOR]]&lt;&gt;"",VLOOKUP(Tabela2[[#This Row],[AGRUPADOR]],Tabela1[],4,0),"")</f>
        <v/>
      </c>
      <c r="F1466" s="14"/>
      <c r="G1466" s="6"/>
      <c r="H1466" s="6"/>
      <c r="I1466" s="25"/>
      <c r="J1466" s="7"/>
      <c r="K1466" s="15"/>
      <c r="L1466" s="379">
        <f>IF(H1466&lt;&gt;"",J1466*K1466,SUMIFS(L1467:L$9844,$F1467:$F$9844,"*"&amp;F1466&amp;"*",$H1467:$H$9844,"&lt;&gt;"))</f>
        <v>0</v>
      </c>
      <c r="M1466" s="379" t="str">
        <f>IF(Tabela2[[#This Row],[UNID.]]&lt;&gt;"",IFERROR(VLOOKUP(Tabela2[[#This Row],[AGRUPADOR]],Lucratividade!$D$4:$O$129,6,0),0),"")</f>
        <v/>
      </c>
      <c r="N1466" s="379">
        <f>IF(H1466&lt;&gt;"",J1466*M1466*I1466,SUMIFS(N1467:N$9844,$F1467:$F$9844,"*"&amp;F1466&amp;"*",$H1467:$H$9844,"&lt;&gt;"))</f>
        <v>0</v>
      </c>
      <c r="O1466" s="162" t="str">
        <f>IFERROR((-Tabela2[[#This Row],[CUSTO TOTAL]]+Tabela2[[#This Row],[VENDA TOTAL]])/Tabela2[[#This Row],[VENDA TOTAL]]-PARAMETROS!$C$19,"")</f>
        <v/>
      </c>
      <c r="AA1466" s="219">
        <f>SUM(Plan_Orc[[#This Row],[01/jan]:[01/dez]])</f>
        <v>0</v>
      </c>
      <c r="AB1466" s="15"/>
      <c r="AC1466" s="15"/>
      <c r="AD1466" s="15"/>
      <c r="AE1466" s="15"/>
      <c r="AF1466" s="15"/>
      <c r="AG1466" s="15"/>
      <c r="AH1466" s="15"/>
      <c r="AI1466" s="15"/>
      <c r="AJ1466" s="15"/>
      <c r="AK1466" s="15"/>
      <c r="AL1466" s="15"/>
      <c r="AM1466" s="15"/>
    </row>
    <row r="1467" spans="2:39" ht="25.2" customHeight="1" x14ac:dyDescent="0.3">
      <c r="B1467" s="13" t="str">
        <f t="shared" si="26"/>
        <v/>
      </c>
      <c r="C1467" s="18"/>
      <c r="D1467" s="19" t="str">
        <f>IF(Tabela2[[#This Row],[AGRUPADOR]]&lt;&gt;"",VLOOKUP(Tabela2[[#This Row],[AGRUPADOR]],Tabela1[],2,0),"")</f>
        <v/>
      </c>
      <c r="E1467" s="19" t="str">
        <f>IF(Tabela2[[#This Row],[AGRUPADOR]]&lt;&gt;"",VLOOKUP(Tabela2[[#This Row],[AGRUPADOR]],Tabela1[],4,0),"")</f>
        <v/>
      </c>
      <c r="F1467" s="14"/>
      <c r="G1467" s="6"/>
      <c r="H1467" s="6"/>
      <c r="I1467" s="25"/>
      <c r="J1467" s="7"/>
      <c r="K1467" s="15"/>
      <c r="L1467" s="379">
        <f>IF(H1467&lt;&gt;"",J1467*K1467,SUMIFS(L1468:L$9844,$F1468:$F$9844,"*"&amp;F1467&amp;"*",$H1468:$H$9844,"&lt;&gt;"))</f>
        <v>0</v>
      </c>
      <c r="M1467" s="379" t="str">
        <f>IF(Tabela2[[#This Row],[UNID.]]&lt;&gt;"",IFERROR(VLOOKUP(Tabela2[[#This Row],[AGRUPADOR]],Lucratividade!$D$4:$O$129,6,0),0),"")</f>
        <v/>
      </c>
      <c r="N1467" s="379">
        <f>IF(H1467&lt;&gt;"",J1467*M1467*I1467,SUMIFS(N1468:N$9844,$F1468:$F$9844,"*"&amp;F1467&amp;"*",$H1468:$H$9844,"&lt;&gt;"))</f>
        <v>0</v>
      </c>
      <c r="O1467" s="162" t="str">
        <f>IFERROR((-Tabela2[[#This Row],[CUSTO TOTAL]]+Tabela2[[#This Row],[VENDA TOTAL]])/Tabela2[[#This Row],[VENDA TOTAL]]-PARAMETROS!$C$19,"")</f>
        <v/>
      </c>
      <c r="AA1467" s="219">
        <f>SUM(Plan_Orc[[#This Row],[01/jan]:[01/dez]])</f>
        <v>0</v>
      </c>
      <c r="AB1467" s="15"/>
      <c r="AC1467" s="15"/>
      <c r="AD1467" s="15"/>
      <c r="AE1467" s="15"/>
      <c r="AF1467" s="15"/>
      <c r="AG1467" s="15"/>
      <c r="AH1467" s="15"/>
      <c r="AI1467" s="15"/>
      <c r="AJ1467" s="15"/>
      <c r="AK1467" s="15"/>
      <c r="AL1467" s="15"/>
      <c r="AM1467" s="15"/>
    </row>
    <row r="1468" spans="2:39" ht="25.2" customHeight="1" x14ac:dyDescent="0.3">
      <c r="B1468" s="13" t="str">
        <f t="shared" si="26"/>
        <v/>
      </c>
      <c r="C1468" s="18"/>
      <c r="D1468" s="19" t="str">
        <f>IF(Tabela2[[#This Row],[AGRUPADOR]]&lt;&gt;"",VLOOKUP(Tabela2[[#This Row],[AGRUPADOR]],Tabela1[],2,0),"")</f>
        <v/>
      </c>
      <c r="E1468" s="19" t="str">
        <f>IF(Tabela2[[#This Row],[AGRUPADOR]]&lt;&gt;"",VLOOKUP(Tabela2[[#This Row],[AGRUPADOR]],Tabela1[],4,0),"")</f>
        <v/>
      </c>
      <c r="F1468" s="14"/>
      <c r="G1468" s="6"/>
      <c r="H1468" s="6"/>
      <c r="I1468" s="25"/>
      <c r="J1468" s="7"/>
      <c r="K1468" s="15"/>
      <c r="L1468" s="379">
        <f>IF(H1468&lt;&gt;"",J1468*K1468,SUMIFS(L1469:L$9844,$F1469:$F$9844,"*"&amp;F1468&amp;"*",$H1469:$H$9844,"&lt;&gt;"))</f>
        <v>0</v>
      </c>
      <c r="M1468" s="379" t="str">
        <f>IF(Tabela2[[#This Row],[UNID.]]&lt;&gt;"",IFERROR(VLOOKUP(Tabela2[[#This Row],[AGRUPADOR]],Lucratividade!$D$4:$O$129,6,0),0),"")</f>
        <v/>
      </c>
      <c r="N1468" s="379">
        <f>IF(H1468&lt;&gt;"",J1468*M1468*I1468,SUMIFS(N1469:N$9844,$F1469:$F$9844,"*"&amp;F1468&amp;"*",$H1469:$H$9844,"&lt;&gt;"))</f>
        <v>0</v>
      </c>
      <c r="O1468" s="162" t="str">
        <f>IFERROR((-Tabela2[[#This Row],[CUSTO TOTAL]]+Tabela2[[#This Row],[VENDA TOTAL]])/Tabela2[[#This Row],[VENDA TOTAL]]-PARAMETROS!$C$19,"")</f>
        <v/>
      </c>
      <c r="AA1468" s="219">
        <f>SUM(Plan_Orc[[#This Row],[01/jan]:[01/dez]])</f>
        <v>0</v>
      </c>
      <c r="AB1468" s="15"/>
      <c r="AC1468" s="15"/>
      <c r="AD1468" s="15"/>
      <c r="AE1468" s="15"/>
      <c r="AF1468" s="15"/>
      <c r="AG1468" s="15"/>
      <c r="AH1468" s="15"/>
      <c r="AI1468" s="15"/>
      <c r="AJ1468" s="15"/>
      <c r="AK1468" s="15"/>
      <c r="AL1468" s="15"/>
      <c r="AM1468" s="15"/>
    </row>
    <row r="1469" spans="2:39" ht="25.2" customHeight="1" x14ac:dyDescent="0.3">
      <c r="B1469" s="13" t="str">
        <f t="shared" si="26"/>
        <v/>
      </c>
      <c r="C1469" s="18"/>
      <c r="D1469" s="19" t="str">
        <f>IF(Tabela2[[#This Row],[AGRUPADOR]]&lt;&gt;"",VLOOKUP(Tabela2[[#This Row],[AGRUPADOR]],Tabela1[],2,0),"")</f>
        <v/>
      </c>
      <c r="E1469" s="19" t="str">
        <f>IF(Tabela2[[#This Row],[AGRUPADOR]]&lt;&gt;"",VLOOKUP(Tabela2[[#This Row],[AGRUPADOR]],Tabela1[],4,0),"")</f>
        <v/>
      </c>
      <c r="F1469" s="14"/>
      <c r="G1469" s="6"/>
      <c r="H1469" s="6"/>
      <c r="I1469" s="25"/>
      <c r="J1469" s="7"/>
      <c r="K1469" s="15"/>
      <c r="L1469" s="379">
        <f>IF(H1469&lt;&gt;"",J1469*K1469,SUMIFS(L1470:L$9844,$F1470:$F$9844,"*"&amp;F1469&amp;"*",$H1470:$H$9844,"&lt;&gt;"))</f>
        <v>0</v>
      </c>
      <c r="M1469" s="379" t="str">
        <f>IF(Tabela2[[#This Row],[UNID.]]&lt;&gt;"",IFERROR(VLOOKUP(Tabela2[[#This Row],[AGRUPADOR]],Lucratividade!$D$4:$O$129,6,0),0),"")</f>
        <v/>
      </c>
      <c r="N1469" s="379">
        <f>IF(H1469&lt;&gt;"",J1469*M1469*I1469,SUMIFS(N1470:N$9844,$F1470:$F$9844,"*"&amp;F1469&amp;"*",$H1470:$H$9844,"&lt;&gt;"))</f>
        <v>0</v>
      </c>
      <c r="O1469" s="162" t="str">
        <f>IFERROR((-Tabela2[[#This Row],[CUSTO TOTAL]]+Tabela2[[#This Row],[VENDA TOTAL]])/Tabela2[[#This Row],[VENDA TOTAL]]-PARAMETROS!$C$19,"")</f>
        <v/>
      </c>
      <c r="AA1469" s="219">
        <f>SUM(Plan_Orc[[#This Row],[01/jan]:[01/dez]])</f>
        <v>0</v>
      </c>
      <c r="AB1469" s="15"/>
      <c r="AC1469" s="15"/>
      <c r="AD1469" s="15"/>
      <c r="AE1469" s="15"/>
      <c r="AF1469" s="15"/>
      <c r="AG1469" s="15"/>
      <c r="AH1469" s="15"/>
      <c r="AI1469" s="15"/>
      <c r="AJ1469" s="15"/>
      <c r="AK1469" s="15"/>
      <c r="AL1469" s="15"/>
      <c r="AM1469" s="15"/>
    </row>
    <row r="1470" spans="2:39" ht="25.2" customHeight="1" x14ac:dyDescent="0.3">
      <c r="B1470" s="13" t="str">
        <f t="shared" si="26"/>
        <v/>
      </c>
      <c r="C1470" s="18"/>
      <c r="D1470" s="19" t="str">
        <f>IF(Tabela2[[#This Row],[AGRUPADOR]]&lt;&gt;"",VLOOKUP(Tabela2[[#This Row],[AGRUPADOR]],Tabela1[],2,0),"")</f>
        <v/>
      </c>
      <c r="E1470" s="19" t="str">
        <f>IF(Tabela2[[#This Row],[AGRUPADOR]]&lt;&gt;"",VLOOKUP(Tabela2[[#This Row],[AGRUPADOR]],Tabela1[],4,0),"")</f>
        <v/>
      </c>
      <c r="F1470" s="14"/>
      <c r="G1470" s="6"/>
      <c r="H1470" s="6"/>
      <c r="I1470" s="25"/>
      <c r="J1470" s="7"/>
      <c r="K1470" s="15"/>
      <c r="L1470" s="379">
        <f>IF(H1470&lt;&gt;"",J1470*K1470,SUMIFS(L1471:L$9844,$F1471:$F$9844,"*"&amp;F1470&amp;"*",$H1471:$H$9844,"&lt;&gt;"))</f>
        <v>0</v>
      </c>
      <c r="M1470" s="379" t="str">
        <f>IF(Tabela2[[#This Row],[UNID.]]&lt;&gt;"",IFERROR(VLOOKUP(Tabela2[[#This Row],[AGRUPADOR]],Lucratividade!$D$4:$O$129,6,0),0),"")</f>
        <v/>
      </c>
      <c r="N1470" s="379">
        <f>IF(H1470&lt;&gt;"",J1470*M1470*I1470,SUMIFS(N1471:N$9844,$F1471:$F$9844,"*"&amp;F1470&amp;"*",$H1471:$H$9844,"&lt;&gt;"))</f>
        <v>0</v>
      </c>
      <c r="O1470" s="162" t="str">
        <f>IFERROR((-Tabela2[[#This Row],[CUSTO TOTAL]]+Tabela2[[#This Row],[VENDA TOTAL]])/Tabela2[[#This Row],[VENDA TOTAL]]-PARAMETROS!$C$19,"")</f>
        <v/>
      </c>
      <c r="AA1470" s="219">
        <f>SUM(Plan_Orc[[#This Row],[01/jan]:[01/dez]])</f>
        <v>0</v>
      </c>
      <c r="AB1470" s="15"/>
      <c r="AC1470" s="15"/>
      <c r="AD1470" s="15"/>
      <c r="AE1470" s="15"/>
      <c r="AF1470" s="15"/>
      <c r="AG1470" s="15"/>
      <c r="AH1470" s="15"/>
      <c r="AI1470" s="15"/>
      <c r="AJ1470" s="15"/>
      <c r="AK1470" s="15"/>
      <c r="AL1470" s="15"/>
      <c r="AM1470" s="15"/>
    </row>
    <row r="1471" spans="2:39" ht="25.2" customHeight="1" x14ac:dyDescent="0.3">
      <c r="B1471" s="13" t="str">
        <f t="shared" si="26"/>
        <v/>
      </c>
      <c r="C1471" s="18"/>
      <c r="D1471" s="19" t="str">
        <f>IF(Tabela2[[#This Row],[AGRUPADOR]]&lt;&gt;"",VLOOKUP(Tabela2[[#This Row],[AGRUPADOR]],Tabela1[],2,0),"")</f>
        <v/>
      </c>
      <c r="E1471" s="19" t="str">
        <f>IF(Tabela2[[#This Row],[AGRUPADOR]]&lt;&gt;"",VLOOKUP(Tabela2[[#This Row],[AGRUPADOR]],Tabela1[],4,0),"")</f>
        <v/>
      </c>
      <c r="F1471" s="14"/>
      <c r="G1471" s="6"/>
      <c r="H1471" s="6"/>
      <c r="I1471" s="25"/>
      <c r="J1471" s="7"/>
      <c r="K1471" s="15"/>
      <c r="L1471" s="379">
        <f>IF(H1471&lt;&gt;"",J1471*K1471,SUMIFS(L1472:L$9844,$F1472:$F$9844,"*"&amp;F1471&amp;"*",$H1472:$H$9844,"&lt;&gt;"))</f>
        <v>0</v>
      </c>
      <c r="M1471" s="379" t="str">
        <f>IF(Tabela2[[#This Row],[UNID.]]&lt;&gt;"",IFERROR(VLOOKUP(Tabela2[[#This Row],[AGRUPADOR]],Lucratividade!$D$4:$O$129,6,0),0),"")</f>
        <v/>
      </c>
      <c r="N1471" s="379">
        <f>IF(H1471&lt;&gt;"",J1471*M1471*I1471,SUMIFS(N1472:N$9844,$F1472:$F$9844,"*"&amp;F1471&amp;"*",$H1472:$H$9844,"&lt;&gt;"))</f>
        <v>0</v>
      </c>
      <c r="O1471" s="162" t="str">
        <f>IFERROR((-Tabela2[[#This Row],[CUSTO TOTAL]]+Tabela2[[#This Row],[VENDA TOTAL]])/Tabela2[[#This Row],[VENDA TOTAL]]-PARAMETROS!$C$19,"")</f>
        <v/>
      </c>
      <c r="AA1471" s="219">
        <f>SUM(Plan_Orc[[#This Row],[01/jan]:[01/dez]])</f>
        <v>0</v>
      </c>
      <c r="AB1471" s="15"/>
      <c r="AC1471" s="15"/>
      <c r="AD1471" s="15"/>
      <c r="AE1471" s="15"/>
      <c r="AF1471" s="15"/>
      <c r="AG1471" s="15"/>
      <c r="AH1471" s="15"/>
      <c r="AI1471" s="15"/>
      <c r="AJ1471" s="15"/>
      <c r="AK1471" s="15"/>
      <c r="AL1471" s="15"/>
      <c r="AM1471" s="15"/>
    </row>
    <row r="1472" spans="2:39" ht="25.2" customHeight="1" x14ac:dyDescent="0.3">
      <c r="B1472" s="13" t="str">
        <f t="shared" si="26"/>
        <v/>
      </c>
      <c r="C1472" s="18"/>
      <c r="D1472" s="19" t="str">
        <f>IF(Tabela2[[#This Row],[AGRUPADOR]]&lt;&gt;"",VLOOKUP(Tabela2[[#This Row],[AGRUPADOR]],Tabela1[],2,0),"")</f>
        <v/>
      </c>
      <c r="E1472" s="19" t="str">
        <f>IF(Tabela2[[#This Row],[AGRUPADOR]]&lt;&gt;"",VLOOKUP(Tabela2[[#This Row],[AGRUPADOR]],Tabela1[],4,0),"")</f>
        <v/>
      </c>
      <c r="F1472" s="14"/>
      <c r="G1472" s="6"/>
      <c r="H1472" s="6"/>
      <c r="I1472" s="25"/>
      <c r="J1472" s="7"/>
      <c r="K1472" s="15"/>
      <c r="L1472" s="379">
        <f>IF(H1472&lt;&gt;"",J1472*K1472,SUMIFS(L1473:L$9844,$F1473:$F$9844,"*"&amp;F1472&amp;"*",$H1473:$H$9844,"&lt;&gt;"))</f>
        <v>0</v>
      </c>
      <c r="M1472" s="379" t="str">
        <f>IF(Tabela2[[#This Row],[UNID.]]&lt;&gt;"",IFERROR(VLOOKUP(Tabela2[[#This Row],[AGRUPADOR]],Lucratividade!$D$4:$O$129,6,0),0),"")</f>
        <v/>
      </c>
      <c r="N1472" s="379">
        <f>IF(H1472&lt;&gt;"",J1472*M1472*I1472,SUMIFS(N1473:N$9844,$F1473:$F$9844,"*"&amp;F1472&amp;"*",$H1473:$H$9844,"&lt;&gt;"))</f>
        <v>0</v>
      </c>
      <c r="O1472" s="162" t="str">
        <f>IFERROR((-Tabela2[[#This Row],[CUSTO TOTAL]]+Tabela2[[#This Row],[VENDA TOTAL]])/Tabela2[[#This Row],[VENDA TOTAL]]-PARAMETROS!$C$19,"")</f>
        <v/>
      </c>
      <c r="AA1472" s="219">
        <f>SUM(Plan_Orc[[#This Row],[01/jan]:[01/dez]])</f>
        <v>0</v>
      </c>
      <c r="AB1472" s="15"/>
      <c r="AC1472" s="15"/>
      <c r="AD1472" s="15"/>
      <c r="AE1472" s="15"/>
      <c r="AF1472" s="15"/>
      <c r="AG1472" s="15"/>
      <c r="AH1472" s="15"/>
      <c r="AI1472" s="15"/>
      <c r="AJ1472" s="15"/>
      <c r="AK1472" s="15"/>
      <c r="AL1472" s="15"/>
      <c r="AM1472" s="15"/>
    </row>
    <row r="1473" spans="2:39" ht="25.2" customHeight="1" x14ac:dyDescent="0.3">
      <c r="B1473" s="13" t="str">
        <f t="shared" si="26"/>
        <v/>
      </c>
      <c r="C1473" s="18"/>
      <c r="D1473" s="19" t="str">
        <f>IF(Tabela2[[#This Row],[AGRUPADOR]]&lt;&gt;"",VLOOKUP(Tabela2[[#This Row],[AGRUPADOR]],Tabela1[],2,0),"")</f>
        <v/>
      </c>
      <c r="E1473" s="19" t="str">
        <f>IF(Tabela2[[#This Row],[AGRUPADOR]]&lt;&gt;"",VLOOKUP(Tabela2[[#This Row],[AGRUPADOR]],Tabela1[],4,0),"")</f>
        <v/>
      </c>
      <c r="F1473" s="14"/>
      <c r="G1473" s="6"/>
      <c r="H1473" s="6"/>
      <c r="I1473" s="25"/>
      <c r="J1473" s="7"/>
      <c r="K1473" s="15"/>
      <c r="L1473" s="379">
        <f>IF(H1473&lt;&gt;"",J1473*K1473,SUMIFS(L1474:L$9844,$F1474:$F$9844,"*"&amp;F1473&amp;"*",$H1474:$H$9844,"&lt;&gt;"))</f>
        <v>0</v>
      </c>
      <c r="M1473" s="379" t="str">
        <f>IF(Tabela2[[#This Row],[UNID.]]&lt;&gt;"",IFERROR(VLOOKUP(Tabela2[[#This Row],[AGRUPADOR]],Lucratividade!$D$4:$O$129,6,0),0),"")</f>
        <v/>
      </c>
      <c r="N1473" s="379">
        <f>IF(H1473&lt;&gt;"",J1473*M1473*I1473,SUMIFS(N1474:N$9844,$F1474:$F$9844,"*"&amp;F1473&amp;"*",$H1474:$H$9844,"&lt;&gt;"))</f>
        <v>0</v>
      </c>
      <c r="O1473" s="162" t="str">
        <f>IFERROR((-Tabela2[[#This Row],[CUSTO TOTAL]]+Tabela2[[#This Row],[VENDA TOTAL]])/Tabela2[[#This Row],[VENDA TOTAL]]-PARAMETROS!$C$19,"")</f>
        <v/>
      </c>
      <c r="AA1473" s="219">
        <f>SUM(Plan_Orc[[#This Row],[01/jan]:[01/dez]])</f>
        <v>0</v>
      </c>
      <c r="AB1473" s="15"/>
      <c r="AC1473" s="15"/>
      <c r="AD1473" s="15"/>
      <c r="AE1473" s="15"/>
      <c r="AF1473" s="15"/>
      <c r="AG1473" s="15"/>
      <c r="AH1473" s="15"/>
      <c r="AI1473" s="15"/>
      <c r="AJ1473" s="15"/>
      <c r="AK1473" s="15"/>
      <c r="AL1473" s="15"/>
      <c r="AM1473" s="15"/>
    </row>
    <row r="1474" spans="2:39" ht="25.2" customHeight="1" x14ac:dyDescent="0.3">
      <c r="B1474" s="13" t="str">
        <f t="shared" si="26"/>
        <v/>
      </c>
      <c r="C1474" s="18"/>
      <c r="D1474" s="19" t="str">
        <f>IF(Tabela2[[#This Row],[AGRUPADOR]]&lt;&gt;"",VLOOKUP(Tabela2[[#This Row],[AGRUPADOR]],Tabela1[],2,0),"")</f>
        <v/>
      </c>
      <c r="E1474" s="19" t="str">
        <f>IF(Tabela2[[#This Row],[AGRUPADOR]]&lt;&gt;"",VLOOKUP(Tabela2[[#This Row],[AGRUPADOR]],Tabela1[],4,0),"")</f>
        <v/>
      </c>
      <c r="F1474" s="14"/>
      <c r="G1474" s="6"/>
      <c r="H1474" s="6"/>
      <c r="I1474" s="25"/>
      <c r="J1474" s="7"/>
      <c r="K1474" s="15"/>
      <c r="L1474" s="379">
        <f>IF(H1474&lt;&gt;"",J1474*K1474,SUMIFS(L1475:L$9844,$F1475:$F$9844,"*"&amp;F1474&amp;"*",$H1475:$H$9844,"&lt;&gt;"))</f>
        <v>0</v>
      </c>
      <c r="M1474" s="379" t="str">
        <f>IF(Tabela2[[#This Row],[UNID.]]&lt;&gt;"",IFERROR(VLOOKUP(Tabela2[[#This Row],[AGRUPADOR]],Lucratividade!$D$4:$O$129,6,0),0),"")</f>
        <v/>
      </c>
      <c r="N1474" s="379">
        <f>IF(H1474&lt;&gt;"",J1474*M1474*I1474,SUMIFS(N1475:N$9844,$F1475:$F$9844,"*"&amp;F1474&amp;"*",$H1475:$H$9844,"&lt;&gt;"))</f>
        <v>0</v>
      </c>
      <c r="O1474" s="162" t="str">
        <f>IFERROR((-Tabela2[[#This Row],[CUSTO TOTAL]]+Tabela2[[#This Row],[VENDA TOTAL]])/Tabela2[[#This Row],[VENDA TOTAL]]-PARAMETROS!$C$19,"")</f>
        <v/>
      </c>
      <c r="AA1474" s="219">
        <f>SUM(Plan_Orc[[#This Row],[01/jan]:[01/dez]])</f>
        <v>0</v>
      </c>
      <c r="AB1474" s="15"/>
      <c r="AC1474" s="15"/>
      <c r="AD1474" s="15"/>
      <c r="AE1474" s="15"/>
      <c r="AF1474" s="15"/>
      <c r="AG1474" s="15"/>
      <c r="AH1474" s="15"/>
      <c r="AI1474" s="15"/>
      <c r="AJ1474" s="15"/>
      <c r="AK1474" s="15"/>
      <c r="AL1474" s="15"/>
      <c r="AM1474" s="15"/>
    </row>
    <row r="1475" spans="2:39" ht="25.2" customHeight="1" x14ac:dyDescent="0.3">
      <c r="B1475" s="13" t="str">
        <f t="shared" si="26"/>
        <v/>
      </c>
      <c r="C1475" s="18"/>
      <c r="D1475" s="19" t="str">
        <f>IF(Tabela2[[#This Row],[AGRUPADOR]]&lt;&gt;"",VLOOKUP(Tabela2[[#This Row],[AGRUPADOR]],Tabela1[],2,0),"")</f>
        <v/>
      </c>
      <c r="E1475" s="19" t="str">
        <f>IF(Tabela2[[#This Row],[AGRUPADOR]]&lt;&gt;"",VLOOKUP(Tabela2[[#This Row],[AGRUPADOR]],Tabela1[],4,0),"")</f>
        <v/>
      </c>
      <c r="F1475" s="14"/>
      <c r="G1475" s="6"/>
      <c r="H1475" s="6"/>
      <c r="I1475" s="25"/>
      <c r="J1475" s="7"/>
      <c r="K1475" s="15"/>
      <c r="L1475" s="379">
        <f>IF(H1475&lt;&gt;"",J1475*K1475,SUMIFS(L1476:L$9844,$F1476:$F$9844,"*"&amp;F1475&amp;"*",$H1476:$H$9844,"&lt;&gt;"))</f>
        <v>0</v>
      </c>
      <c r="M1475" s="379" t="str">
        <f>IF(Tabela2[[#This Row],[UNID.]]&lt;&gt;"",IFERROR(VLOOKUP(Tabela2[[#This Row],[AGRUPADOR]],Lucratividade!$D$4:$O$129,6,0),0),"")</f>
        <v/>
      </c>
      <c r="N1475" s="379">
        <f>IF(H1475&lt;&gt;"",J1475*M1475*I1475,SUMIFS(N1476:N$9844,$F1476:$F$9844,"*"&amp;F1475&amp;"*",$H1476:$H$9844,"&lt;&gt;"))</f>
        <v>0</v>
      </c>
      <c r="O1475" s="162" t="str">
        <f>IFERROR((-Tabela2[[#This Row],[CUSTO TOTAL]]+Tabela2[[#This Row],[VENDA TOTAL]])/Tabela2[[#This Row],[VENDA TOTAL]]-PARAMETROS!$C$19,"")</f>
        <v/>
      </c>
      <c r="AA1475" s="219">
        <f>SUM(Plan_Orc[[#This Row],[01/jan]:[01/dez]])</f>
        <v>0</v>
      </c>
      <c r="AB1475" s="15"/>
      <c r="AC1475" s="15"/>
      <c r="AD1475" s="15"/>
      <c r="AE1475" s="15"/>
      <c r="AF1475" s="15"/>
      <c r="AG1475" s="15"/>
      <c r="AH1475" s="15"/>
      <c r="AI1475" s="15"/>
      <c r="AJ1475" s="15"/>
      <c r="AK1475" s="15"/>
      <c r="AL1475" s="15"/>
      <c r="AM1475" s="15"/>
    </row>
    <row r="1476" spans="2:39" ht="25.2" customHeight="1" x14ac:dyDescent="0.3">
      <c r="B1476" s="13" t="str">
        <f t="shared" ref="B1476:B1539" si="27">IF(LEN(F1476)=3,1,"")</f>
        <v/>
      </c>
      <c r="C1476" s="18"/>
      <c r="D1476" s="19" t="str">
        <f>IF(Tabela2[[#This Row],[AGRUPADOR]]&lt;&gt;"",VLOOKUP(Tabela2[[#This Row],[AGRUPADOR]],Tabela1[],2,0),"")</f>
        <v/>
      </c>
      <c r="E1476" s="19" t="str">
        <f>IF(Tabela2[[#This Row],[AGRUPADOR]]&lt;&gt;"",VLOOKUP(Tabela2[[#This Row],[AGRUPADOR]],Tabela1[],4,0),"")</f>
        <v/>
      </c>
      <c r="F1476" s="14"/>
      <c r="G1476" s="6"/>
      <c r="H1476" s="6"/>
      <c r="I1476" s="25"/>
      <c r="J1476" s="7"/>
      <c r="K1476" s="15"/>
      <c r="L1476" s="379">
        <f>IF(H1476&lt;&gt;"",J1476*K1476,SUMIFS(L1477:L$9844,$F1477:$F$9844,"*"&amp;F1476&amp;"*",$H1477:$H$9844,"&lt;&gt;"))</f>
        <v>0</v>
      </c>
      <c r="M1476" s="379" t="str">
        <f>IF(Tabela2[[#This Row],[UNID.]]&lt;&gt;"",IFERROR(VLOOKUP(Tabela2[[#This Row],[AGRUPADOR]],Lucratividade!$D$4:$O$129,6,0),0),"")</f>
        <v/>
      </c>
      <c r="N1476" s="379">
        <f>IF(H1476&lt;&gt;"",J1476*M1476*I1476,SUMIFS(N1477:N$9844,$F1477:$F$9844,"*"&amp;F1476&amp;"*",$H1477:$H$9844,"&lt;&gt;"))</f>
        <v>0</v>
      </c>
      <c r="O1476" s="162" t="str">
        <f>IFERROR((-Tabela2[[#This Row],[CUSTO TOTAL]]+Tabela2[[#This Row],[VENDA TOTAL]])/Tabela2[[#This Row],[VENDA TOTAL]]-PARAMETROS!$C$19,"")</f>
        <v/>
      </c>
      <c r="AA1476" s="218">
        <f>SUM(Plan_Orc[[#This Row],[01/jan]:[01/dez]])</f>
        <v>0</v>
      </c>
      <c r="AB1476" s="12"/>
      <c r="AC1476" s="12"/>
      <c r="AD1476" s="12"/>
      <c r="AE1476" s="12"/>
      <c r="AF1476" s="12"/>
      <c r="AG1476" s="12"/>
      <c r="AH1476" s="12"/>
      <c r="AI1476" s="12"/>
      <c r="AJ1476" s="12"/>
      <c r="AK1476" s="12"/>
      <c r="AL1476" s="12"/>
      <c r="AM1476" s="12"/>
    </row>
    <row r="1477" spans="2:39" ht="25.2" customHeight="1" x14ac:dyDescent="0.3">
      <c r="B1477" s="13" t="str">
        <f t="shared" si="27"/>
        <v/>
      </c>
      <c r="C1477" s="18"/>
      <c r="D1477" s="19" t="str">
        <f>IF(Tabela2[[#This Row],[AGRUPADOR]]&lt;&gt;"",VLOOKUP(Tabela2[[#This Row],[AGRUPADOR]],Tabela1[],2,0),"")</f>
        <v/>
      </c>
      <c r="E1477" s="19" t="str">
        <f>IF(Tabela2[[#This Row],[AGRUPADOR]]&lt;&gt;"",VLOOKUP(Tabela2[[#This Row],[AGRUPADOR]],Tabela1[],4,0),"")</f>
        <v/>
      </c>
      <c r="F1477" s="14"/>
      <c r="G1477" s="6"/>
      <c r="H1477" s="6"/>
      <c r="I1477" s="25"/>
      <c r="J1477" s="7"/>
      <c r="K1477" s="15"/>
      <c r="L1477" s="379">
        <f>IF(H1477&lt;&gt;"",J1477*K1477,SUMIFS(L1478:L$9844,$F1478:$F$9844,"*"&amp;F1477&amp;"*",$H1478:$H$9844,"&lt;&gt;"))</f>
        <v>0</v>
      </c>
      <c r="M1477" s="379" t="str">
        <f>IF(Tabela2[[#This Row],[UNID.]]&lt;&gt;"",IFERROR(VLOOKUP(Tabela2[[#This Row],[AGRUPADOR]],Lucratividade!$D$4:$O$129,6,0),0),"")</f>
        <v/>
      </c>
      <c r="N1477" s="379">
        <f>IF(H1477&lt;&gt;"",J1477*M1477*I1477,SUMIFS(N1478:N$9844,$F1478:$F$9844,"*"&amp;F1477&amp;"*",$H1478:$H$9844,"&lt;&gt;"))</f>
        <v>0</v>
      </c>
      <c r="O1477" s="162" t="str">
        <f>IFERROR((-Tabela2[[#This Row],[CUSTO TOTAL]]+Tabela2[[#This Row],[VENDA TOTAL]])/Tabela2[[#This Row],[VENDA TOTAL]]-PARAMETROS!$C$19,"")</f>
        <v/>
      </c>
      <c r="AA1477" s="219">
        <f>SUM(Plan_Orc[[#This Row],[01/jan]:[01/dez]])</f>
        <v>0</v>
      </c>
      <c r="AB1477" s="15"/>
      <c r="AC1477" s="15"/>
      <c r="AD1477" s="15"/>
      <c r="AE1477" s="15"/>
      <c r="AF1477" s="15"/>
      <c r="AG1477" s="15"/>
      <c r="AH1477" s="15"/>
      <c r="AI1477" s="15"/>
      <c r="AJ1477" s="15"/>
      <c r="AK1477" s="15"/>
      <c r="AL1477" s="15"/>
      <c r="AM1477" s="15"/>
    </row>
    <row r="1478" spans="2:39" ht="25.2" customHeight="1" x14ac:dyDescent="0.3">
      <c r="B1478" s="13" t="str">
        <f t="shared" si="27"/>
        <v/>
      </c>
      <c r="C1478" s="18"/>
      <c r="D1478" s="19" t="str">
        <f>IF(Tabela2[[#This Row],[AGRUPADOR]]&lt;&gt;"",VLOOKUP(Tabela2[[#This Row],[AGRUPADOR]],Tabela1[],2,0),"")</f>
        <v/>
      </c>
      <c r="E1478" s="19" t="str">
        <f>IF(Tabela2[[#This Row],[AGRUPADOR]]&lt;&gt;"",VLOOKUP(Tabela2[[#This Row],[AGRUPADOR]],Tabela1[],4,0),"")</f>
        <v/>
      </c>
      <c r="F1478" s="14"/>
      <c r="G1478" s="6"/>
      <c r="H1478" s="6"/>
      <c r="I1478" s="25"/>
      <c r="J1478" s="7"/>
      <c r="K1478" s="15"/>
      <c r="L1478" s="379">
        <f>IF(H1478&lt;&gt;"",J1478*K1478,SUMIFS(L1479:L$9844,$F1479:$F$9844,"*"&amp;F1478&amp;"*",$H1479:$H$9844,"&lt;&gt;"))</f>
        <v>0</v>
      </c>
      <c r="M1478" s="379" t="str">
        <f>IF(Tabela2[[#This Row],[UNID.]]&lt;&gt;"",IFERROR(VLOOKUP(Tabela2[[#This Row],[AGRUPADOR]],Lucratividade!$D$4:$O$129,6,0),0),"")</f>
        <v/>
      </c>
      <c r="N1478" s="379">
        <f>IF(H1478&lt;&gt;"",J1478*M1478*I1478,SUMIFS(N1479:N$9844,$F1479:$F$9844,"*"&amp;F1478&amp;"*",$H1479:$H$9844,"&lt;&gt;"))</f>
        <v>0</v>
      </c>
      <c r="O1478" s="162" t="str">
        <f>IFERROR((-Tabela2[[#This Row],[CUSTO TOTAL]]+Tabela2[[#This Row],[VENDA TOTAL]])/Tabela2[[#This Row],[VENDA TOTAL]]-PARAMETROS!$C$19,"")</f>
        <v/>
      </c>
      <c r="AA1478" s="219">
        <f>SUM(Plan_Orc[[#This Row],[01/jan]:[01/dez]])</f>
        <v>0</v>
      </c>
      <c r="AB1478" s="15"/>
      <c r="AC1478" s="15"/>
      <c r="AD1478" s="15"/>
      <c r="AE1478" s="15"/>
      <c r="AF1478" s="15"/>
      <c r="AG1478" s="15"/>
      <c r="AH1478" s="15"/>
      <c r="AI1478" s="15"/>
      <c r="AJ1478" s="15"/>
      <c r="AK1478" s="15"/>
      <c r="AL1478" s="15"/>
      <c r="AM1478" s="15"/>
    </row>
    <row r="1479" spans="2:39" ht="25.2" customHeight="1" x14ac:dyDescent="0.3">
      <c r="B1479" s="13" t="str">
        <f t="shared" si="27"/>
        <v/>
      </c>
      <c r="C1479" s="18"/>
      <c r="D1479" s="19" t="str">
        <f>IF(Tabela2[[#This Row],[AGRUPADOR]]&lt;&gt;"",VLOOKUP(Tabela2[[#This Row],[AGRUPADOR]],Tabela1[],2,0),"")</f>
        <v/>
      </c>
      <c r="E1479" s="19" t="str">
        <f>IF(Tabela2[[#This Row],[AGRUPADOR]]&lt;&gt;"",VLOOKUP(Tabela2[[#This Row],[AGRUPADOR]],Tabela1[],4,0),"")</f>
        <v/>
      </c>
      <c r="F1479" s="14"/>
      <c r="G1479" s="6"/>
      <c r="H1479" s="6"/>
      <c r="I1479" s="25"/>
      <c r="J1479" s="7"/>
      <c r="K1479" s="15"/>
      <c r="L1479" s="379">
        <f>IF(H1479&lt;&gt;"",J1479*K1479,SUMIFS(L1480:L$9844,$F1480:$F$9844,"*"&amp;F1479&amp;"*",$H1480:$H$9844,"&lt;&gt;"))</f>
        <v>0</v>
      </c>
      <c r="M1479" s="379" t="str">
        <f>IF(Tabela2[[#This Row],[UNID.]]&lt;&gt;"",IFERROR(VLOOKUP(Tabela2[[#This Row],[AGRUPADOR]],Lucratividade!$D$4:$O$129,6,0),0),"")</f>
        <v/>
      </c>
      <c r="N1479" s="379">
        <f>IF(H1479&lt;&gt;"",J1479*M1479*I1479,SUMIFS(N1480:N$9844,$F1480:$F$9844,"*"&amp;F1479&amp;"*",$H1480:$H$9844,"&lt;&gt;"))</f>
        <v>0</v>
      </c>
      <c r="O1479" s="162" t="str">
        <f>IFERROR((-Tabela2[[#This Row],[CUSTO TOTAL]]+Tabela2[[#This Row],[VENDA TOTAL]])/Tabela2[[#This Row],[VENDA TOTAL]]-PARAMETROS!$C$19,"")</f>
        <v/>
      </c>
      <c r="AA1479" s="219">
        <f>SUM(Plan_Orc[[#This Row],[01/jan]:[01/dez]])</f>
        <v>0</v>
      </c>
      <c r="AB1479" s="15"/>
      <c r="AC1479" s="15"/>
      <c r="AD1479" s="15"/>
      <c r="AE1479" s="15"/>
      <c r="AF1479" s="15"/>
      <c r="AG1479" s="15"/>
      <c r="AH1479" s="15"/>
      <c r="AI1479" s="15"/>
      <c r="AJ1479" s="15"/>
      <c r="AK1479" s="15"/>
      <c r="AL1479" s="15"/>
      <c r="AM1479" s="15"/>
    </row>
    <row r="1480" spans="2:39" ht="25.2" customHeight="1" x14ac:dyDescent="0.3">
      <c r="B1480" s="13" t="str">
        <f t="shared" si="27"/>
        <v/>
      </c>
      <c r="C1480" s="18"/>
      <c r="D1480" s="19" t="str">
        <f>IF(Tabela2[[#This Row],[AGRUPADOR]]&lt;&gt;"",VLOOKUP(Tabela2[[#This Row],[AGRUPADOR]],Tabela1[],2,0),"")</f>
        <v/>
      </c>
      <c r="E1480" s="19" t="str">
        <f>IF(Tabela2[[#This Row],[AGRUPADOR]]&lt;&gt;"",VLOOKUP(Tabela2[[#This Row],[AGRUPADOR]],Tabela1[],4,0),"")</f>
        <v/>
      </c>
      <c r="F1480" s="14"/>
      <c r="G1480" s="6"/>
      <c r="H1480" s="6"/>
      <c r="I1480" s="25"/>
      <c r="J1480" s="7"/>
      <c r="K1480" s="15"/>
      <c r="L1480" s="379">
        <f>IF(H1480&lt;&gt;"",J1480*K1480,SUMIFS(L1481:L$9844,$F1481:$F$9844,"*"&amp;F1480&amp;"*",$H1481:$H$9844,"&lt;&gt;"))</f>
        <v>0</v>
      </c>
      <c r="M1480" s="379" t="str">
        <f>IF(Tabela2[[#This Row],[UNID.]]&lt;&gt;"",IFERROR(VLOOKUP(Tabela2[[#This Row],[AGRUPADOR]],Lucratividade!$D$4:$O$129,6,0),0),"")</f>
        <v/>
      </c>
      <c r="N1480" s="379">
        <f>IF(H1480&lt;&gt;"",J1480*M1480*I1480,SUMIFS(N1481:N$9844,$F1481:$F$9844,"*"&amp;F1480&amp;"*",$H1481:$H$9844,"&lt;&gt;"))</f>
        <v>0</v>
      </c>
      <c r="O1480" s="162" t="str">
        <f>IFERROR((-Tabela2[[#This Row],[CUSTO TOTAL]]+Tabela2[[#This Row],[VENDA TOTAL]])/Tabela2[[#This Row],[VENDA TOTAL]]-PARAMETROS!$C$19,"")</f>
        <v/>
      </c>
      <c r="AA1480" s="219">
        <f>SUM(Plan_Orc[[#This Row],[01/jan]:[01/dez]])</f>
        <v>0</v>
      </c>
      <c r="AB1480" s="15"/>
      <c r="AC1480" s="15"/>
      <c r="AD1480" s="15"/>
      <c r="AE1480" s="15"/>
      <c r="AF1480" s="15"/>
      <c r="AG1480" s="15"/>
      <c r="AH1480" s="15"/>
      <c r="AI1480" s="15"/>
      <c r="AJ1480" s="15"/>
      <c r="AK1480" s="15"/>
      <c r="AL1480" s="15"/>
      <c r="AM1480" s="15"/>
    </row>
    <row r="1481" spans="2:39" ht="25.2" customHeight="1" x14ac:dyDescent="0.3">
      <c r="B1481" s="13" t="str">
        <f t="shared" si="27"/>
        <v/>
      </c>
      <c r="C1481" s="18"/>
      <c r="D1481" s="19" t="str">
        <f>IF(Tabela2[[#This Row],[AGRUPADOR]]&lt;&gt;"",VLOOKUP(Tabela2[[#This Row],[AGRUPADOR]],Tabela1[],2,0),"")</f>
        <v/>
      </c>
      <c r="E1481" s="19" t="str">
        <f>IF(Tabela2[[#This Row],[AGRUPADOR]]&lt;&gt;"",VLOOKUP(Tabela2[[#This Row],[AGRUPADOR]],Tabela1[],4,0),"")</f>
        <v/>
      </c>
      <c r="F1481" s="14"/>
      <c r="G1481" s="6"/>
      <c r="H1481" s="6"/>
      <c r="I1481" s="25"/>
      <c r="J1481" s="7"/>
      <c r="K1481" s="15"/>
      <c r="L1481" s="379">
        <f>IF(H1481&lt;&gt;"",J1481*K1481,SUMIFS(L1482:L$9844,$F1482:$F$9844,"*"&amp;F1481&amp;"*",$H1482:$H$9844,"&lt;&gt;"))</f>
        <v>0</v>
      </c>
      <c r="M1481" s="379" t="str">
        <f>IF(Tabela2[[#This Row],[UNID.]]&lt;&gt;"",IFERROR(VLOOKUP(Tabela2[[#This Row],[AGRUPADOR]],Lucratividade!$D$4:$O$129,6,0),0),"")</f>
        <v/>
      </c>
      <c r="N1481" s="379">
        <f>IF(H1481&lt;&gt;"",J1481*M1481*I1481,SUMIFS(N1482:N$9844,$F1482:$F$9844,"*"&amp;F1481&amp;"*",$H1482:$H$9844,"&lt;&gt;"))</f>
        <v>0</v>
      </c>
      <c r="O1481" s="162" t="str">
        <f>IFERROR((-Tabela2[[#This Row],[CUSTO TOTAL]]+Tabela2[[#This Row],[VENDA TOTAL]])/Tabela2[[#This Row],[VENDA TOTAL]]-PARAMETROS!$C$19,"")</f>
        <v/>
      </c>
      <c r="AA1481" s="219">
        <f>SUM(Plan_Orc[[#This Row],[01/jan]:[01/dez]])</f>
        <v>0</v>
      </c>
      <c r="AB1481" s="15"/>
      <c r="AC1481" s="15"/>
      <c r="AD1481" s="15"/>
      <c r="AE1481" s="15"/>
      <c r="AF1481" s="15"/>
      <c r="AG1481" s="15"/>
      <c r="AH1481" s="15"/>
      <c r="AI1481" s="15"/>
      <c r="AJ1481" s="15"/>
      <c r="AK1481" s="15"/>
      <c r="AL1481" s="15"/>
      <c r="AM1481" s="15"/>
    </row>
    <row r="1482" spans="2:39" ht="25.2" customHeight="1" x14ac:dyDescent="0.3">
      <c r="B1482" s="13" t="str">
        <f t="shared" si="27"/>
        <v/>
      </c>
      <c r="C1482" s="18"/>
      <c r="D1482" s="19" t="str">
        <f>IF(Tabela2[[#This Row],[AGRUPADOR]]&lt;&gt;"",VLOOKUP(Tabela2[[#This Row],[AGRUPADOR]],Tabela1[],2,0),"")</f>
        <v/>
      </c>
      <c r="E1482" s="19" t="str">
        <f>IF(Tabela2[[#This Row],[AGRUPADOR]]&lt;&gt;"",VLOOKUP(Tabela2[[#This Row],[AGRUPADOR]],Tabela1[],4,0),"")</f>
        <v/>
      </c>
      <c r="F1482" s="14"/>
      <c r="G1482" s="6"/>
      <c r="H1482" s="6"/>
      <c r="I1482" s="25"/>
      <c r="J1482" s="7"/>
      <c r="K1482" s="15"/>
      <c r="L1482" s="379">
        <f>IF(H1482&lt;&gt;"",J1482*K1482,SUMIFS(L1483:L$9844,$F1483:$F$9844,"*"&amp;F1482&amp;"*",$H1483:$H$9844,"&lt;&gt;"))</f>
        <v>0</v>
      </c>
      <c r="M1482" s="379" t="str">
        <f>IF(Tabela2[[#This Row],[UNID.]]&lt;&gt;"",IFERROR(VLOOKUP(Tabela2[[#This Row],[AGRUPADOR]],Lucratividade!$D$4:$O$129,6,0),0),"")</f>
        <v/>
      </c>
      <c r="N1482" s="379">
        <f>IF(H1482&lt;&gt;"",J1482*M1482*I1482,SUMIFS(N1483:N$9844,$F1483:$F$9844,"*"&amp;F1482&amp;"*",$H1483:$H$9844,"&lt;&gt;"))</f>
        <v>0</v>
      </c>
      <c r="O1482" s="162" t="str">
        <f>IFERROR((-Tabela2[[#This Row],[CUSTO TOTAL]]+Tabela2[[#This Row],[VENDA TOTAL]])/Tabela2[[#This Row],[VENDA TOTAL]]-PARAMETROS!$C$19,"")</f>
        <v/>
      </c>
      <c r="AA1482" s="219">
        <f>SUM(Plan_Orc[[#This Row],[01/jan]:[01/dez]])</f>
        <v>0</v>
      </c>
      <c r="AB1482" s="15"/>
      <c r="AC1482" s="15"/>
      <c r="AD1482" s="15"/>
      <c r="AE1482" s="15"/>
      <c r="AF1482" s="15"/>
      <c r="AG1482" s="15"/>
      <c r="AH1482" s="15"/>
      <c r="AI1482" s="15"/>
      <c r="AJ1482" s="15"/>
      <c r="AK1482" s="15"/>
      <c r="AL1482" s="15"/>
      <c r="AM1482" s="15"/>
    </row>
    <row r="1483" spans="2:39" ht="25.2" customHeight="1" x14ac:dyDescent="0.3">
      <c r="B1483" s="13" t="str">
        <f t="shared" si="27"/>
        <v/>
      </c>
      <c r="C1483" s="18"/>
      <c r="D1483" s="19" t="str">
        <f>IF(Tabela2[[#This Row],[AGRUPADOR]]&lt;&gt;"",VLOOKUP(Tabela2[[#This Row],[AGRUPADOR]],Tabela1[],2,0),"")</f>
        <v/>
      </c>
      <c r="E1483" s="19" t="str">
        <f>IF(Tabela2[[#This Row],[AGRUPADOR]]&lt;&gt;"",VLOOKUP(Tabela2[[#This Row],[AGRUPADOR]],Tabela1[],4,0),"")</f>
        <v/>
      </c>
      <c r="F1483" s="14"/>
      <c r="G1483" s="6"/>
      <c r="H1483" s="6"/>
      <c r="I1483" s="25"/>
      <c r="J1483" s="7"/>
      <c r="K1483" s="15"/>
      <c r="L1483" s="379">
        <f>IF(H1483&lt;&gt;"",J1483*K1483,SUMIFS(L1484:L$9844,$F1484:$F$9844,"*"&amp;F1483&amp;"*",$H1484:$H$9844,"&lt;&gt;"))</f>
        <v>0</v>
      </c>
      <c r="M1483" s="379" t="str">
        <f>IF(Tabela2[[#This Row],[UNID.]]&lt;&gt;"",IFERROR(VLOOKUP(Tabela2[[#This Row],[AGRUPADOR]],Lucratividade!$D$4:$O$129,6,0),0),"")</f>
        <v/>
      </c>
      <c r="N1483" s="379">
        <f>IF(H1483&lt;&gt;"",J1483*M1483*I1483,SUMIFS(N1484:N$9844,$F1484:$F$9844,"*"&amp;F1483&amp;"*",$H1484:$H$9844,"&lt;&gt;"))</f>
        <v>0</v>
      </c>
      <c r="O1483" s="162" t="str">
        <f>IFERROR((-Tabela2[[#This Row],[CUSTO TOTAL]]+Tabela2[[#This Row],[VENDA TOTAL]])/Tabela2[[#This Row],[VENDA TOTAL]]-PARAMETROS!$C$19,"")</f>
        <v/>
      </c>
      <c r="AA1483" s="219">
        <f>SUM(Plan_Orc[[#This Row],[01/jan]:[01/dez]])</f>
        <v>0</v>
      </c>
      <c r="AB1483" s="15"/>
      <c r="AC1483" s="15"/>
      <c r="AD1483" s="15"/>
      <c r="AE1483" s="15"/>
      <c r="AF1483" s="15"/>
      <c r="AG1483" s="15"/>
      <c r="AH1483" s="15"/>
      <c r="AI1483" s="15"/>
      <c r="AJ1483" s="15"/>
      <c r="AK1483" s="15"/>
      <c r="AL1483" s="15"/>
      <c r="AM1483" s="15"/>
    </row>
    <row r="1484" spans="2:39" ht="25.2" customHeight="1" x14ac:dyDescent="0.3">
      <c r="B1484" s="13" t="str">
        <f t="shared" si="27"/>
        <v/>
      </c>
      <c r="C1484" s="18"/>
      <c r="D1484" s="19" t="str">
        <f>IF(Tabela2[[#This Row],[AGRUPADOR]]&lt;&gt;"",VLOOKUP(Tabela2[[#This Row],[AGRUPADOR]],Tabela1[],2,0),"")</f>
        <v/>
      </c>
      <c r="E1484" s="19" t="str">
        <f>IF(Tabela2[[#This Row],[AGRUPADOR]]&lt;&gt;"",VLOOKUP(Tabela2[[#This Row],[AGRUPADOR]],Tabela1[],4,0),"")</f>
        <v/>
      </c>
      <c r="F1484" s="14"/>
      <c r="G1484" s="6"/>
      <c r="H1484" s="6"/>
      <c r="I1484" s="25"/>
      <c r="J1484" s="7"/>
      <c r="K1484" s="15"/>
      <c r="L1484" s="379">
        <f>IF(H1484&lt;&gt;"",J1484*K1484,SUMIFS(L1485:L$9844,$F1485:$F$9844,"*"&amp;F1484&amp;"*",$H1485:$H$9844,"&lt;&gt;"))</f>
        <v>0</v>
      </c>
      <c r="M1484" s="379" t="str">
        <f>IF(Tabela2[[#This Row],[UNID.]]&lt;&gt;"",IFERROR(VLOOKUP(Tabela2[[#This Row],[AGRUPADOR]],Lucratividade!$D$4:$O$129,6,0),0),"")</f>
        <v/>
      </c>
      <c r="N1484" s="379">
        <f>IF(H1484&lt;&gt;"",J1484*M1484*I1484,SUMIFS(N1485:N$9844,$F1485:$F$9844,"*"&amp;F1484&amp;"*",$H1485:$H$9844,"&lt;&gt;"))</f>
        <v>0</v>
      </c>
      <c r="O1484" s="162" t="str">
        <f>IFERROR((-Tabela2[[#This Row],[CUSTO TOTAL]]+Tabela2[[#This Row],[VENDA TOTAL]])/Tabela2[[#This Row],[VENDA TOTAL]]-PARAMETROS!$C$19,"")</f>
        <v/>
      </c>
      <c r="AA1484" s="219">
        <f>SUM(Plan_Orc[[#This Row],[01/jan]:[01/dez]])</f>
        <v>0</v>
      </c>
      <c r="AB1484" s="15"/>
      <c r="AC1484" s="15"/>
      <c r="AD1484" s="15"/>
      <c r="AE1484" s="15"/>
      <c r="AF1484" s="15"/>
      <c r="AG1484" s="15"/>
      <c r="AH1484" s="15"/>
      <c r="AI1484" s="15"/>
      <c r="AJ1484" s="15"/>
      <c r="AK1484" s="15"/>
      <c r="AL1484" s="15"/>
      <c r="AM1484" s="15"/>
    </row>
    <row r="1485" spans="2:39" ht="25.2" customHeight="1" x14ac:dyDescent="0.3">
      <c r="B1485" s="13" t="str">
        <f t="shared" si="27"/>
        <v/>
      </c>
      <c r="C1485" s="18"/>
      <c r="D1485" s="19" t="str">
        <f>IF(Tabela2[[#This Row],[AGRUPADOR]]&lt;&gt;"",VLOOKUP(Tabela2[[#This Row],[AGRUPADOR]],Tabela1[],2,0),"")</f>
        <v/>
      </c>
      <c r="E1485" s="19" t="str">
        <f>IF(Tabela2[[#This Row],[AGRUPADOR]]&lt;&gt;"",VLOOKUP(Tabela2[[#This Row],[AGRUPADOR]],Tabela1[],4,0),"")</f>
        <v/>
      </c>
      <c r="F1485" s="14"/>
      <c r="G1485" s="6"/>
      <c r="H1485" s="6"/>
      <c r="I1485" s="25"/>
      <c r="J1485" s="7"/>
      <c r="K1485" s="15"/>
      <c r="L1485" s="379">
        <f>IF(H1485&lt;&gt;"",J1485*K1485,SUMIFS(L1486:L$9844,$F1486:$F$9844,"*"&amp;F1485&amp;"*",$H1486:$H$9844,"&lt;&gt;"))</f>
        <v>0</v>
      </c>
      <c r="M1485" s="379" t="str">
        <f>IF(Tabela2[[#This Row],[UNID.]]&lt;&gt;"",IFERROR(VLOOKUP(Tabela2[[#This Row],[AGRUPADOR]],Lucratividade!$D$4:$O$129,6,0),0),"")</f>
        <v/>
      </c>
      <c r="N1485" s="379">
        <f>IF(H1485&lt;&gt;"",J1485*M1485*I1485,SUMIFS(N1486:N$9844,$F1486:$F$9844,"*"&amp;F1485&amp;"*",$H1486:$H$9844,"&lt;&gt;"))</f>
        <v>0</v>
      </c>
      <c r="O1485" s="162" t="str">
        <f>IFERROR((-Tabela2[[#This Row],[CUSTO TOTAL]]+Tabela2[[#This Row],[VENDA TOTAL]])/Tabela2[[#This Row],[VENDA TOTAL]]-PARAMETROS!$C$19,"")</f>
        <v/>
      </c>
      <c r="AA1485" s="219">
        <f>SUM(Plan_Orc[[#This Row],[01/jan]:[01/dez]])</f>
        <v>0</v>
      </c>
      <c r="AB1485" s="15"/>
      <c r="AC1485" s="15"/>
      <c r="AD1485" s="15"/>
      <c r="AE1485" s="15"/>
      <c r="AF1485" s="15"/>
      <c r="AG1485" s="15"/>
      <c r="AH1485" s="15"/>
      <c r="AI1485" s="15"/>
      <c r="AJ1485" s="15"/>
      <c r="AK1485" s="15"/>
      <c r="AL1485" s="15"/>
      <c r="AM1485" s="15"/>
    </row>
    <row r="1486" spans="2:39" ht="25.2" customHeight="1" x14ac:dyDescent="0.3">
      <c r="B1486" s="13" t="str">
        <f t="shared" si="27"/>
        <v/>
      </c>
      <c r="C1486" s="18"/>
      <c r="D1486" s="19" t="str">
        <f>IF(Tabela2[[#This Row],[AGRUPADOR]]&lt;&gt;"",VLOOKUP(Tabela2[[#This Row],[AGRUPADOR]],Tabela1[],2,0),"")</f>
        <v/>
      </c>
      <c r="E1486" s="19" t="str">
        <f>IF(Tabela2[[#This Row],[AGRUPADOR]]&lt;&gt;"",VLOOKUP(Tabela2[[#This Row],[AGRUPADOR]],Tabela1[],4,0),"")</f>
        <v/>
      </c>
      <c r="F1486" s="14"/>
      <c r="G1486" s="6"/>
      <c r="H1486" s="6"/>
      <c r="I1486" s="25"/>
      <c r="J1486" s="7"/>
      <c r="K1486" s="15"/>
      <c r="L1486" s="379">
        <f>IF(H1486&lt;&gt;"",J1486*K1486,SUMIFS(L1487:L$9844,$F1487:$F$9844,"*"&amp;F1486&amp;"*",$H1487:$H$9844,"&lt;&gt;"))</f>
        <v>0</v>
      </c>
      <c r="M1486" s="379" t="str">
        <f>IF(Tabela2[[#This Row],[UNID.]]&lt;&gt;"",IFERROR(VLOOKUP(Tabela2[[#This Row],[AGRUPADOR]],Lucratividade!$D$4:$O$129,6,0),0),"")</f>
        <v/>
      </c>
      <c r="N1486" s="379">
        <f>IF(H1486&lt;&gt;"",J1486*M1486*I1486,SUMIFS(N1487:N$9844,$F1487:$F$9844,"*"&amp;F1486&amp;"*",$H1487:$H$9844,"&lt;&gt;"))</f>
        <v>0</v>
      </c>
      <c r="O1486" s="162" t="str">
        <f>IFERROR((-Tabela2[[#This Row],[CUSTO TOTAL]]+Tabela2[[#This Row],[VENDA TOTAL]])/Tabela2[[#This Row],[VENDA TOTAL]]-PARAMETROS!$C$19,"")</f>
        <v/>
      </c>
      <c r="AA1486" s="219">
        <f>SUM(Plan_Orc[[#This Row],[01/jan]:[01/dez]])</f>
        <v>0</v>
      </c>
      <c r="AB1486" s="15"/>
      <c r="AC1486" s="15"/>
      <c r="AD1486" s="15"/>
      <c r="AE1486" s="15"/>
      <c r="AF1486" s="15"/>
      <c r="AG1486" s="15"/>
      <c r="AH1486" s="15"/>
      <c r="AI1486" s="15"/>
      <c r="AJ1486" s="15"/>
      <c r="AK1486" s="15"/>
      <c r="AL1486" s="15"/>
      <c r="AM1486" s="15"/>
    </row>
    <row r="1487" spans="2:39" ht="25.2" customHeight="1" x14ac:dyDescent="0.3">
      <c r="B1487" s="13" t="str">
        <f t="shared" si="27"/>
        <v/>
      </c>
      <c r="C1487" s="18"/>
      <c r="D1487" s="19" t="str">
        <f>IF(Tabela2[[#This Row],[AGRUPADOR]]&lt;&gt;"",VLOOKUP(Tabela2[[#This Row],[AGRUPADOR]],Tabela1[],2,0),"")</f>
        <v/>
      </c>
      <c r="E1487" s="19" t="str">
        <f>IF(Tabela2[[#This Row],[AGRUPADOR]]&lt;&gt;"",VLOOKUP(Tabela2[[#This Row],[AGRUPADOR]],Tabela1[],4,0),"")</f>
        <v/>
      </c>
      <c r="F1487" s="14"/>
      <c r="G1487" s="6"/>
      <c r="H1487" s="6"/>
      <c r="I1487" s="25"/>
      <c r="J1487" s="7"/>
      <c r="K1487" s="15"/>
      <c r="L1487" s="379">
        <f>IF(H1487&lt;&gt;"",J1487*K1487,SUMIFS(L1488:L$9844,$F1488:$F$9844,"*"&amp;F1487&amp;"*",$H1488:$H$9844,"&lt;&gt;"))</f>
        <v>0</v>
      </c>
      <c r="M1487" s="379" t="str">
        <f>IF(Tabela2[[#This Row],[UNID.]]&lt;&gt;"",IFERROR(VLOOKUP(Tabela2[[#This Row],[AGRUPADOR]],Lucratividade!$D$4:$O$129,6,0),0),"")</f>
        <v/>
      </c>
      <c r="N1487" s="379">
        <f>IF(H1487&lt;&gt;"",J1487*M1487*I1487,SUMIFS(N1488:N$9844,$F1488:$F$9844,"*"&amp;F1487&amp;"*",$H1488:$H$9844,"&lt;&gt;"))</f>
        <v>0</v>
      </c>
      <c r="O1487" s="162" t="str">
        <f>IFERROR((-Tabela2[[#This Row],[CUSTO TOTAL]]+Tabela2[[#This Row],[VENDA TOTAL]])/Tabela2[[#This Row],[VENDA TOTAL]]-PARAMETROS!$C$19,"")</f>
        <v/>
      </c>
      <c r="AA1487" s="219">
        <f>SUM(Plan_Orc[[#This Row],[01/jan]:[01/dez]])</f>
        <v>0</v>
      </c>
      <c r="AB1487" s="15"/>
      <c r="AC1487" s="15"/>
      <c r="AD1487" s="15"/>
      <c r="AE1487" s="15"/>
      <c r="AF1487" s="15"/>
      <c r="AG1487" s="15"/>
      <c r="AH1487" s="15"/>
      <c r="AI1487" s="15"/>
      <c r="AJ1487" s="15"/>
      <c r="AK1487" s="15"/>
      <c r="AL1487" s="15"/>
      <c r="AM1487" s="15"/>
    </row>
    <row r="1488" spans="2:39" ht="25.2" customHeight="1" x14ac:dyDescent="0.3">
      <c r="B1488" s="13" t="str">
        <f t="shared" si="27"/>
        <v/>
      </c>
      <c r="C1488" s="18"/>
      <c r="D1488" s="19" t="str">
        <f>IF(Tabela2[[#This Row],[AGRUPADOR]]&lt;&gt;"",VLOOKUP(Tabela2[[#This Row],[AGRUPADOR]],Tabela1[],2,0),"")</f>
        <v/>
      </c>
      <c r="E1488" s="19" t="str">
        <f>IF(Tabela2[[#This Row],[AGRUPADOR]]&lt;&gt;"",VLOOKUP(Tabela2[[#This Row],[AGRUPADOR]],Tabela1[],4,0),"")</f>
        <v/>
      </c>
      <c r="F1488" s="14"/>
      <c r="G1488" s="6"/>
      <c r="H1488" s="6"/>
      <c r="I1488" s="25"/>
      <c r="J1488" s="7"/>
      <c r="K1488" s="15"/>
      <c r="L1488" s="379">
        <f>IF(H1488&lt;&gt;"",J1488*K1488,SUMIFS(L1489:L$9844,$F1489:$F$9844,"*"&amp;F1488&amp;"*",$H1489:$H$9844,"&lt;&gt;"))</f>
        <v>0</v>
      </c>
      <c r="M1488" s="379" t="str">
        <f>IF(Tabela2[[#This Row],[UNID.]]&lt;&gt;"",IFERROR(VLOOKUP(Tabela2[[#This Row],[AGRUPADOR]],Lucratividade!$D$4:$O$129,6,0),0),"")</f>
        <v/>
      </c>
      <c r="N1488" s="379">
        <f>IF(H1488&lt;&gt;"",J1488*M1488*I1488,SUMIFS(N1489:N$9844,$F1489:$F$9844,"*"&amp;F1488&amp;"*",$H1489:$H$9844,"&lt;&gt;"))</f>
        <v>0</v>
      </c>
      <c r="O1488" s="162" t="str">
        <f>IFERROR((-Tabela2[[#This Row],[CUSTO TOTAL]]+Tabela2[[#This Row],[VENDA TOTAL]])/Tabela2[[#This Row],[VENDA TOTAL]]-PARAMETROS!$C$19,"")</f>
        <v/>
      </c>
      <c r="AA1488" s="219">
        <f>SUM(Plan_Orc[[#This Row],[01/jan]:[01/dez]])</f>
        <v>0</v>
      </c>
      <c r="AB1488" s="15"/>
      <c r="AC1488" s="15"/>
      <c r="AD1488" s="15"/>
      <c r="AE1488" s="15"/>
      <c r="AF1488" s="15"/>
      <c r="AG1488" s="15"/>
      <c r="AH1488" s="15"/>
      <c r="AI1488" s="15"/>
      <c r="AJ1488" s="15"/>
      <c r="AK1488" s="15"/>
      <c r="AL1488" s="15"/>
      <c r="AM1488" s="15"/>
    </row>
    <row r="1489" spans="2:39" ht="25.2" customHeight="1" x14ac:dyDescent="0.3">
      <c r="B1489" s="13" t="str">
        <f t="shared" si="27"/>
        <v/>
      </c>
      <c r="C1489" s="18"/>
      <c r="D1489" s="19" t="str">
        <f>IF(Tabela2[[#This Row],[AGRUPADOR]]&lt;&gt;"",VLOOKUP(Tabela2[[#This Row],[AGRUPADOR]],Tabela1[],2,0),"")</f>
        <v/>
      </c>
      <c r="E1489" s="19" t="str">
        <f>IF(Tabela2[[#This Row],[AGRUPADOR]]&lt;&gt;"",VLOOKUP(Tabela2[[#This Row],[AGRUPADOR]],Tabela1[],4,0),"")</f>
        <v/>
      </c>
      <c r="F1489" s="14"/>
      <c r="G1489" s="6"/>
      <c r="H1489" s="6"/>
      <c r="I1489" s="25"/>
      <c r="J1489" s="7"/>
      <c r="K1489" s="15"/>
      <c r="L1489" s="379">
        <f>IF(H1489&lt;&gt;"",J1489*K1489,SUMIFS(L1490:L$9844,$F1490:$F$9844,"*"&amp;F1489&amp;"*",$H1490:$H$9844,"&lt;&gt;"))</f>
        <v>0</v>
      </c>
      <c r="M1489" s="379" t="str">
        <f>IF(Tabela2[[#This Row],[UNID.]]&lt;&gt;"",IFERROR(VLOOKUP(Tabela2[[#This Row],[AGRUPADOR]],Lucratividade!$D$4:$O$129,6,0),0),"")</f>
        <v/>
      </c>
      <c r="N1489" s="379">
        <f>IF(H1489&lt;&gt;"",J1489*M1489*I1489,SUMIFS(N1490:N$9844,$F1490:$F$9844,"*"&amp;F1489&amp;"*",$H1490:$H$9844,"&lt;&gt;"))</f>
        <v>0</v>
      </c>
      <c r="O1489" s="162" t="str">
        <f>IFERROR((-Tabela2[[#This Row],[CUSTO TOTAL]]+Tabela2[[#This Row],[VENDA TOTAL]])/Tabela2[[#This Row],[VENDA TOTAL]]-PARAMETROS!$C$19,"")</f>
        <v/>
      </c>
      <c r="AA1489" s="219">
        <f>SUM(Plan_Orc[[#This Row],[01/jan]:[01/dez]])</f>
        <v>0</v>
      </c>
      <c r="AB1489" s="15"/>
      <c r="AC1489" s="15"/>
      <c r="AD1489" s="15"/>
      <c r="AE1489" s="15"/>
      <c r="AF1489" s="15"/>
      <c r="AG1489" s="15"/>
      <c r="AH1489" s="15"/>
      <c r="AI1489" s="15"/>
      <c r="AJ1489" s="15"/>
      <c r="AK1489" s="15"/>
      <c r="AL1489" s="15"/>
      <c r="AM1489" s="15"/>
    </row>
    <row r="1490" spans="2:39" ht="25.2" customHeight="1" x14ac:dyDescent="0.3">
      <c r="B1490" s="13" t="str">
        <f t="shared" si="27"/>
        <v/>
      </c>
      <c r="C1490" s="18"/>
      <c r="D1490" s="19" t="str">
        <f>IF(Tabela2[[#This Row],[AGRUPADOR]]&lt;&gt;"",VLOOKUP(Tabela2[[#This Row],[AGRUPADOR]],Tabela1[],2,0),"")</f>
        <v/>
      </c>
      <c r="E1490" s="19" t="str">
        <f>IF(Tabela2[[#This Row],[AGRUPADOR]]&lt;&gt;"",VLOOKUP(Tabela2[[#This Row],[AGRUPADOR]],Tabela1[],4,0),"")</f>
        <v/>
      </c>
      <c r="F1490" s="14"/>
      <c r="G1490" s="6"/>
      <c r="H1490" s="6"/>
      <c r="I1490" s="25"/>
      <c r="J1490" s="7"/>
      <c r="K1490" s="15"/>
      <c r="L1490" s="379">
        <f>IF(H1490&lt;&gt;"",J1490*K1490,SUMIFS(L1491:L$9844,$F1491:$F$9844,"*"&amp;F1490&amp;"*",$H1491:$H$9844,"&lt;&gt;"))</f>
        <v>0</v>
      </c>
      <c r="M1490" s="379" t="str">
        <f>IF(Tabela2[[#This Row],[UNID.]]&lt;&gt;"",IFERROR(VLOOKUP(Tabela2[[#This Row],[AGRUPADOR]],Lucratividade!$D$4:$O$129,6,0),0),"")</f>
        <v/>
      </c>
      <c r="N1490" s="379">
        <f>IF(H1490&lt;&gt;"",J1490*M1490*I1490,SUMIFS(N1491:N$9844,$F1491:$F$9844,"*"&amp;F1490&amp;"*",$H1491:$H$9844,"&lt;&gt;"))</f>
        <v>0</v>
      </c>
      <c r="O1490" s="162" t="str">
        <f>IFERROR((-Tabela2[[#This Row],[CUSTO TOTAL]]+Tabela2[[#This Row],[VENDA TOTAL]])/Tabela2[[#This Row],[VENDA TOTAL]]-PARAMETROS!$C$19,"")</f>
        <v/>
      </c>
      <c r="AA1490" s="219">
        <f>SUM(Plan_Orc[[#This Row],[01/jan]:[01/dez]])</f>
        <v>0</v>
      </c>
      <c r="AB1490" s="15"/>
      <c r="AC1490" s="15"/>
      <c r="AD1490" s="15"/>
      <c r="AE1490" s="15"/>
      <c r="AF1490" s="15"/>
      <c r="AG1490" s="15"/>
      <c r="AH1490" s="15"/>
      <c r="AI1490" s="15"/>
      <c r="AJ1490" s="15"/>
      <c r="AK1490" s="15"/>
      <c r="AL1490" s="15"/>
      <c r="AM1490" s="15"/>
    </row>
    <row r="1491" spans="2:39" ht="25.2" customHeight="1" x14ac:dyDescent="0.3">
      <c r="B1491" s="13" t="str">
        <f t="shared" si="27"/>
        <v/>
      </c>
      <c r="C1491" s="18"/>
      <c r="D1491" s="19" t="str">
        <f>IF(Tabela2[[#This Row],[AGRUPADOR]]&lt;&gt;"",VLOOKUP(Tabela2[[#This Row],[AGRUPADOR]],Tabela1[],2,0),"")</f>
        <v/>
      </c>
      <c r="E1491" s="19" t="str">
        <f>IF(Tabela2[[#This Row],[AGRUPADOR]]&lt;&gt;"",VLOOKUP(Tabela2[[#This Row],[AGRUPADOR]],Tabela1[],4,0),"")</f>
        <v/>
      </c>
      <c r="F1491" s="14"/>
      <c r="G1491" s="6"/>
      <c r="H1491" s="6"/>
      <c r="I1491" s="25"/>
      <c r="J1491" s="7"/>
      <c r="K1491" s="15"/>
      <c r="L1491" s="379">
        <f>IF(H1491&lt;&gt;"",J1491*K1491,SUMIFS(L1492:L$9844,$F1492:$F$9844,"*"&amp;F1491&amp;"*",$H1492:$H$9844,"&lt;&gt;"))</f>
        <v>0</v>
      </c>
      <c r="M1491" s="379" t="str">
        <f>IF(Tabela2[[#This Row],[UNID.]]&lt;&gt;"",IFERROR(VLOOKUP(Tabela2[[#This Row],[AGRUPADOR]],Lucratividade!$D$4:$O$129,6,0),0),"")</f>
        <v/>
      </c>
      <c r="N1491" s="379">
        <f>IF(H1491&lt;&gt;"",J1491*M1491*I1491,SUMIFS(N1492:N$9844,$F1492:$F$9844,"*"&amp;F1491&amp;"*",$H1492:$H$9844,"&lt;&gt;"))</f>
        <v>0</v>
      </c>
      <c r="O1491" s="162" t="str">
        <f>IFERROR((-Tabela2[[#This Row],[CUSTO TOTAL]]+Tabela2[[#This Row],[VENDA TOTAL]])/Tabela2[[#This Row],[VENDA TOTAL]]-PARAMETROS!$C$19,"")</f>
        <v/>
      </c>
      <c r="AA1491" s="219">
        <f>SUM(Plan_Orc[[#This Row],[01/jan]:[01/dez]])</f>
        <v>0</v>
      </c>
      <c r="AB1491" s="15"/>
      <c r="AC1491" s="15"/>
      <c r="AD1491" s="15"/>
      <c r="AE1491" s="15"/>
      <c r="AF1491" s="15"/>
      <c r="AG1491" s="15"/>
      <c r="AH1491" s="15"/>
      <c r="AI1491" s="15"/>
      <c r="AJ1491" s="15"/>
      <c r="AK1491" s="15"/>
      <c r="AL1491" s="15"/>
      <c r="AM1491" s="15"/>
    </row>
    <row r="1492" spans="2:39" ht="25.2" customHeight="1" x14ac:dyDescent="0.3">
      <c r="B1492" s="13" t="str">
        <f t="shared" si="27"/>
        <v/>
      </c>
      <c r="C1492" s="18"/>
      <c r="D1492" s="19" t="str">
        <f>IF(Tabela2[[#This Row],[AGRUPADOR]]&lt;&gt;"",VLOOKUP(Tabela2[[#This Row],[AGRUPADOR]],Tabela1[],2,0),"")</f>
        <v/>
      </c>
      <c r="E1492" s="19" t="str">
        <f>IF(Tabela2[[#This Row],[AGRUPADOR]]&lt;&gt;"",VLOOKUP(Tabela2[[#This Row],[AGRUPADOR]],Tabela1[],4,0),"")</f>
        <v/>
      </c>
      <c r="F1492" s="14"/>
      <c r="G1492" s="6"/>
      <c r="H1492" s="6"/>
      <c r="I1492" s="25"/>
      <c r="J1492" s="7"/>
      <c r="K1492" s="15"/>
      <c r="L1492" s="379">
        <f>IF(H1492&lt;&gt;"",J1492*K1492,SUMIFS(L1493:L$9844,$F1493:$F$9844,"*"&amp;F1492&amp;"*",$H1493:$H$9844,"&lt;&gt;"))</f>
        <v>0</v>
      </c>
      <c r="M1492" s="379" t="str">
        <f>IF(Tabela2[[#This Row],[UNID.]]&lt;&gt;"",IFERROR(VLOOKUP(Tabela2[[#This Row],[AGRUPADOR]],Lucratividade!$D$4:$O$129,6,0),0),"")</f>
        <v/>
      </c>
      <c r="N1492" s="379">
        <f>IF(H1492&lt;&gt;"",J1492*M1492*I1492,SUMIFS(N1493:N$9844,$F1493:$F$9844,"*"&amp;F1492&amp;"*",$H1493:$H$9844,"&lt;&gt;"))</f>
        <v>0</v>
      </c>
      <c r="O1492" s="162" t="str">
        <f>IFERROR((-Tabela2[[#This Row],[CUSTO TOTAL]]+Tabela2[[#This Row],[VENDA TOTAL]])/Tabela2[[#This Row],[VENDA TOTAL]]-PARAMETROS!$C$19,"")</f>
        <v/>
      </c>
      <c r="AA1492" s="219">
        <f>SUM(Plan_Orc[[#This Row],[01/jan]:[01/dez]])</f>
        <v>0</v>
      </c>
      <c r="AB1492" s="15"/>
      <c r="AC1492" s="15"/>
      <c r="AD1492" s="15"/>
      <c r="AE1492" s="15"/>
      <c r="AF1492" s="15"/>
      <c r="AG1492" s="15"/>
      <c r="AH1492" s="15"/>
      <c r="AI1492" s="15"/>
      <c r="AJ1492" s="15"/>
      <c r="AK1492" s="15"/>
      <c r="AL1492" s="15"/>
      <c r="AM1492" s="15"/>
    </row>
    <row r="1493" spans="2:39" ht="25.2" customHeight="1" x14ac:dyDescent="0.3">
      <c r="B1493" s="13" t="str">
        <f t="shared" si="27"/>
        <v/>
      </c>
      <c r="C1493" s="18"/>
      <c r="D1493" s="19" t="str">
        <f>IF(Tabela2[[#This Row],[AGRUPADOR]]&lt;&gt;"",VLOOKUP(Tabela2[[#This Row],[AGRUPADOR]],Tabela1[],2,0),"")</f>
        <v/>
      </c>
      <c r="E1493" s="19" t="str">
        <f>IF(Tabela2[[#This Row],[AGRUPADOR]]&lt;&gt;"",VLOOKUP(Tabela2[[#This Row],[AGRUPADOR]],Tabela1[],4,0),"")</f>
        <v/>
      </c>
      <c r="F1493" s="14"/>
      <c r="G1493" s="6"/>
      <c r="H1493" s="6"/>
      <c r="I1493" s="25"/>
      <c r="J1493" s="7"/>
      <c r="K1493" s="15"/>
      <c r="L1493" s="379">
        <f>IF(H1493&lt;&gt;"",J1493*K1493,SUMIFS(L1494:L$9844,$F1494:$F$9844,"*"&amp;F1493&amp;"*",$H1494:$H$9844,"&lt;&gt;"))</f>
        <v>0</v>
      </c>
      <c r="M1493" s="379" t="str">
        <f>IF(Tabela2[[#This Row],[UNID.]]&lt;&gt;"",IFERROR(VLOOKUP(Tabela2[[#This Row],[AGRUPADOR]],Lucratividade!$D$4:$O$129,6,0),0),"")</f>
        <v/>
      </c>
      <c r="N1493" s="379">
        <f>IF(H1493&lt;&gt;"",J1493*M1493*I1493,SUMIFS(N1494:N$9844,$F1494:$F$9844,"*"&amp;F1493&amp;"*",$H1494:$H$9844,"&lt;&gt;"))</f>
        <v>0</v>
      </c>
      <c r="O1493" s="162" t="str">
        <f>IFERROR((-Tabela2[[#This Row],[CUSTO TOTAL]]+Tabela2[[#This Row],[VENDA TOTAL]])/Tabela2[[#This Row],[VENDA TOTAL]]-PARAMETROS!$C$19,"")</f>
        <v/>
      </c>
      <c r="AA1493" s="219">
        <f>SUM(Plan_Orc[[#This Row],[01/jan]:[01/dez]])</f>
        <v>0</v>
      </c>
      <c r="AB1493" s="15"/>
      <c r="AC1493" s="15"/>
      <c r="AD1493" s="15"/>
      <c r="AE1493" s="15"/>
      <c r="AF1493" s="15"/>
      <c r="AG1493" s="15"/>
      <c r="AH1493" s="15"/>
      <c r="AI1493" s="15"/>
      <c r="AJ1493" s="15"/>
      <c r="AK1493" s="15"/>
      <c r="AL1493" s="15"/>
      <c r="AM1493" s="15"/>
    </row>
    <row r="1494" spans="2:39" ht="25.2" customHeight="1" x14ac:dyDescent="0.3">
      <c r="B1494" s="13" t="str">
        <f t="shared" si="27"/>
        <v/>
      </c>
      <c r="C1494" s="18"/>
      <c r="D1494" s="19" t="str">
        <f>IF(Tabela2[[#This Row],[AGRUPADOR]]&lt;&gt;"",VLOOKUP(Tabela2[[#This Row],[AGRUPADOR]],Tabela1[],2,0),"")</f>
        <v/>
      </c>
      <c r="E1494" s="19" t="str">
        <f>IF(Tabela2[[#This Row],[AGRUPADOR]]&lt;&gt;"",VLOOKUP(Tabela2[[#This Row],[AGRUPADOR]],Tabela1[],4,0),"")</f>
        <v/>
      </c>
      <c r="F1494" s="14"/>
      <c r="G1494" s="6"/>
      <c r="H1494" s="6"/>
      <c r="I1494" s="25"/>
      <c r="J1494" s="7"/>
      <c r="K1494" s="15"/>
      <c r="L1494" s="379">
        <f>IF(H1494&lt;&gt;"",J1494*K1494,SUMIFS(L1495:L$9844,$F1495:$F$9844,"*"&amp;F1494&amp;"*",$H1495:$H$9844,"&lt;&gt;"))</f>
        <v>0</v>
      </c>
      <c r="M1494" s="379" t="str">
        <f>IF(Tabela2[[#This Row],[UNID.]]&lt;&gt;"",IFERROR(VLOOKUP(Tabela2[[#This Row],[AGRUPADOR]],Lucratividade!$D$4:$O$129,6,0),0),"")</f>
        <v/>
      </c>
      <c r="N1494" s="379">
        <f>IF(H1494&lt;&gt;"",J1494*M1494*I1494,SUMIFS(N1495:N$9844,$F1495:$F$9844,"*"&amp;F1494&amp;"*",$H1495:$H$9844,"&lt;&gt;"))</f>
        <v>0</v>
      </c>
      <c r="O1494" s="162" t="str">
        <f>IFERROR((-Tabela2[[#This Row],[CUSTO TOTAL]]+Tabela2[[#This Row],[VENDA TOTAL]])/Tabela2[[#This Row],[VENDA TOTAL]]-PARAMETROS!$C$19,"")</f>
        <v/>
      </c>
      <c r="AA1494" s="219">
        <f>SUM(Plan_Orc[[#This Row],[01/jan]:[01/dez]])</f>
        <v>0</v>
      </c>
      <c r="AB1494" s="15"/>
      <c r="AC1494" s="15"/>
      <c r="AD1494" s="15"/>
      <c r="AE1494" s="15"/>
      <c r="AF1494" s="15"/>
      <c r="AG1494" s="15"/>
      <c r="AH1494" s="15"/>
      <c r="AI1494" s="15"/>
      <c r="AJ1494" s="15"/>
      <c r="AK1494" s="15"/>
      <c r="AL1494" s="15"/>
      <c r="AM1494" s="15"/>
    </row>
    <row r="1495" spans="2:39" ht="25.2" customHeight="1" x14ac:dyDescent="0.3">
      <c r="B1495" s="13" t="str">
        <f t="shared" si="27"/>
        <v/>
      </c>
      <c r="C1495" s="18"/>
      <c r="D1495" s="19" t="str">
        <f>IF(Tabela2[[#This Row],[AGRUPADOR]]&lt;&gt;"",VLOOKUP(Tabela2[[#This Row],[AGRUPADOR]],Tabela1[],2,0),"")</f>
        <v/>
      </c>
      <c r="E1495" s="19" t="str">
        <f>IF(Tabela2[[#This Row],[AGRUPADOR]]&lt;&gt;"",VLOOKUP(Tabela2[[#This Row],[AGRUPADOR]],Tabela1[],4,0),"")</f>
        <v/>
      </c>
      <c r="F1495" s="14"/>
      <c r="G1495" s="6"/>
      <c r="H1495" s="6"/>
      <c r="I1495" s="25"/>
      <c r="J1495" s="7"/>
      <c r="K1495" s="15"/>
      <c r="L1495" s="379">
        <f>IF(H1495&lt;&gt;"",J1495*K1495,SUMIFS(L1496:L$9844,$F1496:$F$9844,"*"&amp;F1495&amp;"*",$H1496:$H$9844,"&lt;&gt;"))</f>
        <v>0</v>
      </c>
      <c r="M1495" s="379" t="str">
        <f>IF(Tabela2[[#This Row],[UNID.]]&lt;&gt;"",IFERROR(VLOOKUP(Tabela2[[#This Row],[AGRUPADOR]],Lucratividade!$D$4:$O$129,6,0),0),"")</f>
        <v/>
      </c>
      <c r="N1495" s="379">
        <f>IF(H1495&lt;&gt;"",J1495*M1495*I1495,SUMIFS(N1496:N$9844,$F1496:$F$9844,"*"&amp;F1495&amp;"*",$H1496:$H$9844,"&lt;&gt;"))</f>
        <v>0</v>
      </c>
      <c r="O1495" s="162" t="str">
        <f>IFERROR((-Tabela2[[#This Row],[CUSTO TOTAL]]+Tabela2[[#This Row],[VENDA TOTAL]])/Tabela2[[#This Row],[VENDA TOTAL]]-PARAMETROS!$C$19,"")</f>
        <v/>
      </c>
      <c r="AA1495" s="218">
        <f>SUM(Plan_Orc[[#This Row],[01/jan]:[01/dez]])</f>
        <v>0</v>
      </c>
      <c r="AB1495" s="12"/>
      <c r="AC1495" s="12"/>
      <c r="AD1495" s="12"/>
      <c r="AE1495" s="12"/>
      <c r="AF1495" s="12"/>
      <c r="AG1495" s="12"/>
      <c r="AH1495" s="12"/>
      <c r="AI1495" s="12"/>
      <c r="AJ1495" s="12"/>
      <c r="AK1495" s="12"/>
      <c r="AL1495" s="12"/>
      <c r="AM1495" s="12"/>
    </row>
    <row r="1496" spans="2:39" ht="25.2" customHeight="1" x14ac:dyDescent="0.3">
      <c r="B1496" s="13" t="str">
        <f t="shared" si="27"/>
        <v/>
      </c>
      <c r="C1496" s="18"/>
      <c r="D1496" s="19" t="str">
        <f>IF(Tabela2[[#This Row],[AGRUPADOR]]&lt;&gt;"",VLOOKUP(Tabela2[[#This Row],[AGRUPADOR]],Tabela1[],2,0),"")</f>
        <v/>
      </c>
      <c r="E1496" s="19" t="str">
        <f>IF(Tabela2[[#This Row],[AGRUPADOR]]&lt;&gt;"",VLOOKUP(Tabela2[[#This Row],[AGRUPADOR]],Tabela1[],4,0),"")</f>
        <v/>
      </c>
      <c r="F1496" s="14"/>
      <c r="G1496" s="6"/>
      <c r="H1496" s="6"/>
      <c r="I1496" s="25"/>
      <c r="J1496" s="7"/>
      <c r="K1496" s="15"/>
      <c r="L1496" s="379">
        <f>IF(H1496&lt;&gt;"",J1496*K1496,SUMIFS(L1497:L$9844,$F1497:$F$9844,"*"&amp;F1496&amp;"*",$H1497:$H$9844,"&lt;&gt;"))</f>
        <v>0</v>
      </c>
      <c r="M1496" s="379" t="str">
        <f>IF(Tabela2[[#This Row],[UNID.]]&lt;&gt;"",IFERROR(VLOOKUP(Tabela2[[#This Row],[AGRUPADOR]],Lucratividade!$D$4:$O$129,6,0),0),"")</f>
        <v/>
      </c>
      <c r="N1496" s="379">
        <f>IF(H1496&lt;&gt;"",J1496*M1496*I1496,SUMIFS(N1497:N$9844,$F1497:$F$9844,"*"&amp;F1496&amp;"*",$H1497:$H$9844,"&lt;&gt;"))</f>
        <v>0</v>
      </c>
      <c r="O1496" s="162" t="str">
        <f>IFERROR((-Tabela2[[#This Row],[CUSTO TOTAL]]+Tabela2[[#This Row],[VENDA TOTAL]])/Tabela2[[#This Row],[VENDA TOTAL]]-PARAMETROS!$C$19,"")</f>
        <v/>
      </c>
      <c r="AA1496" s="219">
        <f>SUM(Plan_Orc[[#This Row],[01/jan]:[01/dez]])</f>
        <v>0</v>
      </c>
      <c r="AB1496" s="15"/>
      <c r="AC1496" s="15"/>
      <c r="AD1496" s="15"/>
      <c r="AE1496" s="15"/>
      <c r="AF1496" s="15"/>
      <c r="AG1496" s="15"/>
      <c r="AH1496" s="15"/>
      <c r="AI1496" s="15"/>
      <c r="AJ1496" s="15"/>
      <c r="AK1496" s="15"/>
      <c r="AL1496" s="15"/>
      <c r="AM1496" s="15"/>
    </row>
    <row r="1497" spans="2:39" ht="25.2" customHeight="1" x14ac:dyDescent="0.3">
      <c r="B1497" s="13" t="str">
        <f t="shared" si="27"/>
        <v/>
      </c>
      <c r="C1497" s="18"/>
      <c r="D1497" s="19" t="str">
        <f>IF(Tabela2[[#This Row],[AGRUPADOR]]&lt;&gt;"",VLOOKUP(Tabela2[[#This Row],[AGRUPADOR]],Tabela1[],2,0),"")</f>
        <v/>
      </c>
      <c r="E1497" s="19" t="str">
        <f>IF(Tabela2[[#This Row],[AGRUPADOR]]&lt;&gt;"",VLOOKUP(Tabela2[[#This Row],[AGRUPADOR]],Tabela1[],4,0),"")</f>
        <v/>
      </c>
      <c r="F1497" s="14"/>
      <c r="G1497" s="6"/>
      <c r="H1497" s="6"/>
      <c r="I1497" s="25"/>
      <c r="J1497" s="7"/>
      <c r="K1497" s="15"/>
      <c r="L1497" s="379">
        <f>IF(H1497&lt;&gt;"",J1497*K1497,SUMIFS(L1498:L$9844,$F1498:$F$9844,"*"&amp;F1497&amp;"*",$H1498:$H$9844,"&lt;&gt;"))</f>
        <v>0</v>
      </c>
      <c r="M1497" s="379" t="str">
        <f>IF(Tabela2[[#This Row],[UNID.]]&lt;&gt;"",IFERROR(VLOOKUP(Tabela2[[#This Row],[AGRUPADOR]],Lucratividade!$D$4:$O$129,6,0),0),"")</f>
        <v/>
      </c>
      <c r="N1497" s="379">
        <f>IF(H1497&lt;&gt;"",J1497*M1497*I1497,SUMIFS(N1498:N$9844,$F1498:$F$9844,"*"&amp;F1497&amp;"*",$H1498:$H$9844,"&lt;&gt;"))</f>
        <v>0</v>
      </c>
      <c r="O1497" s="162" t="str">
        <f>IFERROR((-Tabela2[[#This Row],[CUSTO TOTAL]]+Tabela2[[#This Row],[VENDA TOTAL]])/Tabela2[[#This Row],[VENDA TOTAL]]-PARAMETROS!$C$19,"")</f>
        <v/>
      </c>
      <c r="AA1497" s="220">
        <f>SUM(Plan_Orc[[#This Row],[01/jan]:[01/dez]])</f>
        <v>0</v>
      </c>
      <c r="AB1497" s="9"/>
      <c r="AC1497" s="9"/>
      <c r="AD1497" s="9"/>
      <c r="AE1497" s="9"/>
      <c r="AF1497" s="9"/>
      <c r="AG1497" s="9"/>
      <c r="AH1497" s="9"/>
      <c r="AI1497" s="9"/>
      <c r="AJ1497" s="9"/>
      <c r="AK1497" s="9"/>
      <c r="AL1497" s="9"/>
      <c r="AM1497" s="9"/>
    </row>
    <row r="1498" spans="2:39" ht="25.2" customHeight="1" x14ac:dyDescent="0.3">
      <c r="B1498" s="13" t="str">
        <f t="shared" si="27"/>
        <v/>
      </c>
      <c r="C1498" s="18"/>
      <c r="D1498" s="19" t="str">
        <f>IF(Tabela2[[#This Row],[AGRUPADOR]]&lt;&gt;"",VLOOKUP(Tabela2[[#This Row],[AGRUPADOR]],Tabela1[],2,0),"")</f>
        <v/>
      </c>
      <c r="E1498" s="19" t="str">
        <f>IF(Tabela2[[#This Row],[AGRUPADOR]]&lt;&gt;"",VLOOKUP(Tabela2[[#This Row],[AGRUPADOR]],Tabela1[],4,0),"")</f>
        <v/>
      </c>
      <c r="F1498" s="14"/>
      <c r="G1498" s="6"/>
      <c r="H1498" s="6"/>
      <c r="I1498" s="25"/>
      <c r="J1498" s="7"/>
      <c r="K1498" s="15"/>
      <c r="L1498" s="379">
        <f>IF(H1498&lt;&gt;"",J1498*K1498,SUMIFS(L1499:L$9844,$F1499:$F$9844,"*"&amp;F1498&amp;"*",$H1499:$H$9844,"&lt;&gt;"))</f>
        <v>0</v>
      </c>
      <c r="M1498" s="379" t="str">
        <f>IF(Tabela2[[#This Row],[UNID.]]&lt;&gt;"",IFERROR(VLOOKUP(Tabela2[[#This Row],[AGRUPADOR]],Lucratividade!$D$4:$O$129,6,0),0),"")</f>
        <v/>
      </c>
      <c r="N1498" s="379">
        <f>IF(H1498&lt;&gt;"",J1498*M1498*I1498,SUMIFS(N1499:N$9844,$F1499:$F$9844,"*"&amp;F1498&amp;"*",$H1499:$H$9844,"&lt;&gt;"))</f>
        <v>0</v>
      </c>
      <c r="O1498" s="162" t="str">
        <f>IFERROR((-Tabela2[[#This Row],[CUSTO TOTAL]]+Tabela2[[#This Row],[VENDA TOTAL]])/Tabela2[[#This Row],[VENDA TOTAL]]-PARAMETROS!$C$19,"")</f>
        <v/>
      </c>
      <c r="AA1498" s="219">
        <f>SUM(Plan_Orc[[#This Row],[01/jan]:[01/dez]])</f>
        <v>0</v>
      </c>
      <c r="AB1498" s="15"/>
      <c r="AC1498" s="15"/>
      <c r="AD1498" s="15"/>
      <c r="AE1498" s="15"/>
      <c r="AF1498" s="15"/>
      <c r="AG1498" s="15"/>
      <c r="AH1498" s="15"/>
      <c r="AI1498" s="15"/>
      <c r="AJ1498" s="15"/>
      <c r="AK1498" s="15"/>
      <c r="AL1498" s="15"/>
      <c r="AM1498" s="15"/>
    </row>
    <row r="1499" spans="2:39" ht="25.2" customHeight="1" x14ac:dyDescent="0.3">
      <c r="B1499" s="13" t="str">
        <f t="shared" si="27"/>
        <v/>
      </c>
      <c r="C1499" s="18"/>
      <c r="D1499" s="19" t="str">
        <f>IF(Tabela2[[#This Row],[AGRUPADOR]]&lt;&gt;"",VLOOKUP(Tabela2[[#This Row],[AGRUPADOR]],Tabela1[],2,0),"")</f>
        <v/>
      </c>
      <c r="E1499" s="19" t="str">
        <f>IF(Tabela2[[#This Row],[AGRUPADOR]]&lt;&gt;"",VLOOKUP(Tabela2[[#This Row],[AGRUPADOR]],Tabela1[],4,0),"")</f>
        <v/>
      </c>
      <c r="F1499" s="14"/>
      <c r="G1499" s="6"/>
      <c r="H1499" s="6"/>
      <c r="I1499" s="25"/>
      <c r="J1499" s="7"/>
      <c r="K1499" s="15"/>
      <c r="L1499" s="379">
        <f>IF(H1499&lt;&gt;"",J1499*K1499,SUMIFS(L1500:L$9844,$F1500:$F$9844,"*"&amp;F1499&amp;"*",$H1500:$H$9844,"&lt;&gt;"))</f>
        <v>0</v>
      </c>
      <c r="M1499" s="379" t="str">
        <f>IF(Tabela2[[#This Row],[UNID.]]&lt;&gt;"",IFERROR(VLOOKUP(Tabela2[[#This Row],[AGRUPADOR]],Lucratividade!$D$4:$O$129,6,0),0),"")</f>
        <v/>
      </c>
      <c r="N1499" s="379">
        <f>IF(H1499&lt;&gt;"",J1499*M1499*I1499,SUMIFS(N1500:N$9844,$F1500:$F$9844,"*"&amp;F1499&amp;"*",$H1500:$H$9844,"&lt;&gt;"))</f>
        <v>0</v>
      </c>
      <c r="O1499" s="162" t="str">
        <f>IFERROR((-Tabela2[[#This Row],[CUSTO TOTAL]]+Tabela2[[#This Row],[VENDA TOTAL]])/Tabela2[[#This Row],[VENDA TOTAL]]-PARAMETROS!$C$19,"")</f>
        <v/>
      </c>
      <c r="AA1499" s="219">
        <f>SUM(Plan_Orc[[#This Row],[01/jan]:[01/dez]])</f>
        <v>0</v>
      </c>
      <c r="AB1499" s="15"/>
      <c r="AC1499" s="15"/>
      <c r="AD1499" s="15"/>
      <c r="AE1499" s="15"/>
      <c r="AF1499" s="15"/>
      <c r="AG1499" s="15"/>
      <c r="AH1499" s="15"/>
      <c r="AI1499" s="15"/>
      <c r="AJ1499" s="15"/>
      <c r="AK1499" s="15"/>
      <c r="AL1499" s="15"/>
      <c r="AM1499" s="15"/>
    </row>
    <row r="1500" spans="2:39" ht="25.2" customHeight="1" x14ac:dyDescent="0.3">
      <c r="B1500" s="13" t="str">
        <f t="shared" si="27"/>
        <v/>
      </c>
      <c r="C1500" s="18"/>
      <c r="D1500" s="19" t="str">
        <f>IF(Tabela2[[#This Row],[AGRUPADOR]]&lt;&gt;"",VLOOKUP(Tabela2[[#This Row],[AGRUPADOR]],Tabela1[],2,0),"")</f>
        <v/>
      </c>
      <c r="E1500" s="19" t="str">
        <f>IF(Tabela2[[#This Row],[AGRUPADOR]]&lt;&gt;"",VLOOKUP(Tabela2[[#This Row],[AGRUPADOR]],Tabela1[],4,0),"")</f>
        <v/>
      </c>
      <c r="F1500" s="14"/>
      <c r="G1500" s="6"/>
      <c r="H1500" s="6"/>
      <c r="I1500" s="25"/>
      <c r="J1500" s="7"/>
      <c r="K1500" s="15"/>
      <c r="L1500" s="379">
        <f>IF(H1500&lt;&gt;"",J1500*K1500,SUMIFS(L1501:L$9844,$F1501:$F$9844,"*"&amp;F1500&amp;"*",$H1501:$H$9844,"&lt;&gt;"))</f>
        <v>0</v>
      </c>
      <c r="M1500" s="379" t="str">
        <f>IF(Tabela2[[#This Row],[UNID.]]&lt;&gt;"",IFERROR(VLOOKUP(Tabela2[[#This Row],[AGRUPADOR]],Lucratividade!$D$4:$O$129,6,0),0),"")</f>
        <v/>
      </c>
      <c r="N1500" s="379">
        <f>IF(H1500&lt;&gt;"",J1500*M1500*I1500,SUMIFS(N1501:N$9844,$F1501:$F$9844,"*"&amp;F1500&amp;"*",$H1501:$H$9844,"&lt;&gt;"))</f>
        <v>0</v>
      </c>
      <c r="O1500" s="162" t="str">
        <f>IFERROR((-Tabela2[[#This Row],[CUSTO TOTAL]]+Tabela2[[#This Row],[VENDA TOTAL]])/Tabela2[[#This Row],[VENDA TOTAL]]-PARAMETROS!$C$19,"")</f>
        <v/>
      </c>
      <c r="AA1500" s="219">
        <f>SUM(Plan_Orc[[#This Row],[01/jan]:[01/dez]])</f>
        <v>0</v>
      </c>
      <c r="AB1500" s="15"/>
      <c r="AC1500" s="15"/>
      <c r="AD1500" s="15"/>
      <c r="AE1500" s="15"/>
      <c r="AF1500" s="15"/>
      <c r="AG1500" s="15"/>
      <c r="AH1500" s="15"/>
      <c r="AI1500" s="15"/>
      <c r="AJ1500" s="15"/>
      <c r="AK1500" s="15"/>
      <c r="AL1500" s="15"/>
      <c r="AM1500" s="15"/>
    </row>
    <row r="1501" spans="2:39" ht="25.2" customHeight="1" x14ac:dyDescent="0.3">
      <c r="B1501" s="13" t="str">
        <f t="shared" si="27"/>
        <v/>
      </c>
      <c r="C1501" s="18"/>
      <c r="D1501" s="19" t="str">
        <f>IF(Tabela2[[#This Row],[AGRUPADOR]]&lt;&gt;"",VLOOKUP(Tabela2[[#This Row],[AGRUPADOR]],Tabela1[],2,0),"")</f>
        <v/>
      </c>
      <c r="E1501" s="19" t="str">
        <f>IF(Tabela2[[#This Row],[AGRUPADOR]]&lt;&gt;"",VLOOKUP(Tabela2[[#This Row],[AGRUPADOR]],Tabela1[],4,0),"")</f>
        <v/>
      </c>
      <c r="F1501" s="14"/>
      <c r="G1501" s="6"/>
      <c r="H1501" s="6"/>
      <c r="I1501" s="25"/>
      <c r="J1501" s="7"/>
      <c r="K1501" s="15"/>
      <c r="L1501" s="379">
        <f>IF(H1501&lt;&gt;"",J1501*K1501,SUMIFS(L1502:L$9844,$F1502:$F$9844,"*"&amp;F1501&amp;"*",$H1502:$H$9844,"&lt;&gt;"))</f>
        <v>0</v>
      </c>
      <c r="M1501" s="379" t="str">
        <f>IF(Tabela2[[#This Row],[UNID.]]&lt;&gt;"",IFERROR(VLOOKUP(Tabela2[[#This Row],[AGRUPADOR]],Lucratividade!$D$4:$O$129,6,0),0),"")</f>
        <v/>
      </c>
      <c r="N1501" s="379">
        <f>IF(H1501&lt;&gt;"",J1501*M1501*I1501,SUMIFS(N1502:N$9844,$F1502:$F$9844,"*"&amp;F1501&amp;"*",$H1502:$H$9844,"&lt;&gt;"))</f>
        <v>0</v>
      </c>
      <c r="O1501" s="162" t="str">
        <f>IFERROR((-Tabela2[[#This Row],[CUSTO TOTAL]]+Tabela2[[#This Row],[VENDA TOTAL]])/Tabela2[[#This Row],[VENDA TOTAL]]-PARAMETROS!$C$19,"")</f>
        <v/>
      </c>
      <c r="AA1501" s="219">
        <f>SUM(Plan_Orc[[#This Row],[01/jan]:[01/dez]])</f>
        <v>0</v>
      </c>
      <c r="AB1501" s="15"/>
      <c r="AC1501" s="15"/>
      <c r="AD1501" s="15"/>
      <c r="AE1501" s="15"/>
      <c r="AF1501" s="15"/>
      <c r="AG1501" s="15"/>
      <c r="AH1501" s="15"/>
      <c r="AI1501" s="15"/>
      <c r="AJ1501" s="15"/>
      <c r="AK1501" s="15"/>
      <c r="AL1501" s="15"/>
      <c r="AM1501" s="15"/>
    </row>
    <row r="1502" spans="2:39" ht="25.2" customHeight="1" x14ac:dyDescent="0.3">
      <c r="B1502" s="13" t="str">
        <f t="shared" si="27"/>
        <v/>
      </c>
      <c r="C1502" s="18"/>
      <c r="D1502" s="19" t="str">
        <f>IF(Tabela2[[#This Row],[AGRUPADOR]]&lt;&gt;"",VLOOKUP(Tabela2[[#This Row],[AGRUPADOR]],Tabela1[],2,0),"")</f>
        <v/>
      </c>
      <c r="E1502" s="19" t="str">
        <f>IF(Tabela2[[#This Row],[AGRUPADOR]]&lt;&gt;"",VLOOKUP(Tabela2[[#This Row],[AGRUPADOR]],Tabela1[],4,0),"")</f>
        <v/>
      </c>
      <c r="F1502" s="14"/>
      <c r="G1502" s="6"/>
      <c r="H1502" s="6"/>
      <c r="I1502" s="25"/>
      <c r="J1502" s="7"/>
      <c r="K1502" s="15"/>
      <c r="L1502" s="379">
        <f>IF(H1502&lt;&gt;"",J1502*K1502,SUMIFS(L1503:L$9844,$F1503:$F$9844,"*"&amp;F1502&amp;"*",$H1503:$H$9844,"&lt;&gt;"))</f>
        <v>0</v>
      </c>
      <c r="M1502" s="379" t="str">
        <f>IF(Tabela2[[#This Row],[UNID.]]&lt;&gt;"",IFERROR(VLOOKUP(Tabela2[[#This Row],[AGRUPADOR]],Lucratividade!$D$4:$O$129,6,0),0),"")</f>
        <v/>
      </c>
      <c r="N1502" s="379">
        <f>IF(H1502&lt;&gt;"",J1502*M1502*I1502,SUMIFS(N1503:N$9844,$F1503:$F$9844,"*"&amp;F1502&amp;"*",$H1503:$H$9844,"&lt;&gt;"))</f>
        <v>0</v>
      </c>
      <c r="O1502" s="162" t="str">
        <f>IFERROR((-Tabela2[[#This Row],[CUSTO TOTAL]]+Tabela2[[#This Row],[VENDA TOTAL]])/Tabela2[[#This Row],[VENDA TOTAL]]-PARAMETROS!$C$19,"")</f>
        <v/>
      </c>
      <c r="AA1502" s="220">
        <f>SUM(Plan_Orc[[#This Row],[01/jan]:[01/dez]])</f>
        <v>0</v>
      </c>
      <c r="AB1502" s="9"/>
      <c r="AC1502" s="9"/>
      <c r="AD1502" s="9"/>
      <c r="AE1502" s="9"/>
      <c r="AF1502" s="9"/>
      <c r="AG1502" s="9"/>
      <c r="AH1502" s="9"/>
      <c r="AI1502" s="9"/>
      <c r="AJ1502" s="9"/>
      <c r="AK1502" s="9"/>
      <c r="AL1502" s="9"/>
      <c r="AM1502" s="9"/>
    </row>
    <row r="1503" spans="2:39" ht="25.2" customHeight="1" x14ac:dyDescent="0.3">
      <c r="B1503" s="13" t="str">
        <f t="shared" si="27"/>
        <v/>
      </c>
      <c r="C1503" s="18"/>
      <c r="D1503" s="19" t="str">
        <f>IF(Tabela2[[#This Row],[AGRUPADOR]]&lt;&gt;"",VLOOKUP(Tabela2[[#This Row],[AGRUPADOR]],Tabela1[],2,0),"")</f>
        <v/>
      </c>
      <c r="E1503" s="19" t="str">
        <f>IF(Tabela2[[#This Row],[AGRUPADOR]]&lt;&gt;"",VLOOKUP(Tabela2[[#This Row],[AGRUPADOR]],Tabela1[],4,0),"")</f>
        <v/>
      </c>
      <c r="F1503" s="14"/>
      <c r="G1503" s="6"/>
      <c r="H1503" s="6"/>
      <c r="I1503" s="25"/>
      <c r="J1503" s="7"/>
      <c r="K1503" s="15"/>
      <c r="L1503" s="379">
        <f>IF(H1503&lt;&gt;"",J1503*K1503,SUMIFS(L1504:L$9844,$F1504:$F$9844,"*"&amp;F1503&amp;"*",$H1504:$H$9844,"&lt;&gt;"))</f>
        <v>0</v>
      </c>
      <c r="M1503" s="379" t="str">
        <f>IF(Tabela2[[#This Row],[UNID.]]&lt;&gt;"",IFERROR(VLOOKUP(Tabela2[[#This Row],[AGRUPADOR]],Lucratividade!$D$4:$O$129,6,0),0),"")</f>
        <v/>
      </c>
      <c r="N1503" s="379">
        <f>IF(H1503&lt;&gt;"",J1503*M1503*I1503,SUMIFS(N1504:N$9844,$F1504:$F$9844,"*"&amp;F1503&amp;"*",$H1504:$H$9844,"&lt;&gt;"))</f>
        <v>0</v>
      </c>
      <c r="O1503" s="162" t="str">
        <f>IFERROR((-Tabela2[[#This Row],[CUSTO TOTAL]]+Tabela2[[#This Row],[VENDA TOTAL]])/Tabela2[[#This Row],[VENDA TOTAL]]-PARAMETROS!$C$19,"")</f>
        <v/>
      </c>
      <c r="AA1503" s="218">
        <f>SUM(Plan_Orc[[#This Row],[01/jan]:[01/dez]])</f>
        <v>0</v>
      </c>
      <c r="AB1503" s="12"/>
      <c r="AC1503" s="12"/>
      <c r="AD1503" s="12"/>
      <c r="AE1503" s="12"/>
      <c r="AF1503" s="12"/>
      <c r="AG1503" s="12"/>
      <c r="AH1503" s="12"/>
      <c r="AI1503" s="12"/>
      <c r="AJ1503" s="12"/>
      <c r="AK1503" s="12"/>
      <c r="AL1503" s="12"/>
      <c r="AM1503" s="12"/>
    </row>
    <row r="1504" spans="2:39" ht="25.2" customHeight="1" x14ac:dyDescent="0.3">
      <c r="B1504" s="13" t="str">
        <f t="shared" si="27"/>
        <v/>
      </c>
      <c r="C1504" s="18"/>
      <c r="D1504" s="19" t="str">
        <f>IF(Tabela2[[#This Row],[AGRUPADOR]]&lt;&gt;"",VLOOKUP(Tabela2[[#This Row],[AGRUPADOR]],Tabela1[],2,0),"")</f>
        <v/>
      </c>
      <c r="E1504" s="19" t="str">
        <f>IF(Tabela2[[#This Row],[AGRUPADOR]]&lt;&gt;"",VLOOKUP(Tabela2[[#This Row],[AGRUPADOR]],Tabela1[],4,0),"")</f>
        <v/>
      </c>
      <c r="F1504" s="14"/>
      <c r="G1504" s="6"/>
      <c r="H1504" s="6"/>
      <c r="I1504" s="25"/>
      <c r="J1504" s="7"/>
      <c r="K1504" s="15"/>
      <c r="L1504" s="379">
        <f>IF(H1504&lt;&gt;"",J1504*K1504,SUMIFS(L1505:L$9844,$F1505:$F$9844,"*"&amp;F1504&amp;"*",$H1505:$H$9844,"&lt;&gt;"))</f>
        <v>0</v>
      </c>
      <c r="M1504" s="379" t="str">
        <f>IF(Tabela2[[#This Row],[UNID.]]&lt;&gt;"",IFERROR(VLOOKUP(Tabela2[[#This Row],[AGRUPADOR]],Lucratividade!$D$4:$O$129,6,0),0),"")</f>
        <v/>
      </c>
      <c r="N1504" s="379">
        <f>IF(H1504&lt;&gt;"",J1504*M1504*I1504,SUMIFS(N1505:N$9844,$F1505:$F$9844,"*"&amp;F1504&amp;"*",$H1505:$H$9844,"&lt;&gt;"))</f>
        <v>0</v>
      </c>
      <c r="O1504" s="162" t="str">
        <f>IFERROR((-Tabela2[[#This Row],[CUSTO TOTAL]]+Tabela2[[#This Row],[VENDA TOTAL]])/Tabela2[[#This Row],[VENDA TOTAL]]-PARAMETROS!$C$19,"")</f>
        <v/>
      </c>
      <c r="AA1504" s="219">
        <f>SUM(Plan_Orc[[#This Row],[01/jan]:[01/dez]])</f>
        <v>0</v>
      </c>
      <c r="AB1504" s="15"/>
      <c r="AC1504" s="15"/>
      <c r="AD1504" s="15"/>
      <c r="AE1504" s="15"/>
      <c r="AF1504" s="15"/>
      <c r="AG1504" s="15"/>
      <c r="AH1504" s="15"/>
      <c r="AI1504" s="15"/>
      <c r="AJ1504" s="15"/>
      <c r="AK1504" s="15"/>
      <c r="AL1504" s="15"/>
      <c r="AM1504" s="15"/>
    </row>
    <row r="1505" spans="2:39" ht="25.2" customHeight="1" x14ac:dyDescent="0.3">
      <c r="B1505" s="13" t="str">
        <f t="shared" si="27"/>
        <v/>
      </c>
      <c r="C1505" s="18"/>
      <c r="D1505" s="19" t="str">
        <f>IF(Tabela2[[#This Row],[AGRUPADOR]]&lt;&gt;"",VLOOKUP(Tabela2[[#This Row],[AGRUPADOR]],Tabela1[],2,0),"")</f>
        <v/>
      </c>
      <c r="E1505" s="19" t="str">
        <f>IF(Tabela2[[#This Row],[AGRUPADOR]]&lt;&gt;"",VLOOKUP(Tabela2[[#This Row],[AGRUPADOR]],Tabela1[],4,0),"")</f>
        <v/>
      </c>
      <c r="F1505" s="14"/>
      <c r="G1505" s="6"/>
      <c r="H1505" s="6"/>
      <c r="I1505" s="25"/>
      <c r="J1505" s="7"/>
      <c r="K1505" s="15"/>
      <c r="L1505" s="379">
        <f>IF(H1505&lt;&gt;"",J1505*K1505,SUMIFS(L1506:L$9844,$F1506:$F$9844,"*"&amp;F1505&amp;"*",$H1506:$H$9844,"&lt;&gt;"))</f>
        <v>0</v>
      </c>
      <c r="M1505" s="379" t="str">
        <f>IF(Tabela2[[#This Row],[UNID.]]&lt;&gt;"",IFERROR(VLOOKUP(Tabela2[[#This Row],[AGRUPADOR]],Lucratividade!$D$4:$O$129,6,0),0),"")</f>
        <v/>
      </c>
      <c r="N1505" s="379">
        <f>IF(H1505&lt;&gt;"",J1505*M1505*I1505,SUMIFS(N1506:N$9844,$F1506:$F$9844,"*"&amp;F1505&amp;"*",$H1506:$H$9844,"&lt;&gt;"))</f>
        <v>0</v>
      </c>
      <c r="O1505" s="162" t="str">
        <f>IFERROR((-Tabela2[[#This Row],[CUSTO TOTAL]]+Tabela2[[#This Row],[VENDA TOTAL]])/Tabela2[[#This Row],[VENDA TOTAL]]-PARAMETROS!$C$19,"")</f>
        <v/>
      </c>
      <c r="AA1505" s="222">
        <f>SUM(Plan_Orc[[#This Row],[01/jan]:[01/dez]])</f>
        <v>0</v>
      </c>
      <c r="AB1505" s="161"/>
      <c r="AC1505" s="161"/>
      <c r="AD1505" s="161"/>
      <c r="AE1505" s="161"/>
      <c r="AF1505" s="161"/>
      <c r="AG1505" s="161"/>
      <c r="AH1505" s="161"/>
      <c r="AI1505" s="161"/>
      <c r="AJ1505" s="161"/>
      <c r="AK1505" s="161"/>
      <c r="AL1505" s="161"/>
      <c r="AM1505" s="161"/>
    </row>
    <row r="1506" spans="2:39" ht="25.2" customHeight="1" x14ac:dyDescent="0.3">
      <c r="B1506" s="13" t="str">
        <f t="shared" si="27"/>
        <v/>
      </c>
      <c r="C1506" s="18"/>
      <c r="D1506" s="19" t="str">
        <f>IF(Tabela2[[#This Row],[AGRUPADOR]]&lt;&gt;"",VLOOKUP(Tabela2[[#This Row],[AGRUPADOR]],Tabela1[],2,0),"")</f>
        <v/>
      </c>
      <c r="E1506" s="19" t="str">
        <f>IF(Tabela2[[#This Row],[AGRUPADOR]]&lt;&gt;"",VLOOKUP(Tabela2[[#This Row],[AGRUPADOR]],Tabela1[],4,0),"")</f>
        <v/>
      </c>
      <c r="F1506" s="14"/>
      <c r="G1506" s="6"/>
      <c r="H1506" s="6"/>
      <c r="I1506" s="25"/>
      <c r="J1506" s="7"/>
      <c r="K1506" s="15"/>
      <c r="L1506" s="379">
        <f>IF(H1506&lt;&gt;"",J1506*K1506,SUMIFS(L1507:L$9844,$F1507:$F$9844,"*"&amp;F1506&amp;"*",$H1507:$H$9844,"&lt;&gt;"))</f>
        <v>0</v>
      </c>
      <c r="M1506" s="379" t="str">
        <f>IF(Tabela2[[#This Row],[UNID.]]&lt;&gt;"",IFERROR(VLOOKUP(Tabela2[[#This Row],[AGRUPADOR]],Lucratividade!$D$4:$O$129,6,0),0),"")</f>
        <v/>
      </c>
      <c r="N1506" s="379">
        <f>IF(H1506&lt;&gt;"",J1506*M1506*I1506,SUMIFS(N1507:N$9844,$F1507:$F$9844,"*"&amp;F1506&amp;"*",$H1507:$H$9844,"&lt;&gt;"))</f>
        <v>0</v>
      </c>
      <c r="O1506" s="162" t="str">
        <f>IFERROR((-Tabela2[[#This Row],[CUSTO TOTAL]]+Tabela2[[#This Row],[VENDA TOTAL]])/Tabela2[[#This Row],[VENDA TOTAL]]-PARAMETROS!$C$19,"")</f>
        <v/>
      </c>
      <c r="AA1506" s="217">
        <f>SUM(Plan_Orc[[#This Row],[01/jan]:[01/dez]])</f>
        <v>0</v>
      </c>
      <c r="AB1506" s="202"/>
      <c r="AC1506" s="202"/>
      <c r="AD1506" s="202"/>
      <c r="AE1506" s="202"/>
      <c r="AF1506" s="202"/>
      <c r="AG1506" s="202"/>
      <c r="AH1506" s="202"/>
      <c r="AI1506" s="202"/>
      <c r="AJ1506" s="202"/>
      <c r="AK1506" s="202"/>
      <c r="AL1506" s="202"/>
      <c r="AM1506" s="202"/>
    </row>
    <row r="1507" spans="2:39" ht="25.2" customHeight="1" x14ac:dyDescent="0.3">
      <c r="B1507" s="13" t="str">
        <f t="shared" si="27"/>
        <v/>
      </c>
      <c r="C1507" s="18"/>
      <c r="D1507" s="19" t="str">
        <f>IF(Tabela2[[#This Row],[AGRUPADOR]]&lt;&gt;"",VLOOKUP(Tabela2[[#This Row],[AGRUPADOR]],Tabela1[],2,0),"")</f>
        <v/>
      </c>
      <c r="E1507" s="19" t="str">
        <f>IF(Tabela2[[#This Row],[AGRUPADOR]]&lt;&gt;"",VLOOKUP(Tabela2[[#This Row],[AGRUPADOR]],Tabela1[],4,0),"")</f>
        <v/>
      </c>
      <c r="F1507" s="14"/>
      <c r="G1507" s="6"/>
      <c r="H1507" s="6"/>
      <c r="I1507" s="25"/>
      <c r="J1507" s="7"/>
      <c r="K1507" s="15"/>
      <c r="L1507" s="379">
        <f>IF(H1507&lt;&gt;"",J1507*K1507,SUMIFS(L1508:L$9844,$F1508:$F$9844,"*"&amp;F1507&amp;"*",$H1508:$H$9844,"&lt;&gt;"))</f>
        <v>0</v>
      </c>
      <c r="M1507" s="379" t="str">
        <f>IF(Tabela2[[#This Row],[UNID.]]&lt;&gt;"",IFERROR(VLOOKUP(Tabela2[[#This Row],[AGRUPADOR]],Lucratividade!$D$4:$O$129,6,0),0),"")</f>
        <v/>
      </c>
      <c r="N1507" s="379">
        <f>IF(H1507&lt;&gt;"",J1507*M1507*I1507,SUMIFS(N1508:N$9844,$F1508:$F$9844,"*"&amp;F1507&amp;"*",$H1508:$H$9844,"&lt;&gt;"))</f>
        <v>0</v>
      </c>
      <c r="O1507" s="162" t="str">
        <f>IFERROR((-Tabela2[[#This Row],[CUSTO TOTAL]]+Tabela2[[#This Row],[VENDA TOTAL]])/Tabela2[[#This Row],[VENDA TOTAL]]-PARAMETROS!$C$19,"")</f>
        <v/>
      </c>
      <c r="AA1507" s="218">
        <f>SUM(Plan_Orc[[#This Row],[01/jan]:[01/dez]])</f>
        <v>0</v>
      </c>
      <c r="AB1507" s="12"/>
      <c r="AC1507" s="12"/>
      <c r="AD1507" s="12"/>
      <c r="AE1507" s="12"/>
      <c r="AF1507" s="12"/>
      <c r="AG1507" s="12"/>
      <c r="AH1507" s="12"/>
      <c r="AI1507" s="12"/>
      <c r="AJ1507" s="12"/>
      <c r="AK1507" s="12"/>
      <c r="AL1507" s="12"/>
      <c r="AM1507" s="12"/>
    </row>
    <row r="1508" spans="2:39" ht="25.2" customHeight="1" x14ac:dyDescent="0.3">
      <c r="B1508" s="13" t="str">
        <f t="shared" si="27"/>
        <v/>
      </c>
      <c r="C1508" s="18"/>
      <c r="D1508" s="19" t="str">
        <f>IF(Tabela2[[#This Row],[AGRUPADOR]]&lt;&gt;"",VLOOKUP(Tabela2[[#This Row],[AGRUPADOR]],Tabela1[],2,0),"")</f>
        <v/>
      </c>
      <c r="E1508" s="19" t="str">
        <f>IF(Tabela2[[#This Row],[AGRUPADOR]]&lt;&gt;"",VLOOKUP(Tabela2[[#This Row],[AGRUPADOR]],Tabela1[],4,0),"")</f>
        <v/>
      </c>
      <c r="F1508" s="14"/>
      <c r="G1508" s="6"/>
      <c r="H1508" s="6"/>
      <c r="I1508" s="25"/>
      <c r="J1508" s="7"/>
      <c r="K1508" s="15"/>
      <c r="L1508" s="379">
        <f>IF(H1508&lt;&gt;"",J1508*K1508,SUMIFS(L1509:L$9844,$F1509:$F$9844,"*"&amp;F1508&amp;"*",$H1509:$H$9844,"&lt;&gt;"))</f>
        <v>0</v>
      </c>
      <c r="M1508" s="379" t="str">
        <f>IF(Tabela2[[#This Row],[UNID.]]&lt;&gt;"",IFERROR(VLOOKUP(Tabela2[[#This Row],[AGRUPADOR]],Lucratividade!$D$4:$O$129,6,0),0),"")</f>
        <v/>
      </c>
      <c r="N1508" s="379">
        <f>IF(H1508&lt;&gt;"",J1508*M1508*I1508,SUMIFS(N1509:N$9844,$F1509:$F$9844,"*"&amp;F1508&amp;"*",$H1509:$H$9844,"&lt;&gt;"))</f>
        <v>0</v>
      </c>
      <c r="O1508" s="162" t="str">
        <f>IFERROR((-Tabela2[[#This Row],[CUSTO TOTAL]]+Tabela2[[#This Row],[VENDA TOTAL]])/Tabela2[[#This Row],[VENDA TOTAL]]-PARAMETROS!$C$19,"")</f>
        <v/>
      </c>
      <c r="AA1508" s="219">
        <f>SUM(Plan_Orc[[#This Row],[01/jan]:[01/dez]])</f>
        <v>0</v>
      </c>
      <c r="AB1508" s="15"/>
      <c r="AC1508" s="15"/>
      <c r="AD1508" s="15"/>
      <c r="AE1508" s="15"/>
      <c r="AF1508" s="15"/>
      <c r="AG1508" s="15"/>
      <c r="AH1508" s="15"/>
      <c r="AI1508" s="15"/>
      <c r="AJ1508" s="15"/>
      <c r="AK1508" s="15"/>
      <c r="AL1508" s="15"/>
      <c r="AM1508" s="15"/>
    </row>
    <row r="1509" spans="2:39" ht="25.2" customHeight="1" x14ac:dyDescent="0.3">
      <c r="B1509" s="13" t="str">
        <f t="shared" si="27"/>
        <v/>
      </c>
      <c r="C1509" s="18"/>
      <c r="D1509" s="19" t="str">
        <f>IF(Tabela2[[#This Row],[AGRUPADOR]]&lt;&gt;"",VLOOKUP(Tabela2[[#This Row],[AGRUPADOR]],Tabela1[],2,0),"")</f>
        <v/>
      </c>
      <c r="E1509" s="19" t="str">
        <f>IF(Tabela2[[#This Row],[AGRUPADOR]]&lt;&gt;"",VLOOKUP(Tabela2[[#This Row],[AGRUPADOR]],Tabela1[],4,0),"")</f>
        <v/>
      </c>
      <c r="F1509" s="14"/>
      <c r="G1509" s="6"/>
      <c r="H1509" s="6"/>
      <c r="I1509" s="25"/>
      <c r="J1509" s="7"/>
      <c r="K1509" s="15"/>
      <c r="L1509" s="379">
        <f>IF(H1509&lt;&gt;"",J1509*K1509,SUMIFS(L1510:L$9844,$F1510:$F$9844,"*"&amp;F1509&amp;"*",$H1510:$H$9844,"&lt;&gt;"))</f>
        <v>0</v>
      </c>
      <c r="M1509" s="379" t="str">
        <f>IF(Tabela2[[#This Row],[UNID.]]&lt;&gt;"",IFERROR(VLOOKUP(Tabela2[[#This Row],[AGRUPADOR]],Lucratividade!$D$4:$O$129,6,0),0),"")</f>
        <v/>
      </c>
      <c r="N1509" s="379">
        <f>IF(H1509&lt;&gt;"",J1509*M1509*I1509,SUMIFS(N1510:N$9844,$F1510:$F$9844,"*"&amp;F1509&amp;"*",$H1510:$H$9844,"&lt;&gt;"))</f>
        <v>0</v>
      </c>
      <c r="O1509" s="162" t="str">
        <f>IFERROR((-Tabela2[[#This Row],[CUSTO TOTAL]]+Tabela2[[#This Row],[VENDA TOTAL]])/Tabela2[[#This Row],[VENDA TOTAL]]-PARAMETROS!$C$19,"")</f>
        <v/>
      </c>
      <c r="AA1509" s="217">
        <f>SUM(Plan_Orc[[#This Row],[01/jan]:[01/dez]])</f>
        <v>0</v>
      </c>
      <c r="AB1509" s="202"/>
      <c r="AC1509" s="202"/>
      <c r="AD1509" s="202"/>
      <c r="AE1509" s="202"/>
      <c r="AF1509" s="202"/>
      <c r="AG1509" s="202"/>
      <c r="AH1509" s="202"/>
      <c r="AI1509" s="202"/>
      <c r="AJ1509" s="202"/>
      <c r="AK1509" s="202"/>
      <c r="AL1509" s="202"/>
      <c r="AM1509" s="202"/>
    </row>
    <row r="1510" spans="2:39" ht="25.2" customHeight="1" x14ac:dyDescent="0.3">
      <c r="B1510" s="13" t="str">
        <f t="shared" si="27"/>
        <v/>
      </c>
      <c r="C1510" s="18"/>
      <c r="D1510" s="19" t="str">
        <f>IF(Tabela2[[#This Row],[AGRUPADOR]]&lt;&gt;"",VLOOKUP(Tabela2[[#This Row],[AGRUPADOR]],Tabela1[],2,0),"")</f>
        <v/>
      </c>
      <c r="E1510" s="19" t="str">
        <f>IF(Tabela2[[#This Row],[AGRUPADOR]]&lt;&gt;"",VLOOKUP(Tabela2[[#This Row],[AGRUPADOR]],Tabela1[],4,0),"")</f>
        <v/>
      </c>
      <c r="F1510" s="14"/>
      <c r="G1510" s="6"/>
      <c r="H1510" s="6"/>
      <c r="I1510" s="25"/>
      <c r="J1510" s="7"/>
      <c r="K1510" s="15"/>
      <c r="L1510" s="379">
        <f>IF(H1510&lt;&gt;"",J1510*K1510,SUMIFS(L1511:L$9844,$F1511:$F$9844,"*"&amp;F1510&amp;"*",$H1511:$H$9844,"&lt;&gt;"))</f>
        <v>0</v>
      </c>
      <c r="M1510" s="379" t="str">
        <f>IF(Tabela2[[#This Row],[UNID.]]&lt;&gt;"",IFERROR(VLOOKUP(Tabela2[[#This Row],[AGRUPADOR]],Lucratividade!$D$4:$O$129,6,0),0),"")</f>
        <v/>
      </c>
      <c r="N1510" s="379">
        <f>IF(H1510&lt;&gt;"",J1510*M1510*I1510,SUMIFS(N1511:N$9844,$F1511:$F$9844,"*"&amp;F1510&amp;"*",$H1511:$H$9844,"&lt;&gt;"))</f>
        <v>0</v>
      </c>
      <c r="O1510" s="162" t="str">
        <f>IFERROR((-Tabela2[[#This Row],[CUSTO TOTAL]]+Tabela2[[#This Row],[VENDA TOTAL]])/Tabela2[[#This Row],[VENDA TOTAL]]-PARAMETROS!$C$19,"")</f>
        <v/>
      </c>
      <c r="AA1510" s="218">
        <f>SUM(Plan_Orc[[#This Row],[01/jan]:[01/dez]])</f>
        <v>0</v>
      </c>
      <c r="AB1510" s="12"/>
      <c r="AC1510" s="12"/>
      <c r="AD1510" s="12"/>
      <c r="AE1510" s="12"/>
      <c r="AF1510" s="12"/>
      <c r="AG1510" s="12"/>
      <c r="AH1510" s="12"/>
      <c r="AI1510" s="12"/>
      <c r="AJ1510" s="12"/>
      <c r="AK1510" s="12"/>
      <c r="AL1510" s="12"/>
      <c r="AM1510" s="12"/>
    </row>
    <row r="1511" spans="2:39" ht="25.2" customHeight="1" x14ac:dyDescent="0.3">
      <c r="B1511" s="13" t="str">
        <f t="shared" si="27"/>
        <v/>
      </c>
      <c r="C1511" s="18"/>
      <c r="D1511" s="19" t="str">
        <f>IF(Tabela2[[#This Row],[AGRUPADOR]]&lt;&gt;"",VLOOKUP(Tabela2[[#This Row],[AGRUPADOR]],Tabela1[],2,0),"")</f>
        <v/>
      </c>
      <c r="E1511" s="19" t="str">
        <f>IF(Tabela2[[#This Row],[AGRUPADOR]]&lt;&gt;"",VLOOKUP(Tabela2[[#This Row],[AGRUPADOR]],Tabela1[],4,0),"")</f>
        <v/>
      </c>
      <c r="F1511" s="14"/>
      <c r="G1511" s="6"/>
      <c r="H1511" s="6"/>
      <c r="I1511" s="25"/>
      <c r="J1511" s="7"/>
      <c r="K1511" s="15"/>
      <c r="L1511" s="379">
        <f>IF(H1511&lt;&gt;"",J1511*K1511,SUMIFS(L1512:L$9844,$F1512:$F$9844,"*"&amp;F1511&amp;"*",$H1512:$H$9844,"&lt;&gt;"))</f>
        <v>0</v>
      </c>
      <c r="M1511" s="379" t="str">
        <f>IF(Tabela2[[#This Row],[UNID.]]&lt;&gt;"",IFERROR(VLOOKUP(Tabela2[[#This Row],[AGRUPADOR]],Lucratividade!$D$4:$O$129,6,0),0),"")</f>
        <v/>
      </c>
      <c r="N1511" s="379">
        <f>IF(H1511&lt;&gt;"",J1511*M1511*I1511,SUMIFS(N1512:N$9844,$F1512:$F$9844,"*"&amp;F1511&amp;"*",$H1512:$H$9844,"&lt;&gt;"))</f>
        <v>0</v>
      </c>
      <c r="O1511" s="162" t="str">
        <f>IFERROR((-Tabela2[[#This Row],[CUSTO TOTAL]]+Tabela2[[#This Row],[VENDA TOTAL]])/Tabela2[[#This Row],[VENDA TOTAL]]-PARAMETROS!$C$19,"")</f>
        <v/>
      </c>
      <c r="AA1511" s="219">
        <f>SUM(Plan_Orc[[#This Row],[01/jan]:[01/dez]])</f>
        <v>0</v>
      </c>
      <c r="AB1511" s="15"/>
      <c r="AC1511" s="15"/>
      <c r="AD1511" s="15"/>
      <c r="AE1511" s="15"/>
      <c r="AF1511" s="15"/>
      <c r="AG1511" s="15"/>
      <c r="AH1511" s="15"/>
      <c r="AI1511" s="15"/>
      <c r="AJ1511" s="15"/>
      <c r="AK1511" s="15"/>
      <c r="AL1511" s="15"/>
      <c r="AM1511" s="15"/>
    </row>
    <row r="1512" spans="2:39" ht="25.2" customHeight="1" x14ac:dyDescent="0.3">
      <c r="B1512" s="13" t="str">
        <f t="shared" si="27"/>
        <v/>
      </c>
      <c r="C1512" s="18"/>
      <c r="D1512" s="19" t="str">
        <f>IF(Tabela2[[#This Row],[AGRUPADOR]]&lt;&gt;"",VLOOKUP(Tabela2[[#This Row],[AGRUPADOR]],Tabela1[],2,0),"")</f>
        <v/>
      </c>
      <c r="E1512" s="19" t="str">
        <f>IF(Tabela2[[#This Row],[AGRUPADOR]]&lt;&gt;"",VLOOKUP(Tabela2[[#This Row],[AGRUPADOR]],Tabela1[],4,0),"")</f>
        <v/>
      </c>
      <c r="F1512" s="14"/>
      <c r="G1512" s="6"/>
      <c r="H1512" s="6"/>
      <c r="I1512" s="25"/>
      <c r="J1512" s="7"/>
      <c r="K1512" s="15"/>
      <c r="L1512" s="379">
        <f>IF(H1512&lt;&gt;"",J1512*K1512,SUMIFS(L1513:L$9844,$F1513:$F$9844,"*"&amp;F1512&amp;"*",$H1513:$H$9844,"&lt;&gt;"))</f>
        <v>0</v>
      </c>
      <c r="M1512" s="379" t="str">
        <f>IF(Tabela2[[#This Row],[UNID.]]&lt;&gt;"",IFERROR(VLOOKUP(Tabela2[[#This Row],[AGRUPADOR]],Lucratividade!$D$4:$O$129,6,0),0),"")</f>
        <v/>
      </c>
      <c r="N1512" s="379">
        <f>IF(H1512&lt;&gt;"",J1512*M1512*I1512,SUMIFS(N1513:N$9844,$F1513:$F$9844,"*"&amp;F1512&amp;"*",$H1513:$H$9844,"&lt;&gt;"))</f>
        <v>0</v>
      </c>
      <c r="O1512" s="162" t="str">
        <f>IFERROR((-Tabela2[[#This Row],[CUSTO TOTAL]]+Tabela2[[#This Row],[VENDA TOTAL]])/Tabela2[[#This Row],[VENDA TOTAL]]-PARAMETROS!$C$19,"")</f>
        <v/>
      </c>
      <c r="AA1512" s="219">
        <f>SUM(Plan_Orc[[#This Row],[01/jan]:[01/dez]])</f>
        <v>0</v>
      </c>
      <c r="AB1512" s="15"/>
      <c r="AC1512" s="15"/>
      <c r="AD1512" s="15"/>
      <c r="AE1512" s="15"/>
      <c r="AF1512" s="15"/>
      <c r="AG1512" s="15"/>
      <c r="AH1512" s="15"/>
      <c r="AI1512" s="15"/>
      <c r="AJ1512" s="15"/>
      <c r="AK1512" s="15"/>
      <c r="AL1512" s="15"/>
      <c r="AM1512" s="15"/>
    </row>
    <row r="1513" spans="2:39" ht="25.2" customHeight="1" x14ac:dyDescent="0.3">
      <c r="B1513" s="13" t="str">
        <f t="shared" si="27"/>
        <v/>
      </c>
      <c r="C1513" s="18"/>
      <c r="D1513" s="19" t="str">
        <f>IF(Tabela2[[#This Row],[AGRUPADOR]]&lt;&gt;"",VLOOKUP(Tabela2[[#This Row],[AGRUPADOR]],Tabela1[],2,0),"")</f>
        <v/>
      </c>
      <c r="E1513" s="19" t="str">
        <f>IF(Tabela2[[#This Row],[AGRUPADOR]]&lt;&gt;"",VLOOKUP(Tabela2[[#This Row],[AGRUPADOR]],Tabela1[],4,0),"")</f>
        <v/>
      </c>
      <c r="F1513" s="14"/>
      <c r="G1513" s="6"/>
      <c r="H1513" s="6"/>
      <c r="I1513" s="25"/>
      <c r="J1513" s="7"/>
      <c r="K1513" s="15"/>
      <c r="L1513" s="379">
        <f>IF(H1513&lt;&gt;"",J1513*K1513,SUMIFS(L1514:L$9844,$F1514:$F$9844,"*"&amp;F1513&amp;"*",$H1514:$H$9844,"&lt;&gt;"))</f>
        <v>0</v>
      </c>
      <c r="M1513" s="379" t="str">
        <f>IF(Tabela2[[#This Row],[UNID.]]&lt;&gt;"",IFERROR(VLOOKUP(Tabela2[[#This Row],[AGRUPADOR]],Lucratividade!$D$4:$O$129,6,0),0),"")</f>
        <v/>
      </c>
      <c r="N1513" s="379">
        <f>IF(H1513&lt;&gt;"",J1513*M1513*I1513,SUMIFS(N1514:N$9844,$F1514:$F$9844,"*"&amp;F1513&amp;"*",$H1514:$H$9844,"&lt;&gt;"))</f>
        <v>0</v>
      </c>
      <c r="O1513" s="162" t="str">
        <f>IFERROR((-Tabela2[[#This Row],[CUSTO TOTAL]]+Tabela2[[#This Row],[VENDA TOTAL]])/Tabela2[[#This Row],[VENDA TOTAL]]-PARAMETROS!$C$19,"")</f>
        <v/>
      </c>
      <c r="AA1513" s="219">
        <f>SUM(Plan_Orc[[#This Row],[01/jan]:[01/dez]])</f>
        <v>0</v>
      </c>
      <c r="AB1513" s="15"/>
      <c r="AC1513" s="15"/>
      <c r="AD1513" s="15"/>
      <c r="AE1513" s="15"/>
      <c r="AF1513" s="15"/>
      <c r="AG1513" s="15"/>
      <c r="AH1513" s="15"/>
      <c r="AI1513" s="15"/>
      <c r="AJ1513" s="15"/>
      <c r="AK1513" s="15"/>
      <c r="AL1513" s="15"/>
      <c r="AM1513" s="15"/>
    </row>
    <row r="1514" spans="2:39" ht="25.2" customHeight="1" x14ac:dyDescent="0.3">
      <c r="B1514" s="13" t="str">
        <f t="shared" si="27"/>
        <v/>
      </c>
      <c r="C1514" s="18"/>
      <c r="D1514" s="19" t="str">
        <f>IF(Tabela2[[#This Row],[AGRUPADOR]]&lt;&gt;"",VLOOKUP(Tabela2[[#This Row],[AGRUPADOR]],Tabela1[],2,0),"")</f>
        <v/>
      </c>
      <c r="E1514" s="19" t="str">
        <f>IF(Tabela2[[#This Row],[AGRUPADOR]]&lt;&gt;"",VLOOKUP(Tabela2[[#This Row],[AGRUPADOR]],Tabela1[],4,0),"")</f>
        <v/>
      </c>
      <c r="F1514" s="14"/>
      <c r="G1514" s="6"/>
      <c r="H1514" s="6"/>
      <c r="I1514" s="25"/>
      <c r="J1514" s="7"/>
      <c r="K1514" s="15"/>
      <c r="L1514" s="379">
        <f>IF(H1514&lt;&gt;"",J1514*K1514,SUMIFS(L1515:L$9844,$F1515:$F$9844,"*"&amp;F1514&amp;"*",$H1515:$H$9844,"&lt;&gt;"))</f>
        <v>0</v>
      </c>
      <c r="M1514" s="379" t="str">
        <f>IF(Tabela2[[#This Row],[UNID.]]&lt;&gt;"",IFERROR(VLOOKUP(Tabela2[[#This Row],[AGRUPADOR]],Lucratividade!$D$4:$O$129,6,0),0),"")</f>
        <v/>
      </c>
      <c r="N1514" s="379">
        <f>IF(H1514&lt;&gt;"",J1514*M1514*I1514,SUMIFS(N1515:N$9844,$F1515:$F$9844,"*"&amp;F1514&amp;"*",$H1515:$H$9844,"&lt;&gt;"))</f>
        <v>0</v>
      </c>
      <c r="O1514" s="162" t="str">
        <f>IFERROR((-Tabela2[[#This Row],[CUSTO TOTAL]]+Tabela2[[#This Row],[VENDA TOTAL]])/Tabela2[[#This Row],[VENDA TOTAL]]-PARAMETROS!$C$19,"")</f>
        <v/>
      </c>
      <c r="AA1514" s="219">
        <f>SUM(Plan_Orc[[#This Row],[01/jan]:[01/dez]])</f>
        <v>0</v>
      </c>
      <c r="AB1514" s="15"/>
      <c r="AC1514" s="15"/>
      <c r="AD1514" s="15"/>
      <c r="AE1514" s="15"/>
      <c r="AF1514" s="15"/>
      <c r="AG1514" s="15"/>
      <c r="AH1514" s="15"/>
      <c r="AI1514" s="15"/>
      <c r="AJ1514" s="15"/>
      <c r="AK1514" s="15"/>
      <c r="AL1514" s="15"/>
      <c r="AM1514" s="15"/>
    </row>
    <row r="1515" spans="2:39" ht="25.2" customHeight="1" x14ac:dyDescent="0.3">
      <c r="B1515" s="13" t="str">
        <f t="shared" si="27"/>
        <v/>
      </c>
      <c r="C1515" s="18"/>
      <c r="D1515" s="19" t="str">
        <f>IF(Tabela2[[#This Row],[AGRUPADOR]]&lt;&gt;"",VLOOKUP(Tabela2[[#This Row],[AGRUPADOR]],Tabela1[],2,0),"")</f>
        <v/>
      </c>
      <c r="E1515" s="19" t="str">
        <f>IF(Tabela2[[#This Row],[AGRUPADOR]]&lt;&gt;"",VLOOKUP(Tabela2[[#This Row],[AGRUPADOR]],Tabela1[],4,0),"")</f>
        <v/>
      </c>
      <c r="F1515" s="14"/>
      <c r="G1515" s="6"/>
      <c r="H1515" s="6"/>
      <c r="I1515" s="25"/>
      <c r="J1515" s="7"/>
      <c r="K1515" s="15"/>
      <c r="L1515" s="379">
        <f>IF(H1515&lt;&gt;"",J1515*K1515,SUMIFS(L1516:L$9844,$F1516:$F$9844,"*"&amp;F1515&amp;"*",$H1516:$H$9844,"&lt;&gt;"))</f>
        <v>0</v>
      </c>
      <c r="M1515" s="379" t="str">
        <f>IF(Tabela2[[#This Row],[UNID.]]&lt;&gt;"",IFERROR(VLOOKUP(Tabela2[[#This Row],[AGRUPADOR]],Lucratividade!$D$4:$O$129,6,0),0),"")</f>
        <v/>
      </c>
      <c r="N1515" s="379">
        <f>IF(H1515&lt;&gt;"",J1515*M1515*I1515,SUMIFS(N1516:N$9844,$F1516:$F$9844,"*"&amp;F1515&amp;"*",$H1516:$H$9844,"&lt;&gt;"))</f>
        <v>0</v>
      </c>
      <c r="O1515" s="162" t="str">
        <f>IFERROR((-Tabela2[[#This Row],[CUSTO TOTAL]]+Tabela2[[#This Row],[VENDA TOTAL]])/Tabela2[[#This Row],[VENDA TOTAL]]-PARAMETROS!$C$19,"")</f>
        <v/>
      </c>
      <c r="AA1515" s="219">
        <f>SUM(Plan_Orc[[#This Row],[01/jan]:[01/dez]])</f>
        <v>0</v>
      </c>
      <c r="AB1515" s="15"/>
      <c r="AC1515" s="15"/>
      <c r="AD1515" s="15"/>
      <c r="AE1515" s="15"/>
      <c r="AF1515" s="15"/>
      <c r="AG1515" s="15"/>
      <c r="AH1515" s="15"/>
      <c r="AI1515" s="15"/>
      <c r="AJ1515" s="15"/>
      <c r="AK1515" s="15"/>
      <c r="AL1515" s="15"/>
      <c r="AM1515" s="15"/>
    </row>
    <row r="1516" spans="2:39" ht="25.2" customHeight="1" x14ac:dyDescent="0.3">
      <c r="B1516" s="13" t="str">
        <f t="shared" si="27"/>
        <v/>
      </c>
      <c r="C1516" s="18"/>
      <c r="D1516" s="19" t="str">
        <f>IF(Tabela2[[#This Row],[AGRUPADOR]]&lt;&gt;"",VLOOKUP(Tabela2[[#This Row],[AGRUPADOR]],Tabela1[],2,0),"")</f>
        <v/>
      </c>
      <c r="E1516" s="19" t="str">
        <f>IF(Tabela2[[#This Row],[AGRUPADOR]]&lt;&gt;"",VLOOKUP(Tabela2[[#This Row],[AGRUPADOR]],Tabela1[],4,0),"")</f>
        <v/>
      </c>
      <c r="F1516" s="14"/>
      <c r="G1516" s="6"/>
      <c r="H1516" s="6"/>
      <c r="I1516" s="25"/>
      <c r="J1516" s="7"/>
      <c r="K1516" s="15"/>
      <c r="L1516" s="379">
        <f>IF(H1516&lt;&gt;"",J1516*K1516,SUMIFS(L1517:L$9844,$F1517:$F$9844,"*"&amp;F1516&amp;"*",$H1517:$H$9844,"&lt;&gt;"))</f>
        <v>0</v>
      </c>
      <c r="M1516" s="379" t="str">
        <f>IF(Tabela2[[#This Row],[UNID.]]&lt;&gt;"",IFERROR(VLOOKUP(Tabela2[[#This Row],[AGRUPADOR]],Lucratividade!$D$4:$O$129,6,0),0),"")</f>
        <v/>
      </c>
      <c r="N1516" s="379">
        <f>IF(H1516&lt;&gt;"",J1516*M1516*I1516,SUMIFS(N1517:N$9844,$F1517:$F$9844,"*"&amp;F1516&amp;"*",$H1517:$H$9844,"&lt;&gt;"))</f>
        <v>0</v>
      </c>
      <c r="O1516" s="162" t="str">
        <f>IFERROR((-Tabela2[[#This Row],[CUSTO TOTAL]]+Tabela2[[#This Row],[VENDA TOTAL]])/Tabela2[[#This Row],[VENDA TOTAL]]-PARAMETROS!$C$19,"")</f>
        <v/>
      </c>
      <c r="AA1516" s="219">
        <f>SUM(Plan_Orc[[#This Row],[01/jan]:[01/dez]])</f>
        <v>0</v>
      </c>
      <c r="AB1516" s="15"/>
      <c r="AC1516" s="15"/>
      <c r="AD1516" s="15"/>
      <c r="AE1516" s="15"/>
      <c r="AF1516" s="15"/>
      <c r="AG1516" s="15"/>
      <c r="AH1516" s="15"/>
      <c r="AI1516" s="15"/>
      <c r="AJ1516" s="15"/>
      <c r="AK1516" s="15"/>
      <c r="AL1516" s="15"/>
      <c r="AM1516" s="15"/>
    </row>
    <row r="1517" spans="2:39" ht="25.2" customHeight="1" x14ac:dyDescent="0.3">
      <c r="B1517" s="13" t="str">
        <f t="shared" si="27"/>
        <v/>
      </c>
      <c r="C1517" s="18"/>
      <c r="D1517" s="19" t="str">
        <f>IF(Tabela2[[#This Row],[AGRUPADOR]]&lt;&gt;"",VLOOKUP(Tabela2[[#This Row],[AGRUPADOR]],Tabela1[],2,0),"")</f>
        <v/>
      </c>
      <c r="E1517" s="19" t="str">
        <f>IF(Tabela2[[#This Row],[AGRUPADOR]]&lt;&gt;"",VLOOKUP(Tabela2[[#This Row],[AGRUPADOR]],Tabela1[],4,0),"")</f>
        <v/>
      </c>
      <c r="F1517" s="14"/>
      <c r="G1517" s="6"/>
      <c r="H1517" s="6"/>
      <c r="I1517" s="25"/>
      <c r="J1517" s="7"/>
      <c r="K1517" s="15"/>
      <c r="L1517" s="379">
        <f>IF(H1517&lt;&gt;"",J1517*K1517,SUMIFS(L1518:L$9844,$F1518:$F$9844,"*"&amp;F1517&amp;"*",$H1518:$H$9844,"&lt;&gt;"))</f>
        <v>0</v>
      </c>
      <c r="M1517" s="379" t="str">
        <f>IF(Tabela2[[#This Row],[UNID.]]&lt;&gt;"",IFERROR(VLOOKUP(Tabela2[[#This Row],[AGRUPADOR]],Lucratividade!$D$4:$O$129,6,0),0),"")</f>
        <v/>
      </c>
      <c r="N1517" s="379">
        <f>IF(H1517&lt;&gt;"",J1517*M1517*I1517,SUMIFS(N1518:N$9844,$F1518:$F$9844,"*"&amp;F1517&amp;"*",$H1518:$H$9844,"&lt;&gt;"))</f>
        <v>0</v>
      </c>
      <c r="O1517" s="162" t="str">
        <f>IFERROR((-Tabela2[[#This Row],[CUSTO TOTAL]]+Tabela2[[#This Row],[VENDA TOTAL]])/Tabela2[[#This Row],[VENDA TOTAL]]-PARAMETROS!$C$19,"")</f>
        <v/>
      </c>
      <c r="AA1517" s="219">
        <f>SUM(Plan_Orc[[#This Row],[01/jan]:[01/dez]])</f>
        <v>0</v>
      </c>
      <c r="AB1517" s="15"/>
      <c r="AC1517" s="15"/>
      <c r="AD1517" s="15"/>
      <c r="AE1517" s="15"/>
      <c r="AF1517" s="15"/>
      <c r="AG1517" s="15"/>
      <c r="AH1517" s="15"/>
      <c r="AI1517" s="15"/>
      <c r="AJ1517" s="15"/>
      <c r="AK1517" s="15"/>
      <c r="AL1517" s="15"/>
      <c r="AM1517" s="15"/>
    </row>
    <row r="1518" spans="2:39" ht="25.2" customHeight="1" x14ac:dyDescent="0.3">
      <c r="B1518" s="13" t="str">
        <f t="shared" si="27"/>
        <v/>
      </c>
      <c r="C1518" s="18"/>
      <c r="D1518" s="19" t="str">
        <f>IF(Tabela2[[#This Row],[AGRUPADOR]]&lt;&gt;"",VLOOKUP(Tabela2[[#This Row],[AGRUPADOR]],Tabela1[],2,0),"")</f>
        <v/>
      </c>
      <c r="E1518" s="19" t="str">
        <f>IF(Tabela2[[#This Row],[AGRUPADOR]]&lt;&gt;"",VLOOKUP(Tabela2[[#This Row],[AGRUPADOR]],Tabela1[],4,0),"")</f>
        <v/>
      </c>
      <c r="F1518" s="14"/>
      <c r="G1518" s="6"/>
      <c r="H1518" s="6"/>
      <c r="I1518" s="25"/>
      <c r="J1518" s="7"/>
      <c r="K1518" s="15"/>
      <c r="L1518" s="379">
        <f>IF(H1518&lt;&gt;"",J1518*K1518,SUMIFS(L1519:L$9844,$F1519:$F$9844,"*"&amp;F1518&amp;"*",$H1519:$H$9844,"&lt;&gt;"))</f>
        <v>0</v>
      </c>
      <c r="M1518" s="379" t="str">
        <f>IF(Tabela2[[#This Row],[UNID.]]&lt;&gt;"",IFERROR(VLOOKUP(Tabela2[[#This Row],[AGRUPADOR]],Lucratividade!$D$4:$O$129,6,0),0),"")</f>
        <v/>
      </c>
      <c r="N1518" s="379">
        <f>IF(H1518&lt;&gt;"",J1518*M1518*I1518,SUMIFS(N1519:N$9844,$F1519:$F$9844,"*"&amp;F1518&amp;"*",$H1519:$H$9844,"&lt;&gt;"))</f>
        <v>0</v>
      </c>
      <c r="O1518" s="162" t="str">
        <f>IFERROR((-Tabela2[[#This Row],[CUSTO TOTAL]]+Tabela2[[#This Row],[VENDA TOTAL]])/Tabela2[[#This Row],[VENDA TOTAL]]-PARAMETROS!$C$19,"")</f>
        <v/>
      </c>
      <c r="AA1518" s="219">
        <f>SUM(Plan_Orc[[#This Row],[01/jan]:[01/dez]])</f>
        <v>0</v>
      </c>
      <c r="AB1518" s="15"/>
      <c r="AC1518" s="15"/>
      <c r="AD1518" s="15"/>
      <c r="AE1518" s="15"/>
      <c r="AF1518" s="15"/>
      <c r="AG1518" s="15"/>
      <c r="AH1518" s="15"/>
      <c r="AI1518" s="15"/>
      <c r="AJ1518" s="15"/>
      <c r="AK1518" s="15"/>
      <c r="AL1518" s="15"/>
      <c r="AM1518" s="15"/>
    </row>
    <row r="1519" spans="2:39" ht="25.2" customHeight="1" x14ac:dyDescent="0.3">
      <c r="B1519" s="13" t="str">
        <f t="shared" si="27"/>
        <v/>
      </c>
      <c r="C1519" s="18"/>
      <c r="D1519" s="19" t="str">
        <f>IF(Tabela2[[#This Row],[AGRUPADOR]]&lt;&gt;"",VLOOKUP(Tabela2[[#This Row],[AGRUPADOR]],Tabela1[],2,0),"")</f>
        <v/>
      </c>
      <c r="E1519" s="19" t="str">
        <f>IF(Tabela2[[#This Row],[AGRUPADOR]]&lt;&gt;"",VLOOKUP(Tabela2[[#This Row],[AGRUPADOR]],Tabela1[],4,0),"")</f>
        <v/>
      </c>
      <c r="F1519" s="14"/>
      <c r="G1519" s="6"/>
      <c r="H1519" s="6"/>
      <c r="I1519" s="25"/>
      <c r="J1519" s="7"/>
      <c r="K1519" s="15"/>
      <c r="L1519" s="379">
        <f>IF(H1519&lt;&gt;"",J1519*K1519,SUMIFS(L1520:L$9844,$F1520:$F$9844,"*"&amp;F1519&amp;"*",$H1520:$H$9844,"&lt;&gt;"))</f>
        <v>0</v>
      </c>
      <c r="M1519" s="379" t="str">
        <f>IF(Tabela2[[#This Row],[UNID.]]&lt;&gt;"",IFERROR(VLOOKUP(Tabela2[[#This Row],[AGRUPADOR]],Lucratividade!$D$4:$O$129,6,0),0),"")</f>
        <v/>
      </c>
      <c r="N1519" s="379">
        <f>IF(H1519&lt;&gt;"",J1519*M1519*I1519,SUMIFS(N1520:N$9844,$F1520:$F$9844,"*"&amp;F1519&amp;"*",$H1520:$H$9844,"&lt;&gt;"))</f>
        <v>0</v>
      </c>
      <c r="O1519" s="162" t="str">
        <f>IFERROR((-Tabela2[[#This Row],[CUSTO TOTAL]]+Tabela2[[#This Row],[VENDA TOTAL]])/Tabela2[[#This Row],[VENDA TOTAL]]-PARAMETROS!$C$19,"")</f>
        <v/>
      </c>
      <c r="AA1519" s="219">
        <f>SUM(Plan_Orc[[#This Row],[01/jan]:[01/dez]])</f>
        <v>0</v>
      </c>
      <c r="AB1519" s="15"/>
      <c r="AC1519" s="15"/>
      <c r="AD1519" s="15"/>
      <c r="AE1519" s="15"/>
      <c r="AF1519" s="15"/>
      <c r="AG1519" s="15"/>
      <c r="AH1519" s="15"/>
      <c r="AI1519" s="15"/>
      <c r="AJ1519" s="15"/>
      <c r="AK1519" s="15"/>
      <c r="AL1519" s="15"/>
      <c r="AM1519" s="15"/>
    </row>
    <row r="1520" spans="2:39" ht="25.2" customHeight="1" x14ac:dyDescent="0.3">
      <c r="B1520" s="13" t="str">
        <f t="shared" si="27"/>
        <v/>
      </c>
      <c r="C1520" s="18"/>
      <c r="D1520" s="19" t="str">
        <f>IF(Tabela2[[#This Row],[AGRUPADOR]]&lt;&gt;"",VLOOKUP(Tabela2[[#This Row],[AGRUPADOR]],Tabela1[],2,0),"")</f>
        <v/>
      </c>
      <c r="E1520" s="19" t="str">
        <f>IF(Tabela2[[#This Row],[AGRUPADOR]]&lt;&gt;"",VLOOKUP(Tabela2[[#This Row],[AGRUPADOR]],Tabela1[],4,0),"")</f>
        <v/>
      </c>
      <c r="F1520" s="14"/>
      <c r="G1520" s="6"/>
      <c r="H1520" s="6"/>
      <c r="I1520" s="25"/>
      <c r="J1520" s="7"/>
      <c r="K1520" s="15"/>
      <c r="L1520" s="379">
        <f>IF(H1520&lt;&gt;"",J1520*K1520,SUMIFS(L1521:L$9844,$F1521:$F$9844,"*"&amp;F1520&amp;"*",$H1521:$H$9844,"&lt;&gt;"))</f>
        <v>0</v>
      </c>
      <c r="M1520" s="379" t="str">
        <f>IF(Tabela2[[#This Row],[UNID.]]&lt;&gt;"",IFERROR(VLOOKUP(Tabela2[[#This Row],[AGRUPADOR]],Lucratividade!$D$4:$O$129,6,0),0),"")</f>
        <v/>
      </c>
      <c r="N1520" s="379">
        <f>IF(H1520&lt;&gt;"",J1520*M1520*I1520,SUMIFS(N1521:N$9844,$F1521:$F$9844,"*"&amp;F1520&amp;"*",$H1521:$H$9844,"&lt;&gt;"))</f>
        <v>0</v>
      </c>
      <c r="O1520" s="162" t="str">
        <f>IFERROR((-Tabela2[[#This Row],[CUSTO TOTAL]]+Tabela2[[#This Row],[VENDA TOTAL]])/Tabela2[[#This Row],[VENDA TOTAL]]-PARAMETROS!$C$19,"")</f>
        <v/>
      </c>
      <c r="AA1520" s="219">
        <f>SUM(Plan_Orc[[#This Row],[01/jan]:[01/dez]])</f>
        <v>0</v>
      </c>
      <c r="AB1520" s="15"/>
      <c r="AC1520" s="15"/>
      <c r="AD1520" s="15"/>
      <c r="AE1520" s="15"/>
      <c r="AF1520" s="15"/>
      <c r="AG1520" s="15"/>
      <c r="AH1520" s="15"/>
      <c r="AI1520" s="15"/>
      <c r="AJ1520" s="15"/>
      <c r="AK1520" s="15"/>
      <c r="AL1520" s="15"/>
      <c r="AM1520" s="15"/>
    </row>
    <row r="1521" spans="2:39" ht="25.2" customHeight="1" x14ac:dyDescent="0.3">
      <c r="B1521" s="13" t="str">
        <f t="shared" si="27"/>
        <v/>
      </c>
      <c r="C1521" s="18"/>
      <c r="D1521" s="19" t="str">
        <f>IF(Tabela2[[#This Row],[AGRUPADOR]]&lt;&gt;"",VLOOKUP(Tabela2[[#This Row],[AGRUPADOR]],Tabela1[],2,0),"")</f>
        <v/>
      </c>
      <c r="E1521" s="19" t="str">
        <f>IF(Tabela2[[#This Row],[AGRUPADOR]]&lt;&gt;"",VLOOKUP(Tabela2[[#This Row],[AGRUPADOR]],Tabela1[],4,0),"")</f>
        <v/>
      </c>
      <c r="F1521" s="14"/>
      <c r="G1521" s="6"/>
      <c r="H1521" s="6"/>
      <c r="I1521" s="25"/>
      <c r="J1521" s="7"/>
      <c r="K1521" s="15"/>
      <c r="L1521" s="379">
        <f>IF(H1521&lt;&gt;"",J1521*K1521,SUMIFS(L1522:L$9844,$F1522:$F$9844,"*"&amp;F1521&amp;"*",$H1522:$H$9844,"&lt;&gt;"))</f>
        <v>0</v>
      </c>
      <c r="M1521" s="379" t="str">
        <f>IF(Tabela2[[#This Row],[UNID.]]&lt;&gt;"",IFERROR(VLOOKUP(Tabela2[[#This Row],[AGRUPADOR]],Lucratividade!$D$4:$O$129,6,0),0),"")</f>
        <v/>
      </c>
      <c r="N1521" s="379">
        <f>IF(H1521&lt;&gt;"",J1521*M1521*I1521,SUMIFS(N1522:N$9844,$F1522:$F$9844,"*"&amp;F1521&amp;"*",$H1522:$H$9844,"&lt;&gt;"))</f>
        <v>0</v>
      </c>
      <c r="O1521" s="162" t="str">
        <f>IFERROR((-Tabela2[[#This Row],[CUSTO TOTAL]]+Tabela2[[#This Row],[VENDA TOTAL]])/Tabela2[[#This Row],[VENDA TOTAL]]-PARAMETROS!$C$19,"")</f>
        <v/>
      </c>
      <c r="AA1521" s="219">
        <f>SUM(Plan_Orc[[#This Row],[01/jan]:[01/dez]])</f>
        <v>0</v>
      </c>
      <c r="AB1521" s="15"/>
      <c r="AC1521" s="15"/>
      <c r="AD1521" s="15"/>
      <c r="AE1521" s="15"/>
      <c r="AF1521" s="15"/>
      <c r="AG1521" s="15"/>
      <c r="AH1521" s="15"/>
      <c r="AI1521" s="15"/>
      <c r="AJ1521" s="15"/>
      <c r="AK1521" s="15"/>
      <c r="AL1521" s="15"/>
      <c r="AM1521" s="15"/>
    </row>
    <row r="1522" spans="2:39" ht="25.2" customHeight="1" x14ac:dyDescent="0.3">
      <c r="B1522" s="13" t="str">
        <f t="shared" si="27"/>
        <v/>
      </c>
      <c r="C1522" s="18"/>
      <c r="D1522" s="19" t="str">
        <f>IF(Tabela2[[#This Row],[AGRUPADOR]]&lt;&gt;"",VLOOKUP(Tabela2[[#This Row],[AGRUPADOR]],Tabela1[],2,0),"")</f>
        <v/>
      </c>
      <c r="E1522" s="19" t="str">
        <f>IF(Tabela2[[#This Row],[AGRUPADOR]]&lt;&gt;"",VLOOKUP(Tabela2[[#This Row],[AGRUPADOR]],Tabela1[],4,0),"")</f>
        <v/>
      </c>
      <c r="F1522" s="14"/>
      <c r="G1522" s="6"/>
      <c r="H1522" s="6"/>
      <c r="I1522" s="25"/>
      <c r="J1522" s="7"/>
      <c r="K1522" s="15"/>
      <c r="L1522" s="379">
        <f>IF(H1522&lt;&gt;"",J1522*K1522,SUMIFS(L1523:L$9844,$F1523:$F$9844,"*"&amp;F1522&amp;"*",$H1523:$H$9844,"&lt;&gt;"))</f>
        <v>0</v>
      </c>
      <c r="M1522" s="379" t="str">
        <f>IF(Tabela2[[#This Row],[UNID.]]&lt;&gt;"",IFERROR(VLOOKUP(Tabela2[[#This Row],[AGRUPADOR]],Lucratividade!$D$4:$O$129,6,0),0),"")</f>
        <v/>
      </c>
      <c r="N1522" s="379">
        <f>IF(H1522&lt;&gt;"",J1522*M1522*I1522,SUMIFS(N1523:N$9844,$F1523:$F$9844,"*"&amp;F1522&amp;"*",$H1523:$H$9844,"&lt;&gt;"))</f>
        <v>0</v>
      </c>
      <c r="O1522" s="162" t="str">
        <f>IFERROR((-Tabela2[[#This Row],[CUSTO TOTAL]]+Tabela2[[#This Row],[VENDA TOTAL]])/Tabela2[[#This Row],[VENDA TOTAL]]-PARAMETROS!$C$19,"")</f>
        <v/>
      </c>
      <c r="AA1522" s="219">
        <f>SUM(Plan_Orc[[#This Row],[01/jan]:[01/dez]])</f>
        <v>0</v>
      </c>
      <c r="AB1522" s="15"/>
      <c r="AC1522" s="15"/>
      <c r="AD1522" s="15"/>
      <c r="AE1522" s="15"/>
      <c r="AF1522" s="15"/>
      <c r="AG1522" s="15"/>
      <c r="AH1522" s="15"/>
      <c r="AI1522" s="15"/>
      <c r="AJ1522" s="15"/>
      <c r="AK1522" s="15"/>
      <c r="AL1522" s="15"/>
      <c r="AM1522" s="15"/>
    </row>
    <row r="1523" spans="2:39" ht="25.2" customHeight="1" x14ac:dyDescent="0.3">
      <c r="B1523" s="13" t="str">
        <f t="shared" si="27"/>
        <v/>
      </c>
      <c r="C1523" s="18"/>
      <c r="D1523" s="19" t="str">
        <f>IF(Tabela2[[#This Row],[AGRUPADOR]]&lt;&gt;"",VLOOKUP(Tabela2[[#This Row],[AGRUPADOR]],Tabela1[],2,0),"")</f>
        <v/>
      </c>
      <c r="E1523" s="19" t="str">
        <f>IF(Tabela2[[#This Row],[AGRUPADOR]]&lt;&gt;"",VLOOKUP(Tabela2[[#This Row],[AGRUPADOR]],Tabela1[],4,0),"")</f>
        <v/>
      </c>
      <c r="F1523" s="14"/>
      <c r="G1523" s="6"/>
      <c r="H1523" s="6"/>
      <c r="I1523" s="25"/>
      <c r="J1523" s="7"/>
      <c r="K1523" s="15"/>
      <c r="L1523" s="379">
        <f>IF(H1523&lt;&gt;"",J1523*K1523,SUMIFS(L1524:L$9844,$F1524:$F$9844,"*"&amp;F1523&amp;"*",$H1524:$H$9844,"&lt;&gt;"))</f>
        <v>0</v>
      </c>
      <c r="M1523" s="379" t="str">
        <f>IF(Tabela2[[#This Row],[UNID.]]&lt;&gt;"",IFERROR(VLOOKUP(Tabela2[[#This Row],[AGRUPADOR]],Lucratividade!$D$4:$O$129,6,0),0),"")</f>
        <v/>
      </c>
      <c r="N1523" s="379">
        <f>IF(H1523&lt;&gt;"",J1523*M1523*I1523,SUMIFS(N1524:N$9844,$F1524:$F$9844,"*"&amp;F1523&amp;"*",$H1524:$H$9844,"&lt;&gt;"))</f>
        <v>0</v>
      </c>
      <c r="O1523" s="162" t="str">
        <f>IFERROR((-Tabela2[[#This Row],[CUSTO TOTAL]]+Tabela2[[#This Row],[VENDA TOTAL]])/Tabela2[[#This Row],[VENDA TOTAL]]-PARAMETROS!$C$19,"")</f>
        <v/>
      </c>
      <c r="AA1523" s="219">
        <f>SUM(Plan_Orc[[#This Row],[01/jan]:[01/dez]])</f>
        <v>0</v>
      </c>
      <c r="AB1523" s="15"/>
      <c r="AC1523" s="15"/>
      <c r="AD1523" s="15"/>
      <c r="AE1523" s="15"/>
      <c r="AF1523" s="15"/>
      <c r="AG1523" s="15"/>
      <c r="AH1523" s="15"/>
      <c r="AI1523" s="15"/>
      <c r="AJ1523" s="15"/>
      <c r="AK1523" s="15"/>
      <c r="AL1523" s="15"/>
      <c r="AM1523" s="15"/>
    </row>
    <row r="1524" spans="2:39" ht="25.2" customHeight="1" x14ac:dyDescent="0.3">
      <c r="B1524" s="13" t="str">
        <f t="shared" si="27"/>
        <v/>
      </c>
      <c r="C1524" s="18"/>
      <c r="D1524" s="19" t="str">
        <f>IF(Tabela2[[#This Row],[AGRUPADOR]]&lt;&gt;"",VLOOKUP(Tabela2[[#This Row],[AGRUPADOR]],Tabela1[],2,0),"")</f>
        <v/>
      </c>
      <c r="E1524" s="19" t="str">
        <f>IF(Tabela2[[#This Row],[AGRUPADOR]]&lt;&gt;"",VLOOKUP(Tabela2[[#This Row],[AGRUPADOR]],Tabela1[],4,0),"")</f>
        <v/>
      </c>
      <c r="F1524" s="14"/>
      <c r="G1524" s="6"/>
      <c r="H1524" s="6"/>
      <c r="I1524" s="25"/>
      <c r="J1524" s="7"/>
      <c r="K1524" s="15"/>
      <c r="L1524" s="379">
        <f>IF(H1524&lt;&gt;"",J1524*K1524,SUMIFS(L1525:L$9844,$F1525:$F$9844,"*"&amp;F1524&amp;"*",$H1525:$H$9844,"&lt;&gt;"))</f>
        <v>0</v>
      </c>
      <c r="M1524" s="379" t="str">
        <f>IF(Tabela2[[#This Row],[UNID.]]&lt;&gt;"",IFERROR(VLOOKUP(Tabela2[[#This Row],[AGRUPADOR]],Lucratividade!$D$4:$O$129,6,0),0),"")</f>
        <v/>
      </c>
      <c r="N1524" s="379">
        <f>IF(H1524&lt;&gt;"",J1524*M1524*I1524,SUMIFS(N1525:N$9844,$F1525:$F$9844,"*"&amp;F1524&amp;"*",$H1525:$H$9844,"&lt;&gt;"))</f>
        <v>0</v>
      </c>
      <c r="O1524" s="162" t="str">
        <f>IFERROR((-Tabela2[[#This Row],[CUSTO TOTAL]]+Tabela2[[#This Row],[VENDA TOTAL]])/Tabela2[[#This Row],[VENDA TOTAL]]-PARAMETROS!$C$19,"")</f>
        <v/>
      </c>
      <c r="AA1524" s="219">
        <f>SUM(Plan_Orc[[#This Row],[01/jan]:[01/dez]])</f>
        <v>0</v>
      </c>
      <c r="AB1524" s="15"/>
      <c r="AC1524" s="15"/>
      <c r="AD1524" s="15"/>
      <c r="AE1524" s="15"/>
      <c r="AF1524" s="15"/>
      <c r="AG1524" s="15"/>
      <c r="AH1524" s="15"/>
      <c r="AI1524" s="15"/>
      <c r="AJ1524" s="15"/>
      <c r="AK1524" s="15"/>
      <c r="AL1524" s="15"/>
      <c r="AM1524" s="15"/>
    </row>
    <row r="1525" spans="2:39" ht="25.2" customHeight="1" x14ac:dyDescent="0.3">
      <c r="B1525" s="13" t="str">
        <f t="shared" si="27"/>
        <v/>
      </c>
      <c r="C1525" s="18"/>
      <c r="D1525" s="19" t="str">
        <f>IF(Tabela2[[#This Row],[AGRUPADOR]]&lt;&gt;"",VLOOKUP(Tabela2[[#This Row],[AGRUPADOR]],Tabela1[],2,0),"")</f>
        <v/>
      </c>
      <c r="E1525" s="19" t="str">
        <f>IF(Tabela2[[#This Row],[AGRUPADOR]]&lt;&gt;"",VLOOKUP(Tabela2[[#This Row],[AGRUPADOR]],Tabela1[],4,0),"")</f>
        <v/>
      </c>
      <c r="F1525" s="14"/>
      <c r="G1525" s="6"/>
      <c r="H1525" s="6"/>
      <c r="I1525" s="25"/>
      <c r="J1525" s="7"/>
      <c r="K1525" s="15"/>
      <c r="L1525" s="379">
        <f>IF(H1525&lt;&gt;"",J1525*K1525,SUMIFS(L1526:L$9844,$F1526:$F$9844,"*"&amp;F1525&amp;"*",$H1526:$H$9844,"&lt;&gt;"))</f>
        <v>0</v>
      </c>
      <c r="M1525" s="379" t="str">
        <f>IF(Tabela2[[#This Row],[UNID.]]&lt;&gt;"",IFERROR(VLOOKUP(Tabela2[[#This Row],[AGRUPADOR]],Lucratividade!$D$4:$O$129,6,0),0),"")</f>
        <v/>
      </c>
      <c r="N1525" s="379">
        <f>IF(H1525&lt;&gt;"",J1525*M1525*I1525,SUMIFS(N1526:N$9844,$F1526:$F$9844,"*"&amp;F1525&amp;"*",$H1526:$H$9844,"&lt;&gt;"))</f>
        <v>0</v>
      </c>
      <c r="O1525" s="162" t="str">
        <f>IFERROR((-Tabela2[[#This Row],[CUSTO TOTAL]]+Tabela2[[#This Row],[VENDA TOTAL]])/Tabela2[[#This Row],[VENDA TOTAL]]-PARAMETROS!$C$19,"")</f>
        <v/>
      </c>
      <c r="AA1525" s="219">
        <f>SUM(Plan_Orc[[#This Row],[01/jan]:[01/dez]])</f>
        <v>0</v>
      </c>
      <c r="AB1525" s="15"/>
      <c r="AC1525" s="15"/>
      <c r="AD1525" s="15"/>
      <c r="AE1525" s="15"/>
      <c r="AF1525" s="15"/>
      <c r="AG1525" s="15"/>
      <c r="AH1525" s="15"/>
      <c r="AI1525" s="15"/>
      <c r="AJ1525" s="15"/>
      <c r="AK1525" s="15"/>
      <c r="AL1525" s="15"/>
      <c r="AM1525" s="15"/>
    </row>
    <row r="1526" spans="2:39" ht="25.2" customHeight="1" x14ac:dyDescent="0.3">
      <c r="B1526" s="13" t="str">
        <f t="shared" si="27"/>
        <v/>
      </c>
      <c r="C1526" s="18"/>
      <c r="D1526" s="19" t="str">
        <f>IF(Tabela2[[#This Row],[AGRUPADOR]]&lt;&gt;"",VLOOKUP(Tabela2[[#This Row],[AGRUPADOR]],Tabela1[],2,0),"")</f>
        <v/>
      </c>
      <c r="E1526" s="19" t="str">
        <f>IF(Tabela2[[#This Row],[AGRUPADOR]]&lt;&gt;"",VLOOKUP(Tabela2[[#This Row],[AGRUPADOR]],Tabela1[],4,0),"")</f>
        <v/>
      </c>
      <c r="F1526" s="14"/>
      <c r="G1526" s="6"/>
      <c r="H1526" s="6"/>
      <c r="I1526" s="25"/>
      <c r="J1526" s="7"/>
      <c r="K1526" s="15"/>
      <c r="L1526" s="379">
        <f>IF(H1526&lt;&gt;"",J1526*K1526,SUMIFS(L1527:L$9844,$F1527:$F$9844,"*"&amp;F1526&amp;"*",$H1527:$H$9844,"&lt;&gt;"))</f>
        <v>0</v>
      </c>
      <c r="M1526" s="379" t="str">
        <f>IF(Tabela2[[#This Row],[UNID.]]&lt;&gt;"",IFERROR(VLOOKUP(Tabela2[[#This Row],[AGRUPADOR]],Lucratividade!$D$4:$O$129,6,0),0),"")</f>
        <v/>
      </c>
      <c r="N1526" s="379">
        <f>IF(H1526&lt;&gt;"",J1526*M1526*I1526,SUMIFS(N1527:N$9844,$F1527:$F$9844,"*"&amp;F1526&amp;"*",$H1527:$H$9844,"&lt;&gt;"))</f>
        <v>0</v>
      </c>
      <c r="O1526" s="162" t="str">
        <f>IFERROR((-Tabela2[[#This Row],[CUSTO TOTAL]]+Tabela2[[#This Row],[VENDA TOTAL]])/Tabela2[[#This Row],[VENDA TOTAL]]-PARAMETROS!$C$19,"")</f>
        <v/>
      </c>
      <c r="AA1526" s="219">
        <f>SUM(Plan_Orc[[#This Row],[01/jan]:[01/dez]])</f>
        <v>0</v>
      </c>
      <c r="AB1526" s="15"/>
      <c r="AC1526" s="15"/>
      <c r="AD1526" s="15"/>
      <c r="AE1526" s="15"/>
      <c r="AF1526" s="15"/>
      <c r="AG1526" s="15"/>
      <c r="AH1526" s="15"/>
      <c r="AI1526" s="15"/>
      <c r="AJ1526" s="15"/>
      <c r="AK1526" s="15"/>
      <c r="AL1526" s="15"/>
      <c r="AM1526" s="15"/>
    </row>
    <row r="1527" spans="2:39" ht="25.2" customHeight="1" x14ac:dyDescent="0.3">
      <c r="B1527" s="13" t="str">
        <f t="shared" si="27"/>
        <v/>
      </c>
      <c r="C1527" s="18"/>
      <c r="D1527" s="19" t="str">
        <f>IF(Tabela2[[#This Row],[AGRUPADOR]]&lt;&gt;"",VLOOKUP(Tabela2[[#This Row],[AGRUPADOR]],Tabela1[],2,0),"")</f>
        <v/>
      </c>
      <c r="E1527" s="19" t="str">
        <f>IF(Tabela2[[#This Row],[AGRUPADOR]]&lt;&gt;"",VLOOKUP(Tabela2[[#This Row],[AGRUPADOR]],Tabela1[],4,0),"")</f>
        <v/>
      </c>
      <c r="F1527" s="14"/>
      <c r="G1527" s="6"/>
      <c r="H1527" s="6"/>
      <c r="I1527" s="25"/>
      <c r="J1527" s="7"/>
      <c r="K1527" s="15"/>
      <c r="L1527" s="379">
        <f>IF(H1527&lt;&gt;"",J1527*K1527,SUMIFS(L1528:L$9844,$F1528:$F$9844,"*"&amp;F1527&amp;"*",$H1528:$H$9844,"&lt;&gt;"))</f>
        <v>0</v>
      </c>
      <c r="M1527" s="379" t="str">
        <f>IF(Tabela2[[#This Row],[UNID.]]&lt;&gt;"",IFERROR(VLOOKUP(Tabela2[[#This Row],[AGRUPADOR]],Lucratividade!$D$4:$O$129,6,0),0),"")</f>
        <v/>
      </c>
      <c r="N1527" s="379">
        <f>IF(H1527&lt;&gt;"",J1527*M1527*I1527,SUMIFS(N1528:N$9844,$F1528:$F$9844,"*"&amp;F1527&amp;"*",$H1528:$H$9844,"&lt;&gt;"))</f>
        <v>0</v>
      </c>
      <c r="O1527" s="162" t="str">
        <f>IFERROR((-Tabela2[[#This Row],[CUSTO TOTAL]]+Tabela2[[#This Row],[VENDA TOTAL]])/Tabela2[[#This Row],[VENDA TOTAL]]-PARAMETROS!$C$19,"")</f>
        <v/>
      </c>
      <c r="AA1527" s="219">
        <f>SUM(Plan_Orc[[#This Row],[01/jan]:[01/dez]])</f>
        <v>0</v>
      </c>
      <c r="AB1527" s="15"/>
      <c r="AC1527" s="15"/>
      <c r="AD1527" s="15"/>
      <c r="AE1527" s="15"/>
      <c r="AF1527" s="15"/>
      <c r="AG1527" s="15"/>
      <c r="AH1527" s="15"/>
      <c r="AI1527" s="15"/>
      <c r="AJ1527" s="15"/>
      <c r="AK1527" s="15"/>
      <c r="AL1527" s="15"/>
      <c r="AM1527" s="15"/>
    </row>
    <row r="1528" spans="2:39" ht="25.2" customHeight="1" x14ac:dyDescent="0.3">
      <c r="B1528" s="13" t="str">
        <f t="shared" si="27"/>
        <v/>
      </c>
      <c r="C1528" s="18"/>
      <c r="D1528" s="19" t="str">
        <f>IF(Tabela2[[#This Row],[AGRUPADOR]]&lt;&gt;"",VLOOKUP(Tabela2[[#This Row],[AGRUPADOR]],Tabela1[],2,0),"")</f>
        <v/>
      </c>
      <c r="E1528" s="19" t="str">
        <f>IF(Tabela2[[#This Row],[AGRUPADOR]]&lt;&gt;"",VLOOKUP(Tabela2[[#This Row],[AGRUPADOR]],Tabela1[],4,0),"")</f>
        <v/>
      </c>
      <c r="F1528" s="14"/>
      <c r="G1528" s="6"/>
      <c r="H1528" s="6"/>
      <c r="I1528" s="25"/>
      <c r="J1528" s="7"/>
      <c r="K1528" s="15"/>
      <c r="L1528" s="379">
        <f>IF(H1528&lt;&gt;"",J1528*K1528,SUMIFS(L1529:L$9844,$F1529:$F$9844,"*"&amp;F1528&amp;"*",$H1529:$H$9844,"&lt;&gt;"))</f>
        <v>0</v>
      </c>
      <c r="M1528" s="379" t="str">
        <f>IF(Tabela2[[#This Row],[UNID.]]&lt;&gt;"",IFERROR(VLOOKUP(Tabela2[[#This Row],[AGRUPADOR]],Lucratividade!$D$4:$O$129,6,0),0),"")</f>
        <v/>
      </c>
      <c r="N1528" s="379">
        <f>IF(H1528&lt;&gt;"",J1528*M1528*I1528,SUMIFS(N1529:N$9844,$F1529:$F$9844,"*"&amp;F1528&amp;"*",$H1529:$H$9844,"&lt;&gt;"))</f>
        <v>0</v>
      </c>
      <c r="O1528" s="162" t="str">
        <f>IFERROR((-Tabela2[[#This Row],[CUSTO TOTAL]]+Tabela2[[#This Row],[VENDA TOTAL]])/Tabela2[[#This Row],[VENDA TOTAL]]-PARAMETROS!$C$19,"")</f>
        <v/>
      </c>
      <c r="AA1528" s="219">
        <f>SUM(Plan_Orc[[#This Row],[01/jan]:[01/dez]])</f>
        <v>0</v>
      </c>
      <c r="AB1528" s="15"/>
      <c r="AC1528" s="15"/>
      <c r="AD1528" s="15"/>
      <c r="AE1528" s="15"/>
      <c r="AF1528" s="15"/>
      <c r="AG1528" s="15"/>
      <c r="AH1528" s="15"/>
      <c r="AI1528" s="15"/>
      <c r="AJ1528" s="15"/>
      <c r="AK1528" s="15"/>
      <c r="AL1528" s="15"/>
      <c r="AM1528" s="15"/>
    </row>
    <row r="1529" spans="2:39" ht="25.2" customHeight="1" x14ac:dyDescent="0.3">
      <c r="B1529" s="13" t="str">
        <f t="shared" si="27"/>
        <v/>
      </c>
      <c r="C1529" s="18"/>
      <c r="D1529" s="19" t="str">
        <f>IF(Tabela2[[#This Row],[AGRUPADOR]]&lt;&gt;"",VLOOKUP(Tabela2[[#This Row],[AGRUPADOR]],Tabela1[],2,0),"")</f>
        <v/>
      </c>
      <c r="E1529" s="19" t="str">
        <f>IF(Tabela2[[#This Row],[AGRUPADOR]]&lt;&gt;"",VLOOKUP(Tabela2[[#This Row],[AGRUPADOR]],Tabela1[],4,0),"")</f>
        <v/>
      </c>
      <c r="F1529" s="14"/>
      <c r="G1529" s="6"/>
      <c r="H1529" s="6"/>
      <c r="I1529" s="25"/>
      <c r="J1529" s="7"/>
      <c r="K1529" s="15"/>
      <c r="L1529" s="379">
        <f>IF(H1529&lt;&gt;"",J1529*K1529,SUMIFS(L1530:L$9844,$F1530:$F$9844,"*"&amp;F1529&amp;"*",$H1530:$H$9844,"&lt;&gt;"))</f>
        <v>0</v>
      </c>
      <c r="M1529" s="379" t="str">
        <f>IF(Tabela2[[#This Row],[UNID.]]&lt;&gt;"",IFERROR(VLOOKUP(Tabela2[[#This Row],[AGRUPADOR]],Lucratividade!$D$4:$O$129,6,0),0),"")</f>
        <v/>
      </c>
      <c r="N1529" s="379">
        <f>IF(H1529&lt;&gt;"",J1529*M1529*I1529,SUMIFS(N1530:N$9844,$F1530:$F$9844,"*"&amp;F1529&amp;"*",$H1530:$H$9844,"&lt;&gt;"))</f>
        <v>0</v>
      </c>
      <c r="O1529" s="162" t="str">
        <f>IFERROR((-Tabela2[[#This Row],[CUSTO TOTAL]]+Tabela2[[#This Row],[VENDA TOTAL]])/Tabela2[[#This Row],[VENDA TOTAL]]-PARAMETROS!$C$19,"")</f>
        <v/>
      </c>
      <c r="AA1529" s="219">
        <f>SUM(Plan_Orc[[#This Row],[01/jan]:[01/dez]])</f>
        <v>0</v>
      </c>
      <c r="AB1529" s="15"/>
      <c r="AC1529" s="15"/>
      <c r="AD1529" s="15"/>
      <c r="AE1529" s="15"/>
      <c r="AF1529" s="15"/>
      <c r="AG1529" s="15"/>
      <c r="AH1529" s="15"/>
      <c r="AI1529" s="15"/>
      <c r="AJ1529" s="15"/>
      <c r="AK1529" s="15"/>
      <c r="AL1529" s="15"/>
      <c r="AM1529" s="15"/>
    </row>
    <row r="1530" spans="2:39" ht="25.2" customHeight="1" x14ac:dyDescent="0.3">
      <c r="B1530" s="13" t="str">
        <f t="shared" si="27"/>
        <v/>
      </c>
      <c r="C1530" s="18"/>
      <c r="D1530" s="19" t="str">
        <f>IF(Tabela2[[#This Row],[AGRUPADOR]]&lt;&gt;"",VLOOKUP(Tabela2[[#This Row],[AGRUPADOR]],Tabela1[],2,0),"")</f>
        <v/>
      </c>
      <c r="E1530" s="19" t="str">
        <f>IF(Tabela2[[#This Row],[AGRUPADOR]]&lt;&gt;"",VLOOKUP(Tabela2[[#This Row],[AGRUPADOR]],Tabela1[],4,0),"")</f>
        <v/>
      </c>
      <c r="F1530" s="14"/>
      <c r="G1530" s="6"/>
      <c r="H1530" s="6"/>
      <c r="I1530" s="25"/>
      <c r="J1530" s="7"/>
      <c r="K1530" s="15"/>
      <c r="L1530" s="379">
        <f>IF(H1530&lt;&gt;"",J1530*K1530,SUMIFS(L1531:L$9844,$F1531:$F$9844,"*"&amp;F1530&amp;"*",$H1531:$H$9844,"&lt;&gt;"))</f>
        <v>0</v>
      </c>
      <c r="M1530" s="379" t="str">
        <f>IF(Tabela2[[#This Row],[UNID.]]&lt;&gt;"",IFERROR(VLOOKUP(Tabela2[[#This Row],[AGRUPADOR]],Lucratividade!$D$4:$O$129,6,0),0),"")</f>
        <v/>
      </c>
      <c r="N1530" s="379">
        <f>IF(H1530&lt;&gt;"",J1530*M1530*I1530,SUMIFS(N1531:N$9844,$F1531:$F$9844,"*"&amp;F1530&amp;"*",$H1531:$H$9844,"&lt;&gt;"))</f>
        <v>0</v>
      </c>
      <c r="O1530" s="162" t="str">
        <f>IFERROR((-Tabela2[[#This Row],[CUSTO TOTAL]]+Tabela2[[#This Row],[VENDA TOTAL]])/Tabela2[[#This Row],[VENDA TOTAL]]-PARAMETROS!$C$19,"")</f>
        <v/>
      </c>
      <c r="AA1530" s="218">
        <f>SUM(Plan_Orc[[#This Row],[01/jan]:[01/dez]])</f>
        <v>0</v>
      </c>
      <c r="AB1530" s="12"/>
      <c r="AC1530" s="12"/>
      <c r="AD1530" s="12"/>
      <c r="AE1530" s="12"/>
      <c r="AF1530" s="12"/>
      <c r="AG1530" s="12"/>
      <c r="AH1530" s="12"/>
      <c r="AI1530" s="12"/>
      <c r="AJ1530" s="12"/>
      <c r="AK1530" s="12"/>
      <c r="AL1530" s="12"/>
      <c r="AM1530" s="12"/>
    </row>
    <row r="1531" spans="2:39" ht="25.2" customHeight="1" x14ac:dyDescent="0.3">
      <c r="B1531" s="13" t="str">
        <f t="shared" si="27"/>
        <v/>
      </c>
      <c r="C1531" s="18"/>
      <c r="D1531" s="19" t="str">
        <f>IF(Tabela2[[#This Row],[AGRUPADOR]]&lt;&gt;"",VLOOKUP(Tabela2[[#This Row],[AGRUPADOR]],Tabela1[],2,0),"")</f>
        <v/>
      </c>
      <c r="E1531" s="19" t="str">
        <f>IF(Tabela2[[#This Row],[AGRUPADOR]]&lt;&gt;"",VLOOKUP(Tabela2[[#This Row],[AGRUPADOR]],Tabela1[],4,0),"")</f>
        <v/>
      </c>
      <c r="F1531" s="14"/>
      <c r="G1531" s="6"/>
      <c r="H1531" s="6"/>
      <c r="I1531" s="25"/>
      <c r="J1531" s="7"/>
      <c r="K1531" s="15"/>
      <c r="L1531" s="379">
        <f>IF(H1531&lt;&gt;"",J1531*K1531,SUMIFS(L1532:L$9844,$F1532:$F$9844,"*"&amp;F1531&amp;"*",$H1532:$H$9844,"&lt;&gt;"))</f>
        <v>0</v>
      </c>
      <c r="M1531" s="379" t="str">
        <f>IF(Tabela2[[#This Row],[UNID.]]&lt;&gt;"",IFERROR(VLOOKUP(Tabela2[[#This Row],[AGRUPADOR]],Lucratividade!$D$4:$O$129,6,0),0),"")</f>
        <v/>
      </c>
      <c r="N1531" s="379">
        <f>IF(H1531&lt;&gt;"",J1531*M1531*I1531,SUMIFS(N1532:N$9844,$F1532:$F$9844,"*"&amp;F1531&amp;"*",$H1532:$H$9844,"&lt;&gt;"))</f>
        <v>0</v>
      </c>
      <c r="O1531" s="162" t="str">
        <f>IFERROR((-Tabela2[[#This Row],[CUSTO TOTAL]]+Tabela2[[#This Row],[VENDA TOTAL]])/Tabela2[[#This Row],[VENDA TOTAL]]-PARAMETROS!$C$19,"")</f>
        <v/>
      </c>
      <c r="AA1531" s="219">
        <f>SUM(Plan_Orc[[#This Row],[01/jan]:[01/dez]])</f>
        <v>0</v>
      </c>
      <c r="AB1531" s="15"/>
      <c r="AC1531" s="15"/>
      <c r="AD1531" s="15"/>
      <c r="AE1531" s="15"/>
      <c r="AF1531" s="15"/>
      <c r="AG1531" s="15"/>
      <c r="AH1531" s="15"/>
      <c r="AI1531" s="15"/>
      <c r="AJ1531" s="15"/>
      <c r="AK1531" s="15"/>
      <c r="AL1531" s="15"/>
      <c r="AM1531" s="15"/>
    </row>
    <row r="1532" spans="2:39" ht="25.2" customHeight="1" x14ac:dyDescent="0.3">
      <c r="B1532" s="13" t="str">
        <f t="shared" si="27"/>
        <v/>
      </c>
      <c r="C1532" s="18"/>
      <c r="D1532" s="19" t="str">
        <f>IF(Tabela2[[#This Row],[AGRUPADOR]]&lt;&gt;"",VLOOKUP(Tabela2[[#This Row],[AGRUPADOR]],Tabela1[],2,0),"")</f>
        <v/>
      </c>
      <c r="E1532" s="19" t="str">
        <f>IF(Tabela2[[#This Row],[AGRUPADOR]]&lt;&gt;"",VLOOKUP(Tabela2[[#This Row],[AGRUPADOR]],Tabela1[],4,0),"")</f>
        <v/>
      </c>
      <c r="F1532" s="14"/>
      <c r="G1532" s="6"/>
      <c r="H1532" s="6"/>
      <c r="I1532" s="25"/>
      <c r="J1532" s="7"/>
      <c r="K1532" s="15"/>
      <c r="L1532" s="379">
        <f>IF(H1532&lt;&gt;"",J1532*K1532,SUMIFS(L1533:L$9844,$F1533:$F$9844,"*"&amp;F1532&amp;"*",$H1533:$H$9844,"&lt;&gt;"))</f>
        <v>0</v>
      </c>
      <c r="M1532" s="379" t="str">
        <f>IF(Tabela2[[#This Row],[UNID.]]&lt;&gt;"",IFERROR(VLOOKUP(Tabela2[[#This Row],[AGRUPADOR]],Lucratividade!$D$4:$O$129,6,0),0),"")</f>
        <v/>
      </c>
      <c r="N1532" s="379">
        <f>IF(H1532&lt;&gt;"",J1532*M1532*I1532,SUMIFS(N1533:N$9844,$F1533:$F$9844,"*"&amp;F1532&amp;"*",$H1533:$H$9844,"&lt;&gt;"))</f>
        <v>0</v>
      </c>
      <c r="O1532" s="162" t="str">
        <f>IFERROR((-Tabela2[[#This Row],[CUSTO TOTAL]]+Tabela2[[#This Row],[VENDA TOTAL]])/Tabela2[[#This Row],[VENDA TOTAL]]-PARAMETROS!$C$19,"")</f>
        <v/>
      </c>
      <c r="AA1532" s="219">
        <f>SUM(Plan_Orc[[#This Row],[01/jan]:[01/dez]])</f>
        <v>0</v>
      </c>
      <c r="AB1532" s="15"/>
      <c r="AC1532" s="15"/>
      <c r="AD1532" s="15"/>
      <c r="AE1532" s="15"/>
      <c r="AF1532" s="15"/>
      <c r="AG1532" s="15"/>
      <c r="AH1532" s="15"/>
      <c r="AI1532" s="15"/>
      <c r="AJ1532" s="15"/>
      <c r="AK1532" s="15"/>
      <c r="AL1532" s="15"/>
      <c r="AM1532" s="15"/>
    </row>
    <row r="1533" spans="2:39" ht="25.2" customHeight="1" x14ac:dyDescent="0.3">
      <c r="B1533" s="13" t="str">
        <f t="shared" si="27"/>
        <v/>
      </c>
      <c r="C1533" s="18"/>
      <c r="D1533" s="19" t="str">
        <f>IF(Tabela2[[#This Row],[AGRUPADOR]]&lt;&gt;"",VLOOKUP(Tabela2[[#This Row],[AGRUPADOR]],Tabela1[],2,0),"")</f>
        <v/>
      </c>
      <c r="E1533" s="19" t="str">
        <f>IF(Tabela2[[#This Row],[AGRUPADOR]]&lt;&gt;"",VLOOKUP(Tabela2[[#This Row],[AGRUPADOR]],Tabela1[],4,0),"")</f>
        <v/>
      </c>
      <c r="F1533" s="14"/>
      <c r="G1533" s="6"/>
      <c r="H1533" s="6"/>
      <c r="I1533" s="25"/>
      <c r="J1533" s="7"/>
      <c r="K1533" s="15"/>
      <c r="L1533" s="379">
        <f>IF(H1533&lt;&gt;"",J1533*K1533,SUMIFS(L1534:L$9844,$F1534:$F$9844,"*"&amp;F1533&amp;"*",$H1534:$H$9844,"&lt;&gt;"))</f>
        <v>0</v>
      </c>
      <c r="M1533" s="379" t="str">
        <f>IF(Tabela2[[#This Row],[UNID.]]&lt;&gt;"",IFERROR(VLOOKUP(Tabela2[[#This Row],[AGRUPADOR]],Lucratividade!$D$4:$O$129,6,0),0),"")</f>
        <v/>
      </c>
      <c r="N1533" s="379">
        <f>IF(H1533&lt;&gt;"",J1533*M1533*I1533,SUMIFS(N1534:N$9844,$F1534:$F$9844,"*"&amp;F1533&amp;"*",$H1534:$H$9844,"&lt;&gt;"))</f>
        <v>0</v>
      </c>
      <c r="O1533" s="162" t="str">
        <f>IFERROR((-Tabela2[[#This Row],[CUSTO TOTAL]]+Tabela2[[#This Row],[VENDA TOTAL]])/Tabela2[[#This Row],[VENDA TOTAL]]-PARAMETROS!$C$19,"")</f>
        <v/>
      </c>
      <c r="AA1533" s="219">
        <f>SUM(Plan_Orc[[#This Row],[01/jan]:[01/dez]])</f>
        <v>0</v>
      </c>
      <c r="AB1533" s="15"/>
      <c r="AC1533" s="15"/>
      <c r="AD1533" s="15"/>
      <c r="AE1533" s="15"/>
      <c r="AF1533" s="15"/>
      <c r="AG1533" s="15"/>
      <c r="AH1533" s="15"/>
      <c r="AI1533" s="15"/>
      <c r="AJ1533" s="15"/>
      <c r="AK1533" s="15"/>
      <c r="AL1533" s="15"/>
      <c r="AM1533" s="15"/>
    </row>
    <row r="1534" spans="2:39" ht="25.2" customHeight="1" x14ac:dyDescent="0.3">
      <c r="B1534" s="13" t="str">
        <f t="shared" si="27"/>
        <v/>
      </c>
      <c r="C1534" s="18"/>
      <c r="D1534" s="19" t="str">
        <f>IF(Tabela2[[#This Row],[AGRUPADOR]]&lt;&gt;"",VLOOKUP(Tabela2[[#This Row],[AGRUPADOR]],Tabela1[],2,0),"")</f>
        <v/>
      </c>
      <c r="E1534" s="19" t="str">
        <f>IF(Tabela2[[#This Row],[AGRUPADOR]]&lt;&gt;"",VLOOKUP(Tabela2[[#This Row],[AGRUPADOR]],Tabela1[],4,0),"")</f>
        <v/>
      </c>
      <c r="F1534" s="14"/>
      <c r="G1534" s="6"/>
      <c r="H1534" s="6"/>
      <c r="I1534" s="25"/>
      <c r="J1534" s="7"/>
      <c r="K1534" s="15"/>
      <c r="L1534" s="379">
        <f>IF(H1534&lt;&gt;"",J1534*K1534,SUMIFS(L1535:L$9844,$F1535:$F$9844,"*"&amp;F1534&amp;"*",$H1535:$H$9844,"&lt;&gt;"))</f>
        <v>0</v>
      </c>
      <c r="M1534" s="379" t="str">
        <f>IF(Tabela2[[#This Row],[UNID.]]&lt;&gt;"",IFERROR(VLOOKUP(Tabela2[[#This Row],[AGRUPADOR]],Lucratividade!$D$4:$O$129,6,0),0),"")</f>
        <v/>
      </c>
      <c r="N1534" s="379">
        <f>IF(H1534&lt;&gt;"",J1534*M1534*I1534,SUMIFS(N1535:N$9844,$F1535:$F$9844,"*"&amp;F1534&amp;"*",$H1535:$H$9844,"&lt;&gt;"))</f>
        <v>0</v>
      </c>
      <c r="O1534" s="162" t="str">
        <f>IFERROR((-Tabela2[[#This Row],[CUSTO TOTAL]]+Tabela2[[#This Row],[VENDA TOTAL]])/Tabela2[[#This Row],[VENDA TOTAL]]-PARAMETROS!$C$19,"")</f>
        <v/>
      </c>
      <c r="AA1534" s="219">
        <f>SUM(Plan_Orc[[#This Row],[01/jan]:[01/dez]])</f>
        <v>0</v>
      </c>
      <c r="AB1534" s="15"/>
      <c r="AC1534" s="15"/>
      <c r="AD1534" s="15"/>
      <c r="AE1534" s="15"/>
      <c r="AF1534" s="15"/>
      <c r="AG1534" s="15"/>
      <c r="AH1534" s="15"/>
      <c r="AI1534" s="15"/>
      <c r="AJ1534" s="15"/>
      <c r="AK1534" s="15"/>
      <c r="AL1534" s="15"/>
      <c r="AM1534" s="15"/>
    </row>
    <row r="1535" spans="2:39" ht="25.2" customHeight="1" x14ac:dyDescent="0.3">
      <c r="B1535" s="13" t="str">
        <f t="shared" si="27"/>
        <v/>
      </c>
      <c r="C1535" s="18"/>
      <c r="D1535" s="19" t="str">
        <f>IF(Tabela2[[#This Row],[AGRUPADOR]]&lt;&gt;"",VLOOKUP(Tabela2[[#This Row],[AGRUPADOR]],Tabela1[],2,0),"")</f>
        <v/>
      </c>
      <c r="E1535" s="19" t="str">
        <f>IF(Tabela2[[#This Row],[AGRUPADOR]]&lt;&gt;"",VLOOKUP(Tabela2[[#This Row],[AGRUPADOR]],Tabela1[],4,0),"")</f>
        <v/>
      </c>
      <c r="F1535" s="14"/>
      <c r="G1535" s="6"/>
      <c r="H1535" s="6"/>
      <c r="I1535" s="25"/>
      <c r="J1535" s="7"/>
      <c r="K1535" s="15"/>
      <c r="L1535" s="379">
        <f>IF(H1535&lt;&gt;"",J1535*K1535,SUMIFS(L1536:L$9844,$F1536:$F$9844,"*"&amp;F1535&amp;"*",$H1536:$H$9844,"&lt;&gt;"))</f>
        <v>0</v>
      </c>
      <c r="M1535" s="379" t="str">
        <f>IF(Tabela2[[#This Row],[UNID.]]&lt;&gt;"",IFERROR(VLOOKUP(Tabela2[[#This Row],[AGRUPADOR]],Lucratividade!$D$4:$O$129,6,0),0),"")</f>
        <v/>
      </c>
      <c r="N1535" s="379">
        <f>IF(H1535&lt;&gt;"",J1535*M1535*I1535,SUMIFS(N1536:N$9844,$F1536:$F$9844,"*"&amp;F1535&amp;"*",$H1536:$H$9844,"&lt;&gt;"))</f>
        <v>0</v>
      </c>
      <c r="O1535" s="162" t="str">
        <f>IFERROR((-Tabela2[[#This Row],[CUSTO TOTAL]]+Tabela2[[#This Row],[VENDA TOTAL]])/Tabela2[[#This Row],[VENDA TOTAL]]-PARAMETROS!$C$19,"")</f>
        <v/>
      </c>
      <c r="AA1535" s="219">
        <f>SUM(Plan_Orc[[#This Row],[01/jan]:[01/dez]])</f>
        <v>0</v>
      </c>
      <c r="AB1535" s="15"/>
      <c r="AC1535" s="15"/>
      <c r="AD1535" s="15"/>
      <c r="AE1535" s="15"/>
      <c r="AF1535" s="15"/>
      <c r="AG1535" s="15"/>
      <c r="AH1535" s="15"/>
      <c r="AI1535" s="15"/>
      <c r="AJ1535" s="15"/>
      <c r="AK1535" s="15"/>
      <c r="AL1535" s="15"/>
      <c r="AM1535" s="15"/>
    </row>
    <row r="1536" spans="2:39" ht="25.2" customHeight="1" x14ac:dyDescent="0.3">
      <c r="B1536" s="13" t="str">
        <f t="shared" si="27"/>
        <v/>
      </c>
      <c r="C1536" s="18"/>
      <c r="D1536" s="19" t="str">
        <f>IF(Tabela2[[#This Row],[AGRUPADOR]]&lt;&gt;"",VLOOKUP(Tabela2[[#This Row],[AGRUPADOR]],Tabela1[],2,0),"")</f>
        <v/>
      </c>
      <c r="E1536" s="19" t="str">
        <f>IF(Tabela2[[#This Row],[AGRUPADOR]]&lt;&gt;"",VLOOKUP(Tabela2[[#This Row],[AGRUPADOR]],Tabela1[],4,0),"")</f>
        <v/>
      </c>
      <c r="F1536" s="14"/>
      <c r="G1536" s="6"/>
      <c r="H1536" s="6"/>
      <c r="I1536" s="25"/>
      <c r="J1536" s="7"/>
      <c r="K1536" s="15"/>
      <c r="L1536" s="379">
        <f>IF(H1536&lt;&gt;"",J1536*K1536,SUMIFS(L1537:L$9844,$F1537:$F$9844,"*"&amp;F1536&amp;"*",$H1537:$H$9844,"&lt;&gt;"))</f>
        <v>0</v>
      </c>
      <c r="M1536" s="379" t="str">
        <f>IF(Tabela2[[#This Row],[UNID.]]&lt;&gt;"",IFERROR(VLOOKUP(Tabela2[[#This Row],[AGRUPADOR]],Lucratividade!$D$4:$O$129,6,0),0),"")</f>
        <v/>
      </c>
      <c r="N1536" s="379">
        <f>IF(H1536&lt;&gt;"",J1536*M1536*I1536,SUMIFS(N1537:N$9844,$F1537:$F$9844,"*"&amp;F1536&amp;"*",$H1537:$H$9844,"&lt;&gt;"))</f>
        <v>0</v>
      </c>
      <c r="O1536" s="162" t="str">
        <f>IFERROR((-Tabela2[[#This Row],[CUSTO TOTAL]]+Tabela2[[#This Row],[VENDA TOTAL]])/Tabela2[[#This Row],[VENDA TOTAL]]-PARAMETROS!$C$19,"")</f>
        <v/>
      </c>
      <c r="AA1536" s="219">
        <f>SUM(Plan_Orc[[#This Row],[01/jan]:[01/dez]])</f>
        <v>0</v>
      </c>
      <c r="AB1536" s="15"/>
      <c r="AC1536" s="15"/>
      <c r="AD1536" s="15"/>
      <c r="AE1536" s="15"/>
      <c r="AF1536" s="15"/>
      <c r="AG1536" s="15"/>
      <c r="AH1536" s="15"/>
      <c r="AI1536" s="15"/>
      <c r="AJ1536" s="15"/>
      <c r="AK1536" s="15"/>
      <c r="AL1536" s="15"/>
      <c r="AM1536" s="15"/>
    </row>
    <row r="1537" spans="2:39" ht="25.2" customHeight="1" x14ac:dyDescent="0.3">
      <c r="B1537" s="13" t="str">
        <f t="shared" si="27"/>
        <v/>
      </c>
      <c r="C1537" s="18"/>
      <c r="D1537" s="19" t="str">
        <f>IF(Tabela2[[#This Row],[AGRUPADOR]]&lt;&gt;"",VLOOKUP(Tabela2[[#This Row],[AGRUPADOR]],Tabela1[],2,0),"")</f>
        <v/>
      </c>
      <c r="E1537" s="19" t="str">
        <f>IF(Tabela2[[#This Row],[AGRUPADOR]]&lt;&gt;"",VLOOKUP(Tabela2[[#This Row],[AGRUPADOR]],Tabela1[],4,0),"")</f>
        <v/>
      </c>
      <c r="F1537" s="14"/>
      <c r="G1537" s="6"/>
      <c r="H1537" s="6"/>
      <c r="I1537" s="25"/>
      <c r="J1537" s="7"/>
      <c r="K1537" s="15"/>
      <c r="L1537" s="379">
        <f>IF(H1537&lt;&gt;"",J1537*K1537,SUMIFS(L1538:L$9844,$F1538:$F$9844,"*"&amp;F1537&amp;"*",$H1538:$H$9844,"&lt;&gt;"))</f>
        <v>0</v>
      </c>
      <c r="M1537" s="379" t="str">
        <f>IF(Tabela2[[#This Row],[UNID.]]&lt;&gt;"",IFERROR(VLOOKUP(Tabela2[[#This Row],[AGRUPADOR]],Lucratividade!$D$4:$O$129,6,0),0),"")</f>
        <v/>
      </c>
      <c r="N1537" s="379">
        <f>IF(H1537&lt;&gt;"",J1537*M1537*I1537,SUMIFS(N1538:N$9844,$F1538:$F$9844,"*"&amp;F1537&amp;"*",$H1538:$H$9844,"&lt;&gt;"))</f>
        <v>0</v>
      </c>
      <c r="O1537" s="162" t="str">
        <f>IFERROR((-Tabela2[[#This Row],[CUSTO TOTAL]]+Tabela2[[#This Row],[VENDA TOTAL]])/Tabela2[[#This Row],[VENDA TOTAL]]-PARAMETROS!$C$19,"")</f>
        <v/>
      </c>
      <c r="AA1537" s="219">
        <f>SUM(Plan_Orc[[#This Row],[01/jan]:[01/dez]])</f>
        <v>0</v>
      </c>
      <c r="AB1537" s="15"/>
      <c r="AC1537" s="15"/>
      <c r="AD1537" s="15"/>
      <c r="AE1537" s="15"/>
      <c r="AF1537" s="15"/>
      <c r="AG1537" s="15"/>
      <c r="AH1537" s="15"/>
      <c r="AI1537" s="15"/>
      <c r="AJ1537" s="15"/>
      <c r="AK1537" s="15"/>
      <c r="AL1537" s="15"/>
      <c r="AM1537" s="15"/>
    </row>
    <row r="1538" spans="2:39" ht="25.2" customHeight="1" x14ac:dyDescent="0.3">
      <c r="B1538" s="13" t="str">
        <f t="shared" si="27"/>
        <v/>
      </c>
      <c r="C1538" s="18"/>
      <c r="D1538" s="19" t="str">
        <f>IF(Tabela2[[#This Row],[AGRUPADOR]]&lt;&gt;"",VLOOKUP(Tabela2[[#This Row],[AGRUPADOR]],Tabela1[],2,0),"")</f>
        <v/>
      </c>
      <c r="E1538" s="19" t="str">
        <f>IF(Tabela2[[#This Row],[AGRUPADOR]]&lt;&gt;"",VLOOKUP(Tabela2[[#This Row],[AGRUPADOR]],Tabela1[],4,0),"")</f>
        <v/>
      </c>
      <c r="F1538" s="14"/>
      <c r="G1538" s="6"/>
      <c r="H1538" s="6"/>
      <c r="I1538" s="25"/>
      <c r="J1538" s="7"/>
      <c r="K1538" s="15"/>
      <c r="L1538" s="379">
        <f>IF(H1538&lt;&gt;"",J1538*K1538,SUMIFS(L1539:L$9844,$F1539:$F$9844,"*"&amp;F1538&amp;"*",$H1539:$H$9844,"&lt;&gt;"))</f>
        <v>0</v>
      </c>
      <c r="M1538" s="379" t="str">
        <f>IF(Tabela2[[#This Row],[UNID.]]&lt;&gt;"",IFERROR(VLOOKUP(Tabela2[[#This Row],[AGRUPADOR]],Lucratividade!$D$4:$O$129,6,0),0),"")</f>
        <v/>
      </c>
      <c r="N1538" s="379">
        <f>IF(H1538&lt;&gt;"",J1538*M1538*I1538,SUMIFS(N1539:N$9844,$F1539:$F$9844,"*"&amp;F1538&amp;"*",$H1539:$H$9844,"&lt;&gt;"))</f>
        <v>0</v>
      </c>
      <c r="O1538" s="162" t="str">
        <f>IFERROR((-Tabela2[[#This Row],[CUSTO TOTAL]]+Tabela2[[#This Row],[VENDA TOTAL]])/Tabela2[[#This Row],[VENDA TOTAL]]-PARAMETROS!$C$19,"")</f>
        <v/>
      </c>
      <c r="AA1538" s="219">
        <f>SUM(Plan_Orc[[#This Row],[01/jan]:[01/dez]])</f>
        <v>0</v>
      </c>
      <c r="AB1538" s="15"/>
      <c r="AC1538" s="15"/>
      <c r="AD1538" s="15"/>
      <c r="AE1538" s="15"/>
      <c r="AF1538" s="15"/>
      <c r="AG1538" s="15"/>
      <c r="AH1538" s="15"/>
      <c r="AI1538" s="15"/>
      <c r="AJ1538" s="15"/>
      <c r="AK1538" s="15"/>
      <c r="AL1538" s="15"/>
      <c r="AM1538" s="15"/>
    </row>
    <row r="1539" spans="2:39" ht="25.2" customHeight="1" x14ac:dyDescent="0.3">
      <c r="B1539" s="13" t="str">
        <f t="shared" si="27"/>
        <v/>
      </c>
      <c r="C1539" s="18"/>
      <c r="D1539" s="19" t="str">
        <f>IF(Tabela2[[#This Row],[AGRUPADOR]]&lt;&gt;"",VLOOKUP(Tabela2[[#This Row],[AGRUPADOR]],Tabela1[],2,0),"")</f>
        <v/>
      </c>
      <c r="E1539" s="19" t="str">
        <f>IF(Tabela2[[#This Row],[AGRUPADOR]]&lt;&gt;"",VLOOKUP(Tabela2[[#This Row],[AGRUPADOR]],Tabela1[],4,0),"")</f>
        <v/>
      </c>
      <c r="F1539" s="14"/>
      <c r="G1539" s="6"/>
      <c r="H1539" s="6"/>
      <c r="I1539" s="25"/>
      <c r="J1539" s="7"/>
      <c r="K1539" s="15"/>
      <c r="L1539" s="379">
        <f>IF(H1539&lt;&gt;"",J1539*K1539,SUMIFS(L1540:L$9844,$F1540:$F$9844,"*"&amp;F1539&amp;"*",$H1540:$H$9844,"&lt;&gt;"))</f>
        <v>0</v>
      </c>
      <c r="M1539" s="379" t="str">
        <f>IF(Tabela2[[#This Row],[UNID.]]&lt;&gt;"",IFERROR(VLOOKUP(Tabela2[[#This Row],[AGRUPADOR]],Lucratividade!$D$4:$O$129,6,0),0),"")</f>
        <v/>
      </c>
      <c r="N1539" s="379">
        <f>IF(H1539&lt;&gt;"",J1539*M1539*I1539,SUMIFS(N1540:N$9844,$F1540:$F$9844,"*"&amp;F1539&amp;"*",$H1540:$H$9844,"&lt;&gt;"))</f>
        <v>0</v>
      </c>
      <c r="O1539" s="162" t="str">
        <f>IFERROR((-Tabela2[[#This Row],[CUSTO TOTAL]]+Tabela2[[#This Row],[VENDA TOTAL]])/Tabela2[[#This Row],[VENDA TOTAL]]-PARAMETROS!$C$19,"")</f>
        <v/>
      </c>
      <c r="AA1539" s="219">
        <f>SUM(Plan_Orc[[#This Row],[01/jan]:[01/dez]])</f>
        <v>0</v>
      </c>
      <c r="AB1539" s="15"/>
      <c r="AC1539" s="15"/>
      <c r="AD1539" s="15"/>
      <c r="AE1539" s="15"/>
      <c r="AF1539" s="15"/>
      <c r="AG1539" s="15"/>
      <c r="AH1539" s="15"/>
      <c r="AI1539" s="15"/>
      <c r="AJ1539" s="15"/>
      <c r="AK1539" s="15"/>
      <c r="AL1539" s="15"/>
      <c r="AM1539" s="15"/>
    </row>
    <row r="1540" spans="2:39" ht="25.2" customHeight="1" x14ac:dyDescent="0.3">
      <c r="B1540" s="13" t="str">
        <f t="shared" ref="B1540:B1603" si="28">IF(LEN(F1540)=3,1,"")</f>
        <v/>
      </c>
      <c r="C1540" s="18"/>
      <c r="D1540" s="19" t="str">
        <f>IF(Tabela2[[#This Row],[AGRUPADOR]]&lt;&gt;"",VLOOKUP(Tabela2[[#This Row],[AGRUPADOR]],Tabela1[],2,0),"")</f>
        <v/>
      </c>
      <c r="E1540" s="19" t="str">
        <f>IF(Tabela2[[#This Row],[AGRUPADOR]]&lt;&gt;"",VLOOKUP(Tabela2[[#This Row],[AGRUPADOR]],Tabela1[],4,0),"")</f>
        <v/>
      </c>
      <c r="F1540" s="14"/>
      <c r="G1540" s="6"/>
      <c r="H1540" s="6"/>
      <c r="I1540" s="25"/>
      <c r="J1540" s="7"/>
      <c r="K1540" s="15"/>
      <c r="L1540" s="379">
        <f>IF(H1540&lt;&gt;"",J1540*K1540,SUMIFS(L1541:L$9844,$F1541:$F$9844,"*"&amp;F1540&amp;"*",$H1541:$H$9844,"&lt;&gt;"))</f>
        <v>0</v>
      </c>
      <c r="M1540" s="379" t="str">
        <f>IF(Tabela2[[#This Row],[UNID.]]&lt;&gt;"",IFERROR(VLOOKUP(Tabela2[[#This Row],[AGRUPADOR]],Lucratividade!$D$4:$O$129,6,0),0),"")</f>
        <v/>
      </c>
      <c r="N1540" s="379">
        <f>IF(H1540&lt;&gt;"",J1540*M1540*I1540,SUMIFS(N1541:N$9844,$F1541:$F$9844,"*"&amp;F1540&amp;"*",$H1541:$H$9844,"&lt;&gt;"))</f>
        <v>0</v>
      </c>
      <c r="O1540" s="162" t="str">
        <f>IFERROR((-Tabela2[[#This Row],[CUSTO TOTAL]]+Tabela2[[#This Row],[VENDA TOTAL]])/Tabela2[[#This Row],[VENDA TOTAL]]-PARAMETROS!$C$19,"")</f>
        <v/>
      </c>
      <c r="AA1540" s="224">
        <f>SUM(Plan_Orc[[#This Row],[01/jan]:[01/dez]])</f>
        <v>0</v>
      </c>
      <c r="AB1540" s="203"/>
      <c r="AC1540" s="203"/>
      <c r="AD1540" s="203"/>
      <c r="AE1540" s="203"/>
      <c r="AF1540" s="203"/>
      <c r="AG1540" s="203"/>
      <c r="AH1540" s="203"/>
      <c r="AI1540" s="203"/>
      <c r="AJ1540" s="203"/>
      <c r="AK1540" s="203"/>
      <c r="AL1540" s="203"/>
      <c r="AM1540" s="203"/>
    </row>
    <row r="1541" spans="2:39" ht="25.2" customHeight="1" x14ac:dyDescent="0.3">
      <c r="B1541" s="13" t="str">
        <f t="shared" si="28"/>
        <v/>
      </c>
      <c r="C1541" s="18"/>
      <c r="D1541" s="19" t="str">
        <f>IF(Tabela2[[#This Row],[AGRUPADOR]]&lt;&gt;"",VLOOKUP(Tabela2[[#This Row],[AGRUPADOR]],Tabela1[],2,0),"")</f>
        <v/>
      </c>
      <c r="E1541" s="19" t="str">
        <f>IF(Tabela2[[#This Row],[AGRUPADOR]]&lt;&gt;"",VLOOKUP(Tabela2[[#This Row],[AGRUPADOR]],Tabela1[],4,0),"")</f>
        <v/>
      </c>
      <c r="F1541" s="14"/>
      <c r="G1541" s="6"/>
      <c r="H1541" s="6"/>
      <c r="I1541" s="25"/>
      <c r="J1541" s="7"/>
      <c r="K1541" s="15"/>
      <c r="L1541" s="379">
        <f>IF(H1541&lt;&gt;"",J1541*K1541,SUMIFS(L1542:L$9844,$F1542:$F$9844,"*"&amp;F1541&amp;"*",$H1542:$H$9844,"&lt;&gt;"))</f>
        <v>0</v>
      </c>
      <c r="M1541" s="379" t="str">
        <f>IF(Tabela2[[#This Row],[UNID.]]&lt;&gt;"",IFERROR(VLOOKUP(Tabela2[[#This Row],[AGRUPADOR]],Lucratividade!$D$4:$O$129,6,0),0),"")</f>
        <v/>
      </c>
      <c r="N1541" s="379">
        <f>IF(H1541&lt;&gt;"",J1541*M1541*I1541,SUMIFS(N1542:N$9844,$F1542:$F$9844,"*"&amp;F1541&amp;"*",$H1542:$H$9844,"&lt;&gt;"))</f>
        <v>0</v>
      </c>
      <c r="O1541" s="162" t="str">
        <f>IFERROR((-Tabela2[[#This Row],[CUSTO TOTAL]]+Tabela2[[#This Row],[VENDA TOTAL]])/Tabela2[[#This Row],[VENDA TOTAL]]-PARAMETROS!$C$19,"")</f>
        <v/>
      </c>
      <c r="AA1541" s="218">
        <f>SUM(Plan_Orc[[#This Row],[01/jan]:[01/dez]])</f>
        <v>0</v>
      </c>
      <c r="AB1541" s="12"/>
      <c r="AC1541" s="12"/>
      <c r="AD1541" s="12"/>
      <c r="AE1541" s="12"/>
      <c r="AF1541" s="12"/>
      <c r="AG1541" s="12"/>
      <c r="AH1541" s="12"/>
      <c r="AI1541" s="12"/>
      <c r="AJ1541" s="12"/>
      <c r="AK1541" s="12"/>
      <c r="AL1541" s="12"/>
      <c r="AM1541" s="12"/>
    </row>
    <row r="1542" spans="2:39" ht="25.2" customHeight="1" x14ac:dyDescent="0.3">
      <c r="B1542" s="13" t="str">
        <f t="shared" si="28"/>
        <v/>
      </c>
      <c r="C1542" s="18"/>
      <c r="D1542" s="19" t="str">
        <f>IF(Tabela2[[#This Row],[AGRUPADOR]]&lt;&gt;"",VLOOKUP(Tabela2[[#This Row],[AGRUPADOR]],Tabela1[],2,0),"")</f>
        <v/>
      </c>
      <c r="E1542" s="19" t="str">
        <f>IF(Tabela2[[#This Row],[AGRUPADOR]]&lt;&gt;"",VLOOKUP(Tabela2[[#This Row],[AGRUPADOR]],Tabela1[],4,0),"")</f>
        <v/>
      </c>
      <c r="F1542" s="14"/>
      <c r="G1542" s="6"/>
      <c r="H1542" s="6"/>
      <c r="I1542" s="25"/>
      <c r="J1542" s="7"/>
      <c r="K1542" s="15"/>
      <c r="L1542" s="379">
        <f>IF(H1542&lt;&gt;"",J1542*K1542,SUMIFS(L1543:L$9844,$F1543:$F$9844,"*"&amp;F1542&amp;"*",$H1543:$H$9844,"&lt;&gt;"))</f>
        <v>0</v>
      </c>
      <c r="M1542" s="379" t="str">
        <f>IF(Tabela2[[#This Row],[UNID.]]&lt;&gt;"",IFERROR(VLOOKUP(Tabela2[[#This Row],[AGRUPADOR]],Lucratividade!$D$4:$O$129,6,0),0),"")</f>
        <v/>
      </c>
      <c r="N1542" s="379">
        <f>IF(H1542&lt;&gt;"",J1542*M1542*I1542,SUMIFS(N1543:N$9844,$F1543:$F$9844,"*"&amp;F1542&amp;"*",$H1543:$H$9844,"&lt;&gt;"))</f>
        <v>0</v>
      </c>
      <c r="O1542" s="162" t="str">
        <f>IFERROR((-Tabela2[[#This Row],[CUSTO TOTAL]]+Tabela2[[#This Row],[VENDA TOTAL]])/Tabela2[[#This Row],[VENDA TOTAL]]-PARAMETROS!$C$19,"")</f>
        <v/>
      </c>
      <c r="AA1542" s="219">
        <f>SUM(Plan_Orc[[#This Row],[01/jan]:[01/dez]])</f>
        <v>0</v>
      </c>
      <c r="AB1542" s="15"/>
      <c r="AC1542" s="15"/>
      <c r="AD1542" s="15"/>
      <c r="AE1542" s="15"/>
      <c r="AF1542" s="15"/>
      <c r="AG1542" s="15"/>
      <c r="AH1542" s="15"/>
      <c r="AI1542" s="15"/>
      <c r="AJ1542" s="15"/>
      <c r="AK1542" s="15"/>
      <c r="AL1542" s="15"/>
      <c r="AM1542" s="15"/>
    </row>
    <row r="1543" spans="2:39" ht="25.2" customHeight="1" x14ac:dyDescent="0.3">
      <c r="B1543" s="13" t="str">
        <f t="shared" si="28"/>
        <v/>
      </c>
      <c r="C1543" s="18"/>
      <c r="D1543" s="19" t="str">
        <f>IF(Tabela2[[#This Row],[AGRUPADOR]]&lt;&gt;"",VLOOKUP(Tabela2[[#This Row],[AGRUPADOR]],Tabela1[],2,0),"")</f>
        <v/>
      </c>
      <c r="E1543" s="19" t="str">
        <f>IF(Tabela2[[#This Row],[AGRUPADOR]]&lt;&gt;"",VLOOKUP(Tabela2[[#This Row],[AGRUPADOR]],Tabela1[],4,0),"")</f>
        <v/>
      </c>
      <c r="F1543" s="14"/>
      <c r="G1543" s="6"/>
      <c r="H1543" s="6"/>
      <c r="I1543" s="25"/>
      <c r="J1543" s="7"/>
      <c r="K1543" s="15"/>
      <c r="L1543" s="379">
        <f>IF(H1543&lt;&gt;"",J1543*K1543,SUMIFS(L1544:L$9844,$F1544:$F$9844,"*"&amp;F1543&amp;"*",$H1544:$H$9844,"&lt;&gt;"))</f>
        <v>0</v>
      </c>
      <c r="M1543" s="379" t="str">
        <f>IF(Tabela2[[#This Row],[UNID.]]&lt;&gt;"",IFERROR(VLOOKUP(Tabela2[[#This Row],[AGRUPADOR]],Lucratividade!$D$4:$O$129,6,0),0),"")</f>
        <v/>
      </c>
      <c r="N1543" s="379">
        <f>IF(H1543&lt;&gt;"",J1543*M1543*I1543,SUMIFS(N1544:N$9844,$F1544:$F$9844,"*"&amp;F1543&amp;"*",$H1544:$H$9844,"&lt;&gt;"))</f>
        <v>0</v>
      </c>
      <c r="O1543" s="162" t="str">
        <f>IFERROR((-Tabela2[[#This Row],[CUSTO TOTAL]]+Tabela2[[#This Row],[VENDA TOTAL]])/Tabela2[[#This Row],[VENDA TOTAL]]-PARAMETROS!$C$19,"")</f>
        <v/>
      </c>
      <c r="AA1543" s="219">
        <f>SUM(Plan_Orc[[#This Row],[01/jan]:[01/dez]])</f>
        <v>0</v>
      </c>
      <c r="AB1543" s="15"/>
      <c r="AC1543" s="15"/>
      <c r="AD1543" s="15"/>
      <c r="AE1543" s="15"/>
      <c r="AF1543" s="15"/>
      <c r="AG1543" s="15"/>
      <c r="AH1543" s="15"/>
      <c r="AI1543" s="15"/>
      <c r="AJ1543" s="15"/>
      <c r="AK1543" s="15"/>
      <c r="AL1543" s="15"/>
      <c r="AM1543" s="15"/>
    </row>
    <row r="1544" spans="2:39" ht="25.2" customHeight="1" x14ac:dyDescent="0.3">
      <c r="B1544" s="13" t="str">
        <f t="shared" si="28"/>
        <v/>
      </c>
      <c r="C1544" s="18"/>
      <c r="D1544" s="19" t="str">
        <f>IF(Tabela2[[#This Row],[AGRUPADOR]]&lt;&gt;"",VLOOKUP(Tabela2[[#This Row],[AGRUPADOR]],Tabela1[],2,0),"")</f>
        <v/>
      </c>
      <c r="E1544" s="19" t="str">
        <f>IF(Tabela2[[#This Row],[AGRUPADOR]]&lt;&gt;"",VLOOKUP(Tabela2[[#This Row],[AGRUPADOR]],Tabela1[],4,0),"")</f>
        <v/>
      </c>
      <c r="F1544" s="14"/>
      <c r="G1544" s="6"/>
      <c r="H1544" s="6"/>
      <c r="I1544" s="25"/>
      <c r="J1544" s="7"/>
      <c r="K1544" s="15"/>
      <c r="L1544" s="379">
        <f>IF(H1544&lt;&gt;"",J1544*K1544,SUMIFS(L1545:L$9844,$F1545:$F$9844,"*"&amp;F1544&amp;"*",$H1545:$H$9844,"&lt;&gt;"))</f>
        <v>0</v>
      </c>
      <c r="M1544" s="379" t="str">
        <f>IF(Tabela2[[#This Row],[UNID.]]&lt;&gt;"",IFERROR(VLOOKUP(Tabela2[[#This Row],[AGRUPADOR]],Lucratividade!$D$4:$O$129,6,0),0),"")</f>
        <v/>
      </c>
      <c r="N1544" s="379">
        <f>IF(H1544&lt;&gt;"",J1544*M1544*I1544,SUMIFS(N1545:N$9844,$F1545:$F$9844,"*"&amp;F1544&amp;"*",$H1545:$H$9844,"&lt;&gt;"))</f>
        <v>0</v>
      </c>
      <c r="O1544" s="162" t="str">
        <f>IFERROR((-Tabela2[[#This Row],[CUSTO TOTAL]]+Tabela2[[#This Row],[VENDA TOTAL]])/Tabela2[[#This Row],[VENDA TOTAL]]-PARAMETROS!$C$19,"")</f>
        <v/>
      </c>
      <c r="AA1544" s="219">
        <f>SUM(Plan_Orc[[#This Row],[01/jan]:[01/dez]])</f>
        <v>0</v>
      </c>
      <c r="AB1544" s="15"/>
      <c r="AC1544" s="15"/>
      <c r="AD1544" s="15"/>
      <c r="AE1544" s="15"/>
      <c r="AF1544" s="15"/>
      <c r="AG1544" s="15"/>
      <c r="AH1544" s="15"/>
      <c r="AI1544" s="15"/>
      <c r="AJ1544" s="15"/>
      <c r="AK1544" s="15"/>
      <c r="AL1544" s="15"/>
      <c r="AM1544" s="15"/>
    </row>
    <row r="1545" spans="2:39" ht="25.2" customHeight="1" x14ac:dyDescent="0.3">
      <c r="B1545" s="13" t="str">
        <f t="shared" si="28"/>
        <v/>
      </c>
      <c r="C1545" s="18"/>
      <c r="D1545" s="19" t="str">
        <f>IF(Tabela2[[#This Row],[AGRUPADOR]]&lt;&gt;"",VLOOKUP(Tabela2[[#This Row],[AGRUPADOR]],Tabela1[],2,0),"")</f>
        <v/>
      </c>
      <c r="E1545" s="19" t="str">
        <f>IF(Tabela2[[#This Row],[AGRUPADOR]]&lt;&gt;"",VLOOKUP(Tabela2[[#This Row],[AGRUPADOR]],Tabela1[],4,0),"")</f>
        <v/>
      </c>
      <c r="F1545" s="14"/>
      <c r="G1545" s="6"/>
      <c r="H1545" s="6"/>
      <c r="I1545" s="25"/>
      <c r="J1545" s="7"/>
      <c r="K1545" s="15"/>
      <c r="L1545" s="379">
        <f>IF(H1545&lt;&gt;"",J1545*K1545,SUMIFS(L1546:L$9844,$F1546:$F$9844,"*"&amp;F1545&amp;"*",$H1546:$H$9844,"&lt;&gt;"))</f>
        <v>0</v>
      </c>
      <c r="M1545" s="379" t="str">
        <f>IF(Tabela2[[#This Row],[UNID.]]&lt;&gt;"",IFERROR(VLOOKUP(Tabela2[[#This Row],[AGRUPADOR]],Lucratividade!$D$4:$O$129,6,0),0),"")</f>
        <v/>
      </c>
      <c r="N1545" s="379">
        <f>IF(H1545&lt;&gt;"",J1545*M1545*I1545,SUMIFS(N1546:N$9844,$F1546:$F$9844,"*"&amp;F1545&amp;"*",$H1546:$H$9844,"&lt;&gt;"))</f>
        <v>0</v>
      </c>
      <c r="O1545" s="162" t="str">
        <f>IFERROR((-Tabela2[[#This Row],[CUSTO TOTAL]]+Tabela2[[#This Row],[VENDA TOTAL]])/Tabela2[[#This Row],[VENDA TOTAL]]-PARAMETROS!$C$19,"")</f>
        <v/>
      </c>
      <c r="AA1545" s="219">
        <f>SUM(Plan_Orc[[#This Row],[01/jan]:[01/dez]])</f>
        <v>0</v>
      </c>
      <c r="AB1545" s="15"/>
      <c r="AC1545" s="15"/>
      <c r="AD1545" s="15"/>
      <c r="AE1545" s="15"/>
      <c r="AF1545" s="15"/>
      <c r="AG1545" s="15"/>
      <c r="AH1545" s="15"/>
      <c r="AI1545" s="15"/>
      <c r="AJ1545" s="15"/>
      <c r="AK1545" s="15"/>
      <c r="AL1545" s="15"/>
      <c r="AM1545" s="15"/>
    </row>
    <row r="1546" spans="2:39" ht="25.2" customHeight="1" x14ac:dyDescent="0.3">
      <c r="B1546" s="13" t="str">
        <f t="shared" si="28"/>
        <v/>
      </c>
      <c r="C1546" s="18"/>
      <c r="D1546" s="19" t="str">
        <f>IF(Tabela2[[#This Row],[AGRUPADOR]]&lt;&gt;"",VLOOKUP(Tabela2[[#This Row],[AGRUPADOR]],Tabela1[],2,0),"")</f>
        <v/>
      </c>
      <c r="E1546" s="19" t="str">
        <f>IF(Tabela2[[#This Row],[AGRUPADOR]]&lt;&gt;"",VLOOKUP(Tabela2[[#This Row],[AGRUPADOR]],Tabela1[],4,0),"")</f>
        <v/>
      </c>
      <c r="F1546" s="14"/>
      <c r="G1546" s="6"/>
      <c r="H1546" s="6"/>
      <c r="I1546" s="25"/>
      <c r="J1546" s="7"/>
      <c r="K1546" s="15"/>
      <c r="L1546" s="379">
        <f>IF(H1546&lt;&gt;"",J1546*K1546,SUMIFS(L1547:L$9844,$F1547:$F$9844,"*"&amp;F1546&amp;"*",$H1547:$H$9844,"&lt;&gt;"))</f>
        <v>0</v>
      </c>
      <c r="M1546" s="379" t="str">
        <f>IF(Tabela2[[#This Row],[UNID.]]&lt;&gt;"",IFERROR(VLOOKUP(Tabela2[[#This Row],[AGRUPADOR]],Lucratividade!$D$4:$O$129,6,0),0),"")</f>
        <v/>
      </c>
      <c r="N1546" s="379">
        <f>IF(H1546&lt;&gt;"",J1546*M1546*I1546,SUMIFS(N1547:N$9844,$F1547:$F$9844,"*"&amp;F1546&amp;"*",$H1547:$H$9844,"&lt;&gt;"))</f>
        <v>0</v>
      </c>
      <c r="O1546" s="162" t="str">
        <f>IFERROR((-Tabela2[[#This Row],[CUSTO TOTAL]]+Tabela2[[#This Row],[VENDA TOTAL]])/Tabela2[[#This Row],[VENDA TOTAL]]-PARAMETROS!$C$19,"")</f>
        <v/>
      </c>
      <c r="AA1546" s="219">
        <f>SUM(Plan_Orc[[#This Row],[01/jan]:[01/dez]])</f>
        <v>0</v>
      </c>
      <c r="AB1546" s="15"/>
      <c r="AC1546" s="15"/>
      <c r="AD1546" s="15"/>
      <c r="AE1546" s="15"/>
      <c r="AF1546" s="15"/>
      <c r="AG1546" s="15"/>
      <c r="AH1546" s="15"/>
      <c r="AI1546" s="15"/>
      <c r="AJ1546" s="15"/>
      <c r="AK1546" s="15"/>
      <c r="AL1546" s="15"/>
      <c r="AM1546" s="15"/>
    </row>
    <row r="1547" spans="2:39" ht="25.2" customHeight="1" x14ac:dyDescent="0.3">
      <c r="B1547" s="13" t="str">
        <f t="shared" si="28"/>
        <v/>
      </c>
      <c r="C1547" s="18"/>
      <c r="D1547" s="19" t="str">
        <f>IF(Tabela2[[#This Row],[AGRUPADOR]]&lt;&gt;"",VLOOKUP(Tabela2[[#This Row],[AGRUPADOR]],Tabela1[],2,0),"")</f>
        <v/>
      </c>
      <c r="E1547" s="19" t="str">
        <f>IF(Tabela2[[#This Row],[AGRUPADOR]]&lt;&gt;"",VLOOKUP(Tabela2[[#This Row],[AGRUPADOR]],Tabela1[],4,0),"")</f>
        <v/>
      </c>
      <c r="F1547" s="14"/>
      <c r="G1547" s="6"/>
      <c r="H1547" s="6"/>
      <c r="I1547" s="25"/>
      <c r="J1547" s="7"/>
      <c r="K1547" s="15"/>
      <c r="L1547" s="379">
        <f>IF(H1547&lt;&gt;"",J1547*K1547,SUMIFS(L1548:L$9844,$F1548:$F$9844,"*"&amp;F1547&amp;"*",$H1548:$H$9844,"&lt;&gt;"))</f>
        <v>0</v>
      </c>
      <c r="M1547" s="379" t="str">
        <f>IF(Tabela2[[#This Row],[UNID.]]&lt;&gt;"",IFERROR(VLOOKUP(Tabela2[[#This Row],[AGRUPADOR]],Lucratividade!$D$4:$O$129,6,0),0),"")</f>
        <v/>
      </c>
      <c r="N1547" s="379">
        <f>IF(H1547&lt;&gt;"",J1547*M1547*I1547,SUMIFS(N1548:N$9844,$F1548:$F$9844,"*"&amp;F1547&amp;"*",$H1548:$H$9844,"&lt;&gt;"))</f>
        <v>0</v>
      </c>
      <c r="O1547" s="162" t="str">
        <f>IFERROR((-Tabela2[[#This Row],[CUSTO TOTAL]]+Tabela2[[#This Row],[VENDA TOTAL]])/Tabela2[[#This Row],[VENDA TOTAL]]-PARAMETROS!$C$19,"")</f>
        <v/>
      </c>
      <c r="AA1547" s="219">
        <f>SUM(Plan_Orc[[#This Row],[01/jan]:[01/dez]])</f>
        <v>0</v>
      </c>
      <c r="AB1547" s="15"/>
      <c r="AC1547" s="15"/>
      <c r="AD1547" s="15"/>
      <c r="AE1547" s="15"/>
      <c r="AF1547" s="15"/>
      <c r="AG1547" s="15"/>
      <c r="AH1547" s="15"/>
      <c r="AI1547" s="15"/>
      <c r="AJ1547" s="15"/>
      <c r="AK1547" s="15"/>
      <c r="AL1547" s="15"/>
      <c r="AM1547" s="15"/>
    </row>
    <row r="1548" spans="2:39" ht="25.2" customHeight="1" x14ac:dyDescent="0.3">
      <c r="B1548" s="13" t="str">
        <f t="shared" si="28"/>
        <v/>
      </c>
      <c r="C1548" s="18"/>
      <c r="D1548" s="19" t="str">
        <f>IF(Tabela2[[#This Row],[AGRUPADOR]]&lt;&gt;"",VLOOKUP(Tabela2[[#This Row],[AGRUPADOR]],Tabela1[],2,0),"")</f>
        <v/>
      </c>
      <c r="E1548" s="19" t="str">
        <f>IF(Tabela2[[#This Row],[AGRUPADOR]]&lt;&gt;"",VLOOKUP(Tabela2[[#This Row],[AGRUPADOR]],Tabela1[],4,0),"")</f>
        <v/>
      </c>
      <c r="F1548" s="14"/>
      <c r="G1548" s="6"/>
      <c r="H1548" s="6"/>
      <c r="I1548" s="25"/>
      <c r="J1548" s="7"/>
      <c r="K1548" s="15"/>
      <c r="L1548" s="379">
        <f>IF(H1548&lt;&gt;"",J1548*K1548,SUMIFS(L1549:L$9844,$F1549:$F$9844,"*"&amp;F1548&amp;"*",$H1549:$H$9844,"&lt;&gt;"))</f>
        <v>0</v>
      </c>
      <c r="M1548" s="379" t="str">
        <f>IF(Tabela2[[#This Row],[UNID.]]&lt;&gt;"",IFERROR(VLOOKUP(Tabela2[[#This Row],[AGRUPADOR]],Lucratividade!$D$4:$O$129,6,0),0),"")</f>
        <v/>
      </c>
      <c r="N1548" s="379">
        <f>IF(H1548&lt;&gt;"",J1548*M1548*I1548,SUMIFS(N1549:N$9844,$F1549:$F$9844,"*"&amp;F1548&amp;"*",$H1549:$H$9844,"&lt;&gt;"))</f>
        <v>0</v>
      </c>
      <c r="O1548" s="162" t="str">
        <f>IFERROR((-Tabela2[[#This Row],[CUSTO TOTAL]]+Tabela2[[#This Row],[VENDA TOTAL]])/Tabela2[[#This Row],[VENDA TOTAL]]-PARAMETROS!$C$19,"")</f>
        <v/>
      </c>
      <c r="AA1548" s="219">
        <f>SUM(Plan_Orc[[#This Row],[01/jan]:[01/dez]])</f>
        <v>0</v>
      </c>
      <c r="AB1548" s="15"/>
      <c r="AC1548" s="15"/>
      <c r="AD1548" s="15"/>
      <c r="AE1548" s="15"/>
      <c r="AF1548" s="15"/>
      <c r="AG1548" s="15"/>
      <c r="AH1548" s="15"/>
      <c r="AI1548" s="15"/>
      <c r="AJ1548" s="15"/>
      <c r="AK1548" s="15"/>
      <c r="AL1548" s="15"/>
      <c r="AM1548" s="15"/>
    </row>
    <row r="1549" spans="2:39" ht="25.2" customHeight="1" x14ac:dyDescent="0.3">
      <c r="B1549" s="13" t="str">
        <f t="shared" si="28"/>
        <v/>
      </c>
      <c r="C1549" s="18"/>
      <c r="D1549" s="19" t="str">
        <f>IF(Tabela2[[#This Row],[AGRUPADOR]]&lt;&gt;"",VLOOKUP(Tabela2[[#This Row],[AGRUPADOR]],Tabela1[],2,0),"")</f>
        <v/>
      </c>
      <c r="E1549" s="19" t="str">
        <f>IF(Tabela2[[#This Row],[AGRUPADOR]]&lt;&gt;"",VLOOKUP(Tabela2[[#This Row],[AGRUPADOR]],Tabela1[],4,0),"")</f>
        <v/>
      </c>
      <c r="F1549" s="14"/>
      <c r="G1549" s="6"/>
      <c r="H1549" s="6"/>
      <c r="I1549" s="25"/>
      <c r="J1549" s="7"/>
      <c r="K1549" s="15"/>
      <c r="L1549" s="379">
        <f>IF(H1549&lt;&gt;"",J1549*K1549,SUMIFS(L1550:L$9844,$F1550:$F$9844,"*"&amp;F1549&amp;"*",$H1550:$H$9844,"&lt;&gt;"))</f>
        <v>0</v>
      </c>
      <c r="M1549" s="379" t="str">
        <f>IF(Tabela2[[#This Row],[UNID.]]&lt;&gt;"",IFERROR(VLOOKUP(Tabela2[[#This Row],[AGRUPADOR]],Lucratividade!$D$4:$O$129,6,0),0),"")</f>
        <v/>
      </c>
      <c r="N1549" s="379">
        <f>IF(H1549&lt;&gt;"",J1549*M1549*I1549,SUMIFS(N1550:N$9844,$F1550:$F$9844,"*"&amp;F1549&amp;"*",$H1550:$H$9844,"&lt;&gt;"))</f>
        <v>0</v>
      </c>
      <c r="O1549" s="162" t="str">
        <f>IFERROR((-Tabela2[[#This Row],[CUSTO TOTAL]]+Tabela2[[#This Row],[VENDA TOTAL]])/Tabela2[[#This Row],[VENDA TOTAL]]-PARAMETROS!$C$19,"")</f>
        <v/>
      </c>
      <c r="AA1549" s="219">
        <f>SUM(Plan_Orc[[#This Row],[01/jan]:[01/dez]])</f>
        <v>0</v>
      </c>
      <c r="AB1549" s="15"/>
      <c r="AC1549" s="15"/>
      <c r="AD1549" s="15"/>
      <c r="AE1549" s="15"/>
      <c r="AF1549" s="15"/>
      <c r="AG1549" s="15"/>
      <c r="AH1549" s="15"/>
      <c r="AI1549" s="15"/>
      <c r="AJ1549" s="15"/>
      <c r="AK1549" s="15"/>
      <c r="AL1549" s="15"/>
      <c r="AM1549" s="15"/>
    </row>
    <row r="1550" spans="2:39" ht="25.2" customHeight="1" x14ac:dyDescent="0.3">
      <c r="B1550" s="13" t="str">
        <f t="shared" si="28"/>
        <v/>
      </c>
      <c r="C1550" s="18"/>
      <c r="D1550" s="19" t="str">
        <f>IF(Tabela2[[#This Row],[AGRUPADOR]]&lt;&gt;"",VLOOKUP(Tabela2[[#This Row],[AGRUPADOR]],Tabela1[],2,0),"")</f>
        <v/>
      </c>
      <c r="E1550" s="19" t="str">
        <f>IF(Tabela2[[#This Row],[AGRUPADOR]]&lt;&gt;"",VLOOKUP(Tabela2[[#This Row],[AGRUPADOR]],Tabela1[],4,0),"")</f>
        <v/>
      </c>
      <c r="F1550" s="14"/>
      <c r="G1550" s="6"/>
      <c r="H1550" s="6"/>
      <c r="I1550" s="25"/>
      <c r="J1550" s="7"/>
      <c r="K1550" s="15"/>
      <c r="L1550" s="379">
        <f>IF(H1550&lt;&gt;"",J1550*K1550,SUMIFS(L1551:L$9844,$F1551:$F$9844,"*"&amp;F1550&amp;"*",$H1551:$H$9844,"&lt;&gt;"))</f>
        <v>0</v>
      </c>
      <c r="M1550" s="379" t="str">
        <f>IF(Tabela2[[#This Row],[UNID.]]&lt;&gt;"",IFERROR(VLOOKUP(Tabela2[[#This Row],[AGRUPADOR]],Lucratividade!$D$4:$O$129,6,0),0),"")</f>
        <v/>
      </c>
      <c r="N1550" s="379">
        <f>IF(H1550&lt;&gt;"",J1550*M1550*I1550,SUMIFS(N1551:N$9844,$F1551:$F$9844,"*"&amp;F1550&amp;"*",$H1551:$H$9844,"&lt;&gt;"))</f>
        <v>0</v>
      </c>
      <c r="O1550" s="162" t="str">
        <f>IFERROR((-Tabela2[[#This Row],[CUSTO TOTAL]]+Tabela2[[#This Row],[VENDA TOTAL]])/Tabela2[[#This Row],[VENDA TOTAL]]-PARAMETROS!$C$19,"")</f>
        <v/>
      </c>
      <c r="AA1550" s="219">
        <f>SUM(Plan_Orc[[#This Row],[01/jan]:[01/dez]])</f>
        <v>0</v>
      </c>
      <c r="AB1550" s="15"/>
      <c r="AC1550" s="15"/>
      <c r="AD1550" s="15"/>
      <c r="AE1550" s="15"/>
      <c r="AF1550" s="15"/>
      <c r="AG1550" s="15"/>
      <c r="AH1550" s="15"/>
      <c r="AI1550" s="15"/>
      <c r="AJ1550" s="15"/>
      <c r="AK1550" s="15"/>
      <c r="AL1550" s="15"/>
      <c r="AM1550" s="15"/>
    </row>
    <row r="1551" spans="2:39" ht="25.2" customHeight="1" x14ac:dyDescent="0.3">
      <c r="B1551" s="13" t="str">
        <f t="shared" si="28"/>
        <v/>
      </c>
      <c r="C1551" s="18"/>
      <c r="D1551" s="19" t="str">
        <f>IF(Tabela2[[#This Row],[AGRUPADOR]]&lt;&gt;"",VLOOKUP(Tabela2[[#This Row],[AGRUPADOR]],Tabela1[],2,0),"")</f>
        <v/>
      </c>
      <c r="E1551" s="19" t="str">
        <f>IF(Tabela2[[#This Row],[AGRUPADOR]]&lt;&gt;"",VLOOKUP(Tabela2[[#This Row],[AGRUPADOR]],Tabela1[],4,0),"")</f>
        <v/>
      </c>
      <c r="F1551" s="14"/>
      <c r="G1551" s="6"/>
      <c r="H1551" s="6"/>
      <c r="I1551" s="25"/>
      <c r="J1551" s="7"/>
      <c r="K1551" s="15"/>
      <c r="L1551" s="379">
        <f>IF(H1551&lt;&gt;"",J1551*K1551,SUMIFS(L1552:L$9844,$F1552:$F$9844,"*"&amp;F1551&amp;"*",$H1552:$H$9844,"&lt;&gt;"))</f>
        <v>0</v>
      </c>
      <c r="M1551" s="379" t="str">
        <f>IF(Tabela2[[#This Row],[UNID.]]&lt;&gt;"",IFERROR(VLOOKUP(Tabela2[[#This Row],[AGRUPADOR]],Lucratividade!$D$4:$O$129,6,0),0),"")</f>
        <v/>
      </c>
      <c r="N1551" s="379">
        <f>IF(H1551&lt;&gt;"",J1551*M1551*I1551,SUMIFS(N1552:N$9844,$F1552:$F$9844,"*"&amp;F1551&amp;"*",$H1552:$H$9844,"&lt;&gt;"))</f>
        <v>0</v>
      </c>
      <c r="O1551" s="162" t="str">
        <f>IFERROR((-Tabela2[[#This Row],[CUSTO TOTAL]]+Tabela2[[#This Row],[VENDA TOTAL]])/Tabela2[[#This Row],[VENDA TOTAL]]-PARAMETROS!$C$19,"")</f>
        <v/>
      </c>
      <c r="AA1551" s="219">
        <f>SUM(Plan_Orc[[#This Row],[01/jan]:[01/dez]])</f>
        <v>0</v>
      </c>
      <c r="AB1551" s="15"/>
      <c r="AC1551" s="15"/>
      <c r="AD1551" s="15"/>
      <c r="AE1551" s="15"/>
      <c r="AF1551" s="15"/>
      <c r="AG1551" s="15"/>
      <c r="AH1551" s="15"/>
      <c r="AI1551" s="15"/>
      <c r="AJ1551" s="15"/>
      <c r="AK1551" s="15"/>
      <c r="AL1551" s="15"/>
      <c r="AM1551" s="15"/>
    </row>
    <row r="1552" spans="2:39" ht="25.2" customHeight="1" x14ac:dyDescent="0.3">
      <c r="B1552" s="13" t="str">
        <f t="shared" si="28"/>
        <v/>
      </c>
      <c r="C1552" s="18"/>
      <c r="D1552" s="19" t="str">
        <f>IF(Tabela2[[#This Row],[AGRUPADOR]]&lt;&gt;"",VLOOKUP(Tabela2[[#This Row],[AGRUPADOR]],Tabela1[],2,0),"")</f>
        <v/>
      </c>
      <c r="E1552" s="19" t="str">
        <f>IF(Tabela2[[#This Row],[AGRUPADOR]]&lt;&gt;"",VLOOKUP(Tabela2[[#This Row],[AGRUPADOR]],Tabela1[],4,0),"")</f>
        <v/>
      </c>
      <c r="F1552" s="14"/>
      <c r="G1552" s="6"/>
      <c r="H1552" s="6"/>
      <c r="I1552" s="25"/>
      <c r="J1552" s="7"/>
      <c r="K1552" s="15"/>
      <c r="L1552" s="379">
        <f>IF(H1552&lt;&gt;"",J1552*K1552,SUMIFS(L1553:L$9844,$F1553:$F$9844,"*"&amp;F1552&amp;"*",$H1553:$H$9844,"&lt;&gt;"))</f>
        <v>0</v>
      </c>
      <c r="M1552" s="379" t="str">
        <f>IF(Tabela2[[#This Row],[UNID.]]&lt;&gt;"",IFERROR(VLOOKUP(Tabela2[[#This Row],[AGRUPADOR]],Lucratividade!$D$4:$O$129,6,0),0),"")</f>
        <v/>
      </c>
      <c r="N1552" s="379">
        <f>IF(H1552&lt;&gt;"",J1552*M1552*I1552,SUMIFS(N1553:N$9844,$F1553:$F$9844,"*"&amp;F1552&amp;"*",$H1553:$H$9844,"&lt;&gt;"))</f>
        <v>0</v>
      </c>
      <c r="O1552" s="162" t="str">
        <f>IFERROR((-Tabela2[[#This Row],[CUSTO TOTAL]]+Tabela2[[#This Row],[VENDA TOTAL]])/Tabela2[[#This Row],[VENDA TOTAL]]-PARAMETROS!$C$19,"")</f>
        <v/>
      </c>
      <c r="AA1552" s="219">
        <f>SUM(Plan_Orc[[#This Row],[01/jan]:[01/dez]])</f>
        <v>0</v>
      </c>
      <c r="AB1552" s="15"/>
      <c r="AC1552" s="15"/>
      <c r="AD1552" s="15"/>
      <c r="AE1552" s="15"/>
      <c r="AF1552" s="15"/>
      <c r="AG1552" s="15"/>
      <c r="AH1552" s="15"/>
      <c r="AI1552" s="15"/>
      <c r="AJ1552" s="15"/>
      <c r="AK1552" s="15"/>
      <c r="AL1552" s="15"/>
      <c r="AM1552" s="15"/>
    </row>
    <row r="1553" spans="2:39" ht="25.2" customHeight="1" x14ac:dyDescent="0.3">
      <c r="B1553" s="13" t="str">
        <f t="shared" si="28"/>
        <v/>
      </c>
      <c r="C1553" s="18"/>
      <c r="D1553" s="19" t="str">
        <f>IF(Tabela2[[#This Row],[AGRUPADOR]]&lt;&gt;"",VLOOKUP(Tabela2[[#This Row],[AGRUPADOR]],Tabela1[],2,0),"")</f>
        <v/>
      </c>
      <c r="E1553" s="19" t="str">
        <f>IF(Tabela2[[#This Row],[AGRUPADOR]]&lt;&gt;"",VLOOKUP(Tabela2[[#This Row],[AGRUPADOR]],Tabela1[],4,0),"")</f>
        <v/>
      </c>
      <c r="F1553" s="14"/>
      <c r="G1553" s="6"/>
      <c r="H1553" s="6"/>
      <c r="I1553" s="25"/>
      <c r="J1553" s="7"/>
      <c r="K1553" s="15"/>
      <c r="L1553" s="379">
        <f>IF(H1553&lt;&gt;"",J1553*K1553,SUMIFS(L1554:L$9844,$F1554:$F$9844,"*"&amp;F1553&amp;"*",$H1554:$H$9844,"&lt;&gt;"))</f>
        <v>0</v>
      </c>
      <c r="M1553" s="379" t="str">
        <f>IF(Tabela2[[#This Row],[UNID.]]&lt;&gt;"",IFERROR(VLOOKUP(Tabela2[[#This Row],[AGRUPADOR]],Lucratividade!$D$4:$O$129,6,0),0),"")</f>
        <v/>
      </c>
      <c r="N1553" s="379">
        <f>IF(H1553&lt;&gt;"",J1553*M1553*I1553,SUMIFS(N1554:N$9844,$F1554:$F$9844,"*"&amp;F1553&amp;"*",$H1554:$H$9844,"&lt;&gt;"))</f>
        <v>0</v>
      </c>
      <c r="O1553" s="162" t="str">
        <f>IFERROR((-Tabela2[[#This Row],[CUSTO TOTAL]]+Tabela2[[#This Row],[VENDA TOTAL]])/Tabela2[[#This Row],[VENDA TOTAL]]-PARAMETROS!$C$19,"")</f>
        <v/>
      </c>
      <c r="AA1553" s="218">
        <f>SUM(Plan_Orc[[#This Row],[01/jan]:[01/dez]])</f>
        <v>0</v>
      </c>
      <c r="AB1553" s="12"/>
      <c r="AC1553" s="12"/>
      <c r="AD1553" s="12"/>
      <c r="AE1553" s="12"/>
      <c r="AF1553" s="12"/>
      <c r="AG1553" s="12"/>
      <c r="AH1553" s="12"/>
      <c r="AI1553" s="12"/>
      <c r="AJ1553" s="12"/>
      <c r="AK1553" s="12"/>
      <c r="AL1553" s="12"/>
      <c r="AM1553" s="12"/>
    </row>
    <row r="1554" spans="2:39" ht="25.2" customHeight="1" x14ac:dyDescent="0.3">
      <c r="B1554" s="13" t="str">
        <f t="shared" si="28"/>
        <v/>
      </c>
      <c r="C1554" s="18"/>
      <c r="D1554" s="19" t="str">
        <f>IF(Tabela2[[#This Row],[AGRUPADOR]]&lt;&gt;"",VLOOKUP(Tabela2[[#This Row],[AGRUPADOR]],Tabela1[],2,0),"")</f>
        <v/>
      </c>
      <c r="E1554" s="19" t="str">
        <f>IF(Tabela2[[#This Row],[AGRUPADOR]]&lt;&gt;"",VLOOKUP(Tabela2[[#This Row],[AGRUPADOR]],Tabela1[],4,0),"")</f>
        <v/>
      </c>
      <c r="F1554" s="14"/>
      <c r="G1554" s="6"/>
      <c r="H1554" s="6"/>
      <c r="I1554" s="25"/>
      <c r="J1554" s="7"/>
      <c r="K1554" s="15"/>
      <c r="L1554" s="379">
        <f>IF(H1554&lt;&gt;"",J1554*K1554,SUMIFS(L1555:L$9844,$F1555:$F$9844,"*"&amp;F1554&amp;"*",$H1555:$H$9844,"&lt;&gt;"))</f>
        <v>0</v>
      </c>
      <c r="M1554" s="379" t="str">
        <f>IF(Tabela2[[#This Row],[UNID.]]&lt;&gt;"",IFERROR(VLOOKUP(Tabela2[[#This Row],[AGRUPADOR]],Lucratividade!$D$4:$O$129,6,0),0),"")</f>
        <v/>
      </c>
      <c r="N1554" s="379">
        <f>IF(H1554&lt;&gt;"",J1554*M1554*I1554,SUMIFS(N1555:N$9844,$F1555:$F$9844,"*"&amp;F1554&amp;"*",$H1555:$H$9844,"&lt;&gt;"))</f>
        <v>0</v>
      </c>
      <c r="O1554" s="162" t="str">
        <f>IFERROR((-Tabela2[[#This Row],[CUSTO TOTAL]]+Tabela2[[#This Row],[VENDA TOTAL]])/Tabela2[[#This Row],[VENDA TOTAL]]-PARAMETROS!$C$19,"")</f>
        <v/>
      </c>
      <c r="AA1554" s="219">
        <f>SUM(Plan_Orc[[#This Row],[01/jan]:[01/dez]])</f>
        <v>0</v>
      </c>
      <c r="AB1554" s="15"/>
      <c r="AC1554" s="15"/>
      <c r="AD1554" s="15"/>
      <c r="AE1554" s="15"/>
      <c r="AF1554" s="15"/>
      <c r="AG1554" s="15"/>
      <c r="AH1554" s="15"/>
      <c r="AI1554" s="15"/>
      <c r="AJ1554" s="15"/>
      <c r="AK1554" s="15"/>
      <c r="AL1554" s="15"/>
      <c r="AM1554" s="15"/>
    </row>
    <row r="1555" spans="2:39" ht="25.2" customHeight="1" x14ac:dyDescent="0.3">
      <c r="B1555" s="13" t="str">
        <f t="shared" si="28"/>
        <v/>
      </c>
      <c r="C1555" s="18"/>
      <c r="D1555" s="19" t="str">
        <f>IF(Tabela2[[#This Row],[AGRUPADOR]]&lt;&gt;"",VLOOKUP(Tabela2[[#This Row],[AGRUPADOR]],Tabela1[],2,0),"")</f>
        <v/>
      </c>
      <c r="E1555" s="19" t="str">
        <f>IF(Tabela2[[#This Row],[AGRUPADOR]]&lt;&gt;"",VLOOKUP(Tabela2[[#This Row],[AGRUPADOR]],Tabela1[],4,0),"")</f>
        <v/>
      </c>
      <c r="F1555" s="14"/>
      <c r="G1555" s="6"/>
      <c r="H1555" s="6"/>
      <c r="I1555" s="25"/>
      <c r="J1555" s="7"/>
      <c r="K1555" s="15"/>
      <c r="L1555" s="379">
        <f>IF(H1555&lt;&gt;"",J1555*K1555,SUMIFS(L1556:L$9844,$F1556:$F$9844,"*"&amp;F1555&amp;"*",$H1556:$H$9844,"&lt;&gt;"))</f>
        <v>0</v>
      </c>
      <c r="M1555" s="379" t="str">
        <f>IF(Tabela2[[#This Row],[UNID.]]&lt;&gt;"",IFERROR(VLOOKUP(Tabela2[[#This Row],[AGRUPADOR]],Lucratividade!$D$4:$O$129,6,0),0),"")</f>
        <v/>
      </c>
      <c r="N1555" s="379">
        <f>IF(H1555&lt;&gt;"",J1555*M1555*I1555,SUMIFS(N1556:N$9844,$F1556:$F$9844,"*"&amp;F1555&amp;"*",$H1556:$H$9844,"&lt;&gt;"))</f>
        <v>0</v>
      </c>
      <c r="O1555" s="162" t="str">
        <f>IFERROR((-Tabela2[[#This Row],[CUSTO TOTAL]]+Tabela2[[#This Row],[VENDA TOTAL]])/Tabela2[[#This Row],[VENDA TOTAL]]-PARAMETROS!$C$19,"")</f>
        <v/>
      </c>
      <c r="AA1555" s="219">
        <f>SUM(Plan_Orc[[#This Row],[01/jan]:[01/dez]])</f>
        <v>0</v>
      </c>
      <c r="AB1555" s="15"/>
      <c r="AC1555" s="15"/>
      <c r="AD1555" s="15"/>
      <c r="AE1555" s="15"/>
      <c r="AF1555" s="15"/>
      <c r="AG1555" s="15"/>
      <c r="AH1555" s="15"/>
      <c r="AI1555" s="15"/>
      <c r="AJ1555" s="15"/>
      <c r="AK1555" s="15"/>
      <c r="AL1555" s="15"/>
      <c r="AM1555" s="15"/>
    </row>
    <row r="1556" spans="2:39" ht="25.2" customHeight="1" x14ac:dyDescent="0.3">
      <c r="B1556" s="13" t="str">
        <f t="shared" si="28"/>
        <v/>
      </c>
      <c r="C1556" s="18"/>
      <c r="D1556" s="19" t="str">
        <f>IF(Tabela2[[#This Row],[AGRUPADOR]]&lt;&gt;"",VLOOKUP(Tabela2[[#This Row],[AGRUPADOR]],Tabela1[],2,0),"")</f>
        <v/>
      </c>
      <c r="E1556" s="19" t="str">
        <f>IF(Tabela2[[#This Row],[AGRUPADOR]]&lt;&gt;"",VLOOKUP(Tabela2[[#This Row],[AGRUPADOR]],Tabela1[],4,0),"")</f>
        <v/>
      </c>
      <c r="F1556" s="14"/>
      <c r="G1556" s="6"/>
      <c r="H1556" s="6"/>
      <c r="I1556" s="25"/>
      <c r="J1556" s="7"/>
      <c r="K1556" s="15"/>
      <c r="L1556" s="379">
        <f>IF(H1556&lt;&gt;"",J1556*K1556,SUMIFS(L1557:L$9844,$F1557:$F$9844,"*"&amp;F1556&amp;"*",$H1557:$H$9844,"&lt;&gt;"))</f>
        <v>0</v>
      </c>
      <c r="M1556" s="379" t="str">
        <f>IF(Tabela2[[#This Row],[UNID.]]&lt;&gt;"",IFERROR(VLOOKUP(Tabela2[[#This Row],[AGRUPADOR]],Lucratividade!$D$4:$O$129,6,0),0),"")</f>
        <v/>
      </c>
      <c r="N1556" s="379">
        <f>IF(H1556&lt;&gt;"",J1556*M1556*I1556,SUMIFS(N1557:N$9844,$F1557:$F$9844,"*"&amp;F1556&amp;"*",$H1557:$H$9844,"&lt;&gt;"))</f>
        <v>0</v>
      </c>
      <c r="O1556" s="162" t="str">
        <f>IFERROR((-Tabela2[[#This Row],[CUSTO TOTAL]]+Tabela2[[#This Row],[VENDA TOTAL]])/Tabela2[[#This Row],[VENDA TOTAL]]-PARAMETROS!$C$19,"")</f>
        <v/>
      </c>
      <c r="AA1556" s="219">
        <f>SUM(Plan_Orc[[#This Row],[01/jan]:[01/dez]])</f>
        <v>0</v>
      </c>
      <c r="AB1556" s="15"/>
      <c r="AC1556" s="15"/>
      <c r="AD1556" s="15"/>
      <c r="AE1556" s="15"/>
      <c r="AF1556" s="15"/>
      <c r="AG1556" s="15"/>
      <c r="AH1556" s="15"/>
      <c r="AI1556" s="15"/>
      <c r="AJ1556" s="15"/>
      <c r="AK1556" s="15"/>
      <c r="AL1556" s="15"/>
      <c r="AM1556" s="15"/>
    </row>
    <row r="1557" spans="2:39" ht="25.2" customHeight="1" x14ac:dyDescent="0.3">
      <c r="B1557" s="13" t="str">
        <f t="shared" si="28"/>
        <v/>
      </c>
      <c r="C1557" s="18"/>
      <c r="D1557" s="19" t="str">
        <f>IF(Tabela2[[#This Row],[AGRUPADOR]]&lt;&gt;"",VLOOKUP(Tabela2[[#This Row],[AGRUPADOR]],Tabela1[],2,0),"")</f>
        <v/>
      </c>
      <c r="E1557" s="19" t="str">
        <f>IF(Tabela2[[#This Row],[AGRUPADOR]]&lt;&gt;"",VLOOKUP(Tabela2[[#This Row],[AGRUPADOR]],Tabela1[],4,0),"")</f>
        <v/>
      </c>
      <c r="F1557" s="14"/>
      <c r="G1557" s="6"/>
      <c r="H1557" s="6"/>
      <c r="I1557" s="25"/>
      <c r="J1557" s="7"/>
      <c r="K1557" s="15"/>
      <c r="L1557" s="379">
        <f>IF(H1557&lt;&gt;"",J1557*K1557,SUMIFS(L1558:L$9844,$F1558:$F$9844,"*"&amp;F1557&amp;"*",$H1558:$H$9844,"&lt;&gt;"))</f>
        <v>0</v>
      </c>
      <c r="M1557" s="379" t="str">
        <f>IF(Tabela2[[#This Row],[UNID.]]&lt;&gt;"",IFERROR(VLOOKUP(Tabela2[[#This Row],[AGRUPADOR]],Lucratividade!$D$4:$O$129,6,0),0),"")</f>
        <v/>
      </c>
      <c r="N1557" s="379">
        <f>IF(H1557&lt;&gt;"",J1557*M1557*I1557,SUMIFS(N1558:N$9844,$F1558:$F$9844,"*"&amp;F1557&amp;"*",$H1558:$H$9844,"&lt;&gt;"))</f>
        <v>0</v>
      </c>
      <c r="O1557" s="162" t="str">
        <f>IFERROR((-Tabela2[[#This Row],[CUSTO TOTAL]]+Tabela2[[#This Row],[VENDA TOTAL]])/Tabela2[[#This Row],[VENDA TOTAL]]-PARAMETROS!$C$19,"")</f>
        <v/>
      </c>
      <c r="AA1557" s="219">
        <f>SUM(Plan_Orc[[#This Row],[01/jan]:[01/dez]])</f>
        <v>0</v>
      </c>
      <c r="AB1557" s="15"/>
      <c r="AC1557" s="15"/>
      <c r="AD1557" s="15"/>
      <c r="AE1557" s="15"/>
      <c r="AF1557" s="15"/>
      <c r="AG1557" s="15"/>
      <c r="AH1557" s="15"/>
      <c r="AI1557" s="15"/>
      <c r="AJ1557" s="15"/>
      <c r="AK1557" s="15"/>
      <c r="AL1557" s="15"/>
      <c r="AM1557" s="15"/>
    </row>
    <row r="1558" spans="2:39" ht="25.2" customHeight="1" x14ac:dyDescent="0.3">
      <c r="B1558" s="13" t="str">
        <f t="shared" si="28"/>
        <v/>
      </c>
      <c r="C1558" s="18"/>
      <c r="D1558" s="19" t="str">
        <f>IF(Tabela2[[#This Row],[AGRUPADOR]]&lt;&gt;"",VLOOKUP(Tabela2[[#This Row],[AGRUPADOR]],Tabela1[],2,0),"")</f>
        <v/>
      </c>
      <c r="E1558" s="19" t="str">
        <f>IF(Tabela2[[#This Row],[AGRUPADOR]]&lt;&gt;"",VLOOKUP(Tabela2[[#This Row],[AGRUPADOR]],Tabela1[],4,0),"")</f>
        <v/>
      </c>
      <c r="F1558" s="14"/>
      <c r="G1558" s="6"/>
      <c r="H1558" s="6"/>
      <c r="I1558" s="25"/>
      <c r="J1558" s="7"/>
      <c r="K1558" s="15"/>
      <c r="L1558" s="379">
        <f>IF(H1558&lt;&gt;"",J1558*K1558,SUMIFS(L1559:L$9844,$F1559:$F$9844,"*"&amp;F1558&amp;"*",$H1559:$H$9844,"&lt;&gt;"))</f>
        <v>0</v>
      </c>
      <c r="M1558" s="379" t="str">
        <f>IF(Tabela2[[#This Row],[UNID.]]&lt;&gt;"",IFERROR(VLOOKUP(Tabela2[[#This Row],[AGRUPADOR]],Lucratividade!$D$4:$O$129,6,0),0),"")</f>
        <v/>
      </c>
      <c r="N1558" s="379">
        <f>IF(H1558&lt;&gt;"",J1558*M1558*I1558,SUMIFS(N1559:N$9844,$F1559:$F$9844,"*"&amp;F1558&amp;"*",$H1559:$H$9844,"&lt;&gt;"))</f>
        <v>0</v>
      </c>
      <c r="O1558" s="162" t="str">
        <f>IFERROR((-Tabela2[[#This Row],[CUSTO TOTAL]]+Tabela2[[#This Row],[VENDA TOTAL]])/Tabela2[[#This Row],[VENDA TOTAL]]-PARAMETROS!$C$19,"")</f>
        <v/>
      </c>
      <c r="AA1558" s="219">
        <f>SUM(Plan_Orc[[#This Row],[01/jan]:[01/dez]])</f>
        <v>0</v>
      </c>
      <c r="AB1558" s="15"/>
      <c r="AC1558" s="15"/>
      <c r="AD1558" s="15"/>
      <c r="AE1558" s="15"/>
      <c r="AF1558" s="15"/>
      <c r="AG1558" s="15"/>
      <c r="AH1558" s="15"/>
      <c r="AI1558" s="15"/>
      <c r="AJ1558" s="15"/>
      <c r="AK1558" s="15"/>
      <c r="AL1558" s="15"/>
      <c r="AM1558" s="15"/>
    </row>
    <row r="1559" spans="2:39" ht="25.2" customHeight="1" x14ac:dyDescent="0.3">
      <c r="B1559" s="13" t="str">
        <f t="shared" si="28"/>
        <v/>
      </c>
      <c r="C1559" s="18"/>
      <c r="D1559" s="19" t="str">
        <f>IF(Tabela2[[#This Row],[AGRUPADOR]]&lt;&gt;"",VLOOKUP(Tabela2[[#This Row],[AGRUPADOR]],Tabela1[],2,0),"")</f>
        <v/>
      </c>
      <c r="E1559" s="19" t="str">
        <f>IF(Tabela2[[#This Row],[AGRUPADOR]]&lt;&gt;"",VLOOKUP(Tabela2[[#This Row],[AGRUPADOR]],Tabela1[],4,0),"")</f>
        <v/>
      </c>
      <c r="F1559" s="14"/>
      <c r="G1559" s="6"/>
      <c r="H1559" s="6"/>
      <c r="I1559" s="25"/>
      <c r="J1559" s="7"/>
      <c r="K1559" s="15"/>
      <c r="L1559" s="379">
        <f>IF(H1559&lt;&gt;"",J1559*K1559,SUMIFS(L1560:L$9844,$F1560:$F$9844,"*"&amp;F1559&amp;"*",$H1560:$H$9844,"&lt;&gt;"))</f>
        <v>0</v>
      </c>
      <c r="M1559" s="379" t="str">
        <f>IF(Tabela2[[#This Row],[UNID.]]&lt;&gt;"",IFERROR(VLOOKUP(Tabela2[[#This Row],[AGRUPADOR]],Lucratividade!$D$4:$O$129,6,0),0),"")</f>
        <v/>
      </c>
      <c r="N1559" s="379">
        <f>IF(H1559&lt;&gt;"",J1559*M1559*I1559,SUMIFS(N1560:N$9844,$F1560:$F$9844,"*"&amp;F1559&amp;"*",$H1560:$H$9844,"&lt;&gt;"))</f>
        <v>0</v>
      </c>
      <c r="O1559" s="162" t="str">
        <f>IFERROR((-Tabela2[[#This Row],[CUSTO TOTAL]]+Tabela2[[#This Row],[VENDA TOTAL]])/Tabela2[[#This Row],[VENDA TOTAL]]-PARAMETROS!$C$19,"")</f>
        <v/>
      </c>
      <c r="AA1559" s="219">
        <f>SUM(Plan_Orc[[#This Row],[01/jan]:[01/dez]])</f>
        <v>0</v>
      </c>
      <c r="AB1559" s="15"/>
      <c r="AC1559" s="15"/>
      <c r="AD1559" s="15"/>
      <c r="AE1559" s="15"/>
      <c r="AF1559" s="15"/>
      <c r="AG1559" s="15"/>
      <c r="AH1559" s="15"/>
      <c r="AI1559" s="15"/>
      <c r="AJ1559" s="15"/>
      <c r="AK1559" s="15"/>
      <c r="AL1559" s="15"/>
      <c r="AM1559" s="15"/>
    </row>
    <row r="1560" spans="2:39" ht="25.2" customHeight="1" x14ac:dyDescent="0.3">
      <c r="B1560" s="13" t="str">
        <f t="shared" si="28"/>
        <v/>
      </c>
      <c r="C1560" s="18"/>
      <c r="D1560" s="19" t="str">
        <f>IF(Tabela2[[#This Row],[AGRUPADOR]]&lt;&gt;"",VLOOKUP(Tabela2[[#This Row],[AGRUPADOR]],Tabela1[],2,0),"")</f>
        <v/>
      </c>
      <c r="E1560" s="19" t="str">
        <f>IF(Tabela2[[#This Row],[AGRUPADOR]]&lt;&gt;"",VLOOKUP(Tabela2[[#This Row],[AGRUPADOR]],Tabela1[],4,0),"")</f>
        <v/>
      </c>
      <c r="F1560" s="14"/>
      <c r="G1560" s="6"/>
      <c r="H1560" s="6"/>
      <c r="I1560" s="25"/>
      <c r="J1560" s="7"/>
      <c r="K1560" s="15"/>
      <c r="L1560" s="379">
        <f>IF(H1560&lt;&gt;"",J1560*K1560,SUMIFS(L1561:L$9844,$F1561:$F$9844,"*"&amp;F1560&amp;"*",$H1561:$H$9844,"&lt;&gt;"))</f>
        <v>0</v>
      </c>
      <c r="M1560" s="379" t="str">
        <f>IF(Tabela2[[#This Row],[UNID.]]&lt;&gt;"",IFERROR(VLOOKUP(Tabela2[[#This Row],[AGRUPADOR]],Lucratividade!$D$4:$O$129,6,0),0),"")</f>
        <v/>
      </c>
      <c r="N1560" s="379">
        <f>IF(H1560&lt;&gt;"",J1560*M1560*I1560,SUMIFS(N1561:N$9844,$F1561:$F$9844,"*"&amp;F1560&amp;"*",$H1561:$H$9844,"&lt;&gt;"))</f>
        <v>0</v>
      </c>
      <c r="O1560" s="162" t="str">
        <f>IFERROR((-Tabela2[[#This Row],[CUSTO TOTAL]]+Tabela2[[#This Row],[VENDA TOTAL]])/Tabela2[[#This Row],[VENDA TOTAL]]-PARAMETROS!$C$19,"")</f>
        <v/>
      </c>
      <c r="AA1560" s="219">
        <f>SUM(Plan_Orc[[#This Row],[01/jan]:[01/dez]])</f>
        <v>0</v>
      </c>
      <c r="AB1560" s="15"/>
      <c r="AC1560" s="15"/>
      <c r="AD1560" s="15"/>
      <c r="AE1560" s="15"/>
      <c r="AF1560" s="15"/>
      <c r="AG1560" s="15"/>
      <c r="AH1560" s="15"/>
      <c r="AI1560" s="15"/>
      <c r="AJ1560" s="15"/>
      <c r="AK1560" s="15"/>
      <c r="AL1560" s="15"/>
      <c r="AM1560" s="15"/>
    </row>
    <row r="1561" spans="2:39" ht="25.2" customHeight="1" x14ac:dyDescent="0.3">
      <c r="B1561" s="13" t="str">
        <f t="shared" si="28"/>
        <v/>
      </c>
      <c r="C1561" s="18"/>
      <c r="D1561" s="19" t="str">
        <f>IF(Tabela2[[#This Row],[AGRUPADOR]]&lt;&gt;"",VLOOKUP(Tabela2[[#This Row],[AGRUPADOR]],Tabela1[],2,0),"")</f>
        <v/>
      </c>
      <c r="E1561" s="19" t="str">
        <f>IF(Tabela2[[#This Row],[AGRUPADOR]]&lt;&gt;"",VLOOKUP(Tabela2[[#This Row],[AGRUPADOR]],Tabela1[],4,0),"")</f>
        <v/>
      </c>
      <c r="F1561" s="14"/>
      <c r="G1561" s="6"/>
      <c r="H1561" s="6"/>
      <c r="I1561" s="25"/>
      <c r="J1561" s="7"/>
      <c r="K1561" s="15"/>
      <c r="L1561" s="379">
        <f>IF(H1561&lt;&gt;"",J1561*K1561,SUMIFS(L1562:L$9844,$F1562:$F$9844,"*"&amp;F1561&amp;"*",$H1562:$H$9844,"&lt;&gt;"))</f>
        <v>0</v>
      </c>
      <c r="M1561" s="379" t="str">
        <f>IF(Tabela2[[#This Row],[UNID.]]&lt;&gt;"",IFERROR(VLOOKUP(Tabela2[[#This Row],[AGRUPADOR]],Lucratividade!$D$4:$O$129,6,0),0),"")</f>
        <v/>
      </c>
      <c r="N1561" s="379">
        <f>IF(H1561&lt;&gt;"",J1561*M1561*I1561,SUMIFS(N1562:N$9844,$F1562:$F$9844,"*"&amp;F1561&amp;"*",$H1562:$H$9844,"&lt;&gt;"))</f>
        <v>0</v>
      </c>
      <c r="O1561" s="162" t="str">
        <f>IFERROR((-Tabela2[[#This Row],[CUSTO TOTAL]]+Tabela2[[#This Row],[VENDA TOTAL]])/Tabela2[[#This Row],[VENDA TOTAL]]-PARAMETROS!$C$19,"")</f>
        <v/>
      </c>
      <c r="AA1561" s="219">
        <f>SUM(Plan_Orc[[#This Row],[01/jan]:[01/dez]])</f>
        <v>0</v>
      </c>
      <c r="AB1561" s="15"/>
      <c r="AC1561" s="15"/>
      <c r="AD1561" s="15"/>
      <c r="AE1561" s="15"/>
      <c r="AF1561" s="15"/>
      <c r="AG1561" s="15"/>
      <c r="AH1561" s="15"/>
      <c r="AI1561" s="15"/>
      <c r="AJ1561" s="15"/>
      <c r="AK1561" s="15"/>
      <c r="AL1561" s="15"/>
      <c r="AM1561" s="15"/>
    </row>
    <row r="1562" spans="2:39" ht="25.2" customHeight="1" x14ac:dyDescent="0.3">
      <c r="B1562" s="13" t="str">
        <f t="shared" si="28"/>
        <v/>
      </c>
      <c r="C1562" s="18"/>
      <c r="D1562" s="19" t="str">
        <f>IF(Tabela2[[#This Row],[AGRUPADOR]]&lt;&gt;"",VLOOKUP(Tabela2[[#This Row],[AGRUPADOR]],Tabela1[],2,0),"")</f>
        <v/>
      </c>
      <c r="E1562" s="19" t="str">
        <f>IF(Tabela2[[#This Row],[AGRUPADOR]]&lt;&gt;"",VLOOKUP(Tabela2[[#This Row],[AGRUPADOR]],Tabela1[],4,0),"")</f>
        <v/>
      </c>
      <c r="F1562" s="14"/>
      <c r="G1562" s="6"/>
      <c r="H1562" s="6"/>
      <c r="I1562" s="25"/>
      <c r="J1562" s="7"/>
      <c r="K1562" s="15"/>
      <c r="L1562" s="379">
        <f>IF(H1562&lt;&gt;"",J1562*K1562,SUMIFS(L1563:L$9844,$F1563:$F$9844,"*"&amp;F1562&amp;"*",$H1563:$H$9844,"&lt;&gt;"))</f>
        <v>0</v>
      </c>
      <c r="M1562" s="379" t="str">
        <f>IF(Tabela2[[#This Row],[UNID.]]&lt;&gt;"",IFERROR(VLOOKUP(Tabela2[[#This Row],[AGRUPADOR]],Lucratividade!$D$4:$O$129,6,0),0),"")</f>
        <v/>
      </c>
      <c r="N1562" s="379">
        <f>IF(H1562&lt;&gt;"",J1562*M1562*I1562,SUMIFS(N1563:N$9844,$F1563:$F$9844,"*"&amp;F1562&amp;"*",$H1563:$H$9844,"&lt;&gt;"))</f>
        <v>0</v>
      </c>
      <c r="O1562" s="162" t="str">
        <f>IFERROR((-Tabela2[[#This Row],[CUSTO TOTAL]]+Tabela2[[#This Row],[VENDA TOTAL]])/Tabela2[[#This Row],[VENDA TOTAL]]-PARAMETROS!$C$19,"")</f>
        <v/>
      </c>
      <c r="AA1562" s="219">
        <f>SUM(Plan_Orc[[#This Row],[01/jan]:[01/dez]])</f>
        <v>0</v>
      </c>
      <c r="AB1562" s="15"/>
      <c r="AC1562" s="15"/>
      <c r="AD1562" s="15"/>
      <c r="AE1562" s="15"/>
      <c r="AF1562" s="15"/>
      <c r="AG1562" s="15"/>
      <c r="AH1562" s="15"/>
      <c r="AI1562" s="15"/>
      <c r="AJ1562" s="15"/>
      <c r="AK1562" s="15"/>
      <c r="AL1562" s="15"/>
      <c r="AM1562" s="15"/>
    </row>
    <row r="1563" spans="2:39" ht="25.2" customHeight="1" x14ac:dyDescent="0.3">
      <c r="B1563" s="13" t="str">
        <f t="shared" si="28"/>
        <v/>
      </c>
      <c r="C1563" s="18"/>
      <c r="D1563" s="19" t="str">
        <f>IF(Tabela2[[#This Row],[AGRUPADOR]]&lt;&gt;"",VLOOKUP(Tabela2[[#This Row],[AGRUPADOR]],Tabela1[],2,0),"")</f>
        <v/>
      </c>
      <c r="E1563" s="19" t="str">
        <f>IF(Tabela2[[#This Row],[AGRUPADOR]]&lt;&gt;"",VLOOKUP(Tabela2[[#This Row],[AGRUPADOR]],Tabela1[],4,0),"")</f>
        <v/>
      </c>
      <c r="F1563" s="14"/>
      <c r="G1563" s="6"/>
      <c r="H1563" s="6"/>
      <c r="I1563" s="25"/>
      <c r="J1563" s="7"/>
      <c r="K1563" s="15"/>
      <c r="L1563" s="379">
        <f>IF(H1563&lt;&gt;"",J1563*K1563,SUMIFS(L1564:L$9844,$F1564:$F$9844,"*"&amp;F1563&amp;"*",$H1564:$H$9844,"&lt;&gt;"))</f>
        <v>0</v>
      </c>
      <c r="M1563" s="379" t="str">
        <f>IF(Tabela2[[#This Row],[UNID.]]&lt;&gt;"",IFERROR(VLOOKUP(Tabela2[[#This Row],[AGRUPADOR]],Lucratividade!$D$4:$O$129,6,0),0),"")</f>
        <v/>
      </c>
      <c r="N1563" s="379">
        <f>IF(H1563&lt;&gt;"",J1563*M1563*I1563,SUMIFS(N1564:N$9844,$F1564:$F$9844,"*"&amp;F1563&amp;"*",$H1564:$H$9844,"&lt;&gt;"))</f>
        <v>0</v>
      </c>
      <c r="O1563" s="162" t="str">
        <f>IFERROR((-Tabela2[[#This Row],[CUSTO TOTAL]]+Tabela2[[#This Row],[VENDA TOTAL]])/Tabela2[[#This Row],[VENDA TOTAL]]-PARAMETROS!$C$19,"")</f>
        <v/>
      </c>
      <c r="AA1563" s="219">
        <f>SUM(Plan_Orc[[#This Row],[01/jan]:[01/dez]])</f>
        <v>0</v>
      </c>
      <c r="AB1563" s="15"/>
      <c r="AC1563" s="15"/>
      <c r="AD1563" s="15"/>
      <c r="AE1563" s="15"/>
      <c r="AF1563" s="15"/>
      <c r="AG1563" s="15"/>
      <c r="AH1563" s="15"/>
      <c r="AI1563" s="15"/>
      <c r="AJ1563" s="15"/>
      <c r="AK1563" s="15"/>
      <c r="AL1563" s="15"/>
      <c r="AM1563" s="15"/>
    </row>
    <row r="1564" spans="2:39" ht="25.2" customHeight="1" x14ac:dyDescent="0.3">
      <c r="B1564" s="13" t="str">
        <f t="shared" si="28"/>
        <v/>
      </c>
      <c r="C1564" s="18"/>
      <c r="D1564" s="19" t="str">
        <f>IF(Tabela2[[#This Row],[AGRUPADOR]]&lt;&gt;"",VLOOKUP(Tabela2[[#This Row],[AGRUPADOR]],Tabela1[],2,0),"")</f>
        <v/>
      </c>
      <c r="E1564" s="19" t="str">
        <f>IF(Tabela2[[#This Row],[AGRUPADOR]]&lt;&gt;"",VLOOKUP(Tabela2[[#This Row],[AGRUPADOR]],Tabela1[],4,0),"")</f>
        <v/>
      </c>
      <c r="F1564" s="14"/>
      <c r="G1564" s="6"/>
      <c r="H1564" s="6"/>
      <c r="I1564" s="25"/>
      <c r="J1564" s="7"/>
      <c r="K1564" s="15"/>
      <c r="L1564" s="379">
        <f>IF(H1564&lt;&gt;"",J1564*K1564,SUMIFS(L1565:L$9844,$F1565:$F$9844,"*"&amp;F1564&amp;"*",$H1565:$H$9844,"&lt;&gt;"))</f>
        <v>0</v>
      </c>
      <c r="M1564" s="379" t="str">
        <f>IF(Tabela2[[#This Row],[UNID.]]&lt;&gt;"",IFERROR(VLOOKUP(Tabela2[[#This Row],[AGRUPADOR]],Lucratividade!$D$4:$O$129,6,0),0),"")</f>
        <v/>
      </c>
      <c r="N1564" s="379">
        <f>IF(H1564&lt;&gt;"",J1564*M1564*I1564,SUMIFS(N1565:N$9844,$F1565:$F$9844,"*"&amp;F1564&amp;"*",$H1565:$H$9844,"&lt;&gt;"))</f>
        <v>0</v>
      </c>
      <c r="O1564" s="162" t="str">
        <f>IFERROR((-Tabela2[[#This Row],[CUSTO TOTAL]]+Tabela2[[#This Row],[VENDA TOTAL]])/Tabela2[[#This Row],[VENDA TOTAL]]-PARAMETROS!$C$19,"")</f>
        <v/>
      </c>
      <c r="AA1564" s="219">
        <f>SUM(Plan_Orc[[#This Row],[01/jan]:[01/dez]])</f>
        <v>0</v>
      </c>
      <c r="AB1564" s="15"/>
      <c r="AC1564" s="15"/>
      <c r="AD1564" s="15"/>
      <c r="AE1564" s="15"/>
      <c r="AF1564" s="15"/>
      <c r="AG1564" s="15"/>
      <c r="AH1564" s="15"/>
      <c r="AI1564" s="15"/>
      <c r="AJ1564" s="15"/>
      <c r="AK1564" s="15"/>
      <c r="AL1564" s="15"/>
      <c r="AM1564" s="15"/>
    </row>
    <row r="1565" spans="2:39" ht="25.2" customHeight="1" x14ac:dyDescent="0.3">
      <c r="B1565" s="13" t="str">
        <f t="shared" si="28"/>
        <v/>
      </c>
      <c r="C1565" s="18"/>
      <c r="D1565" s="19" t="str">
        <f>IF(Tabela2[[#This Row],[AGRUPADOR]]&lt;&gt;"",VLOOKUP(Tabela2[[#This Row],[AGRUPADOR]],Tabela1[],2,0),"")</f>
        <v/>
      </c>
      <c r="E1565" s="19" t="str">
        <f>IF(Tabela2[[#This Row],[AGRUPADOR]]&lt;&gt;"",VLOOKUP(Tabela2[[#This Row],[AGRUPADOR]],Tabela1[],4,0),"")</f>
        <v/>
      </c>
      <c r="F1565" s="14"/>
      <c r="G1565" s="6"/>
      <c r="H1565" s="6"/>
      <c r="I1565" s="25"/>
      <c r="J1565" s="7"/>
      <c r="K1565" s="15"/>
      <c r="L1565" s="379">
        <f>IF(H1565&lt;&gt;"",J1565*K1565,SUMIFS(L1566:L$9844,$F1566:$F$9844,"*"&amp;F1565&amp;"*",$H1566:$H$9844,"&lt;&gt;"))</f>
        <v>0</v>
      </c>
      <c r="M1565" s="379" t="str">
        <f>IF(Tabela2[[#This Row],[UNID.]]&lt;&gt;"",IFERROR(VLOOKUP(Tabela2[[#This Row],[AGRUPADOR]],Lucratividade!$D$4:$O$129,6,0),0),"")</f>
        <v/>
      </c>
      <c r="N1565" s="379">
        <f>IF(H1565&lt;&gt;"",J1565*M1565*I1565,SUMIFS(N1566:N$9844,$F1566:$F$9844,"*"&amp;F1565&amp;"*",$H1566:$H$9844,"&lt;&gt;"))</f>
        <v>0</v>
      </c>
      <c r="O1565" s="162" t="str">
        <f>IFERROR((-Tabela2[[#This Row],[CUSTO TOTAL]]+Tabela2[[#This Row],[VENDA TOTAL]])/Tabela2[[#This Row],[VENDA TOTAL]]-PARAMETROS!$C$19,"")</f>
        <v/>
      </c>
      <c r="AA1565" s="219">
        <f>SUM(Plan_Orc[[#This Row],[01/jan]:[01/dez]])</f>
        <v>0</v>
      </c>
      <c r="AB1565" s="15"/>
      <c r="AC1565" s="15"/>
      <c r="AD1565" s="15"/>
      <c r="AE1565" s="15"/>
      <c r="AF1565" s="15"/>
      <c r="AG1565" s="15"/>
      <c r="AH1565" s="15"/>
      <c r="AI1565" s="15"/>
      <c r="AJ1565" s="15"/>
      <c r="AK1565" s="15"/>
      <c r="AL1565" s="15"/>
      <c r="AM1565" s="15"/>
    </row>
    <row r="1566" spans="2:39" ht="25.2" customHeight="1" x14ac:dyDescent="0.3">
      <c r="B1566" s="13" t="str">
        <f t="shared" si="28"/>
        <v/>
      </c>
      <c r="C1566" s="18"/>
      <c r="D1566" s="19" t="str">
        <f>IF(Tabela2[[#This Row],[AGRUPADOR]]&lt;&gt;"",VLOOKUP(Tabela2[[#This Row],[AGRUPADOR]],Tabela1[],2,0),"")</f>
        <v/>
      </c>
      <c r="E1566" s="19" t="str">
        <f>IF(Tabela2[[#This Row],[AGRUPADOR]]&lt;&gt;"",VLOOKUP(Tabela2[[#This Row],[AGRUPADOR]],Tabela1[],4,0),"")</f>
        <v/>
      </c>
      <c r="F1566" s="14"/>
      <c r="G1566" s="6"/>
      <c r="H1566" s="6"/>
      <c r="I1566" s="25"/>
      <c r="J1566" s="7"/>
      <c r="K1566" s="15"/>
      <c r="L1566" s="379">
        <f>IF(H1566&lt;&gt;"",J1566*K1566,SUMIFS(L1567:L$9844,$F1567:$F$9844,"*"&amp;F1566&amp;"*",$H1567:$H$9844,"&lt;&gt;"))</f>
        <v>0</v>
      </c>
      <c r="M1566" s="379" t="str">
        <f>IF(Tabela2[[#This Row],[UNID.]]&lt;&gt;"",IFERROR(VLOOKUP(Tabela2[[#This Row],[AGRUPADOR]],Lucratividade!$D$4:$O$129,6,0),0),"")</f>
        <v/>
      </c>
      <c r="N1566" s="379">
        <f>IF(H1566&lt;&gt;"",J1566*M1566*I1566,SUMIFS(N1567:N$9844,$F1567:$F$9844,"*"&amp;F1566&amp;"*",$H1567:$H$9844,"&lt;&gt;"))</f>
        <v>0</v>
      </c>
      <c r="O1566" s="162" t="str">
        <f>IFERROR((-Tabela2[[#This Row],[CUSTO TOTAL]]+Tabela2[[#This Row],[VENDA TOTAL]])/Tabela2[[#This Row],[VENDA TOTAL]]-PARAMETROS!$C$19,"")</f>
        <v/>
      </c>
      <c r="AA1566" s="219">
        <f>SUM(Plan_Orc[[#This Row],[01/jan]:[01/dez]])</f>
        <v>0</v>
      </c>
      <c r="AB1566" s="15"/>
      <c r="AC1566" s="15"/>
      <c r="AD1566" s="15"/>
      <c r="AE1566" s="15"/>
      <c r="AF1566" s="15"/>
      <c r="AG1566" s="15"/>
      <c r="AH1566" s="15"/>
      <c r="AI1566" s="15"/>
      <c r="AJ1566" s="15"/>
      <c r="AK1566" s="15"/>
      <c r="AL1566" s="15"/>
      <c r="AM1566" s="15"/>
    </row>
    <row r="1567" spans="2:39" ht="25.2" customHeight="1" x14ac:dyDescent="0.3">
      <c r="B1567" s="13" t="str">
        <f t="shared" si="28"/>
        <v/>
      </c>
      <c r="C1567" s="18"/>
      <c r="D1567" s="19" t="str">
        <f>IF(Tabela2[[#This Row],[AGRUPADOR]]&lt;&gt;"",VLOOKUP(Tabela2[[#This Row],[AGRUPADOR]],Tabela1[],2,0),"")</f>
        <v/>
      </c>
      <c r="E1567" s="19" t="str">
        <f>IF(Tabela2[[#This Row],[AGRUPADOR]]&lt;&gt;"",VLOOKUP(Tabela2[[#This Row],[AGRUPADOR]],Tabela1[],4,0),"")</f>
        <v/>
      </c>
      <c r="F1567" s="14"/>
      <c r="G1567" s="6"/>
      <c r="H1567" s="6"/>
      <c r="I1567" s="25"/>
      <c r="J1567" s="7"/>
      <c r="K1567" s="15"/>
      <c r="L1567" s="379">
        <f>IF(H1567&lt;&gt;"",J1567*K1567,SUMIFS(L1568:L$9844,$F1568:$F$9844,"*"&amp;F1567&amp;"*",$H1568:$H$9844,"&lt;&gt;"))</f>
        <v>0</v>
      </c>
      <c r="M1567" s="379" t="str">
        <f>IF(Tabela2[[#This Row],[UNID.]]&lt;&gt;"",IFERROR(VLOOKUP(Tabela2[[#This Row],[AGRUPADOR]],Lucratividade!$D$4:$O$129,6,0),0),"")</f>
        <v/>
      </c>
      <c r="N1567" s="379">
        <f>IF(H1567&lt;&gt;"",J1567*M1567*I1567,SUMIFS(N1568:N$9844,$F1568:$F$9844,"*"&amp;F1567&amp;"*",$H1568:$H$9844,"&lt;&gt;"))</f>
        <v>0</v>
      </c>
      <c r="O1567" s="162" t="str">
        <f>IFERROR((-Tabela2[[#This Row],[CUSTO TOTAL]]+Tabela2[[#This Row],[VENDA TOTAL]])/Tabela2[[#This Row],[VENDA TOTAL]]-PARAMETROS!$C$19,"")</f>
        <v/>
      </c>
      <c r="AA1567" s="219">
        <f>SUM(Plan_Orc[[#This Row],[01/jan]:[01/dez]])</f>
        <v>0</v>
      </c>
      <c r="AB1567" s="15"/>
      <c r="AC1567" s="15"/>
      <c r="AD1567" s="15"/>
      <c r="AE1567" s="15"/>
      <c r="AF1567" s="15"/>
      <c r="AG1567" s="15"/>
      <c r="AH1567" s="15"/>
      <c r="AI1567" s="15"/>
      <c r="AJ1567" s="15"/>
      <c r="AK1567" s="15"/>
      <c r="AL1567" s="15"/>
      <c r="AM1567" s="15"/>
    </row>
    <row r="1568" spans="2:39" ht="25.2" customHeight="1" x14ac:dyDescent="0.3">
      <c r="B1568" s="13" t="str">
        <f t="shared" si="28"/>
        <v/>
      </c>
      <c r="C1568" s="18"/>
      <c r="D1568" s="19" t="str">
        <f>IF(Tabela2[[#This Row],[AGRUPADOR]]&lt;&gt;"",VLOOKUP(Tabela2[[#This Row],[AGRUPADOR]],Tabela1[],2,0),"")</f>
        <v/>
      </c>
      <c r="E1568" s="19" t="str">
        <f>IF(Tabela2[[#This Row],[AGRUPADOR]]&lt;&gt;"",VLOOKUP(Tabela2[[#This Row],[AGRUPADOR]],Tabela1[],4,0),"")</f>
        <v/>
      </c>
      <c r="F1568" s="14"/>
      <c r="G1568" s="6"/>
      <c r="H1568" s="6"/>
      <c r="I1568" s="25"/>
      <c r="J1568" s="7"/>
      <c r="K1568" s="15"/>
      <c r="L1568" s="379">
        <f>IF(H1568&lt;&gt;"",J1568*K1568,SUMIFS(L1569:L$9844,$F1569:$F$9844,"*"&amp;F1568&amp;"*",$H1569:$H$9844,"&lt;&gt;"))</f>
        <v>0</v>
      </c>
      <c r="M1568" s="379" t="str">
        <f>IF(Tabela2[[#This Row],[UNID.]]&lt;&gt;"",IFERROR(VLOOKUP(Tabela2[[#This Row],[AGRUPADOR]],Lucratividade!$D$4:$O$129,6,0),0),"")</f>
        <v/>
      </c>
      <c r="N1568" s="379">
        <f>IF(H1568&lt;&gt;"",J1568*M1568*I1568,SUMIFS(N1569:N$9844,$F1569:$F$9844,"*"&amp;F1568&amp;"*",$H1569:$H$9844,"&lt;&gt;"))</f>
        <v>0</v>
      </c>
      <c r="O1568" s="162" t="str">
        <f>IFERROR((-Tabela2[[#This Row],[CUSTO TOTAL]]+Tabela2[[#This Row],[VENDA TOTAL]])/Tabela2[[#This Row],[VENDA TOTAL]]-PARAMETROS!$C$19,"")</f>
        <v/>
      </c>
      <c r="AA1568" s="219">
        <f>SUM(Plan_Orc[[#This Row],[01/jan]:[01/dez]])</f>
        <v>0</v>
      </c>
      <c r="AB1568" s="15"/>
      <c r="AC1568" s="15"/>
      <c r="AD1568" s="15"/>
      <c r="AE1568" s="15"/>
      <c r="AF1568" s="15"/>
      <c r="AG1568" s="15"/>
      <c r="AH1568" s="15"/>
      <c r="AI1568" s="15"/>
      <c r="AJ1568" s="15"/>
      <c r="AK1568" s="15"/>
      <c r="AL1568" s="15"/>
      <c r="AM1568" s="15"/>
    </row>
    <row r="1569" spans="2:39" ht="25.2" customHeight="1" x14ac:dyDescent="0.3">
      <c r="B1569" s="13" t="str">
        <f t="shared" si="28"/>
        <v/>
      </c>
      <c r="C1569" s="18"/>
      <c r="D1569" s="19" t="str">
        <f>IF(Tabela2[[#This Row],[AGRUPADOR]]&lt;&gt;"",VLOOKUP(Tabela2[[#This Row],[AGRUPADOR]],Tabela1[],2,0),"")</f>
        <v/>
      </c>
      <c r="E1569" s="19" t="str">
        <f>IF(Tabela2[[#This Row],[AGRUPADOR]]&lt;&gt;"",VLOOKUP(Tabela2[[#This Row],[AGRUPADOR]],Tabela1[],4,0),"")</f>
        <v/>
      </c>
      <c r="F1569" s="14"/>
      <c r="G1569" s="6"/>
      <c r="H1569" s="6"/>
      <c r="I1569" s="25"/>
      <c r="J1569" s="7"/>
      <c r="K1569" s="15"/>
      <c r="L1569" s="379">
        <f>IF(H1569&lt;&gt;"",J1569*K1569,SUMIFS(L1570:L$9844,$F1570:$F$9844,"*"&amp;F1569&amp;"*",$H1570:$H$9844,"&lt;&gt;"))</f>
        <v>0</v>
      </c>
      <c r="M1569" s="379" t="str">
        <f>IF(Tabela2[[#This Row],[UNID.]]&lt;&gt;"",IFERROR(VLOOKUP(Tabela2[[#This Row],[AGRUPADOR]],Lucratividade!$D$4:$O$129,6,0),0),"")</f>
        <v/>
      </c>
      <c r="N1569" s="379">
        <f>IF(H1569&lt;&gt;"",J1569*M1569*I1569,SUMIFS(N1570:N$9844,$F1570:$F$9844,"*"&amp;F1569&amp;"*",$H1570:$H$9844,"&lt;&gt;"))</f>
        <v>0</v>
      </c>
      <c r="O1569" s="162" t="str">
        <f>IFERROR((-Tabela2[[#This Row],[CUSTO TOTAL]]+Tabela2[[#This Row],[VENDA TOTAL]])/Tabela2[[#This Row],[VENDA TOTAL]]-PARAMETROS!$C$19,"")</f>
        <v/>
      </c>
      <c r="AA1569" s="219">
        <f>SUM(Plan_Orc[[#This Row],[01/jan]:[01/dez]])</f>
        <v>0</v>
      </c>
      <c r="AB1569" s="15"/>
      <c r="AC1569" s="15"/>
      <c r="AD1569" s="15"/>
      <c r="AE1569" s="15"/>
      <c r="AF1569" s="15"/>
      <c r="AG1569" s="15"/>
      <c r="AH1569" s="15"/>
      <c r="AI1569" s="15"/>
      <c r="AJ1569" s="15"/>
      <c r="AK1569" s="15"/>
      <c r="AL1569" s="15"/>
      <c r="AM1569" s="15"/>
    </row>
    <row r="1570" spans="2:39" ht="25.2" customHeight="1" x14ac:dyDescent="0.3">
      <c r="B1570" s="13" t="str">
        <f t="shared" si="28"/>
        <v/>
      </c>
      <c r="C1570" s="18"/>
      <c r="D1570" s="19" t="str">
        <f>IF(Tabela2[[#This Row],[AGRUPADOR]]&lt;&gt;"",VLOOKUP(Tabela2[[#This Row],[AGRUPADOR]],Tabela1[],2,0),"")</f>
        <v/>
      </c>
      <c r="E1570" s="19" t="str">
        <f>IF(Tabela2[[#This Row],[AGRUPADOR]]&lt;&gt;"",VLOOKUP(Tabela2[[#This Row],[AGRUPADOR]],Tabela1[],4,0),"")</f>
        <v/>
      </c>
      <c r="F1570" s="14"/>
      <c r="G1570" s="6"/>
      <c r="H1570" s="6"/>
      <c r="I1570" s="25"/>
      <c r="J1570" s="7"/>
      <c r="K1570" s="15"/>
      <c r="L1570" s="379">
        <f>IF(H1570&lt;&gt;"",J1570*K1570,SUMIFS(L1571:L$9844,$F1571:$F$9844,"*"&amp;F1570&amp;"*",$H1571:$H$9844,"&lt;&gt;"))</f>
        <v>0</v>
      </c>
      <c r="M1570" s="379" t="str">
        <f>IF(Tabela2[[#This Row],[UNID.]]&lt;&gt;"",IFERROR(VLOOKUP(Tabela2[[#This Row],[AGRUPADOR]],Lucratividade!$D$4:$O$129,6,0),0),"")</f>
        <v/>
      </c>
      <c r="N1570" s="379">
        <f>IF(H1570&lt;&gt;"",J1570*M1570*I1570,SUMIFS(N1571:N$9844,$F1571:$F$9844,"*"&amp;F1570&amp;"*",$H1571:$H$9844,"&lt;&gt;"))</f>
        <v>0</v>
      </c>
      <c r="O1570" s="162" t="str">
        <f>IFERROR((-Tabela2[[#This Row],[CUSTO TOTAL]]+Tabela2[[#This Row],[VENDA TOTAL]])/Tabela2[[#This Row],[VENDA TOTAL]]-PARAMETROS!$C$19,"")</f>
        <v/>
      </c>
      <c r="AA1570" s="219">
        <f>SUM(Plan_Orc[[#This Row],[01/jan]:[01/dez]])</f>
        <v>0</v>
      </c>
      <c r="AB1570" s="15"/>
      <c r="AC1570" s="15"/>
      <c r="AD1570" s="15"/>
      <c r="AE1570" s="15"/>
      <c r="AF1570" s="15"/>
      <c r="AG1570" s="15"/>
      <c r="AH1570" s="15"/>
      <c r="AI1570" s="15"/>
      <c r="AJ1570" s="15"/>
      <c r="AK1570" s="15"/>
      <c r="AL1570" s="15"/>
      <c r="AM1570" s="15"/>
    </row>
    <row r="1571" spans="2:39" ht="25.2" customHeight="1" x14ac:dyDescent="0.3">
      <c r="B1571" s="13" t="str">
        <f t="shared" si="28"/>
        <v/>
      </c>
      <c r="C1571" s="18"/>
      <c r="D1571" s="19" t="str">
        <f>IF(Tabela2[[#This Row],[AGRUPADOR]]&lt;&gt;"",VLOOKUP(Tabela2[[#This Row],[AGRUPADOR]],Tabela1[],2,0),"")</f>
        <v/>
      </c>
      <c r="E1571" s="19" t="str">
        <f>IF(Tabela2[[#This Row],[AGRUPADOR]]&lt;&gt;"",VLOOKUP(Tabela2[[#This Row],[AGRUPADOR]],Tabela1[],4,0),"")</f>
        <v/>
      </c>
      <c r="F1571" s="14"/>
      <c r="G1571" s="6"/>
      <c r="H1571" s="6"/>
      <c r="I1571" s="25"/>
      <c r="J1571" s="7"/>
      <c r="K1571" s="15"/>
      <c r="L1571" s="379">
        <f>IF(H1571&lt;&gt;"",J1571*K1571,SUMIFS(L1572:L$9844,$F1572:$F$9844,"*"&amp;F1571&amp;"*",$H1572:$H$9844,"&lt;&gt;"))</f>
        <v>0</v>
      </c>
      <c r="M1571" s="379" t="str">
        <f>IF(Tabela2[[#This Row],[UNID.]]&lt;&gt;"",IFERROR(VLOOKUP(Tabela2[[#This Row],[AGRUPADOR]],Lucratividade!$D$4:$O$129,6,0),0),"")</f>
        <v/>
      </c>
      <c r="N1571" s="379">
        <f>IF(H1571&lt;&gt;"",J1571*M1571*I1571,SUMIFS(N1572:N$9844,$F1572:$F$9844,"*"&amp;F1571&amp;"*",$H1572:$H$9844,"&lt;&gt;"))</f>
        <v>0</v>
      </c>
      <c r="O1571" s="162" t="str">
        <f>IFERROR((-Tabela2[[#This Row],[CUSTO TOTAL]]+Tabela2[[#This Row],[VENDA TOTAL]])/Tabela2[[#This Row],[VENDA TOTAL]]-PARAMETROS!$C$19,"")</f>
        <v/>
      </c>
      <c r="AA1571" s="219">
        <f>SUM(Plan_Orc[[#This Row],[01/jan]:[01/dez]])</f>
        <v>0</v>
      </c>
      <c r="AB1571" s="15"/>
      <c r="AC1571" s="15"/>
      <c r="AD1571" s="15"/>
      <c r="AE1571" s="15"/>
      <c r="AF1571" s="15"/>
      <c r="AG1571" s="15"/>
      <c r="AH1571" s="15"/>
      <c r="AI1571" s="15"/>
      <c r="AJ1571" s="15"/>
      <c r="AK1571" s="15"/>
      <c r="AL1571" s="15"/>
      <c r="AM1571" s="15"/>
    </row>
    <row r="1572" spans="2:39" ht="25.2" customHeight="1" x14ac:dyDescent="0.3">
      <c r="B1572" s="13" t="str">
        <f t="shared" si="28"/>
        <v/>
      </c>
      <c r="C1572" s="18"/>
      <c r="D1572" s="19" t="str">
        <f>IF(Tabela2[[#This Row],[AGRUPADOR]]&lt;&gt;"",VLOOKUP(Tabela2[[#This Row],[AGRUPADOR]],Tabela1[],2,0),"")</f>
        <v/>
      </c>
      <c r="E1572" s="19" t="str">
        <f>IF(Tabela2[[#This Row],[AGRUPADOR]]&lt;&gt;"",VLOOKUP(Tabela2[[#This Row],[AGRUPADOR]],Tabela1[],4,0),"")</f>
        <v/>
      </c>
      <c r="F1572" s="14"/>
      <c r="G1572" s="6"/>
      <c r="H1572" s="6"/>
      <c r="I1572" s="25"/>
      <c r="J1572" s="7"/>
      <c r="K1572" s="15"/>
      <c r="L1572" s="379">
        <f>IF(H1572&lt;&gt;"",J1572*K1572,SUMIFS(L1573:L$9844,$F1573:$F$9844,"*"&amp;F1572&amp;"*",$H1573:$H$9844,"&lt;&gt;"))</f>
        <v>0</v>
      </c>
      <c r="M1572" s="379" t="str">
        <f>IF(Tabela2[[#This Row],[UNID.]]&lt;&gt;"",IFERROR(VLOOKUP(Tabela2[[#This Row],[AGRUPADOR]],Lucratividade!$D$4:$O$129,6,0),0),"")</f>
        <v/>
      </c>
      <c r="N1572" s="379">
        <f>IF(H1572&lt;&gt;"",J1572*M1572*I1572,SUMIFS(N1573:N$9844,$F1573:$F$9844,"*"&amp;F1572&amp;"*",$H1573:$H$9844,"&lt;&gt;"))</f>
        <v>0</v>
      </c>
      <c r="O1572" s="162" t="str">
        <f>IFERROR((-Tabela2[[#This Row],[CUSTO TOTAL]]+Tabela2[[#This Row],[VENDA TOTAL]])/Tabela2[[#This Row],[VENDA TOTAL]]-PARAMETROS!$C$19,"")</f>
        <v/>
      </c>
      <c r="AA1572" s="219">
        <f>SUM(Plan_Orc[[#This Row],[01/jan]:[01/dez]])</f>
        <v>0</v>
      </c>
      <c r="AB1572" s="15"/>
      <c r="AC1572" s="15"/>
      <c r="AD1572" s="15"/>
      <c r="AE1572" s="15"/>
      <c r="AF1572" s="15"/>
      <c r="AG1572" s="15"/>
      <c r="AH1572" s="15"/>
      <c r="AI1572" s="15"/>
      <c r="AJ1572" s="15"/>
      <c r="AK1572" s="15"/>
      <c r="AL1572" s="15"/>
      <c r="AM1572" s="15"/>
    </row>
    <row r="1573" spans="2:39" ht="25.2" customHeight="1" x14ac:dyDescent="0.3">
      <c r="B1573" s="13" t="str">
        <f t="shared" si="28"/>
        <v/>
      </c>
      <c r="C1573" s="18"/>
      <c r="D1573" s="19" t="str">
        <f>IF(Tabela2[[#This Row],[AGRUPADOR]]&lt;&gt;"",VLOOKUP(Tabela2[[#This Row],[AGRUPADOR]],Tabela1[],2,0),"")</f>
        <v/>
      </c>
      <c r="E1573" s="19" t="str">
        <f>IF(Tabela2[[#This Row],[AGRUPADOR]]&lt;&gt;"",VLOOKUP(Tabela2[[#This Row],[AGRUPADOR]],Tabela1[],4,0),"")</f>
        <v/>
      </c>
      <c r="F1573" s="14"/>
      <c r="G1573" s="6"/>
      <c r="H1573" s="6"/>
      <c r="I1573" s="25"/>
      <c r="J1573" s="7"/>
      <c r="K1573" s="15"/>
      <c r="L1573" s="379">
        <f>IF(H1573&lt;&gt;"",J1573*K1573,SUMIFS(L1574:L$9844,$F1574:$F$9844,"*"&amp;F1573&amp;"*",$H1574:$H$9844,"&lt;&gt;"))</f>
        <v>0</v>
      </c>
      <c r="M1573" s="379" t="str">
        <f>IF(Tabela2[[#This Row],[UNID.]]&lt;&gt;"",IFERROR(VLOOKUP(Tabela2[[#This Row],[AGRUPADOR]],Lucratividade!$D$4:$O$129,6,0),0),"")</f>
        <v/>
      </c>
      <c r="N1573" s="379">
        <f>IF(H1573&lt;&gt;"",J1573*M1573*I1573,SUMIFS(N1574:N$9844,$F1574:$F$9844,"*"&amp;F1573&amp;"*",$H1574:$H$9844,"&lt;&gt;"))</f>
        <v>0</v>
      </c>
      <c r="O1573" s="162" t="str">
        <f>IFERROR((-Tabela2[[#This Row],[CUSTO TOTAL]]+Tabela2[[#This Row],[VENDA TOTAL]])/Tabela2[[#This Row],[VENDA TOTAL]]-PARAMETROS!$C$19,"")</f>
        <v/>
      </c>
      <c r="AA1573" s="218">
        <f>SUM(Plan_Orc[[#This Row],[01/jan]:[01/dez]])</f>
        <v>0</v>
      </c>
      <c r="AB1573" s="12"/>
      <c r="AC1573" s="12"/>
      <c r="AD1573" s="12"/>
      <c r="AE1573" s="12"/>
      <c r="AF1573" s="12"/>
      <c r="AG1573" s="12"/>
      <c r="AH1573" s="12"/>
      <c r="AI1573" s="12"/>
      <c r="AJ1573" s="12"/>
      <c r="AK1573" s="12"/>
      <c r="AL1573" s="12"/>
      <c r="AM1573" s="12"/>
    </row>
    <row r="1574" spans="2:39" ht="25.2" customHeight="1" x14ac:dyDescent="0.3">
      <c r="B1574" s="13" t="str">
        <f t="shared" si="28"/>
        <v/>
      </c>
      <c r="C1574" s="18"/>
      <c r="D1574" s="19" t="str">
        <f>IF(Tabela2[[#This Row],[AGRUPADOR]]&lt;&gt;"",VLOOKUP(Tabela2[[#This Row],[AGRUPADOR]],Tabela1[],2,0),"")</f>
        <v/>
      </c>
      <c r="E1574" s="19" t="str">
        <f>IF(Tabela2[[#This Row],[AGRUPADOR]]&lt;&gt;"",VLOOKUP(Tabela2[[#This Row],[AGRUPADOR]],Tabela1[],4,0),"")</f>
        <v/>
      </c>
      <c r="F1574" s="14"/>
      <c r="G1574" s="6"/>
      <c r="H1574" s="6"/>
      <c r="I1574" s="25"/>
      <c r="J1574" s="7"/>
      <c r="K1574" s="15"/>
      <c r="L1574" s="379">
        <f>IF(H1574&lt;&gt;"",J1574*K1574,SUMIFS(L1575:L$9844,$F1575:$F$9844,"*"&amp;F1574&amp;"*",$H1575:$H$9844,"&lt;&gt;"))</f>
        <v>0</v>
      </c>
      <c r="M1574" s="379" t="str">
        <f>IF(Tabela2[[#This Row],[UNID.]]&lt;&gt;"",IFERROR(VLOOKUP(Tabela2[[#This Row],[AGRUPADOR]],Lucratividade!$D$4:$O$129,6,0),0),"")</f>
        <v/>
      </c>
      <c r="N1574" s="379">
        <f>IF(H1574&lt;&gt;"",J1574*M1574*I1574,SUMIFS(N1575:N$9844,$F1575:$F$9844,"*"&amp;F1574&amp;"*",$H1575:$H$9844,"&lt;&gt;"))</f>
        <v>0</v>
      </c>
      <c r="O1574" s="162" t="str">
        <f>IFERROR((-Tabela2[[#This Row],[CUSTO TOTAL]]+Tabela2[[#This Row],[VENDA TOTAL]])/Tabela2[[#This Row],[VENDA TOTAL]]-PARAMETROS!$C$19,"")</f>
        <v/>
      </c>
      <c r="AA1574" s="219">
        <f>SUM(Plan_Orc[[#This Row],[01/jan]:[01/dez]])</f>
        <v>0</v>
      </c>
      <c r="AB1574" s="15"/>
      <c r="AC1574" s="15"/>
      <c r="AD1574" s="15"/>
      <c r="AE1574" s="15"/>
      <c r="AF1574" s="15"/>
      <c r="AG1574" s="15"/>
      <c r="AH1574" s="15"/>
      <c r="AI1574" s="15"/>
      <c r="AJ1574" s="15"/>
      <c r="AK1574" s="15"/>
      <c r="AL1574" s="15"/>
      <c r="AM1574" s="15"/>
    </row>
    <row r="1575" spans="2:39" ht="25.2" customHeight="1" x14ac:dyDescent="0.3">
      <c r="B1575" s="13" t="str">
        <f t="shared" si="28"/>
        <v/>
      </c>
      <c r="C1575" s="18"/>
      <c r="D1575" s="19" t="str">
        <f>IF(Tabela2[[#This Row],[AGRUPADOR]]&lt;&gt;"",VLOOKUP(Tabela2[[#This Row],[AGRUPADOR]],Tabela1[],2,0),"")</f>
        <v/>
      </c>
      <c r="E1575" s="19" t="str">
        <f>IF(Tabela2[[#This Row],[AGRUPADOR]]&lt;&gt;"",VLOOKUP(Tabela2[[#This Row],[AGRUPADOR]],Tabela1[],4,0),"")</f>
        <v/>
      </c>
      <c r="F1575" s="14"/>
      <c r="G1575" s="6"/>
      <c r="H1575" s="6"/>
      <c r="I1575" s="25"/>
      <c r="J1575" s="7"/>
      <c r="K1575" s="15"/>
      <c r="L1575" s="379">
        <f>IF(H1575&lt;&gt;"",J1575*K1575,SUMIFS(L1576:L$9844,$F1576:$F$9844,"*"&amp;F1575&amp;"*",$H1576:$H$9844,"&lt;&gt;"))</f>
        <v>0</v>
      </c>
      <c r="M1575" s="379" t="str">
        <f>IF(Tabela2[[#This Row],[UNID.]]&lt;&gt;"",IFERROR(VLOOKUP(Tabela2[[#This Row],[AGRUPADOR]],Lucratividade!$D$4:$O$129,6,0),0),"")</f>
        <v/>
      </c>
      <c r="N1575" s="379">
        <f>IF(H1575&lt;&gt;"",J1575*M1575*I1575,SUMIFS(N1576:N$9844,$F1576:$F$9844,"*"&amp;F1575&amp;"*",$H1576:$H$9844,"&lt;&gt;"))</f>
        <v>0</v>
      </c>
      <c r="O1575" s="162" t="str">
        <f>IFERROR((-Tabela2[[#This Row],[CUSTO TOTAL]]+Tabela2[[#This Row],[VENDA TOTAL]])/Tabela2[[#This Row],[VENDA TOTAL]]-PARAMETROS!$C$19,"")</f>
        <v/>
      </c>
      <c r="AA1575" s="219">
        <f>SUM(Plan_Orc[[#This Row],[01/jan]:[01/dez]])</f>
        <v>0</v>
      </c>
      <c r="AB1575" s="15"/>
      <c r="AC1575" s="15"/>
      <c r="AD1575" s="15"/>
      <c r="AE1575" s="15"/>
      <c r="AF1575" s="15"/>
      <c r="AG1575" s="15"/>
      <c r="AH1575" s="15"/>
      <c r="AI1575" s="15"/>
      <c r="AJ1575" s="15"/>
      <c r="AK1575" s="15"/>
      <c r="AL1575" s="15"/>
      <c r="AM1575" s="15"/>
    </row>
    <row r="1576" spans="2:39" ht="25.2" customHeight="1" x14ac:dyDescent="0.3">
      <c r="B1576" s="13" t="str">
        <f t="shared" si="28"/>
        <v/>
      </c>
      <c r="C1576" s="18"/>
      <c r="D1576" s="19" t="str">
        <f>IF(Tabela2[[#This Row],[AGRUPADOR]]&lt;&gt;"",VLOOKUP(Tabela2[[#This Row],[AGRUPADOR]],Tabela1[],2,0),"")</f>
        <v/>
      </c>
      <c r="E1576" s="19" t="str">
        <f>IF(Tabela2[[#This Row],[AGRUPADOR]]&lt;&gt;"",VLOOKUP(Tabela2[[#This Row],[AGRUPADOR]],Tabela1[],4,0),"")</f>
        <v/>
      </c>
      <c r="F1576" s="14"/>
      <c r="G1576" s="6"/>
      <c r="H1576" s="6"/>
      <c r="I1576" s="25"/>
      <c r="J1576" s="7"/>
      <c r="K1576" s="15"/>
      <c r="L1576" s="379">
        <f>IF(H1576&lt;&gt;"",J1576*K1576,SUMIFS(L1577:L$9844,$F1577:$F$9844,"*"&amp;F1576&amp;"*",$H1577:$H$9844,"&lt;&gt;"))</f>
        <v>0</v>
      </c>
      <c r="M1576" s="379" t="str">
        <f>IF(Tabela2[[#This Row],[UNID.]]&lt;&gt;"",IFERROR(VLOOKUP(Tabela2[[#This Row],[AGRUPADOR]],Lucratividade!$D$4:$O$129,6,0),0),"")</f>
        <v/>
      </c>
      <c r="N1576" s="379">
        <f>IF(H1576&lt;&gt;"",J1576*M1576*I1576,SUMIFS(N1577:N$9844,$F1577:$F$9844,"*"&amp;F1576&amp;"*",$H1577:$H$9844,"&lt;&gt;"))</f>
        <v>0</v>
      </c>
      <c r="O1576" s="162" t="str">
        <f>IFERROR((-Tabela2[[#This Row],[CUSTO TOTAL]]+Tabela2[[#This Row],[VENDA TOTAL]])/Tabela2[[#This Row],[VENDA TOTAL]]-PARAMETROS!$C$19,"")</f>
        <v/>
      </c>
      <c r="AA1576" s="219">
        <f>SUM(Plan_Orc[[#This Row],[01/jan]:[01/dez]])</f>
        <v>0</v>
      </c>
      <c r="AB1576" s="15"/>
      <c r="AC1576" s="15"/>
      <c r="AD1576" s="15"/>
      <c r="AE1576" s="15"/>
      <c r="AF1576" s="15"/>
      <c r="AG1576" s="15"/>
      <c r="AH1576" s="15"/>
      <c r="AI1576" s="15"/>
      <c r="AJ1576" s="15"/>
      <c r="AK1576" s="15"/>
      <c r="AL1576" s="15"/>
      <c r="AM1576" s="15"/>
    </row>
    <row r="1577" spans="2:39" ht="25.2" customHeight="1" x14ac:dyDescent="0.3">
      <c r="B1577" s="13" t="str">
        <f t="shared" si="28"/>
        <v/>
      </c>
      <c r="C1577" s="18"/>
      <c r="D1577" s="19" t="str">
        <f>IF(Tabela2[[#This Row],[AGRUPADOR]]&lt;&gt;"",VLOOKUP(Tabela2[[#This Row],[AGRUPADOR]],Tabela1[],2,0),"")</f>
        <v/>
      </c>
      <c r="E1577" s="19" t="str">
        <f>IF(Tabela2[[#This Row],[AGRUPADOR]]&lt;&gt;"",VLOOKUP(Tabela2[[#This Row],[AGRUPADOR]],Tabela1[],4,0),"")</f>
        <v/>
      </c>
      <c r="F1577" s="14"/>
      <c r="G1577" s="6"/>
      <c r="H1577" s="6"/>
      <c r="I1577" s="25"/>
      <c r="J1577" s="7"/>
      <c r="K1577" s="15"/>
      <c r="L1577" s="379">
        <f>IF(H1577&lt;&gt;"",J1577*K1577,SUMIFS(L1578:L$9844,$F1578:$F$9844,"*"&amp;F1577&amp;"*",$H1578:$H$9844,"&lt;&gt;"))</f>
        <v>0</v>
      </c>
      <c r="M1577" s="379" t="str">
        <f>IF(Tabela2[[#This Row],[UNID.]]&lt;&gt;"",IFERROR(VLOOKUP(Tabela2[[#This Row],[AGRUPADOR]],Lucratividade!$D$4:$O$129,6,0),0),"")</f>
        <v/>
      </c>
      <c r="N1577" s="379">
        <f>IF(H1577&lt;&gt;"",J1577*M1577*I1577,SUMIFS(N1578:N$9844,$F1578:$F$9844,"*"&amp;F1577&amp;"*",$H1578:$H$9844,"&lt;&gt;"))</f>
        <v>0</v>
      </c>
      <c r="O1577" s="162" t="str">
        <f>IFERROR((-Tabela2[[#This Row],[CUSTO TOTAL]]+Tabela2[[#This Row],[VENDA TOTAL]])/Tabela2[[#This Row],[VENDA TOTAL]]-PARAMETROS!$C$19,"")</f>
        <v/>
      </c>
      <c r="AA1577" s="219">
        <f>SUM(Plan_Orc[[#This Row],[01/jan]:[01/dez]])</f>
        <v>0</v>
      </c>
      <c r="AB1577" s="15"/>
      <c r="AC1577" s="15"/>
      <c r="AD1577" s="15"/>
      <c r="AE1577" s="15"/>
      <c r="AF1577" s="15"/>
      <c r="AG1577" s="15"/>
      <c r="AH1577" s="15"/>
      <c r="AI1577" s="15"/>
      <c r="AJ1577" s="15"/>
      <c r="AK1577" s="15"/>
      <c r="AL1577" s="15"/>
      <c r="AM1577" s="15"/>
    </row>
    <row r="1578" spans="2:39" ht="25.2" customHeight="1" x14ac:dyDescent="0.3">
      <c r="B1578" s="13" t="str">
        <f t="shared" si="28"/>
        <v/>
      </c>
      <c r="C1578" s="18"/>
      <c r="D1578" s="19" t="str">
        <f>IF(Tabela2[[#This Row],[AGRUPADOR]]&lt;&gt;"",VLOOKUP(Tabela2[[#This Row],[AGRUPADOR]],Tabela1[],2,0),"")</f>
        <v/>
      </c>
      <c r="E1578" s="19" t="str">
        <f>IF(Tabela2[[#This Row],[AGRUPADOR]]&lt;&gt;"",VLOOKUP(Tabela2[[#This Row],[AGRUPADOR]],Tabela1[],4,0),"")</f>
        <v/>
      </c>
      <c r="F1578" s="14"/>
      <c r="G1578" s="6"/>
      <c r="H1578" s="6"/>
      <c r="I1578" s="25"/>
      <c r="J1578" s="7"/>
      <c r="K1578" s="15"/>
      <c r="L1578" s="379">
        <f>IF(H1578&lt;&gt;"",J1578*K1578,SUMIFS(L1579:L$9844,$F1579:$F$9844,"*"&amp;F1578&amp;"*",$H1579:$H$9844,"&lt;&gt;"))</f>
        <v>0</v>
      </c>
      <c r="M1578" s="379" t="str">
        <f>IF(Tabela2[[#This Row],[UNID.]]&lt;&gt;"",IFERROR(VLOOKUP(Tabela2[[#This Row],[AGRUPADOR]],Lucratividade!$D$4:$O$129,6,0),0),"")</f>
        <v/>
      </c>
      <c r="N1578" s="379">
        <f>IF(H1578&lt;&gt;"",J1578*M1578*I1578,SUMIFS(N1579:N$9844,$F1579:$F$9844,"*"&amp;F1578&amp;"*",$H1579:$H$9844,"&lt;&gt;"))</f>
        <v>0</v>
      </c>
      <c r="O1578" s="162" t="str">
        <f>IFERROR((-Tabela2[[#This Row],[CUSTO TOTAL]]+Tabela2[[#This Row],[VENDA TOTAL]])/Tabela2[[#This Row],[VENDA TOTAL]]-PARAMETROS!$C$19,"")</f>
        <v/>
      </c>
      <c r="AA1578" s="219">
        <f>SUM(Plan_Orc[[#This Row],[01/jan]:[01/dez]])</f>
        <v>0</v>
      </c>
      <c r="AB1578" s="15"/>
      <c r="AC1578" s="15"/>
      <c r="AD1578" s="15"/>
      <c r="AE1578" s="15"/>
      <c r="AF1578" s="15"/>
      <c r="AG1578" s="15"/>
      <c r="AH1578" s="15"/>
      <c r="AI1578" s="15"/>
      <c r="AJ1578" s="15"/>
      <c r="AK1578" s="15"/>
      <c r="AL1578" s="15"/>
      <c r="AM1578" s="15"/>
    </row>
    <row r="1579" spans="2:39" ht="25.2" customHeight="1" x14ac:dyDescent="0.3">
      <c r="B1579" s="13" t="str">
        <f t="shared" si="28"/>
        <v/>
      </c>
      <c r="C1579" s="18"/>
      <c r="D1579" s="19" t="str">
        <f>IF(Tabela2[[#This Row],[AGRUPADOR]]&lt;&gt;"",VLOOKUP(Tabela2[[#This Row],[AGRUPADOR]],Tabela1[],2,0),"")</f>
        <v/>
      </c>
      <c r="E1579" s="19" t="str">
        <f>IF(Tabela2[[#This Row],[AGRUPADOR]]&lt;&gt;"",VLOOKUP(Tabela2[[#This Row],[AGRUPADOR]],Tabela1[],4,0),"")</f>
        <v/>
      </c>
      <c r="F1579" s="14"/>
      <c r="G1579" s="6"/>
      <c r="H1579" s="6"/>
      <c r="I1579" s="25"/>
      <c r="J1579" s="7"/>
      <c r="K1579" s="15"/>
      <c r="L1579" s="379">
        <f>IF(H1579&lt;&gt;"",J1579*K1579,SUMIFS(L1580:L$9844,$F1580:$F$9844,"*"&amp;F1579&amp;"*",$H1580:$H$9844,"&lt;&gt;"))</f>
        <v>0</v>
      </c>
      <c r="M1579" s="379" t="str">
        <f>IF(Tabela2[[#This Row],[UNID.]]&lt;&gt;"",IFERROR(VLOOKUP(Tabela2[[#This Row],[AGRUPADOR]],Lucratividade!$D$4:$O$129,6,0),0),"")</f>
        <v/>
      </c>
      <c r="N1579" s="379">
        <f>IF(H1579&lt;&gt;"",J1579*M1579*I1579,SUMIFS(N1580:N$9844,$F1580:$F$9844,"*"&amp;F1579&amp;"*",$H1580:$H$9844,"&lt;&gt;"))</f>
        <v>0</v>
      </c>
      <c r="O1579" s="162" t="str">
        <f>IFERROR((-Tabela2[[#This Row],[CUSTO TOTAL]]+Tabela2[[#This Row],[VENDA TOTAL]])/Tabela2[[#This Row],[VENDA TOTAL]]-PARAMETROS!$C$19,"")</f>
        <v/>
      </c>
      <c r="AA1579" s="219">
        <f>SUM(Plan_Orc[[#This Row],[01/jan]:[01/dez]])</f>
        <v>0</v>
      </c>
      <c r="AB1579" s="15"/>
      <c r="AC1579" s="15"/>
      <c r="AD1579" s="15"/>
      <c r="AE1579" s="15"/>
      <c r="AF1579" s="15"/>
      <c r="AG1579" s="15"/>
      <c r="AH1579" s="15"/>
      <c r="AI1579" s="15"/>
      <c r="AJ1579" s="15"/>
      <c r="AK1579" s="15"/>
      <c r="AL1579" s="15"/>
      <c r="AM1579" s="15"/>
    </row>
    <row r="1580" spans="2:39" ht="25.2" customHeight="1" x14ac:dyDescent="0.3">
      <c r="B1580" s="13" t="str">
        <f t="shared" si="28"/>
        <v/>
      </c>
      <c r="C1580" s="18"/>
      <c r="D1580" s="19" t="str">
        <f>IF(Tabela2[[#This Row],[AGRUPADOR]]&lt;&gt;"",VLOOKUP(Tabela2[[#This Row],[AGRUPADOR]],Tabela1[],2,0),"")</f>
        <v/>
      </c>
      <c r="E1580" s="19" t="str">
        <f>IF(Tabela2[[#This Row],[AGRUPADOR]]&lt;&gt;"",VLOOKUP(Tabela2[[#This Row],[AGRUPADOR]],Tabela1[],4,0),"")</f>
        <v/>
      </c>
      <c r="F1580" s="14"/>
      <c r="G1580" s="6"/>
      <c r="H1580" s="6"/>
      <c r="I1580" s="25"/>
      <c r="J1580" s="7"/>
      <c r="K1580" s="15"/>
      <c r="L1580" s="379">
        <f>IF(H1580&lt;&gt;"",J1580*K1580,SUMIFS(L1581:L$9844,$F1581:$F$9844,"*"&amp;F1580&amp;"*",$H1581:$H$9844,"&lt;&gt;"))</f>
        <v>0</v>
      </c>
      <c r="M1580" s="379" t="str">
        <f>IF(Tabela2[[#This Row],[UNID.]]&lt;&gt;"",IFERROR(VLOOKUP(Tabela2[[#This Row],[AGRUPADOR]],Lucratividade!$D$4:$O$129,6,0),0),"")</f>
        <v/>
      </c>
      <c r="N1580" s="379">
        <f>IF(H1580&lt;&gt;"",J1580*M1580*I1580,SUMIFS(N1581:N$9844,$F1581:$F$9844,"*"&amp;F1580&amp;"*",$H1581:$H$9844,"&lt;&gt;"))</f>
        <v>0</v>
      </c>
      <c r="O1580" s="162" t="str">
        <f>IFERROR((-Tabela2[[#This Row],[CUSTO TOTAL]]+Tabela2[[#This Row],[VENDA TOTAL]])/Tabela2[[#This Row],[VENDA TOTAL]]-PARAMETROS!$C$19,"")</f>
        <v/>
      </c>
      <c r="AA1580" s="219">
        <f>SUM(Plan_Orc[[#This Row],[01/jan]:[01/dez]])</f>
        <v>0</v>
      </c>
      <c r="AB1580" s="15"/>
      <c r="AC1580" s="15"/>
      <c r="AD1580" s="15"/>
      <c r="AE1580" s="15"/>
      <c r="AF1580" s="15"/>
      <c r="AG1580" s="15"/>
      <c r="AH1580" s="15"/>
      <c r="AI1580" s="15"/>
      <c r="AJ1580" s="15"/>
      <c r="AK1580" s="15"/>
      <c r="AL1580" s="15"/>
      <c r="AM1580" s="15"/>
    </row>
    <row r="1581" spans="2:39" ht="25.2" customHeight="1" x14ac:dyDescent="0.3">
      <c r="B1581" s="13" t="str">
        <f t="shared" si="28"/>
        <v/>
      </c>
      <c r="C1581" s="18"/>
      <c r="D1581" s="19" t="str">
        <f>IF(Tabela2[[#This Row],[AGRUPADOR]]&lt;&gt;"",VLOOKUP(Tabela2[[#This Row],[AGRUPADOR]],Tabela1[],2,0),"")</f>
        <v/>
      </c>
      <c r="E1581" s="19" t="str">
        <f>IF(Tabela2[[#This Row],[AGRUPADOR]]&lt;&gt;"",VLOOKUP(Tabela2[[#This Row],[AGRUPADOR]],Tabela1[],4,0),"")</f>
        <v/>
      </c>
      <c r="F1581" s="14"/>
      <c r="G1581" s="6"/>
      <c r="H1581" s="6"/>
      <c r="I1581" s="25"/>
      <c r="J1581" s="7"/>
      <c r="K1581" s="15"/>
      <c r="L1581" s="379">
        <f>IF(H1581&lt;&gt;"",J1581*K1581,SUMIFS(L1582:L$9844,$F1582:$F$9844,"*"&amp;F1581&amp;"*",$H1582:$H$9844,"&lt;&gt;"))</f>
        <v>0</v>
      </c>
      <c r="M1581" s="379" t="str">
        <f>IF(Tabela2[[#This Row],[UNID.]]&lt;&gt;"",IFERROR(VLOOKUP(Tabela2[[#This Row],[AGRUPADOR]],Lucratividade!$D$4:$O$129,6,0),0),"")</f>
        <v/>
      </c>
      <c r="N1581" s="379">
        <f>IF(H1581&lt;&gt;"",J1581*M1581*I1581,SUMIFS(N1582:N$9844,$F1582:$F$9844,"*"&amp;F1581&amp;"*",$H1582:$H$9844,"&lt;&gt;"))</f>
        <v>0</v>
      </c>
      <c r="O1581" s="162" t="str">
        <f>IFERROR((-Tabela2[[#This Row],[CUSTO TOTAL]]+Tabela2[[#This Row],[VENDA TOTAL]])/Tabela2[[#This Row],[VENDA TOTAL]]-PARAMETROS!$C$19,"")</f>
        <v/>
      </c>
      <c r="AA1581" s="219">
        <f>SUM(Plan_Orc[[#This Row],[01/jan]:[01/dez]])</f>
        <v>0</v>
      </c>
      <c r="AB1581" s="15"/>
      <c r="AC1581" s="15"/>
      <c r="AD1581" s="15"/>
      <c r="AE1581" s="15"/>
      <c r="AF1581" s="15"/>
      <c r="AG1581" s="15"/>
      <c r="AH1581" s="15"/>
      <c r="AI1581" s="15"/>
      <c r="AJ1581" s="15"/>
      <c r="AK1581" s="15"/>
      <c r="AL1581" s="15"/>
      <c r="AM1581" s="15"/>
    </row>
    <row r="1582" spans="2:39" ht="25.2" customHeight="1" x14ac:dyDescent="0.3">
      <c r="B1582" s="13" t="str">
        <f t="shared" si="28"/>
        <v/>
      </c>
      <c r="C1582" s="18"/>
      <c r="D1582" s="19" t="str">
        <f>IF(Tabela2[[#This Row],[AGRUPADOR]]&lt;&gt;"",VLOOKUP(Tabela2[[#This Row],[AGRUPADOR]],Tabela1[],2,0),"")</f>
        <v/>
      </c>
      <c r="E1582" s="19" t="str">
        <f>IF(Tabela2[[#This Row],[AGRUPADOR]]&lt;&gt;"",VLOOKUP(Tabela2[[#This Row],[AGRUPADOR]],Tabela1[],4,0),"")</f>
        <v/>
      </c>
      <c r="F1582" s="14"/>
      <c r="G1582" s="6"/>
      <c r="H1582" s="6"/>
      <c r="I1582" s="25"/>
      <c r="J1582" s="7"/>
      <c r="K1582" s="15"/>
      <c r="L1582" s="379">
        <f>IF(H1582&lt;&gt;"",J1582*K1582,SUMIFS(L1583:L$9844,$F1583:$F$9844,"*"&amp;F1582&amp;"*",$H1583:$H$9844,"&lt;&gt;"))</f>
        <v>0</v>
      </c>
      <c r="M1582" s="379" t="str">
        <f>IF(Tabela2[[#This Row],[UNID.]]&lt;&gt;"",IFERROR(VLOOKUP(Tabela2[[#This Row],[AGRUPADOR]],Lucratividade!$D$4:$O$129,6,0),0),"")</f>
        <v/>
      </c>
      <c r="N1582" s="379">
        <f>IF(H1582&lt;&gt;"",J1582*M1582*I1582,SUMIFS(N1583:N$9844,$F1583:$F$9844,"*"&amp;F1582&amp;"*",$H1583:$H$9844,"&lt;&gt;"))</f>
        <v>0</v>
      </c>
      <c r="O1582" s="162" t="str">
        <f>IFERROR((-Tabela2[[#This Row],[CUSTO TOTAL]]+Tabela2[[#This Row],[VENDA TOTAL]])/Tabela2[[#This Row],[VENDA TOTAL]]-PARAMETROS!$C$19,"")</f>
        <v/>
      </c>
      <c r="AA1582" s="219">
        <f>SUM(Plan_Orc[[#This Row],[01/jan]:[01/dez]])</f>
        <v>0</v>
      </c>
      <c r="AB1582" s="15"/>
      <c r="AC1582" s="15"/>
      <c r="AD1582" s="15"/>
      <c r="AE1582" s="15"/>
      <c r="AF1582" s="15"/>
      <c r="AG1582" s="15"/>
      <c r="AH1582" s="15"/>
      <c r="AI1582" s="15"/>
      <c r="AJ1582" s="15"/>
      <c r="AK1582" s="15"/>
      <c r="AL1582" s="15"/>
      <c r="AM1582" s="15"/>
    </row>
    <row r="1583" spans="2:39" ht="25.2" customHeight="1" x14ac:dyDescent="0.3">
      <c r="B1583" s="13" t="str">
        <f t="shared" si="28"/>
        <v/>
      </c>
      <c r="C1583" s="18"/>
      <c r="D1583" s="19" t="str">
        <f>IF(Tabela2[[#This Row],[AGRUPADOR]]&lt;&gt;"",VLOOKUP(Tabela2[[#This Row],[AGRUPADOR]],Tabela1[],2,0),"")</f>
        <v/>
      </c>
      <c r="E1583" s="19" t="str">
        <f>IF(Tabela2[[#This Row],[AGRUPADOR]]&lt;&gt;"",VLOOKUP(Tabela2[[#This Row],[AGRUPADOR]],Tabela1[],4,0),"")</f>
        <v/>
      </c>
      <c r="F1583" s="14"/>
      <c r="G1583" s="6"/>
      <c r="H1583" s="6"/>
      <c r="I1583" s="25"/>
      <c r="J1583" s="7"/>
      <c r="K1583" s="15"/>
      <c r="L1583" s="379">
        <f>IF(H1583&lt;&gt;"",J1583*K1583,SUMIFS(L1584:L$9844,$F1584:$F$9844,"*"&amp;F1583&amp;"*",$H1584:$H$9844,"&lt;&gt;"))</f>
        <v>0</v>
      </c>
      <c r="M1583" s="379" t="str">
        <f>IF(Tabela2[[#This Row],[UNID.]]&lt;&gt;"",IFERROR(VLOOKUP(Tabela2[[#This Row],[AGRUPADOR]],Lucratividade!$D$4:$O$129,6,0),0),"")</f>
        <v/>
      </c>
      <c r="N1583" s="379">
        <f>IF(H1583&lt;&gt;"",J1583*M1583*I1583,SUMIFS(N1584:N$9844,$F1584:$F$9844,"*"&amp;F1583&amp;"*",$H1584:$H$9844,"&lt;&gt;"))</f>
        <v>0</v>
      </c>
      <c r="O1583" s="162" t="str">
        <f>IFERROR((-Tabela2[[#This Row],[CUSTO TOTAL]]+Tabela2[[#This Row],[VENDA TOTAL]])/Tabela2[[#This Row],[VENDA TOTAL]]-PARAMETROS!$C$19,"")</f>
        <v/>
      </c>
      <c r="AA1583" s="219">
        <f>SUM(Plan_Orc[[#This Row],[01/jan]:[01/dez]])</f>
        <v>0</v>
      </c>
      <c r="AB1583" s="15"/>
      <c r="AC1583" s="15"/>
      <c r="AD1583" s="15"/>
      <c r="AE1583" s="15"/>
      <c r="AF1583" s="15"/>
      <c r="AG1583" s="15"/>
      <c r="AH1583" s="15"/>
      <c r="AI1583" s="15"/>
      <c r="AJ1583" s="15"/>
      <c r="AK1583" s="15"/>
      <c r="AL1583" s="15"/>
      <c r="AM1583" s="15"/>
    </row>
    <row r="1584" spans="2:39" ht="25.2" customHeight="1" x14ac:dyDescent="0.3">
      <c r="B1584" s="13" t="str">
        <f t="shared" si="28"/>
        <v/>
      </c>
      <c r="C1584" s="18"/>
      <c r="D1584" s="19" t="str">
        <f>IF(Tabela2[[#This Row],[AGRUPADOR]]&lt;&gt;"",VLOOKUP(Tabela2[[#This Row],[AGRUPADOR]],Tabela1[],2,0),"")</f>
        <v/>
      </c>
      <c r="E1584" s="19" t="str">
        <f>IF(Tabela2[[#This Row],[AGRUPADOR]]&lt;&gt;"",VLOOKUP(Tabela2[[#This Row],[AGRUPADOR]],Tabela1[],4,0),"")</f>
        <v/>
      </c>
      <c r="F1584" s="14"/>
      <c r="G1584" s="6"/>
      <c r="H1584" s="6"/>
      <c r="I1584" s="25"/>
      <c r="J1584" s="7"/>
      <c r="K1584" s="15"/>
      <c r="L1584" s="379">
        <f>IF(H1584&lt;&gt;"",J1584*K1584,SUMIFS(L1585:L$9844,$F1585:$F$9844,"*"&amp;F1584&amp;"*",$H1585:$H$9844,"&lt;&gt;"))</f>
        <v>0</v>
      </c>
      <c r="M1584" s="379" t="str">
        <f>IF(Tabela2[[#This Row],[UNID.]]&lt;&gt;"",IFERROR(VLOOKUP(Tabela2[[#This Row],[AGRUPADOR]],Lucratividade!$D$4:$O$129,6,0),0),"")</f>
        <v/>
      </c>
      <c r="N1584" s="379">
        <f>IF(H1584&lt;&gt;"",J1584*M1584*I1584,SUMIFS(N1585:N$9844,$F1585:$F$9844,"*"&amp;F1584&amp;"*",$H1585:$H$9844,"&lt;&gt;"))</f>
        <v>0</v>
      </c>
      <c r="O1584" s="162" t="str">
        <f>IFERROR((-Tabela2[[#This Row],[CUSTO TOTAL]]+Tabela2[[#This Row],[VENDA TOTAL]])/Tabela2[[#This Row],[VENDA TOTAL]]-PARAMETROS!$C$19,"")</f>
        <v/>
      </c>
      <c r="AA1584" s="219">
        <f>SUM(Plan_Orc[[#This Row],[01/jan]:[01/dez]])</f>
        <v>0</v>
      </c>
      <c r="AB1584" s="15"/>
      <c r="AC1584" s="15"/>
      <c r="AD1584" s="15"/>
      <c r="AE1584" s="15"/>
      <c r="AF1584" s="15"/>
      <c r="AG1584" s="15"/>
      <c r="AH1584" s="15"/>
      <c r="AI1584" s="15"/>
      <c r="AJ1584" s="15"/>
      <c r="AK1584" s="15"/>
      <c r="AL1584" s="15"/>
      <c r="AM1584" s="15"/>
    </row>
    <row r="1585" spans="2:39" ht="25.2" customHeight="1" x14ac:dyDescent="0.3">
      <c r="B1585" s="13" t="str">
        <f t="shared" si="28"/>
        <v/>
      </c>
      <c r="C1585" s="18"/>
      <c r="D1585" s="19" t="str">
        <f>IF(Tabela2[[#This Row],[AGRUPADOR]]&lt;&gt;"",VLOOKUP(Tabela2[[#This Row],[AGRUPADOR]],Tabela1[],2,0),"")</f>
        <v/>
      </c>
      <c r="E1585" s="19" t="str">
        <f>IF(Tabela2[[#This Row],[AGRUPADOR]]&lt;&gt;"",VLOOKUP(Tabela2[[#This Row],[AGRUPADOR]],Tabela1[],4,0),"")</f>
        <v/>
      </c>
      <c r="F1585" s="14"/>
      <c r="G1585" s="6"/>
      <c r="H1585" s="6"/>
      <c r="I1585" s="25"/>
      <c r="J1585" s="7"/>
      <c r="K1585" s="15"/>
      <c r="L1585" s="379">
        <f>IF(H1585&lt;&gt;"",J1585*K1585,SUMIFS(L1586:L$9844,$F1586:$F$9844,"*"&amp;F1585&amp;"*",$H1586:$H$9844,"&lt;&gt;"))</f>
        <v>0</v>
      </c>
      <c r="M1585" s="379" t="str">
        <f>IF(Tabela2[[#This Row],[UNID.]]&lt;&gt;"",IFERROR(VLOOKUP(Tabela2[[#This Row],[AGRUPADOR]],Lucratividade!$D$4:$O$129,6,0),0),"")</f>
        <v/>
      </c>
      <c r="N1585" s="379">
        <f>IF(H1585&lt;&gt;"",J1585*M1585*I1585,SUMIFS(N1586:N$9844,$F1586:$F$9844,"*"&amp;F1585&amp;"*",$H1586:$H$9844,"&lt;&gt;"))</f>
        <v>0</v>
      </c>
      <c r="O1585" s="162" t="str">
        <f>IFERROR((-Tabela2[[#This Row],[CUSTO TOTAL]]+Tabela2[[#This Row],[VENDA TOTAL]])/Tabela2[[#This Row],[VENDA TOTAL]]-PARAMETROS!$C$19,"")</f>
        <v/>
      </c>
      <c r="AA1585" s="219">
        <f>SUM(Plan_Orc[[#This Row],[01/jan]:[01/dez]])</f>
        <v>0</v>
      </c>
      <c r="AB1585" s="15"/>
      <c r="AC1585" s="15"/>
      <c r="AD1585" s="15"/>
      <c r="AE1585" s="15"/>
      <c r="AF1585" s="15"/>
      <c r="AG1585" s="15"/>
      <c r="AH1585" s="15"/>
      <c r="AI1585" s="15"/>
      <c r="AJ1585" s="15"/>
      <c r="AK1585" s="15"/>
      <c r="AL1585" s="15"/>
      <c r="AM1585" s="15"/>
    </row>
    <row r="1586" spans="2:39" ht="25.2" customHeight="1" x14ac:dyDescent="0.3">
      <c r="B1586" s="13" t="str">
        <f t="shared" si="28"/>
        <v/>
      </c>
      <c r="C1586" s="18"/>
      <c r="D1586" s="19" t="str">
        <f>IF(Tabela2[[#This Row],[AGRUPADOR]]&lt;&gt;"",VLOOKUP(Tabela2[[#This Row],[AGRUPADOR]],Tabela1[],2,0),"")</f>
        <v/>
      </c>
      <c r="E1586" s="19" t="str">
        <f>IF(Tabela2[[#This Row],[AGRUPADOR]]&lt;&gt;"",VLOOKUP(Tabela2[[#This Row],[AGRUPADOR]],Tabela1[],4,0),"")</f>
        <v/>
      </c>
      <c r="F1586" s="14"/>
      <c r="G1586" s="6"/>
      <c r="H1586" s="6"/>
      <c r="I1586" s="25"/>
      <c r="J1586" s="7"/>
      <c r="K1586" s="15"/>
      <c r="L1586" s="379">
        <f>IF(H1586&lt;&gt;"",J1586*K1586,SUMIFS(L1587:L$9844,$F1587:$F$9844,"*"&amp;F1586&amp;"*",$H1587:$H$9844,"&lt;&gt;"))</f>
        <v>0</v>
      </c>
      <c r="M1586" s="379" t="str">
        <f>IF(Tabela2[[#This Row],[UNID.]]&lt;&gt;"",IFERROR(VLOOKUP(Tabela2[[#This Row],[AGRUPADOR]],Lucratividade!$D$4:$O$129,6,0),0),"")</f>
        <v/>
      </c>
      <c r="N1586" s="379">
        <f>IF(H1586&lt;&gt;"",J1586*M1586*I1586,SUMIFS(N1587:N$9844,$F1587:$F$9844,"*"&amp;F1586&amp;"*",$H1587:$H$9844,"&lt;&gt;"))</f>
        <v>0</v>
      </c>
      <c r="O1586" s="162" t="str">
        <f>IFERROR((-Tabela2[[#This Row],[CUSTO TOTAL]]+Tabela2[[#This Row],[VENDA TOTAL]])/Tabela2[[#This Row],[VENDA TOTAL]]-PARAMETROS!$C$19,"")</f>
        <v/>
      </c>
      <c r="AA1586" s="219">
        <f>SUM(Plan_Orc[[#This Row],[01/jan]:[01/dez]])</f>
        <v>0</v>
      </c>
      <c r="AB1586" s="15"/>
      <c r="AC1586" s="15"/>
      <c r="AD1586" s="15"/>
      <c r="AE1586" s="15"/>
      <c r="AF1586" s="15"/>
      <c r="AG1586" s="15"/>
      <c r="AH1586" s="15"/>
      <c r="AI1586" s="15"/>
      <c r="AJ1586" s="15"/>
      <c r="AK1586" s="15"/>
      <c r="AL1586" s="15"/>
      <c r="AM1586" s="15"/>
    </row>
    <row r="1587" spans="2:39" ht="25.2" customHeight="1" x14ac:dyDescent="0.3">
      <c r="B1587" s="13" t="str">
        <f t="shared" si="28"/>
        <v/>
      </c>
      <c r="C1587" s="18"/>
      <c r="D1587" s="19" t="str">
        <f>IF(Tabela2[[#This Row],[AGRUPADOR]]&lt;&gt;"",VLOOKUP(Tabela2[[#This Row],[AGRUPADOR]],Tabela1[],2,0),"")</f>
        <v/>
      </c>
      <c r="E1587" s="19" t="str">
        <f>IF(Tabela2[[#This Row],[AGRUPADOR]]&lt;&gt;"",VLOOKUP(Tabela2[[#This Row],[AGRUPADOR]],Tabela1[],4,0),"")</f>
        <v/>
      </c>
      <c r="F1587" s="14"/>
      <c r="G1587" s="6"/>
      <c r="H1587" s="6"/>
      <c r="I1587" s="25"/>
      <c r="J1587" s="7"/>
      <c r="K1587" s="15"/>
      <c r="L1587" s="379">
        <f>IF(H1587&lt;&gt;"",J1587*K1587,SUMIFS(L1588:L$9844,$F1588:$F$9844,"*"&amp;F1587&amp;"*",$H1588:$H$9844,"&lt;&gt;"))</f>
        <v>0</v>
      </c>
      <c r="M1587" s="379" t="str">
        <f>IF(Tabela2[[#This Row],[UNID.]]&lt;&gt;"",IFERROR(VLOOKUP(Tabela2[[#This Row],[AGRUPADOR]],Lucratividade!$D$4:$O$129,6,0),0),"")</f>
        <v/>
      </c>
      <c r="N1587" s="379">
        <f>IF(H1587&lt;&gt;"",J1587*M1587*I1587,SUMIFS(N1588:N$9844,$F1588:$F$9844,"*"&amp;F1587&amp;"*",$H1588:$H$9844,"&lt;&gt;"))</f>
        <v>0</v>
      </c>
      <c r="O1587" s="162" t="str">
        <f>IFERROR((-Tabela2[[#This Row],[CUSTO TOTAL]]+Tabela2[[#This Row],[VENDA TOTAL]])/Tabela2[[#This Row],[VENDA TOTAL]]-PARAMETROS!$C$19,"")</f>
        <v/>
      </c>
      <c r="AA1587" s="219">
        <f>SUM(Plan_Orc[[#This Row],[01/jan]:[01/dez]])</f>
        <v>0</v>
      </c>
      <c r="AB1587" s="15"/>
      <c r="AC1587" s="15"/>
      <c r="AD1587" s="15"/>
      <c r="AE1587" s="15"/>
      <c r="AF1587" s="15"/>
      <c r="AG1587" s="15"/>
      <c r="AH1587" s="15"/>
      <c r="AI1587" s="15"/>
      <c r="AJ1587" s="15"/>
      <c r="AK1587" s="15"/>
      <c r="AL1587" s="15"/>
      <c r="AM1587" s="15"/>
    </row>
    <row r="1588" spans="2:39" ht="25.2" customHeight="1" x14ac:dyDescent="0.3">
      <c r="B1588" s="13" t="str">
        <f t="shared" si="28"/>
        <v/>
      </c>
      <c r="C1588" s="18"/>
      <c r="D1588" s="19" t="str">
        <f>IF(Tabela2[[#This Row],[AGRUPADOR]]&lt;&gt;"",VLOOKUP(Tabela2[[#This Row],[AGRUPADOR]],Tabela1[],2,0),"")</f>
        <v/>
      </c>
      <c r="E1588" s="19" t="str">
        <f>IF(Tabela2[[#This Row],[AGRUPADOR]]&lt;&gt;"",VLOOKUP(Tabela2[[#This Row],[AGRUPADOR]],Tabela1[],4,0),"")</f>
        <v/>
      </c>
      <c r="F1588" s="14"/>
      <c r="G1588" s="6"/>
      <c r="H1588" s="6"/>
      <c r="I1588" s="25"/>
      <c r="J1588" s="7"/>
      <c r="K1588" s="15"/>
      <c r="L1588" s="379">
        <f>IF(H1588&lt;&gt;"",J1588*K1588,SUMIFS(L1589:L$9844,$F1589:$F$9844,"*"&amp;F1588&amp;"*",$H1589:$H$9844,"&lt;&gt;"))</f>
        <v>0</v>
      </c>
      <c r="M1588" s="379" t="str">
        <f>IF(Tabela2[[#This Row],[UNID.]]&lt;&gt;"",IFERROR(VLOOKUP(Tabela2[[#This Row],[AGRUPADOR]],Lucratividade!$D$4:$O$129,6,0),0),"")</f>
        <v/>
      </c>
      <c r="N1588" s="379">
        <f>IF(H1588&lt;&gt;"",J1588*M1588*I1588,SUMIFS(N1589:N$9844,$F1589:$F$9844,"*"&amp;F1588&amp;"*",$H1589:$H$9844,"&lt;&gt;"))</f>
        <v>0</v>
      </c>
      <c r="O1588" s="162" t="str">
        <f>IFERROR((-Tabela2[[#This Row],[CUSTO TOTAL]]+Tabela2[[#This Row],[VENDA TOTAL]])/Tabela2[[#This Row],[VENDA TOTAL]]-PARAMETROS!$C$19,"")</f>
        <v/>
      </c>
      <c r="AA1588" s="219">
        <f>SUM(Plan_Orc[[#This Row],[01/jan]:[01/dez]])</f>
        <v>0</v>
      </c>
      <c r="AB1588" s="15"/>
      <c r="AC1588" s="15"/>
      <c r="AD1588" s="15"/>
      <c r="AE1588" s="15"/>
      <c r="AF1588" s="15"/>
      <c r="AG1588" s="15"/>
      <c r="AH1588" s="15"/>
      <c r="AI1588" s="15"/>
      <c r="AJ1588" s="15"/>
      <c r="AK1588" s="15"/>
      <c r="AL1588" s="15"/>
      <c r="AM1588" s="15"/>
    </row>
    <row r="1589" spans="2:39" ht="25.2" customHeight="1" x14ac:dyDescent="0.3">
      <c r="B1589" s="13" t="str">
        <f t="shared" si="28"/>
        <v/>
      </c>
      <c r="C1589" s="18"/>
      <c r="D1589" s="19" t="str">
        <f>IF(Tabela2[[#This Row],[AGRUPADOR]]&lt;&gt;"",VLOOKUP(Tabela2[[#This Row],[AGRUPADOR]],Tabela1[],2,0),"")</f>
        <v/>
      </c>
      <c r="E1589" s="19" t="str">
        <f>IF(Tabela2[[#This Row],[AGRUPADOR]]&lt;&gt;"",VLOOKUP(Tabela2[[#This Row],[AGRUPADOR]],Tabela1[],4,0),"")</f>
        <v/>
      </c>
      <c r="F1589" s="14"/>
      <c r="G1589" s="6"/>
      <c r="H1589" s="6"/>
      <c r="I1589" s="25"/>
      <c r="J1589" s="7"/>
      <c r="K1589" s="15"/>
      <c r="L1589" s="379">
        <f>IF(H1589&lt;&gt;"",J1589*K1589,SUMIFS(L1590:L$9844,$F1590:$F$9844,"*"&amp;F1589&amp;"*",$H1590:$H$9844,"&lt;&gt;"))</f>
        <v>0</v>
      </c>
      <c r="M1589" s="379" t="str">
        <f>IF(Tabela2[[#This Row],[UNID.]]&lt;&gt;"",IFERROR(VLOOKUP(Tabela2[[#This Row],[AGRUPADOR]],Lucratividade!$D$4:$O$129,6,0),0),"")</f>
        <v/>
      </c>
      <c r="N1589" s="379">
        <f>IF(H1589&lt;&gt;"",J1589*M1589*I1589,SUMIFS(N1590:N$9844,$F1590:$F$9844,"*"&amp;F1589&amp;"*",$H1590:$H$9844,"&lt;&gt;"))</f>
        <v>0</v>
      </c>
      <c r="O1589" s="162" t="str">
        <f>IFERROR((-Tabela2[[#This Row],[CUSTO TOTAL]]+Tabela2[[#This Row],[VENDA TOTAL]])/Tabela2[[#This Row],[VENDA TOTAL]]-PARAMETROS!$C$19,"")</f>
        <v/>
      </c>
      <c r="AA1589" s="219">
        <f>SUM(Plan_Orc[[#This Row],[01/jan]:[01/dez]])</f>
        <v>0</v>
      </c>
      <c r="AB1589" s="15"/>
      <c r="AC1589" s="15"/>
      <c r="AD1589" s="15"/>
      <c r="AE1589" s="15"/>
      <c r="AF1589" s="15"/>
      <c r="AG1589" s="15"/>
      <c r="AH1589" s="15"/>
      <c r="AI1589" s="15"/>
      <c r="AJ1589" s="15"/>
      <c r="AK1589" s="15"/>
      <c r="AL1589" s="15"/>
      <c r="AM1589" s="15"/>
    </row>
    <row r="1590" spans="2:39" ht="25.2" customHeight="1" x14ac:dyDescent="0.3">
      <c r="B1590" s="13" t="str">
        <f t="shared" si="28"/>
        <v/>
      </c>
      <c r="C1590" s="18"/>
      <c r="D1590" s="19" t="str">
        <f>IF(Tabela2[[#This Row],[AGRUPADOR]]&lt;&gt;"",VLOOKUP(Tabela2[[#This Row],[AGRUPADOR]],Tabela1[],2,0),"")</f>
        <v/>
      </c>
      <c r="E1590" s="19" t="str">
        <f>IF(Tabela2[[#This Row],[AGRUPADOR]]&lt;&gt;"",VLOOKUP(Tabela2[[#This Row],[AGRUPADOR]],Tabela1[],4,0),"")</f>
        <v/>
      </c>
      <c r="F1590" s="14"/>
      <c r="G1590" s="6"/>
      <c r="H1590" s="6"/>
      <c r="I1590" s="25"/>
      <c r="J1590" s="7"/>
      <c r="K1590" s="15"/>
      <c r="L1590" s="379">
        <f>IF(H1590&lt;&gt;"",J1590*K1590,SUMIFS(L1591:L$9844,$F1591:$F$9844,"*"&amp;F1590&amp;"*",$H1591:$H$9844,"&lt;&gt;"))</f>
        <v>0</v>
      </c>
      <c r="M1590" s="379" t="str">
        <f>IF(Tabela2[[#This Row],[UNID.]]&lt;&gt;"",IFERROR(VLOOKUP(Tabela2[[#This Row],[AGRUPADOR]],Lucratividade!$D$4:$O$129,6,0),0),"")</f>
        <v/>
      </c>
      <c r="N1590" s="379">
        <f>IF(H1590&lt;&gt;"",J1590*M1590*I1590,SUMIFS(N1591:N$9844,$F1591:$F$9844,"*"&amp;F1590&amp;"*",$H1591:$H$9844,"&lt;&gt;"))</f>
        <v>0</v>
      </c>
      <c r="O1590" s="162" t="str">
        <f>IFERROR((-Tabela2[[#This Row],[CUSTO TOTAL]]+Tabela2[[#This Row],[VENDA TOTAL]])/Tabela2[[#This Row],[VENDA TOTAL]]-PARAMETROS!$C$19,"")</f>
        <v/>
      </c>
      <c r="AA1590" s="219">
        <f>SUM(Plan_Orc[[#This Row],[01/jan]:[01/dez]])</f>
        <v>0</v>
      </c>
      <c r="AB1590" s="15"/>
      <c r="AC1590" s="15"/>
      <c r="AD1590" s="15"/>
      <c r="AE1590" s="15"/>
      <c r="AF1590" s="15"/>
      <c r="AG1590" s="15"/>
      <c r="AH1590" s="15"/>
      <c r="AI1590" s="15"/>
      <c r="AJ1590" s="15"/>
      <c r="AK1590" s="15"/>
      <c r="AL1590" s="15"/>
      <c r="AM1590" s="15"/>
    </row>
    <row r="1591" spans="2:39" ht="25.2" customHeight="1" x14ac:dyDescent="0.3">
      <c r="B1591" s="13" t="str">
        <f t="shared" si="28"/>
        <v/>
      </c>
      <c r="C1591" s="18"/>
      <c r="D1591" s="19" t="str">
        <f>IF(Tabela2[[#This Row],[AGRUPADOR]]&lt;&gt;"",VLOOKUP(Tabela2[[#This Row],[AGRUPADOR]],Tabela1[],2,0),"")</f>
        <v/>
      </c>
      <c r="E1591" s="19" t="str">
        <f>IF(Tabela2[[#This Row],[AGRUPADOR]]&lt;&gt;"",VLOOKUP(Tabela2[[#This Row],[AGRUPADOR]],Tabela1[],4,0),"")</f>
        <v/>
      </c>
      <c r="F1591" s="14"/>
      <c r="G1591" s="6"/>
      <c r="H1591" s="6"/>
      <c r="I1591" s="25"/>
      <c r="J1591" s="7"/>
      <c r="K1591" s="15"/>
      <c r="L1591" s="379">
        <f>IF(H1591&lt;&gt;"",J1591*K1591,SUMIFS(L1592:L$9844,$F1592:$F$9844,"*"&amp;F1591&amp;"*",$H1592:$H$9844,"&lt;&gt;"))</f>
        <v>0</v>
      </c>
      <c r="M1591" s="379" t="str">
        <f>IF(Tabela2[[#This Row],[UNID.]]&lt;&gt;"",IFERROR(VLOOKUP(Tabela2[[#This Row],[AGRUPADOR]],Lucratividade!$D$4:$O$129,6,0),0),"")</f>
        <v/>
      </c>
      <c r="N1591" s="379">
        <f>IF(H1591&lt;&gt;"",J1591*M1591*I1591,SUMIFS(N1592:N$9844,$F1592:$F$9844,"*"&amp;F1591&amp;"*",$H1592:$H$9844,"&lt;&gt;"))</f>
        <v>0</v>
      </c>
      <c r="O1591" s="162" t="str">
        <f>IFERROR((-Tabela2[[#This Row],[CUSTO TOTAL]]+Tabela2[[#This Row],[VENDA TOTAL]])/Tabela2[[#This Row],[VENDA TOTAL]]-PARAMETROS!$C$19,"")</f>
        <v/>
      </c>
      <c r="AA1591" s="219">
        <f>SUM(Plan_Orc[[#This Row],[01/jan]:[01/dez]])</f>
        <v>0</v>
      </c>
      <c r="AB1591" s="15"/>
      <c r="AC1591" s="15"/>
      <c r="AD1591" s="15"/>
      <c r="AE1591" s="15"/>
      <c r="AF1591" s="15"/>
      <c r="AG1591" s="15"/>
      <c r="AH1591" s="15"/>
      <c r="AI1591" s="15"/>
      <c r="AJ1591" s="15"/>
      <c r="AK1591" s="15"/>
      <c r="AL1591" s="15"/>
      <c r="AM1591" s="15"/>
    </row>
    <row r="1592" spans="2:39" ht="25.2" customHeight="1" x14ac:dyDescent="0.3">
      <c r="B1592" s="13" t="str">
        <f t="shared" si="28"/>
        <v/>
      </c>
      <c r="C1592" s="18"/>
      <c r="D1592" s="19" t="str">
        <f>IF(Tabela2[[#This Row],[AGRUPADOR]]&lt;&gt;"",VLOOKUP(Tabela2[[#This Row],[AGRUPADOR]],Tabela1[],2,0),"")</f>
        <v/>
      </c>
      <c r="E1592" s="19" t="str">
        <f>IF(Tabela2[[#This Row],[AGRUPADOR]]&lt;&gt;"",VLOOKUP(Tabela2[[#This Row],[AGRUPADOR]],Tabela1[],4,0),"")</f>
        <v/>
      </c>
      <c r="F1592" s="14"/>
      <c r="G1592" s="6"/>
      <c r="H1592" s="6"/>
      <c r="I1592" s="25"/>
      <c r="J1592" s="7"/>
      <c r="K1592" s="15"/>
      <c r="L1592" s="379">
        <f>IF(H1592&lt;&gt;"",J1592*K1592,SUMIFS(L1593:L$9844,$F1593:$F$9844,"*"&amp;F1592&amp;"*",$H1593:$H$9844,"&lt;&gt;"))</f>
        <v>0</v>
      </c>
      <c r="M1592" s="379" t="str">
        <f>IF(Tabela2[[#This Row],[UNID.]]&lt;&gt;"",IFERROR(VLOOKUP(Tabela2[[#This Row],[AGRUPADOR]],Lucratividade!$D$4:$O$129,6,0),0),"")</f>
        <v/>
      </c>
      <c r="N1592" s="379">
        <f>IF(H1592&lt;&gt;"",J1592*M1592*I1592,SUMIFS(N1593:N$9844,$F1593:$F$9844,"*"&amp;F1592&amp;"*",$H1593:$H$9844,"&lt;&gt;"))</f>
        <v>0</v>
      </c>
      <c r="O1592" s="162" t="str">
        <f>IFERROR((-Tabela2[[#This Row],[CUSTO TOTAL]]+Tabela2[[#This Row],[VENDA TOTAL]])/Tabela2[[#This Row],[VENDA TOTAL]]-PARAMETROS!$C$19,"")</f>
        <v/>
      </c>
      <c r="AA1592" s="219">
        <f>SUM(Plan_Orc[[#This Row],[01/jan]:[01/dez]])</f>
        <v>0</v>
      </c>
      <c r="AB1592" s="15"/>
      <c r="AC1592" s="15"/>
      <c r="AD1592" s="15"/>
      <c r="AE1592" s="15"/>
      <c r="AF1592" s="15"/>
      <c r="AG1592" s="15"/>
      <c r="AH1592" s="15"/>
      <c r="AI1592" s="15"/>
      <c r="AJ1592" s="15"/>
      <c r="AK1592" s="15"/>
      <c r="AL1592" s="15"/>
      <c r="AM1592" s="15"/>
    </row>
    <row r="1593" spans="2:39" ht="25.2" customHeight="1" x14ac:dyDescent="0.3">
      <c r="B1593" s="13" t="str">
        <f t="shared" si="28"/>
        <v/>
      </c>
      <c r="C1593" s="18"/>
      <c r="D1593" s="19" t="str">
        <f>IF(Tabela2[[#This Row],[AGRUPADOR]]&lt;&gt;"",VLOOKUP(Tabela2[[#This Row],[AGRUPADOR]],Tabela1[],2,0),"")</f>
        <v/>
      </c>
      <c r="E1593" s="19" t="str">
        <f>IF(Tabela2[[#This Row],[AGRUPADOR]]&lt;&gt;"",VLOOKUP(Tabela2[[#This Row],[AGRUPADOR]],Tabela1[],4,0),"")</f>
        <v/>
      </c>
      <c r="F1593" s="14"/>
      <c r="G1593" s="6"/>
      <c r="H1593" s="6"/>
      <c r="I1593" s="25"/>
      <c r="J1593" s="7"/>
      <c r="K1593" s="15"/>
      <c r="L1593" s="379">
        <f>IF(H1593&lt;&gt;"",J1593*K1593,SUMIFS(L1594:L$9844,$F1594:$F$9844,"*"&amp;F1593&amp;"*",$H1594:$H$9844,"&lt;&gt;"))</f>
        <v>0</v>
      </c>
      <c r="M1593" s="379" t="str">
        <f>IF(Tabela2[[#This Row],[UNID.]]&lt;&gt;"",IFERROR(VLOOKUP(Tabela2[[#This Row],[AGRUPADOR]],Lucratividade!$D$4:$O$129,6,0),0),"")</f>
        <v/>
      </c>
      <c r="N1593" s="379">
        <f>IF(H1593&lt;&gt;"",J1593*M1593*I1593,SUMIFS(N1594:N$9844,$F1594:$F$9844,"*"&amp;F1593&amp;"*",$H1594:$H$9844,"&lt;&gt;"))</f>
        <v>0</v>
      </c>
      <c r="O1593" s="162" t="str">
        <f>IFERROR((-Tabela2[[#This Row],[CUSTO TOTAL]]+Tabela2[[#This Row],[VENDA TOTAL]])/Tabela2[[#This Row],[VENDA TOTAL]]-PARAMETROS!$C$19,"")</f>
        <v/>
      </c>
      <c r="AA1593" s="219">
        <f>SUM(Plan_Orc[[#This Row],[01/jan]:[01/dez]])</f>
        <v>0</v>
      </c>
      <c r="AB1593" s="15"/>
      <c r="AC1593" s="15"/>
      <c r="AD1593" s="15"/>
      <c r="AE1593" s="15"/>
      <c r="AF1593" s="15"/>
      <c r="AG1593" s="15"/>
      <c r="AH1593" s="15"/>
      <c r="AI1593" s="15"/>
      <c r="AJ1593" s="15"/>
      <c r="AK1593" s="15"/>
      <c r="AL1593" s="15"/>
      <c r="AM1593" s="15"/>
    </row>
    <row r="1594" spans="2:39" ht="25.2" customHeight="1" x14ac:dyDescent="0.3">
      <c r="B1594" s="13" t="str">
        <f t="shared" si="28"/>
        <v/>
      </c>
      <c r="C1594" s="18"/>
      <c r="D1594" s="19" t="str">
        <f>IF(Tabela2[[#This Row],[AGRUPADOR]]&lt;&gt;"",VLOOKUP(Tabela2[[#This Row],[AGRUPADOR]],Tabela1[],2,0),"")</f>
        <v/>
      </c>
      <c r="E1594" s="19" t="str">
        <f>IF(Tabela2[[#This Row],[AGRUPADOR]]&lt;&gt;"",VLOOKUP(Tabela2[[#This Row],[AGRUPADOR]],Tabela1[],4,0),"")</f>
        <v/>
      </c>
      <c r="F1594" s="14"/>
      <c r="G1594" s="6"/>
      <c r="H1594" s="6"/>
      <c r="I1594" s="25"/>
      <c r="J1594" s="7"/>
      <c r="K1594" s="15"/>
      <c r="L1594" s="379">
        <f>IF(H1594&lt;&gt;"",J1594*K1594,SUMIFS(L1595:L$9844,$F1595:$F$9844,"*"&amp;F1594&amp;"*",$H1595:$H$9844,"&lt;&gt;"))</f>
        <v>0</v>
      </c>
      <c r="M1594" s="379" t="str">
        <f>IF(Tabela2[[#This Row],[UNID.]]&lt;&gt;"",IFERROR(VLOOKUP(Tabela2[[#This Row],[AGRUPADOR]],Lucratividade!$D$4:$O$129,6,0),0),"")</f>
        <v/>
      </c>
      <c r="N1594" s="379">
        <f>IF(H1594&lt;&gt;"",J1594*M1594*I1594,SUMIFS(N1595:N$9844,$F1595:$F$9844,"*"&amp;F1594&amp;"*",$H1595:$H$9844,"&lt;&gt;"))</f>
        <v>0</v>
      </c>
      <c r="O1594" s="162" t="str">
        <f>IFERROR((-Tabela2[[#This Row],[CUSTO TOTAL]]+Tabela2[[#This Row],[VENDA TOTAL]])/Tabela2[[#This Row],[VENDA TOTAL]]-PARAMETROS!$C$19,"")</f>
        <v/>
      </c>
      <c r="AA1594" s="219">
        <f>SUM(Plan_Orc[[#This Row],[01/jan]:[01/dez]])</f>
        <v>0</v>
      </c>
      <c r="AB1594" s="15"/>
      <c r="AC1594" s="15"/>
      <c r="AD1594" s="15"/>
      <c r="AE1594" s="15"/>
      <c r="AF1594" s="15"/>
      <c r="AG1594" s="15"/>
      <c r="AH1594" s="15"/>
      <c r="AI1594" s="15"/>
      <c r="AJ1594" s="15"/>
      <c r="AK1594" s="15"/>
      <c r="AL1594" s="15"/>
      <c r="AM1594" s="15"/>
    </row>
    <row r="1595" spans="2:39" ht="25.2" customHeight="1" x14ac:dyDescent="0.3">
      <c r="B1595" s="13" t="str">
        <f t="shared" si="28"/>
        <v/>
      </c>
      <c r="C1595" s="18"/>
      <c r="D1595" s="19" t="str">
        <f>IF(Tabela2[[#This Row],[AGRUPADOR]]&lt;&gt;"",VLOOKUP(Tabela2[[#This Row],[AGRUPADOR]],Tabela1[],2,0),"")</f>
        <v/>
      </c>
      <c r="E1595" s="19" t="str">
        <f>IF(Tabela2[[#This Row],[AGRUPADOR]]&lt;&gt;"",VLOOKUP(Tabela2[[#This Row],[AGRUPADOR]],Tabela1[],4,0),"")</f>
        <v/>
      </c>
      <c r="F1595" s="14"/>
      <c r="G1595" s="6"/>
      <c r="H1595" s="6"/>
      <c r="I1595" s="25"/>
      <c r="J1595" s="7"/>
      <c r="K1595" s="15"/>
      <c r="L1595" s="379">
        <f>IF(H1595&lt;&gt;"",J1595*K1595,SUMIFS(L1596:L$9844,$F1596:$F$9844,"*"&amp;F1595&amp;"*",$H1596:$H$9844,"&lt;&gt;"))</f>
        <v>0</v>
      </c>
      <c r="M1595" s="379" t="str">
        <f>IF(Tabela2[[#This Row],[UNID.]]&lt;&gt;"",IFERROR(VLOOKUP(Tabela2[[#This Row],[AGRUPADOR]],Lucratividade!$D$4:$O$129,6,0),0),"")</f>
        <v/>
      </c>
      <c r="N1595" s="379">
        <f>IF(H1595&lt;&gt;"",J1595*M1595*I1595,SUMIFS(N1596:N$9844,$F1596:$F$9844,"*"&amp;F1595&amp;"*",$H1596:$H$9844,"&lt;&gt;"))</f>
        <v>0</v>
      </c>
      <c r="O1595" s="162" t="str">
        <f>IFERROR((-Tabela2[[#This Row],[CUSTO TOTAL]]+Tabela2[[#This Row],[VENDA TOTAL]])/Tabela2[[#This Row],[VENDA TOTAL]]-PARAMETROS!$C$19,"")</f>
        <v/>
      </c>
      <c r="AA1595" s="219">
        <f>SUM(Plan_Orc[[#This Row],[01/jan]:[01/dez]])</f>
        <v>0</v>
      </c>
      <c r="AB1595" s="15"/>
      <c r="AC1595" s="15"/>
      <c r="AD1595" s="15"/>
      <c r="AE1595" s="15"/>
      <c r="AF1595" s="15"/>
      <c r="AG1595" s="15"/>
      <c r="AH1595" s="15"/>
      <c r="AI1595" s="15"/>
      <c r="AJ1595" s="15"/>
      <c r="AK1595" s="15"/>
      <c r="AL1595" s="15"/>
      <c r="AM1595" s="15"/>
    </row>
    <row r="1596" spans="2:39" ht="25.2" customHeight="1" x14ac:dyDescent="0.3">
      <c r="B1596" s="13" t="str">
        <f t="shared" si="28"/>
        <v/>
      </c>
      <c r="C1596" s="18"/>
      <c r="D1596" s="19" t="str">
        <f>IF(Tabela2[[#This Row],[AGRUPADOR]]&lt;&gt;"",VLOOKUP(Tabela2[[#This Row],[AGRUPADOR]],Tabela1[],2,0),"")</f>
        <v/>
      </c>
      <c r="E1596" s="19" t="str">
        <f>IF(Tabela2[[#This Row],[AGRUPADOR]]&lt;&gt;"",VLOOKUP(Tabela2[[#This Row],[AGRUPADOR]],Tabela1[],4,0),"")</f>
        <v/>
      </c>
      <c r="F1596" s="14"/>
      <c r="G1596" s="6"/>
      <c r="H1596" s="6"/>
      <c r="I1596" s="25"/>
      <c r="J1596" s="7"/>
      <c r="K1596" s="15"/>
      <c r="L1596" s="379">
        <f>IF(H1596&lt;&gt;"",J1596*K1596,SUMIFS(L1597:L$9844,$F1597:$F$9844,"*"&amp;F1596&amp;"*",$H1597:$H$9844,"&lt;&gt;"))</f>
        <v>0</v>
      </c>
      <c r="M1596" s="379" t="str">
        <f>IF(Tabela2[[#This Row],[UNID.]]&lt;&gt;"",IFERROR(VLOOKUP(Tabela2[[#This Row],[AGRUPADOR]],Lucratividade!$D$4:$O$129,6,0),0),"")</f>
        <v/>
      </c>
      <c r="N1596" s="379">
        <f>IF(H1596&lt;&gt;"",J1596*M1596*I1596,SUMIFS(N1597:N$9844,$F1597:$F$9844,"*"&amp;F1596&amp;"*",$H1597:$H$9844,"&lt;&gt;"))</f>
        <v>0</v>
      </c>
      <c r="O1596" s="162" t="str">
        <f>IFERROR((-Tabela2[[#This Row],[CUSTO TOTAL]]+Tabela2[[#This Row],[VENDA TOTAL]])/Tabela2[[#This Row],[VENDA TOTAL]]-PARAMETROS!$C$19,"")</f>
        <v/>
      </c>
      <c r="AA1596" s="219">
        <f>SUM(Plan_Orc[[#This Row],[01/jan]:[01/dez]])</f>
        <v>0</v>
      </c>
      <c r="AB1596" s="15"/>
      <c r="AC1596" s="15"/>
      <c r="AD1596" s="15"/>
      <c r="AE1596" s="15"/>
      <c r="AF1596" s="15"/>
      <c r="AG1596" s="15"/>
      <c r="AH1596" s="15"/>
      <c r="AI1596" s="15"/>
      <c r="AJ1596" s="15"/>
      <c r="AK1596" s="15"/>
      <c r="AL1596" s="15"/>
      <c r="AM1596" s="15"/>
    </row>
    <row r="1597" spans="2:39" ht="25.2" customHeight="1" x14ac:dyDescent="0.3">
      <c r="B1597" s="13" t="str">
        <f t="shared" si="28"/>
        <v/>
      </c>
      <c r="C1597" s="18"/>
      <c r="D1597" s="19" t="str">
        <f>IF(Tabela2[[#This Row],[AGRUPADOR]]&lt;&gt;"",VLOOKUP(Tabela2[[#This Row],[AGRUPADOR]],Tabela1[],2,0),"")</f>
        <v/>
      </c>
      <c r="E1597" s="19" t="str">
        <f>IF(Tabela2[[#This Row],[AGRUPADOR]]&lt;&gt;"",VLOOKUP(Tabela2[[#This Row],[AGRUPADOR]],Tabela1[],4,0),"")</f>
        <v/>
      </c>
      <c r="F1597" s="14"/>
      <c r="G1597" s="6"/>
      <c r="H1597" s="6"/>
      <c r="I1597" s="25"/>
      <c r="J1597" s="7"/>
      <c r="K1597" s="15"/>
      <c r="L1597" s="379">
        <f>IF(H1597&lt;&gt;"",J1597*K1597,SUMIFS(L1598:L$9844,$F1598:$F$9844,"*"&amp;F1597&amp;"*",$H1598:$H$9844,"&lt;&gt;"))</f>
        <v>0</v>
      </c>
      <c r="M1597" s="379" t="str">
        <f>IF(Tabela2[[#This Row],[UNID.]]&lt;&gt;"",IFERROR(VLOOKUP(Tabela2[[#This Row],[AGRUPADOR]],Lucratividade!$D$4:$O$129,6,0),0),"")</f>
        <v/>
      </c>
      <c r="N1597" s="379">
        <f>IF(H1597&lt;&gt;"",J1597*M1597*I1597,SUMIFS(N1598:N$9844,$F1598:$F$9844,"*"&amp;F1597&amp;"*",$H1598:$H$9844,"&lt;&gt;"))</f>
        <v>0</v>
      </c>
      <c r="O1597" s="162" t="str">
        <f>IFERROR((-Tabela2[[#This Row],[CUSTO TOTAL]]+Tabela2[[#This Row],[VENDA TOTAL]])/Tabela2[[#This Row],[VENDA TOTAL]]-PARAMETROS!$C$19,"")</f>
        <v/>
      </c>
      <c r="AA1597" s="219">
        <f>SUM(Plan_Orc[[#This Row],[01/jan]:[01/dez]])</f>
        <v>0</v>
      </c>
      <c r="AB1597" s="15"/>
      <c r="AC1597" s="15"/>
      <c r="AD1597" s="15"/>
      <c r="AE1597" s="15"/>
      <c r="AF1597" s="15"/>
      <c r="AG1597" s="15"/>
      <c r="AH1597" s="15"/>
      <c r="AI1597" s="15"/>
      <c r="AJ1597" s="15"/>
      <c r="AK1597" s="15"/>
      <c r="AL1597" s="15"/>
      <c r="AM1597" s="15"/>
    </row>
    <row r="1598" spans="2:39" ht="25.2" customHeight="1" x14ac:dyDescent="0.3">
      <c r="B1598" s="13" t="str">
        <f t="shared" si="28"/>
        <v/>
      </c>
      <c r="C1598" s="18"/>
      <c r="D1598" s="19" t="str">
        <f>IF(Tabela2[[#This Row],[AGRUPADOR]]&lt;&gt;"",VLOOKUP(Tabela2[[#This Row],[AGRUPADOR]],Tabela1[],2,0),"")</f>
        <v/>
      </c>
      <c r="E1598" s="19" t="str">
        <f>IF(Tabela2[[#This Row],[AGRUPADOR]]&lt;&gt;"",VLOOKUP(Tabela2[[#This Row],[AGRUPADOR]],Tabela1[],4,0),"")</f>
        <v/>
      </c>
      <c r="F1598" s="14"/>
      <c r="G1598" s="6"/>
      <c r="H1598" s="6"/>
      <c r="I1598" s="25"/>
      <c r="J1598" s="7"/>
      <c r="K1598" s="15"/>
      <c r="L1598" s="379">
        <f>IF(H1598&lt;&gt;"",J1598*K1598,SUMIFS(L1599:L$9844,$F1599:$F$9844,"*"&amp;F1598&amp;"*",$H1599:$H$9844,"&lt;&gt;"))</f>
        <v>0</v>
      </c>
      <c r="M1598" s="379" t="str">
        <f>IF(Tabela2[[#This Row],[UNID.]]&lt;&gt;"",IFERROR(VLOOKUP(Tabela2[[#This Row],[AGRUPADOR]],Lucratividade!$D$4:$O$129,6,0),0),"")</f>
        <v/>
      </c>
      <c r="N1598" s="379">
        <f>IF(H1598&lt;&gt;"",J1598*M1598*I1598,SUMIFS(N1599:N$9844,$F1599:$F$9844,"*"&amp;F1598&amp;"*",$H1599:$H$9844,"&lt;&gt;"))</f>
        <v>0</v>
      </c>
      <c r="O1598" s="162" t="str">
        <f>IFERROR((-Tabela2[[#This Row],[CUSTO TOTAL]]+Tabela2[[#This Row],[VENDA TOTAL]])/Tabela2[[#This Row],[VENDA TOTAL]]-PARAMETROS!$C$19,"")</f>
        <v/>
      </c>
      <c r="AA1598" s="219">
        <f>SUM(Plan_Orc[[#This Row],[01/jan]:[01/dez]])</f>
        <v>0</v>
      </c>
      <c r="AB1598" s="15"/>
      <c r="AC1598" s="15"/>
      <c r="AD1598" s="15"/>
      <c r="AE1598" s="15"/>
      <c r="AF1598" s="15"/>
      <c r="AG1598" s="15"/>
      <c r="AH1598" s="15"/>
      <c r="AI1598" s="15"/>
      <c r="AJ1598" s="15"/>
      <c r="AK1598" s="15"/>
      <c r="AL1598" s="15"/>
      <c r="AM1598" s="15"/>
    </row>
    <row r="1599" spans="2:39" ht="25.2" customHeight="1" x14ac:dyDescent="0.3">
      <c r="B1599" s="13" t="str">
        <f t="shared" si="28"/>
        <v/>
      </c>
      <c r="C1599" s="18"/>
      <c r="D1599" s="19" t="str">
        <f>IF(Tabela2[[#This Row],[AGRUPADOR]]&lt;&gt;"",VLOOKUP(Tabela2[[#This Row],[AGRUPADOR]],Tabela1[],2,0),"")</f>
        <v/>
      </c>
      <c r="E1599" s="19" t="str">
        <f>IF(Tabela2[[#This Row],[AGRUPADOR]]&lt;&gt;"",VLOOKUP(Tabela2[[#This Row],[AGRUPADOR]],Tabela1[],4,0),"")</f>
        <v/>
      </c>
      <c r="F1599" s="14"/>
      <c r="G1599" s="6"/>
      <c r="H1599" s="6"/>
      <c r="I1599" s="25"/>
      <c r="J1599" s="7"/>
      <c r="K1599" s="15"/>
      <c r="L1599" s="379">
        <f>IF(H1599&lt;&gt;"",J1599*K1599,SUMIFS(L1600:L$9844,$F1600:$F$9844,"*"&amp;F1599&amp;"*",$H1600:$H$9844,"&lt;&gt;"))</f>
        <v>0</v>
      </c>
      <c r="M1599" s="379" t="str">
        <f>IF(Tabela2[[#This Row],[UNID.]]&lt;&gt;"",IFERROR(VLOOKUP(Tabela2[[#This Row],[AGRUPADOR]],Lucratividade!$D$4:$O$129,6,0),0),"")</f>
        <v/>
      </c>
      <c r="N1599" s="379">
        <f>IF(H1599&lt;&gt;"",J1599*M1599*I1599,SUMIFS(N1600:N$9844,$F1600:$F$9844,"*"&amp;F1599&amp;"*",$H1600:$H$9844,"&lt;&gt;"))</f>
        <v>0</v>
      </c>
      <c r="O1599" s="162" t="str">
        <f>IFERROR((-Tabela2[[#This Row],[CUSTO TOTAL]]+Tabela2[[#This Row],[VENDA TOTAL]])/Tabela2[[#This Row],[VENDA TOTAL]]-PARAMETROS!$C$19,"")</f>
        <v/>
      </c>
      <c r="AA1599" s="219">
        <f>SUM(Plan_Orc[[#This Row],[01/jan]:[01/dez]])</f>
        <v>0</v>
      </c>
      <c r="AB1599" s="15"/>
      <c r="AC1599" s="15"/>
      <c r="AD1599" s="15"/>
      <c r="AE1599" s="15"/>
      <c r="AF1599" s="15"/>
      <c r="AG1599" s="15"/>
      <c r="AH1599" s="15"/>
      <c r="AI1599" s="15"/>
      <c r="AJ1599" s="15"/>
      <c r="AK1599" s="15"/>
      <c r="AL1599" s="15"/>
      <c r="AM1599" s="15"/>
    </row>
    <row r="1600" spans="2:39" ht="25.2" customHeight="1" x14ac:dyDescent="0.3">
      <c r="B1600" s="13" t="str">
        <f t="shared" si="28"/>
        <v/>
      </c>
      <c r="C1600" s="18"/>
      <c r="D1600" s="19" t="str">
        <f>IF(Tabela2[[#This Row],[AGRUPADOR]]&lt;&gt;"",VLOOKUP(Tabela2[[#This Row],[AGRUPADOR]],Tabela1[],2,0),"")</f>
        <v/>
      </c>
      <c r="E1600" s="19" t="str">
        <f>IF(Tabela2[[#This Row],[AGRUPADOR]]&lt;&gt;"",VLOOKUP(Tabela2[[#This Row],[AGRUPADOR]],Tabela1[],4,0),"")</f>
        <v/>
      </c>
      <c r="F1600" s="14"/>
      <c r="G1600" s="6"/>
      <c r="H1600" s="6"/>
      <c r="I1600" s="25"/>
      <c r="J1600" s="7"/>
      <c r="K1600" s="15"/>
      <c r="L1600" s="379">
        <f>IF(H1600&lt;&gt;"",J1600*K1600,SUMIFS(L1601:L$9844,$F1601:$F$9844,"*"&amp;F1600&amp;"*",$H1601:$H$9844,"&lt;&gt;"))</f>
        <v>0</v>
      </c>
      <c r="M1600" s="379" t="str">
        <f>IF(Tabela2[[#This Row],[UNID.]]&lt;&gt;"",IFERROR(VLOOKUP(Tabela2[[#This Row],[AGRUPADOR]],Lucratividade!$D$4:$O$129,6,0),0),"")</f>
        <v/>
      </c>
      <c r="N1600" s="379">
        <f>IF(H1600&lt;&gt;"",J1600*M1600*I1600,SUMIFS(N1601:N$9844,$F1601:$F$9844,"*"&amp;F1600&amp;"*",$H1601:$H$9844,"&lt;&gt;"))</f>
        <v>0</v>
      </c>
      <c r="O1600" s="162" t="str">
        <f>IFERROR((-Tabela2[[#This Row],[CUSTO TOTAL]]+Tabela2[[#This Row],[VENDA TOTAL]])/Tabela2[[#This Row],[VENDA TOTAL]]-PARAMETROS!$C$19,"")</f>
        <v/>
      </c>
      <c r="AA1600" s="219">
        <f>SUM(Plan_Orc[[#This Row],[01/jan]:[01/dez]])</f>
        <v>0</v>
      </c>
      <c r="AB1600" s="15"/>
      <c r="AC1600" s="15"/>
      <c r="AD1600" s="15"/>
      <c r="AE1600" s="15"/>
      <c r="AF1600" s="15"/>
      <c r="AG1600" s="15"/>
      <c r="AH1600" s="15"/>
      <c r="AI1600" s="15"/>
      <c r="AJ1600" s="15"/>
      <c r="AK1600" s="15"/>
      <c r="AL1600" s="15"/>
      <c r="AM1600" s="15"/>
    </row>
    <row r="1601" spans="2:39" ht="25.2" customHeight="1" x14ac:dyDescent="0.3">
      <c r="B1601" s="13" t="str">
        <f t="shared" si="28"/>
        <v/>
      </c>
      <c r="C1601" s="18"/>
      <c r="D1601" s="19" t="str">
        <f>IF(Tabela2[[#This Row],[AGRUPADOR]]&lt;&gt;"",VLOOKUP(Tabela2[[#This Row],[AGRUPADOR]],Tabela1[],2,0),"")</f>
        <v/>
      </c>
      <c r="E1601" s="19" t="str">
        <f>IF(Tabela2[[#This Row],[AGRUPADOR]]&lt;&gt;"",VLOOKUP(Tabela2[[#This Row],[AGRUPADOR]],Tabela1[],4,0),"")</f>
        <v/>
      </c>
      <c r="F1601" s="14"/>
      <c r="G1601" s="6"/>
      <c r="H1601" s="6"/>
      <c r="I1601" s="25"/>
      <c r="J1601" s="7"/>
      <c r="K1601" s="15"/>
      <c r="L1601" s="379">
        <f>IF(H1601&lt;&gt;"",J1601*K1601,SUMIFS(L1602:L$9844,$F1602:$F$9844,"*"&amp;F1601&amp;"*",$H1602:$H$9844,"&lt;&gt;"))</f>
        <v>0</v>
      </c>
      <c r="M1601" s="379" t="str">
        <f>IF(Tabela2[[#This Row],[UNID.]]&lt;&gt;"",IFERROR(VLOOKUP(Tabela2[[#This Row],[AGRUPADOR]],Lucratividade!$D$4:$O$129,6,0),0),"")</f>
        <v/>
      </c>
      <c r="N1601" s="379">
        <f>IF(H1601&lt;&gt;"",J1601*M1601*I1601,SUMIFS(N1602:N$9844,$F1602:$F$9844,"*"&amp;F1601&amp;"*",$H1602:$H$9844,"&lt;&gt;"))</f>
        <v>0</v>
      </c>
      <c r="O1601" s="162" t="str">
        <f>IFERROR((-Tabela2[[#This Row],[CUSTO TOTAL]]+Tabela2[[#This Row],[VENDA TOTAL]])/Tabela2[[#This Row],[VENDA TOTAL]]-PARAMETROS!$C$19,"")</f>
        <v/>
      </c>
      <c r="AA1601" s="218">
        <f>SUM(Plan_Orc[[#This Row],[01/jan]:[01/dez]])</f>
        <v>0</v>
      </c>
      <c r="AB1601" s="12"/>
      <c r="AC1601" s="12"/>
      <c r="AD1601" s="12"/>
      <c r="AE1601" s="12"/>
      <c r="AF1601" s="12"/>
      <c r="AG1601" s="12"/>
      <c r="AH1601" s="12"/>
      <c r="AI1601" s="12"/>
      <c r="AJ1601" s="12"/>
      <c r="AK1601" s="12"/>
      <c r="AL1601" s="12"/>
      <c r="AM1601" s="12"/>
    </row>
    <row r="1602" spans="2:39" ht="25.2" customHeight="1" x14ac:dyDescent="0.3">
      <c r="B1602" s="13" t="str">
        <f t="shared" si="28"/>
        <v/>
      </c>
      <c r="C1602" s="18"/>
      <c r="D1602" s="19" t="str">
        <f>IF(Tabela2[[#This Row],[AGRUPADOR]]&lt;&gt;"",VLOOKUP(Tabela2[[#This Row],[AGRUPADOR]],Tabela1[],2,0),"")</f>
        <v/>
      </c>
      <c r="E1602" s="19" t="str">
        <f>IF(Tabela2[[#This Row],[AGRUPADOR]]&lt;&gt;"",VLOOKUP(Tabela2[[#This Row],[AGRUPADOR]],Tabela1[],4,0),"")</f>
        <v/>
      </c>
      <c r="F1602" s="14"/>
      <c r="G1602" s="6"/>
      <c r="H1602" s="6"/>
      <c r="I1602" s="25"/>
      <c r="J1602" s="7"/>
      <c r="K1602" s="15"/>
      <c r="L1602" s="379">
        <f>IF(H1602&lt;&gt;"",J1602*K1602,SUMIFS(L1603:L$9844,$F1603:$F$9844,"*"&amp;F1602&amp;"*",$H1603:$H$9844,"&lt;&gt;"))</f>
        <v>0</v>
      </c>
      <c r="M1602" s="379" t="str">
        <f>IF(Tabela2[[#This Row],[UNID.]]&lt;&gt;"",IFERROR(VLOOKUP(Tabela2[[#This Row],[AGRUPADOR]],Lucratividade!$D$4:$O$129,6,0),0),"")</f>
        <v/>
      </c>
      <c r="N1602" s="379">
        <f>IF(H1602&lt;&gt;"",J1602*M1602*I1602,SUMIFS(N1603:N$9844,$F1603:$F$9844,"*"&amp;F1602&amp;"*",$H1603:$H$9844,"&lt;&gt;"))</f>
        <v>0</v>
      </c>
      <c r="O1602" s="162" t="str">
        <f>IFERROR((-Tabela2[[#This Row],[CUSTO TOTAL]]+Tabela2[[#This Row],[VENDA TOTAL]])/Tabela2[[#This Row],[VENDA TOTAL]]-PARAMETROS!$C$19,"")</f>
        <v/>
      </c>
      <c r="AA1602" s="219">
        <f>SUM(Plan_Orc[[#This Row],[01/jan]:[01/dez]])</f>
        <v>0</v>
      </c>
      <c r="AB1602" s="15"/>
      <c r="AC1602" s="15"/>
      <c r="AD1602" s="15"/>
      <c r="AE1602" s="15"/>
      <c r="AF1602" s="15"/>
      <c r="AG1602" s="15"/>
      <c r="AH1602" s="15"/>
      <c r="AI1602" s="15"/>
      <c r="AJ1602" s="15"/>
      <c r="AK1602" s="15"/>
      <c r="AL1602" s="15"/>
      <c r="AM1602" s="15"/>
    </row>
    <row r="1603" spans="2:39" ht="25.2" customHeight="1" x14ac:dyDescent="0.3">
      <c r="B1603" s="13" t="str">
        <f t="shared" si="28"/>
        <v/>
      </c>
      <c r="C1603" s="18"/>
      <c r="D1603" s="19" t="str">
        <f>IF(Tabela2[[#This Row],[AGRUPADOR]]&lt;&gt;"",VLOOKUP(Tabela2[[#This Row],[AGRUPADOR]],Tabela1[],2,0),"")</f>
        <v/>
      </c>
      <c r="E1603" s="19" t="str">
        <f>IF(Tabela2[[#This Row],[AGRUPADOR]]&lt;&gt;"",VLOOKUP(Tabela2[[#This Row],[AGRUPADOR]],Tabela1[],4,0),"")</f>
        <v/>
      </c>
      <c r="F1603" s="14"/>
      <c r="G1603" s="6"/>
      <c r="H1603" s="6"/>
      <c r="I1603" s="25"/>
      <c r="J1603" s="7"/>
      <c r="K1603" s="15"/>
      <c r="L1603" s="379">
        <f>IF(H1603&lt;&gt;"",J1603*K1603,SUMIFS(L1604:L$9844,$F1604:$F$9844,"*"&amp;F1603&amp;"*",$H1604:$H$9844,"&lt;&gt;"))</f>
        <v>0</v>
      </c>
      <c r="M1603" s="379" t="str">
        <f>IF(Tabela2[[#This Row],[UNID.]]&lt;&gt;"",IFERROR(VLOOKUP(Tabela2[[#This Row],[AGRUPADOR]],Lucratividade!$D$4:$O$129,6,0),0),"")</f>
        <v/>
      </c>
      <c r="N1603" s="379">
        <f>IF(H1603&lt;&gt;"",J1603*M1603*I1603,SUMIFS(N1604:N$9844,$F1604:$F$9844,"*"&amp;F1603&amp;"*",$H1604:$H$9844,"&lt;&gt;"))</f>
        <v>0</v>
      </c>
      <c r="O1603" s="162" t="str">
        <f>IFERROR((-Tabela2[[#This Row],[CUSTO TOTAL]]+Tabela2[[#This Row],[VENDA TOTAL]])/Tabela2[[#This Row],[VENDA TOTAL]]-PARAMETROS!$C$19,"")</f>
        <v/>
      </c>
      <c r="AA1603" s="219">
        <f>SUM(Plan_Orc[[#This Row],[01/jan]:[01/dez]])</f>
        <v>0</v>
      </c>
      <c r="AB1603" s="15"/>
      <c r="AC1603" s="15"/>
      <c r="AD1603" s="15"/>
      <c r="AE1603" s="15"/>
      <c r="AF1603" s="15"/>
      <c r="AG1603" s="15"/>
      <c r="AH1603" s="15"/>
      <c r="AI1603" s="15"/>
      <c r="AJ1603" s="15"/>
      <c r="AK1603" s="15"/>
      <c r="AL1603" s="15"/>
      <c r="AM1603" s="15"/>
    </row>
    <row r="1604" spans="2:39" ht="25.2" customHeight="1" x14ac:dyDescent="0.3">
      <c r="B1604" s="13" t="str">
        <f t="shared" ref="B1604:B1667" si="29">IF(LEN(F1604)=3,1,"")</f>
        <v/>
      </c>
      <c r="C1604" s="18"/>
      <c r="D1604" s="19" t="str">
        <f>IF(Tabela2[[#This Row],[AGRUPADOR]]&lt;&gt;"",VLOOKUP(Tabela2[[#This Row],[AGRUPADOR]],Tabela1[],2,0),"")</f>
        <v/>
      </c>
      <c r="E1604" s="19" t="str">
        <f>IF(Tabela2[[#This Row],[AGRUPADOR]]&lt;&gt;"",VLOOKUP(Tabela2[[#This Row],[AGRUPADOR]],Tabela1[],4,0),"")</f>
        <v/>
      </c>
      <c r="F1604" s="14"/>
      <c r="G1604" s="6"/>
      <c r="H1604" s="6"/>
      <c r="I1604" s="25"/>
      <c r="J1604" s="7"/>
      <c r="K1604" s="15"/>
      <c r="L1604" s="379">
        <f>IF(H1604&lt;&gt;"",J1604*K1604,SUMIFS(L1605:L$9844,$F1605:$F$9844,"*"&amp;F1604&amp;"*",$H1605:$H$9844,"&lt;&gt;"))</f>
        <v>0</v>
      </c>
      <c r="M1604" s="379" t="str">
        <f>IF(Tabela2[[#This Row],[UNID.]]&lt;&gt;"",IFERROR(VLOOKUP(Tabela2[[#This Row],[AGRUPADOR]],Lucratividade!$D$4:$O$129,6,0),0),"")</f>
        <v/>
      </c>
      <c r="N1604" s="379">
        <f>IF(H1604&lt;&gt;"",J1604*M1604*I1604,SUMIFS(N1605:N$9844,$F1605:$F$9844,"*"&amp;F1604&amp;"*",$H1605:$H$9844,"&lt;&gt;"))</f>
        <v>0</v>
      </c>
      <c r="O1604" s="162" t="str">
        <f>IFERROR((-Tabela2[[#This Row],[CUSTO TOTAL]]+Tabela2[[#This Row],[VENDA TOTAL]])/Tabela2[[#This Row],[VENDA TOTAL]]-PARAMETROS!$C$19,"")</f>
        <v/>
      </c>
      <c r="AA1604" s="219">
        <f>SUM(Plan_Orc[[#This Row],[01/jan]:[01/dez]])</f>
        <v>0</v>
      </c>
      <c r="AB1604" s="15"/>
      <c r="AC1604" s="15"/>
      <c r="AD1604" s="15"/>
      <c r="AE1604" s="15"/>
      <c r="AF1604" s="15"/>
      <c r="AG1604" s="15"/>
      <c r="AH1604" s="15"/>
      <c r="AI1604" s="15"/>
      <c r="AJ1604" s="15"/>
      <c r="AK1604" s="15"/>
      <c r="AL1604" s="15"/>
      <c r="AM1604" s="15"/>
    </row>
    <row r="1605" spans="2:39" ht="25.2" customHeight="1" x14ac:dyDescent="0.3">
      <c r="B1605" s="13" t="str">
        <f t="shared" si="29"/>
        <v/>
      </c>
      <c r="C1605" s="18"/>
      <c r="D1605" s="19" t="str">
        <f>IF(Tabela2[[#This Row],[AGRUPADOR]]&lt;&gt;"",VLOOKUP(Tabela2[[#This Row],[AGRUPADOR]],Tabela1[],2,0),"")</f>
        <v/>
      </c>
      <c r="E1605" s="19" t="str">
        <f>IF(Tabela2[[#This Row],[AGRUPADOR]]&lt;&gt;"",VLOOKUP(Tabela2[[#This Row],[AGRUPADOR]],Tabela1[],4,0),"")</f>
        <v/>
      </c>
      <c r="F1605" s="14"/>
      <c r="G1605" s="6"/>
      <c r="H1605" s="6"/>
      <c r="I1605" s="25"/>
      <c r="J1605" s="7"/>
      <c r="K1605" s="15"/>
      <c r="L1605" s="379">
        <f>IF(H1605&lt;&gt;"",J1605*K1605,SUMIFS(L1606:L$9844,$F1606:$F$9844,"*"&amp;F1605&amp;"*",$H1606:$H$9844,"&lt;&gt;"))</f>
        <v>0</v>
      </c>
      <c r="M1605" s="379" t="str">
        <f>IF(Tabela2[[#This Row],[UNID.]]&lt;&gt;"",IFERROR(VLOOKUP(Tabela2[[#This Row],[AGRUPADOR]],Lucratividade!$D$4:$O$129,6,0),0),"")</f>
        <v/>
      </c>
      <c r="N1605" s="379">
        <f>IF(H1605&lt;&gt;"",J1605*M1605*I1605,SUMIFS(N1606:N$9844,$F1606:$F$9844,"*"&amp;F1605&amp;"*",$H1606:$H$9844,"&lt;&gt;"))</f>
        <v>0</v>
      </c>
      <c r="O1605" s="162" t="str">
        <f>IFERROR((-Tabela2[[#This Row],[CUSTO TOTAL]]+Tabela2[[#This Row],[VENDA TOTAL]])/Tabela2[[#This Row],[VENDA TOTAL]]-PARAMETROS!$C$19,"")</f>
        <v/>
      </c>
      <c r="AA1605" s="219">
        <f>SUM(Plan_Orc[[#This Row],[01/jan]:[01/dez]])</f>
        <v>0</v>
      </c>
      <c r="AB1605" s="15"/>
      <c r="AC1605" s="15"/>
      <c r="AD1605" s="15"/>
      <c r="AE1605" s="15"/>
      <c r="AF1605" s="15"/>
      <c r="AG1605" s="15"/>
      <c r="AH1605" s="15"/>
      <c r="AI1605" s="15"/>
      <c r="AJ1605" s="15"/>
      <c r="AK1605" s="15"/>
      <c r="AL1605" s="15"/>
      <c r="AM1605" s="15"/>
    </row>
    <row r="1606" spans="2:39" ht="25.2" customHeight="1" x14ac:dyDescent="0.3">
      <c r="B1606" s="13" t="str">
        <f t="shared" si="29"/>
        <v/>
      </c>
      <c r="C1606" s="18"/>
      <c r="D1606" s="19" t="str">
        <f>IF(Tabela2[[#This Row],[AGRUPADOR]]&lt;&gt;"",VLOOKUP(Tabela2[[#This Row],[AGRUPADOR]],Tabela1[],2,0),"")</f>
        <v/>
      </c>
      <c r="E1606" s="19" t="str">
        <f>IF(Tabela2[[#This Row],[AGRUPADOR]]&lt;&gt;"",VLOOKUP(Tabela2[[#This Row],[AGRUPADOR]],Tabela1[],4,0),"")</f>
        <v/>
      </c>
      <c r="F1606" s="14"/>
      <c r="G1606" s="6"/>
      <c r="H1606" s="6"/>
      <c r="I1606" s="25"/>
      <c r="J1606" s="7"/>
      <c r="K1606" s="15"/>
      <c r="L1606" s="379">
        <f>IF(H1606&lt;&gt;"",J1606*K1606,SUMIFS(L1607:L$9844,$F1607:$F$9844,"*"&amp;F1606&amp;"*",$H1607:$H$9844,"&lt;&gt;"))</f>
        <v>0</v>
      </c>
      <c r="M1606" s="379" t="str">
        <f>IF(Tabela2[[#This Row],[UNID.]]&lt;&gt;"",IFERROR(VLOOKUP(Tabela2[[#This Row],[AGRUPADOR]],Lucratividade!$D$4:$O$129,6,0),0),"")</f>
        <v/>
      </c>
      <c r="N1606" s="379">
        <f>IF(H1606&lt;&gt;"",J1606*M1606*I1606,SUMIFS(N1607:N$9844,$F1607:$F$9844,"*"&amp;F1606&amp;"*",$H1607:$H$9844,"&lt;&gt;"))</f>
        <v>0</v>
      </c>
      <c r="O1606" s="162" t="str">
        <f>IFERROR((-Tabela2[[#This Row],[CUSTO TOTAL]]+Tabela2[[#This Row],[VENDA TOTAL]])/Tabela2[[#This Row],[VENDA TOTAL]]-PARAMETROS!$C$19,"")</f>
        <v/>
      </c>
      <c r="AA1606" s="219">
        <f>SUM(Plan_Orc[[#This Row],[01/jan]:[01/dez]])</f>
        <v>0</v>
      </c>
      <c r="AB1606" s="15"/>
      <c r="AC1606" s="15"/>
      <c r="AD1606" s="15"/>
      <c r="AE1606" s="15"/>
      <c r="AF1606" s="15"/>
      <c r="AG1606" s="15"/>
      <c r="AH1606" s="15"/>
      <c r="AI1606" s="15"/>
      <c r="AJ1606" s="15"/>
      <c r="AK1606" s="15"/>
      <c r="AL1606" s="15"/>
      <c r="AM1606" s="15"/>
    </row>
    <row r="1607" spans="2:39" ht="25.2" customHeight="1" x14ac:dyDescent="0.3">
      <c r="B1607" s="13" t="str">
        <f t="shared" si="29"/>
        <v/>
      </c>
      <c r="C1607" s="18"/>
      <c r="D1607" s="19" t="str">
        <f>IF(Tabela2[[#This Row],[AGRUPADOR]]&lt;&gt;"",VLOOKUP(Tabela2[[#This Row],[AGRUPADOR]],Tabela1[],2,0),"")</f>
        <v/>
      </c>
      <c r="E1607" s="19" t="str">
        <f>IF(Tabela2[[#This Row],[AGRUPADOR]]&lt;&gt;"",VLOOKUP(Tabela2[[#This Row],[AGRUPADOR]],Tabela1[],4,0),"")</f>
        <v/>
      </c>
      <c r="F1607" s="14"/>
      <c r="G1607" s="6"/>
      <c r="H1607" s="6"/>
      <c r="I1607" s="25"/>
      <c r="J1607" s="7"/>
      <c r="K1607" s="15"/>
      <c r="L1607" s="379">
        <f>IF(H1607&lt;&gt;"",J1607*K1607,SUMIFS(L1608:L$9844,$F1608:$F$9844,"*"&amp;F1607&amp;"*",$H1608:$H$9844,"&lt;&gt;"))</f>
        <v>0</v>
      </c>
      <c r="M1607" s="379" t="str">
        <f>IF(Tabela2[[#This Row],[UNID.]]&lt;&gt;"",IFERROR(VLOOKUP(Tabela2[[#This Row],[AGRUPADOR]],Lucratividade!$D$4:$O$129,6,0),0),"")</f>
        <v/>
      </c>
      <c r="N1607" s="379">
        <f>IF(H1607&lt;&gt;"",J1607*M1607*I1607,SUMIFS(N1608:N$9844,$F1608:$F$9844,"*"&amp;F1607&amp;"*",$H1608:$H$9844,"&lt;&gt;"))</f>
        <v>0</v>
      </c>
      <c r="O1607" s="162" t="str">
        <f>IFERROR((-Tabela2[[#This Row],[CUSTO TOTAL]]+Tabela2[[#This Row],[VENDA TOTAL]])/Tabela2[[#This Row],[VENDA TOTAL]]-PARAMETROS!$C$19,"")</f>
        <v/>
      </c>
      <c r="AA1607" s="219">
        <f>SUM(Plan_Orc[[#This Row],[01/jan]:[01/dez]])</f>
        <v>0</v>
      </c>
      <c r="AB1607" s="15"/>
      <c r="AC1607" s="15"/>
      <c r="AD1607" s="15"/>
      <c r="AE1607" s="15"/>
      <c r="AF1607" s="15"/>
      <c r="AG1607" s="15"/>
      <c r="AH1607" s="15"/>
      <c r="AI1607" s="15"/>
      <c r="AJ1607" s="15"/>
      <c r="AK1607" s="15"/>
      <c r="AL1607" s="15"/>
      <c r="AM1607" s="15"/>
    </row>
    <row r="1608" spans="2:39" ht="25.2" customHeight="1" x14ac:dyDescent="0.3">
      <c r="B1608" s="13" t="str">
        <f t="shared" si="29"/>
        <v/>
      </c>
      <c r="C1608" s="18"/>
      <c r="D1608" s="19" t="str">
        <f>IF(Tabela2[[#This Row],[AGRUPADOR]]&lt;&gt;"",VLOOKUP(Tabela2[[#This Row],[AGRUPADOR]],Tabela1[],2,0),"")</f>
        <v/>
      </c>
      <c r="E1608" s="19" t="str">
        <f>IF(Tabela2[[#This Row],[AGRUPADOR]]&lt;&gt;"",VLOOKUP(Tabela2[[#This Row],[AGRUPADOR]],Tabela1[],4,0),"")</f>
        <v/>
      </c>
      <c r="F1608" s="14"/>
      <c r="G1608" s="6"/>
      <c r="H1608" s="6"/>
      <c r="I1608" s="25"/>
      <c r="J1608" s="7"/>
      <c r="K1608" s="15"/>
      <c r="L1608" s="379">
        <f>IF(H1608&lt;&gt;"",J1608*K1608,SUMIFS(L1609:L$9844,$F1609:$F$9844,"*"&amp;F1608&amp;"*",$H1609:$H$9844,"&lt;&gt;"))</f>
        <v>0</v>
      </c>
      <c r="M1608" s="379" t="str">
        <f>IF(Tabela2[[#This Row],[UNID.]]&lt;&gt;"",IFERROR(VLOOKUP(Tabela2[[#This Row],[AGRUPADOR]],Lucratividade!$D$4:$O$129,6,0),0),"")</f>
        <v/>
      </c>
      <c r="N1608" s="379">
        <f>IF(H1608&lt;&gt;"",J1608*M1608*I1608,SUMIFS(N1609:N$9844,$F1609:$F$9844,"*"&amp;F1608&amp;"*",$H1609:$H$9844,"&lt;&gt;"))</f>
        <v>0</v>
      </c>
      <c r="O1608" s="162" t="str">
        <f>IFERROR((-Tabela2[[#This Row],[CUSTO TOTAL]]+Tabela2[[#This Row],[VENDA TOTAL]])/Tabela2[[#This Row],[VENDA TOTAL]]-PARAMETROS!$C$19,"")</f>
        <v/>
      </c>
      <c r="AA1608" s="219">
        <f>SUM(Plan_Orc[[#This Row],[01/jan]:[01/dez]])</f>
        <v>0</v>
      </c>
      <c r="AB1608" s="15"/>
      <c r="AC1608" s="15"/>
      <c r="AD1608" s="15"/>
      <c r="AE1608" s="15"/>
      <c r="AF1608" s="15"/>
      <c r="AG1608" s="15"/>
      <c r="AH1608" s="15"/>
      <c r="AI1608" s="15"/>
      <c r="AJ1608" s="15"/>
      <c r="AK1608" s="15"/>
      <c r="AL1608" s="15"/>
      <c r="AM1608" s="15"/>
    </row>
    <row r="1609" spans="2:39" ht="25.2" customHeight="1" x14ac:dyDescent="0.3">
      <c r="B1609" s="13" t="str">
        <f t="shared" si="29"/>
        <v/>
      </c>
      <c r="C1609" s="18"/>
      <c r="D1609" s="19" t="str">
        <f>IF(Tabela2[[#This Row],[AGRUPADOR]]&lt;&gt;"",VLOOKUP(Tabela2[[#This Row],[AGRUPADOR]],Tabela1[],2,0),"")</f>
        <v/>
      </c>
      <c r="E1609" s="19" t="str">
        <f>IF(Tabela2[[#This Row],[AGRUPADOR]]&lt;&gt;"",VLOOKUP(Tabela2[[#This Row],[AGRUPADOR]],Tabela1[],4,0),"")</f>
        <v/>
      </c>
      <c r="F1609" s="14"/>
      <c r="G1609" s="6"/>
      <c r="H1609" s="6"/>
      <c r="I1609" s="25"/>
      <c r="J1609" s="7"/>
      <c r="K1609" s="15"/>
      <c r="L1609" s="379">
        <f>IF(H1609&lt;&gt;"",J1609*K1609,SUMIFS(L1610:L$9844,$F1610:$F$9844,"*"&amp;F1609&amp;"*",$H1610:$H$9844,"&lt;&gt;"))</f>
        <v>0</v>
      </c>
      <c r="M1609" s="379" t="str">
        <f>IF(Tabela2[[#This Row],[UNID.]]&lt;&gt;"",IFERROR(VLOOKUP(Tabela2[[#This Row],[AGRUPADOR]],Lucratividade!$D$4:$O$129,6,0),0),"")</f>
        <v/>
      </c>
      <c r="N1609" s="379">
        <f>IF(H1609&lt;&gt;"",J1609*M1609*I1609,SUMIFS(N1610:N$9844,$F1610:$F$9844,"*"&amp;F1609&amp;"*",$H1610:$H$9844,"&lt;&gt;"))</f>
        <v>0</v>
      </c>
      <c r="O1609" s="162" t="str">
        <f>IFERROR((-Tabela2[[#This Row],[CUSTO TOTAL]]+Tabela2[[#This Row],[VENDA TOTAL]])/Tabela2[[#This Row],[VENDA TOTAL]]-PARAMETROS!$C$19,"")</f>
        <v/>
      </c>
      <c r="AA1609" s="219">
        <f>SUM(Plan_Orc[[#This Row],[01/jan]:[01/dez]])</f>
        <v>0</v>
      </c>
      <c r="AB1609" s="15"/>
      <c r="AC1609" s="15"/>
      <c r="AD1609" s="15"/>
      <c r="AE1609" s="15"/>
      <c r="AF1609" s="15"/>
      <c r="AG1609" s="15"/>
      <c r="AH1609" s="15"/>
      <c r="AI1609" s="15"/>
      <c r="AJ1609" s="15"/>
      <c r="AK1609" s="15"/>
      <c r="AL1609" s="15"/>
      <c r="AM1609" s="15"/>
    </row>
    <row r="1610" spans="2:39" ht="25.2" customHeight="1" x14ac:dyDescent="0.3">
      <c r="B1610" s="13" t="str">
        <f t="shared" si="29"/>
        <v/>
      </c>
      <c r="C1610" s="18"/>
      <c r="D1610" s="19" t="str">
        <f>IF(Tabela2[[#This Row],[AGRUPADOR]]&lt;&gt;"",VLOOKUP(Tabela2[[#This Row],[AGRUPADOR]],Tabela1[],2,0),"")</f>
        <v/>
      </c>
      <c r="E1610" s="19" t="str">
        <f>IF(Tabela2[[#This Row],[AGRUPADOR]]&lt;&gt;"",VLOOKUP(Tabela2[[#This Row],[AGRUPADOR]],Tabela1[],4,0),"")</f>
        <v/>
      </c>
      <c r="F1610" s="14"/>
      <c r="G1610" s="6"/>
      <c r="H1610" s="6"/>
      <c r="I1610" s="25"/>
      <c r="J1610" s="7"/>
      <c r="K1610" s="15"/>
      <c r="L1610" s="379">
        <f>IF(H1610&lt;&gt;"",J1610*K1610,SUMIFS(L1611:L$9844,$F1611:$F$9844,"*"&amp;F1610&amp;"*",$H1611:$H$9844,"&lt;&gt;"))</f>
        <v>0</v>
      </c>
      <c r="M1610" s="379" t="str">
        <f>IF(Tabela2[[#This Row],[UNID.]]&lt;&gt;"",IFERROR(VLOOKUP(Tabela2[[#This Row],[AGRUPADOR]],Lucratividade!$D$4:$O$129,6,0),0),"")</f>
        <v/>
      </c>
      <c r="N1610" s="379">
        <f>IF(H1610&lt;&gt;"",J1610*M1610*I1610,SUMIFS(N1611:N$9844,$F1611:$F$9844,"*"&amp;F1610&amp;"*",$H1611:$H$9844,"&lt;&gt;"))</f>
        <v>0</v>
      </c>
      <c r="O1610" s="162" t="str">
        <f>IFERROR((-Tabela2[[#This Row],[CUSTO TOTAL]]+Tabela2[[#This Row],[VENDA TOTAL]])/Tabela2[[#This Row],[VENDA TOTAL]]-PARAMETROS!$C$19,"")</f>
        <v/>
      </c>
      <c r="AA1610" s="219">
        <f>SUM(Plan_Orc[[#This Row],[01/jan]:[01/dez]])</f>
        <v>0</v>
      </c>
      <c r="AB1610" s="15"/>
      <c r="AC1610" s="15"/>
      <c r="AD1610" s="15"/>
      <c r="AE1610" s="15"/>
      <c r="AF1610" s="15"/>
      <c r="AG1610" s="15"/>
      <c r="AH1610" s="15"/>
      <c r="AI1610" s="15"/>
      <c r="AJ1610" s="15"/>
      <c r="AK1610" s="15"/>
      <c r="AL1610" s="15"/>
      <c r="AM1610" s="15"/>
    </row>
    <row r="1611" spans="2:39" ht="25.2" customHeight="1" x14ac:dyDescent="0.3">
      <c r="B1611" s="13" t="str">
        <f t="shared" si="29"/>
        <v/>
      </c>
      <c r="C1611" s="18"/>
      <c r="D1611" s="19" t="str">
        <f>IF(Tabela2[[#This Row],[AGRUPADOR]]&lt;&gt;"",VLOOKUP(Tabela2[[#This Row],[AGRUPADOR]],Tabela1[],2,0),"")</f>
        <v/>
      </c>
      <c r="E1611" s="19" t="str">
        <f>IF(Tabela2[[#This Row],[AGRUPADOR]]&lt;&gt;"",VLOOKUP(Tabela2[[#This Row],[AGRUPADOR]],Tabela1[],4,0),"")</f>
        <v/>
      </c>
      <c r="F1611" s="14"/>
      <c r="G1611" s="6"/>
      <c r="H1611" s="6"/>
      <c r="I1611" s="25"/>
      <c r="J1611" s="7"/>
      <c r="K1611" s="15"/>
      <c r="L1611" s="379">
        <f>IF(H1611&lt;&gt;"",J1611*K1611,SUMIFS(L1612:L$9844,$F1612:$F$9844,"*"&amp;F1611&amp;"*",$H1612:$H$9844,"&lt;&gt;"))</f>
        <v>0</v>
      </c>
      <c r="M1611" s="379" t="str">
        <f>IF(Tabela2[[#This Row],[UNID.]]&lt;&gt;"",IFERROR(VLOOKUP(Tabela2[[#This Row],[AGRUPADOR]],Lucratividade!$D$4:$O$129,6,0),0),"")</f>
        <v/>
      </c>
      <c r="N1611" s="379">
        <f>IF(H1611&lt;&gt;"",J1611*M1611*I1611,SUMIFS(N1612:N$9844,$F1612:$F$9844,"*"&amp;F1611&amp;"*",$H1612:$H$9844,"&lt;&gt;"))</f>
        <v>0</v>
      </c>
      <c r="O1611" s="162" t="str">
        <f>IFERROR((-Tabela2[[#This Row],[CUSTO TOTAL]]+Tabela2[[#This Row],[VENDA TOTAL]])/Tabela2[[#This Row],[VENDA TOTAL]]-PARAMETROS!$C$19,"")</f>
        <v/>
      </c>
      <c r="AA1611" s="219">
        <f>SUM(Plan_Orc[[#This Row],[01/jan]:[01/dez]])</f>
        <v>0</v>
      </c>
      <c r="AB1611" s="15"/>
      <c r="AC1611" s="15"/>
      <c r="AD1611" s="15"/>
      <c r="AE1611" s="15"/>
      <c r="AF1611" s="15"/>
      <c r="AG1611" s="15"/>
      <c r="AH1611" s="15"/>
      <c r="AI1611" s="15"/>
      <c r="AJ1611" s="15"/>
      <c r="AK1611" s="15"/>
      <c r="AL1611" s="15"/>
      <c r="AM1611" s="15"/>
    </row>
    <row r="1612" spans="2:39" ht="25.2" customHeight="1" x14ac:dyDescent="0.3">
      <c r="B1612" s="13" t="str">
        <f t="shared" si="29"/>
        <v/>
      </c>
      <c r="C1612" s="18"/>
      <c r="D1612" s="19" t="str">
        <f>IF(Tabela2[[#This Row],[AGRUPADOR]]&lt;&gt;"",VLOOKUP(Tabela2[[#This Row],[AGRUPADOR]],Tabela1[],2,0),"")</f>
        <v/>
      </c>
      <c r="E1612" s="19" t="str">
        <f>IF(Tabela2[[#This Row],[AGRUPADOR]]&lt;&gt;"",VLOOKUP(Tabela2[[#This Row],[AGRUPADOR]],Tabela1[],4,0),"")</f>
        <v/>
      </c>
      <c r="F1612" s="14"/>
      <c r="G1612" s="6"/>
      <c r="H1612" s="6"/>
      <c r="I1612" s="25"/>
      <c r="J1612" s="7"/>
      <c r="K1612" s="15"/>
      <c r="L1612" s="379">
        <f>IF(H1612&lt;&gt;"",J1612*K1612,SUMIFS(L1613:L$9844,$F1613:$F$9844,"*"&amp;F1612&amp;"*",$H1613:$H$9844,"&lt;&gt;"))</f>
        <v>0</v>
      </c>
      <c r="M1612" s="379" t="str">
        <f>IF(Tabela2[[#This Row],[UNID.]]&lt;&gt;"",IFERROR(VLOOKUP(Tabela2[[#This Row],[AGRUPADOR]],Lucratividade!$D$4:$O$129,6,0),0),"")</f>
        <v/>
      </c>
      <c r="N1612" s="379">
        <f>IF(H1612&lt;&gt;"",J1612*M1612*I1612,SUMIFS(N1613:N$9844,$F1613:$F$9844,"*"&amp;F1612&amp;"*",$H1613:$H$9844,"&lt;&gt;"))</f>
        <v>0</v>
      </c>
      <c r="O1612" s="162" t="str">
        <f>IFERROR((-Tabela2[[#This Row],[CUSTO TOTAL]]+Tabela2[[#This Row],[VENDA TOTAL]])/Tabela2[[#This Row],[VENDA TOTAL]]-PARAMETROS!$C$19,"")</f>
        <v/>
      </c>
      <c r="AA1612" s="219">
        <f>SUM(Plan_Orc[[#This Row],[01/jan]:[01/dez]])</f>
        <v>0</v>
      </c>
      <c r="AB1612" s="15"/>
      <c r="AC1612" s="15"/>
      <c r="AD1612" s="15"/>
      <c r="AE1612" s="15"/>
      <c r="AF1612" s="15"/>
      <c r="AG1612" s="15"/>
      <c r="AH1612" s="15"/>
      <c r="AI1612" s="15"/>
      <c r="AJ1612" s="15"/>
      <c r="AK1612" s="15"/>
      <c r="AL1612" s="15"/>
      <c r="AM1612" s="15"/>
    </row>
    <row r="1613" spans="2:39" ht="25.2" customHeight="1" x14ac:dyDescent="0.3">
      <c r="B1613" s="13" t="str">
        <f t="shared" si="29"/>
        <v/>
      </c>
      <c r="C1613" s="18"/>
      <c r="D1613" s="19" t="str">
        <f>IF(Tabela2[[#This Row],[AGRUPADOR]]&lt;&gt;"",VLOOKUP(Tabela2[[#This Row],[AGRUPADOR]],Tabela1[],2,0),"")</f>
        <v/>
      </c>
      <c r="E1613" s="19" t="str">
        <f>IF(Tabela2[[#This Row],[AGRUPADOR]]&lt;&gt;"",VLOOKUP(Tabela2[[#This Row],[AGRUPADOR]],Tabela1[],4,0),"")</f>
        <v/>
      </c>
      <c r="F1613" s="14"/>
      <c r="G1613" s="6"/>
      <c r="H1613" s="6"/>
      <c r="I1613" s="25"/>
      <c r="J1613" s="7"/>
      <c r="K1613" s="15"/>
      <c r="L1613" s="379">
        <f>IF(H1613&lt;&gt;"",J1613*K1613,SUMIFS(L1614:L$9844,$F1614:$F$9844,"*"&amp;F1613&amp;"*",$H1614:$H$9844,"&lt;&gt;"))</f>
        <v>0</v>
      </c>
      <c r="M1613" s="379" t="str">
        <f>IF(Tabela2[[#This Row],[UNID.]]&lt;&gt;"",IFERROR(VLOOKUP(Tabela2[[#This Row],[AGRUPADOR]],Lucratividade!$D$4:$O$129,6,0),0),"")</f>
        <v/>
      </c>
      <c r="N1613" s="379">
        <f>IF(H1613&lt;&gt;"",J1613*M1613*I1613,SUMIFS(N1614:N$9844,$F1614:$F$9844,"*"&amp;F1613&amp;"*",$H1614:$H$9844,"&lt;&gt;"))</f>
        <v>0</v>
      </c>
      <c r="O1613" s="162" t="str">
        <f>IFERROR((-Tabela2[[#This Row],[CUSTO TOTAL]]+Tabela2[[#This Row],[VENDA TOTAL]])/Tabela2[[#This Row],[VENDA TOTAL]]-PARAMETROS!$C$19,"")</f>
        <v/>
      </c>
      <c r="AA1613" s="219">
        <f>SUM(Plan_Orc[[#This Row],[01/jan]:[01/dez]])</f>
        <v>0</v>
      </c>
      <c r="AB1613" s="15"/>
      <c r="AC1613" s="15"/>
      <c r="AD1613" s="15"/>
      <c r="AE1613" s="15"/>
      <c r="AF1613" s="15"/>
      <c r="AG1613" s="15"/>
      <c r="AH1613" s="15"/>
      <c r="AI1613" s="15"/>
      <c r="AJ1613" s="15"/>
      <c r="AK1613" s="15"/>
      <c r="AL1613" s="15"/>
      <c r="AM1613" s="15"/>
    </row>
    <row r="1614" spans="2:39" ht="25.2" customHeight="1" x14ac:dyDescent="0.3">
      <c r="B1614" s="13" t="str">
        <f t="shared" si="29"/>
        <v/>
      </c>
      <c r="C1614" s="18"/>
      <c r="D1614" s="19" t="str">
        <f>IF(Tabela2[[#This Row],[AGRUPADOR]]&lt;&gt;"",VLOOKUP(Tabela2[[#This Row],[AGRUPADOR]],Tabela1[],2,0),"")</f>
        <v/>
      </c>
      <c r="E1614" s="19" t="str">
        <f>IF(Tabela2[[#This Row],[AGRUPADOR]]&lt;&gt;"",VLOOKUP(Tabela2[[#This Row],[AGRUPADOR]],Tabela1[],4,0),"")</f>
        <v/>
      </c>
      <c r="F1614" s="14"/>
      <c r="G1614" s="6"/>
      <c r="H1614" s="6"/>
      <c r="I1614" s="25"/>
      <c r="J1614" s="7"/>
      <c r="K1614" s="15"/>
      <c r="L1614" s="379">
        <f>IF(H1614&lt;&gt;"",J1614*K1614,SUMIFS(L1615:L$9844,$F1615:$F$9844,"*"&amp;F1614&amp;"*",$H1615:$H$9844,"&lt;&gt;"))</f>
        <v>0</v>
      </c>
      <c r="M1614" s="379" t="str">
        <f>IF(Tabela2[[#This Row],[UNID.]]&lt;&gt;"",IFERROR(VLOOKUP(Tabela2[[#This Row],[AGRUPADOR]],Lucratividade!$D$4:$O$129,6,0),0),"")</f>
        <v/>
      </c>
      <c r="N1614" s="379">
        <f>IF(H1614&lt;&gt;"",J1614*M1614*I1614,SUMIFS(N1615:N$9844,$F1615:$F$9844,"*"&amp;F1614&amp;"*",$H1615:$H$9844,"&lt;&gt;"))</f>
        <v>0</v>
      </c>
      <c r="O1614" s="162" t="str">
        <f>IFERROR((-Tabela2[[#This Row],[CUSTO TOTAL]]+Tabela2[[#This Row],[VENDA TOTAL]])/Tabela2[[#This Row],[VENDA TOTAL]]-PARAMETROS!$C$19,"")</f>
        <v/>
      </c>
      <c r="AA1614" s="219">
        <f>SUM(Plan_Orc[[#This Row],[01/jan]:[01/dez]])</f>
        <v>0</v>
      </c>
      <c r="AB1614" s="15"/>
      <c r="AC1614" s="15"/>
      <c r="AD1614" s="15"/>
      <c r="AE1614" s="15"/>
      <c r="AF1614" s="15"/>
      <c r="AG1614" s="15"/>
      <c r="AH1614" s="15"/>
      <c r="AI1614" s="15"/>
      <c r="AJ1614" s="15"/>
      <c r="AK1614" s="15"/>
      <c r="AL1614" s="15"/>
      <c r="AM1614" s="15"/>
    </row>
    <row r="1615" spans="2:39" ht="25.2" customHeight="1" x14ac:dyDescent="0.3">
      <c r="B1615" s="13" t="str">
        <f t="shared" si="29"/>
        <v/>
      </c>
      <c r="C1615" s="18"/>
      <c r="D1615" s="19" t="str">
        <f>IF(Tabela2[[#This Row],[AGRUPADOR]]&lt;&gt;"",VLOOKUP(Tabela2[[#This Row],[AGRUPADOR]],Tabela1[],2,0),"")</f>
        <v/>
      </c>
      <c r="E1615" s="19" t="str">
        <f>IF(Tabela2[[#This Row],[AGRUPADOR]]&lt;&gt;"",VLOOKUP(Tabela2[[#This Row],[AGRUPADOR]],Tabela1[],4,0),"")</f>
        <v/>
      </c>
      <c r="F1615" s="14"/>
      <c r="G1615" s="6"/>
      <c r="H1615" s="6"/>
      <c r="I1615" s="25"/>
      <c r="J1615" s="7"/>
      <c r="K1615" s="15"/>
      <c r="L1615" s="379">
        <f>IF(H1615&lt;&gt;"",J1615*K1615,SUMIFS(L1616:L$9844,$F1616:$F$9844,"*"&amp;F1615&amp;"*",$H1616:$H$9844,"&lt;&gt;"))</f>
        <v>0</v>
      </c>
      <c r="M1615" s="379" t="str">
        <f>IF(Tabela2[[#This Row],[UNID.]]&lt;&gt;"",IFERROR(VLOOKUP(Tabela2[[#This Row],[AGRUPADOR]],Lucratividade!$D$4:$O$129,6,0),0),"")</f>
        <v/>
      </c>
      <c r="N1615" s="379">
        <f>IF(H1615&lt;&gt;"",J1615*M1615*I1615,SUMIFS(N1616:N$9844,$F1616:$F$9844,"*"&amp;F1615&amp;"*",$H1616:$H$9844,"&lt;&gt;"))</f>
        <v>0</v>
      </c>
      <c r="O1615" s="162" t="str">
        <f>IFERROR((-Tabela2[[#This Row],[CUSTO TOTAL]]+Tabela2[[#This Row],[VENDA TOTAL]])/Tabela2[[#This Row],[VENDA TOTAL]]-PARAMETROS!$C$19,"")</f>
        <v/>
      </c>
      <c r="AA1615" s="219">
        <f>SUM(Plan_Orc[[#This Row],[01/jan]:[01/dez]])</f>
        <v>0</v>
      </c>
      <c r="AB1615" s="15"/>
      <c r="AC1615" s="15"/>
      <c r="AD1615" s="15"/>
      <c r="AE1615" s="15"/>
      <c r="AF1615" s="15"/>
      <c r="AG1615" s="15"/>
      <c r="AH1615" s="15"/>
      <c r="AI1615" s="15"/>
      <c r="AJ1615" s="15"/>
      <c r="AK1615" s="15"/>
      <c r="AL1615" s="15"/>
      <c r="AM1615" s="15"/>
    </row>
    <row r="1616" spans="2:39" ht="25.2" customHeight="1" x14ac:dyDescent="0.3">
      <c r="B1616" s="13" t="str">
        <f t="shared" si="29"/>
        <v/>
      </c>
      <c r="C1616" s="18"/>
      <c r="D1616" s="19" t="str">
        <f>IF(Tabela2[[#This Row],[AGRUPADOR]]&lt;&gt;"",VLOOKUP(Tabela2[[#This Row],[AGRUPADOR]],Tabela1[],2,0),"")</f>
        <v/>
      </c>
      <c r="E1616" s="19" t="str">
        <f>IF(Tabela2[[#This Row],[AGRUPADOR]]&lt;&gt;"",VLOOKUP(Tabela2[[#This Row],[AGRUPADOR]],Tabela1[],4,0),"")</f>
        <v/>
      </c>
      <c r="F1616" s="14"/>
      <c r="G1616" s="6"/>
      <c r="H1616" s="6"/>
      <c r="I1616" s="25"/>
      <c r="J1616" s="7"/>
      <c r="K1616" s="15"/>
      <c r="L1616" s="379">
        <f>IF(H1616&lt;&gt;"",J1616*K1616,SUMIFS(L1617:L$9844,$F1617:$F$9844,"*"&amp;F1616&amp;"*",$H1617:$H$9844,"&lt;&gt;"))</f>
        <v>0</v>
      </c>
      <c r="M1616" s="379" t="str">
        <f>IF(Tabela2[[#This Row],[UNID.]]&lt;&gt;"",IFERROR(VLOOKUP(Tabela2[[#This Row],[AGRUPADOR]],Lucratividade!$D$4:$O$129,6,0),0),"")</f>
        <v/>
      </c>
      <c r="N1616" s="379">
        <f>IF(H1616&lt;&gt;"",J1616*M1616*I1616,SUMIFS(N1617:N$9844,$F1617:$F$9844,"*"&amp;F1616&amp;"*",$H1617:$H$9844,"&lt;&gt;"))</f>
        <v>0</v>
      </c>
      <c r="O1616" s="162" t="str">
        <f>IFERROR((-Tabela2[[#This Row],[CUSTO TOTAL]]+Tabela2[[#This Row],[VENDA TOTAL]])/Tabela2[[#This Row],[VENDA TOTAL]]-PARAMETROS!$C$19,"")</f>
        <v/>
      </c>
      <c r="AA1616" s="219">
        <f>SUM(Plan_Orc[[#This Row],[01/jan]:[01/dez]])</f>
        <v>0</v>
      </c>
      <c r="AB1616" s="15"/>
      <c r="AC1616" s="15"/>
      <c r="AD1616" s="15"/>
      <c r="AE1616" s="15"/>
      <c r="AF1616" s="15"/>
      <c r="AG1616" s="15"/>
      <c r="AH1616" s="15"/>
      <c r="AI1616" s="15"/>
      <c r="AJ1616" s="15"/>
      <c r="AK1616" s="15"/>
      <c r="AL1616" s="15"/>
      <c r="AM1616" s="15"/>
    </row>
    <row r="1617" spans="2:39" ht="25.2" customHeight="1" x14ac:dyDescent="0.3">
      <c r="B1617" s="13" t="str">
        <f t="shared" si="29"/>
        <v/>
      </c>
      <c r="C1617" s="18"/>
      <c r="D1617" s="19" t="str">
        <f>IF(Tabela2[[#This Row],[AGRUPADOR]]&lt;&gt;"",VLOOKUP(Tabela2[[#This Row],[AGRUPADOR]],Tabela1[],2,0),"")</f>
        <v/>
      </c>
      <c r="E1617" s="19" t="str">
        <f>IF(Tabela2[[#This Row],[AGRUPADOR]]&lt;&gt;"",VLOOKUP(Tabela2[[#This Row],[AGRUPADOR]],Tabela1[],4,0),"")</f>
        <v/>
      </c>
      <c r="F1617" s="14"/>
      <c r="G1617" s="6"/>
      <c r="H1617" s="6"/>
      <c r="I1617" s="25"/>
      <c r="J1617" s="7"/>
      <c r="K1617" s="15"/>
      <c r="L1617" s="379">
        <f>IF(H1617&lt;&gt;"",J1617*K1617,SUMIFS(L1618:L$9844,$F1618:$F$9844,"*"&amp;F1617&amp;"*",$H1618:$H$9844,"&lt;&gt;"))</f>
        <v>0</v>
      </c>
      <c r="M1617" s="379" t="str">
        <f>IF(Tabela2[[#This Row],[UNID.]]&lt;&gt;"",IFERROR(VLOOKUP(Tabela2[[#This Row],[AGRUPADOR]],Lucratividade!$D$4:$O$129,6,0),0),"")</f>
        <v/>
      </c>
      <c r="N1617" s="379">
        <f>IF(H1617&lt;&gt;"",J1617*M1617*I1617,SUMIFS(N1618:N$9844,$F1618:$F$9844,"*"&amp;F1617&amp;"*",$H1618:$H$9844,"&lt;&gt;"))</f>
        <v>0</v>
      </c>
      <c r="O1617" s="162" t="str">
        <f>IFERROR((-Tabela2[[#This Row],[CUSTO TOTAL]]+Tabela2[[#This Row],[VENDA TOTAL]])/Tabela2[[#This Row],[VENDA TOTAL]]-PARAMETROS!$C$19,"")</f>
        <v/>
      </c>
      <c r="AA1617" s="219">
        <f>SUM(Plan_Orc[[#This Row],[01/jan]:[01/dez]])</f>
        <v>0</v>
      </c>
      <c r="AB1617" s="15"/>
      <c r="AC1617" s="15"/>
      <c r="AD1617" s="15"/>
      <c r="AE1617" s="15"/>
      <c r="AF1617" s="15"/>
      <c r="AG1617" s="15"/>
      <c r="AH1617" s="15"/>
      <c r="AI1617" s="15"/>
      <c r="AJ1617" s="15"/>
      <c r="AK1617" s="15"/>
      <c r="AL1617" s="15"/>
      <c r="AM1617" s="15"/>
    </row>
    <row r="1618" spans="2:39" ht="25.2" customHeight="1" x14ac:dyDescent="0.3">
      <c r="B1618" s="13" t="str">
        <f t="shared" si="29"/>
        <v/>
      </c>
      <c r="C1618" s="18"/>
      <c r="D1618" s="19" t="str">
        <f>IF(Tabela2[[#This Row],[AGRUPADOR]]&lt;&gt;"",VLOOKUP(Tabela2[[#This Row],[AGRUPADOR]],Tabela1[],2,0),"")</f>
        <v/>
      </c>
      <c r="E1618" s="19" t="str">
        <f>IF(Tabela2[[#This Row],[AGRUPADOR]]&lt;&gt;"",VLOOKUP(Tabela2[[#This Row],[AGRUPADOR]],Tabela1[],4,0),"")</f>
        <v/>
      </c>
      <c r="F1618" s="14"/>
      <c r="G1618" s="6"/>
      <c r="H1618" s="6"/>
      <c r="I1618" s="25"/>
      <c r="J1618" s="7"/>
      <c r="K1618" s="15"/>
      <c r="L1618" s="379">
        <f>IF(H1618&lt;&gt;"",J1618*K1618,SUMIFS(L1619:L$9844,$F1619:$F$9844,"*"&amp;F1618&amp;"*",$H1619:$H$9844,"&lt;&gt;"))</f>
        <v>0</v>
      </c>
      <c r="M1618" s="379" t="str">
        <f>IF(Tabela2[[#This Row],[UNID.]]&lt;&gt;"",IFERROR(VLOOKUP(Tabela2[[#This Row],[AGRUPADOR]],Lucratividade!$D$4:$O$129,6,0),0),"")</f>
        <v/>
      </c>
      <c r="N1618" s="379">
        <f>IF(H1618&lt;&gt;"",J1618*M1618*I1618,SUMIFS(N1619:N$9844,$F1619:$F$9844,"*"&amp;F1618&amp;"*",$H1619:$H$9844,"&lt;&gt;"))</f>
        <v>0</v>
      </c>
      <c r="O1618" s="162" t="str">
        <f>IFERROR((-Tabela2[[#This Row],[CUSTO TOTAL]]+Tabela2[[#This Row],[VENDA TOTAL]])/Tabela2[[#This Row],[VENDA TOTAL]]-PARAMETROS!$C$19,"")</f>
        <v/>
      </c>
      <c r="AA1618" s="219">
        <f>SUM(Plan_Orc[[#This Row],[01/jan]:[01/dez]])</f>
        <v>0</v>
      </c>
      <c r="AB1618" s="15"/>
      <c r="AC1618" s="15"/>
      <c r="AD1618" s="15"/>
      <c r="AE1618" s="15"/>
      <c r="AF1618" s="15"/>
      <c r="AG1618" s="15"/>
      <c r="AH1618" s="15"/>
      <c r="AI1618" s="15"/>
      <c r="AJ1618" s="15"/>
      <c r="AK1618" s="15"/>
      <c r="AL1618" s="15"/>
      <c r="AM1618" s="15"/>
    </row>
    <row r="1619" spans="2:39" ht="25.2" customHeight="1" x14ac:dyDescent="0.3">
      <c r="B1619" s="13" t="str">
        <f t="shared" si="29"/>
        <v/>
      </c>
      <c r="C1619" s="18"/>
      <c r="D1619" s="19" t="str">
        <f>IF(Tabela2[[#This Row],[AGRUPADOR]]&lt;&gt;"",VLOOKUP(Tabela2[[#This Row],[AGRUPADOR]],Tabela1[],2,0),"")</f>
        <v/>
      </c>
      <c r="E1619" s="19" t="str">
        <f>IF(Tabela2[[#This Row],[AGRUPADOR]]&lt;&gt;"",VLOOKUP(Tabela2[[#This Row],[AGRUPADOR]],Tabela1[],4,0),"")</f>
        <v/>
      </c>
      <c r="F1619" s="14"/>
      <c r="G1619" s="6"/>
      <c r="H1619" s="6"/>
      <c r="I1619" s="25"/>
      <c r="J1619" s="7"/>
      <c r="K1619" s="15"/>
      <c r="L1619" s="379">
        <f>IF(H1619&lt;&gt;"",J1619*K1619,SUMIFS(L1620:L$9844,$F1620:$F$9844,"*"&amp;F1619&amp;"*",$H1620:$H$9844,"&lt;&gt;"))</f>
        <v>0</v>
      </c>
      <c r="M1619" s="379" t="str">
        <f>IF(Tabela2[[#This Row],[UNID.]]&lt;&gt;"",IFERROR(VLOOKUP(Tabela2[[#This Row],[AGRUPADOR]],Lucratividade!$D$4:$O$129,6,0),0),"")</f>
        <v/>
      </c>
      <c r="N1619" s="379">
        <f>IF(H1619&lt;&gt;"",J1619*M1619*I1619,SUMIFS(N1620:N$9844,$F1620:$F$9844,"*"&amp;F1619&amp;"*",$H1620:$H$9844,"&lt;&gt;"))</f>
        <v>0</v>
      </c>
      <c r="O1619" s="162" t="str">
        <f>IFERROR((-Tabela2[[#This Row],[CUSTO TOTAL]]+Tabela2[[#This Row],[VENDA TOTAL]])/Tabela2[[#This Row],[VENDA TOTAL]]-PARAMETROS!$C$19,"")</f>
        <v/>
      </c>
      <c r="AA1619" s="219">
        <f>SUM(Plan_Orc[[#This Row],[01/jan]:[01/dez]])</f>
        <v>0</v>
      </c>
      <c r="AB1619" s="15"/>
      <c r="AC1619" s="15"/>
      <c r="AD1619" s="15"/>
      <c r="AE1619" s="15"/>
      <c r="AF1619" s="15"/>
      <c r="AG1619" s="15"/>
      <c r="AH1619" s="15"/>
      <c r="AI1619" s="15"/>
      <c r="AJ1619" s="15"/>
      <c r="AK1619" s="15"/>
      <c r="AL1619" s="15"/>
      <c r="AM1619" s="15"/>
    </row>
    <row r="1620" spans="2:39" ht="25.2" customHeight="1" x14ac:dyDescent="0.3">
      <c r="B1620" s="13" t="str">
        <f t="shared" si="29"/>
        <v/>
      </c>
      <c r="C1620" s="18"/>
      <c r="D1620" s="19" t="str">
        <f>IF(Tabela2[[#This Row],[AGRUPADOR]]&lt;&gt;"",VLOOKUP(Tabela2[[#This Row],[AGRUPADOR]],Tabela1[],2,0),"")</f>
        <v/>
      </c>
      <c r="E1620" s="19" t="str">
        <f>IF(Tabela2[[#This Row],[AGRUPADOR]]&lt;&gt;"",VLOOKUP(Tabela2[[#This Row],[AGRUPADOR]],Tabela1[],4,0),"")</f>
        <v/>
      </c>
      <c r="F1620" s="14"/>
      <c r="G1620" s="6"/>
      <c r="H1620" s="6"/>
      <c r="I1620" s="25"/>
      <c r="J1620" s="7"/>
      <c r="K1620" s="15"/>
      <c r="L1620" s="379">
        <f>IF(H1620&lt;&gt;"",J1620*K1620,SUMIFS(L1621:L$9844,$F1621:$F$9844,"*"&amp;F1620&amp;"*",$H1621:$H$9844,"&lt;&gt;"))</f>
        <v>0</v>
      </c>
      <c r="M1620" s="379" t="str">
        <f>IF(Tabela2[[#This Row],[UNID.]]&lt;&gt;"",IFERROR(VLOOKUP(Tabela2[[#This Row],[AGRUPADOR]],Lucratividade!$D$4:$O$129,6,0),0),"")</f>
        <v/>
      </c>
      <c r="N1620" s="379">
        <f>IF(H1620&lt;&gt;"",J1620*M1620*I1620,SUMIFS(N1621:N$9844,$F1621:$F$9844,"*"&amp;F1620&amp;"*",$H1621:$H$9844,"&lt;&gt;"))</f>
        <v>0</v>
      </c>
      <c r="O1620" s="162" t="str">
        <f>IFERROR((-Tabela2[[#This Row],[CUSTO TOTAL]]+Tabela2[[#This Row],[VENDA TOTAL]])/Tabela2[[#This Row],[VENDA TOTAL]]-PARAMETROS!$C$19,"")</f>
        <v/>
      </c>
      <c r="AA1620" s="218">
        <f>SUM(Plan_Orc[[#This Row],[01/jan]:[01/dez]])</f>
        <v>0</v>
      </c>
      <c r="AB1620" s="12"/>
      <c r="AC1620" s="12"/>
      <c r="AD1620" s="12"/>
      <c r="AE1620" s="12"/>
      <c r="AF1620" s="12"/>
      <c r="AG1620" s="12"/>
      <c r="AH1620" s="12"/>
      <c r="AI1620" s="12"/>
      <c r="AJ1620" s="12"/>
      <c r="AK1620" s="12"/>
      <c r="AL1620" s="12"/>
      <c r="AM1620" s="12"/>
    </row>
    <row r="1621" spans="2:39" ht="25.2" customHeight="1" x14ac:dyDescent="0.3">
      <c r="B1621" s="13" t="str">
        <f t="shared" si="29"/>
        <v/>
      </c>
      <c r="C1621" s="18"/>
      <c r="D1621" s="19" t="str">
        <f>IF(Tabela2[[#This Row],[AGRUPADOR]]&lt;&gt;"",VLOOKUP(Tabela2[[#This Row],[AGRUPADOR]],Tabela1[],2,0),"")</f>
        <v/>
      </c>
      <c r="E1621" s="19" t="str">
        <f>IF(Tabela2[[#This Row],[AGRUPADOR]]&lt;&gt;"",VLOOKUP(Tabela2[[#This Row],[AGRUPADOR]],Tabela1[],4,0),"")</f>
        <v/>
      </c>
      <c r="F1621" s="14"/>
      <c r="G1621" s="6"/>
      <c r="H1621" s="6"/>
      <c r="I1621" s="25"/>
      <c r="J1621" s="7"/>
      <c r="K1621" s="15"/>
      <c r="L1621" s="379">
        <f>IF(H1621&lt;&gt;"",J1621*K1621,SUMIFS(L1622:L$9844,$F1622:$F$9844,"*"&amp;F1621&amp;"*",$H1622:$H$9844,"&lt;&gt;"))</f>
        <v>0</v>
      </c>
      <c r="M1621" s="379" t="str">
        <f>IF(Tabela2[[#This Row],[UNID.]]&lt;&gt;"",IFERROR(VLOOKUP(Tabela2[[#This Row],[AGRUPADOR]],Lucratividade!$D$4:$O$129,6,0),0),"")</f>
        <v/>
      </c>
      <c r="N1621" s="379">
        <f>IF(H1621&lt;&gt;"",J1621*M1621*I1621,SUMIFS(N1622:N$9844,$F1622:$F$9844,"*"&amp;F1621&amp;"*",$H1622:$H$9844,"&lt;&gt;"))</f>
        <v>0</v>
      </c>
      <c r="O1621" s="162" t="str">
        <f>IFERROR((-Tabela2[[#This Row],[CUSTO TOTAL]]+Tabela2[[#This Row],[VENDA TOTAL]])/Tabela2[[#This Row],[VENDA TOTAL]]-PARAMETROS!$C$19,"")</f>
        <v/>
      </c>
      <c r="AA1621" s="219">
        <f>SUM(Plan_Orc[[#This Row],[01/jan]:[01/dez]])</f>
        <v>0</v>
      </c>
      <c r="AB1621" s="15"/>
      <c r="AC1621" s="15"/>
      <c r="AD1621" s="15"/>
      <c r="AE1621" s="15"/>
      <c r="AF1621" s="15"/>
      <c r="AG1621" s="15"/>
      <c r="AH1621" s="15"/>
      <c r="AI1621" s="15"/>
      <c r="AJ1621" s="15"/>
      <c r="AK1621" s="15"/>
      <c r="AL1621" s="15"/>
      <c r="AM1621" s="15"/>
    </row>
    <row r="1622" spans="2:39" ht="25.2" customHeight="1" x14ac:dyDescent="0.3">
      <c r="B1622" s="13" t="str">
        <f t="shared" si="29"/>
        <v/>
      </c>
      <c r="C1622" s="18"/>
      <c r="D1622" s="19" t="str">
        <f>IF(Tabela2[[#This Row],[AGRUPADOR]]&lt;&gt;"",VLOOKUP(Tabela2[[#This Row],[AGRUPADOR]],Tabela1[],2,0),"")</f>
        <v/>
      </c>
      <c r="E1622" s="19" t="str">
        <f>IF(Tabela2[[#This Row],[AGRUPADOR]]&lt;&gt;"",VLOOKUP(Tabela2[[#This Row],[AGRUPADOR]],Tabela1[],4,0),"")</f>
        <v/>
      </c>
      <c r="F1622" s="14"/>
      <c r="G1622" s="6"/>
      <c r="H1622" s="6"/>
      <c r="I1622" s="25"/>
      <c r="J1622" s="7"/>
      <c r="K1622" s="15"/>
      <c r="L1622" s="379">
        <f>IF(H1622&lt;&gt;"",J1622*K1622,SUMIFS(L1623:L$9844,$F1623:$F$9844,"*"&amp;F1622&amp;"*",$H1623:$H$9844,"&lt;&gt;"))</f>
        <v>0</v>
      </c>
      <c r="M1622" s="379" t="str">
        <f>IF(Tabela2[[#This Row],[UNID.]]&lt;&gt;"",IFERROR(VLOOKUP(Tabela2[[#This Row],[AGRUPADOR]],Lucratividade!$D$4:$O$129,6,0),0),"")</f>
        <v/>
      </c>
      <c r="N1622" s="379">
        <f>IF(H1622&lt;&gt;"",J1622*M1622*I1622,SUMIFS(N1623:N$9844,$F1623:$F$9844,"*"&amp;F1622&amp;"*",$H1623:$H$9844,"&lt;&gt;"))</f>
        <v>0</v>
      </c>
      <c r="O1622" s="162" t="str">
        <f>IFERROR((-Tabela2[[#This Row],[CUSTO TOTAL]]+Tabela2[[#This Row],[VENDA TOTAL]])/Tabela2[[#This Row],[VENDA TOTAL]]-PARAMETROS!$C$19,"")</f>
        <v/>
      </c>
      <c r="AA1622" s="220">
        <f>SUM(Plan_Orc[[#This Row],[01/jan]:[01/dez]])</f>
        <v>0</v>
      </c>
      <c r="AB1622" s="9"/>
      <c r="AC1622" s="9"/>
      <c r="AD1622" s="9"/>
      <c r="AE1622" s="9"/>
      <c r="AF1622" s="9"/>
      <c r="AG1622" s="9"/>
      <c r="AH1622" s="9"/>
      <c r="AI1622" s="9"/>
      <c r="AJ1622" s="9"/>
      <c r="AK1622" s="9"/>
      <c r="AL1622" s="9"/>
      <c r="AM1622" s="9"/>
    </row>
    <row r="1623" spans="2:39" ht="25.2" customHeight="1" x14ac:dyDescent="0.3">
      <c r="B1623" s="13" t="str">
        <f t="shared" si="29"/>
        <v/>
      </c>
      <c r="C1623" s="18"/>
      <c r="D1623" s="19" t="str">
        <f>IF(Tabela2[[#This Row],[AGRUPADOR]]&lt;&gt;"",VLOOKUP(Tabela2[[#This Row],[AGRUPADOR]],Tabela1[],2,0),"")</f>
        <v/>
      </c>
      <c r="E1623" s="19" t="str">
        <f>IF(Tabela2[[#This Row],[AGRUPADOR]]&lt;&gt;"",VLOOKUP(Tabela2[[#This Row],[AGRUPADOR]],Tabela1[],4,0),"")</f>
        <v/>
      </c>
      <c r="F1623" s="14"/>
      <c r="G1623" s="6"/>
      <c r="H1623" s="6"/>
      <c r="I1623" s="25"/>
      <c r="J1623" s="7"/>
      <c r="K1623" s="15"/>
      <c r="L1623" s="379">
        <f>IF(H1623&lt;&gt;"",J1623*K1623,SUMIFS(L1624:L$9844,$F1624:$F$9844,"*"&amp;F1623&amp;"*",$H1624:$H$9844,"&lt;&gt;"))</f>
        <v>0</v>
      </c>
      <c r="M1623" s="379" t="str">
        <f>IF(Tabela2[[#This Row],[UNID.]]&lt;&gt;"",IFERROR(VLOOKUP(Tabela2[[#This Row],[AGRUPADOR]],Lucratividade!$D$4:$O$129,6,0),0),"")</f>
        <v/>
      </c>
      <c r="N1623" s="379">
        <f>IF(H1623&lt;&gt;"",J1623*M1623*I1623,SUMIFS(N1624:N$9844,$F1624:$F$9844,"*"&amp;F1623&amp;"*",$H1624:$H$9844,"&lt;&gt;"))</f>
        <v>0</v>
      </c>
      <c r="O1623" s="162" t="str">
        <f>IFERROR((-Tabela2[[#This Row],[CUSTO TOTAL]]+Tabela2[[#This Row],[VENDA TOTAL]])/Tabela2[[#This Row],[VENDA TOTAL]]-PARAMETROS!$C$19,"")</f>
        <v/>
      </c>
      <c r="AA1623" s="219">
        <f>SUM(Plan_Orc[[#This Row],[01/jan]:[01/dez]])</f>
        <v>0</v>
      </c>
      <c r="AB1623" s="15"/>
      <c r="AC1623" s="15"/>
      <c r="AD1623" s="15"/>
      <c r="AE1623" s="15"/>
      <c r="AF1623" s="15"/>
      <c r="AG1623" s="15"/>
      <c r="AH1623" s="15"/>
      <c r="AI1623" s="15"/>
      <c r="AJ1623" s="15"/>
      <c r="AK1623" s="15"/>
      <c r="AL1623" s="15"/>
      <c r="AM1623" s="15"/>
    </row>
    <row r="1624" spans="2:39" ht="25.2" customHeight="1" x14ac:dyDescent="0.3">
      <c r="B1624" s="13" t="str">
        <f t="shared" si="29"/>
        <v/>
      </c>
      <c r="C1624" s="18"/>
      <c r="D1624" s="19" t="str">
        <f>IF(Tabela2[[#This Row],[AGRUPADOR]]&lt;&gt;"",VLOOKUP(Tabela2[[#This Row],[AGRUPADOR]],Tabela1[],2,0),"")</f>
        <v/>
      </c>
      <c r="E1624" s="19" t="str">
        <f>IF(Tabela2[[#This Row],[AGRUPADOR]]&lt;&gt;"",VLOOKUP(Tabela2[[#This Row],[AGRUPADOR]],Tabela1[],4,0),"")</f>
        <v/>
      </c>
      <c r="F1624" s="14"/>
      <c r="G1624" s="6"/>
      <c r="H1624" s="6"/>
      <c r="I1624" s="25"/>
      <c r="J1624" s="7"/>
      <c r="K1624" s="15"/>
      <c r="L1624" s="379">
        <f>IF(H1624&lt;&gt;"",J1624*K1624,SUMIFS(L1625:L$9844,$F1625:$F$9844,"*"&amp;F1624&amp;"*",$H1625:$H$9844,"&lt;&gt;"))</f>
        <v>0</v>
      </c>
      <c r="M1624" s="379" t="str">
        <f>IF(Tabela2[[#This Row],[UNID.]]&lt;&gt;"",IFERROR(VLOOKUP(Tabela2[[#This Row],[AGRUPADOR]],Lucratividade!$D$4:$O$129,6,0),0),"")</f>
        <v/>
      </c>
      <c r="N1624" s="379">
        <f>IF(H1624&lt;&gt;"",J1624*M1624*I1624,SUMIFS(N1625:N$9844,$F1625:$F$9844,"*"&amp;F1624&amp;"*",$H1625:$H$9844,"&lt;&gt;"))</f>
        <v>0</v>
      </c>
      <c r="O1624" s="162" t="str">
        <f>IFERROR((-Tabela2[[#This Row],[CUSTO TOTAL]]+Tabela2[[#This Row],[VENDA TOTAL]])/Tabela2[[#This Row],[VENDA TOTAL]]-PARAMETROS!$C$19,"")</f>
        <v/>
      </c>
      <c r="AA1624" s="219">
        <f>SUM(Plan_Orc[[#This Row],[01/jan]:[01/dez]])</f>
        <v>0</v>
      </c>
      <c r="AB1624" s="15"/>
      <c r="AC1624" s="15"/>
      <c r="AD1624" s="15"/>
      <c r="AE1624" s="15"/>
      <c r="AF1624" s="15"/>
      <c r="AG1624" s="15"/>
      <c r="AH1624" s="15"/>
      <c r="AI1624" s="15"/>
      <c r="AJ1624" s="15"/>
      <c r="AK1624" s="15"/>
      <c r="AL1624" s="15"/>
      <c r="AM1624" s="15"/>
    </row>
    <row r="1625" spans="2:39" ht="25.2" customHeight="1" x14ac:dyDescent="0.3">
      <c r="B1625" s="13" t="str">
        <f t="shared" si="29"/>
        <v/>
      </c>
      <c r="C1625" s="18"/>
      <c r="D1625" s="19" t="str">
        <f>IF(Tabela2[[#This Row],[AGRUPADOR]]&lt;&gt;"",VLOOKUP(Tabela2[[#This Row],[AGRUPADOR]],Tabela1[],2,0),"")</f>
        <v/>
      </c>
      <c r="E1625" s="19" t="str">
        <f>IF(Tabela2[[#This Row],[AGRUPADOR]]&lt;&gt;"",VLOOKUP(Tabela2[[#This Row],[AGRUPADOR]],Tabela1[],4,0),"")</f>
        <v/>
      </c>
      <c r="F1625" s="14"/>
      <c r="G1625" s="6"/>
      <c r="H1625" s="6"/>
      <c r="I1625" s="25"/>
      <c r="J1625" s="7"/>
      <c r="K1625" s="15"/>
      <c r="L1625" s="379">
        <f>IF(H1625&lt;&gt;"",J1625*K1625,SUMIFS(L1626:L$9844,$F1626:$F$9844,"*"&amp;F1625&amp;"*",$H1626:$H$9844,"&lt;&gt;"))</f>
        <v>0</v>
      </c>
      <c r="M1625" s="379" t="str">
        <f>IF(Tabela2[[#This Row],[UNID.]]&lt;&gt;"",IFERROR(VLOOKUP(Tabela2[[#This Row],[AGRUPADOR]],Lucratividade!$D$4:$O$129,6,0),0),"")</f>
        <v/>
      </c>
      <c r="N1625" s="379">
        <f>IF(H1625&lt;&gt;"",J1625*M1625*I1625,SUMIFS(N1626:N$9844,$F1626:$F$9844,"*"&amp;F1625&amp;"*",$H1626:$H$9844,"&lt;&gt;"))</f>
        <v>0</v>
      </c>
      <c r="O1625" s="162" t="str">
        <f>IFERROR((-Tabela2[[#This Row],[CUSTO TOTAL]]+Tabela2[[#This Row],[VENDA TOTAL]])/Tabela2[[#This Row],[VENDA TOTAL]]-PARAMETROS!$C$19,"")</f>
        <v/>
      </c>
      <c r="AA1625" s="219">
        <f>SUM(Plan_Orc[[#This Row],[01/jan]:[01/dez]])</f>
        <v>0</v>
      </c>
      <c r="AB1625" s="15"/>
      <c r="AC1625" s="15"/>
      <c r="AD1625" s="15"/>
      <c r="AE1625" s="15"/>
      <c r="AF1625" s="15"/>
      <c r="AG1625" s="15"/>
      <c r="AH1625" s="15"/>
      <c r="AI1625" s="15"/>
      <c r="AJ1625" s="15"/>
      <c r="AK1625" s="15"/>
      <c r="AL1625" s="15"/>
      <c r="AM1625" s="15"/>
    </row>
    <row r="1626" spans="2:39" ht="25.2" customHeight="1" x14ac:dyDescent="0.3">
      <c r="B1626" s="13" t="str">
        <f t="shared" si="29"/>
        <v/>
      </c>
      <c r="C1626" s="18"/>
      <c r="D1626" s="19" t="str">
        <f>IF(Tabela2[[#This Row],[AGRUPADOR]]&lt;&gt;"",VLOOKUP(Tabela2[[#This Row],[AGRUPADOR]],Tabela1[],2,0),"")</f>
        <v/>
      </c>
      <c r="E1626" s="19" t="str">
        <f>IF(Tabela2[[#This Row],[AGRUPADOR]]&lt;&gt;"",VLOOKUP(Tabela2[[#This Row],[AGRUPADOR]],Tabela1[],4,0),"")</f>
        <v/>
      </c>
      <c r="F1626" s="14"/>
      <c r="G1626" s="6"/>
      <c r="H1626" s="6"/>
      <c r="I1626" s="25"/>
      <c r="J1626" s="7"/>
      <c r="K1626" s="15"/>
      <c r="L1626" s="379">
        <f>IF(H1626&lt;&gt;"",J1626*K1626,SUMIFS(L1627:L$9844,$F1627:$F$9844,"*"&amp;F1626&amp;"*",$H1627:$H$9844,"&lt;&gt;"))</f>
        <v>0</v>
      </c>
      <c r="M1626" s="379" t="str">
        <f>IF(Tabela2[[#This Row],[UNID.]]&lt;&gt;"",IFERROR(VLOOKUP(Tabela2[[#This Row],[AGRUPADOR]],Lucratividade!$D$4:$O$129,6,0),0),"")</f>
        <v/>
      </c>
      <c r="N1626" s="379">
        <f>IF(H1626&lt;&gt;"",J1626*M1626*I1626,SUMIFS(N1627:N$9844,$F1627:$F$9844,"*"&amp;F1626&amp;"*",$H1627:$H$9844,"&lt;&gt;"))</f>
        <v>0</v>
      </c>
      <c r="O1626" s="162" t="str">
        <f>IFERROR((-Tabela2[[#This Row],[CUSTO TOTAL]]+Tabela2[[#This Row],[VENDA TOTAL]])/Tabela2[[#This Row],[VENDA TOTAL]]-PARAMETROS!$C$19,"")</f>
        <v/>
      </c>
      <c r="AA1626" s="219">
        <f>SUM(Plan_Orc[[#This Row],[01/jan]:[01/dez]])</f>
        <v>0</v>
      </c>
      <c r="AB1626" s="15"/>
      <c r="AC1626" s="15"/>
      <c r="AD1626" s="15"/>
      <c r="AE1626" s="15"/>
      <c r="AF1626" s="15"/>
      <c r="AG1626" s="15"/>
      <c r="AH1626" s="15"/>
      <c r="AI1626" s="15"/>
      <c r="AJ1626" s="15"/>
      <c r="AK1626" s="15"/>
      <c r="AL1626" s="15"/>
      <c r="AM1626" s="15"/>
    </row>
    <row r="1627" spans="2:39" ht="25.2" customHeight="1" x14ac:dyDescent="0.3">
      <c r="B1627" s="13" t="str">
        <f t="shared" si="29"/>
        <v/>
      </c>
      <c r="C1627" s="18"/>
      <c r="D1627" s="19" t="str">
        <f>IF(Tabela2[[#This Row],[AGRUPADOR]]&lt;&gt;"",VLOOKUP(Tabela2[[#This Row],[AGRUPADOR]],Tabela1[],2,0),"")</f>
        <v/>
      </c>
      <c r="E1627" s="19" t="str">
        <f>IF(Tabela2[[#This Row],[AGRUPADOR]]&lt;&gt;"",VLOOKUP(Tabela2[[#This Row],[AGRUPADOR]],Tabela1[],4,0),"")</f>
        <v/>
      </c>
      <c r="F1627" s="14"/>
      <c r="G1627" s="6"/>
      <c r="H1627" s="6"/>
      <c r="I1627" s="25"/>
      <c r="J1627" s="7"/>
      <c r="K1627" s="15"/>
      <c r="L1627" s="379">
        <f>IF(H1627&lt;&gt;"",J1627*K1627,SUMIFS(L1628:L$9844,$F1628:$F$9844,"*"&amp;F1627&amp;"*",$H1628:$H$9844,"&lt;&gt;"))</f>
        <v>0</v>
      </c>
      <c r="M1627" s="379" t="str">
        <f>IF(Tabela2[[#This Row],[UNID.]]&lt;&gt;"",IFERROR(VLOOKUP(Tabela2[[#This Row],[AGRUPADOR]],Lucratividade!$D$4:$O$129,6,0),0),"")</f>
        <v/>
      </c>
      <c r="N1627" s="379">
        <f>IF(H1627&lt;&gt;"",J1627*M1627*I1627,SUMIFS(N1628:N$9844,$F1628:$F$9844,"*"&amp;F1627&amp;"*",$H1628:$H$9844,"&lt;&gt;"))</f>
        <v>0</v>
      </c>
      <c r="O1627" s="162" t="str">
        <f>IFERROR((-Tabela2[[#This Row],[CUSTO TOTAL]]+Tabela2[[#This Row],[VENDA TOTAL]])/Tabela2[[#This Row],[VENDA TOTAL]]-PARAMETROS!$C$19,"")</f>
        <v/>
      </c>
      <c r="AA1627" s="220">
        <f>SUM(Plan_Orc[[#This Row],[01/jan]:[01/dez]])</f>
        <v>0</v>
      </c>
      <c r="AB1627" s="9"/>
      <c r="AC1627" s="9"/>
      <c r="AD1627" s="9"/>
      <c r="AE1627" s="9"/>
      <c r="AF1627" s="9"/>
      <c r="AG1627" s="9"/>
      <c r="AH1627" s="9"/>
      <c r="AI1627" s="9"/>
      <c r="AJ1627" s="9"/>
      <c r="AK1627" s="9"/>
      <c r="AL1627" s="9"/>
      <c r="AM1627" s="9"/>
    </row>
    <row r="1628" spans="2:39" ht="25.2" customHeight="1" x14ac:dyDescent="0.3">
      <c r="B1628" s="13" t="str">
        <f t="shared" si="29"/>
        <v/>
      </c>
      <c r="C1628" s="18"/>
      <c r="D1628" s="19" t="str">
        <f>IF(Tabela2[[#This Row],[AGRUPADOR]]&lt;&gt;"",VLOOKUP(Tabela2[[#This Row],[AGRUPADOR]],Tabela1[],2,0),"")</f>
        <v/>
      </c>
      <c r="E1628" s="19" t="str">
        <f>IF(Tabela2[[#This Row],[AGRUPADOR]]&lt;&gt;"",VLOOKUP(Tabela2[[#This Row],[AGRUPADOR]],Tabela1[],4,0),"")</f>
        <v/>
      </c>
      <c r="F1628" s="14"/>
      <c r="G1628" s="6"/>
      <c r="H1628" s="6"/>
      <c r="I1628" s="25"/>
      <c r="J1628" s="7"/>
      <c r="K1628" s="15"/>
      <c r="L1628" s="379">
        <f>IF(H1628&lt;&gt;"",J1628*K1628,SUMIFS(L1629:L$9844,$F1629:$F$9844,"*"&amp;F1628&amp;"*",$H1629:$H$9844,"&lt;&gt;"))</f>
        <v>0</v>
      </c>
      <c r="M1628" s="379" t="str">
        <f>IF(Tabela2[[#This Row],[UNID.]]&lt;&gt;"",IFERROR(VLOOKUP(Tabela2[[#This Row],[AGRUPADOR]],Lucratividade!$D$4:$O$129,6,0),0),"")</f>
        <v/>
      </c>
      <c r="N1628" s="379">
        <f>IF(H1628&lt;&gt;"",J1628*M1628*I1628,SUMIFS(N1629:N$9844,$F1629:$F$9844,"*"&amp;F1628&amp;"*",$H1629:$H$9844,"&lt;&gt;"))</f>
        <v>0</v>
      </c>
      <c r="O1628" s="162" t="str">
        <f>IFERROR((-Tabela2[[#This Row],[CUSTO TOTAL]]+Tabela2[[#This Row],[VENDA TOTAL]])/Tabela2[[#This Row],[VENDA TOTAL]]-PARAMETROS!$C$19,"")</f>
        <v/>
      </c>
      <c r="AA1628" s="218">
        <f>SUM(Plan_Orc[[#This Row],[01/jan]:[01/dez]])</f>
        <v>0</v>
      </c>
      <c r="AB1628" s="12"/>
      <c r="AC1628" s="12"/>
      <c r="AD1628" s="12"/>
      <c r="AE1628" s="12"/>
      <c r="AF1628" s="12"/>
      <c r="AG1628" s="12"/>
      <c r="AH1628" s="12"/>
      <c r="AI1628" s="12"/>
      <c r="AJ1628" s="12"/>
      <c r="AK1628" s="12"/>
      <c r="AL1628" s="12"/>
      <c r="AM1628" s="12"/>
    </row>
    <row r="1629" spans="2:39" ht="25.2" customHeight="1" x14ac:dyDescent="0.3">
      <c r="B1629" s="13" t="str">
        <f t="shared" si="29"/>
        <v/>
      </c>
      <c r="C1629" s="18"/>
      <c r="D1629" s="19" t="str">
        <f>IF(Tabela2[[#This Row],[AGRUPADOR]]&lt;&gt;"",VLOOKUP(Tabela2[[#This Row],[AGRUPADOR]],Tabela1[],2,0),"")</f>
        <v/>
      </c>
      <c r="E1629" s="19" t="str">
        <f>IF(Tabela2[[#This Row],[AGRUPADOR]]&lt;&gt;"",VLOOKUP(Tabela2[[#This Row],[AGRUPADOR]],Tabela1[],4,0),"")</f>
        <v/>
      </c>
      <c r="F1629" s="14"/>
      <c r="G1629" s="6"/>
      <c r="H1629" s="6"/>
      <c r="I1629" s="25"/>
      <c r="J1629" s="7"/>
      <c r="K1629" s="15"/>
      <c r="L1629" s="379">
        <f>IF(H1629&lt;&gt;"",J1629*K1629,SUMIFS(L1630:L$9844,$F1630:$F$9844,"*"&amp;F1629&amp;"*",$H1630:$H$9844,"&lt;&gt;"))</f>
        <v>0</v>
      </c>
      <c r="M1629" s="379" t="str">
        <f>IF(Tabela2[[#This Row],[UNID.]]&lt;&gt;"",IFERROR(VLOOKUP(Tabela2[[#This Row],[AGRUPADOR]],Lucratividade!$D$4:$O$129,6,0),0),"")</f>
        <v/>
      </c>
      <c r="N1629" s="379">
        <f>IF(H1629&lt;&gt;"",J1629*M1629*I1629,SUMIFS(N1630:N$9844,$F1630:$F$9844,"*"&amp;F1629&amp;"*",$H1630:$H$9844,"&lt;&gt;"))</f>
        <v>0</v>
      </c>
      <c r="O1629" s="162" t="str">
        <f>IFERROR((-Tabela2[[#This Row],[CUSTO TOTAL]]+Tabela2[[#This Row],[VENDA TOTAL]])/Tabela2[[#This Row],[VENDA TOTAL]]-PARAMETROS!$C$19,"")</f>
        <v/>
      </c>
      <c r="AA1629" s="219">
        <f>SUM(Plan_Orc[[#This Row],[01/jan]:[01/dez]])</f>
        <v>0</v>
      </c>
      <c r="AB1629" s="15"/>
      <c r="AC1629" s="15"/>
      <c r="AD1629" s="15"/>
      <c r="AE1629" s="15"/>
      <c r="AF1629" s="15"/>
      <c r="AG1629" s="15"/>
      <c r="AH1629" s="15"/>
      <c r="AI1629" s="15"/>
      <c r="AJ1629" s="15"/>
      <c r="AK1629" s="15"/>
      <c r="AL1629" s="15"/>
      <c r="AM1629" s="15"/>
    </row>
    <row r="1630" spans="2:39" ht="25.2" customHeight="1" x14ac:dyDescent="0.3">
      <c r="B1630" s="13" t="str">
        <f t="shared" si="29"/>
        <v/>
      </c>
      <c r="C1630" s="18"/>
      <c r="D1630" s="19" t="str">
        <f>IF(Tabela2[[#This Row],[AGRUPADOR]]&lt;&gt;"",VLOOKUP(Tabela2[[#This Row],[AGRUPADOR]],Tabela1[],2,0),"")</f>
        <v/>
      </c>
      <c r="E1630" s="19" t="str">
        <f>IF(Tabela2[[#This Row],[AGRUPADOR]]&lt;&gt;"",VLOOKUP(Tabela2[[#This Row],[AGRUPADOR]],Tabela1[],4,0),"")</f>
        <v/>
      </c>
      <c r="F1630" s="14"/>
      <c r="G1630" s="6"/>
      <c r="H1630" s="6"/>
      <c r="I1630" s="25"/>
      <c r="J1630" s="7"/>
      <c r="K1630" s="15"/>
      <c r="L1630" s="379">
        <f>IF(H1630&lt;&gt;"",J1630*K1630,SUMIFS(L1631:L$9844,$F1631:$F$9844,"*"&amp;F1630&amp;"*",$H1631:$H$9844,"&lt;&gt;"))</f>
        <v>0</v>
      </c>
      <c r="M1630" s="379" t="str">
        <f>IF(Tabela2[[#This Row],[UNID.]]&lt;&gt;"",IFERROR(VLOOKUP(Tabela2[[#This Row],[AGRUPADOR]],Lucratividade!$D$4:$O$129,6,0),0),"")</f>
        <v/>
      </c>
      <c r="N1630" s="379">
        <f>IF(H1630&lt;&gt;"",J1630*M1630*I1630,SUMIFS(N1631:N$9844,$F1631:$F$9844,"*"&amp;F1630&amp;"*",$H1631:$H$9844,"&lt;&gt;"))</f>
        <v>0</v>
      </c>
      <c r="O1630" s="162" t="str">
        <f>IFERROR((-Tabela2[[#This Row],[CUSTO TOTAL]]+Tabela2[[#This Row],[VENDA TOTAL]])/Tabela2[[#This Row],[VENDA TOTAL]]-PARAMETROS!$C$19,"")</f>
        <v/>
      </c>
      <c r="AA1630" s="222">
        <f>SUM(Plan_Orc[[#This Row],[01/jan]:[01/dez]])</f>
        <v>0</v>
      </c>
      <c r="AB1630" s="161"/>
      <c r="AC1630" s="161"/>
      <c r="AD1630" s="161"/>
      <c r="AE1630" s="161"/>
      <c r="AF1630" s="161"/>
      <c r="AG1630" s="161"/>
      <c r="AH1630" s="161"/>
      <c r="AI1630" s="161"/>
      <c r="AJ1630" s="161"/>
      <c r="AK1630" s="161"/>
      <c r="AL1630" s="161"/>
      <c r="AM1630" s="161"/>
    </row>
    <row r="1631" spans="2:39" ht="25.2" customHeight="1" x14ac:dyDescent="0.3">
      <c r="B1631" s="13" t="str">
        <f t="shared" si="29"/>
        <v/>
      </c>
      <c r="C1631" s="18"/>
      <c r="D1631" s="19" t="str">
        <f>IF(Tabela2[[#This Row],[AGRUPADOR]]&lt;&gt;"",VLOOKUP(Tabela2[[#This Row],[AGRUPADOR]],Tabela1[],2,0),"")</f>
        <v/>
      </c>
      <c r="E1631" s="19" t="str">
        <f>IF(Tabela2[[#This Row],[AGRUPADOR]]&lt;&gt;"",VLOOKUP(Tabela2[[#This Row],[AGRUPADOR]],Tabela1[],4,0),"")</f>
        <v/>
      </c>
      <c r="F1631" s="14"/>
      <c r="G1631" s="6"/>
      <c r="H1631" s="6"/>
      <c r="I1631" s="25"/>
      <c r="J1631" s="7"/>
      <c r="K1631" s="15"/>
      <c r="L1631" s="379">
        <f>IF(H1631&lt;&gt;"",J1631*K1631,SUMIFS(L1632:L$9844,$F1632:$F$9844,"*"&amp;F1631&amp;"*",$H1632:$H$9844,"&lt;&gt;"))</f>
        <v>0</v>
      </c>
      <c r="M1631" s="379" t="str">
        <f>IF(Tabela2[[#This Row],[UNID.]]&lt;&gt;"",IFERROR(VLOOKUP(Tabela2[[#This Row],[AGRUPADOR]],Lucratividade!$D$4:$O$129,6,0),0),"")</f>
        <v/>
      </c>
      <c r="N1631" s="379">
        <f>IF(H1631&lt;&gt;"",J1631*M1631*I1631,SUMIFS(N1632:N$9844,$F1632:$F$9844,"*"&amp;F1631&amp;"*",$H1632:$H$9844,"&lt;&gt;"))</f>
        <v>0</v>
      </c>
      <c r="O1631" s="162" t="str">
        <f>IFERROR((-Tabela2[[#This Row],[CUSTO TOTAL]]+Tabela2[[#This Row],[VENDA TOTAL]])/Tabela2[[#This Row],[VENDA TOTAL]]-PARAMETROS!$C$19,"")</f>
        <v/>
      </c>
      <c r="AA1631" s="217">
        <f>SUM(Plan_Orc[[#This Row],[01/jan]:[01/dez]])</f>
        <v>0</v>
      </c>
      <c r="AB1631" s="202"/>
      <c r="AC1631" s="202"/>
      <c r="AD1631" s="202"/>
      <c r="AE1631" s="202"/>
      <c r="AF1631" s="202"/>
      <c r="AG1631" s="202"/>
      <c r="AH1631" s="202"/>
      <c r="AI1631" s="202"/>
      <c r="AJ1631" s="202"/>
      <c r="AK1631" s="202"/>
      <c r="AL1631" s="202"/>
      <c r="AM1631" s="202"/>
    </row>
    <row r="1632" spans="2:39" ht="25.2" customHeight="1" x14ac:dyDescent="0.3">
      <c r="B1632" s="13" t="str">
        <f t="shared" si="29"/>
        <v/>
      </c>
      <c r="C1632" s="18"/>
      <c r="D1632" s="19" t="str">
        <f>IF(Tabela2[[#This Row],[AGRUPADOR]]&lt;&gt;"",VLOOKUP(Tabela2[[#This Row],[AGRUPADOR]],Tabela1[],2,0),"")</f>
        <v/>
      </c>
      <c r="E1632" s="19" t="str">
        <f>IF(Tabela2[[#This Row],[AGRUPADOR]]&lt;&gt;"",VLOOKUP(Tabela2[[#This Row],[AGRUPADOR]],Tabela1[],4,0),"")</f>
        <v/>
      </c>
      <c r="F1632" s="14"/>
      <c r="G1632" s="6"/>
      <c r="H1632" s="6"/>
      <c r="I1632" s="25"/>
      <c r="J1632" s="7"/>
      <c r="K1632" s="15"/>
      <c r="L1632" s="379">
        <f>IF(H1632&lt;&gt;"",J1632*K1632,SUMIFS(L1633:L$9844,$F1633:$F$9844,"*"&amp;F1632&amp;"*",$H1633:$H$9844,"&lt;&gt;"))</f>
        <v>0</v>
      </c>
      <c r="M1632" s="379" t="str">
        <f>IF(Tabela2[[#This Row],[UNID.]]&lt;&gt;"",IFERROR(VLOOKUP(Tabela2[[#This Row],[AGRUPADOR]],Lucratividade!$D$4:$O$129,6,0),0),"")</f>
        <v/>
      </c>
      <c r="N1632" s="379">
        <f>IF(H1632&lt;&gt;"",J1632*M1632*I1632,SUMIFS(N1633:N$9844,$F1633:$F$9844,"*"&amp;F1632&amp;"*",$H1633:$H$9844,"&lt;&gt;"))</f>
        <v>0</v>
      </c>
      <c r="O1632" s="162" t="str">
        <f>IFERROR((-Tabela2[[#This Row],[CUSTO TOTAL]]+Tabela2[[#This Row],[VENDA TOTAL]])/Tabela2[[#This Row],[VENDA TOTAL]]-PARAMETROS!$C$19,"")</f>
        <v/>
      </c>
      <c r="AA1632" s="218">
        <f>SUM(Plan_Orc[[#This Row],[01/jan]:[01/dez]])</f>
        <v>0</v>
      </c>
      <c r="AB1632" s="12"/>
      <c r="AC1632" s="12"/>
      <c r="AD1632" s="12"/>
      <c r="AE1632" s="12"/>
      <c r="AF1632" s="12"/>
      <c r="AG1632" s="12"/>
      <c r="AH1632" s="12"/>
      <c r="AI1632" s="12"/>
      <c r="AJ1632" s="12"/>
      <c r="AK1632" s="12"/>
      <c r="AL1632" s="12"/>
      <c r="AM1632" s="12"/>
    </row>
    <row r="1633" spans="2:39" ht="25.2" customHeight="1" x14ac:dyDescent="0.3">
      <c r="B1633" s="13" t="str">
        <f t="shared" si="29"/>
        <v/>
      </c>
      <c r="C1633" s="18"/>
      <c r="D1633" s="19" t="str">
        <f>IF(Tabela2[[#This Row],[AGRUPADOR]]&lt;&gt;"",VLOOKUP(Tabela2[[#This Row],[AGRUPADOR]],Tabela1[],2,0),"")</f>
        <v/>
      </c>
      <c r="E1633" s="19" t="str">
        <f>IF(Tabela2[[#This Row],[AGRUPADOR]]&lt;&gt;"",VLOOKUP(Tabela2[[#This Row],[AGRUPADOR]],Tabela1[],4,0),"")</f>
        <v/>
      </c>
      <c r="F1633" s="14"/>
      <c r="G1633" s="6"/>
      <c r="H1633" s="6"/>
      <c r="I1633" s="25"/>
      <c r="J1633" s="7"/>
      <c r="K1633" s="15"/>
      <c r="L1633" s="379">
        <f>IF(H1633&lt;&gt;"",J1633*K1633,SUMIFS(L1634:L$9844,$F1634:$F$9844,"*"&amp;F1633&amp;"*",$H1634:$H$9844,"&lt;&gt;"))</f>
        <v>0</v>
      </c>
      <c r="M1633" s="379" t="str">
        <f>IF(Tabela2[[#This Row],[UNID.]]&lt;&gt;"",IFERROR(VLOOKUP(Tabela2[[#This Row],[AGRUPADOR]],Lucratividade!$D$4:$O$129,6,0),0),"")</f>
        <v/>
      </c>
      <c r="N1633" s="379">
        <f>IF(H1633&lt;&gt;"",J1633*M1633*I1633,SUMIFS(N1634:N$9844,$F1634:$F$9844,"*"&amp;F1633&amp;"*",$H1634:$H$9844,"&lt;&gt;"))</f>
        <v>0</v>
      </c>
      <c r="O1633" s="162" t="str">
        <f>IFERROR((-Tabela2[[#This Row],[CUSTO TOTAL]]+Tabela2[[#This Row],[VENDA TOTAL]])/Tabela2[[#This Row],[VENDA TOTAL]]-PARAMETROS!$C$19,"")</f>
        <v/>
      </c>
      <c r="AA1633" s="219">
        <f>SUM(Plan_Orc[[#This Row],[01/jan]:[01/dez]])</f>
        <v>0</v>
      </c>
      <c r="AB1633" s="15"/>
      <c r="AC1633" s="15"/>
      <c r="AD1633" s="15"/>
      <c r="AE1633" s="15"/>
      <c r="AF1633" s="15"/>
      <c r="AG1633" s="15"/>
      <c r="AH1633" s="15"/>
      <c r="AI1633" s="15"/>
      <c r="AJ1633" s="15"/>
      <c r="AK1633" s="15"/>
      <c r="AL1633" s="15"/>
      <c r="AM1633" s="15"/>
    </row>
    <row r="1634" spans="2:39" ht="25.2" customHeight="1" x14ac:dyDescent="0.3">
      <c r="B1634" s="13" t="str">
        <f t="shared" si="29"/>
        <v/>
      </c>
      <c r="C1634" s="18"/>
      <c r="D1634" s="19" t="str">
        <f>IF(Tabela2[[#This Row],[AGRUPADOR]]&lt;&gt;"",VLOOKUP(Tabela2[[#This Row],[AGRUPADOR]],Tabela1[],2,0),"")</f>
        <v/>
      </c>
      <c r="E1634" s="19" t="str">
        <f>IF(Tabela2[[#This Row],[AGRUPADOR]]&lt;&gt;"",VLOOKUP(Tabela2[[#This Row],[AGRUPADOR]],Tabela1[],4,0),"")</f>
        <v/>
      </c>
      <c r="F1634" s="14"/>
      <c r="G1634" s="6"/>
      <c r="H1634" s="6"/>
      <c r="I1634" s="25"/>
      <c r="J1634" s="7"/>
      <c r="K1634" s="15"/>
      <c r="L1634" s="379">
        <f>IF(H1634&lt;&gt;"",J1634*K1634,SUMIFS(L1635:L$9844,$F1635:$F$9844,"*"&amp;F1634&amp;"*",$H1635:$H$9844,"&lt;&gt;"))</f>
        <v>0</v>
      </c>
      <c r="M1634" s="379" t="str">
        <f>IF(Tabela2[[#This Row],[UNID.]]&lt;&gt;"",IFERROR(VLOOKUP(Tabela2[[#This Row],[AGRUPADOR]],Lucratividade!$D$4:$O$129,6,0),0),"")</f>
        <v/>
      </c>
      <c r="N1634" s="379">
        <f>IF(H1634&lt;&gt;"",J1634*M1634*I1634,SUMIFS(N1635:N$9844,$F1635:$F$9844,"*"&amp;F1634&amp;"*",$H1635:$H$9844,"&lt;&gt;"))</f>
        <v>0</v>
      </c>
      <c r="O1634" s="162" t="str">
        <f>IFERROR((-Tabela2[[#This Row],[CUSTO TOTAL]]+Tabela2[[#This Row],[VENDA TOTAL]])/Tabela2[[#This Row],[VENDA TOTAL]]-PARAMETROS!$C$19,"")</f>
        <v/>
      </c>
      <c r="AA1634" s="217">
        <f>SUM(Plan_Orc[[#This Row],[01/jan]:[01/dez]])</f>
        <v>0</v>
      </c>
      <c r="AB1634" s="202"/>
      <c r="AC1634" s="202"/>
      <c r="AD1634" s="202"/>
      <c r="AE1634" s="202"/>
      <c r="AF1634" s="202"/>
      <c r="AG1634" s="202"/>
      <c r="AH1634" s="202"/>
      <c r="AI1634" s="202"/>
      <c r="AJ1634" s="202"/>
      <c r="AK1634" s="202"/>
      <c r="AL1634" s="202"/>
      <c r="AM1634" s="202"/>
    </row>
    <row r="1635" spans="2:39" ht="25.2" customHeight="1" x14ac:dyDescent="0.3">
      <c r="B1635" s="13" t="str">
        <f t="shared" si="29"/>
        <v/>
      </c>
      <c r="C1635" s="18"/>
      <c r="D1635" s="19" t="str">
        <f>IF(Tabela2[[#This Row],[AGRUPADOR]]&lt;&gt;"",VLOOKUP(Tabela2[[#This Row],[AGRUPADOR]],Tabela1[],2,0),"")</f>
        <v/>
      </c>
      <c r="E1635" s="19" t="str">
        <f>IF(Tabela2[[#This Row],[AGRUPADOR]]&lt;&gt;"",VLOOKUP(Tabela2[[#This Row],[AGRUPADOR]],Tabela1[],4,0),"")</f>
        <v/>
      </c>
      <c r="F1635" s="14"/>
      <c r="G1635" s="6"/>
      <c r="H1635" s="6"/>
      <c r="I1635" s="25"/>
      <c r="J1635" s="7"/>
      <c r="K1635" s="15"/>
      <c r="L1635" s="379">
        <f>IF(H1635&lt;&gt;"",J1635*K1635,SUMIFS(L1636:L$9844,$F1636:$F$9844,"*"&amp;F1635&amp;"*",$H1636:$H$9844,"&lt;&gt;"))</f>
        <v>0</v>
      </c>
      <c r="M1635" s="379" t="str">
        <f>IF(Tabela2[[#This Row],[UNID.]]&lt;&gt;"",IFERROR(VLOOKUP(Tabela2[[#This Row],[AGRUPADOR]],Lucratividade!$D$4:$O$129,6,0),0),"")</f>
        <v/>
      </c>
      <c r="N1635" s="379">
        <f>IF(H1635&lt;&gt;"",J1635*M1635*I1635,SUMIFS(N1636:N$9844,$F1636:$F$9844,"*"&amp;F1635&amp;"*",$H1636:$H$9844,"&lt;&gt;"))</f>
        <v>0</v>
      </c>
      <c r="O1635" s="162" t="str">
        <f>IFERROR((-Tabela2[[#This Row],[CUSTO TOTAL]]+Tabela2[[#This Row],[VENDA TOTAL]])/Tabela2[[#This Row],[VENDA TOTAL]]-PARAMETROS!$C$19,"")</f>
        <v/>
      </c>
      <c r="AA1635" s="218">
        <f>SUM(Plan_Orc[[#This Row],[01/jan]:[01/dez]])</f>
        <v>0</v>
      </c>
      <c r="AB1635" s="12"/>
      <c r="AC1635" s="12"/>
      <c r="AD1635" s="12"/>
      <c r="AE1635" s="12"/>
      <c r="AF1635" s="12"/>
      <c r="AG1635" s="12"/>
      <c r="AH1635" s="12"/>
      <c r="AI1635" s="12"/>
      <c r="AJ1635" s="12"/>
      <c r="AK1635" s="12"/>
      <c r="AL1635" s="12"/>
      <c r="AM1635" s="12"/>
    </row>
    <row r="1636" spans="2:39" ht="25.2" customHeight="1" x14ac:dyDescent="0.3">
      <c r="B1636" s="13" t="str">
        <f t="shared" si="29"/>
        <v/>
      </c>
      <c r="C1636" s="18"/>
      <c r="D1636" s="19" t="str">
        <f>IF(Tabela2[[#This Row],[AGRUPADOR]]&lt;&gt;"",VLOOKUP(Tabela2[[#This Row],[AGRUPADOR]],Tabela1[],2,0),"")</f>
        <v/>
      </c>
      <c r="E1636" s="19" t="str">
        <f>IF(Tabela2[[#This Row],[AGRUPADOR]]&lt;&gt;"",VLOOKUP(Tabela2[[#This Row],[AGRUPADOR]],Tabela1[],4,0),"")</f>
        <v/>
      </c>
      <c r="F1636" s="14"/>
      <c r="G1636" s="6"/>
      <c r="H1636" s="6"/>
      <c r="I1636" s="25"/>
      <c r="J1636" s="7"/>
      <c r="K1636" s="15"/>
      <c r="L1636" s="379">
        <f>IF(H1636&lt;&gt;"",J1636*K1636,SUMIFS(L1637:L$9844,$F1637:$F$9844,"*"&amp;F1636&amp;"*",$H1637:$H$9844,"&lt;&gt;"))</f>
        <v>0</v>
      </c>
      <c r="M1636" s="379" t="str">
        <f>IF(Tabela2[[#This Row],[UNID.]]&lt;&gt;"",IFERROR(VLOOKUP(Tabela2[[#This Row],[AGRUPADOR]],Lucratividade!$D$4:$O$129,6,0),0),"")</f>
        <v/>
      </c>
      <c r="N1636" s="379">
        <f>IF(H1636&lt;&gt;"",J1636*M1636*I1636,SUMIFS(N1637:N$9844,$F1637:$F$9844,"*"&amp;F1636&amp;"*",$H1637:$H$9844,"&lt;&gt;"))</f>
        <v>0</v>
      </c>
      <c r="O1636" s="162" t="str">
        <f>IFERROR((-Tabela2[[#This Row],[CUSTO TOTAL]]+Tabela2[[#This Row],[VENDA TOTAL]])/Tabela2[[#This Row],[VENDA TOTAL]]-PARAMETROS!$C$19,"")</f>
        <v/>
      </c>
      <c r="AA1636" s="219">
        <f>SUM(Plan_Orc[[#This Row],[01/jan]:[01/dez]])</f>
        <v>0</v>
      </c>
      <c r="AB1636" s="15"/>
      <c r="AC1636" s="15"/>
      <c r="AD1636" s="15"/>
      <c r="AE1636" s="15"/>
      <c r="AF1636" s="15"/>
      <c r="AG1636" s="15"/>
      <c r="AH1636" s="15"/>
      <c r="AI1636" s="15"/>
      <c r="AJ1636" s="15"/>
      <c r="AK1636" s="15"/>
      <c r="AL1636" s="15"/>
      <c r="AM1636" s="15"/>
    </row>
    <row r="1637" spans="2:39" ht="25.2" customHeight="1" x14ac:dyDescent="0.3">
      <c r="B1637" s="13" t="str">
        <f t="shared" si="29"/>
        <v/>
      </c>
      <c r="C1637" s="18"/>
      <c r="D1637" s="19" t="str">
        <f>IF(Tabela2[[#This Row],[AGRUPADOR]]&lt;&gt;"",VLOOKUP(Tabela2[[#This Row],[AGRUPADOR]],Tabela1[],2,0),"")</f>
        <v/>
      </c>
      <c r="E1637" s="19" t="str">
        <f>IF(Tabela2[[#This Row],[AGRUPADOR]]&lt;&gt;"",VLOOKUP(Tabela2[[#This Row],[AGRUPADOR]],Tabela1[],4,0),"")</f>
        <v/>
      </c>
      <c r="F1637" s="14"/>
      <c r="G1637" s="6"/>
      <c r="H1637" s="6"/>
      <c r="I1637" s="25"/>
      <c r="J1637" s="7"/>
      <c r="K1637" s="15"/>
      <c r="L1637" s="379">
        <f>IF(H1637&lt;&gt;"",J1637*K1637,SUMIFS(L1638:L$9844,$F1638:$F$9844,"*"&amp;F1637&amp;"*",$H1638:$H$9844,"&lt;&gt;"))</f>
        <v>0</v>
      </c>
      <c r="M1637" s="379" t="str">
        <f>IF(Tabela2[[#This Row],[UNID.]]&lt;&gt;"",IFERROR(VLOOKUP(Tabela2[[#This Row],[AGRUPADOR]],Lucratividade!$D$4:$O$129,6,0),0),"")</f>
        <v/>
      </c>
      <c r="N1637" s="379">
        <f>IF(H1637&lt;&gt;"",J1637*M1637*I1637,SUMIFS(N1638:N$9844,$F1638:$F$9844,"*"&amp;F1637&amp;"*",$H1638:$H$9844,"&lt;&gt;"))</f>
        <v>0</v>
      </c>
      <c r="O1637" s="162" t="str">
        <f>IFERROR((-Tabela2[[#This Row],[CUSTO TOTAL]]+Tabela2[[#This Row],[VENDA TOTAL]])/Tabela2[[#This Row],[VENDA TOTAL]]-PARAMETROS!$C$19,"")</f>
        <v/>
      </c>
      <c r="AA1637" s="219">
        <f>SUM(Plan_Orc[[#This Row],[01/jan]:[01/dez]])</f>
        <v>0</v>
      </c>
      <c r="AB1637" s="15"/>
      <c r="AC1637" s="15"/>
      <c r="AD1637" s="15"/>
      <c r="AE1637" s="15"/>
      <c r="AF1637" s="15"/>
      <c r="AG1637" s="15"/>
      <c r="AH1637" s="15"/>
      <c r="AI1637" s="15"/>
      <c r="AJ1637" s="15"/>
      <c r="AK1637" s="15"/>
      <c r="AL1637" s="15"/>
      <c r="AM1637" s="15"/>
    </row>
    <row r="1638" spans="2:39" ht="25.2" customHeight="1" x14ac:dyDescent="0.3">
      <c r="B1638" s="13" t="str">
        <f t="shared" si="29"/>
        <v/>
      </c>
      <c r="C1638" s="18"/>
      <c r="D1638" s="19" t="str">
        <f>IF(Tabela2[[#This Row],[AGRUPADOR]]&lt;&gt;"",VLOOKUP(Tabela2[[#This Row],[AGRUPADOR]],Tabela1[],2,0),"")</f>
        <v/>
      </c>
      <c r="E1638" s="19" t="str">
        <f>IF(Tabela2[[#This Row],[AGRUPADOR]]&lt;&gt;"",VLOOKUP(Tabela2[[#This Row],[AGRUPADOR]],Tabela1[],4,0),"")</f>
        <v/>
      </c>
      <c r="F1638" s="14"/>
      <c r="G1638" s="6"/>
      <c r="H1638" s="6"/>
      <c r="I1638" s="25"/>
      <c r="J1638" s="7"/>
      <c r="K1638" s="15"/>
      <c r="L1638" s="379">
        <f>IF(H1638&lt;&gt;"",J1638*K1638,SUMIFS(L1639:L$9844,$F1639:$F$9844,"*"&amp;F1638&amp;"*",$H1639:$H$9844,"&lt;&gt;"))</f>
        <v>0</v>
      </c>
      <c r="M1638" s="379" t="str">
        <f>IF(Tabela2[[#This Row],[UNID.]]&lt;&gt;"",IFERROR(VLOOKUP(Tabela2[[#This Row],[AGRUPADOR]],Lucratividade!$D$4:$O$129,6,0),0),"")</f>
        <v/>
      </c>
      <c r="N1638" s="379">
        <f>IF(H1638&lt;&gt;"",J1638*M1638*I1638,SUMIFS(N1639:N$9844,$F1639:$F$9844,"*"&amp;F1638&amp;"*",$H1639:$H$9844,"&lt;&gt;"))</f>
        <v>0</v>
      </c>
      <c r="O1638" s="162" t="str">
        <f>IFERROR((-Tabela2[[#This Row],[CUSTO TOTAL]]+Tabela2[[#This Row],[VENDA TOTAL]])/Tabela2[[#This Row],[VENDA TOTAL]]-PARAMETROS!$C$19,"")</f>
        <v/>
      </c>
      <c r="AA1638" s="219">
        <f>SUM(Plan_Orc[[#This Row],[01/jan]:[01/dez]])</f>
        <v>0</v>
      </c>
      <c r="AB1638" s="15"/>
      <c r="AC1638" s="15"/>
      <c r="AD1638" s="15"/>
      <c r="AE1638" s="15"/>
      <c r="AF1638" s="15"/>
      <c r="AG1638" s="15"/>
      <c r="AH1638" s="15"/>
      <c r="AI1638" s="15"/>
      <c r="AJ1638" s="15"/>
      <c r="AK1638" s="15"/>
      <c r="AL1638" s="15"/>
      <c r="AM1638" s="15"/>
    </row>
    <row r="1639" spans="2:39" ht="25.2" customHeight="1" x14ac:dyDescent="0.3">
      <c r="B1639" s="13" t="str">
        <f t="shared" si="29"/>
        <v/>
      </c>
      <c r="C1639" s="18"/>
      <c r="D1639" s="19" t="str">
        <f>IF(Tabela2[[#This Row],[AGRUPADOR]]&lt;&gt;"",VLOOKUP(Tabela2[[#This Row],[AGRUPADOR]],Tabela1[],2,0),"")</f>
        <v/>
      </c>
      <c r="E1639" s="19" t="str">
        <f>IF(Tabela2[[#This Row],[AGRUPADOR]]&lt;&gt;"",VLOOKUP(Tabela2[[#This Row],[AGRUPADOR]],Tabela1[],4,0),"")</f>
        <v/>
      </c>
      <c r="F1639" s="14"/>
      <c r="G1639" s="6"/>
      <c r="H1639" s="6"/>
      <c r="I1639" s="25"/>
      <c r="J1639" s="7"/>
      <c r="K1639" s="15"/>
      <c r="L1639" s="379">
        <f>IF(H1639&lt;&gt;"",J1639*K1639,SUMIFS(L1640:L$9844,$F1640:$F$9844,"*"&amp;F1639&amp;"*",$H1640:$H$9844,"&lt;&gt;"))</f>
        <v>0</v>
      </c>
      <c r="M1639" s="379" t="str">
        <f>IF(Tabela2[[#This Row],[UNID.]]&lt;&gt;"",IFERROR(VLOOKUP(Tabela2[[#This Row],[AGRUPADOR]],Lucratividade!$D$4:$O$129,6,0),0),"")</f>
        <v/>
      </c>
      <c r="N1639" s="379">
        <f>IF(H1639&lt;&gt;"",J1639*M1639*I1639,SUMIFS(N1640:N$9844,$F1640:$F$9844,"*"&amp;F1639&amp;"*",$H1640:$H$9844,"&lt;&gt;"))</f>
        <v>0</v>
      </c>
      <c r="O1639" s="162" t="str">
        <f>IFERROR((-Tabela2[[#This Row],[CUSTO TOTAL]]+Tabela2[[#This Row],[VENDA TOTAL]])/Tabela2[[#This Row],[VENDA TOTAL]]-PARAMETROS!$C$19,"")</f>
        <v/>
      </c>
      <c r="AA1639" s="219">
        <f>SUM(Plan_Orc[[#This Row],[01/jan]:[01/dez]])</f>
        <v>0</v>
      </c>
      <c r="AB1639" s="15"/>
      <c r="AC1639" s="15"/>
      <c r="AD1639" s="15"/>
      <c r="AE1639" s="15"/>
      <c r="AF1639" s="15"/>
      <c r="AG1639" s="15"/>
      <c r="AH1639" s="15"/>
      <c r="AI1639" s="15"/>
      <c r="AJ1639" s="15"/>
      <c r="AK1639" s="15"/>
      <c r="AL1639" s="15"/>
      <c r="AM1639" s="15"/>
    </row>
    <row r="1640" spans="2:39" ht="25.2" customHeight="1" x14ac:dyDescent="0.3">
      <c r="B1640" s="13" t="str">
        <f t="shared" si="29"/>
        <v/>
      </c>
      <c r="C1640" s="18"/>
      <c r="D1640" s="19" t="str">
        <f>IF(Tabela2[[#This Row],[AGRUPADOR]]&lt;&gt;"",VLOOKUP(Tabela2[[#This Row],[AGRUPADOR]],Tabela1[],2,0),"")</f>
        <v/>
      </c>
      <c r="E1640" s="19" t="str">
        <f>IF(Tabela2[[#This Row],[AGRUPADOR]]&lt;&gt;"",VLOOKUP(Tabela2[[#This Row],[AGRUPADOR]],Tabela1[],4,0),"")</f>
        <v/>
      </c>
      <c r="F1640" s="14"/>
      <c r="G1640" s="6"/>
      <c r="H1640" s="6"/>
      <c r="I1640" s="25"/>
      <c r="J1640" s="7"/>
      <c r="K1640" s="15"/>
      <c r="L1640" s="379">
        <f>IF(H1640&lt;&gt;"",J1640*K1640,SUMIFS(L1641:L$9844,$F1641:$F$9844,"*"&amp;F1640&amp;"*",$H1641:$H$9844,"&lt;&gt;"))</f>
        <v>0</v>
      </c>
      <c r="M1640" s="379" t="str">
        <f>IF(Tabela2[[#This Row],[UNID.]]&lt;&gt;"",IFERROR(VLOOKUP(Tabela2[[#This Row],[AGRUPADOR]],Lucratividade!$D$4:$O$129,6,0),0),"")</f>
        <v/>
      </c>
      <c r="N1640" s="379">
        <f>IF(H1640&lt;&gt;"",J1640*M1640*I1640,SUMIFS(N1641:N$9844,$F1641:$F$9844,"*"&amp;F1640&amp;"*",$H1641:$H$9844,"&lt;&gt;"))</f>
        <v>0</v>
      </c>
      <c r="O1640" s="162" t="str">
        <f>IFERROR((-Tabela2[[#This Row],[CUSTO TOTAL]]+Tabela2[[#This Row],[VENDA TOTAL]])/Tabela2[[#This Row],[VENDA TOTAL]]-PARAMETROS!$C$19,"")</f>
        <v/>
      </c>
      <c r="AA1640" s="219">
        <f>SUM(Plan_Orc[[#This Row],[01/jan]:[01/dez]])</f>
        <v>0</v>
      </c>
      <c r="AB1640" s="15"/>
      <c r="AC1640" s="15"/>
      <c r="AD1640" s="15"/>
      <c r="AE1640" s="15"/>
      <c r="AF1640" s="15"/>
      <c r="AG1640" s="15"/>
      <c r="AH1640" s="15"/>
      <c r="AI1640" s="15"/>
      <c r="AJ1640" s="15"/>
      <c r="AK1640" s="15"/>
      <c r="AL1640" s="15"/>
      <c r="AM1640" s="15"/>
    </row>
    <row r="1641" spans="2:39" ht="25.2" customHeight="1" x14ac:dyDescent="0.3">
      <c r="B1641" s="13" t="str">
        <f t="shared" si="29"/>
        <v/>
      </c>
      <c r="C1641" s="18"/>
      <c r="D1641" s="19" t="str">
        <f>IF(Tabela2[[#This Row],[AGRUPADOR]]&lt;&gt;"",VLOOKUP(Tabela2[[#This Row],[AGRUPADOR]],Tabela1[],2,0),"")</f>
        <v/>
      </c>
      <c r="E1641" s="19" t="str">
        <f>IF(Tabela2[[#This Row],[AGRUPADOR]]&lt;&gt;"",VLOOKUP(Tabela2[[#This Row],[AGRUPADOR]],Tabela1[],4,0),"")</f>
        <v/>
      </c>
      <c r="F1641" s="14"/>
      <c r="G1641" s="6"/>
      <c r="H1641" s="6"/>
      <c r="I1641" s="25"/>
      <c r="J1641" s="7"/>
      <c r="K1641" s="15"/>
      <c r="L1641" s="379">
        <f>IF(H1641&lt;&gt;"",J1641*K1641,SUMIFS(L1642:L$9844,$F1642:$F$9844,"*"&amp;F1641&amp;"*",$H1642:$H$9844,"&lt;&gt;"))</f>
        <v>0</v>
      </c>
      <c r="M1641" s="379" t="str">
        <f>IF(Tabela2[[#This Row],[UNID.]]&lt;&gt;"",IFERROR(VLOOKUP(Tabela2[[#This Row],[AGRUPADOR]],Lucratividade!$D$4:$O$129,6,0),0),"")</f>
        <v/>
      </c>
      <c r="N1641" s="379">
        <f>IF(H1641&lt;&gt;"",J1641*M1641*I1641,SUMIFS(N1642:N$9844,$F1642:$F$9844,"*"&amp;F1641&amp;"*",$H1642:$H$9844,"&lt;&gt;"))</f>
        <v>0</v>
      </c>
      <c r="O1641" s="162" t="str">
        <f>IFERROR((-Tabela2[[#This Row],[CUSTO TOTAL]]+Tabela2[[#This Row],[VENDA TOTAL]])/Tabela2[[#This Row],[VENDA TOTAL]]-PARAMETROS!$C$19,"")</f>
        <v/>
      </c>
      <c r="AA1641" s="219">
        <f>SUM(Plan_Orc[[#This Row],[01/jan]:[01/dez]])</f>
        <v>0</v>
      </c>
      <c r="AB1641" s="15"/>
      <c r="AC1641" s="15"/>
      <c r="AD1641" s="15"/>
      <c r="AE1641" s="15"/>
      <c r="AF1641" s="15"/>
      <c r="AG1641" s="15"/>
      <c r="AH1641" s="15"/>
      <c r="AI1641" s="15"/>
      <c r="AJ1641" s="15"/>
      <c r="AK1641" s="15"/>
      <c r="AL1641" s="15"/>
      <c r="AM1641" s="15"/>
    </row>
    <row r="1642" spans="2:39" ht="25.2" customHeight="1" x14ac:dyDescent="0.3">
      <c r="B1642" s="13" t="str">
        <f t="shared" si="29"/>
        <v/>
      </c>
      <c r="C1642" s="18"/>
      <c r="D1642" s="19" t="str">
        <f>IF(Tabela2[[#This Row],[AGRUPADOR]]&lt;&gt;"",VLOOKUP(Tabela2[[#This Row],[AGRUPADOR]],Tabela1[],2,0),"")</f>
        <v/>
      </c>
      <c r="E1642" s="19" t="str">
        <f>IF(Tabela2[[#This Row],[AGRUPADOR]]&lt;&gt;"",VLOOKUP(Tabela2[[#This Row],[AGRUPADOR]],Tabela1[],4,0),"")</f>
        <v/>
      </c>
      <c r="F1642" s="14"/>
      <c r="G1642" s="6"/>
      <c r="H1642" s="6"/>
      <c r="I1642" s="25"/>
      <c r="J1642" s="7"/>
      <c r="K1642" s="15"/>
      <c r="L1642" s="379">
        <f>IF(H1642&lt;&gt;"",J1642*K1642,SUMIFS(L1643:L$9844,$F1643:$F$9844,"*"&amp;F1642&amp;"*",$H1643:$H$9844,"&lt;&gt;"))</f>
        <v>0</v>
      </c>
      <c r="M1642" s="379" t="str">
        <f>IF(Tabela2[[#This Row],[UNID.]]&lt;&gt;"",IFERROR(VLOOKUP(Tabela2[[#This Row],[AGRUPADOR]],Lucratividade!$D$4:$O$129,6,0),0),"")</f>
        <v/>
      </c>
      <c r="N1642" s="379">
        <f>IF(H1642&lt;&gt;"",J1642*M1642*I1642,SUMIFS(N1643:N$9844,$F1643:$F$9844,"*"&amp;F1642&amp;"*",$H1643:$H$9844,"&lt;&gt;"))</f>
        <v>0</v>
      </c>
      <c r="O1642" s="162" t="str">
        <f>IFERROR((-Tabela2[[#This Row],[CUSTO TOTAL]]+Tabela2[[#This Row],[VENDA TOTAL]])/Tabela2[[#This Row],[VENDA TOTAL]]-PARAMETROS!$C$19,"")</f>
        <v/>
      </c>
      <c r="AA1642" s="219">
        <f>SUM(Plan_Orc[[#This Row],[01/jan]:[01/dez]])</f>
        <v>0</v>
      </c>
      <c r="AB1642" s="15"/>
      <c r="AC1642" s="15"/>
      <c r="AD1642" s="15"/>
      <c r="AE1642" s="15"/>
      <c r="AF1642" s="15"/>
      <c r="AG1642" s="15"/>
      <c r="AH1642" s="15"/>
      <c r="AI1642" s="15"/>
      <c r="AJ1642" s="15"/>
      <c r="AK1642" s="15"/>
      <c r="AL1642" s="15"/>
      <c r="AM1642" s="15"/>
    </row>
    <row r="1643" spans="2:39" ht="25.2" customHeight="1" x14ac:dyDescent="0.3">
      <c r="B1643" s="13" t="str">
        <f t="shared" si="29"/>
        <v/>
      </c>
      <c r="C1643" s="18"/>
      <c r="D1643" s="19" t="str">
        <f>IF(Tabela2[[#This Row],[AGRUPADOR]]&lt;&gt;"",VLOOKUP(Tabela2[[#This Row],[AGRUPADOR]],Tabela1[],2,0),"")</f>
        <v/>
      </c>
      <c r="E1643" s="19" t="str">
        <f>IF(Tabela2[[#This Row],[AGRUPADOR]]&lt;&gt;"",VLOOKUP(Tabela2[[#This Row],[AGRUPADOR]],Tabela1[],4,0),"")</f>
        <v/>
      </c>
      <c r="F1643" s="14"/>
      <c r="G1643" s="6"/>
      <c r="H1643" s="6"/>
      <c r="I1643" s="25"/>
      <c r="J1643" s="7"/>
      <c r="K1643" s="15"/>
      <c r="L1643" s="379">
        <f>IF(H1643&lt;&gt;"",J1643*K1643,SUMIFS(L1644:L$9844,$F1644:$F$9844,"*"&amp;F1643&amp;"*",$H1644:$H$9844,"&lt;&gt;"))</f>
        <v>0</v>
      </c>
      <c r="M1643" s="379" t="str">
        <f>IF(Tabela2[[#This Row],[UNID.]]&lt;&gt;"",IFERROR(VLOOKUP(Tabela2[[#This Row],[AGRUPADOR]],Lucratividade!$D$4:$O$129,6,0),0),"")</f>
        <v/>
      </c>
      <c r="N1643" s="379">
        <f>IF(H1643&lt;&gt;"",J1643*M1643*I1643,SUMIFS(N1644:N$9844,$F1644:$F$9844,"*"&amp;F1643&amp;"*",$H1644:$H$9844,"&lt;&gt;"))</f>
        <v>0</v>
      </c>
      <c r="O1643" s="162" t="str">
        <f>IFERROR((-Tabela2[[#This Row],[CUSTO TOTAL]]+Tabela2[[#This Row],[VENDA TOTAL]])/Tabela2[[#This Row],[VENDA TOTAL]]-PARAMETROS!$C$19,"")</f>
        <v/>
      </c>
      <c r="AA1643" s="219">
        <f>SUM(Plan_Orc[[#This Row],[01/jan]:[01/dez]])</f>
        <v>0</v>
      </c>
      <c r="AB1643" s="15"/>
      <c r="AC1643" s="15"/>
      <c r="AD1643" s="15"/>
      <c r="AE1643" s="15"/>
      <c r="AF1643" s="15"/>
      <c r="AG1643" s="15"/>
      <c r="AH1643" s="15"/>
      <c r="AI1643" s="15"/>
      <c r="AJ1643" s="15"/>
      <c r="AK1643" s="15"/>
      <c r="AL1643" s="15"/>
      <c r="AM1643" s="15"/>
    </row>
    <row r="1644" spans="2:39" ht="25.2" customHeight="1" x14ac:dyDescent="0.3">
      <c r="B1644" s="13" t="str">
        <f t="shared" si="29"/>
        <v/>
      </c>
      <c r="C1644" s="18"/>
      <c r="D1644" s="19" t="str">
        <f>IF(Tabela2[[#This Row],[AGRUPADOR]]&lt;&gt;"",VLOOKUP(Tabela2[[#This Row],[AGRUPADOR]],Tabela1[],2,0),"")</f>
        <v/>
      </c>
      <c r="E1644" s="19" t="str">
        <f>IF(Tabela2[[#This Row],[AGRUPADOR]]&lt;&gt;"",VLOOKUP(Tabela2[[#This Row],[AGRUPADOR]],Tabela1[],4,0),"")</f>
        <v/>
      </c>
      <c r="F1644" s="14"/>
      <c r="G1644" s="6"/>
      <c r="H1644" s="6"/>
      <c r="I1644" s="25"/>
      <c r="J1644" s="7"/>
      <c r="K1644" s="15"/>
      <c r="L1644" s="379">
        <f>IF(H1644&lt;&gt;"",J1644*K1644,SUMIFS(L1645:L$9844,$F1645:$F$9844,"*"&amp;F1644&amp;"*",$H1645:$H$9844,"&lt;&gt;"))</f>
        <v>0</v>
      </c>
      <c r="M1644" s="379" t="str">
        <f>IF(Tabela2[[#This Row],[UNID.]]&lt;&gt;"",IFERROR(VLOOKUP(Tabela2[[#This Row],[AGRUPADOR]],Lucratividade!$D$4:$O$129,6,0),0),"")</f>
        <v/>
      </c>
      <c r="N1644" s="379">
        <f>IF(H1644&lt;&gt;"",J1644*M1644*I1644,SUMIFS(N1645:N$9844,$F1645:$F$9844,"*"&amp;F1644&amp;"*",$H1645:$H$9844,"&lt;&gt;"))</f>
        <v>0</v>
      </c>
      <c r="O1644" s="162" t="str">
        <f>IFERROR((-Tabela2[[#This Row],[CUSTO TOTAL]]+Tabela2[[#This Row],[VENDA TOTAL]])/Tabela2[[#This Row],[VENDA TOTAL]]-PARAMETROS!$C$19,"")</f>
        <v/>
      </c>
      <c r="AA1644" s="219">
        <f>SUM(Plan_Orc[[#This Row],[01/jan]:[01/dez]])</f>
        <v>0</v>
      </c>
      <c r="AB1644" s="15"/>
      <c r="AC1644" s="15"/>
      <c r="AD1644" s="15"/>
      <c r="AE1644" s="15"/>
      <c r="AF1644" s="15"/>
      <c r="AG1644" s="15"/>
      <c r="AH1644" s="15"/>
      <c r="AI1644" s="15"/>
      <c r="AJ1644" s="15"/>
      <c r="AK1644" s="15"/>
      <c r="AL1644" s="15"/>
      <c r="AM1644" s="15"/>
    </row>
    <row r="1645" spans="2:39" ht="25.2" customHeight="1" x14ac:dyDescent="0.3">
      <c r="B1645" s="13" t="str">
        <f t="shared" si="29"/>
        <v/>
      </c>
      <c r="C1645" s="18"/>
      <c r="D1645" s="19" t="str">
        <f>IF(Tabela2[[#This Row],[AGRUPADOR]]&lt;&gt;"",VLOOKUP(Tabela2[[#This Row],[AGRUPADOR]],Tabela1[],2,0),"")</f>
        <v/>
      </c>
      <c r="E1645" s="19" t="str">
        <f>IF(Tabela2[[#This Row],[AGRUPADOR]]&lt;&gt;"",VLOOKUP(Tabela2[[#This Row],[AGRUPADOR]],Tabela1[],4,0),"")</f>
        <v/>
      </c>
      <c r="F1645" s="14"/>
      <c r="G1645" s="6"/>
      <c r="H1645" s="6"/>
      <c r="I1645" s="25"/>
      <c r="J1645" s="7"/>
      <c r="K1645" s="15"/>
      <c r="L1645" s="379">
        <f>IF(H1645&lt;&gt;"",J1645*K1645,SUMIFS(L1646:L$9844,$F1646:$F$9844,"*"&amp;F1645&amp;"*",$H1646:$H$9844,"&lt;&gt;"))</f>
        <v>0</v>
      </c>
      <c r="M1645" s="379" t="str">
        <f>IF(Tabela2[[#This Row],[UNID.]]&lt;&gt;"",IFERROR(VLOOKUP(Tabela2[[#This Row],[AGRUPADOR]],Lucratividade!$D$4:$O$129,6,0),0),"")</f>
        <v/>
      </c>
      <c r="N1645" s="379">
        <f>IF(H1645&lt;&gt;"",J1645*M1645*I1645,SUMIFS(N1646:N$9844,$F1646:$F$9844,"*"&amp;F1645&amp;"*",$H1646:$H$9844,"&lt;&gt;"))</f>
        <v>0</v>
      </c>
      <c r="O1645" s="162" t="str">
        <f>IFERROR((-Tabela2[[#This Row],[CUSTO TOTAL]]+Tabela2[[#This Row],[VENDA TOTAL]])/Tabela2[[#This Row],[VENDA TOTAL]]-PARAMETROS!$C$19,"")</f>
        <v/>
      </c>
      <c r="AA1645" s="219">
        <f>SUM(Plan_Orc[[#This Row],[01/jan]:[01/dez]])</f>
        <v>0</v>
      </c>
      <c r="AB1645" s="15"/>
      <c r="AC1645" s="15"/>
      <c r="AD1645" s="15"/>
      <c r="AE1645" s="15"/>
      <c r="AF1645" s="15"/>
      <c r="AG1645" s="15"/>
      <c r="AH1645" s="15"/>
      <c r="AI1645" s="15"/>
      <c r="AJ1645" s="15"/>
      <c r="AK1645" s="15"/>
      <c r="AL1645" s="15"/>
      <c r="AM1645" s="15"/>
    </row>
    <row r="1646" spans="2:39" ht="25.2" customHeight="1" x14ac:dyDescent="0.3">
      <c r="B1646" s="13" t="str">
        <f t="shared" si="29"/>
        <v/>
      </c>
      <c r="C1646" s="18"/>
      <c r="D1646" s="19" t="str">
        <f>IF(Tabela2[[#This Row],[AGRUPADOR]]&lt;&gt;"",VLOOKUP(Tabela2[[#This Row],[AGRUPADOR]],Tabela1[],2,0),"")</f>
        <v/>
      </c>
      <c r="E1646" s="19" t="str">
        <f>IF(Tabela2[[#This Row],[AGRUPADOR]]&lt;&gt;"",VLOOKUP(Tabela2[[#This Row],[AGRUPADOR]],Tabela1[],4,0),"")</f>
        <v/>
      </c>
      <c r="F1646" s="14"/>
      <c r="G1646" s="6"/>
      <c r="H1646" s="6"/>
      <c r="I1646" s="25"/>
      <c r="J1646" s="7"/>
      <c r="K1646" s="15"/>
      <c r="L1646" s="379">
        <f>IF(H1646&lt;&gt;"",J1646*K1646,SUMIFS(L1647:L$9844,$F1647:$F$9844,"*"&amp;F1646&amp;"*",$H1647:$H$9844,"&lt;&gt;"))</f>
        <v>0</v>
      </c>
      <c r="M1646" s="379" t="str">
        <f>IF(Tabela2[[#This Row],[UNID.]]&lt;&gt;"",IFERROR(VLOOKUP(Tabela2[[#This Row],[AGRUPADOR]],Lucratividade!$D$4:$O$129,6,0),0),"")</f>
        <v/>
      </c>
      <c r="N1646" s="379">
        <f>IF(H1646&lt;&gt;"",J1646*M1646*I1646,SUMIFS(N1647:N$9844,$F1647:$F$9844,"*"&amp;F1646&amp;"*",$H1647:$H$9844,"&lt;&gt;"))</f>
        <v>0</v>
      </c>
      <c r="O1646" s="162" t="str">
        <f>IFERROR((-Tabela2[[#This Row],[CUSTO TOTAL]]+Tabela2[[#This Row],[VENDA TOTAL]])/Tabela2[[#This Row],[VENDA TOTAL]]-PARAMETROS!$C$19,"")</f>
        <v/>
      </c>
      <c r="AA1646" s="219">
        <f>SUM(Plan_Orc[[#This Row],[01/jan]:[01/dez]])</f>
        <v>0</v>
      </c>
      <c r="AB1646" s="15"/>
      <c r="AC1646" s="15"/>
      <c r="AD1646" s="15"/>
      <c r="AE1646" s="15"/>
      <c r="AF1646" s="15"/>
      <c r="AG1646" s="15"/>
      <c r="AH1646" s="15"/>
      <c r="AI1646" s="15"/>
      <c r="AJ1646" s="15"/>
      <c r="AK1646" s="15"/>
      <c r="AL1646" s="15"/>
      <c r="AM1646" s="15"/>
    </row>
    <row r="1647" spans="2:39" ht="25.2" customHeight="1" x14ac:dyDescent="0.3">
      <c r="B1647" s="13" t="str">
        <f t="shared" si="29"/>
        <v/>
      </c>
      <c r="C1647" s="18"/>
      <c r="D1647" s="19" t="str">
        <f>IF(Tabela2[[#This Row],[AGRUPADOR]]&lt;&gt;"",VLOOKUP(Tabela2[[#This Row],[AGRUPADOR]],Tabela1[],2,0),"")</f>
        <v/>
      </c>
      <c r="E1647" s="19" t="str">
        <f>IF(Tabela2[[#This Row],[AGRUPADOR]]&lt;&gt;"",VLOOKUP(Tabela2[[#This Row],[AGRUPADOR]],Tabela1[],4,0),"")</f>
        <v/>
      </c>
      <c r="F1647" s="14"/>
      <c r="G1647" s="6"/>
      <c r="H1647" s="6"/>
      <c r="I1647" s="25"/>
      <c r="J1647" s="7"/>
      <c r="K1647" s="15"/>
      <c r="L1647" s="379">
        <f>IF(H1647&lt;&gt;"",J1647*K1647,SUMIFS(L1648:L$9844,$F1648:$F$9844,"*"&amp;F1647&amp;"*",$H1648:$H$9844,"&lt;&gt;"))</f>
        <v>0</v>
      </c>
      <c r="M1647" s="379" t="str">
        <f>IF(Tabela2[[#This Row],[UNID.]]&lt;&gt;"",IFERROR(VLOOKUP(Tabela2[[#This Row],[AGRUPADOR]],Lucratividade!$D$4:$O$129,6,0),0),"")</f>
        <v/>
      </c>
      <c r="N1647" s="379">
        <f>IF(H1647&lt;&gt;"",J1647*M1647*I1647,SUMIFS(N1648:N$9844,$F1648:$F$9844,"*"&amp;F1647&amp;"*",$H1648:$H$9844,"&lt;&gt;"))</f>
        <v>0</v>
      </c>
      <c r="O1647" s="162" t="str">
        <f>IFERROR((-Tabela2[[#This Row],[CUSTO TOTAL]]+Tabela2[[#This Row],[VENDA TOTAL]])/Tabela2[[#This Row],[VENDA TOTAL]]-PARAMETROS!$C$19,"")</f>
        <v/>
      </c>
      <c r="AA1647" s="219">
        <f>SUM(Plan_Orc[[#This Row],[01/jan]:[01/dez]])</f>
        <v>0</v>
      </c>
      <c r="AB1647" s="15"/>
      <c r="AC1647" s="15"/>
      <c r="AD1647" s="15"/>
      <c r="AE1647" s="15"/>
      <c r="AF1647" s="15"/>
      <c r="AG1647" s="15"/>
      <c r="AH1647" s="15"/>
      <c r="AI1647" s="15"/>
      <c r="AJ1647" s="15"/>
      <c r="AK1647" s="15"/>
      <c r="AL1647" s="15"/>
      <c r="AM1647" s="15"/>
    </row>
    <row r="1648" spans="2:39" ht="25.2" customHeight="1" x14ac:dyDescent="0.3">
      <c r="B1648" s="13" t="str">
        <f t="shared" si="29"/>
        <v/>
      </c>
      <c r="C1648" s="18"/>
      <c r="D1648" s="19" t="str">
        <f>IF(Tabela2[[#This Row],[AGRUPADOR]]&lt;&gt;"",VLOOKUP(Tabela2[[#This Row],[AGRUPADOR]],Tabela1[],2,0),"")</f>
        <v/>
      </c>
      <c r="E1648" s="19" t="str">
        <f>IF(Tabela2[[#This Row],[AGRUPADOR]]&lt;&gt;"",VLOOKUP(Tabela2[[#This Row],[AGRUPADOR]],Tabela1[],4,0),"")</f>
        <v/>
      </c>
      <c r="F1648" s="14"/>
      <c r="G1648" s="6"/>
      <c r="H1648" s="6"/>
      <c r="I1648" s="25"/>
      <c r="J1648" s="7"/>
      <c r="K1648" s="15"/>
      <c r="L1648" s="379">
        <f>IF(H1648&lt;&gt;"",J1648*K1648,SUMIFS(L1649:L$9844,$F1649:$F$9844,"*"&amp;F1648&amp;"*",$H1649:$H$9844,"&lt;&gt;"))</f>
        <v>0</v>
      </c>
      <c r="M1648" s="379" t="str">
        <f>IF(Tabela2[[#This Row],[UNID.]]&lt;&gt;"",IFERROR(VLOOKUP(Tabela2[[#This Row],[AGRUPADOR]],Lucratividade!$D$4:$O$129,6,0),0),"")</f>
        <v/>
      </c>
      <c r="N1648" s="379">
        <f>IF(H1648&lt;&gt;"",J1648*M1648*I1648,SUMIFS(N1649:N$9844,$F1649:$F$9844,"*"&amp;F1648&amp;"*",$H1649:$H$9844,"&lt;&gt;"))</f>
        <v>0</v>
      </c>
      <c r="O1648" s="162" t="str">
        <f>IFERROR((-Tabela2[[#This Row],[CUSTO TOTAL]]+Tabela2[[#This Row],[VENDA TOTAL]])/Tabela2[[#This Row],[VENDA TOTAL]]-PARAMETROS!$C$19,"")</f>
        <v/>
      </c>
      <c r="AA1648" s="219">
        <f>SUM(Plan_Orc[[#This Row],[01/jan]:[01/dez]])</f>
        <v>0</v>
      </c>
      <c r="AB1648" s="15"/>
      <c r="AC1648" s="15"/>
      <c r="AD1648" s="15"/>
      <c r="AE1648" s="15"/>
      <c r="AF1648" s="15"/>
      <c r="AG1648" s="15"/>
      <c r="AH1648" s="15"/>
      <c r="AI1648" s="15"/>
      <c r="AJ1648" s="15"/>
      <c r="AK1648" s="15"/>
      <c r="AL1648" s="15"/>
      <c r="AM1648" s="15"/>
    </row>
    <row r="1649" spans="2:39" ht="25.2" customHeight="1" x14ac:dyDescent="0.3">
      <c r="B1649" s="13" t="str">
        <f t="shared" si="29"/>
        <v/>
      </c>
      <c r="C1649" s="18"/>
      <c r="D1649" s="19" t="str">
        <f>IF(Tabela2[[#This Row],[AGRUPADOR]]&lt;&gt;"",VLOOKUP(Tabela2[[#This Row],[AGRUPADOR]],Tabela1[],2,0),"")</f>
        <v/>
      </c>
      <c r="E1649" s="19" t="str">
        <f>IF(Tabela2[[#This Row],[AGRUPADOR]]&lt;&gt;"",VLOOKUP(Tabela2[[#This Row],[AGRUPADOR]],Tabela1[],4,0),"")</f>
        <v/>
      </c>
      <c r="F1649" s="14"/>
      <c r="G1649" s="6"/>
      <c r="H1649" s="6"/>
      <c r="I1649" s="25"/>
      <c r="J1649" s="7"/>
      <c r="K1649" s="15"/>
      <c r="L1649" s="379">
        <f>IF(H1649&lt;&gt;"",J1649*K1649,SUMIFS(L1650:L$9844,$F1650:$F$9844,"*"&amp;F1649&amp;"*",$H1650:$H$9844,"&lt;&gt;"))</f>
        <v>0</v>
      </c>
      <c r="M1649" s="379" t="str">
        <f>IF(Tabela2[[#This Row],[UNID.]]&lt;&gt;"",IFERROR(VLOOKUP(Tabela2[[#This Row],[AGRUPADOR]],Lucratividade!$D$4:$O$129,6,0),0),"")</f>
        <v/>
      </c>
      <c r="N1649" s="379">
        <f>IF(H1649&lt;&gt;"",J1649*M1649*I1649,SUMIFS(N1650:N$9844,$F1650:$F$9844,"*"&amp;F1649&amp;"*",$H1650:$H$9844,"&lt;&gt;"))</f>
        <v>0</v>
      </c>
      <c r="O1649" s="162" t="str">
        <f>IFERROR((-Tabela2[[#This Row],[CUSTO TOTAL]]+Tabela2[[#This Row],[VENDA TOTAL]])/Tabela2[[#This Row],[VENDA TOTAL]]-PARAMETROS!$C$19,"")</f>
        <v/>
      </c>
      <c r="AA1649" s="219">
        <f>SUM(Plan_Orc[[#This Row],[01/jan]:[01/dez]])</f>
        <v>0</v>
      </c>
      <c r="AB1649" s="15"/>
      <c r="AC1649" s="15"/>
      <c r="AD1649" s="15"/>
      <c r="AE1649" s="15"/>
      <c r="AF1649" s="15"/>
      <c r="AG1649" s="15"/>
      <c r="AH1649" s="15"/>
      <c r="AI1649" s="15"/>
      <c r="AJ1649" s="15"/>
      <c r="AK1649" s="15"/>
      <c r="AL1649" s="15"/>
      <c r="AM1649" s="15"/>
    </row>
    <row r="1650" spans="2:39" ht="25.2" customHeight="1" x14ac:dyDescent="0.3">
      <c r="B1650" s="13" t="str">
        <f t="shared" si="29"/>
        <v/>
      </c>
      <c r="C1650" s="18"/>
      <c r="D1650" s="19" t="str">
        <f>IF(Tabela2[[#This Row],[AGRUPADOR]]&lt;&gt;"",VLOOKUP(Tabela2[[#This Row],[AGRUPADOR]],Tabela1[],2,0),"")</f>
        <v/>
      </c>
      <c r="E1650" s="19" t="str">
        <f>IF(Tabela2[[#This Row],[AGRUPADOR]]&lt;&gt;"",VLOOKUP(Tabela2[[#This Row],[AGRUPADOR]],Tabela1[],4,0),"")</f>
        <v/>
      </c>
      <c r="F1650" s="14"/>
      <c r="G1650" s="6"/>
      <c r="H1650" s="6"/>
      <c r="I1650" s="25"/>
      <c r="J1650" s="7"/>
      <c r="K1650" s="15"/>
      <c r="L1650" s="379">
        <f>IF(H1650&lt;&gt;"",J1650*K1650,SUMIFS(L1651:L$9844,$F1651:$F$9844,"*"&amp;F1650&amp;"*",$H1651:$H$9844,"&lt;&gt;"))</f>
        <v>0</v>
      </c>
      <c r="M1650" s="379" t="str">
        <f>IF(Tabela2[[#This Row],[UNID.]]&lt;&gt;"",IFERROR(VLOOKUP(Tabela2[[#This Row],[AGRUPADOR]],Lucratividade!$D$4:$O$129,6,0),0),"")</f>
        <v/>
      </c>
      <c r="N1650" s="379">
        <f>IF(H1650&lt;&gt;"",J1650*M1650*I1650,SUMIFS(N1651:N$9844,$F1651:$F$9844,"*"&amp;F1650&amp;"*",$H1651:$H$9844,"&lt;&gt;"))</f>
        <v>0</v>
      </c>
      <c r="O1650" s="162" t="str">
        <f>IFERROR((-Tabela2[[#This Row],[CUSTO TOTAL]]+Tabela2[[#This Row],[VENDA TOTAL]])/Tabela2[[#This Row],[VENDA TOTAL]]-PARAMETROS!$C$19,"")</f>
        <v/>
      </c>
      <c r="AA1650" s="219">
        <f>SUM(Plan_Orc[[#This Row],[01/jan]:[01/dez]])</f>
        <v>0</v>
      </c>
      <c r="AB1650" s="15"/>
      <c r="AC1650" s="15"/>
      <c r="AD1650" s="15"/>
      <c r="AE1650" s="15"/>
      <c r="AF1650" s="15"/>
      <c r="AG1650" s="15"/>
      <c r="AH1650" s="15"/>
      <c r="AI1650" s="15"/>
      <c r="AJ1650" s="15"/>
      <c r="AK1650" s="15"/>
      <c r="AL1650" s="15"/>
      <c r="AM1650" s="15"/>
    </row>
    <row r="1651" spans="2:39" ht="25.2" customHeight="1" x14ac:dyDescent="0.3">
      <c r="B1651" s="13" t="str">
        <f t="shared" si="29"/>
        <v/>
      </c>
      <c r="C1651" s="18"/>
      <c r="D1651" s="19" t="str">
        <f>IF(Tabela2[[#This Row],[AGRUPADOR]]&lt;&gt;"",VLOOKUP(Tabela2[[#This Row],[AGRUPADOR]],Tabela1[],2,0),"")</f>
        <v/>
      </c>
      <c r="E1651" s="19" t="str">
        <f>IF(Tabela2[[#This Row],[AGRUPADOR]]&lt;&gt;"",VLOOKUP(Tabela2[[#This Row],[AGRUPADOR]],Tabela1[],4,0),"")</f>
        <v/>
      </c>
      <c r="F1651" s="14"/>
      <c r="G1651" s="6"/>
      <c r="H1651" s="6"/>
      <c r="I1651" s="25"/>
      <c r="J1651" s="7"/>
      <c r="K1651" s="15"/>
      <c r="L1651" s="379">
        <f>IF(H1651&lt;&gt;"",J1651*K1651,SUMIFS(L1652:L$9844,$F1652:$F$9844,"*"&amp;F1651&amp;"*",$H1652:$H$9844,"&lt;&gt;"))</f>
        <v>0</v>
      </c>
      <c r="M1651" s="379" t="str">
        <f>IF(Tabela2[[#This Row],[UNID.]]&lt;&gt;"",IFERROR(VLOOKUP(Tabela2[[#This Row],[AGRUPADOR]],Lucratividade!$D$4:$O$129,6,0),0),"")</f>
        <v/>
      </c>
      <c r="N1651" s="379">
        <f>IF(H1651&lt;&gt;"",J1651*M1651*I1651,SUMIFS(N1652:N$9844,$F1652:$F$9844,"*"&amp;F1651&amp;"*",$H1652:$H$9844,"&lt;&gt;"))</f>
        <v>0</v>
      </c>
      <c r="O1651" s="162" t="str">
        <f>IFERROR((-Tabela2[[#This Row],[CUSTO TOTAL]]+Tabela2[[#This Row],[VENDA TOTAL]])/Tabela2[[#This Row],[VENDA TOTAL]]-PARAMETROS!$C$19,"")</f>
        <v/>
      </c>
      <c r="AA1651" s="219">
        <f>SUM(Plan_Orc[[#This Row],[01/jan]:[01/dez]])</f>
        <v>0</v>
      </c>
      <c r="AB1651" s="15"/>
      <c r="AC1651" s="15"/>
      <c r="AD1651" s="15"/>
      <c r="AE1651" s="15"/>
      <c r="AF1651" s="15"/>
      <c r="AG1651" s="15"/>
      <c r="AH1651" s="15"/>
      <c r="AI1651" s="15"/>
      <c r="AJ1651" s="15"/>
      <c r="AK1651" s="15"/>
      <c r="AL1651" s="15"/>
      <c r="AM1651" s="15"/>
    </row>
    <row r="1652" spans="2:39" ht="25.2" customHeight="1" x14ac:dyDescent="0.3">
      <c r="B1652" s="13" t="str">
        <f t="shared" si="29"/>
        <v/>
      </c>
      <c r="C1652" s="18"/>
      <c r="D1652" s="19" t="str">
        <f>IF(Tabela2[[#This Row],[AGRUPADOR]]&lt;&gt;"",VLOOKUP(Tabela2[[#This Row],[AGRUPADOR]],Tabela1[],2,0),"")</f>
        <v/>
      </c>
      <c r="E1652" s="19" t="str">
        <f>IF(Tabela2[[#This Row],[AGRUPADOR]]&lt;&gt;"",VLOOKUP(Tabela2[[#This Row],[AGRUPADOR]],Tabela1[],4,0),"")</f>
        <v/>
      </c>
      <c r="F1652" s="14"/>
      <c r="G1652" s="6"/>
      <c r="H1652" s="6"/>
      <c r="I1652" s="25"/>
      <c r="J1652" s="7"/>
      <c r="K1652" s="15"/>
      <c r="L1652" s="379">
        <f>IF(H1652&lt;&gt;"",J1652*K1652,SUMIFS(L1653:L$9844,$F1653:$F$9844,"*"&amp;F1652&amp;"*",$H1653:$H$9844,"&lt;&gt;"))</f>
        <v>0</v>
      </c>
      <c r="M1652" s="379" t="str">
        <f>IF(Tabela2[[#This Row],[UNID.]]&lt;&gt;"",IFERROR(VLOOKUP(Tabela2[[#This Row],[AGRUPADOR]],Lucratividade!$D$4:$O$129,6,0),0),"")</f>
        <v/>
      </c>
      <c r="N1652" s="379">
        <f>IF(H1652&lt;&gt;"",J1652*M1652*I1652,SUMIFS(N1653:N$9844,$F1653:$F$9844,"*"&amp;F1652&amp;"*",$H1653:$H$9844,"&lt;&gt;"))</f>
        <v>0</v>
      </c>
      <c r="O1652" s="162" t="str">
        <f>IFERROR((-Tabela2[[#This Row],[CUSTO TOTAL]]+Tabela2[[#This Row],[VENDA TOTAL]])/Tabela2[[#This Row],[VENDA TOTAL]]-PARAMETROS!$C$19,"")</f>
        <v/>
      </c>
      <c r="AA1652" s="219">
        <f>SUM(Plan_Orc[[#This Row],[01/jan]:[01/dez]])</f>
        <v>0</v>
      </c>
      <c r="AB1652" s="15"/>
      <c r="AC1652" s="15"/>
      <c r="AD1652" s="15"/>
      <c r="AE1652" s="15"/>
      <c r="AF1652" s="15"/>
      <c r="AG1652" s="15"/>
      <c r="AH1652" s="15"/>
      <c r="AI1652" s="15"/>
      <c r="AJ1652" s="15"/>
      <c r="AK1652" s="15"/>
      <c r="AL1652" s="15"/>
      <c r="AM1652" s="15"/>
    </row>
    <row r="1653" spans="2:39" ht="25.2" customHeight="1" x14ac:dyDescent="0.3">
      <c r="B1653" s="13" t="str">
        <f t="shared" si="29"/>
        <v/>
      </c>
      <c r="C1653" s="18"/>
      <c r="D1653" s="19" t="str">
        <f>IF(Tabela2[[#This Row],[AGRUPADOR]]&lt;&gt;"",VLOOKUP(Tabela2[[#This Row],[AGRUPADOR]],Tabela1[],2,0),"")</f>
        <v/>
      </c>
      <c r="E1653" s="19" t="str">
        <f>IF(Tabela2[[#This Row],[AGRUPADOR]]&lt;&gt;"",VLOOKUP(Tabela2[[#This Row],[AGRUPADOR]],Tabela1[],4,0),"")</f>
        <v/>
      </c>
      <c r="F1653" s="14"/>
      <c r="G1653" s="6"/>
      <c r="H1653" s="6"/>
      <c r="I1653" s="25"/>
      <c r="J1653" s="7"/>
      <c r="K1653" s="15"/>
      <c r="L1653" s="379">
        <f>IF(H1653&lt;&gt;"",J1653*K1653,SUMIFS(L1654:L$9844,$F1654:$F$9844,"*"&amp;F1653&amp;"*",$H1654:$H$9844,"&lt;&gt;"))</f>
        <v>0</v>
      </c>
      <c r="M1653" s="379" t="str">
        <f>IF(Tabela2[[#This Row],[UNID.]]&lt;&gt;"",IFERROR(VLOOKUP(Tabela2[[#This Row],[AGRUPADOR]],Lucratividade!$D$4:$O$129,6,0),0),"")</f>
        <v/>
      </c>
      <c r="N1653" s="379">
        <f>IF(H1653&lt;&gt;"",J1653*M1653*I1653,SUMIFS(N1654:N$9844,$F1654:$F$9844,"*"&amp;F1653&amp;"*",$H1654:$H$9844,"&lt;&gt;"))</f>
        <v>0</v>
      </c>
      <c r="O1653" s="162" t="str">
        <f>IFERROR((-Tabela2[[#This Row],[CUSTO TOTAL]]+Tabela2[[#This Row],[VENDA TOTAL]])/Tabela2[[#This Row],[VENDA TOTAL]]-PARAMETROS!$C$19,"")</f>
        <v/>
      </c>
      <c r="AA1653" s="219">
        <f>SUM(Plan_Orc[[#This Row],[01/jan]:[01/dez]])</f>
        <v>0</v>
      </c>
      <c r="AB1653" s="15"/>
      <c r="AC1653" s="15"/>
      <c r="AD1653" s="15"/>
      <c r="AE1653" s="15"/>
      <c r="AF1653" s="15"/>
      <c r="AG1653" s="15"/>
      <c r="AH1653" s="15"/>
      <c r="AI1653" s="15"/>
      <c r="AJ1653" s="15"/>
      <c r="AK1653" s="15"/>
      <c r="AL1653" s="15"/>
      <c r="AM1653" s="15"/>
    </row>
    <row r="1654" spans="2:39" ht="25.2" customHeight="1" x14ac:dyDescent="0.3">
      <c r="B1654" s="13" t="str">
        <f t="shared" si="29"/>
        <v/>
      </c>
      <c r="C1654" s="18"/>
      <c r="D1654" s="19" t="str">
        <f>IF(Tabela2[[#This Row],[AGRUPADOR]]&lt;&gt;"",VLOOKUP(Tabela2[[#This Row],[AGRUPADOR]],Tabela1[],2,0),"")</f>
        <v/>
      </c>
      <c r="E1654" s="19" t="str">
        <f>IF(Tabela2[[#This Row],[AGRUPADOR]]&lt;&gt;"",VLOOKUP(Tabela2[[#This Row],[AGRUPADOR]],Tabela1[],4,0),"")</f>
        <v/>
      </c>
      <c r="F1654" s="14"/>
      <c r="G1654" s="6"/>
      <c r="H1654" s="6"/>
      <c r="I1654" s="25"/>
      <c r="J1654" s="7"/>
      <c r="K1654" s="15"/>
      <c r="L1654" s="379">
        <f>IF(H1654&lt;&gt;"",J1654*K1654,SUMIFS(L1655:L$9844,$F1655:$F$9844,"*"&amp;F1654&amp;"*",$H1655:$H$9844,"&lt;&gt;"))</f>
        <v>0</v>
      </c>
      <c r="M1654" s="379" t="str">
        <f>IF(Tabela2[[#This Row],[UNID.]]&lt;&gt;"",IFERROR(VLOOKUP(Tabela2[[#This Row],[AGRUPADOR]],Lucratividade!$D$4:$O$129,6,0),0),"")</f>
        <v/>
      </c>
      <c r="N1654" s="379">
        <f>IF(H1654&lt;&gt;"",J1654*M1654*I1654,SUMIFS(N1655:N$9844,$F1655:$F$9844,"*"&amp;F1654&amp;"*",$H1655:$H$9844,"&lt;&gt;"))</f>
        <v>0</v>
      </c>
      <c r="O1654" s="162" t="str">
        <f>IFERROR((-Tabela2[[#This Row],[CUSTO TOTAL]]+Tabela2[[#This Row],[VENDA TOTAL]])/Tabela2[[#This Row],[VENDA TOTAL]]-PARAMETROS!$C$19,"")</f>
        <v/>
      </c>
      <c r="AA1654" s="219">
        <f>SUM(Plan_Orc[[#This Row],[01/jan]:[01/dez]])</f>
        <v>0</v>
      </c>
      <c r="AB1654" s="15"/>
      <c r="AC1654" s="15"/>
      <c r="AD1654" s="15"/>
      <c r="AE1654" s="15"/>
      <c r="AF1654" s="15"/>
      <c r="AG1654" s="15"/>
      <c r="AH1654" s="15"/>
      <c r="AI1654" s="15"/>
      <c r="AJ1654" s="15"/>
      <c r="AK1654" s="15"/>
      <c r="AL1654" s="15"/>
      <c r="AM1654" s="15"/>
    </row>
    <row r="1655" spans="2:39" ht="25.2" customHeight="1" x14ac:dyDescent="0.3">
      <c r="B1655" s="13" t="str">
        <f t="shared" si="29"/>
        <v/>
      </c>
      <c r="C1655" s="18"/>
      <c r="D1655" s="19" t="str">
        <f>IF(Tabela2[[#This Row],[AGRUPADOR]]&lt;&gt;"",VLOOKUP(Tabela2[[#This Row],[AGRUPADOR]],Tabela1[],2,0),"")</f>
        <v/>
      </c>
      <c r="E1655" s="19" t="str">
        <f>IF(Tabela2[[#This Row],[AGRUPADOR]]&lt;&gt;"",VLOOKUP(Tabela2[[#This Row],[AGRUPADOR]],Tabela1[],4,0),"")</f>
        <v/>
      </c>
      <c r="F1655" s="14"/>
      <c r="G1655" s="6"/>
      <c r="H1655" s="6"/>
      <c r="I1655" s="25"/>
      <c r="J1655" s="7"/>
      <c r="K1655" s="15"/>
      <c r="L1655" s="379">
        <f>IF(H1655&lt;&gt;"",J1655*K1655,SUMIFS(L1656:L$9844,$F1656:$F$9844,"*"&amp;F1655&amp;"*",$H1656:$H$9844,"&lt;&gt;"))</f>
        <v>0</v>
      </c>
      <c r="M1655" s="379" t="str">
        <f>IF(Tabela2[[#This Row],[UNID.]]&lt;&gt;"",IFERROR(VLOOKUP(Tabela2[[#This Row],[AGRUPADOR]],Lucratividade!$D$4:$O$129,6,0),0),"")</f>
        <v/>
      </c>
      <c r="N1655" s="379">
        <f>IF(H1655&lt;&gt;"",J1655*M1655*I1655,SUMIFS(N1656:N$9844,$F1656:$F$9844,"*"&amp;F1655&amp;"*",$H1656:$H$9844,"&lt;&gt;"))</f>
        <v>0</v>
      </c>
      <c r="O1655" s="162" t="str">
        <f>IFERROR((-Tabela2[[#This Row],[CUSTO TOTAL]]+Tabela2[[#This Row],[VENDA TOTAL]])/Tabela2[[#This Row],[VENDA TOTAL]]-PARAMETROS!$C$19,"")</f>
        <v/>
      </c>
      <c r="AA1655" s="218">
        <f>SUM(Plan_Orc[[#This Row],[01/jan]:[01/dez]])</f>
        <v>0</v>
      </c>
      <c r="AB1655" s="12"/>
      <c r="AC1655" s="12"/>
      <c r="AD1655" s="12"/>
      <c r="AE1655" s="12"/>
      <c r="AF1655" s="12"/>
      <c r="AG1655" s="12"/>
      <c r="AH1655" s="12"/>
      <c r="AI1655" s="12"/>
      <c r="AJ1655" s="12"/>
      <c r="AK1655" s="12"/>
      <c r="AL1655" s="12"/>
      <c r="AM1655" s="12"/>
    </row>
    <row r="1656" spans="2:39" ht="25.2" customHeight="1" x14ac:dyDescent="0.3">
      <c r="B1656" s="13" t="str">
        <f t="shared" si="29"/>
        <v/>
      </c>
      <c r="C1656" s="18"/>
      <c r="D1656" s="19" t="str">
        <f>IF(Tabela2[[#This Row],[AGRUPADOR]]&lt;&gt;"",VLOOKUP(Tabela2[[#This Row],[AGRUPADOR]],Tabela1[],2,0),"")</f>
        <v/>
      </c>
      <c r="E1656" s="19" t="str">
        <f>IF(Tabela2[[#This Row],[AGRUPADOR]]&lt;&gt;"",VLOOKUP(Tabela2[[#This Row],[AGRUPADOR]],Tabela1[],4,0),"")</f>
        <v/>
      </c>
      <c r="F1656" s="14"/>
      <c r="G1656" s="6"/>
      <c r="H1656" s="6"/>
      <c r="I1656" s="25"/>
      <c r="J1656" s="7"/>
      <c r="K1656" s="15"/>
      <c r="L1656" s="379">
        <f>IF(H1656&lt;&gt;"",J1656*K1656,SUMIFS(L1657:L$9844,$F1657:$F$9844,"*"&amp;F1656&amp;"*",$H1657:$H$9844,"&lt;&gt;"))</f>
        <v>0</v>
      </c>
      <c r="M1656" s="379" t="str">
        <f>IF(Tabela2[[#This Row],[UNID.]]&lt;&gt;"",IFERROR(VLOOKUP(Tabela2[[#This Row],[AGRUPADOR]],Lucratividade!$D$4:$O$129,6,0),0),"")</f>
        <v/>
      </c>
      <c r="N1656" s="379">
        <f>IF(H1656&lt;&gt;"",J1656*M1656*I1656,SUMIFS(N1657:N$9844,$F1657:$F$9844,"*"&amp;F1656&amp;"*",$H1657:$H$9844,"&lt;&gt;"))</f>
        <v>0</v>
      </c>
      <c r="O1656" s="162" t="str">
        <f>IFERROR((-Tabela2[[#This Row],[CUSTO TOTAL]]+Tabela2[[#This Row],[VENDA TOTAL]])/Tabela2[[#This Row],[VENDA TOTAL]]-PARAMETROS!$C$19,"")</f>
        <v/>
      </c>
      <c r="AA1656" s="219">
        <f>SUM(Plan_Orc[[#This Row],[01/jan]:[01/dez]])</f>
        <v>0</v>
      </c>
      <c r="AB1656" s="15"/>
      <c r="AC1656" s="15"/>
      <c r="AD1656" s="15"/>
      <c r="AE1656" s="15"/>
      <c r="AF1656" s="15"/>
      <c r="AG1656" s="15"/>
      <c r="AH1656" s="15"/>
      <c r="AI1656" s="15"/>
      <c r="AJ1656" s="15"/>
      <c r="AK1656" s="15"/>
      <c r="AL1656" s="15"/>
      <c r="AM1656" s="15"/>
    </row>
    <row r="1657" spans="2:39" ht="25.2" customHeight="1" x14ac:dyDescent="0.3">
      <c r="B1657" s="13" t="str">
        <f t="shared" si="29"/>
        <v/>
      </c>
      <c r="C1657" s="18"/>
      <c r="D1657" s="19" t="str">
        <f>IF(Tabela2[[#This Row],[AGRUPADOR]]&lt;&gt;"",VLOOKUP(Tabela2[[#This Row],[AGRUPADOR]],Tabela1[],2,0),"")</f>
        <v/>
      </c>
      <c r="E1657" s="19" t="str">
        <f>IF(Tabela2[[#This Row],[AGRUPADOR]]&lt;&gt;"",VLOOKUP(Tabela2[[#This Row],[AGRUPADOR]],Tabela1[],4,0),"")</f>
        <v/>
      </c>
      <c r="F1657" s="14"/>
      <c r="G1657" s="6"/>
      <c r="H1657" s="6"/>
      <c r="I1657" s="25"/>
      <c r="J1657" s="7"/>
      <c r="K1657" s="15"/>
      <c r="L1657" s="379">
        <f>IF(H1657&lt;&gt;"",J1657*K1657,SUMIFS(L1658:L$9844,$F1658:$F$9844,"*"&amp;F1657&amp;"*",$H1658:$H$9844,"&lt;&gt;"))</f>
        <v>0</v>
      </c>
      <c r="M1657" s="379" t="str">
        <f>IF(Tabela2[[#This Row],[UNID.]]&lt;&gt;"",IFERROR(VLOOKUP(Tabela2[[#This Row],[AGRUPADOR]],Lucratividade!$D$4:$O$129,6,0),0),"")</f>
        <v/>
      </c>
      <c r="N1657" s="379">
        <f>IF(H1657&lt;&gt;"",J1657*M1657*I1657,SUMIFS(N1658:N$9844,$F1658:$F$9844,"*"&amp;F1657&amp;"*",$H1658:$H$9844,"&lt;&gt;"))</f>
        <v>0</v>
      </c>
      <c r="O1657" s="162" t="str">
        <f>IFERROR((-Tabela2[[#This Row],[CUSTO TOTAL]]+Tabela2[[#This Row],[VENDA TOTAL]])/Tabela2[[#This Row],[VENDA TOTAL]]-PARAMETROS!$C$19,"")</f>
        <v/>
      </c>
      <c r="AA1657" s="219">
        <f>SUM(Plan_Orc[[#This Row],[01/jan]:[01/dez]])</f>
        <v>0</v>
      </c>
      <c r="AB1657" s="15"/>
      <c r="AC1657" s="15"/>
      <c r="AD1657" s="15"/>
      <c r="AE1657" s="15"/>
      <c r="AF1657" s="15"/>
      <c r="AG1657" s="15"/>
      <c r="AH1657" s="15"/>
      <c r="AI1657" s="15"/>
      <c r="AJ1657" s="15"/>
      <c r="AK1657" s="15"/>
      <c r="AL1657" s="15"/>
      <c r="AM1657" s="15"/>
    </row>
    <row r="1658" spans="2:39" ht="25.2" customHeight="1" x14ac:dyDescent="0.3">
      <c r="B1658" s="13" t="str">
        <f t="shared" si="29"/>
        <v/>
      </c>
      <c r="C1658" s="18"/>
      <c r="D1658" s="19" t="str">
        <f>IF(Tabela2[[#This Row],[AGRUPADOR]]&lt;&gt;"",VLOOKUP(Tabela2[[#This Row],[AGRUPADOR]],Tabela1[],2,0),"")</f>
        <v/>
      </c>
      <c r="E1658" s="19" t="str">
        <f>IF(Tabela2[[#This Row],[AGRUPADOR]]&lt;&gt;"",VLOOKUP(Tabela2[[#This Row],[AGRUPADOR]],Tabela1[],4,0),"")</f>
        <v/>
      </c>
      <c r="F1658" s="14"/>
      <c r="G1658" s="6"/>
      <c r="H1658" s="6"/>
      <c r="I1658" s="25"/>
      <c r="J1658" s="7"/>
      <c r="K1658" s="15"/>
      <c r="L1658" s="379">
        <f>IF(H1658&lt;&gt;"",J1658*K1658,SUMIFS(L1659:L$9844,$F1659:$F$9844,"*"&amp;F1658&amp;"*",$H1659:$H$9844,"&lt;&gt;"))</f>
        <v>0</v>
      </c>
      <c r="M1658" s="379" t="str">
        <f>IF(Tabela2[[#This Row],[UNID.]]&lt;&gt;"",IFERROR(VLOOKUP(Tabela2[[#This Row],[AGRUPADOR]],Lucratividade!$D$4:$O$129,6,0),0),"")</f>
        <v/>
      </c>
      <c r="N1658" s="379">
        <f>IF(H1658&lt;&gt;"",J1658*M1658*I1658,SUMIFS(N1659:N$9844,$F1659:$F$9844,"*"&amp;F1658&amp;"*",$H1659:$H$9844,"&lt;&gt;"))</f>
        <v>0</v>
      </c>
      <c r="O1658" s="162" t="str">
        <f>IFERROR((-Tabela2[[#This Row],[CUSTO TOTAL]]+Tabela2[[#This Row],[VENDA TOTAL]])/Tabela2[[#This Row],[VENDA TOTAL]]-PARAMETROS!$C$19,"")</f>
        <v/>
      </c>
      <c r="AA1658" s="219">
        <f>SUM(Plan_Orc[[#This Row],[01/jan]:[01/dez]])</f>
        <v>0</v>
      </c>
      <c r="AB1658" s="15"/>
      <c r="AC1658" s="15"/>
      <c r="AD1658" s="15"/>
      <c r="AE1658" s="15"/>
      <c r="AF1658" s="15"/>
      <c r="AG1658" s="15"/>
      <c r="AH1658" s="15"/>
      <c r="AI1658" s="15"/>
      <c r="AJ1658" s="15"/>
      <c r="AK1658" s="15"/>
      <c r="AL1658" s="15"/>
      <c r="AM1658" s="15"/>
    </row>
    <row r="1659" spans="2:39" ht="25.2" customHeight="1" x14ac:dyDescent="0.3">
      <c r="B1659" s="13" t="str">
        <f t="shared" si="29"/>
        <v/>
      </c>
      <c r="C1659" s="18"/>
      <c r="D1659" s="19" t="str">
        <f>IF(Tabela2[[#This Row],[AGRUPADOR]]&lt;&gt;"",VLOOKUP(Tabela2[[#This Row],[AGRUPADOR]],Tabela1[],2,0),"")</f>
        <v/>
      </c>
      <c r="E1659" s="19" t="str">
        <f>IF(Tabela2[[#This Row],[AGRUPADOR]]&lt;&gt;"",VLOOKUP(Tabela2[[#This Row],[AGRUPADOR]],Tabela1[],4,0),"")</f>
        <v/>
      </c>
      <c r="F1659" s="14"/>
      <c r="G1659" s="6"/>
      <c r="H1659" s="6"/>
      <c r="I1659" s="25"/>
      <c r="J1659" s="7"/>
      <c r="K1659" s="15"/>
      <c r="L1659" s="379">
        <f>IF(H1659&lt;&gt;"",J1659*K1659,SUMIFS(L1660:L$9844,$F1660:$F$9844,"*"&amp;F1659&amp;"*",$H1660:$H$9844,"&lt;&gt;"))</f>
        <v>0</v>
      </c>
      <c r="M1659" s="379" t="str">
        <f>IF(Tabela2[[#This Row],[UNID.]]&lt;&gt;"",IFERROR(VLOOKUP(Tabela2[[#This Row],[AGRUPADOR]],Lucratividade!$D$4:$O$129,6,0),0),"")</f>
        <v/>
      </c>
      <c r="N1659" s="379">
        <f>IF(H1659&lt;&gt;"",J1659*M1659*I1659,SUMIFS(N1660:N$9844,$F1660:$F$9844,"*"&amp;F1659&amp;"*",$H1660:$H$9844,"&lt;&gt;"))</f>
        <v>0</v>
      </c>
      <c r="O1659" s="162" t="str">
        <f>IFERROR((-Tabela2[[#This Row],[CUSTO TOTAL]]+Tabela2[[#This Row],[VENDA TOTAL]])/Tabela2[[#This Row],[VENDA TOTAL]]-PARAMETROS!$C$19,"")</f>
        <v/>
      </c>
      <c r="AA1659" s="219">
        <f>SUM(Plan_Orc[[#This Row],[01/jan]:[01/dez]])</f>
        <v>0</v>
      </c>
      <c r="AB1659" s="15"/>
      <c r="AC1659" s="15"/>
      <c r="AD1659" s="15"/>
      <c r="AE1659" s="15"/>
      <c r="AF1659" s="15"/>
      <c r="AG1659" s="15"/>
      <c r="AH1659" s="15"/>
      <c r="AI1659" s="15"/>
      <c r="AJ1659" s="15"/>
      <c r="AK1659" s="15"/>
      <c r="AL1659" s="15"/>
      <c r="AM1659" s="15"/>
    </row>
    <row r="1660" spans="2:39" ht="25.2" customHeight="1" x14ac:dyDescent="0.3">
      <c r="B1660" s="13" t="str">
        <f t="shared" si="29"/>
        <v/>
      </c>
      <c r="C1660" s="18"/>
      <c r="D1660" s="19" t="str">
        <f>IF(Tabela2[[#This Row],[AGRUPADOR]]&lt;&gt;"",VLOOKUP(Tabela2[[#This Row],[AGRUPADOR]],Tabela1[],2,0),"")</f>
        <v/>
      </c>
      <c r="E1660" s="19" t="str">
        <f>IF(Tabela2[[#This Row],[AGRUPADOR]]&lt;&gt;"",VLOOKUP(Tabela2[[#This Row],[AGRUPADOR]],Tabela1[],4,0),"")</f>
        <v/>
      </c>
      <c r="F1660" s="14"/>
      <c r="G1660" s="6"/>
      <c r="H1660" s="6"/>
      <c r="I1660" s="25"/>
      <c r="J1660" s="7"/>
      <c r="K1660" s="15"/>
      <c r="L1660" s="379">
        <f>IF(H1660&lt;&gt;"",J1660*K1660,SUMIFS(L1661:L$9844,$F1661:$F$9844,"*"&amp;F1660&amp;"*",$H1661:$H$9844,"&lt;&gt;"))</f>
        <v>0</v>
      </c>
      <c r="M1660" s="379" t="str">
        <f>IF(Tabela2[[#This Row],[UNID.]]&lt;&gt;"",IFERROR(VLOOKUP(Tabela2[[#This Row],[AGRUPADOR]],Lucratividade!$D$4:$O$129,6,0),0),"")</f>
        <v/>
      </c>
      <c r="N1660" s="379">
        <f>IF(H1660&lt;&gt;"",J1660*M1660*I1660,SUMIFS(N1661:N$9844,$F1661:$F$9844,"*"&amp;F1660&amp;"*",$H1661:$H$9844,"&lt;&gt;"))</f>
        <v>0</v>
      </c>
      <c r="O1660" s="162" t="str">
        <f>IFERROR((-Tabela2[[#This Row],[CUSTO TOTAL]]+Tabela2[[#This Row],[VENDA TOTAL]])/Tabela2[[#This Row],[VENDA TOTAL]]-PARAMETROS!$C$19,"")</f>
        <v/>
      </c>
      <c r="AA1660" s="219">
        <f>SUM(Plan_Orc[[#This Row],[01/jan]:[01/dez]])</f>
        <v>0</v>
      </c>
      <c r="AB1660" s="15"/>
      <c r="AC1660" s="15"/>
      <c r="AD1660" s="15"/>
      <c r="AE1660" s="15"/>
      <c r="AF1660" s="15"/>
      <c r="AG1660" s="15"/>
      <c r="AH1660" s="15"/>
      <c r="AI1660" s="15"/>
      <c r="AJ1660" s="15"/>
      <c r="AK1660" s="15"/>
      <c r="AL1660" s="15"/>
      <c r="AM1660" s="15"/>
    </row>
    <row r="1661" spans="2:39" ht="25.2" customHeight="1" x14ac:dyDescent="0.3">
      <c r="B1661" s="13" t="str">
        <f t="shared" si="29"/>
        <v/>
      </c>
      <c r="C1661" s="18"/>
      <c r="D1661" s="19" t="str">
        <f>IF(Tabela2[[#This Row],[AGRUPADOR]]&lt;&gt;"",VLOOKUP(Tabela2[[#This Row],[AGRUPADOR]],Tabela1[],2,0),"")</f>
        <v/>
      </c>
      <c r="E1661" s="19" t="str">
        <f>IF(Tabela2[[#This Row],[AGRUPADOR]]&lt;&gt;"",VLOOKUP(Tabela2[[#This Row],[AGRUPADOR]],Tabela1[],4,0),"")</f>
        <v/>
      </c>
      <c r="F1661" s="14"/>
      <c r="G1661" s="6"/>
      <c r="H1661" s="6"/>
      <c r="I1661" s="25"/>
      <c r="J1661" s="7"/>
      <c r="K1661" s="15"/>
      <c r="L1661" s="379">
        <f>IF(H1661&lt;&gt;"",J1661*K1661,SUMIFS(L1662:L$9844,$F1662:$F$9844,"*"&amp;F1661&amp;"*",$H1662:$H$9844,"&lt;&gt;"))</f>
        <v>0</v>
      </c>
      <c r="M1661" s="379" t="str">
        <f>IF(Tabela2[[#This Row],[UNID.]]&lt;&gt;"",IFERROR(VLOOKUP(Tabela2[[#This Row],[AGRUPADOR]],Lucratividade!$D$4:$O$129,6,0),0),"")</f>
        <v/>
      </c>
      <c r="N1661" s="379">
        <f>IF(H1661&lt;&gt;"",J1661*M1661*I1661,SUMIFS(N1662:N$9844,$F1662:$F$9844,"*"&amp;F1661&amp;"*",$H1662:$H$9844,"&lt;&gt;"))</f>
        <v>0</v>
      </c>
      <c r="O1661" s="162" t="str">
        <f>IFERROR((-Tabela2[[#This Row],[CUSTO TOTAL]]+Tabela2[[#This Row],[VENDA TOTAL]])/Tabela2[[#This Row],[VENDA TOTAL]]-PARAMETROS!$C$19,"")</f>
        <v/>
      </c>
      <c r="AA1661" s="219">
        <f>SUM(Plan_Orc[[#This Row],[01/jan]:[01/dez]])</f>
        <v>0</v>
      </c>
      <c r="AB1661" s="15"/>
      <c r="AC1661" s="15"/>
      <c r="AD1661" s="15"/>
      <c r="AE1661" s="15"/>
      <c r="AF1661" s="15"/>
      <c r="AG1661" s="15"/>
      <c r="AH1661" s="15"/>
      <c r="AI1661" s="15"/>
      <c r="AJ1661" s="15"/>
      <c r="AK1661" s="15"/>
      <c r="AL1661" s="15"/>
      <c r="AM1661" s="15"/>
    </row>
    <row r="1662" spans="2:39" ht="25.2" customHeight="1" x14ac:dyDescent="0.3">
      <c r="B1662" s="13" t="str">
        <f t="shared" si="29"/>
        <v/>
      </c>
      <c r="C1662" s="18"/>
      <c r="D1662" s="19" t="str">
        <f>IF(Tabela2[[#This Row],[AGRUPADOR]]&lt;&gt;"",VLOOKUP(Tabela2[[#This Row],[AGRUPADOR]],Tabela1[],2,0),"")</f>
        <v/>
      </c>
      <c r="E1662" s="19" t="str">
        <f>IF(Tabela2[[#This Row],[AGRUPADOR]]&lt;&gt;"",VLOOKUP(Tabela2[[#This Row],[AGRUPADOR]],Tabela1[],4,0),"")</f>
        <v/>
      </c>
      <c r="F1662" s="14"/>
      <c r="G1662" s="6"/>
      <c r="H1662" s="6"/>
      <c r="I1662" s="25"/>
      <c r="J1662" s="7"/>
      <c r="K1662" s="15"/>
      <c r="L1662" s="379">
        <f>IF(H1662&lt;&gt;"",J1662*K1662,SUMIFS(L1663:L$9844,$F1663:$F$9844,"*"&amp;F1662&amp;"*",$H1663:$H$9844,"&lt;&gt;"))</f>
        <v>0</v>
      </c>
      <c r="M1662" s="379" t="str">
        <f>IF(Tabela2[[#This Row],[UNID.]]&lt;&gt;"",IFERROR(VLOOKUP(Tabela2[[#This Row],[AGRUPADOR]],Lucratividade!$D$4:$O$129,6,0),0),"")</f>
        <v/>
      </c>
      <c r="N1662" s="379">
        <f>IF(H1662&lt;&gt;"",J1662*M1662*I1662,SUMIFS(N1663:N$9844,$F1663:$F$9844,"*"&amp;F1662&amp;"*",$H1663:$H$9844,"&lt;&gt;"))</f>
        <v>0</v>
      </c>
      <c r="O1662" s="162" t="str">
        <f>IFERROR((-Tabela2[[#This Row],[CUSTO TOTAL]]+Tabela2[[#This Row],[VENDA TOTAL]])/Tabela2[[#This Row],[VENDA TOTAL]]-PARAMETROS!$C$19,"")</f>
        <v/>
      </c>
      <c r="AA1662" s="219">
        <f>SUM(Plan_Orc[[#This Row],[01/jan]:[01/dez]])</f>
        <v>0</v>
      </c>
      <c r="AB1662" s="15"/>
      <c r="AC1662" s="15"/>
      <c r="AD1662" s="15"/>
      <c r="AE1662" s="15"/>
      <c r="AF1662" s="15"/>
      <c r="AG1662" s="15"/>
      <c r="AH1662" s="15"/>
      <c r="AI1662" s="15"/>
      <c r="AJ1662" s="15"/>
      <c r="AK1662" s="15"/>
      <c r="AL1662" s="15"/>
      <c r="AM1662" s="15"/>
    </row>
    <row r="1663" spans="2:39" ht="25.2" customHeight="1" x14ac:dyDescent="0.3">
      <c r="B1663" s="13" t="str">
        <f t="shared" si="29"/>
        <v/>
      </c>
      <c r="C1663" s="18"/>
      <c r="D1663" s="19" t="str">
        <f>IF(Tabela2[[#This Row],[AGRUPADOR]]&lt;&gt;"",VLOOKUP(Tabela2[[#This Row],[AGRUPADOR]],Tabela1[],2,0),"")</f>
        <v/>
      </c>
      <c r="E1663" s="19" t="str">
        <f>IF(Tabela2[[#This Row],[AGRUPADOR]]&lt;&gt;"",VLOOKUP(Tabela2[[#This Row],[AGRUPADOR]],Tabela1[],4,0),"")</f>
        <v/>
      </c>
      <c r="F1663" s="14"/>
      <c r="G1663" s="6"/>
      <c r="H1663" s="6"/>
      <c r="I1663" s="25"/>
      <c r="J1663" s="7"/>
      <c r="K1663" s="15"/>
      <c r="L1663" s="379">
        <f>IF(H1663&lt;&gt;"",J1663*K1663,SUMIFS(L1664:L$9844,$F1664:$F$9844,"*"&amp;F1663&amp;"*",$H1664:$H$9844,"&lt;&gt;"))</f>
        <v>0</v>
      </c>
      <c r="M1663" s="379" t="str">
        <f>IF(Tabela2[[#This Row],[UNID.]]&lt;&gt;"",IFERROR(VLOOKUP(Tabela2[[#This Row],[AGRUPADOR]],Lucratividade!$D$4:$O$129,6,0),0),"")</f>
        <v/>
      </c>
      <c r="N1663" s="379">
        <f>IF(H1663&lt;&gt;"",J1663*M1663*I1663,SUMIFS(N1664:N$9844,$F1664:$F$9844,"*"&amp;F1663&amp;"*",$H1664:$H$9844,"&lt;&gt;"))</f>
        <v>0</v>
      </c>
      <c r="O1663" s="162" t="str">
        <f>IFERROR((-Tabela2[[#This Row],[CUSTO TOTAL]]+Tabela2[[#This Row],[VENDA TOTAL]])/Tabela2[[#This Row],[VENDA TOTAL]]-PARAMETROS!$C$19,"")</f>
        <v/>
      </c>
      <c r="AA1663" s="219">
        <f>SUM(Plan_Orc[[#This Row],[01/jan]:[01/dez]])</f>
        <v>0</v>
      </c>
      <c r="AB1663" s="15"/>
      <c r="AC1663" s="15"/>
      <c r="AD1663" s="15"/>
      <c r="AE1663" s="15"/>
      <c r="AF1663" s="15"/>
      <c r="AG1663" s="15"/>
      <c r="AH1663" s="15"/>
      <c r="AI1663" s="15"/>
      <c r="AJ1663" s="15"/>
      <c r="AK1663" s="15"/>
      <c r="AL1663" s="15"/>
      <c r="AM1663" s="15"/>
    </row>
    <row r="1664" spans="2:39" ht="25.2" customHeight="1" x14ac:dyDescent="0.3">
      <c r="B1664" s="13" t="str">
        <f t="shared" si="29"/>
        <v/>
      </c>
      <c r="C1664" s="18"/>
      <c r="D1664" s="19" t="str">
        <f>IF(Tabela2[[#This Row],[AGRUPADOR]]&lt;&gt;"",VLOOKUP(Tabela2[[#This Row],[AGRUPADOR]],Tabela1[],2,0),"")</f>
        <v/>
      </c>
      <c r="E1664" s="19" t="str">
        <f>IF(Tabela2[[#This Row],[AGRUPADOR]]&lt;&gt;"",VLOOKUP(Tabela2[[#This Row],[AGRUPADOR]],Tabela1[],4,0),"")</f>
        <v/>
      </c>
      <c r="F1664" s="14"/>
      <c r="G1664" s="6"/>
      <c r="H1664" s="6"/>
      <c r="I1664" s="25"/>
      <c r="J1664" s="7"/>
      <c r="K1664" s="15"/>
      <c r="L1664" s="379">
        <f>IF(H1664&lt;&gt;"",J1664*K1664,SUMIFS(L1665:L$9844,$F1665:$F$9844,"*"&amp;F1664&amp;"*",$H1665:$H$9844,"&lt;&gt;"))</f>
        <v>0</v>
      </c>
      <c r="M1664" s="379" t="str">
        <f>IF(Tabela2[[#This Row],[UNID.]]&lt;&gt;"",IFERROR(VLOOKUP(Tabela2[[#This Row],[AGRUPADOR]],Lucratividade!$D$4:$O$129,6,0),0),"")</f>
        <v/>
      </c>
      <c r="N1664" s="379">
        <f>IF(H1664&lt;&gt;"",J1664*M1664*I1664,SUMIFS(N1665:N$9844,$F1665:$F$9844,"*"&amp;F1664&amp;"*",$H1665:$H$9844,"&lt;&gt;"))</f>
        <v>0</v>
      </c>
      <c r="O1664" s="162" t="str">
        <f>IFERROR((-Tabela2[[#This Row],[CUSTO TOTAL]]+Tabela2[[#This Row],[VENDA TOTAL]])/Tabela2[[#This Row],[VENDA TOTAL]]-PARAMETROS!$C$19,"")</f>
        <v/>
      </c>
      <c r="AA1664" s="219">
        <f>SUM(Plan_Orc[[#This Row],[01/jan]:[01/dez]])</f>
        <v>0</v>
      </c>
      <c r="AB1664" s="15"/>
      <c r="AC1664" s="15"/>
      <c r="AD1664" s="15"/>
      <c r="AE1664" s="15"/>
      <c r="AF1664" s="15"/>
      <c r="AG1664" s="15"/>
      <c r="AH1664" s="15"/>
      <c r="AI1664" s="15"/>
      <c r="AJ1664" s="15"/>
      <c r="AK1664" s="15"/>
      <c r="AL1664" s="15"/>
      <c r="AM1664" s="15"/>
    </row>
    <row r="1665" spans="2:39" ht="25.2" customHeight="1" x14ac:dyDescent="0.3">
      <c r="B1665" s="13" t="str">
        <f t="shared" si="29"/>
        <v/>
      </c>
      <c r="C1665" s="18"/>
      <c r="D1665" s="19" t="str">
        <f>IF(Tabela2[[#This Row],[AGRUPADOR]]&lt;&gt;"",VLOOKUP(Tabela2[[#This Row],[AGRUPADOR]],Tabela1[],2,0),"")</f>
        <v/>
      </c>
      <c r="E1665" s="19" t="str">
        <f>IF(Tabela2[[#This Row],[AGRUPADOR]]&lt;&gt;"",VLOOKUP(Tabela2[[#This Row],[AGRUPADOR]],Tabela1[],4,0),"")</f>
        <v/>
      </c>
      <c r="F1665" s="14"/>
      <c r="G1665" s="6"/>
      <c r="H1665" s="6"/>
      <c r="I1665" s="25"/>
      <c r="J1665" s="7"/>
      <c r="K1665" s="15"/>
      <c r="L1665" s="379">
        <f>IF(H1665&lt;&gt;"",J1665*K1665,SUMIFS(L1666:L$9844,$F1666:$F$9844,"*"&amp;F1665&amp;"*",$H1666:$H$9844,"&lt;&gt;"))</f>
        <v>0</v>
      </c>
      <c r="M1665" s="379" t="str">
        <f>IF(Tabela2[[#This Row],[UNID.]]&lt;&gt;"",IFERROR(VLOOKUP(Tabela2[[#This Row],[AGRUPADOR]],Lucratividade!$D$4:$O$129,6,0),0),"")</f>
        <v/>
      </c>
      <c r="N1665" s="379">
        <f>IF(H1665&lt;&gt;"",J1665*M1665*I1665,SUMIFS(N1666:N$9844,$F1666:$F$9844,"*"&amp;F1665&amp;"*",$H1666:$H$9844,"&lt;&gt;"))</f>
        <v>0</v>
      </c>
      <c r="O1665" s="162" t="str">
        <f>IFERROR((-Tabela2[[#This Row],[CUSTO TOTAL]]+Tabela2[[#This Row],[VENDA TOTAL]])/Tabela2[[#This Row],[VENDA TOTAL]]-PARAMETROS!$C$19,"")</f>
        <v/>
      </c>
      <c r="AA1665" s="224">
        <f>SUM(Plan_Orc[[#This Row],[01/jan]:[01/dez]])</f>
        <v>0</v>
      </c>
      <c r="AB1665" s="203"/>
      <c r="AC1665" s="203"/>
      <c r="AD1665" s="203"/>
      <c r="AE1665" s="203"/>
      <c r="AF1665" s="203"/>
      <c r="AG1665" s="203"/>
      <c r="AH1665" s="203"/>
      <c r="AI1665" s="203"/>
      <c r="AJ1665" s="203"/>
      <c r="AK1665" s="203"/>
      <c r="AL1665" s="203"/>
      <c r="AM1665" s="203"/>
    </row>
    <row r="1666" spans="2:39" ht="25.2" customHeight="1" x14ac:dyDescent="0.3">
      <c r="B1666" s="13" t="str">
        <f t="shared" si="29"/>
        <v/>
      </c>
      <c r="C1666" s="18"/>
      <c r="D1666" s="19" t="str">
        <f>IF(Tabela2[[#This Row],[AGRUPADOR]]&lt;&gt;"",VLOOKUP(Tabela2[[#This Row],[AGRUPADOR]],Tabela1[],2,0),"")</f>
        <v/>
      </c>
      <c r="E1666" s="19" t="str">
        <f>IF(Tabela2[[#This Row],[AGRUPADOR]]&lt;&gt;"",VLOOKUP(Tabela2[[#This Row],[AGRUPADOR]],Tabela1[],4,0),"")</f>
        <v/>
      </c>
      <c r="F1666" s="14"/>
      <c r="G1666" s="6"/>
      <c r="H1666" s="6"/>
      <c r="I1666" s="25"/>
      <c r="J1666" s="7"/>
      <c r="K1666" s="15"/>
      <c r="L1666" s="379">
        <f>IF(H1666&lt;&gt;"",J1666*K1666,SUMIFS(L1667:L$9844,$F1667:$F$9844,"*"&amp;F1666&amp;"*",$H1667:$H$9844,"&lt;&gt;"))</f>
        <v>0</v>
      </c>
      <c r="M1666" s="379" t="str">
        <f>IF(Tabela2[[#This Row],[UNID.]]&lt;&gt;"",IFERROR(VLOOKUP(Tabela2[[#This Row],[AGRUPADOR]],Lucratividade!$D$4:$O$129,6,0),0),"")</f>
        <v/>
      </c>
      <c r="N1666" s="379">
        <f>IF(H1666&lt;&gt;"",J1666*M1666*I1666,SUMIFS(N1667:N$9844,$F1667:$F$9844,"*"&amp;F1666&amp;"*",$H1667:$H$9844,"&lt;&gt;"))</f>
        <v>0</v>
      </c>
      <c r="O1666" s="162" t="str">
        <f>IFERROR((-Tabela2[[#This Row],[CUSTO TOTAL]]+Tabela2[[#This Row],[VENDA TOTAL]])/Tabela2[[#This Row],[VENDA TOTAL]]-PARAMETROS!$C$19,"")</f>
        <v/>
      </c>
      <c r="AA1666" s="218">
        <f>SUM(Plan_Orc[[#This Row],[01/jan]:[01/dez]])</f>
        <v>0</v>
      </c>
      <c r="AB1666" s="12"/>
      <c r="AC1666" s="12"/>
      <c r="AD1666" s="12"/>
      <c r="AE1666" s="12"/>
      <c r="AF1666" s="12"/>
      <c r="AG1666" s="12"/>
      <c r="AH1666" s="12"/>
      <c r="AI1666" s="12"/>
      <c r="AJ1666" s="12"/>
      <c r="AK1666" s="12"/>
      <c r="AL1666" s="12"/>
      <c r="AM1666" s="12"/>
    </row>
    <row r="1667" spans="2:39" ht="25.2" customHeight="1" x14ac:dyDescent="0.3">
      <c r="B1667" s="13" t="str">
        <f t="shared" si="29"/>
        <v/>
      </c>
      <c r="C1667" s="18"/>
      <c r="D1667" s="19" t="str">
        <f>IF(Tabela2[[#This Row],[AGRUPADOR]]&lt;&gt;"",VLOOKUP(Tabela2[[#This Row],[AGRUPADOR]],Tabela1[],2,0),"")</f>
        <v/>
      </c>
      <c r="E1667" s="19" t="str">
        <f>IF(Tabela2[[#This Row],[AGRUPADOR]]&lt;&gt;"",VLOOKUP(Tabela2[[#This Row],[AGRUPADOR]],Tabela1[],4,0),"")</f>
        <v/>
      </c>
      <c r="F1667" s="14"/>
      <c r="G1667" s="6"/>
      <c r="H1667" s="6"/>
      <c r="I1667" s="25"/>
      <c r="J1667" s="7"/>
      <c r="K1667" s="15"/>
      <c r="L1667" s="379">
        <f>IF(H1667&lt;&gt;"",J1667*K1667,SUMIFS(L1668:L$9844,$F1668:$F$9844,"*"&amp;F1667&amp;"*",$H1668:$H$9844,"&lt;&gt;"))</f>
        <v>0</v>
      </c>
      <c r="M1667" s="379" t="str">
        <f>IF(Tabela2[[#This Row],[UNID.]]&lt;&gt;"",IFERROR(VLOOKUP(Tabela2[[#This Row],[AGRUPADOR]],Lucratividade!$D$4:$O$129,6,0),0),"")</f>
        <v/>
      </c>
      <c r="N1667" s="379">
        <f>IF(H1667&lt;&gt;"",J1667*M1667*I1667,SUMIFS(N1668:N$9844,$F1668:$F$9844,"*"&amp;F1667&amp;"*",$H1668:$H$9844,"&lt;&gt;"))</f>
        <v>0</v>
      </c>
      <c r="O1667" s="162" t="str">
        <f>IFERROR((-Tabela2[[#This Row],[CUSTO TOTAL]]+Tabela2[[#This Row],[VENDA TOTAL]])/Tabela2[[#This Row],[VENDA TOTAL]]-PARAMETROS!$C$19,"")</f>
        <v/>
      </c>
      <c r="AA1667" s="219">
        <f>SUM(Plan_Orc[[#This Row],[01/jan]:[01/dez]])</f>
        <v>0</v>
      </c>
      <c r="AB1667" s="15"/>
      <c r="AC1667" s="15"/>
      <c r="AD1667" s="15"/>
      <c r="AE1667" s="15"/>
      <c r="AF1667" s="15"/>
      <c r="AG1667" s="15"/>
      <c r="AH1667" s="15"/>
      <c r="AI1667" s="15"/>
      <c r="AJ1667" s="15"/>
      <c r="AK1667" s="15"/>
      <c r="AL1667" s="15"/>
      <c r="AM1667" s="15"/>
    </row>
    <row r="1668" spans="2:39" ht="25.2" customHeight="1" x14ac:dyDescent="0.3">
      <c r="B1668" s="13" t="str">
        <f t="shared" ref="B1668:B1731" si="30">IF(LEN(F1668)=3,1,"")</f>
        <v/>
      </c>
      <c r="C1668" s="18"/>
      <c r="D1668" s="19" t="str">
        <f>IF(Tabela2[[#This Row],[AGRUPADOR]]&lt;&gt;"",VLOOKUP(Tabela2[[#This Row],[AGRUPADOR]],Tabela1[],2,0),"")</f>
        <v/>
      </c>
      <c r="E1668" s="19" t="str">
        <f>IF(Tabela2[[#This Row],[AGRUPADOR]]&lt;&gt;"",VLOOKUP(Tabela2[[#This Row],[AGRUPADOR]],Tabela1[],4,0),"")</f>
        <v/>
      </c>
      <c r="F1668" s="14"/>
      <c r="G1668" s="6"/>
      <c r="H1668" s="6"/>
      <c r="I1668" s="25"/>
      <c r="J1668" s="7"/>
      <c r="K1668" s="15"/>
      <c r="L1668" s="379">
        <f>IF(H1668&lt;&gt;"",J1668*K1668,SUMIFS(L1669:L$9844,$F1669:$F$9844,"*"&amp;F1668&amp;"*",$H1669:$H$9844,"&lt;&gt;"))</f>
        <v>0</v>
      </c>
      <c r="M1668" s="379" t="str">
        <f>IF(Tabela2[[#This Row],[UNID.]]&lt;&gt;"",IFERROR(VLOOKUP(Tabela2[[#This Row],[AGRUPADOR]],Lucratividade!$D$4:$O$129,6,0),0),"")</f>
        <v/>
      </c>
      <c r="N1668" s="379">
        <f>IF(H1668&lt;&gt;"",J1668*M1668*I1668,SUMIFS(N1669:N$9844,$F1669:$F$9844,"*"&amp;F1668&amp;"*",$H1669:$H$9844,"&lt;&gt;"))</f>
        <v>0</v>
      </c>
      <c r="O1668" s="162" t="str">
        <f>IFERROR((-Tabela2[[#This Row],[CUSTO TOTAL]]+Tabela2[[#This Row],[VENDA TOTAL]])/Tabela2[[#This Row],[VENDA TOTAL]]-PARAMETROS!$C$19,"")</f>
        <v/>
      </c>
      <c r="AA1668" s="219">
        <f>SUM(Plan_Orc[[#This Row],[01/jan]:[01/dez]])</f>
        <v>0</v>
      </c>
      <c r="AB1668" s="15"/>
      <c r="AC1668" s="15"/>
      <c r="AD1668" s="15"/>
      <c r="AE1668" s="15"/>
      <c r="AF1668" s="15"/>
      <c r="AG1668" s="15"/>
      <c r="AH1668" s="15"/>
      <c r="AI1668" s="15"/>
      <c r="AJ1668" s="15"/>
      <c r="AK1668" s="15"/>
      <c r="AL1668" s="15"/>
      <c r="AM1668" s="15"/>
    </row>
    <row r="1669" spans="2:39" ht="25.2" customHeight="1" x14ac:dyDescent="0.3">
      <c r="B1669" s="13" t="str">
        <f t="shared" si="30"/>
        <v/>
      </c>
      <c r="C1669" s="18"/>
      <c r="D1669" s="19" t="str">
        <f>IF(Tabela2[[#This Row],[AGRUPADOR]]&lt;&gt;"",VLOOKUP(Tabela2[[#This Row],[AGRUPADOR]],Tabela1[],2,0),"")</f>
        <v/>
      </c>
      <c r="E1669" s="19" t="str">
        <f>IF(Tabela2[[#This Row],[AGRUPADOR]]&lt;&gt;"",VLOOKUP(Tabela2[[#This Row],[AGRUPADOR]],Tabela1[],4,0),"")</f>
        <v/>
      </c>
      <c r="F1669" s="14"/>
      <c r="G1669" s="6"/>
      <c r="H1669" s="6"/>
      <c r="I1669" s="25"/>
      <c r="J1669" s="7"/>
      <c r="K1669" s="15"/>
      <c r="L1669" s="379">
        <f>IF(H1669&lt;&gt;"",J1669*K1669,SUMIFS(L1670:L$9844,$F1670:$F$9844,"*"&amp;F1669&amp;"*",$H1670:$H$9844,"&lt;&gt;"))</f>
        <v>0</v>
      </c>
      <c r="M1669" s="379" t="str">
        <f>IF(Tabela2[[#This Row],[UNID.]]&lt;&gt;"",IFERROR(VLOOKUP(Tabela2[[#This Row],[AGRUPADOR]],Lucratividade!$D$4:$O$129,6,0),0),"")</f>
        <v/>
      </c>
      <c r="N1669" s="379">
        <f>IF(H1669&lt;&gt;"",J1669*M1669*I1669,SUMIFS(N1670:N$9844,$F1670:$F$9844,"*"&amp;F1669&amp;"*",$H1670:$H$9844,"&lt;&gt;"))</f>
        <v>0</v>
      </c>
      <c r="O1669" s="162" t="str">
        <f>IFERROR((-Tabela2[[#This Row],[CUSTO TOTAL]]+Tabela2[[#This Row],[VENDA TOTAL]])/Tabela2[[#This Row],[VENDA TOTAL]]-PARAMETROS!$C$19,"")</f>
        <v/>
      </c>
      <c r="AA1669" s="219">
        <f>SUM(Plan_Orc[[#This Row],[01/jan]:[01/dez]])</f>
        <v>0</v>
      </c>
      <c r="AB1669" s="15"/>
      <c r="AC1669" s="15"/>
      <c r="AD1669" s="15"/>
      <c r="AE1669" s="15"/>
      <c r="AF1669" s="15"/>
      <c r="AG1669" s="15"/>
      <c r="AH1669" s="15"/>
      <c r="AI1669" s="15"/>
      <c r="AJ1669" s="15"/>
      <c r="AK1669" s="15"/>
      <c r="AL1669" s="15"/>
      <c r="AM1669" s="15"/>
    </row>
    <row r="1670" spans="2:39" ht="25.2" customHeight="1" x14ac:dyDescent="0.3">
      <c r="B1670" s="13" t="str">
        <f t="shared" si="30"/>
        <v/>
      </c>
      <c r="C1670" s="18"/>
      <c r="D1670" s="19" t="str">
        <f>IF(Tabela2[[#This Row],[AGRUPADOR]]&lt;&gt;"",VLOOKUP(Tabela2[[#This Row],[AGRUPADOR]],Tabela1[],2,0),"")</f>
        <v/>
      </c>
      <c r="E1670" s="19" t="str">
        <f>IF(Tabela2[[#This Row],[AGRUPADOR]]&lt;&gt;"",VLOOKUP(Tabela2[[#This Row],[AGRUPADOR]],Tabela1[],4,0),"")</f>
        <v/>
      </c>
      <c r="F1670" s="14"/>
      <c r="G1670" s="6"/>
      <c r="H1670" s="6"/>
      <c r="I1670" s="25"/>
      <c r="J1670" s="7"/>
      <c r="K1670" s="15"/>
      <c r="L1670" s="379">
        <f>IF(H1670&lt;&gt;"",J1670*K1670,SUMIFS(L1671:L$9844,$F1671:$F$9844,"*"&amp;F1670&amp;"*",$H1671:$H$9844,"&lt;&gt;"))</f>
        <v>0</v>
      </c>
      <c r="M1670" s="379" t="str">
        <f>IF(Tabela2[[#This Row],[UNID.]]&lt;&gt;"",IFERROR(VLOOKUP(Tabela2[[#This Row],[AGRUPADOR]],Lucratividade!$D$4:$O$129,6,0),0),"")</f>
        <v/>
      </c>
      <c r="N1670" s="379">
        <f>IF(H1670&lt;&gt;"",J1670*M1670*I1670,SUMIFS(N1671:N$9844,$F1671:$F$9844,"*"&amp;F1670&amp;"*",$H1671:$H$9844,"&lt;&gt;"))</f>
        <v>0</v>
      </c>
      <c r="O1670" s="162" t="str">
        <f>IFERROR((-Tabela2[[#This Row],[CUSTO TOTAL]]+Tabela2[[#This Row],[VENDA TOTAL]])/Tabela2[[#This Row],[VENDA TOTAL]]-PARAMETROS!$C$19,"")</f>
        <v/>
      </c>
      <c r="AA1670" s="219">
        <f>SUM(Plan_Orc[[#This Row],[01/jan]:[01/dez]])</f>
        <v>0</v>
      </c>
      <c r="AB1670" s="15"/>
      <c r="AC1670" s="15"/>
      <c r="AD1670" s="15"/>
      <c r="AE1670" s="15"/>
      <c r="AF1670" s="15"/>
      <c r="AG1670" s="15"/>
      <c r="AH1670" s="15"/>
      <c r="AI1670" s="15"/>
      <c r="AJ1670" s="15"/>
      <c r="AK1670" s="15"/>
      <c r="AL1670" s="15"/>
      <c r="AM1670" s="15"/>
    </row>
    <row r="1671" spans="2:39" ht="25.2" customHeight="1" x14ac:dyDescent="0.3">
      <c r="B1671" s="13" t="str">
        <f t="shared" si="30"/>
        <v/>
      </c>
      <c r="C1671" s="18"/>
      <c r="D1671" s="19" t="str">
        <f>IF(Tabela2[[#This Row],[AGRUPADOR]]&lt;&gt;"",VLOOKUP(Tabela2[[#This Row],[AGRUPADOR]],Tabela1[],2,0),"")</f>
        <v/>
      </c>
      <c r="E1671" s="19" t="str">
        <f>IF(Tabela2[[#This Row],[AGRUPADOR]]&lt;&gt;"",VLOOKUP(Tabela2[[#This Row],[AGRUPADOR]],Tabela1[],4,0),"")</f>
        <v/>
      </c>
      <c r="F1671" s="14"/>
      <c r="G1671" s="6"/>
      <c r="H1671" s="6"/>
      <c r="I1671" s="25"/>
      <c r="J1671" s="7"/>
      <c r="K1671" s="15"/>
      <c r="L1671" s="379">
        <f>IF(H1671&lt;&gt;"",J1671*K1671,SUMIFS(L1672:L$9844,$F1672:$F$9844,"*"&amp;F1671&amp;"*",$H1672:$H$9844,"&lt;&gt;"))</f>
        <v>0</v>
      </c>
      <c r="M1671" s="379" t="str">
        <f>IF(Tabela2[[#This Row],[UNID.]]&lt;&gt;"",IFERROR(VLOOKUP(Tabela2[[#This Row],[AGRUPADOR]],Lucratividade!$D$4:$O$129,6,0),0),"")</f>
        <v/>
      </c>
      <c r="N1671" s="379">
        <f>IF(H1671&lt;&gt;"",J1671*M1671*I1671,SUMIFS(N1672:N$9844,$F1672:$F$9844,"*"&amp;F1671&amp;"*",$H1672:$H$9844,"&lt;&gt;"))</f>
        <v>0</v>
      </c>
      <c r="O1671" s="162" t="str">
        <f>IFERROR((-Tabela2[[#This Row],[CUSTO TOTAL]]+Tabela2[[#This Row],[VENDA TOTAL]])/Tabela2[[#This Row],[VENDA TOTAL]]-PARAMETROS!$C$19,"")</f>
        <v/>
      </c>
      <c r="AA1671" s="219">
        <f>SUM(Plan_Orc[[#This Row],[01/jan]:[01/dez]])</f>
        <v>0</v>
      </c>
      <c r="AB1671" s="15"/>
      <c r="AC1671" s="15"/>
      <c r="AD1671" s="15"/>
      <c r="AE1671" s="15"/>
      <c r="AF1671" s="15"/>
      <c r="AG1671" s="15"/>
      <c r="AH1671" s="15"/>
      <c r="AI1671" s="15"/>
      <c r="AJ1671" s="15"/>
      <c r="AK1671" s="15"/>
      <c r="AL1671" s="15"/>
      <c r="AM1671" s="15"/>
    </row>
    <row r="1672" spans="2:39" ht="25.2" customHeight="1" x14ac:dyDescent="0.3">
      <c r="B1672" s="13" t="str">
        <f t="shared" si="30"/>
        <v/>
      </c>
      <c r="C1672" s="18"/>
      <c r="D1672" s="19" t="str">
        <f>IF(Tabela2[[#This Row],[AGRUPADOR]]&lt;&gt;"",VLOOKUP(Tabela2[[#This Row],[AGRUPADOR]],Tabela1[],2,0),"")</f>
        <v/>
      </c>
      <c r="E1672" s="19" t="str">
        <f>IF(Tabela2[[#This Row],[AGRUPADOR]]&lt;&gt;"",VLOOKUP(Tabela2[[#This Row],[AGRUPADOR]],Tabela1[],4,0),"")</f>
        <v/>
      </c>
      <c r="F1672" s="14"/>
      <c r="G1672" s="6"/>
      <c r="H1672" s="6"/>
      <c r="I1672" s="25"/>
      <c r="J1672" s="7"/>
      <c r="K1672" s="15"/>
      <c r="L1672" s="379">
        <f>IF(H1672&lt;&gt;"",J1672*K1672,SUMIFS(L1673:L$9844,$F1673:$F$9844,"*"&amp;F1672&amp;"*",$H1673:$H$9844,"&lt;&gt;"))</f>
        <v>0</v>
      </c>
      <c r="M1672" s="379" t="str">
        <f>IF(Tabela2[[#This Row],[UNID.]]&lt;&gt;"",IFERROR(VLOOKUP(Tabela2[[#This Row],[AGRUPADOR]],Lucratividade!$D$4:$O$129,6,0),0),"")</f>
        <v/>
      </c>
      <c r="N1672" s="379">
        <f>IF(H1672&lt;&gt;"",J1672*M1672*I1672,SUMIFS(N1673:N$9844,$F1673:$F$9844,"*"&amp;F1672&amp;"*",$H1673:$H$9844,"&lt;&gt;"))</f>
        <v>0</v>
      </c>
      <c r="O1672" s="162" t="str">
        <f>IFERROR((-Tabela2[[#This Row],[CUSTO TOTAL]]+Tabela2[[#This Row],[VENDA TOTAL]])/Tabela2[[#This Row],[VENDA TOTAL]]-PARAMETROS!$C$19,"")</f>
        <v/>
      </c>
      <c r="AA1672" s="219">
        <f>SUM(Plan_Orc[[#This Row],[01/jan]:[01/dez]])</f>
        <v>0</v>
      </c>
      <c r="AB1672" s="15"/>
      <c r="AC1672" s="15"/>
      <c r="AD1672" s="15"/>
      <c r="AE1672" s="15"/>
      <c r="AF1672" s="15"/>
      <c r="AG1672" s="15"/>
      <c r="AH1672" s="15"/>
      <c r="AI1672" s="15"/>
      <c r="AJ1672" s="15"/>
      <c r="AK1672" s="15"/>
      <c r="AL1672" s="15"/>
      <c r="AM1672" s="15"/>
    </row>
    <row r="1673" spans="2:39" ht="25.2" customHeight="1" x14ac:dyDescent="0.3">
      <c r="B1673" s="13" t="str">
        <f t="shared" si="30"/>
        <v/>
      </c>
      <c r="C1673" s="18"/>
      <c r="D1673" s="19" t="str">
        <f>IF(Tabela2[[#This Row],[AGRUPADOR]]&lt;&gt;"",VLOOKUP(Tabela2[[#This Row],[AGRUPADOR]],Tabela1[],2,0),"")</f>
        <v/>
      </c>
      <c r="E1673" s="19" t="str">
        <f>IF(Tabela2[[#This Row],[AGRUPADOR]]&lt;&gt;"",VLOOKUP(Tabela2[[#This Row],[AGRUPADOR]],Tabela1[],4,0),"")</f>
        <v/>
      </c>
      <c r="F1673" s="14"/>
      <c r="G1673" s="6"/>
      <c r="H1673" s="6"/>
      <c r="I1673" s="25"/>
      <c r="J1673" s="7"/>
      <c r="K1673" s="15"/>
      <c r="L1673" s="379">
        <f>IF(H1673&lt;&gt;"",J1673*K1673,SUMIFS(L1674:L$9844,$F1674:$F$9844,"*"&amp;F1673&amp;"*",$H1674:$H$9844,"&lt;&gt;"))</f>
        <v>0</v>
      </c>
      <c r="M1673" s="379" t="str">
        <f>IF(Tabela2[[#This Row],[UNID.]]&lt;&gt;"",IFERROR(VLOOKUP(Tabela2[[#This Row],[AGRUPADOR]],Lucratividade!$D$4:$O$129,6,0),0),"")</f>
        <v/>
      </c>
      <c r="N1673" s="379">
        <f>IF(H1673&lt;&gt;"",J1673*M1673*I1673,SUMIFS(N1674:N$9844,$F1674:$F$9844,"*"&amp;F1673&amp;"*",$H1674:$H$9844,"&lt;&gt;"))</f>
        <v>0</v>
      </c>
      <c r="O1673" s="162" t="str">
        <f>IFERROR((-Tabela2[[#This Row],[CUSTO TOTAL]]+Tabela2[[#This Row],[VENDA TOTAL]])/Tabela2[[#This Row],[VENDA TOTAL]]-PARAMETROS!$C$19,"")</f>
        <v/>
      </c>
      <c r="AA1673" s="219">
        <f>SUM(Plan_Orc[[#This Row],[01/jan]:[01/dez]])</f>
        <v>0</v>
      </c>
      <c r="AB1673" s="15"/>
      <c r="AC1673" s="15"/>
      <c r="AD1673" s="15"/>
      <c r="AE1673" s="15"/>
      <c r="AF1673" s="15"/>
      <c r="AG1673" s="15"/>
      <c r="AH1673" s="15"/>
      <c r="AI1673" s="15"/>
      <c r="AJ1673" s="15"/>
      <c r="AK1673" s="15"/>
      <c r="AL1673" s="15"/>
      <c r="AM1673" s="15"/>
    </row>
    <row r="1674" spans="2:39" ht="25.2" customHeight="1" x14ac:dyDescent="0.3">
      <c r="B1674" s="13" t="str">
        <f t="shared" si="30"/>
        <v/>
      </c>
      <c r="C1674" s="18"/>
      <c r="D1674" s="19" t="str">
        <f>IF(Tabela2[[#This Row],[AGRUPADOR]]&lt;&gt;"",VLOOKUP(Tabela2[[#This Row],[AGRUPADOR]],Tabela1[],2,0),"")</f>
        <v/>
      </c>
      <c r="E1674" s="19" t="str">
        <f>IF(Tabela2[[#This Row],[AGRUPADOR]]&lt;&gt;"",VLOOKUP(Tabela2[[#This Row],[AGRUPADOR]],Tabela1[],4,0),"")</f>
        <v/>
      </c>
      <c r="F1674" s="14"/>
      <c r="G1674" s="6"/>
      <c r="H1674" s="6"/>
      <c r="I1674" s="25"/>
      <c r="J1674" s="7"/>
      <c r="K1674" s="15"/>
      <c r="L1674" s="379">
        <f>IF(H1674&lt;&gt;"",J1674*K1674,SUMIFS(L1675:L$9844,$F1675:$F$9844,"*"&amp;F1674&amp;"*",$H1675:$H$9844,"&lt;&gt;"))</f>
        <v>0</v>
      </c>
      <c r="M1674" s="379" t="str">
        <f>IF(Tabela2[[#This Row],[UNID.]]&lt;&gt;"",IFERROR(VLOOKUP(Tabela2[[#This Row],[AGRUPADOR]],Lucratividade!$D$4:$O$129,6,0),0),"")</f>
        <v/>
      </c>
      <c r="N1674" s="379">
        <f>IF(H1674&lt;&gt;"",J1674*M1674*I1674,SUMIFS(N1675:N$9844,$F1675:$F$9844,"*"&amp;F1674&amp;"*",$H1675:$H$9844,"&lt;&gt;"))</f>
        <v>0</v>
      </c>
      <c r="O1674" s="162" t="str">
        <f>IFERROR((-Tabela2[[#This Row],[CUSTO TOTAL]]+Tabela2[[#This Row],[VENDA TOTAL]])/Tabela2[[#This Row],[VENDA TOTAL]]-PARAMETROS!$C$19,"")</f>
        <v/>
      </c>
      <c r="AA1674" s="219">
        <f>SUM(Plan_Orc[[#This Row],[01/jan]:[01/dez]])</f>
        <v>0</v>
      </c>
      <c r="AB1674" s="15"/>
      <c r="AC1674" s="15"/>
      <c r="AD1674" s="15"/>
      <c r="AE1674" s="15"/>
      <c r="AF1674" s="15"/>
      <c r="AG1674" s="15"/>
      <c r="AH1674" s="15"/>
      <c r="AI1674" s="15"/>
      <c r="AJ1674" s="15"/>
      <c r="AK1674" s="15"/>
      <c r="AL1674" s="15"/>
      <c r="AM1674" s="15"/>
    </row>
    <row r="1675" spans="2:39" ht="25.2" customHeight="1" x14ac:dyDescent="0.3">
      <c r="B1675" s="13" t="str">
        <f t="shared" si="30"/>
        <v/>
      </c>
      <c r="C1675" s="18"/>
      <c r="D1675" s="19" t="str">
        <f>IF(Tabela2[[#This Row],[AGRUPADOR]]&lt;&gt;"",VLOOKUP(Tabela2[[#This Row],[AGRUPADOR]],Tabela1[],2,0),"")</f>
        <v/>
      </c>
      <c r="E1675" s="19" t="str">
        <f>IF(Tabela2[[#This Row],[AGRUPADOR]]&lt;&gt;"",VLOOKUP(Tabela2[[#This Row],[AGRUPADOR]],Tabela1[],4,0),"")</f>
        <v/>
      </c>
      <c r="F1675" s="14"/>
      <c r="G1675" s="6"/>
      <c r="H1675" s="6"/>
      <c r="I1675" s="25"/>
      <c r="J1675" s="7"/>
      <c r="K1675" s="15"/>
      <c r="L1675" s="379">
        <f>IF(H1675&lt;&gt;"",J1675*K1675,SUMIFS(L1676:L$9844,$F1676:$F$9844,"*"&amp;F1675&amp;"*",$H1676:$H$9844,"&lt;&gt;"))</f>
        <v>0</v>
      </c>
      <c r="M1675" s="379" t="str">
        <f>IF(Tabela2[[#This Row],[UNID.]]&lt;&gt;"",IFERROR(VLOOKUP(Tabela2[[#This Row],[AGRUPADOR]],Lucratividade!$D$4:$O$129,6,0),0),"")</f>
        <v/>
      </c>
      <c r="N1675" s="379">
        <f>IF(H1675&lt;&gt;"",J1675*M1675*I1675,SUMIFS(N1676:N$9844,$F1676:$F$9844,"*"&amp;F1675&amp;"*",$H1676:$H$9844,"&lt;&gt;"))</f>
        <v>0</v>
      </c>
      <c r="O1675" s="162" t="str">
        <f>IFERROR((-Tabela2[[#This Row],[CUSTO TOTAL]]+Tabela2[[#This Row],[VENDA TOTAL]])/Tabela2[[#This Row],[VENDA TOTAL]]-PARAMETROS!$C$19,"")</f>
        <v/>
      </c>
      <c r="AA1675" s="219">
        <f>SUM(Plan_Orc[[#This Row],[01/jan]:[01/dez]])</f>
        <v>0</v>
      </c>
      <c r="AB1675" s="15"/>
      <c r="AC1675" s="15"/>
      <c r="AD1675" s="15"/>
      <c r="AE1675" s="15"/>
      <c r="AF1675" s="15"/>
      <c r="AG1675" s="15"/>
      <c r="AH1675" s="15"/>
      <c r="AI1675" s="15"/>
      <c r="AJ1675" s="15"/>
      <c r="AK1675" s="15"/>
      <c r="AL1675" s="15"/>
      <c r="AM1675" s="15"/>
    </row>
    <row r="1676" spans="2:39" ht="25.2" customHeight="1" x14ac:dyDescent="0.3">
      <c r="B1676" s="13" t="str">
        <f t="shared" si="30"/>
        <v/>
      </c>
      <c r="C1676" s="18"/>
      <c r="D1676" s="19" t="str">
        <f>IF(Tabela2[[#This Row],[AGRUPADOR]]&lt;&gt;"",VLOOKUP(Tabela2[[#This Row],[AGRUPADOR]],Tabela1[],2,0),"")</f>
        <v/>
      </c>
      <c r="E1676" s="19" t="str">
        <f>IF(Tabela2[[#This Row],[AGRUPADOR]]&lt;&gt;"",VLOOKUP(Tabela2[[#This Row],[AGRUPADOR]],Tabela1[],4,0),"")</f>
        <v/>
      </c>
      <c r="F1676" s="14"/>
      <c r="G1676" s="6"/>
      <c r="H1676" s="6"/>
      <c r="I1676" s="25"/>
      <c r="J1676" s="7"/>
      <c r="K1676" s="15"/>
      <c r="L1676" s="379">
        <f>IF(H1676&lt;&gt;"",J1676*K1676,SUMIFS(L1677:L$9844,$F1677:$F$9844,"*"&amp;F1676&amp;"*",$H1677:$H$9844,"&lt;&gt;"))</f>
        <v>0</v>
      </c>
      <c r="M1676" s="379" t="str">
        <f>IF(Tabela2[[#This Row],[UNID.]]&lt;&gt;"",IFERROR(VLOOKUP(Tabela2[[#This Row],[AGRUPADOR]],Lucratividade!$D$4:$O$129,6,0),0),"")</f>
        <v/>
      </c>
      <c r="N1676" s="379">
        <f>IF(H1676&lt;&gt;"",J1676*M1676*I1676,SUMIFS(N1677:N$9844,$F1677:$F$9844,"*"&amp;F1676&amp;"*",$H1677:$H$9844,"&lt;&gt;"))</f>
        <v>0</v>
      </c>
      <c r="O1676" s="162" t="str">
        <f>IFERROR((-Tabela2[[#This Row],[CUSTO TOTAL]]+Tabela2[[#This Row],[VENDA TOTAL]])/Tabela2[[#This Row],[VENDA TOTAL]]-PARAMETROS!$C$19,"")</f>
        <v/>
      </c>
      <c r="AA1676" s="219">
        <f>SUM(Plan_Orc[[#This Row],[01/jan]:[01/dez]])</f>
        <v>0</v>
      </c>
      <c r="AB1676" s="15"/>
      <c r="AC1676" s="15"/>
      <c r="AD1676" s="15"/>
      <c r="AE1676" s="15"/>
      <c r="AF1676" s="15"/>
      <c r="AG1676" s="15"/>
      <c r="AH1676" s="15"/>
      <c r="AI1676" s="15"/>
      <c r="AJ1676" s="15"/>
      <c r="AK1676" s="15"/>
      <c r="AL1676" s="15"/>
      <c r="AM1676" s="15"/>
    </row>
    <row r="1677" spans="2:39" ht="25.2" customHeight="1" x14ac:dyDescent="0.3">
      <c r="B1677" s="13" t="str">
        <f t="shared" si="30"/>
        <v/>
      </c>
      <c r="C1677" s="18"/>
      <c r="D1677" s="19" t="str">
        <f>IF(Tabela2[[#This Row],[AGRUPADOR]]&lt;&gt;"",VLOOKUP(Tabela2[[#This Row],[AGRUPADOR]],Tabela1[],2,0),"")</f>
        <v/>
      </c>
      <c r="E1677" s="19" t="str">
        <f>IF(Tabela2[[#This Row],[AGRUPADOR]]&lt;&gt;"",VLOOKUP(Tabela2[[#This Row],[AGRUPADOR]],Tabela1[],4,0),"")</f>
        <v/>
      </c>
      <c r="F1677" s="14"/>
      <c r="G1677" s="6"/>
      <c r="H1677" s="6"/>
      <c r="I1677" s="25"/>
      <c r="J1677" s="7"/>
      <c r="K1677" s="15"/>
      <c r="L1677" s="379">
        <f>IF(H1677&lt;&gt;"",J1677*K1677,SUMIFS(L1678:L$9844,$F1678:$F$9844,"*"&amp;F1677&amp;"*",$H1678:$H$9844,"&lt;&gt;"))</f>
        <v>0</v>
      </c>
      <c r="M1677" s="379" t="str">
        <f>IF(Tabela2[[#This Row],[UNID.]]&lt;&gt;"",IFERROR(VLOOKUP(Tabela2[[#This Row],[AGRUPADOR]],Lucratividade!$D$4:$O$129,6,0),0),"")</f>
        <v/>
      </c>
      <c r="N1677" s="379">
        <f>IF(H1677&lt;&gt;"",J1677*M1677*I1677,SUMIFS(N1678:N$9844,$F1678:$F$9844,"*"&amp;F1677&amp;"*",$H1678:$H$9844,"&lt;&gt;"))</f>
        <v>0</v>
      </c>
      <c r="O1677" s="162" t="str">
        <f>IFERROR((-Tabela2[[#This Row],[CUSTO TOTAL]]+Tabela2[[#This Row],[VENDA TOTAL]])/Tabela2[[#This Row],[VENDA TOTAL]]-PARAMETROS!$C$19,"")</f>
        <v/>
      </c>
      <c r="AA1677" s="219">
        <f>SUM(Plan_Orc[[#This Row],[01/jan]:[01/dez]])</f>
        <v>0</v>
      </c>
      <c r="AB1677" s="15"/>
      <c r="AC1677" s="15"/>
      <c r="AD1677" s="15"/>
      <c r="AE1677" s="15"/>
      <c r="AF1677" s="15"/>
      <c r="AG1677" s="15"/>
      <c r="AH1677" s="15"/>
      <c r="AI1677" s="15"/>
      <c r="AJ1677" s="15"/>
      <c r="AK1677" s="15"/>
      <c r="AL1677" s="15"/>
      <c r="AM1677" s="15"/>
    </row>
    <row r="1678" spans="2:39" ht="25.2" customHeight="1" x14ac:dyDescent="0.3">
      <c r="B1678" s="13" t="str">
        <f t="shared" si="30"/>
        <v/>
      </c>
      <c r="C1678" s="18"/>
      <c r="D1678" s="19" t="str">
        <f>IF(Tabela2[[#This Row],[AGRUPADOR]]&lt;&gt;"",VLOOKUP(Tabela2[[#This Row],[AGRUPADOR]],Tabela1[],2,0),"")</f>
        <v/>
      </c>
      <c r="E1678" s="19" t="str">
        <f>IF(Tabela2[[#This Row],[AGRUPADOR]]&lt;&gt;"",VLOOKUP(Tabela2[[#This Row],[AGRUPADOR]],Tabela1[],4,0),"")</f>
        <v/>
      </c>
      <c r="F1678" s="14"/>
      <c r="G1678" s="6"/>
      <c r="H1678" s="6"/>
      <c r="I1678" s="25"/>
      <c r="J1678" s="7"/>
      <c r="K1678" s="15"/>
      <c r="L1678" s="379">
        <f>IF(H1678&lt;&gt;"",J1678*K1678,SUMIFS(L1679:L$9844,$F1679:$F$9844,"*"&amp;F1678&amp;"*",$H1679:$H$9844,"&lt;&gt;"))</f>
        <v>0</v>
      </c>
      <c r="M1678" s="379" t="str">
        <f>IF(Tabela2[[#This Row],[UNID.]]&lt;&gt;"",IFERROR(VLOOKUP(Tabela2[[#This Row],[AGRUPADOR]],Lucratividade!$D$4:$O$129,6,0),0),"")</f>
        <v/>
      </c>
      <c r="N1678" s="379">
        <f>IF(H1678&lt;&gt;"",J1678*M1678*I1678,SUMIFS(N1679:N$9844,$F1679:$F$9844,"*"&amp;F1678&amp;"*",$H1679:$H$9844,"&lt;&gt;"))</f>
        <v>0</v>
      </c>
      <c r="O1678" s="162" t="str">
        <f>IFERROR((-Tabela2[[#This Row],[CUSTO TOTAL]]+Tabela2[[#This Row],[VENDA TOTAL]])/Tabela2[[#This Row],[VENDA TOTAL]]-PARAMETROS!$C$19,"")</f>
        <v/>
      </c>
      <c r="AA1678" s="218">
        <f>SUM(Plan_Orc[[#This Row],[01/jan]:[01/dez]])</f>
        <v>0</v>
      </c>
      <c r="AB1678" s="12"/>
      <c r="AC1678" s="12"/>
      <c r="AD1678" s="12"/>
      <c r="AE1678" s="12"/>
      <c r="AF1678" s="12"/>
      <c r="AG1678" s="12"/>
      <c r="AH1678" s="12"/>
      <c r="AI1678" s="12"/>
      <c r="AJ1678" s="12"/>
      <c r="AK1678" s="12"/>
      <c r="AL1678" s="12"/>
      <c r="AM1678" s="12"/>
    </row>
    <row r="1679" spans="2:39" ht="25.2" customHeight="1" x14ac:dyDescent="0.3">
      <c r="B1679" s="13" t="str">
        <f t="shared" si="30"/>
        <v/>
      </c>
      <c r="C1679" s="18"/>
      <c r="D1679" s="19" t="str">
        <f>IF(Tabela2[[#This Row],[AGRUPADOR]]&lt;&gt;"",VLOOKUP(Tabela2[[#This Row],[AGRUPADOR]],Tabela1[],2,0),"")</f>
        <v/>
      </c>
      <c r="E1679" s="19" t="str">
        <f>IF(Tabela2[[#This Row],[AGRUPADOR]]&lt;&gt;"",VLOOKUP(Tabela2[[#This Row],[AGRUPADOR]],Tabela1[],4,0),"")</f>
        <v/>
      </c>
      <c r="F1679" s="14"/>
      <c r="G1679" s="6"/>
      <c r="H1679" s="6"/>
      <c r="I1679" s="25"/>
      <c r="J1679" s="7"/>
      <c r="K1679" s="15"/>
      <c r="L1679" s="379">
        <f>IF(H1679&lt;&gt;"",J1679*K1679,SUMIFS(L1680:L$9844,$F1680:$F$9844,"*"&amp;F1679&amp;"*",$H1680:$H$9844,"&lt;&gt;"))</f>
        <v>0</v>
      </c>
      <c r="M1679" s="379" t="str">
        <f>IF(Tabela2[[#This Row],[UNID.]]&lt;&gt;"",IFERROR(VLOOKUP(Tabela2[[#This Row],[AGRUPADOR]],Lucratividade!$D$4:$O$129,6,0),0),"")</f>
        <v/>
      </c>
      <c r="N1679" s="379">
        <f>IF(H1679&lt;&gt;"",J1679*M1679*I1679,SUMIFS(N1680:N$9844,$F1680:$F$9844,"*"&amp;F1679&amp;"*",$H1680:$H$9844,"&lt;&gt;"))</f>
        <v>0</v>
      </c>
      <c r="O1679" s="162" t="str">
        <f>IFERROR((-Tabela2[[#This Row],[CUSTO TOTAL]]+Tabela2[[#This Row],[VENDA TOTAL]])/Tabela2[[#This Row],[VENDA TOTAL]]-PARAMETROS!$C$19,"")</f>
        <v/>
      </c>
      <c r="AA1679" s="219">
        <f>SUM(Plan_Orc[[#This Row],[01/jan]:[01/dez]])</f>
        <v>0</v>
      </c>
      <c r="AB1679" s="15"/>
      <c r="AC1679" s="15"/>
      <c r="AD1679" s="15"/>
      <c r="AE1679" s="15"/>
      <c r="AF1679" s="15"/>
      <c r="AG1679" s="15"/>
      <c r="AH1679" s="15"/>
      <c r="AI1679" s="15"/>
      <c r="AJ1679" s="15"/>
      <c r="AK1679" s="15"/>
      <c r="AL1679" s="15"/>
      <c r="AM1679" s="15"/>
    </row>
    <row r="1680" spans="2:39" ht="25.2" customHeight="1" x14ac:dyDescent="0.3">
      <c r="B1680" s="13" t="str">
        <f t="shared" si="30"/>
        <v/>
      </c>
      <c r="C1680" s="18"/>
      <c r="D1680" s="19" t="str">
        <f>IF(Tabela2[[#This Row],[AGRUPADOR]]&lt;&gt;"",VLOOKUP(Tabela2[[#This Row],[AGRUPADOR]],Tabela1[],2,0),"")</f>
        <v/>
      </c>
      <c r="E1680" s="19" t="str">
        <f>IF(Tabela2[[#This Row],[AGRUPADOR]]&lt;&gt;"",VLOOKUP(Tabela2[[#This Row],[AGRUPADOR]],Tabela1[],4,0),"")</f>
        <v/>
      </c>
      <c r="F1680" s="14"/>
      <c r="G1680" s="6"/>
      <c r="H1680" s="6"/>
      <c r="I1680" s="25"/>
      <c r="J1680" s="7"/>
      <c r="K1680" s="15"/>
      <c r="L1680" s="379">
        <f>IF(H1680&lt;&gt;"",J1680*K1680,SUMIFS(L1681:L$9844,$F1681:$F$9844,"*"&amp;F1680&amp;"*",$H1681:$H$9844,"&lt;&gt;"))</f>
        <v>0</v>
      </c>
      <c r="M1680" s="379" t="str">
        <f>IF(Tabela2[[#This Row],[UNID.]]&lt;&gt;"",IFERROR(VLOOKUP(Tabela2[[#This Row],[AGRUPADOR]],Lucratividade!$D$4:$O$129,6,0),0),"")</f>
        <v/>
      </c>
      <c r="N1680" s="379">
        <f>IF(H1680&lt;&gt;"",J1680*M1680*I1680,SUMIFS(N1681:N$9844,$F1681:$F$9844,"*"&amp;F1680&amp;"*",$H1681:$H$9844,"&lt;&gt;"))</f>
        <v>0</v>
      </c>
      <c r="O1680" s="162" t="str">
        <f>IFERROR((-Tabela2[[#This Row],[CUSTO TOTAL]]+Tabela2[[#This Row],[VENDA TOTAL]])/Tabela2[[#This Row],[VENDA TOTAL]]-PARAMETROS!$C$19,"")</f>
        <v/>
      </c>
      <c r="AA1680" s="219">
        <f>SUM(Plan_Orc[[#This Row],[01/jan]:[01/dez]])</f>
        <v>0</v>
      </c>
      <c r="AB1680" s="15"/>
      <c r="AC1680" s="15"/>
      <c r="AD1680" s="15"/>
      <c r="AE1680" s="15"/>
      <c r="AF1680" s="15"/>
      <c r="AG1680" s="15"/>
      <c r="AH1680" s="15"/>
      <c r="AI1680" s="15"/>
      <c r="AJ1680" s="15"/>
      <c r="AK1680" s="15"/>
      <c r="AL1680" s="15"/>
      <c r="AM1680" s="15"/>
    </row>
    <row r="1681" spans="2:39" ht="25.2" customHeight="1" x14ac:dyDescent="0.3">
      <c r="B1681" s="13" t="str">
        <f t="shared" si="30"/>
        <v/>
      </c>
      <c r="C1681" s="18"/>
      <c r="D1681" s="19" t="str">
        <f>IF(Tabela2[[#This Row],[AGRUPADOR]]&lt;&gt;"",VLOOKUP(Tabela2[[#This Row],[AGRUPADOR]],Tabela1[],2,0),"")</f>
        <v/>
      </c>
      <c r="E1681" s="19" t="str">
        <f>IF(Tabela2[[#This Row],[AGRUPADOR]]&lt;&gt;"",VLOOKUP(Tabela2[[#This Row],[AGRUPADOR]],Tabela1[],4,0),"")</f>
        <v/>
      </c>
      <c r="F1681" s="14"/>
      <c r="G1681" s="6"/>
      <c r="H1681" s="6"/>
      <c r="I1681" s="25"/>
      <c r="J1681" s="7"/>
      <c r="K1681" s="15"/>
      <c r="L1681" s="379">
        <f>IF(H1681&lt;&gt;"",J1681*K1681,SUMIFS(L1682:L$9844,$F1682:$F$9844,"*"&amp;F1681&amp;"*",$H1682:$H$9844,"&lt;&gt;"))</f>
        <v>0</v>
      </c>
      <c r="M1681" s="379" t="str">
        <f>IF(Tabela2[[#This Row],[UNID.]]&lt;&gt;"",IFERROR(VLOOKUP(Tabela2[[#This Row],[AGRUPADOR]],Lucratividade!$D$4:$O$129,6,0),0),"")</f>
        <v/>
      </c>
      <c r="N1681" s="379">
        <f>IF(H1681&lt;&gt;"",J1681*M1681*I1681,SUMIFS(N1682:N$9844,$F1682:$F$9844,"*"&amp;F1681&amp;"*",$H1682:$H$9844,"&lt;&gt;"))</f>
        <v>0</v>
      </c>
      <c r="O1681" s="162" t="str">
        <f>IFERROR((-Tabela2[[#This Row],[CUSTO TOTAL]]+Tabela2[[#This Row],[VENDA TOTAL]])/Tabela2[[#This Row],[VENDA TOTAL]]-PARAMETROS!$C$19,"")</f>
        <v/>
      </c>
      <c r="AA1681" s="219">
        <f>SUM(Plan_Orc[[#This Row],[01/jan]:[01/dez]])</f>
        <v>0</v>
      </c>
      <c r="AB1681" s="15"/>
      <c r="AC1681" s="15"/>
      <c r="AD1681" s="15"/>
      <c r="AE1681" s="15"/>
      <c r="AF1681" s="15"/>
      <c r="AG1681" s="15"/>
      <c r="AH1681" s="15"/>
      <c r="AI1681" s="15"/>
      <c r="AJ1681" s="15"/>
      <c r="AK1681" s="15"/>
      <c r="AL1681" s="15"/>
      <c r="AM1681" s="15"/>
    </row>
    <row r="1682" spans="2:39" ht="25.2" customHeight="1" x14ac:dyDescent="0.3">
      <c r="B1682" s="13" t="str">
        <f t="shared" si="30"/>
        <v/>
      </c>
      <c r="C1682" s="18"/>
      <c r="D1682" s="19" t="str">
        <f>IF(Tabela2[[#This Row],[AGRUPADOR]]&lt;&gt;"",VLOOKUP(Tabela2[[#This Row],[AGRUPADOR]],Tabela1[],2,0),"")</f>
        <v/>
      </c>
      <c r="E1682" s="19" t="str">
        <f>IF(Tabela2[[#This Row],[AGRUPADOR]]&lt;&gt;"",VLOOKUP(Tabela2[[#This Row],[AGRUPADOR]],Tabela1[],4,0),"")</f>
        <v/>
      </c>
      <c r="F1682" s="14"/>
      <c r="G1682" s="6"/>
      <c r="H1682" s="6"/>
      <c r="I1682" s="25"/>
      <c r="J1682" s="7"/>
      <c r="K1682" s="15"/>
      <c r="L1682" s="379">
        <f>IF(H1682&lt;&gt;"",J1682*K1682,SUMIFS(L1683:L$9844,$F1683:$F$9844,"*"&amp;F1682&amp;"*",$H1683:$H$9844,"&lt;&gt;"))</f>
        <v>0</v>
      </c>
      <c r="M1682" s="379" t="str">
        <f>IF(Tabela2[[#This Row],[UNID.]]&lt;&gt;"",IFERROR(VLOOKUP(Tabela2[[#This Row],[AGRUPADOR]],Lucratividade!$D$4:$O$129,6,0),0),"")</f>
        <v/>
      </c>
      <c r="N1682" s="379">
        <f>IF(H1682&lt;&gt;"",J1682*M1682*I1682,SUMIFS(N1683:N$9844,$F1683:$F$9844,"*"&amp;F1682&amp;"*",$H1683:$H$9844,"&lt;&gt;"))</f>
        <v>0</v>
      </c>
      <c r="O1682" s="162" t="str">
        <f>IFERROR((-Tabela2[[#This Row],[CUSTO TOTAL]]+Tabela2[[#This Row],[VENDA TOTAL]])/Tabela2[[#This Row],[VENDA TOTAL]]-PARAMETROS!$C$19,"")</f>
        <v/>
      </c>
      <c r="AA1682" s="219">
        <f>SUM(Plan_Orc[[#This Row],[01/jan]:[01/dez]])</f>
        <v>0</v>
      </c>
      <c r="AB1682" s="15"/>
      <c r="AC1682" s="15"/>
      <c r="AD1682" s="15"/>
      <c r="AE1682" s="15"/>
      <c r="AF1682" s="15"/>
      <c r="AG1682" s="15"/>
      <c r="AH1682" s="15"/>
      <c r="AI1682" s="15"/>
      <c r="AJ1682" s="15"/>
      <c r="AK1682" s="15"/>
      <c r="AL1682" s="15"/>
      <c r="AM1682" s="15"/>
    </row>
    <row r="1683" spans="2:39" ht="25.2" customHeight="1" x14ac:dyDescent="0.3">
      <c r="B1683" s="13" t="str">
        <f t="shared" si="30"/>
        <v/>
      </c>
      <c r="C1683" s="18"/>
      <c r="D1683" s="19" t="str">
        <f>IF(Tabela2[[#This Row],[AGRUPADOR]]&lt;&gt;"",VLOOKUP(Tabela2[[#This Row],[AGRUPADOR]],Tabela1[],2,0),"")</f>
        <v/>
      </c>
      <c r="E1683" s="19" t="str">
        <f>IF(Tabela2[[#This Row],[AGRUPADOR]]&lt;&gt;"",VLOOKUP(Tabela2[[#This Row],[AGRUPADOR]],Tabela1[],4,0),"")</f>
        <v/>
      </c>
      <c r="F1683" s="14"/>
      <c r="G1683" s="6"/>
      <c r="H1683" s="6"/>
      <c r="I1683" s="25"/>
      <c r="J1683" s="7"/>
      <c r="K1683" s="15"/>
      <c r="L1683" s="379">
        <f>IF(H1683&lt;&gt;"",J1683*K1683,SUMIFS(L1684:L$9844,$F1684:$F$9844,"*"&amp;F1683&amp;"*",$H1684:$H$9844,"&lt;&gt;"))</f>
        <v>0</v>
      </c>
      <c r="M1683" s="379" t="str">
        <f>IF(Tabela2[[#This Row],[UNID.]]&lt;&gt;"",IFERROR(VLOOKUP(Tabela2[[#This Row],[AGRUPADOR]],Lucratividade!$D$4:$O$129,6,0),0),"")</f>
        <v/>
      </c>
      <c r="N1683" s="379">
        <f>IF(H1683&lt;&gt;"",J1683*M1683*I1683,SUMIFS(N1684:N$9844,$F1684:$F$9844,"*"&amp;F1683&amp;"*",$H1684:$H$9844,"&lt;&gt;"))</f>
        <v>0</v>
      </c>
      <c r="O1683" s="162" t="str">
        <f>IFERROR((-Tabela2[[#This Row],[CUSTO TOTAL]]+Tabela2[[#This Row],[VENDA TOTAL]])/Tabela2[[#This Row],[VENDA TOTAL]]-PARAMETROS!$C$19,"")</f>
        <v/>
      </c>
      <c r="AA1683" s="219">
        <f>SUM(Plan_Orc[[#This Row],[01/jan]:[01/dez]])</f>
        <v>0</v>
      </c>
      <c r="AB1683" s="15"/>
      <c r="AC1683" s="15"/>
      <c r="AD1683" s="15"/>
      <c r="AE1683" s="15"/>
      <c r="AF1683" s="15"/>
      <c r="AG1683" s="15"/>
      <c r="AH1683" s="15"/>
      <c r="AI1683" s="15"/>
      <c r="AJ1683" s="15"/>
      <c r="AK1683" s="15"/>
      <c r="AL1683" s="15"/>
      <c r="AM1683" s="15"/>
    </row>
    <row r="1684" spans="2:39" ht="25.2" customHeight="1" x14ac:dyDescent="0.3">
      <c r="B1684" s="13" t="str">
        <f t="shared" si="30"/>
        <v/>
      </c>
      <c r="C1684" s="18"/>
      <c r="D1684" s="19" t="str">
        <f>IF(Tabela2[[#This Row],[AGRUPADOR]]&lt;&gt;"",VLOOKUP(Tabela2[[#This Row],[AGRUPADOR]],Tabela1[],2,0),"")</f>
        <v/>
      </c>
      <c r="E1684" s="19" t="str">
        <f>IF(Tabela2[[#This Row],[AGRUPADOR]]&lt;&gt;"",VLOOKUP(Tabela2[[#This Row],[AGRUPADOR]],Tabela1[],4,0),"")</f>
        <v/>
      </c>
      <c r="F1684" s="14"/>
      <c r="G1684" s="6"/>
      <c r="H1684" s="6"/>
      <c r="I1684" s="25"/>
      <c r="J1684" s="7"/>
      <c r="K1684" s="15"/>
      <c r="L1684" s="379">
        <f>IF(H1684&lt;&gt;"",J1684*K1684,SUMIFS(L1685:L$9844,$F1685:$F$9844,"*"&amp;F1684&amp;"*",$H1685:$H$9844,"&lt;&gt;"))</f>
        <v>0</v>
      </c>
      <c r="M1684" s="379" t="str">
        <f>IF(Tabela2[[#This Row],[UNID.]]&lt;&gt;"",IFERROR(VLOOKUP(Tabela2[[#This Row],[AGRUPADOR]],Lucratividade!$D$4:$O$129,6,0),0),"")</f>
        <v/>
      </c>
      <c r="N1684" s="379">
        <f>IF(H1684&lt;&gt;"",J1684*M1684*I1684,SUMIFS(N1685:N$9844,$F1685:$F$9844,"*"&amp;F1684&amp;"*",$H1685:$H$9844,"&lt;&gt;"))</f>
        <v>0</v>
      </c>
      <c r="O1684" s="162" t="str">
        <f>IFERROR((-Tabela2[[#This Row],[CUSTO TOTAL]]+Tabela2[[#This Row],[VENDA TOTAL]])/Tabela2[[#This Row],[VENDA TOTAL]]-PARAMETROS!$C$19,"")</f>
        <v/>
      </c>
      <c r="AA1684" s="219">
        <f>SUM(Plan_Orc[[#This Row],[01/jan]:[01/dez]])</f>
        <v>0</v>
      </c>
      <c r="AB1684" s="15"/>
      <c r="AC1684" s="15"/>
      <c r="AD1684" s="15"/>
      <c r="AE1684" s="15"/>
      <c r="AF1684" s="15"/>
      <c r="AG1684" s="15"/>
      <c r="AH1684" s="15"/>
      <c r="AI1684" s="15"/>
      <c r="AJ1684" s="15"/>
      <c r="AK1684" s="15"/>
      <c r="AL1684" s="15"/>
      <c r="AM1684" s="15"/>
    </row>
    <row r="1685" spans="2:39" ht="25.2" customHeight="1" x14ac:dyDescent="0.3">
      <c r="B1685" s="13" t="str">
        <f t="shared" si="30"/>
        <v/>
      </c>
      <c r="C1685" s="18"/>
      <c r="D1685" s="19" t="str">
        <f>IF(Tabela2[[#This Row],[AGRUPADOR]]&lt;&gt;"",VLOOKUP(Tabela2[[#This Row],[AGRUPADOR]],Tabela1[],2,0),"")</f>
        <v/>
      </c>
      <c r="E1685" s="19" t="str">
        <f>IF(Tabela2[[#This Row],[AGRUPADOR]]&lt;&gt;"",VLOOKUP(Tabela2[[#This Row],[AGRUPADOR]],Tabela1[],4,0),"")</f>
        <v/>
      </c>
      <c r="F1685" s="14"/>
      <c r="G1685" s="6"/>
      <c r="H1685" s="6"/>
      <c r="I1685" s="25"/>
      <c r="J1685" s="7"/>
      <c r="K1685" s="15"/>
      <c r="L1685" s="379">
        <f>IF(H1685&lt;&gt;"",J1685*K1685,SUMIFS(L1686:L$9844,$F1686:$F$9844,"*"&amp;F1685&amp;"*",$H1686:$H$9844,"&lt;&gt;"))</f>
        <v>0</v>
      </c>
      <c r="M1685" s="379" t="str">
        <f>IF(Tabela2[[#This Row],[UNID.]]&lt;&gt;"",IFERROR(VLOOKUP(Tabela2[[#This Row],[AGRUPADOR]],Lucratividade!$D$4:$O$129,6,0),0),"")</f>
        <v/>
      </c>
      <c r="N1685" s="379">
        <f>IF(H1685&lt;&gt;"",J1685*M1685*I1685,SUMIFS(N1686:N$9844,$F1686:$F$9844,"*"&amp;F1685&amp;"*",$H1686:$H$9844,"&lt;&gt;"))</f>
        <v>0</v>
      </c>
      <c r="O1685" s="162" t="str">
        <f>IFERROR((-Tabela2[[#This Row],[CUSTO TOTAL]]+Tabela2[[#This Row],[VENDA TOTAL]])/Tabela2[[#This Row],[VENDA TOTAL]]-PARAMETROS!$C$19,"")</f>
        <v/>
      </c>
      <c r="AA1685" s="219">
        <f>SUM(Plan_Orc[[#This Row],[01/jan]:[01/dez]])</f>
        <v>0</v>
      </c>
      <c r="AB1685" s="15"/>
      <c r="AC1685" s="15"/>
      <c r="AD1685" s="15"/>
      <c r="AE1685" s="15"/>
      <c r="AF1685" s="15"/>
      <c r="AG1685" s="15"/>
      <c r="AH1685" s="15"/>
      <c r="AI1685" s="15"/>
      <c r="AJ1685" s="15"/>
      <c r="AK1685" s="15"/>
      <c r="AL1685" s="15"/>
      <c r="AM1685" s="15"/>
    </row>
    <row r="1686" spans="2:39" ht="25.2" customHeight="1" x14ac:dyDescent="0.3">
      <c r="B1686" s="13" t="str">
        <f t="shared" si="30"/>
        <v/>
      </c>
      <c r="C1686" s="18"/>
      <c r="D1686" s="19" t="str">
        <f>IF(Tabela2[[#This Row],[AGRUPADOR]]&lt;&gt;"",VLOOKUP(Tabela2[[#This Row],[AGRUPADOR]],Tabela1[],2,0),"")</f>
        <v/>
      </c>
      <c r="E1686" s="19" t="str">
        <f>IF(Tabela2[[#This Row],[AGRUPADOR]]&lt;&gt;"",VLOOKUP(Tabela2[[#This Row],[AGRUPADOR]],Tabela1[],4,0),"")</f>
        <v/>
      </c>
      <c r="F1686" s="14"/>
      <c r="G1686" s="6"/>
      <c r="H1686" s="6"/>
      <c r="I1686" s="25"/>
      <c r="J1686" s="7"/>
      <c r="K1686" s="15"/>
      <c r="L1686" s="379">
        <f>IF(H1686&lt;&gt;"",J1686*K1686,SUMIFS(L1687:L$9844,$F1687:$F$9844,"*"&amp;F1686&amp;"*",$H1687:$H$9844,"&lt;&gt;"))</f>
        <v>0</v>
      </c>
      <c r="M1686" s="379" t="str">
        <f>IF(Tabela2[[#This Row],[UNID.]]&lt;&gt;"",IFERROR(VLOOKUP(Tabela2[[#This Row],[AGRUPADOR]],Lucratividade!$D$4:$O$129,6,0),0),"")</f>
        <v/>
      </c>
      <c r="N1686" s="379">
        <f>IF(H1686&lt;&gt;"",J1686*M1686*I1686,SUMIFS(N1687:N$9844,$F1687:$F$9844,"*"&amp;F1686&amp;"*",$H1687:$H$9844,"&lt;&gt;"))</f>
        <v>0</v>
      </c>
      <c r="O1686" s="162" t="str">
        <f>IFERROR((-Tabela2[[#This Row],[CUSTO TOTAL]]+Tabela2[[#This Row],[VENDA TOTAL]])/Tabela2[[#This Row],[VENDA TOTAL]]-PARAMETROS!$C$19,"")</f>
        <v/>
      </c>
      <c r="AA1686" s="219">
        <f>SUM(Plan_Orc[[#This Row],[01/jan]:[01/dez]])</f>
        <v>0</v>
      </c>
      <c r="AB1686" s="15"/>
      <c r="AC1686" s="15"/>
      <c r="AD1686" s="15"/>
      <c r="AE1686" s="15"/>
      <c r="AF1686" s="15"/>
      <c r="AG1686" s="15"/>
      <c r="AH1686" s="15"/>
      <c r="AI1686" s="15"/>
      <c r="AJ1686" s="15"/>
      <c r="AK1686" s="15"/>
      <c r="AL1686" s="15"/>
      <c r="AM1686" s="15"/>
    </row>
    <row r="1687" spans="2:39" ht="25.2" customHeight="1" x14ac:dyDescent="0.3">
      <c r="B1687" s="13" t="str">
        <f t="shared" si="30"/>
        <v/>
      </c>
      <c r="C1687" s="18"/>
      <c r="D1687" s="19" t="str">
        <f>IF(Tabela2[[#This Row],[AGRUPADOR]]&lt;&gt;"",VLOOKUP(Tabela2[[#This Row],[AGRUPADOR]],Tabela1[],2,0),"")</f>
        <v/>
      </c>
      <c r="E1687" s="19" t="str">
        <f>IF(Tabela2[[#This Row],[AGRUPADOR]]&lt;&gt;"",VLOOKUP(Tabela2[[#This Row],[AGRUPADOR]],Tabela1[],4,0),"")</f>
        <v/>
      </c>
      <c r="F1687" s="14"/>
      <c r="G1687" s="6"/>
      <c r="H1687" s="6"/>
      <c r="I1687" s="25"/>
      <c r="J1687" s="7"/>
      <c r="K1687" s="15"/>
      <c r="L1687" s="379">
        <f>IF(H1687&lt;&gt;"",J1687*K1687,SUMIFS(L1688:L$9844,$F1688:$F$9844,"*"&amp;F1687&amp;"*",$H1688:$H$9844,"&lt;&gt;"))</f>
        <v>0</v>
      </c>
      <c r="M1687" s="379" t="str">
        <f>IF(Tabela2[[#This Row],[UNID.]]&lt;&gt;"",IFERROR(VLOOKUP(Tabela2[[#This Row],[AGRUPADOR]],Lucratividade!$D$4:$O$129,6,0),0),"")</f>
        <v/>
      </c>
      <c r="N1687" s="379">
        <f>IF(H1687&lt;&gt;"",J1687*M1687*I1687,SUMIFS(N1688:N$9844,$F1688:$F$9844,"*"&amp;F1687&amp;"*",$H1688:$H$9844,"&lt;&gt;"))</f>
        <v>0</v>
      </c>
      <c r="O1687" s="162" t="str">
        <f>IFERROR((-Tabela2[[#This Row],[CUSTO TOTAL]]+Tabela2[[#This Row],[VENDA TOTAL]])/Tabela2[[#This Row],[VENDA TOTAL]]-PARAMETROS!$C$19,"")</f>
        <v/>
      </c>
      <c r="AA1687" s="219">
        <f>SUM(Plan_Orc[[#This Row],[01/jan]:[01/dez]])</f>
        <v>0</v>
      </c>
      <c r="AB1687" s="15"/>
      <c r="AC1687" s="15"/>
      <c r="AD1687" s="15"/>
      <c r="AE1687" s="15"/>
      <c r="AF1687" s="15"/>
      <c r="AG1687" s="15"/>
      <c r="AH1687" s="15"/>
      <c r="AI1687" s="15"/>
      <c r="AJ1687" s="15"/>
      <c r="AK1687" s="15"/>
      <c r="AL1687" s="15"/>
      <c r="AM1687" s="15"/>
    </row>
    <row r="1688" spans="2:39" ht="25.2" customHeight="1" x14ac:dyDescent="0.3">
      <c r="B1688" s="13" t="str">
        <f t="shared" si="30"/>
        <v/>
      </c>
      <c r="C1688" s="18"/>
      <c r="D1688" s="19" t="str">
        <f>IF(Tabela2[[#This Row],[AGRUPADOR]]&lt;&gt;"",VLOOKUP(Tabela2[[#This Row],[AGRUPADOR]],Tabela1[],2,0),"")</f>
        <v/>
      </c>
      <c r="E1688" s="19" t="str">
        <f>IF(Tabela2[[#This Row],[AGRUPADOR]]&lt;&gt;"",VLOOKUP(Tabela2[[#This Row],[AGRUPADOR]],Tabela1[],4,0),"")</f>
        <v/>
      </c>
      <c r="F1688" s="14"/>
      <c r="G1688" s="6"/>
      <c r="H1688" s="6"/>
      <c r="I1688" s="25"/>
      <c r="J1688" s="7"/>
      <c r="K1688" s="15"/>
      <c r="L1688" s="379">
        <f>IF(H1688&lt;&gt;"",J1688*K1688,SUMIFS(L1689:L$9844,$F1689:$F$9844,"*"&amp;F1688&amp;"*",$H1689:$H$9844,"&lt;&gt;"))</f>
        <v>0</v>
      </c>
      <c r="M1688" s="379" t="str">
        <f>IF(Tabela2[[#This Row],[UNID.]]&lt;&gt;"",IFERROR(VLOOKUP(Tabela2[[#This Row],[AGRUPADOR]],Lucratividade!$D$4:$O$129,6,0),0),"")</f>
        <v/>
      </c>
      <c r="N1688" s="379">
        <f>IF(H1688&lt;&gt;"",J1688*M1688*I1688,SUMIFS(N1689:N$9844,$F1689:$F$9844,"*"&amp;F1688&amp;"*",$H1689:$H$9844,"&lt;&gt;"))</f>
        <v>0</v>
      </c>
      <c r="O1688" s="162" t="str">
        <f>IFERROR((-Tabela2[[#This Row],[CUSTO TOTAL]]+Tabela2[[#This Row],[VENDA TOTAL]])/Tabela2[[#This Row],[VENDA TOTAL]]-PARAMETROS!$C$19,"")</f>
        <v/>
      </c>
      <c r="AA1688" s="219">
        <f>SUM(Plan_Orc[[#This Row],[01/jan]:[01/dez]])</f>
        <v>0</v>
      </c>
      <c r="AB1688" s="15"/>
      <c r="AC1688" s="15"/>
      <c r="AD1688" s="15"/>
      <c r="AE1688" s="15"/>
      <c r="AF1688" s="15"/>
      <c r="AG1688" s="15"/>
      <c r="AH1688" s="15"/>
      <c r="AI1688" s="15"/>
      <c r="AJ1688" s="15"/>
      <c r="AK1688" s="15"/>
      <c r="AL1688" s="15"/>
      <c r="AM1688" s="15"/>
    </row>
    <row r="1689" spans="2:39" ht="25.2" customHeight="1" x14ac:dyDescent="0.3">
      <c r="B1689" s="13" t="str">
        <f t="shared" si="30"/>
        <v/>
      </c>
      <c r="C1689" s="18"/>
      <c r="D1689" s="19" t="str">
        <f>IF(Tabela2[[#This Row],[AGRUPADOR]]&lt;&gt;"",VLOOKUP(Tabela2[[#This Row],[AGRUPADOR]],Tabela1[],2,0),"")</f>
        <v/>
      </c>
      <c r="E1689" s="19" t="str">
        <f>IF(Tabela2[[#This Row],[AGRUPADOR]]&lt;&gt;"",VLOOKUP(Tabela2[[#This Row],[AGRUPADOR]],Tabela1[],4,0),"")</f>
        <v/>
      </c>
      <c r="F1689" s="14"/>
      <c r="G1689" s="6"/>
      <c r="H1689" s="6"/>
      <c r="I1689" s="25"/>
      <c r="J1689" s="7"/>
      <c r="K1689" s="15"/>
      <c r="L1689" s="379">
        <f>IF(H1689&lt;&gt;"",J1689*K1689,SUMIFS(L1690:L$9844,$F1690:$F$9844,"*"&amp;F1689&amp;"*",$H1690:$H$9844,"&lt;&gt;"))</f>
        <v>0</v>
      </c>
      <c r="M1689" s="379" t="str">
        <f>IF(Tabela2[[#This Row],[UNID.]]&lt;&gt;"",IFERROR(VLOOKUP(Tabela2[[#This Row],[AGRUPADOR]],Lucratividade!$D$4:$O$129,6,0),0),"")</f>
        <v/>
      </c>
      <c r="N1689" s="379">
        <f>IF(H1689&lt;&gt;"",J1689*M1689*I1689,SUMIFS(N1690:N$9844,$F1690:$F$9844,"*"&amp;F1689&amp;"*",$H1690:$H$9844,"&lt;&gt;"))</f>
        <v>0</v>
      </c>
      <c r="O1689" s="162" t="str">
        <f>IFERROR((-Tabela2[[#This Row],[CUSTO TOTAL]]+Tabela2[[#This Row],[VENDA TOTAL]])/Tabela2[[#This Row],[VENDA TOTAL]]-PARAMETROS!$C$19,"")</f>
        <v/>
      </c>
      <c r="AA1689" s="219">
        <f>SUM(Plan_Orc[[#This Row],[01/jan]:[01/dez]])</f>
        <v>0</v>
      </c>
      <c r="AB1689" s="15"/>
      <c r="AC1689" s="15"/>
      <c r="AD1689" s="15"/>
      <c r="AE1689" s="15"/>
      <c r="AF1689" s="15"/>
      <c r="AG1689" s="15"/>
      <c r="AH1689" s="15"/>
      <c r="AI1689" s="15"/>
      <c r="AJ1689" s="15"/>
      <c r="AK1689" s="15"/>
      <c r="AL1689" s="15"/>
      <c r="AM1689" s="15"/>
    </row>
    <row r="1690" spans="2:39" ht="25.2" customHeight="1" x14ac:dyDescent="0.3">
      <c r="B1690" s="13" t="str">
        <f t="shared" si="30"/>
        <v/>
      </c>
      <c r="C1690" s="18"/>
      <c r="D1690" s="19" t="str">
        <f>IF(Tabela2[[#This Row],[AGRUPADOR]]&lt;&gt;"",VLOOKUP(Tabela2[[#This Row],[AGRUPADOR]],Tabela1[],2,0),"")</f>
        <v/>
      </c>
      <c r="E1690" s="19" t="str">
        <f>IF(Tabela2[[#This Row],[AGRUPADOR]]&lt;&gt;"",VLOOKUP(Tabela2[[#This Row],[AGRUPADOR]],Tabela1[],4,0),"")</f>
        <v/>
      </c>
      <c r="F1690" s="14"/>
      <c r="G1690" s="6"/>
      <c r="H1690" s="6"/>
      <c r="I1690" s="25"/>
      <c r="J1690" s="7"/>
      <c r="K1690" s="15"/>
      <c r="L1690" s="379">
        <f>IF(H1690&lt;&gt;"",J1690*K1690,SUMIFS(L1691:L$9844,$F1691:$F$9844,"*"&amp;F1690&amp;"*",$H1691:$H$9844,"&lt;&gt;"))</f>
        <v>0</v>
      </c>
      <c r="M1690" s="379" t="str">
        <f>IF(Tabela2[[#This Row],[UNID.]]&lt;&gt;"",IFERROR(VLOOKUP(Tabela2[[#This Row],[AGRUPADOR]],Lucratividade!$D$4:$O$129,6,0),0),"")</f>
        <v/>
      </c>
      <c r="N1690" s="379">
        <f>IF(H1690&lt;&gt;"",J1690*M1690*I1690,SUMIFS(N1691:N$9844,$F1691:$F$9844,"*"&amp;F1690&amp;"*",$H1691:$H$9844,"&lt;&gt;"))</f>
        <v>0</v>
      </c>
      <c r="O1690" s="162" t="str">
        <f>IFERROR((-Tabela2[[#This Row],[CUSTO TOTAL]]+Tabela2[[#This Row],[VENDA TOTAL]])/Tabela2[[#This Row],[VENDA TOTAL]]-PARAMETROS!$C$19,"")</f>
        <v/>
      </c>
      <c r="AA1690" s="219">
        <f>SUM(Plan_Orc[[#This Row],[01/jan]:[01/dez]])</f>
        <v>0</v>
      </c>
      <c r="AB1690" s="15"/>
      <c r="AC1690" s="15"/>
      <c r="AD1690" s="15"/>
      <c r="AE1690" s="15"/>
      <c r="AF1690" s="15"/>
      <c r="AG1690" s="15"/>
      <c r="AH1690" s="15"/>
      <c r="AI1690" s="15"/>
      <c r="AJ1690" s="15"/>
      <c r="AK1690" s="15"/>
      <c r="AL1690" s="15"/>
      <c r="AM1690" s="15"/>
    </row>
    <row r="1691" spans="2:39" ht="25.2" customHeight="1" x14ac:dyDescent="0.3">
      <c r="B1691" s="13" t="str">
        <f t="shared" si="30"/>
        <v/>
      </c>
      <c r="C1691" s="18"/>
      <c r="D1691" s="19" t="str">
        <f>IF(Tabela2[[#This Row],[AGRUPADOR]]&lt;&gt;"",VLOOKUP(Tabela2[[#This Row],[AGRUPADOR]],Tabela1[],2,0),"")</f>
        <v/>
      </c>
      <c r="E1691" s="19" t="str">
        <f>IF(Tabela2[[#This Row],[AGRUPADOR]]&lt;&gt;"",VLOOKUP(Tabela2[[#This Row],[AGRUPADOR]],Tabela1[],4,0),"")</f>
        <v/>
      </c>
      <c r="F1691" s="14"/>
      <c r="G1691" s="6"/>
      <c r="H1691" s="6"/>
      <c r="I1691" s="25"/>
      <c r="J1691" s="7"/>
      <c r="K1691" s="15"/>
      <c r="L1691" s="379">
        <f>IF(H1691&lt;&gt;"",J1691*K1691,SUMIFS(L1692:L$9844,$F1692:$F$9844,"*"&amp;F1691&amp;"*",$H1692:$H$9844,"&lt;&gt;"))</f>
        <v>0</v>
      </c>
      <c r="M1691" s="379" t="str">
        <f>IF(Tabela2[[#This Row],[UNID.]]&lt;&gt;"",IFERROR(VLOOKUP(Tabela2[[#This Row],[AGRUPADOR]],Lucratividade!$D$4:$O$129,6,0),0),"")</f>
        <v/>
      </c>
      <c r="N1691" s="379">
        <f>IF(H1691&lt;&gt;"",J1691*M1691*I1691,SUMIFS(N1692:N$9844,$F1692:$F$9844,"*"&amp;F1691&amp;"*",$H1692:$H$9844,"&lt;&gt;"))</f>
        <v>0</v>
      </c>
      <c r="O1691" s="162" t="str">
        <f>IFERROR((-Tabela2[[#This Row],[CUSTO TOTAL]]+Tabela2[[#This Row],[VENDA TOTAL]])/Tabela2[[#This Row],[VENDA TOTAL]]-PARAMETROS!$C$19,"")</f>
        <v/>
      </c>
      <c r="AA1691" s="219">
        <f>SUM(Plan_Orc[[#This Row],[01/jan]:[01/dez]])</f>
        <v>0</v>
      </c>
      <c r="AB1691" s="15"/>
      <c r="AC1691" s="15"/>
      <c r="AD1691" s="15"/>
      <c r="AE1691" s="15"/>
      <c r="AF1691" s="15"/>
      <c r="AG1691" s="15"/>
      <c r="AH1691" s="15"/>
      <c r="AI1691" s="15"/>
      <c r="AJ1691" s="15"/>
      <c r="AK1691" s="15"/>
      <c r="AL1691" s="15"/>
      <c r="AM1691" s="15"/>
    </row>
    <row r="1692" spans="2:39" ht="25.2" customHeight="1" x14ac:dyDescent="0.3">
      <c r="B1692" s="13" t="str">
        <f t="shared" si="30"/>
        <v/>
      </c>
      <c r="C1692" s="18"/>
      <c r="D1692" s="19" t="str">
        <f>IF(Tabela2[[#This Row],[AGRUPADOR]]&lt;&gt;"",VLOOKUP(Tabela2[[#This Row],[AGRUPADOR]],Tabela1[],2,0),"")</f>
        <v/>
      </c>
      <c r="E1692" s="19" t="str">
        <f>IF(Tabela2[[#This Row],[AGRUPADOR]]&lt;&gt;"",VLOOKUP(Tabela2[[#This Row],[AGRUPADOR]],Tabela1[],4,0),"")</f>
        <v/>
      </c>
      <c r="F1692" s="14"/>
      <c r="G1692" s="6"/>
      <c r="H1692" s="6"/>
      <c r="I1692" s="25"/>
      <c r="J1692" s="7"/>
      <c r="K1692" s="15"/>
      <c r="L1692" s="379">
        <f>IF(H1692&lt;&gt;"",J1692*K1692,SUMIFS(L1693:L$9844,$F1693:$F$9844,"*"&amp;F1692&amp;"*",$H1693:$H$9844,"&lt;&gt;"))</f>
        <v>0</v>
      </c>
      <c r="M1692" s="379" t="str">
        <f>IF(Tabela2[[#This Row],[UNID.]]&lt;&gt;"",IFERROR(VLOOKUP(Tabela2[[#This Row],[AGRUPADOR]],Lucratividade!$D$4:$O$129,6,0),0),"")</f>
        <v/>
      </c>
      <c r="N1692" s="379">
        <f>IF(H1692&lt;&gt;"",J1692*M1692*I1692,SUMIFS(N1693:N$9844,$F1693:$F$9844,"*"&amp;F1692&amp;"*",$H1693:$H$9844,"&lt;&gt;"))</f>
        <v>0</v>
      </c>
      <c r="O1692" s="162" t="str">
        <f>IFERROR((-Tabela2[[#This Row],[CUSTO TOTAL]]+Tabela2[[#This Row],[VENDA TOTAL]])/Tabela2[[#This Row],[VENDA TOTAL]]-PARAMETROS!$C$19,"")</f>
        <v/>
      </c>
      <c r="AA1692" s="219">
        <f>SUM(Plan_Orc[[#This Row],[01/jan]:[01/dez]])</f>
        <v>0</v>
      </c>
      <c r="AB1692" s="15"/>
      <c r="AC1692" s="15"/>
      <c r="AD1692" s="15"/>
      <c r="AE1692" s="15"/>
      <c r="AF1692" s="15"/>
      <c r="AG1692" s="15"/>
      <c r="AH1692" s="15"/>
      <c r="AI1692" s="15"/>
      <c r="AJ1692" s="15"/>
      <c r="AK1692" s="15"/>
      <c r="AL1692" s="15"/>
      <c r="AM1692" s="15"/>
    </row>
    <row r="1693" spans="2:39" ht="25.2" customHeight="1" x14ac:dyDescent="0.3">
      <c r="B1693" s="13" t="str">
        <f t="shared" si="30"/>
        <v/>
      </c>
      <c r="C1693" s="18"/>
      <c r="D1693" s="19" t="str">
        <f>IF(Tabela2[[#This Row],[AGRUPADOR]]&lt;&gt;"",VLOOKUP(Tabela2[[#This Row],[AGRUPADOR]],Tabela1[],2,0),"")</f>
        <v/>
      </c>
      <c r="E1693" s="19" t="str">
        <f>IF(Tabela2[[#This Row],[AGRUPADOR]]&lt;&gt;"",VLOOKUP(Tabela2[[#This Row],[AGRUPADOR]],Tabela1[],4,0),"")</f>
        <v/>
      </c>
      <c r="F1693" s="14"/>
      <c r="G1693" s="6"/>
      <c r="H1693" s="6"/>
      <c r="I1693" s="25"/>
      <c r="J1693" s="7"/>
      <c r="K1693" s="15"/>
      <c r="L1693" s="379">
        <f>IF(H1693&lt;&gt;"",J1693*K1693,SUMIFS(L1694:L$9844,$F1694:$F$9844,"*"&amp;F1693&amp;"*",$H1694:$H$9844,"&lt;&gt;"))</f>
        <v>0</v>
      </c>
      <c r="M1693" s="379" t="str">
        <f>IF(Tabela2[[#This Row],[UNID.]]&lt;&gt;"",IFERROR(VLOOKUP(Tabela2[[#This Row],[AGRUPADOR]],Lucratividade!$D$4:$O$129,6,0),0),"")</f>
        <v/>
      </c>
      <c r="N1693" s="379">
        <f>IF(H1693&lt;&gt;"",J1693*M1693*I1693,SUMIFS(N1694:N$9844,$F1694:$F$9844,"*"&amp;F1693&amp;"*",$H1694:$H$9844,"&lt;&gt;"))</f>
        <v>0</v>
      </c>
      <c r="O1693" s="162" t="str">
        <f>IFERROR((-Tabela2[[#This Row],[CUSTO TOTAL]]+Tabela2[[#This Row],[VENDA TOTAL]])/Tabela2[[#This Row],[VENDA TOTAL]]-PARAMETROS!$C$19,"")</f>
        <v/>
      </c>
      <c r="AA1693" s="219">
        <f>SUM(Plan_Orc[[#This Row],[01/jan]:[01/dez]])</f>
        <v>0</v>
      </c>
      <c r="AB1693" s="15"/>
      <c r="AC1693" s="15"/>
      <c r="AD1693" s="15"/>
      <c r="AE1693" s="15"/>
      <c r="AF1693" s="15"/>
      <c r="AG1693" s="15"/>
      <c r="AH1693" s="15"/>
      <c r="AI1693" s="15"/>
      <c r="AJ1693" s="15"/>
      <c r="AK1693" s="15"/>
      <c r="AL1693" s="15"/>
      <c r="AM1693" s="15"/>
    </row>
    <row r="1694" spans="2:39" ht="25.2" customHeight="1" x14ac:dyDescent="0.3">
      <c r="B1694" s="13" t="str">
        <f t="shared" si="30"/>
        <v/>
      </c>
      <c r="C1694" s="18"/>
      <c r="D1694" s="19" t="str">
        <f>IF(Tabela2[[#This Row],[AGRUPADOR]]&lt;&gt;"",VLOOKUP(Tabela2[[#This Row],[AGRUPADOR]],Tabela1[],2,0),"")</f>
        <v/>
      </c>
      <c r="E1694" s="19" t="str">
        <f>IF(Tabela2[[#This Row],[AGRUPADOR]]&lt;&gt;"",VLOOKUP(Tabela2[[#This Row],[AGRUPADOR]],Tabela1[],4,0),"")</f>
        <v/>
      </c>
      <c r="F1694" s="14"/>
      <c r="G1694" s="6"/>
      <c r="H1694" s="6"/>
      <c r="I1694" s="25"/>
      <c r="J1694" s="7"/>
      <c r="K1694" s="15"/>
      <c r="L1694" s="379">
        <f>IF(H1694&lt;&gt;"",J1694*K1694,SUMIFS(L1695:L$9844,$F1695:$F$9844,"*"&amp;F1694&amp;"*",$H1695:$H$9844,"&lt;&gt;"))</f>
        <v>0</v>
      </c>
      <c r="M1694" s="379" t="str">
        <f>IF(Tabela2[[#This Row],[UNID.]]&lt;&gt;"",IFERROR(VLOOKUP(Tabela2[[#This Row],[AGRUPADOR]],Lucratividade!$D$4:$O$129,6,0),0),"")</f>
        <v/>
      </c>
      <c r="N1694" s="379">
        <f>IF(H1694&lt;&gt;"",J1694*M1694*I1694,SUMIFS(N1695:N$9844,$F1695:$F$9844,"*"&amp;F1694&amp;"*",$H1695:$H$9844,"&lt;&gt;"))</f>
        <v>0</v>
      </c>
      <c r="O1694" s="162" t="str">
        <f>IFERROR((-Tabela2[[#This Row],[CUSTO TOTAL]]+Tabela2[[#This Row],[VENDA TOTAL]])/Tabela2[[#This Row],[VENDA TOTAL]]-PARAMETROS!$C$19,"")</f>
        <v/>
      </c>
      <c r="AA1694" s="219">
        <f>SUM(Plan_Orc[[#This Row],[01/jan]:[01/dez]])</f>
        <v>0</v>
      </c>
      <c r="AB1694" s="15"/>
      <c r="AC1694" s="15"/>
      <c r="AD1694" s="15"/>
      <c r="AE1694" s="15"/>
      <c r="AF1694" s="15"/>
      <c r="AG1694" s="15"/>
      <c r="AH1694" s="15"/>
      <c r="AI1694" s="15"/>
      <c r="AJ1694" s="15"/>
      <c r="AK1694" s="15"/>
      <c r="AL1694" s="15"/>
      <c r="AM1694" s="15"/>
    </row>
    <row r="1695" spans="2:39" ht="25.2" customHeight="1" x14ac:dyDescent="0.3">
      <c r="B1695" s="13" t="str">
        <f t="shared" si="30"/>
        <v/>
      </c>
      <c r="C1695" s="18"/>
      <c r="D1695" s="19" t="str">
        <f>IF(Tabela2[[#This Row],[AGRUPADOR]]&lt;&gt;"",VLOOKUP(Tabela2[[#This Row],[AGRUPADOR]],Tabela1[],2,0),"")</f>
        <v/>
      </c>
      <c r="E1695" s="19" t="str">
        <f>IF(Tabela2[[#This Row],[AGRUPADOR]]&lt;&gt;"",VLOOKUP(Tabela2[[#This Row],[AGRUPADOR]],Tabela1[],4,0),"")</f>
        <v/>
      </c>
      <c r="F1695" s="14"/>
      <c r="G1695" s="6"/>
      <c r="H1695" s="6"/>
      <c r="I1695" s="25"/>
      <c r="J1695" s="7"/>
      <c r="K1695" s="15"/>
      <c r="L1695" s="379">
        <f>IF(H1695&lt;&gt;"",J1695*K1695,SUMIFS(L1696:L$9844,$F1696:$F$9844,"*"&amp;F1695&amp;"*",$H1696:$H$9844,"&lt;&gt;"))</f>
        <v>0</v>
      </c>
      <c r="M1695" s="379" t="str">
        <f>IF(Tabela2[[#This Row],[UNID.]]&lt;&gt;"",IFERROR(VLOOKUP(Tabela2[[#This Row],[AGRUPADOR]],Lucratividade!$D$4:$O$129,6,0),0),"")</f>
        <v/>
      </c>
      <c r="N1695" s="379">
        <f>IF(H1695&lt;&gt;"",J1695*M1695*I1695,SUMIFS(N1696:N$9844,$F1696:$F$9844,"*"&amp;F1695&amp;"*",$H1696:$H$9844,"&lt;&gt;"))</f>
        <v>0</v>
      </c>
      <c r="O1695" s="162" t="str">
        <f>IFERROR((-Tabela2[[#This Row],[CUSTO TOTAL]]+Tabela2[[#This Row],[VENDA TOTAL]])/Tabela2[[#This Row],[VENDA TOTAL]]-PARAMETROS!$C$19,"")</f>
        <v/>
      </c>
      <c r="AA1695" s="219">
        <f>SUM(Plan_Orc[[#This Row],[01/jan]:[01/dez]])</f>
        <v>0</v>
      </c>
      <c r="AB1695" s="15"/>
      <c r="AC1695" s="15"/>
      <c r="AD1695" s="15"/>
      <c r="AE1695" s="15"/>
      <c r="AF1695" s="15"/>
      <c r="AG1695" s="15"/>
      <c r="AH1695" s="15"/>
      <c r="AI1695" s="15"/>
      <c r="AJ1695" s="15"/>
      <c r="AK1695" s="15"/>
      <c r="AL1695" s="15"/>
      <c r="AM1695" s="15"/>
    </row>
    <row r="1696" spans="2:39" ht="25.2" customHeight="1" x14ac:dyDescent="0.3">
      <c r="B1696" s="13" t="str">
        <f t="shared" si="30"/>
        <v/>
      </c>
      <c r="C1696" s="18"/>
      <c r="D1696" s="19" t="str">
        <f>IF(Tabela2[[#This Row],[AGRUPADOR]]&lt;&gt;"",VLOOKUP(Tabela2[[#This Row],[AGRUPADOR]],Tabela1[],2,0),"")</f>
        <v/>
      </c>
      <c r="E1696" s="19" t="str">
        <f>IF(Tabela2[[#This Row],[AGRUPADOR]]&lt;&gt;"",VLOOKUP(Tabela2[[#This Row],[AGRUPADOR]],Tabela1[],4,0),"")</f>
        <v/>
      </c>
      <c r="F1696" s="14"/>
      <c r="G1696" s="6"/>
      <c r="H1696" s="6"/>
      <c r="I1696" s="25"/>
      <c r="J1696" s="7"/>
      <c r="K1696" s="15"/>
      <c r="L1696" s="379">
        <f>IF(H1696&lt;&gt;"",J1696*K1696,SUMIFS(L1697:L$9844,$F1697:$F$9844,"*"&amp;F1696&amp;"*",$H1697:$H$9844,"&lt;&gt;"))</f>
        <v>0</v>
      </c>
      <c r="M1696" s="379" t="str">
        <f>IF(Tabela2[[#This Row],[UNID.]]&lt;&gt;"",IFERROR(VLOOKUP(Tabela2[[#This Row],[AGRUPADOR]],Lucratividade!$D$4:$O$129,6,0),0),"")</f>
        <v/>
      </c>
      <c r="N1696" s="379">
        <f>IF(H1696&lt;&gt;"",J1696*M1696*I1696,SUMIFS(N1697:N$9844,$F1697:$F$9844,"*"&amp;F1696&amp;"*",$H1697:$H$9844,"&lt;&gt;"))</f>
        <v>0</v>
      </c>
      <c r="O1696" s="162" t="str">
        <f>IFERROR((-Tabela2[[#This Row],[CUSTO TOTAL]]+Tabela2[[#This Row],[VENDA TOTAL]])/Tabela2[[#This Row],[VENDA TOTAL]]-PARAMETROS!$C$19,"")</f>
        <v/>
      </c>
      <c r="AA1696" s="219">
        <f>SUM(Plan_Orc[[#This Row],[01/jan]:[01/dez]])</f>
        <v>0</v>
      </c>
      <c r="AB1696" s="15"/>
      <c r="AC1696" s="15"/>
      <c r="AD1696" s="15"/>
      <c r="AE1696" s="15"/>
      <c r="AF1696" s="15"/>
      <c r="AG1696" s="15"/>
      <c r="AH1696" s="15"/>
      <c r="AI1696" s="15"/>
      <c r="AJ1696" s="15"/>
      <c r="AK1696" s="15"/>
      <c r="AL1696" s="15"/>
      <c r="AM1696" s="15"/>
    </row>
    <row r="1697" spans="2:39" ht="25.2" customHeight="1" x14ac:dyDescent="0.3">
      <c r="B1697" s="13" t="str">
        <f t="shared" si="30"/>
        <v/>
      </c>
      <c r="C1697" s="18"/>
      <c r="D1697" s="19" t="str">
        <f>IF(Tabela2[[#This Row],[AGRUPADOR]]&lt;&gt;"",VLOOKUP(Tabela2[[#This Row],[AGRUPADOR]],Tabela1[],2,0),"")</f>
        <v/>
      </c>
      <c r="E1697" s="19" t="str">
        <f>IF(Tabela2[[#This Row],[AGRUPADOR]]&lt;&gt;"",VLOOKUP(Tabela2[[#This Row],[AGRUPADOR]],Tabela1[],4,0),"")</f>
        <v/>
      </c>
      <c r="F1697" s="14"/>
      <c r="G1697" s="6"/>
      <c r="H1697" s="6"/>
      <c r="I1697" s="25"/>
      <c r="J1697" s="7"/>
      <c r="K1697" s="15"/>
      <c r="L1697" s="379">
        <f>IF(H1697&lt;&gt;"",J1697*K1697,SUMIFS(L1698:L$9844,$F1698:$F$9844,"*"&amp;F1697&amp;"*",$H1698:$H$9844,"&lt;&gt;"))</f>
        <v>0</v>
      </c>
      <c r="M1697" s="379" t="str">
        <f>IF(Tabela2[[#This Row],[UNID.]]&lt;&gt;"",IFERROR(VLOOKUP(Tabela2[[#This Row],[AGRUPADOR]],Lucratividade!$D$4:$O$129,6,0),0),"")</f>
        <v/>
      </c>
      <c r="N1697" s="379">
        <f>IF(H1697&lt;&gt;"",J1697*M1697*I1697,SUMIFS(N1698:N$9844,$F1698:$F$9844,"*"&amp;F1697&amp;"*",$H1698:$H$9844,"&lt;&gt;"))</f>
        <v>0</v>
      </c>
      <c r="O1697" s="162" t="str">
        <f>IFERROR((-Tabela2[[#This Row],[CUSTO TOTAL]]+Tabela2[[#This Row],[VENDA TOTAL]])/Tabela2[[#This Row],[VENDA TOTAL]]-PARAMETROS!$C$19,"")</f>
        <v/>
      </c>
      <c r="AA1697" s="219">
        <f>SUM(Plan_Orc[[#This Row],[01/jan]:[01/dez]])</f>
        <v>0</v>
      </c>
      <c r="AB1697" s="15"/>
      <c r="AC1697" s="15"/>
      <c r="AD1697" s="15"/>
      <c r="AE1697" s="15"/>
      <c r="AF1697" s="15"/>
      <c r="AG1697" s="15"/>
      <c r="AH1697" s="15"/>
      <c r="AI1697" s="15"/>
      <c r="AJ1697" s="15"/>
      <c r="AK1697" s="15"/>
      <c r="AL1697" s="15"/>
      <c r="AM1697" s="15"/>
    </row>
    <row r="1698" spans="2:39" ht="25.2" customHeight="1" x14ac:dyDescent="0.3">
      <c r="B1698" s="13" t="str">
        <f t="shared" si="30"/>
        <v/>
      </c>
      <c r="C1698" s="18"/>
      <c r="D1698" s="19" t="str">
        <f>IF(Tabela2[[#This Row],[AGRUPADOR]]&lt;&gt;"",VLOOKUP(Tabela2[[#This Row],[AGRUPADOR]],Tabela1[],2,0),"")</f>
        <v/>
      </c>
      <c r="E1698" s="19" t="str">
        <f>IF(Tabela2[[#This Row],[AGRUPADOR]]&lt;&gt;"",VLOOKUP(Tabela2[[#This Row],[AGRUPADOR]],Tabela1[],4,0),"")</f>
        <v/>
      </c>
      <c r="F1698" s="14"/>
      <c r="G1698" s="6"/>
      <c r="H1698" s="6"/>
      <c r="I1698" s="25"/>
      <c r="J1698" s="7"/>
      <c r="K1698" s="15"/>
      <c r="L1698" s="379">
        <f>IF(H1698&lt;&gt;"",J1698*K1698,SUMIFS(L1699:L$9844,$F1699:$F$9844,"*"&amp;F1698&amp;"*",$H1699:$H$9844,"&lt;&gt;"))</f>
        <v>0</v>
      </c>
      <c r="M1698" s="379" t="str">
        <f>IF(Tabela2[[#This Row],[UNID.]]&lt;&gt;"",IFERROR(VLOOKUP(Tabela2[[#This Row],[AGRUPADOR]],Lucratividade!$D$4:$O$129,6,0),0),"")</f>
        <v/>
      </c>
      <c r="N1698" s="379">
        <f>IF(H1698&lt;&gt;"",J1698*M1698*I1698,SUMIFS(N1699:N$9844,$F1699:$F$9844,"*"&amp;F1698&amp;"*",$H1699:$H$9844,"&lt;&gt;"))</f>
        <v>0</v>
      </c>
      <c r="O1698" s="162" t="str">
        <f>IFERROR((-Tabela2[[#This Row],[CUSTO TOTAL]]+Tabela2[[#This Row],[VENDA TOTAL]])/Tabela2[[#This Row],[VENDA TOTAL]]-PARAMETROS!$C$19,"")</f>
        <v/>
      </c>
      <c r="AA1698" s="218">
        <f>SUM(Plan_Orc[[#This Row],[01/jan]:[01/dez]])</f>
        <v>0</v>
      </c>
      <c r="AB1698" s="12"/>
      <c r="AC1698" s="12"/>
      <c r="AD1698" s="12"/>
      <c r="AE1698" s="12"/>
      <c r="AF1698" s="12"/>
      <c r="AG1698" s="12"/>
      <c r="AH1698" s="12"/>
      <c r="AI1698" s="12"/>
      <c r="AJ1698" s="12"/>
      <c r="AK1698" s="12"/>
      <c r="AL1698" s="12"/>
      <c r="AM1698" s="12"/>
    </row>
    <row r="1699" spans="2:39" ht="25.2" customHeight="1" x14ac:dyDescent="0.3">
      <c r="B1699" s="13" t="str">
        <f t="shared" si="30"/>
        <v/>
      </c>
      <c r="C1699" s="18"/>
      <c r="D1699" s="19" t="str">
        <f>IF(Tabela2[[#This Row],[AGRUPADOR]]&lt;&gt;"",VLOOKUP(Tabela2[[#This Row],[AGRUPADOR]],Tabela1[],2,0),"")</f>
        <v/>
      </c>
      <c r="E1699" s="19" t="str">
        <f>IF(Tabela2[[#This Row],[AGRUPADOR]]&lt;&gt;"",VLOOKUP(Tabela2[[#This Row],[AGRUPADOR]],Tabela1[],4,0),"")</f>
        <v/>
      </c>
      <c r="F1699" s="14"/>
      <c r="G1699" s="6"/>
      <c r="H1699" s="6"/>
      <c r="I1699" s="25"/>
      <c r="J1699" s="7"/>
      <c r="K1699" s="15"/>
      <c r="L1699" s="379">
        <f>IF(H1699&lt;&gt;"",J1699*K1699,SUMIFS(L1700:L$9844,$F1700:$F$9844,"*"&amp;F1699&amp;"*",$H1700:$H$9844,"&lt;&gt;"))</f>
        <v>0</v>
      </c>
      <c r="M1699" s="379" t="str">
        <f>IF(Tabela2[[#This Row],[UNID.]]&lt;&gt;"",IFERROR(VLOOKUP(Tabela2[[#This Row],[AGRUPADOR]],Lucratividade!$D$4:$O$129,6,0),0),"")</f>
        <v/>
      </c>
      <c r="N1699" s="379">
        <f>IF(H1699&lt;&gt;"",J1699*M1699*I1699,SUMIFS(N1700:N$9844,$F1700:$F$9844,"*"&amp;F1699&amp;"*",$H1700:$H$9844,"&lt;&gt;"))</f>
        <v>0</v>
      </c>
      <c r="O1699" s="162" t="str">
        <f>IFERROR((-Tabela2[[#This Row],[CUSTO TOTAL]]+Tabela2[[#This Row],[VENDA TOTAL]])/Tabela2[[#This Row],[VENDA TOTAL]]-PARAMETROS!$C$19,"")</f>
        <v/>
      </c>
      <c r="AA1699" s="219">
        <f>SUM(Plan_Orc[[#This Row],[01/jan]:[01/dez]])</f>
        <v>0</v>
      </c>
      <c r="AB1699" s="15"/>
      <c r="AC1699" s="15"/>
      <c r="AD1699" s="15"/>
      <c r="AE1699" s="15"/>
      <c r="AF1699" s="15"/>
      <c r="AG1699" s="15"/>
      <c r="AH1699" s="15"/>
      <c r="AI1699" s="15"/>
      <c r="AJ1699" s="15"/>
      <c r="AK1699" s="15"/>
      <c r="AL1699" s="15"/>
      <c r="AM1699" s="15"/>
    </row>
    <row r="1700" spans="2:39" ht="25.2" customHeight="1" x14ac:dyDescent="0.3">
      <c r="B1700" s="13" t="str">
        <f t="shared" si="30"/>
        <v/>
      </c>
      <c r="C1700" s="18"/>
      <c r="D1700" s="19" t="str">
        <f>IF(Tabela2[[#This Row],[AGRUPADOR]]&lt;&gt;"",VLOOKUP(Tabela2[[#This Row],[AGRUPADOR]],Tabela1[],2,0),"")</f>
        <v/>
      </c>
      <c r="E1700" s="19" t="str">
        <f>IF(Tabela2[[#This Row],[AGRUPADOR]]&lt;&gt;"",VLOOKUP(Tabela2[[#This Row],[AGRUPADOR]],Tabela1[],4,0),"")</f>
        <v/>
      </c>
      <c r="F1700" s="14"/>
      <c r="G1700" s="6"/>
      <c r="H1700" s="6"/>
      <c r="I1700" s="25"/>
      <c r="J1700" s="7"/>
      <c r="K1700" s="15"/>
      <c r="L1700" s="379">
        <f>IF(H1700&lt;&gt;"",J1700*K1700,SUMIFS(L1701:L$9844,$F1701:$F$9844,"*"&amp;F1700&amp;"*",$H1701:$H$9844,"&lt;&gt;"))</f>
        <v>0</v>
      </c>
      <c r="M1700" s="379" t="str">
        <f>IF(Tabela2[[#This Row],[UNID.]]&lt;&gt;"",IFERROR(VLOOKUP(Tabela2[[#This Row],[AGRUPADOR]],Lucratividade!$D$4:$O$129,6,0),0),"")</f>
        <v/>
      </c>
      <c r="N1700" s="379">
        <f>IF(H1700&lt;&gt;"",J1700*M1700*I1700,SUMIFS(N1701:N$9844,$F1701:$F$9844,"*"&amp;F1700&amp;"*",$H1701:$H$9844,"&lt;&gt;"))</f>
        <v>0</v>
      </c>
      <c r="O1700" s="162" t="str">
        <f>IFERROR((-Tabela2[[#This Row],[CUSTO TOTAL]]+Tabela2[[#This Row],[VENDA TOTAL]])/Tabela2[[#This Row],[VENDA TOTAL]]-PARAMETROS!$C$19,"")</f>
        <v/>
      </c>
      <c r="AA1700" s="219">
        <f>SUM(Plan_Orc[[#This Row],[01/jan]:[01/dez]])</f>
        <v>0</v>
      </c>
      <c r="AB1700" s="15"/>
      <c r="AC1700" s="15"/>
      <c r="AD1700" s="15"/>
      <c r="AE1700" s="15"/>
      <c r="AF1700" s="15"/>
      <c r="AG1700" s="15"/>
      <c r="AH1700" s="15"/>
      <c r="AI1700" s="15"/>
      <c r="AJ1700" s="15"/>
      <c r="AK1700" s="15"/>
      <c r="AL1700" s="15"/>
      <c r="AM1700" s="15"/>
    </row>
    <row r="1701" spans="2:39" ht="25.2" customHeight="1" x14ac:dyDescent="0.3">
      <c r="B1701" s="13" t="str">
        <f t="shared" si="30"/>
        <v/>
      </c>
      <c r="C1701" s="18"/>
      <c r="D1701" s="19" t="str">
        <f>IF(Tabela2[[#This Row],[AGRUPADOR]]&lt;&gt;"",VLOOKUP(Tabela2[[#This Row],[AGRUPADOR]],Tabela1[],2,0),"")</f>
        <v/>
      </c>
      <c r="E1701" s="19" t="str">
        <f>IF(Tabela2[[#This Row],[AGRUPADOR]]&lt;&gt;"",VLOOKUP(Tabela2[[#This Row],[AGRUPADOR]],Tabela1[],4,0),"")</f>
        <v/>
      </c>
      <c r="F1701" s="14"/>
      <c r="G1701" s="6"/>
      <c r="H1701" s="6"/>
      <c r="I1701" s="25"/>
      <c r="J1701" s="7"/>
      <c r="K1701" s="15"/>
      <c r="L1701" s="379">
        <f>IF(H1701&lt;&gt;"",J1701*K1701,SUMIFS(L1702:L$9844,$F1702:$F$9844,"*"&amp;F1701&amp;"*",$H1702:$H$9844,"&lt;&gt;"))</f>
        <v>0</v>
      </c>
      <c r="M1701" s="379" t="str">
        <f>IF(Tabela2[[#This Row],[UNID.]]&lt;&gt;"",IFERROR(VLOOKUP(Tabela2[[#This Row],[AGRUPADOR]],Lucratividade!$D$4:$O$129,6,0),0),"")</f>
        <v/>
      </c>
      <c r="N1701" s="379">
        <f>IF(H1701&lt;&gt;"",J1701*M1701*I1701,SUMIFS(N1702:N$9844,$F1702:$F$9844,"*"&amp;F1701&amp;"*",$H1702:$H$9844,"&lt;&gt;"))</f>
        <v>0</v>
      </c>
      <c r="O1701" s="162" t="str">
        <f>IFERROR((-Tabela2[[#This Row],[CUSTO TOTAL]]+Tabela2[[#This Row],[VENDA TOTAL]])/Tabela2[[#This Row],[VENDA TOTAL]]-PARAMETROS!$C$19,"")</f>
        <v/>
      </c>
      <c r="AA1701" s="219">
        <f>SUM(Plan_Orc[[#This Row],[01/jan]:[01/dez]])</f>
        <v>0</v>
      </c>
      <c r="AB1701" s="15"/>
      <c r="AC1701" s="15"/>
      <c r="AD1701" s="15"/>
      <c r="AE1701" s="15"/>
      <c r="AF1701" s="15"/>
      <c r="AG1701" s="15"/>
      <c r="AH1701" s="15"/>
      <c r="AI1701" s="15"/>
      <c r="AJ1701" s="15"/>
      <c r="AK1701" s="15"/>
      <c r="AL1701" s="15"/>
      <c r="AM1701" s="15"/>
    </row>
    <row r="1702" spans="2:39" ht="25.2" customHeight="1" x14ac:dyDescent="0.3">
      <c r="B1702" s="13" t="str">
        <f t="shared" si="30"/>
        <v/>
      </c>
      <c r="C1702" s="18"/>
      <c r="D1702" s="19" t="str">
        <f>IF(Tabela2[[#This Row],[AGRUPADOR]]&lt;&gt;"",VLOOKUP(Tabela2[[#This Row],[AGRUPADOR]],Tabela1[],2,0),"")</f>
        <v/>
      </c>
      <c r="E1702" s="19" t="str">
        <f>IF(Tabela2[[#This Row],[AGRUPADOR]]&lt;&gt;"",VLOOKUP(Tabela2[[#This Row],[AGRUPADOR]],Tabela1[],4,0),"")</f>
        <v/>
      </c>
      <c r="F1702" s="14"/>
      <c r="G1702" s="6"/>
      <c r="H1702" s="6"/>
      <c r="I1702" s="25"/>
      <c r="J1702" s="7"/>
      <c r="K1702" s="15"/>
      <c r="L1702" s="379">
        <f>IF(H1702&lt;&gt;"",J1702*K1702,SUMIFS(L1703:L$9844,$F1703:$F$9844,"*"&amp;F1702&amp;"*",$H1703:$H$9844,"&lt;&gt;"))</f>
        <v>0</v>
      </c>
      <c r="M1702" s="379" t="str">
        <f>IF(Tabela2[[#This Row],[UNID.]]&lt;&gt;"",IFERROR(VLOOKUP(Tabela2[[#This Row],[AGRUPADOR]],Lucratividade!$D$4:$O$129,6,0),0),"")</f>
        <v/>
      </c>
      <c r="N1702" s="379">
        <f>IF(H1702&lt;&gt;"",J1702*M1702*I1702,SUMIFS(N1703:N$9844,$F1703:$F$9844,"*"&amp;F1702&amp;"*",$H1703:$H$9844,"&lt;&gt;"))</f>
        <v>0</v>
      </c>
      <c r="O1702" s="162" t="str">
        <f>IFERROR((-Tabela2[[#This Row],[CUSTO TOTAL]]+Tabela2[[#This Row],[VENDA TOTAL]])/Tabela2[[#This Row],[VENDA TOTAL]]-PARAMETROS!$C$19,"")</f>
        <v/>
      </c>
      <c r="AA1702" s="219">
        <f>SUM(Plan_Orc[[#This Row],[01/jan]:[01/dez]])</f>
        <v>0</v>
      </c>
      <c r="AB1702" s="15"/>
      <c r="AC1702" s="15"/>
      <c r="AD1702" s="15"/>
      <c r="AE1702" s="15"/>
      <c r="AF1702" s="15"/>
      <c r="AG1702" s="15"/>
      <c r="AH1702" s="15"/>
      <c r="AI1702" s="15"/>
      <c r="AJ1702" s="15"/>
      <c r="AK1702" s="15"/>
      <c r="AL1702" s="15"/>
      <c r="AM1702" s="15"/>
    </row>
    <row r="1703" spans="2:39" ht="25.2" customHeight="1" x14ac:dyDescent="0.3">
      <c r="B1703" s="13" t="str">
        <f t="shared" si="30"/>
        <v/>
      </c>
      <c r="C1703" s="18"/>
      <c r="D1703" s="19" t="str">
        <f>IF(Tabela2[[#This Row],[AGRUPADOR]]&lt;&gt;"",VLOOKUP(Tabela2[[#This Row],[AGRUPADOR]],Tabela1[],2,0),"")</f>
        <v/>
      </c>
      <c r="E1703" s="19" t="str">
        <f>IF(Tabela2[[#This Row],[AGRUPADOR]]&lt;&gt;"",VLOOKUP(Tabela2[[#This Row],[AGRUPADOR]],Tabela1[],4,0),"")</f>
        <v/>
      </c>
      <c r="F1703" s="14"/>
      <c r="G1703" s="6"/>
      <c r="H1703" s="6"/>
      <c r="I1703" s="25"/>
      <c r="J1703" s="7"/>
      <c r="K1703" s="15"/>
      <c r="L1703" s="379">
        <f>IF(H1703&lt;&gt;"",J1703*K1703,SUMIFS(L1704:L$9844,$F1704:$F$9844,"*"&amp;F1703&amp;"*",$H1704:$H$9844,"&lt;&gt;"))</f>
        <v>0</v>
      </c>
      <c r="M1703" s="379" t="str">
        <f>IF(Tabela2[[#This Row],[UNID.]]&lt;&gt;"",IFERROR(VLOOKUP(Tabela2[[#This Row],[AGRUPADOR]],Lucratividade!$D$4:$O$129,6,0),0),"")</f>
        <v/>
      </c>
      <c r="N1703" s="379">
        <f>IF(H1703&lt;&gt;"",J1703*M1703*I1703,SUMIFS(N1704:N$9844,$F1704:$F$9844,"*"&amp;F1703&amp;"*",$H1704:$H$9844,"&lt;&gt;"))</f>
        <v>0</v>
      </c>
      <c r="O1703" s="162" t="str">
        <f>IFERROR((-Tabela2[[#This Row],[CUSTO TOTAL]]+Tabela2[[#This Row],[VENDA TOTAL]])/Tabela2[[#This Row],[VENDA TOTAL]]-PARAMETROS!$C$19,"")</f>
        <v/>
      </c>
      <c r="AA1703" s="219">
        <f>SUM(Plan_Orc[[#This Row],[01/jan]:[01/dez]])</f>
        <v>0</v>
      </c>
      <c r="AB1703" s="15"/>
      <c r="AC1703" s="15"/>
      <c r="AD1703" s="15"/>
      <c r="AE1703" s="15"/>
      <c r="AF1703" s="15"/>
      <c r="AG1703" s="15"/>
      <c r="AH1703" s="15"/>
      <c r="AI1703" s="15"/>
      <c r="AJ1703" s="15"/>
      <c r="AK1703" s="15"/>
      <c r="AL1703" s="15"/>
      <c r="AM1703" s="15"/>
    </row>
    <row r="1704" spans="2:39" ht="25.2" customHeight="1" x14ac:dyDescent="0.3">
      <c r="B1704" s="13" t="str">
        <f t="shared" si="30"/>
        <v/>
      </c>
      <c r="C1704" s="18"/>
      <c r="D1704" s="19" t="str">
        <f>IF(Tabela2[[#This Row],[AGRUPADOR]]&lt;&gt;"",VLOOKUP(Tabela2[[#This Row],[AGRUPADOR]],Tabela1[],2,0),"")</f>
        <v/>
      </c>
      <c r="E1704" s="19" t="str">
        <f>IF(Tabela2[[#This Row],[AGRUPADOR]]&lt;&gt;"",VLOOKUP(Tabela2[[#This Row],[AGRUPADOR]],Tabela1[],4,0),"")</f>
        <v/>
      </c>
      <c r="F1704" s="14"/>
      <c r="G1704" s="6"/>
      <c r="H1704" s="6"/>
      <c r="I1704" s="25"/>
      <c r="J1704" s="7"/>
      <c r="K1704" s="15"/>
      <c r="L1704" s="379">
        <f>IF(H1704&lt;&gt;"",J1704*K1704,SUMIFS(L1705:L$9844,$F1705:$F$9844,"*"&amp;F1704&amp;"*",$H1705:$H$9844,"&lt;&gt;"))</f>
        <v>0</v>
      </c>
      <c r="M1704" s="379" t="str">
        <f>IF(Tabela2[[#This Row],[UNID.]]&lt;&gt;"",IFERROR(VLOOKUP(Tabela2[[#This Row],[AGRUPADOR]],Lucratividade!$D$4:$O$129,6,0),0),"")</f>
        <v/>
      </c>
      <c r="N1704" s="379">
        <f>IF(H1704&lt;&gt;"",J1704*M1704*I1704,SUMIFS(N1705:N$9844,$F1705:$F$9844,"*"&amp;F1704&amp;"*",$H1705:$H$9844,"&lt;&gt;"))</f>
        <v>0</v>
      </c>
      <c r="O1704" s="162" t="str">
        <f>IFERROR((-Tabela2[[#This Row],[CUSTO TOTAL]]+Tabela2[[#This Row],[VENDA TOTAL]])/Tabela2[[#This Row],[VENDA TOTAL]]-PARAMETROS!$C$19,"")</f>
        <v/>
      </c>
      <c r="AA1704" s="219">
        <f>SUM(Plan_Orc[[#This Row],[01/jan]:[01/dez]])</f>
        <v>0</v>
      </c>
      <c r="AB1704" s="15"/>
      <c r="AC1704" s="15"/>
      <c r="AD1704" s="15"/>
      <c r="AE1704" s="15"/>
      <c r="AF1704" s="15"/>
      <c r="AG1704" s="15"/>
      <c r="AH1704" s="15"/>
      <c r="AI1704" s="15"/>
      <c r="AJ1704" s="15"/>
      <c r="AK1704" s="15"/>
      <c r="AL1704" s="15"/>
      <c r="AM1704" s="15"/>
    </row>
    <row r="1705" spans="2:39" ht="25.2" customHeight="1" x14ac:dyDescent="0.3">
      <c r="B1705" s="13" t="str">
        <f t="shared" si="30"/>
        <v/>
      </c>
      <c r="C1705" s="18"/>
      <c r="D1705" s="19" t="str">
        <f>IF(Tabela2[[#This Row],[AGRUPADOR]]&lt;&gt;"",VLOOKUP(Tabela2[[#This Row],[AGRUPADOR]],Tabela1[],2,0),"")</f>
        <v/>
      </c>
      <c r="E1705" s="19" t="str">
        <f>IF(Tabela2[[#This Row],[AGRUPADOR]]&lt;&gt;"",VLOOKUP(Tabela2[[#This Row],[AGRUPADOR]],Tabela1[],4,0),"")</f>
        <v/>
      </c>
      <c r="F1705" s="14"/>
      <c r="G1705" s="6"/>
      <c r="H1705" s="6"/>
      <c r="I1705" s="25"/>
      <c r="J1705" s="7"/>
      <c r="K1705" s="15"/>
      <c r="L1705" s="379">
        <f>IF(H1705&lt;&gt;"",J1705*K1705,SUMIFS(L1706:L$9844,$F1706:$F$9844,"*"&amp;F1705&amp;"*",$H1706:$H$9844,"&lt;&gt;"))</f>
        <v>0</v>
      </c>
      <c r="M1705" s="379" t="str">
        <f>IF(Tabela2[[#This Row],[UNID.]]&lt;&gt;"",IFERROR(VLOOKUP(Tabela2[[#This Row],[AGRUPADOR]],Lucratividade!$D$4:$O$129,6,0),0),"")</f>
        <v/>
      </c>
      <c r="N1705" s="379">
        <f>IF(H1705&lt;&gt;"",J1705*M1705*I1705,SUMIFS(N1706:N$9844,$F1706:$F$9844,"*"&amp;F1705&amp;"*",$H1706:$H$9844,"&lt;&gt;"))</f>
        <v>0</v>
      </c>
      <c r="O1705" s="162" t="str">
        <f>IFERROR((-Tabela2[[#This Row],[CUSTO TOTAL]]+Tabela2[[#This Row],[VENDA TOTAL]])/Tabela2[[#This Row],[VENDA TOTAL]]-PARAMETROS!$C$19,"")</f>
        <v/>
      </c>
      <c r="AA1705" s="219">
        <f>SUM(Plan_Orc[[#This Row],[01/jan]:[01/dez]])</f>
        <v>0</v>
      </c>
      <c r="AB1705" s="15"/>
      <c r="AC1705" s="15"/>
      <c r="AD1705" s="15"/>
      <c r="AE1705" s="15"/>
      <c r="AF1705" s="15"/>
      <c r="AG1705" s="15"/>
      <c r="AH1705" s="15"/>
      <c r="AI1705" s="15"/>
      <c r="AJ1705" s="15"/>
      <c r="AK1705" s="15"/>
      <c r="AL1705" s="15"/>
      <c r="AM1705" s="15"/>
    </row>
    <row r="1706" spans="2:39" ht="25.2" customHeight="1" x14ac:dyDescent="0.3">
      <c r="B1706" s="13" t="str">
        <f t="shared" si="30"/>
        <v/>
      </c>
      <c r="C1706" s="18"/>
      <c r="D1706" s="19" t="str">
        <f>IF(Tabela2[[#This Row],[AGRUPADOR]]&lt;&gt;"",VLOOKUP(Tabela2[[#This Row],[AGRUPADOR]],Tabela1[],2,0),"")</f>
        <v/>
      </c>
      <c r="E1706" s="19" t="str">
        <f>IF(Tabela2[[#This Row],[AGRUPADOR]]&lt;&gt;"",VLOOKUP(Tabela2[[#This Row],[AGRUPADOR]],Tabela1[],4,0),"")</f>
        <v/>
      </c>
      <c r="F1706" s="14"/>
      <c r="G1706" s="6"/>
      <c r="H1706" s="6"/>
      <c r="I1706" s="25"/>
      <c r="J1706" s="7"/>
      <c r="K1706" s="15"/>
      <c r="L1706" s="379">
        <f>IF(H1706&lt;&gt;"",J1706*K1706,SUMIFS(L1707:L$9844,$F1707:$F$9844,"*"&amp;F1706&amp;"*",$H1707:$H$9844,"&lt;&gt;"))</f>
        <v>0</v>
      </c>
      <c r="M1706" s="379" t="str">
        <f>IF(Tabela2[[#This Row],[UNID.]]&lt;&gt;"",IFERROR(VLOOKUP(Tabela2[[#This Row],[AGRUPADOR]],Lucratividade!$D$4:$O$129,6,0),0),"")</f>
        <v/>
      </c>
      <c r="N1706" s="379">
        <f>IF(H1706&lt;&gt;"",J1706*M1706*I1706,SUMIFS(N1707:N$9844,$F1707:$F$9844,"*"&amp;F1706&amp;"*",$H1707:$H$9844,"&lt;&gt;"))</f>
        <v>0</v>
      </c>
      <c r="O1706" s="162" t="str">
        <f>IFERROR((-Tabela2[[#This Row],[CUSTO TOTAL]]+Tabela2[[#This Row],[VENDA TOTAL]])/Tabela2[[#This Row],[VENDA TOTAL]]-PARAMETROS!$C$19,"")</f>
        <v/>
      </c>
      <c r="AA1706" s="219">
        <f>SUM(Plan_Orc[[#This Row],[01/jan]:[01/dez]])</f>
        <v>0</v>
      </c>
      <c r="AB1706" s="15"/>
      <c r="AC1706" s="15"/>
      <c r="AD1706" s="15"/>
      <c r="AE1706" s="15"/>
      <c r="AF1706" s="15"/>
      <c r="AG1706" s="15"/>
      <c r="AH1706" s="15"/>
      <c r="AI1706" s="15"/>
      <c r="AJ1706" s="15"/>
      <c r="AK1706" s="15"/>
      <c r="AL1706" s="15"/>
      <c r="AM1706" s="15"/>
    </row>
    <row r="1707" spans="2:39" ht="25.2" customHeight="1" x14ac:dyDescent="0.3">
      <c r="B1707" s="13" t="str">
        <f t="shared" si="30"/>
        <v/>
      </c>
      <c r="C1707" s="18"/>
      <c r="D1707" s="19" t="str">
        <f>IF(Tabela2[[#This Row],[AGRUPADOR]]&lt;&gt;"",VLOOKUP(Tabela2[[#This Row],[AGRUPADOR]],Tabela1[],2,0),"")</f>
        <v/>
      </c>
      <c r="E1707" s="19" t="str">
        <f>IF(Tabela2[[#This Row],[AGRUPADOR]]&lt;&gt;"",VLOOKUP(Tabela2[[#This Row],[AGRUPADOR]],Tabela1[],4,0),"")</f>
        <v/>
      </c>
      <c r="F1707" s="14"/>
      <c r="G1707" s="6"/>
      <c r="H1707" s="6"/>
      <c r="I1707" s="25"/>
      <c r="J1707" s="7"/>
      <c r="K1707" s="15"/>
      <c r="L1707" s="379">
        <f>IF(H1707&lt;&gt;"",J1707*K1707,SUMIFS(L1708:L$9844,$F1708:$F$9844,"*"&amp;F1707&amp;"*",$H1708:$H$9844,"&lt;&gt;"))</f>
        <v>0</v>
      </c>
      <c r="M1707" s="379" t="str">
        <f>IF(Tabela2[[#This Row],[UNID.]]&lt;&gt;"",IFERROR(VLOOKUP(Tabela2[[#This Row],[AGRUPADOR]],Lucratividade!$D$4:$O$129,6,0),0),"")</f>
        <v/>
      </c>
      <c r="N1707" s="379">
        <f>IF(H1707&lt;&gt;"",J1707*M1707*I1707,SUMIFS(N1708:N$9844,$F1708:$F$9844,"*"&amp;F1707&amp;"*",$H1708:$H$9844,"&lt;&gt;"))</f>
        <v>0</v>
      </c>
      <c r="O1707" s="162" t="str">
        <f>IFERROR((-Tabela2[[#This Row],[CUSTO TOTAL]]+Tabela2[[#This Row],[VENDA TOTAL]])/Tabela2[[#This Row],[VENDA TOTAL]]-PARAMETROS!$C$19,"")</f>
        <v/>
      </c>
      <c r="AA1707" s="219">
        <f>SUM(Plan_Orc[[#This Row],[01/jan]:[01/dez]])</f>
        <v>0</v>
      </c>
      <c r="AB1707" s="15"/>
      <c r="AC1707" s="15"/>
      <c r="AD1707" s="15"/>
      <c r="AE1707" s="15"/>
      <c r="AF1707" s="15"/>
      <c r="AG1707" s="15"/>
      <c r="AH1707" s="15"/>
      <c r="AI1707" s="15"/>
      <c r="AJ1707" s="15"/>
      <c r="AK1707" s="15"/>
      <c r="AL1707" s="15"/>
      <c r="AM1707" s="15"/>
    </row>
    <row r="1708" spans="2:39" ht="25.2" customHeight="1" x14ac:dyDescent="0.3">
      <c r="B1708" s="13" t="str">
        <f t="shared" si="30"/>
        <v/>
      </c>
      <c r="C1708" s="18"/>
      <c r="D1708" s="19" t="str">
        <f>IF(Tabela2[[#This Row],[AGRUPADOR]]&lt;&gt;"",VLOOKUP(Tabela2[[#This Row],[AGRUPADOR]],Tabela1[],2,0),"")</f>
        <v/>
      </c>
      <c r="E1708" s="19" t="str">
        <f>IF(Tabela2[[#This Row],[AGRUPADOR]]&lt;&gt;"",VLOOKUP(Tabela2[[#This Row],[AGRUPADOR]],Tabela1[],4,0),"")</f>
        <v/>
      </c>
      <c r="F1708" s="14"/>
      <c r="G1708" s="6"/>
      <c r="H1708" s="6"/>
      <c r="I1708" s="25"/>
      <c r="J1708" s="7"/>
      <c r="K1708" s="15"/>
      <c r="L1708" s="379">
        <f>IF(H1708&lt;&gt;"",J1708*K1708,SUMIFS(L1709:L$9844,$F1709:$F$9844,"*"&amp;F1708&amp;"*",$H1709:$H$9844,"&lt;&gt;"))</f>
        <v>0</v>
      </c>
      <c r="M1708" s="379" t="str">
        <f>IF(Tabela2[[#This Row],[UNID.]]&lt;&gt;"",IFERROR(VLOOKUP(Tabela2[[#This Row],[AGRUPADOR]],Lucratividade!$D$4:$O$129,6,0),0),"")</f>
        <v/>
      </c>
      <c r="N1708" s="379">
        <f>IF(H1708&lt;&gt;"",J1708*M1708*I1708,SUMIFS(N1709:N$9844,$F1709:$F$9844,"*"&amp;F1708&amp;"*",$H1709:$H$9844,"&lt;&gt;"))</f>
        <v>0</v>
      </c>
      <c r="O1708" s="162" t="str">
        <f>IFERROR((-Tabela2[[#This Row],[CUSTO TOTAL]]+Tabela2[[#This Row],[VENDA TOTAL]])/Tabela2[[#This Row],[VENDA TOTAL]]-PARAMETROS!$C$19,"")</f>
        <v/>
      </c>
      <c r="AA1708" s="219">
        <f>SUM(Plan_Orc[[#This Row],[01/jan]:[01/dez]])</f>
        <v>0</v>
      </c>
      <c r="AB1708" s="15"/>
      <c r="AC1708" s="15"/>
      <c r="AD1708" s="15"/>
      <c r="AE1708" s="15"/>
      <c r="AF1708" s="15"/>
      <c r="AG1708" s="15"/>
      <c r="AH1708" s="15"/>
      <c r="AI1708" s="15"/>
      <c r="AJ1708" s="15"/>
      <c r="AK1708" s="15"/>
      <c r="AL1708" s="15"/>
      <c r="AM1708" s="15"/>
    </row>
    <row r="1709" spans="2:39" ht="25.2" customHeight="1" x14ac:dyDescent="0.3">
      <c r="B1709" s="13" t="str">
        <f t="shared" si="30"/>
        <v/>
      </c>
      <c r="C1709" s="18"/>
      <c r="D1709" s="19" t="str">
        <f>IF(Tabela2[[#This Row],[AGRUPADOR]]&lt;&gt;"",VLOOKUP(Tabela2[[#This Row],[AGRUPADOR]],Tabela1[],2,0),"")</f>
        <v/>
      </c>
      <c r="E1709" s="19" t="str">
        <f>IF(Tabela2[[#This Row],[AGRUPADOR]]&lt;&gt;"",VLOOKUP(Tabela2[[#This Row],[AGRUPADOR]],Tabela1[],4,0),"")</f>
        <v/>
      </c>
      <c r="F1709" s="14"/>
      <c r="G1709" s="6"/>
      <c r="H1709" s="6"/>
      <c r="I1709" s="25"/>
      <c r="J1709" s="7"/>
      <c r="K1709" s="15"/>
      <c r="L1709" s="379">
        <f>IF(H1709&lt;&gt;"",J1709*K1709,SUMIFS(L1710:L$9844,$F1710:$F$9844,"*"&amp;F1709&amp;"*",$H1710:$H$9844,"&lt;&gt;"))</f>
        <v>0</v>
      </c>
      <c r="M1709" s="379" t="str">
        <f>IF(Tabela2[[#This Row],[UNID.]]&lt;&gt;"",IFERROR(VLOOKUP(Tabela2[[#This Row],[AGRUPADOR]],Lucratividade!$D$4:$O$129,6,0),0),"")</f>
        <v/>
      </c>
      <c r="N1709" s="379">
        <f>IF(H1709&lt;&gt;"",J1709*M1709*I1709,SUMIFS(N1710:N$9844,$F1710:$F$9844,"*"&amp;F1709&amp;"*",$H1710:$H$9844,"&lt;&gt;"))</f>
        <v>0</v>
      </c>
      <c r="O1709" s="162" t="str">
        <f>IFERROR((-Tabela2[[#This Row],[CUSTO TOTAL]]+Tabela2[[#This Row],[VENDA TOTAL]])/Tabela2[[#This Row],[VENDA TOTAL]]-PARAMETROS!$C$19,"")</f>
        <v/>
      </c>
      <c r="AA1709" s="219">
        <f>SUM(Plan_Orc[[#This Row],[01/jan]:[01/dez]])</f>
        <v>0</v>
      </c>
      <c r="AB1709" s="15"/>
      <c r="AC1709" s="15"/>
      <c r="AD1709" s="15"/>
      <c r="AE1709" s="15"/>
      <c r="AF1709" s="15"/>
      <c r="AG1709" s="15"/>
      <c r="AH1709" s="15"/>
      <c r="AI1709" s="15"/>
      <c r="AJ1709" s="15"/>
      <c r="AK1709" s="15"/>
      <c r="AL1709" s="15"/>
      <c r="AM1709" s="15"/>
    </row>
    <row r="1710" spans="2:39" ht="25.2" customHeight="1" x14ac:dyDescent="0.3">
      <c r="B1710" s="13" t="str">
        <f t="shared" si="30"/>
        <v/>
      </c>
      <c r="C1710" s="18"/>
      <c r="D1710" s="19" t="str">
        <f>IF(Tabela2[[#This Row],[AGRUPADOR]]&lt;&gt;"",VLOOKUP(Tabela2[[#This Row],[AGRUPADOR]],Tabela1[],2,0),"")</f>
        <v/>
      </c>
      <c r="E1710" s="19" t="str">
        <f>IF(Tabela2[[#This Row],[AGRUPADOR]]&lt;&gt;"",VLOOKUP(Tabela2[[#This Row],[AGRUPADOR]],Tabela1[],4,0),"")</f>
        <v/>
      </c>
      <c r="F1710" s="14"/>
      <c r="G1710" s="6"/>
      <c r="H1710" s="6"/>
      <c r="I1710" s="25"/>
      <c r="J1710" s="7"/>
      <c r="K1710" s="15"/>
      <c r="L1710" s="379">
        <f>IF(H1710&lt;&gt;"",J1710*K1710,SUMIFS(L1711:L$9844,$F1711:$F$9844,"*"&amp;F1710&amp;"*",$H1711:$H$9844,"&lt;&gt;"))</f>
        <v>0</v>
      </c>
      <c r="M1710" s="379" t="str">
        <f>IF(Tabela2[[#This Row],[UNID.]]&lt;&gt;"",IFERROR(VLOOKUP(Tabela2[[#This Row],[AGRUPADOR]],Lucratividade!$D$4:$O$129,6,0),0),"")</f>
        <v/>
      </c>
      <c r="N1710" s="379">
        <f>IF(H1710&lt;&gt;"",J1710*M1710*I1710,SUMIFS(N1711:N$9844,$F1711:$F$9844,"*"&amp;F1710&amp;"*",$H1711:$H$9844,"&lt;&gt;"))</f>
        <v>0</v>
      </c>
      <c r="O1710" s="162" t="str">
        <f>IFERROR((-Tabela2[[#This Row],[CUSTO TOTAL]]+Tabela2[[#This Row],[VENDA TOTAL]])/Tabela2[[#This Row],[VENDA TOTAL]]-PARAMETROS!$C$19,"")</f>
        <v/>
      </c>
      <c r="AA1710" s="219">
        <f>SUM(Plan_Orc[[#This Row],[01/jan]:[01/dez]])</f>
        <v>0</v>
      </c>
      <c r="AB1710" s="15"/>
      <c r="AC1710" s="15"/>
      <c r="AD1710" s="15"/>
      <c r="AE1710" s="15"/>
      <c r="AF1710" s="15"/>
      <c r="AG1710" s="15"/>
      <c r="AH1710" s="15"/>
      <c r="AI1710" s="15"/>
      <c r="AJ1710" s="15"/>
      <c r="AK1710" s="15"/>
      <c r="AL1710" s="15"/>
      <c r="AM1710" s="15"/>
    </row>
    <row r="1711" spans="2:39" ht="25.2" customHeight="1" x14ac:dyDescent="0.3">
      <c r="B1711" s="13" t="str">
        <f t="shared" si="30"/>
        <v/>
      </c>
      <c r="C1711" s="18"/>
      <c r="D1711" s="19" t="str">
        <f>IF(Tabela2[[#This Row],[AGRUPADOR]]&lt;&gt;"",VLOOKUP(Tabela2[[#This Row],[AGRUPADOR]],Tabela1[],2,0),"")</f>
        <v/>
      </c>
      <c r="E1711" s="19" t="str">
        <f>IF(Tabela2[[#This Row],[AGRUPADOR]]&lt;&gt;"",VLOOKUP(Tabela2[[#This Row],[AGRUPADOR]],Tabela1[],4,0),"")</f>
        <v/>
      </c>
      <c r="F1711" s="14"/>
      <c r="G1711" s="6"/>
      <c r="H1711" s="6"/>
      <c r="I1711" s="25"/>
      <c r="J1711" s="7"/>
      <c r="K1711" s="15"/>
      <c r="L1711" s="379">
        <f>IF(H1711&lt;&gt;"",J1711*K1711,SUMIFS(L1712:L$9844,$F1712:$F$9844,"*"&amp;F1711&amp;"*",$H1712:$H$9844,"&lt;&gt;"))</f>
        <v>0</v>
      </c>
      <c r="M1711" s="379" t="str">
        <f>IF(Tabela2[[#This Row],[UNID.]]&lt;&gt;"",IFERROR(VLOOKUP(Tabela2[[#This Row],[AGRUPADOR]],Lucratividade!$D$4:$O$129,6,0),0),"")</f>
        <v/>
      </c>
      <c r="N1711" s="379">
        <f>IF(H1711&lt;&gt;"",J1711*M1711*I1711,SUMIFS(N1712:N$9844,$F1712:$F$9844,"*"&amp;F1711&amp;"*",$H1712:$H$9844,"&lt;&gt;"))</f>
        <v>0</v>
      </c>
      <c r="O1711" s="162" t="str">
        <f>IFERROR((-Tabela2[[#This Row],[CUSTO TOTAL]]+Tabela2[[#This Row],[VENDA TOTAL]])/Tabela2[[#This Row],[VENDA TOTAL]]-PARAMETROS!$C$19,"")</f>
        <v/>
      </c>
      <c r="AA1711" s="219">
        <f>SUM(Plan_Orc[[#This Row],[01/jan]:[01/dez]])</f>
        <v>0</v>
      </c>
      <c r="AB1711" s="15"/>
      <c r="AC1711" s="15"/>
      <c r="AD1711" s="15"/>
      <c r="AE1711" s="15"/>
      <c r="AF1711" s="15"/>
      <c r="AG1711" s="15"/>
      <c r="AH1711" s="15"/>
      <c r="AI1711" s="15"/>
      <c r="AJ1711" s="15"/>
      <c r="AK1711" s="15"/>
      <c r="AL1711" s="15"/>
      <c r="AM1711" s="15"/>
    </row>
    <row r="1712" spans="2:39" ht="25.2" customHeight="1" x14ac:dyDescent="0.3">
      <c r="B1712" s="13" t="str">
        <f t="shared" si="30"/>
        <v/>
      </c>
      <c r="C1712" s="18"/>
      <c r="D1712" s="19" t="str">
        <f>IF(Tabela2[[#This Row],[AGRUPADOR]]&lt;&gt;"",VLOOKUP(Tabela2[[#This Row],[AGRUPADOR]],Tabela1[],2,0),"")</f>
        <v/>
      </c>
      <c r="E1712" s="19" t="str">
        <f>IF(Tabela2[[#This Row],[AGRUPADOR]]&lt;&gt;"",VLOOKUP(Tabela2[[#This Row],[AGRUPADOR]],Tabela1[],4,0),"")</f>
        <v/>
      </c>
      <c r="F1712" s="14"/>
      <c r="G1712" s="6"/>
      <c r="H1712" s="6"/>
      <c r="I1712" s="25"/>
      <c r="J1712" s="7"/>
      <c r="K1712" s="15"/>
      <c r="L1712" s="379">
        <f>IF(H1712&lt;&gt;"",J1712*K1712,SUMIFS(L1713:L$9844,$F1713:$F$9844,"*"&amp;F1712&amp;"*",$H1713:$H$9844,"&lt;&gt;"))</f>
        <v>0</v>
      </c>
      <c r="M1712" s="379" t="str">
        <f>IF(Tabela2[[#This Row],[UNID.]]&lt;&gt;"",IFERROR(VLOOKUP(Tabela2[[#This Row],[AGRUPADOR]],Lucratividade!$D$4:$O$129,6,0),0),"")</f>
        <v/>
      </c>
      <c r="N1712" s="379">
        <f>IF(H1712&lt;&gt;"",J1712*M1712*I1712,SUMIFS(N1713:N$9844,$F1713:$F$9844,"*"&amp;F1712&amp;"*",$H1713:$H$9844,"&lt;&gt;"))</f>
        <v>0</v>
      </c>
      <c r="O1712" s="162" t="str">
        <f>IFERROR((-Tabela2[[#This Row],[CUSTO TOTAL]]+Tabela2[[#This Row],[VENDA TOTAL]])/Tabela2[[#This Row],[VENDA TOTAL]]-PARAMETROS!$C$19,"")</f>
        <v/>
      </c>
      <c r="AA1712" s="219">
        <f>SUM(Plan_Orc[[#This Row],[01/jan]:[01/dez]])</f>
        <v>0</v>
      </c>
      <c r="AB1712" s="15"/>
      <c r="AC1712" s="15"/>
      <c r="AD1712" s="15"/>
      <c r="AE1712" s="15"/>
      <c r="AF1712" s="15"/>
      <c r="AG1712" s="15"/>
      <c r="AH1712" s="15"/>
      <c r="AI1712" s="15"/>
      <c r="AJ1712" s="15"/>
      <c r="AK1712" s="15"/>
      <c r="AL1712" s="15"/>
      <c r="AM1712" s="15"/>
    </row>
    <row r="1713" spans="2:39" ht="25.2" customHeight="1" x14ac:dyDescent="0.3">
      <c r="B1713" s="13" t="str">
        <f t="shared" si="30"/>
        <v/>
      </c>
      <c r="C1713" s="18"/>
      <c r="D1713" s="19" t="str">
        <f>IF(Tabela2[[#This Row],[AGRUPADOR]]&lt;&gt;"",VLOOKUP(Tabela2[[#This Row],[AGRUPADOR]],Tabela1[],2,0),"")</f>
        <v/>
      </c>
      <c r="E1713" s="19" t="str">
        <f>IF(Tabela2[[#This Row],[AGRUPADOR]]&lt;&gt;"",VLOOKUP(Tabela2[[#This Row],[AGRUPADOR]],Tabela1[],4,0),"")</f>
        <v/>
      </c>
      <c r="F1713" s="14"/>
      <c r="G1713" s="6"/>
      <c r="H1713" s="6"/>
      <c r="I1713" s="25"/>
      <c r="J1713" s="7"/>
      <c r="K1713" s="15"/>
      <c r="L1713" s="379">
        <f>IF(H1713&lt;&gt;"",J1713*K1713,SUMIFS(L1714:L$9844,$F1714:$F$9844,"*"&amp;F1713&amp;"*",$H1714:$H$9844,"&lt;&gt;"))</f>
        <v>0</v>
      </c>
      <c r="M1713" s="379" t="str">
        <f>IF(Tabela2[[#This Row],[UNID.]]&lt;&gt;"",IFERROR(VLOOKUP(Tabela2[[#This Row],[AGRUPADOR]],Lucratividade!$D$4:$O$129,6,0),0),"")</f>
        <v/>
      </c>
      <c r="N1713" s="379">
        <f>IF(H1713&lt;&gt;"",J1713*M1713*I1713,SUMIFS(N1714:N$9844,$F1714:$F$9844,"*"&amp;F1713&amp;"*",$H1714:$H$9844,"&lt;&gt;"))</f>
        <v>0</v>
      </c>
      <c r="O1713" s="162" t="str">
        <f>IFERROR((-Tabela2[[#This Row],[CUSTO TOTAL]]+Tabela2[[#This Row],[VENDA TOTAL]])/Tabela2[[#This Row],[VENDA TOTAL]]-PARAMETROS!$C$19,"")</f>
        <v/>
      </c>
      <c r="AA1713" s="219">
        <f>SUM(Plan_Orc[[#This Row],[01/jan]:[01/dez]])</f>
        <v>0</v>
      </c>
      <c r="AB1713" s="15"/>
      <c r="AC1713" s="15"/>
      <c r="AD1713" s="15"/>
      <c r="AE1713" s="15"/>
      <c r="AF1713" s="15"/>
      <c r="AG1713" s="15"/>
      <c r="AH1713" s="15"/>
      <c r="AI1713" s="15"/>
      <c r="AJ1713" s="15"/>
      <c r="AK1713" s="15"/>
      <c r="AL1713" s="15"/>
      <c r="AM1713" s="15"/>
    </row>
    <row r="1714" spans="2:39" ht="25.2" customHeight="1" x14ac:dyDescent="0.3">
      <c r="B1714" s="13" t="str">
        <f t="shared" si="30"/>
        <v/>
      </c>
      <c r="C1714" s="18"/>
      <c r="D1714" s="19" t="str">
        <f>IF(Tabela2[[#This Row],[AGRUPADOR]]&lt;&gt;"",VLOOKUP(Tabela2[[#This Row],[AGRUPADOR]],Tabela1[],2,0),"")</f>
        <v/>
      </c>
      <c r="E1714" s="19" t="str">
        <f>IF(Tabela2[[#This Row],[AGRUPADOR]]&lt;&gt;"",VLOOKUP(Tabela2[[#This Row],[AGRUPADOR]],Tabela1[],4,0),"")</f>
        <v/>
      </c>
      <c r="F1714" s="14"/>
      <c r="G1714" s="6"/>
      <c r="H1714" s="6"/>
      <c r="I1714" s="25"/>
      <c r="J1714" s="7"/>
      <c r="K1714" s="15"/>
      <c r="L1714" s="379">
        <f>IF(H1714&lt;&gt;"",J1714*K1714,SUMIFS(L1715:L$9844,$F1715:$F$9844,"*"&amp;F1714&amp;"*",$H1715:$H$9844,"&lt;&gt;"))</f>
        <v>0</v>
      </c>
      <c r="M1714" s="379" t="str">
        <f>IF(Tabela2[[#This Row],[UNID.]]&lt;&gt;"",IFERROR(VLOOKUP(Tabela2[[#This Row],[AGRUPADOR]],Lucratividade!$D$4:$O$129,6,0),0),"")</f>
        <v/>
      </c>
      <c r="N1714" s="379">
        <f>IF(H1714&lt;&gt;"",J1714*M1714*I1714,SUMIFS(N1715:N$9844,$F1715:$F$9844,"*"&amp;F1714&amp;"*",$H1715:$H$9844,"&lt;&gt;"))</f>
        <v>0</v>
      </c>
      <c r="O1714" s="162" t="str">
        <f>IFERROR((-Tabela2[[#This Row],[CUSTO TOTAL]]+Tabela2[[#This Row],[VENDA TOTAL]])/Tabela2[[#This Row],[VENDA TOTAL]]-PARAMETROS!$C$19,"")</f>
        <v/>
      </c>
      <c r="AA1714" s="219">
        <f>SUM(Plan_Orc[[#This Row],[01/jan]:[01/dez]])</f>
        <v>0</v>
      </c>
      <c r="AB1714" s="15"/>
      <c r="AC1714" s="15"/>
      <c r="AD1714" s="15"/>
      <c r="AE1714" s="15"/>
      <c r="AF1714" s="15"/>
      <c r="AG1714" s="15"/>
      <c r="AH1714" s="15"/>
      <c r="AI1714" s="15"/>
      <c r="AJ1714" s="15"/>
      <c r="AK1714" s="15"/>
      <c r="AL1714" s="15"/>
      <c r="AM1714" s="15"/>
    </row>
    <row r="1715" spans="2:39" ht="25.2" customHeight="1" x14ac:dyDescent="0.3">
      <c r="B1715" s="13" t="str">
        <f t="shared" si="30"/>
        <v/>
      </c>
      <c r="C1715" s="18"/>
      <c r="D1715" s="19" t="str">
        <f>IF(Tabela2[[#This Row],[AGRUPADOR]]&lt;&gt;"",VLOOKUP(Tabela2[[#This Row],[AGRUPADOR]],Tabela1[],2,0),"")</f>
        <v/>
      </c>
      <c r="E1715" s="19" t="str">
        <f>IF(Tabela2[[#This Row],[AGRUPADOR]]&lt;&gt;"",VLOOKUP(Tabela2[[#This Row],[AGRUPADOR]],Tabela1[],4,0),"")</f>
        <v/>
      </c>
      <c r="F1715" s="14"/>
      <c r="G1715" s="6"/>
      <c r="H1715" s="6"/>
      <c r="I1715" s="25"/>
      <c r="J1715" s="7"/>
      <c r="K1715" s="15"/>
      <c r="L1715" s="379">
        <f>IF(H1715&lt;&gt;"",J1715*K1715,SUMIFS(L1716:L$9844,$F1716:$F$9844,"*"&amp;F1715&amp;"*",$H1716:$H$9844,"&lt;&gt;"))</f>
        <v>0</v>
      </c>
      <c r="M1715" s="379" t="str">
        <f>IF(Tabela2[[#This Row],[UNID.]]&lt;&gt;"",IFERROR(VLOOKUP(Tabela2[[#This Row],[AGRUPADOR]],Lucratividade!$D$4:$O$129,6,0),0),"")</f>
        <v/>
      </c>
      <c r="N1715" s="379">
        <f>IF(H1715&lt;&gt;"",J1715*M1715*I1715,SUMIFS(N1716:N$9844,$F1716:$F$9844,"*"&amp;F1715&amp;"*",$H1716:$H$9844,"&lt;&gt;"))</f>
        <v>0</v>
      </c>
      <c r="O1715" s="162" t="str">
        <f>IFERROR((-Tabela2[[#This Row],[CUSTO TOTAL]]+Tabela2[[#This Row],[VENDA TOTAL]])/Tabela2[[#This Row],[VENDA TOTAL]]-PARAMETROS!$C$19,"")</f>
        <v/>
      </c>
      <c r="AA1715" s="219">
        <f>SUM(Plan_Orc[[#This Row],[01/jan]:[01/dez]])</f>
        <v>0</v>
      </c>
      <c r="AB1715" s="15"/>
      <c r="AC1715" s="15"/>
      <c r="AD1715" s="15"/>
      <c r="AE1715" s="15"/>
      <c r="AF1715" s="15"/>
      <c r="AG1715" s="15"/>
      <c r="AH1715" s="15"/>
      <c r="AI1715" s="15"/>
      <c r="AJ1715" s="15"/>
      <c r="AK1715" s="15"/>
      <c r="AL1715" s="15"/>
      <c r="AM1715" s="15"/>
    </row>
    <row r="1716" spans="2:39" ht="25.2" customHeight="1" x14ac:dyDescent="0.3">
      <c r="B1716" s="13" t="str">
        <f t="shared" si="30"/>
        <v/>
      </c>
      <c r="C1716" s="18"/>
      <c r="D1716" s="19" t="str">
        <f>IF(Tabela2[[#This Row],[AGRUPADOR]]&lt;&gt;"",VLOOKUP(Tabela2[[#This Row],[AGRUPADOR]],Tabela1[],2,0),"")</f>
        <v/>
      </c>
      <c r="E1716" s="19" t="str">
        <f>IF(Tabela2[[#This Row],[AGRUPADOR]]&lt;&gt;"",VLOOKUP(Tabela2[[#This Row],[AGRUPADOR]],Tabela1[],4,0),"")</f>
        <v/>
      </c>
      <c r="F1716" s="14"/>
      <c r="G1716" s="6"/>
      <c r="H1716" s="6"/>
      <c r="I1716" s="25"/>
      <c r="J1716" s="7"/>
      <c r="K1716" s="15"/>
      <c r="L1716" s="379">
        <f>IF(H1716&lt;&gt;"",J1716*K1716,SUMIFS(L1717:L$9844,$F1717:$F$9844,"*"&amp;F1716&amp;"*",$H1717:$H$9844,"&lt;&gt;"))</f>
        <v>0</v>
      </c>
      <c r="M1716" s="379" t="str">
        <f>IF(Tabela2[[#This Row],[UNID.]]&lt;&gt;"",IFERROR(VLOOKUP(Tabela2[[#This Row],[AGRUPADOR]],Lucratividade!$D$4:$O$129,6,0),0),"")</f>
        <v/>
      </c>
      <c r="N1716" s="379">
        <f>IF(H1716&lt;&gt;"",J1716*M1716*I1716,SUMIFS(N1717:N$9844,$F1717:$F$9844,"*"&amp;F1716&amp;"*",$H1717:$H$9844,"&lt;&gt;"))</f>
        <v>0</v>
      </c>
      <c r="O1716" s="162" t="str">
        <f>IFERROR((-Tabela2[[#This Row],[CUSTO TOTAL]]+Tabela2[[#This Row],[VENDA TOTAL]])/Tabela2[[#This Row],[VENDA TOTAL]]-PARAMETROS!$C$19,"")</f>
        <v/>
      </c>
      <c r="AA1716" s="219">
        <f>SUM(Plan_Orc[[#This Row],[01/jan]:[01/dez]])</f>
        <v>0</v>
      </c>
      <c r="AB1716" s="15"/>
      <c r="AC1716" s="15"/>
      <c r="AD1716" s="15"/>
      <c r="AE1716" s="15"/>
      <c r="AF1716" s="15"/>
      <c r="AG1716" s="15"/>
      <c r="AH1716" s="15"/>
      <c r="AI1716" s="15"/>
      <c r="AJ1716" s="15"/>
      <c r="AK1716" s="15"/>
      <c r="AL1716" s="15"/>
      <c r="AM1716" s="15"/>
    </row>
    <row r="1717" spans="2:39" ht="25.2" customHeight="1" x14ac:dyDescent="0.3">
      <c r="B1717" s="13" t="str">
        <f t="shared" si="30"/>
        <v/>
      </c>
      <c r="C1717" s="18"/>
      <c r="D1717" s="19" t="str">
        <f>IF(Tabela2[[#This Row],[AGRUPADOR]]&lt;&gt;"",VLOOKUP(Tabela2[[#This Row],[AGRUPADOR]],Tabela1[],2,0),"")</f>
        <v/>
      </c>
      <c r="E1717" s="19" t="str">
        <f>IF(Tabela2[[#This Row],[AGRUPADOR]]&lt;&gt;"",VLOOKUP(Tabela2[[#This Row],[AGRUPADOR]],Tabela1[],4,0),"")</f>
        <v/>
      </c>
      <c r="F1717" s="14"/>
      <c r="G1717" s="6"/>
      <c r="H1717" s="6"/>
      <c r="I1717" s="25"/>
      <c r="J1717" s="7"/>
      <c r="K1717" s="15"/>
      <c r="L1717" s="379">
        <f>IF(H1717&lt;&gt;"",J1717*K1717,SUMIFS(L1718:L$9844,$F1718:$F$9844,"*"&amp;F1717&amp;"*",$H1718:$H$9844,"&lt;&gt;"))</f>
        <v>0</v>
      </c>
      <c r="M1717" s="379" t="str">
        <f>IF(Tabela2[[#This Row],[UNID.]]&lt;&gt;"",IFERROR(VLOOKUP(Tabela2[[#This Row],[AGRUPADOR]],Lucratividade!$D$4:$O$129,6,0),0),"")</f>
        <v/>
      </c>
      <c r="N1717" s="379">
        <f>IF(H1717&lt;&gt;"",J1717*M1717*I1717,SUMIFS(N1718:N$9844,$F1718:$F$9844,"*"&amp;F1717&amp;"*",$H1718:$H$9844,"&lt;&gt;"))</f>
        <v>0</v>
      </c>
      <c r="O1717" s="162" t="str">
        <f>IFERROR((-Tabela2[[#This Row],[CUSTO TOTAL]]+Tabela2[[#This Row],[VENDA TOTAL]])/Tabela2[[#This Row],[VENDA TOTAL]]-PARAMETROS!$C$19,"")</f>
        <v/>
      </c>
      <c r="AA1717" s="219">
        <f>SUM(Plan_Orc[[#This Row],[01/jan]:[01/dez]])</f>
        <v>0</v>
      </c>
      <c r="AB1717" s="15"/>
      <c r="AC1717" s="15"/>
      <c r="AD1717" s="15"/>
      <c r="AE1717" s="15"/>
      <c r="AF1717" s="15"/>
      <c r="AG1717" s="15"/>
      <c r="AH1717" s="15"/>
      <c r="AI1717" s="15"/>
      <c r="AJ1717" s="15"/>
      <c r="AK1717" s="15"/>
      <c r="AL1717" s="15"/>
      <c r="AM1717" s="15"/>
    </row>
    <row r="1718" spans="2:39" ht="25.2" customHeight="1" x14ac:dyDescent="0.3">
      <c r="B1718" s="13" t="str">
        <f t="shared" si="30"/>
        <v/>
      </c>
      <c r="C1718" s="18"/>
      <c r="D1718" s="19" t="str">
        <f>IF(Tabela2[[#This Row],[AGRUPADOR]]&lt;&gt;"",VLOOKUP(Tabela2[[#This Row],[AGRUPADOR]],Tabela1[],2,0),"")</f>
        <v/>
      </c>
      <c r="E1718" s="19" t="str">
        <f>IF(Tabela2[[#This Row],[AGRUPADOR]]&lt;&gt;"",VLOOKUP(Tabela2[[#This Row],[AGRUPADOR]],Tabela1[],4,0),"")</f>
        <v/>
      </c>
      <c r="F1718" s="14"/>
      <c r="G1718" s="6"/>
      <c r="H1718" s="6"/>
      <c r="I1718" s="25"/>
      <c r="J1718" s="7"/>
      <c r="K1718" s="15"/>
      <c r="L1718" s="379">
        <f>IF(H1718&lt;&gt;"",J1718*K1718,SUMIFS(L1719:L$9844,$F1719:$F$9844,"*"&amp;F1718&amp;"*",$H1719:$H$9844,"&lt;&gt;"))</f>
        <v>0</v>
      </c>
      <c r="M1718" s="379" t="str">
        <f>IF(Tabela2[[#This Row],[UNID.]]&lt;&gt;"",IFERROR(VLOOKUP(Tabela2[[#This Row],[AGRUPADOR]],Lucratividade!$D$4:$O$129,6,0),0),"")</f>
        <v/>
      </c>
      <c r="N1718" s="379">
        <f>IF(H1718&lt;&gt;"",J1718*M1718*I1718,SUMIFS(N1719:N$9844,$F1719:$F$9844,"*"&amp;F1718&amp;"*",$H1719:$H$9844,"&lt;&gt;"))</f>
        <v>0</v>
      </c>
      <c r="O1718" s="162" t="str">
        <f>IFERROR((-Tabela2[[#This Row],[CUSTO TOTAL]]+Tabela2[[#This Row],[VENDA TOTAL]])/Tabela2[[#This Row],[VENDA TOTAL]]-PARAMETROS!$C$19,"")</f>
        <v/>
      </c>
      <c r="AA1718" s="219">
        <f>SUM(Plan_Orc[[#This Row],[01/jan]:[01/dez]])</f>
        <v>0</v>
      </c>
      <c r="AB1718" s="15"/>
      <c r="AC1718" s="15"/>
      <c r="AD1718" s="15"/>
      <c r="AE1718" s="15"/>
      <c r="AF1718" s="15"/>
      <c r="AG1718" s="15"/>
      <c r="AH1718" s="15"/>
      <c r="AI1718" s="15"/>
      <c r="AJ1718" s="15"/>
      <c r="AK1718" s="15"/>
      <c r="AL1718" s="15"/>
      <c r="AM1718" s="15"/>
    </row>
    <row r="1719" spans="2:39" ht="25.2" customHeight="1" x14ac:dyDescent="0.3">
      <c r="B1719" s="13" t="str">
        <f t="shared" si="30"/>
        <v/>
      </c>
      <c r="C1719" s="18"/>
      <c r="D1719" s="19" t="str">
        <f>IF(Tabela2[[#This Row],[AGRUPADOR]]&lt;&gt;"",VLOOKUP(Tabela2[[#This Row],[AGRUPADOR]],Tabela1[],2,0),"")</f>
        <v/>
      </c>
      <c r="E1719" s="19" t="str">
        <f>IF(Tabela2[[#This Row],[AGRUPADOR]]&lt;&gt;"",VLOOKUP(Tabela2[[#This Row],[AGRUPADOR]],Tabela1[],4,0),"")</f>
        <v/>
      </c>
      <c r="F1719" s="14"/>
      <c r="G1719" s="6"/>
      <c r="H1719" s="6"/>
      <c r="I1719" s="25"/>
      <c r="J1719" s="7"/>
      <c r="K1719" s="15"/>
      <c r="L1719" s="379">
        <f>IF(H1719&lt;&gt;"",J1719*K1719,SUMIFS(L1720:L$9844,$F1720:$F$9844,"*"&amp;F1719&amp;"*",$H1720:$H$9844,"&lt;&gt;"))</f>
        <v>0</v>
      </c>
      <c r="M1719" s="379" t="str">
        <f>IF(Tabela2[[#This Row],[UNID.]]&lt;&gt;"",IFERROR(VLOOKUP(Tabela2[[#This Row],[AGRUPADOR]],Lucratividade!$D$4:$O$129,6,0),0),"")</f>
        <v/>
      </c>
      <c r="N1719" s="379">
        <f>IF(H1719&lt;&gt;"",J1719*M1719*I1719,SUMIFS(N1720:N$9844,$F1720:$F$9844,"*"&amp;F1719&amp;"*",$H1720:$H$9844,"&lt;&gt;"))</f>
        <v>0</v>
      </c>
      <c r="O1719" s="162" t="str">
        <f>IFERROR((-Tabela2[[#This Row],[CUSTO TOTAL]]+Tabela2[[#This Row],[VENDA TOTAL]])/Tabela2[[#This Row],[VENDA TOTAL]]-PARAMETROS!$C$19,"")</f>
        <v/>
      </c>
      <c r="AA1719" s="219">
        <f>SUM(Plan_Orc[[#This Row],[01/jan]:[01/dez]])</f>
        <v>0</v>
      </c>
      <c r="AB1719" s="15"/>
      <c r="AC1719" s="15"/>
      <c r="AD1719" s="15"/>
      <c r="AE1719" s="15"/>
      <c r="AF1719" s="15"/>
      <c r="AG1719" s="15"/>
      <c r="AH1719" s="15"/>
      <c r="AI1719" s="15"/>
      <c r="AJ1719" s="15"/>
      <c r="AK1719" s="15"/>
      <c r="AL1719" s="15"/>
      <c r="AM1719" s="15"/>
    </row>
    <row r="1720" spans="2:39" ht="25.2" customHeight="1" x14ac:dyDescent="0.3">
      <c r="B1720" s="13" t="str">
        <f t="shared" si="30"/>
        <v/>
      </c>
      <c r="C1720" s="18"/>
      <c r="D1720" s="19" t="str">
        <f>IF(Tabela2[[#This Row],[AGRUPADOR]]&lt;&gt;"",VLOOKUP(Tabela2[[#This Row],[AGRUPADOR]],Tabela1[],2,0),"")</f>
        <v/>
      </c>
      <c r="E1720" s="19" t="str">
        <f>IF(Tabela2[[#This Row],[AGRUPADOR]]&lt;&gt;"",VLOOKUP(Tabela2[[#This Row],[AGRUPADOR]],Tabela1[],4,0),"")</f>
        <v/>
      </c>
      <c r="F1720" s="14"/>
      <c r="G1720" s="6"/>
      <c r="H1720" s="6"/>
      <c r="I1720" s="25"/>
      <c r="J1720" s="7"/>
      <c r="K1720" s="15"/>
      <c r="L1720" s="379">
        <f>IF(H1720&lt;&gt;"",J1720*K1720,SUMIFS(L1721:L$9844,$F1721:$F$9844,"*"&amp;F1720&amp;"*",$H1721:$H$9844,"&lt;&gt;"))</f>
        <v>0</v>
      </c>
      <c r="M1720" s="379" t="str">
        <f>IF(Tabela2[[#This Row],[UNID.]]&lt;&gt;"",IFERROR(VLOOKUP(Tabela2[[#This Row],[AGRUPADOR]],Lucratividade!$D$4:$O$129,6,0),0),"")</f>
        <v/>
      </c>
      <c r="N1720" s="379">
        <f>IF(H1720&lt;&gt;"",J1720*M1720*I1720,SUMIFS(N1721:N$9844,$F1721:$F$9844,"*"&amp;F1720&amp;"*",$H1721:$H$9844,"&lt;&gt;"))</f>
        <v>0</v>
      </c>
      <c r="O1720" s="162" t="str">
        <f>IFERROR((-Tabela2[[#This Row],[CUSTO TOTAL]]+Tabela2[[#This Row],[VENDA TOTAL]])/Tabela2[[#This Row],[VENDA TOTAL]]-PARAMETROS!$C$19,"")</f>
        <v/>
      </c>
      <c r="AA1720" s="219">
        <f>SUM(Plan_Orc[[#This Row],[01/jan]:[01/dez]])</f>
        <v>0</v>
      </c>
      <c r="AB1720" s="15"/>
      <c r="AC1720" s="15"/>
      <c r="AD1720" s="15"/>
      <c r="AE1720" s="15"/>
      <c r="AF1720" s="15"/>
      <c r="AG1720" s="15"/>
      <c r="AH1720" s="15"/>
      <c r="AI1720" s="15"/>
      <c r="AJ1720" s="15"/>
      <c r="AK1720" s="15"/>
      <c r="AL1720" s="15"/>
      <c r="AM1720" s="15"/>
    </row>
    <row r="1721" spans="2:39" ht="25.2" customHeight="1" x14ac:dyDescent="0.3">
      <c r="B1721" s="13" t="str">
        <f t="shared" si="30"/>
        <v/>
      </c>
      <c r="C1721" s="18"/>
      <c r="D1721" s="19" t="str">
        <f>IF(Tabela2[[#This Row],[AGRUPADOR]]&lt;&gt;"",VLOOKUP(Tabela2[[#This Row],[AGRUPADOR]],Tabela1[],2,0),"")</f>
        <v/>
      </c>
      <c r="E1721" s="19" t="str">
        <f>IF(Tabela2[[#This Row],[AGRUPADOR]]&lt;&gt;"",VLOOKUP(Tabela2[[#This Row],[AGRUPADOR]],Tabela1[],4,0),"")</f>
        <v/>
      </c>
      <c r="F1721" s="14"/>
      <c r="G1721" s="6"/>
      <c r="H1721" s="6"/>
      <c r="I1721" s="25"/>
      <c r="J1721" s="7"/>
      <c r="K1721" s="15"/>
      <c r="L1721" s="379">
        <f>IF(H1721&lt;&gt;"",J1721*K1721,SUMIFS(L1722:L$9844,$F1722:$F$9844,"*"&amp;F1721&amp;"*",$H1722:$H$9844,"&lt;&gt;"))</f>
        <v>0</v>
      </c>
      <c r="M1721" s="379" t="str">
        <f>IF(Tabela2[[#This Row],[UNID.]]&lt;&gt;"",IFERROR(VLOOKUP(Tabela2[[#This Row],[AGRUPADOR]],Lucratividade!$D$4:$O$129,6,0),0),"")</f>
        <v/>
      </c>
      <c r="N1721" s="379">
        <f>IF(H1721&lt;&gt;"",J1721*M1721*I1721,SUMIFS(N1722:N$9844,$F1722:$F$9844,"*"&amp;F1721&amp;"*",$H1722:$H$9844,"&lt;&gt;"))</f>
        <v>0</v>
      </c>
      <c r="O1721" s="162" t="str">
        <f>IFERROR((-Tabela2[[#This Row],[CUSTO TOTAL]]+Tabela2[[#This Row],[VENDA TOTAL]])/Tabela2[[#This Row],[VENDA TOTAL]]-PARAMETROS!$C$19,"")</f>
        <v/>
      </c>
      <c r="AA1721" s="219">
        <f>SUM(Plan_Orc[[#This Row],[01/jan]:[01/dez]])</f>
        <v>0</v>
      </c>
      <c r="AB1721" s="15"/>
      <c r="AC1721" s="15"/>
      <c r="AD1721" s="15"/>
      <c r="AE1721" s="15"/>
      <c r="AF1721" s="15"/>
      <c r="AG1721" s="15"/>
      <c r="AH1721" s="15"/>
      <c r="AI1721" s="15"/>
      <c r="AJ1721" s="15"/>
      <c r="AK1721" s="15"/>
      <c r="AL1721" s="15"/>
      <c r="AM1721" s="15"/>
    </row>
    <row r="1722" spans="2:39" ht="25.2" customHeight="1" x14ac:dyDescent="0.3">
      <c r="B1722" s="13" t="str">
        <f t="shared" si="30"/>
        <v/>
      </c>
      <c r="C1722" s="18"/>
      <c r="D1722" s="19" t="str">
        <f>IF(Tabela2[[#This Row],[AGRUPADOR]]&lt;&gt;"",VLOOKUP(Tabela2[[#This Row],[AGRUPADOR]],Tabela1[],2,0),"")</f>
        <v/>
      </c>
      <c r="E1722" s="19" t="str">
        <f>IF(Tabela2[[#This Row],[AGRUPADOR]]&lt;&gt;"",VLOOKUP(Tabela2[[#This Row],[AGRUPADOR]],Tabela1[],4,0),"")</f>
        <v/>
      </c>
      <c r="F1722" s="14"/>
      <c r="G1722" s="6"/>
      <c r="H1722" s="6"/>
      <c r="I1722" s="25"/>
      <c r="J1722" s="7"/>
      <c r="K1722" s="15"/>
      <c r="L1722" s="379">
        <f>IF(H1722&lt;&gt;"",J1722*K1722,SUMIFS(L1723:L$9844,$F1723:$F$9844,"*"&amp;F1722&amp;"*",$H1723:$H$9844,"&lt;&gt;"))</f>
        <v>0</v>
      </c>
      <c r="M1722" s="379" t="str">
        <f>IF(Tabela2[[#This Row],[UNID.]]&lt;&gt;"",IFERROR(VLOOKUP(Tabela2[[#This Row],[AGRUPADOR]],Lucratividade!$D$4:$O$129,6,0),0),"")</f>
        <v/>
      </c>
      <c r="N1722" s="379">
        <f>IF(H1722&lt;&gt;"",J1722*M1722*I1722,SUMIFS(N1723:N$9844,$F1723:$F$9844,"*"&amp;F1722&amp;"*",$H1723:$H$9844,"&lt;&gt;"))</f>
        <v>0</v>
      </c>
      <c r="O1722" s="162" t="str">
        <f>IFERROR((-Tabela2[[#This Row],[CUSTO TOTAL]]+Tabela2[[#This Row],[VENDA TOTAL]])/Tabela2[[#This Row],[VENDA TOTAL]]-PARAMETROS!$C$19,"")</f>
        <v/>
      </c>
      <c r="AA1722" s="219">
        <f>SUM(Plan_Orc[[#This Row],[01/jan]:[01/dez]])</f>
        <v>0</v>
      </c>
      <c r="AB1722" s="15"/>
      <c r="AC1722" s="15"/>
      <c r="AD1722" s="15"/>
      <c r="AE1722" s="15"/>
      <c r="AF1722" s="15"/>
      <c r="AG1722" s="15"/>
      <c r="AH1722" s="15"/>
      <c r="AI1722" s="15"/>
      <c r="AJ1722" s="15"/>
      <c r="AK1722" s="15"/>
      <c r="AL1722" s="15"/>
      <c r="AM1722" s="15"/>
    </row>
    <row r="1723" spans="2:39" ht="25.2" customHeight="1" x14ac:dyDescent="0.3">
      <c r="B1723" s="13" t="str">
        <f t="shared" si="30"/>
        <v/>
      </c>
      <c r="C1723" s="18"/>
      <c r="D1723" s="19" t="str">
        <f>IF(Tabela2[[#This Row],[AGRUPADOR]]&lt;&gt;"",VLOOKUP(Tabela2[[#This Row],[AGRUPADOR]],Tabela1[],2,0),"")</f>
        <v/>
      </c>
      <c r="E1723" s="19" t="str">
        <f>IF(Tabela2[[#This Row],[AGRUPADOR]]&lt;&gt;"",VLOOKUP(Tabela2[[#This Row],[AGRUPADOR]],Tabela1[],4,0),"")</f>
        <v/>
      </c>
      <c r="F1723" s="14"/>
      <c r="G1723" s="6"/>
      <c r="H1723" s="6"/>
      <c r="I1723" s="25"/>
      <c r="J1723" s="7"/>
      <c r="K1723" s="15"/>
      <c r="L1723" s="379">
        <f>IF(H1723&lt;&gt;"",J1723*K1723,SUMIFS(L1724:L$9844,$F1724:$F$9844,"*"&amp;F1723&amp;"*",$H1724:$H$9844,"&lt;&gt;"))</f>
        <v>0</v>
      </c>
      <c r="M1723" s="379" t="str">
        <f>IF(Tabela2[[#This Row],[UNID.]]&lt;&gt;"",IFERROR(VLOOKUP(Tabela2[[#This Row],[AGRUPADOR]],Lucratividade!$D$4:$O$129,6,0),0),"")</f>
        <v/>
      </c>
      <c r="N1723" s="379">
        <f>IF(H1723&lt;&gt;"",J1723*M1723*I1723,SUMIFS(N1724:N$9844,$F1724:$F$9844,"*"&amp;F1723&amp;"*",$H1724:$H$9844,"&lt;&gt;"))</f>
        <v>0</v>
      </c>
      <c r="O1723" s="162" t="str">
        <f>IFERROR((-Tabela2[[#This Row],[CUSTO TOTAL]]+Tabela2[[#This Row],[VENDA TOTAL]])/Tabela2[[#This Row],[VENDA TOTAL]]-PARAMETROS!$C$19,"")</f>
        <v/>
      </c>
      <c r="AA1723" s="219">
        <f>SUM(Plan_Orc[[#This Row],[01/jan]:[01/dez]])</f>
        <v>0</v>
      </c>
      <c r="AB1723" s="15"/>
      <c r="AC1723" s="15"/>
      <c r="AD1723" s="15"/>
      <c r="AE1723" s="15"/>
      <c r="AF1723" s="15"/>
      <c r="AG1723" s="15"/>
      <c r="AH1723" s="15"/>
      <c r="AI1723" s="15"/>
      <c r="AJ1723" s="15"/>
      <c r="AK1723" s="15"/>
      <c r="AL1723" s="15"/>
      <c r="AM1723" s="15"/>
    </row>
    <row r="1724" spans="2:39" ht="25.2" customHeight="1" x14ac:dyDescent="0.3">
      <c r="B1724" s="13" t="str">
        <f t="shared" si="30"/>
        <v/>
      </c>
      <c r="C1724" s="18"/>
      <c r="D1724" s="19" t="str">
        <f>IF(Tabela2[[#This Row],[AGRUPADOR]]&lt;&gt;"",VLOOKUP(Tabela2[[#This Row],[AGRUPADOR]],Tabela1[],2,0),"")</f>
        <v/>
      </c>
      <c r="E1724" s="19" t="str">
        <f>IF(Tabela2[[#This Row],[AGRUPADOR]]&lt;&gt;"",VLOOKUP(Tabela2[[#This Row],[AGRUPADOR]],Tabela1[],4,0),"")</f>
        <v/>
      </c>
      <c r="F1724" s="14"/>
      <c r="G1724" s="6"/>
      <c r="H1724" s="6"/>
      <c r="I1724" s="25"/>
      <c r="J1724" s="7"/>
      <c r="K1724" s="15"/>
      <c r="L1724" s="379">
        <f>IF(H1724&lt;&gt;"",J1724*K1724,SUMIFS(L1725:L$9844,$F1725:$F$9844,"*"&amp;F1724&amp;"*",$H1725:$H$9844,"&lt;&gt;"))</f>
        <v>0</v>
      </c>
      <c r="M1724" s="379" t="str">
        <f>IF(Tabela2[[#This Row],[UNID.]]&lt;&gt;"",IFERROR(VLOOKUP(Tabela2[[#This Row],[AGRUPADOR]],Lucratividade!$D$4:$O$129,6,0),0),"")</f>
        <v/>
      </c>
      <c r="N1724" s="379">
        <f>IF(H1724&lt;&gt;"",J1724*M1724*I1724,SUMIFS(N1725:N$9844,$F1725:$F$9844,"*"&amp;F1724&amp;"*",$H1725:$H$9844,"&lt;&gt;"))</f>
        <v>0</v>
      </c>
      <c r="O1724" s="162" t="str">
        <f>IFERROR((-Tabela2[[#This Row],[CUSTO TOTAL]]+Tabela2[[#This Row],[VENDA TOTAL]])/Tabela2[[#This Row],[VENDA TOTAL]]-PARAMETROS!$C$19,"")</f>
        <v/>
      </c>
      <c r="AA1724" s="219">
        <f>SUM(Plan_Orc[[#This Row],[01/jan]:[01/dez]])</f>
        <v>0</v>
      </c>
      <c r="AB1724" s="15"/>
      <c r="AC1724" s="15"/>
      <c r="AD1724" s="15"/>
      <c r="AE1724" s="15"/>
      <c r="AF1724" s="15"/>
      <c r="AG1724" s="15"/>
      <c r="AH1724" s="15"/>
      <c r="AI1724" s="15"/>
      <c r="AJ1724" s="15"/>
      <c r="AK1724" s="15"/>
      <c r="AL1724" s="15"/>
      <c r="AM1724" s="15"/>
    </row>
    <row r="1725" spans="2:39" ht="25.2" customHeight="1" x14ac:dyDescent="0.3">
      <c r="B1725" s="13" t="str">
        <f t="shared" si="30"/>
        <v/>
      </c>
      <c r="C1725" s="18"/>
      <c r="D1725" s="19" t="str">
        <f>IF(Tabela2[[#This Row],[AGRUPADOR]]&lt;&gt;"",VLOOKUP(Tabela2[[#This Row],[AGRUPADOR]],Tabela1[],2,0),"")</f>
        <v/>
      </c>
      <c r="E1725" s="19" t="str">
        <f>IF(Tabela2[[#This Row],[AGRUPADOR]]&lt;&gt;"",VLOOKUP(Tabela2[[#This Row],[AGRUPADOR]],Tabela1[],4,0),"")</f>
        <v/>
      </c>
      <c r="F1725" s="14"/>
      <c r="G1725" s="6"/>
      <c r="H1725" s="6"/>
      <c r="I1725" s="25"/>
      <c r="J1725" s="7"/>
      <c r="K1725" s="15"/>
      <c r="L1725" s="379">
        <f>IF(H1725&lt;&gt;"",J1725*K1725,SUMIFS(L1726:L$9844,$F1726:$F$9844,"*"&amp;F1725&amp;"*",$H1726:$H$9844,"&lt;&gt;"))</f>
        <v>0</v>
      </c>
      <c r="M1725" s="379" t="str">
        <f>IF(Tabela2[[#This Row],[UNID.]]&lt;&gt;"",IFERROR(VLOOKUP(Tabela2[[#This Row],[AGRUPADOR]],Lucratividade!$D$4:$O$129,6,0),0),"")</f>
        <v/>
      </c>
      <c r="N1725" s="379">
        <f>IF(H1725&lt;&gt;"",J1725*M1725*I1725,SUMIFS(N1726:N$9844,$F1726:$F$9844,"*"&amp;F1725&amp;"*",$H1726:$H$9844,"&lt;&gt;"))</f>
        <v>0</v>
      </c>
      <c r="O1725" s="162" t="str">
        <f>IFERROR((-Tabela2[[#This Row],[CUSTO TOTAL]]+Tabela2[[#This Row],[VENDA TOTAL]])/Tabela2[[#This Row],[VENDA TOTAL]]-PARAMETROS!$C$19,"")</f>
        <v/>
      </c>
      <c r="AA1725" s="219">
        <f>SUM(Plan_Orc[[#This Row],[01/jan]:[01/dez]])</f>
        <v>0</v>
      </c>
      <c r="AB1725" s="15"/>
      <c r="AC1725" s="15"/>
      <c r="AD1725" s="15"/>
      <c r="AE1725" s="15"/>
      <c r="AF1725" s="15"/>
      <c r="AG1725" s="15"/>
      <c r="AH1725" s="15"/>
      <c r="AI1725" s="15"/>
      <c r="AJ1725" s="15"/>
      <c r="AK1725" s="15"/>
      <c r="AL1725" s="15"/>
      <c r="AM1725" s="15"/>
    </row>
    <row r="1726" spans="2:39" ht="25.2" customHeight="1" x14ac:dyDescent="0.3">
      <c r="B1726" s="13" t="str">
        <f t="shared" si="30"/>
        <v/>
      </c>
      <c r="C1726" s="18"/>
      <c r="D1726" s="19" t="str">
        <f>IF(Tabela2[[#This Row],[AGRUPADOR]]&lt;&gt;"",VLOOKUP(Tabela2[[#This Row],[AGRUPADOR]],Tabela1[],2,0),"")</f>
        <v/>
      </c>
      <c r="E1726" s="19" t="str">
        <f>IF(Tabela2[[#This Row],[AGRUPADOR]]&lt;&gt;"",VLOOKUP(Tabela2[[#This Row],[AGRUPADOR]],Tabela1[],4,0),"")</f>
        <v/>
      </c>
      <c r="F1726" s="14"/>
      <c r="G1726" s="6"/>
      <c r="H1726" s="6"/>
      <c r="I1726" s="25"/>
      <c r="J1726" s="7"/>
      <c r="K1726" s="15"/>
      <c r="L1726" s="379">
        <f>IF(H1726&lt;&gt;"",J1726*K1726,SUMIFS(L1727:L$9844,$F1727:$F$9844,"*"&amp;F1726&amp;"*",$H1727:$H$9844,"&lt;&gt;"))</f>
        <v>0</v>
      </c>
      <c r="M1726" s="379" t="str">
        <f>IF(Tabela2[[#This Row],[UNID.]]&lt;&gt;"",IFERROR(VLOOKUP(Tabela2[[#This Row],[AGRUPADOR]],Lucratividade!$D$4:$O$129,6,0),0),"")</f>
        <v/>
      </c>
      <c r="N1726" s="379">
        <f>IF(H1726&lt;&gt;"",J1726*M1726*I1726,SUMIFS(N1727:N$9844,$F1727:$F$9844,"*"&amp;F1726&amp;"*",$H1727:$H$9844,"&lt;&gt;"))</f>
        <v>0</v>
      </c>
      <c r="O1726" s="162" t="str">
        <f>IFERROR((-Tabela2[[#This Row],[CUSTO TOTAL]]+Tabela2[[#This Row],[VENDA TOTAL]])/Tabela2[[#This Row],[VENDA TOTAL]]-PARAMETROS!$C$19,"")</f>
        <v/>
      </c>
      <c r="AA1726" s="218">
        <f>SUM(Plan_Orc[[#This Row],[01/jan]:[01/dez]])</f>
        <v>0</v>
      </c>
      <c r="AB1726" s="12"/>
      <c r="AC1726" s="12"/>
      <c r="AD1726" s="12"/>
      <c r="AE1726" s="12"/>
      <c r="AF1726" s="12"/>
      <c r="AG1726" s="12"/>
      <c r="AH1726" s="12"/>
      <c r="AI1726" s="12"/>
      <c r="AJ1726" s="12"/>
      <c r="AK1726" s="12"/>
      <c r="AL1726" s="12"/>
      <c r="AM1726" s="12"/>
    </row>
    <row r="1727" spans="2:39" ht="25.2" customHeight="1" x14ac:dyDescent="0.3">
      <c r="B1727" s="13" t="str">
        <f t="shared" si="30"/>
        <v/>
      </c>
      <c r="C1727" s="18"/>
      <c r="D1727" s="19" t="str">
        <f>IF(Tabela2[[#This Row],[AGRUPADOR]]&lt;&gt;"",VLOOKUP(Tabela2[[#This Row],[AGRUPADOR]],Tabela1[],2,0),"")</f>
        <v/>
      </c>
      <c r="E1727" s="19" t="str">
        <f>IF(Tabela2[[#This Row],[AGRUPADOR]]&lt;&gt;"",VLOOKUP(Tabela2[[#This Row],[AGRUPADOR]],Tabela1[],4,0),"")</f>
        <v/>
      </c>
      <c r="F1727" s="14"/>
      <c r="G1727" s="6"/>
      <c r="H1727" s="6"/>
      <c r="I1727" s="25"/>
      <c r="J1727" s="7"/>
      <c r="K1727" s="15"/>
      <c r="L1727" s="379">
        <f>IF(H1727&lt;&gt;"",J1727*K1727,SUMIFS(L1728:L$9844,$F1728:$F$9844,"*"&amp;F1727&amp;"*",$H1728:$H$9844,"&lt;&gt;"))</f>
        <v>0</v>
      </c>
      <c r="M1727" s="379" t="str">
        <f>IF(Tabela2[[#This Row],[UNID.]]&lt;&gt;"",IFERROR(VLOOKUP(Tabela2[[#This Row],[AGRUPADOR]],Lucratividade!$D$4:$O$129,6,0),0),"")</f>
        <v/>
      </c>
      <c r="N1727" s="379">
        <f>IF(H1727&lt;&gt;"",J1727*M1727*I1727,SUMIFS(N1728:N$9844,$F1728:$F$9844,"*"&amp;F1727&amp;"*",$H1728:$H$9844,"&lt;&gt;"))</f>
        <v>0</v>
      </c>
      <c r="O1727" s="162" t="str">
        <f>IFERROR((-Tabela2[[#This Row],[CUSTO TOTAL]]+Tabela2[[#This Row],[VENDA TOTAL]])/Tabela2[[#This Row],[VENDA TOTAL]]-PARAMETROS!$C$19,"")</f>
        <v/>
      </c>
      <c r="AA1727" s="219">
        <f>SUM(Plan_Orc[[#This Row],[01/jan]:[01/dez]])</f>
        <v>0</v>
      </c>
      <c r="AB1727" s="15"/>
      <c r="AC1727" s="15"/>
      <c r="AD1727" s="15"/>
      <c r="AE1727" s="15"/>
      <c r="AF1727" s="15"/>
      <c r="AG1727" s="15"/>
      <c r="AH1727" s="15"/>
      <c r="AI1727" s="15"/>
      <c r="AJ1727" s="15"/>
      <c r="AK1727" s="15"/>
      <c r="AL1727" s="15"/>
      <c r="AM1727" s="15"/>
    </row>
    <row r="1728" spans="2:39" ht="25.2" customHeight="1" x14ac:dyDescent="0.3">
      <c r="B1728" s="13" t="str">
        <f t="shared" si="30"/>
        <v/>
      </c>
      <c r="C1728" s="18"/>
      <c r="D1728" s="19" t="str">
        <f>IF(Tabela2[[#This Row],[AGRUPADOR]]&lt;&gt;"",VLOOKUP(Tabela2[[#This Row],[AGRUPADOR]],Tabela1[],2,0),"")</f>
        <v/>
      </c>
      <c r="E1728" s="19" t="str">
        <f>IF(Tabela2[[#This Row],[AGRUPADOR]]&lt;&gt;"",VLOOKUP(Tabela2[[#This Row],[AGRUPADOR]],Tabela1[],4,0),"")</f>
        <v/>
      </c>
      <c r="F1728" s="14"/>
      <c r="G1728" s="6"/>
      <c r="H1728" s="6"/>
      <c r="I1728" s="25"/>
      <c r="J1728" s="7"/>
      <c r="K1728" s="15"/>
      <c r="L1728" s="379">
        <f>IF(H1728&lt;&gt;"",J1728*K1728,SUMIFS(L1729:L$9844,$F1729:$F$9844,"*"&amp;F1728&amp;"*",$H1729:$H$9844,"&lt;&gt;"))</f>
        <v>0</v>
      </c>
      <c r="M1728" s="379" t="str">
        <f>IF(Tabela2[[#This Row],[UNID.]]&lt;&gt;"",IFERROR(VLOOKUP(Tabela2[[#This Row],[AGRUPADOR]],Lucratividade!$D$4:$O$129,6,0),0),"")</f>
        <v/>
      </c>
      <c r="N1728" s="379">
        <f>IF(H1728&lt;&gt;"",J1728*M1728*I1728,SUMIFS(N1729:N$9844,$F1729:$F$9844,"*"&amp;F1728&amp;"*",$H1729:$H$9844,"&lt;&gt;"))</f>
        <v>0</v>
      </c>
      <c r="O1728" s="162" t="str">
        <f>IFERROR((-Tabela2[[#This Row],[CUSTO TOTAL]]+Tabela2[[#This Row],[VENDA TOTAL]])/Tabela2[[#This Row],[VENDA TOTAL]]-PARAMETROS!$C$19,"")</f>
        <v/>
      </c>
      <c r="AA1728" s="219">
        <f>SUM(Plan_Orc[[#This Row],[01/jan]:[01/dez]])</f>
        <v>0</v>
      </c>
      <c r="AB1728" s="15"/>
      <c r="AC1728" s="15"/>
      <c r="AD1728" s="15"/>
      <c r="AE1728" s="15"/>
      <c r="AF1728" s="15"/>
      <c r="AG1728" s="15"/>
      <c r="AH1728" s="15"/>
      <c r="AI1728" s="15"/>
      <c r="AJ1728" s="15"/>
      <c r="AK1728" s="15"/>
      <c r="AL1728" s="15"/>
      <c r="AM1728" s="15"/>
    </row>
    <row r="1729" spans="2:39" ht="25.2" customHeight="1" x14ac:dyDescent="0.3">
      <c r="B1729" s="13" t="str">
        <f t="shared" si="30"/>
        <v/>
      </c>
      <c r="C1729" s="18"/>
      <c r="D1729" s="19" t="str">
        <f>IF(Tabela2[[#This Row],[AGRUPADOR]]&lt;&gt;"",VLOOKUP(Tabela2[[#This Row],[AGRUPADOR]],Tabela1[],2,0),"")</f>
        <v/>
      </c>
      <c r="E1729" s="19" t="str">
        <f>IF(Tabela2[[#This Row],[AGRUPADOR]]&lt;&gt;"",VLOOKUP(Tabela2[[#This Row],[AGRUPADOR]],Tabela1[],4,0),"")</f>
        <v/>
      </c>
      <c r="F1729" s="14"/>
      <c r="G1729" s="6"/>
      <c r="H1729" s="6"/>
      <c r="I1729" s="25"/>
      <c r="J1729" s="7"/>
      <c r="K1729" s="15"/>
      <c r="L1729" s="379">
        <f>IF(H1729&lt;&gt;"",J1729*K1729,SUMIFS(L1730:L$9844,$F1730:$F$9844,"*"&amp;F1729&amp;"*",$H1730:$H$9844,"&lt;&gt;"))</f>
        <v>0</v>
      </c>
      <c r="M1729" s="379" t="str">
        <f>IF(Tabela2[[#This Row],[UNID.]]&lt;&gt;"",IFERROR(VLOOKUP(Tabela2[[#This Row],[AGRUPADOR]],Lucratividade!$D$4:$O$129,6,0),0),"")</f>
        <v/>
      </c>
      <c r="N1729" s="379">
        <f>IF(H1729&lt;&gt;"",J1729*M1729*I1729,SUMIFS(N1730:N$9844,$F1730:$F$9844,"*"&amp;F1729&amp;"*",$H1730:$H$9844,"&lt;&gt;"))</f>
        <v>0</v>
      </c>
      <c r="O1729" s="162" t="str">
        <f>IFERROR((-Tabela2[[#This Row],[CUSTO TOTAL]]+Tabela2[[#This Row],[VENDA TOTAL]])/Tabela2[[#This Row],[VENDA TOTAL]]-PARAMETROS!$C$19,"")</f>
        <v/>
      </c>
      <c r="AA1729" s="219">
        <f>SUM(Plan_Orc[[#This Row],[01/jan]:[01/dez]])</f>
        <v>0</v>
      </c>
      <c r="AB1729" s="15"/>
      <c r="AC1729" s="15"/>
      <c r="AD1729" s="15"/>
      <c r="AE1729" s="15"/>
      <c r="AF1729" s="15"/>
      <c r="AG1729" s="15"/>
      <c r="AH1729" s="15"/>
      <c r="AI1729" s="15"/>
      <c r="AJ1729" s="15"/>
      <c r="AK1729" s="15"/>
      <c r="AL1729" s="15"/>
      <c r="AM1729" s="15"/>
    </row>
    <row r="1730" spans="2:39" ht="25.2" customHeight="1" x14ac:dyDescent="0.3">
      <c r="B1730" s="13" t="str">
        <f t="shared" si="30"/>
        <v/>
      </c>
      <c r="C1730" s="18"/>
      <c r="D1730" s="19" t="str">
        <f>IF(Tabela2[[#This Row],[AGRUPADOR]]&lt;&gt;"",VLOOKUP(Tabela2[[#This Row],[AGRUPADOR]],Tabela1[],2,0),"")</f>
        <v/>
      </c>
      <c r="E1730" s="19" t="str">
        <f>IF(Tabela2[[#This Row],[AGRUPADOR]]&lt;&gt;"",VLOOKUP(Tabela2[[#This Row],[AGRUPADOR]],Tabela1[],4,0),"")</f>
        <v/>
      </c>
      <c r="F1730" s="14"/>
      <c r="G1730" s="6"/>
      <c r="H1730" s="6"/>
      <c r="I1730" s="25"/>
      <c r="J1730" s="7"/>
      <c r="K1730" s="15"/>
      <c r="L1730" s="379">
        <f>IF(H1730&lt;&gt;"",J1730*K1730,SUMIFS(L1731:L$9844,$F1731:$F$9844,"*"&amp;F1730&amp;"*",$H1731:$H$9844,"&lt;&gt;"))</f>
        <v>0</v>
      </c>
      <c r="M1730" s="379" t="str">
        <f>IF(Tabela2[[#This Row],[UNID.]]&lt;&gt;"",IFERROR(VLOOKUP(Tabela2[[#This Row],[AGRUPADOR]],Lucratividade!$D$4:$O$129,6,0),0),"")</f>
        <v/>
      </c>
      <c r="N1730" s="379">
        <f>IF(H1730&lt;&gt;"",J1730*M1730*I1730,SUMIFS(N1731:N$9844,$F1731:$F$9844,"*"&amp;F1730&amp;"*",$H1731:$H$9844,"&lt;&gt;"))</f>
        <v>0</v>
      </c>
      <c r="O1730" s="162" t="str">
        <f>IFERROR((-Tabela2[[#This Row],[CUSTO TOTAL]]+Tabela2[[#This Row],[VENDA TOTAL]])/Tabela2[[#This Row],[VENDA TOTAL]]-PARAMETROS!$C$19,"")</f>
        <v/>
      </c>
      <c r="AA1730" s="219">
        <f>SUM(Plan_Orc[[#This Row],[01/jan]:[01/dez]])</f>
        <v>0</v>
      </c>
      <c r="AB1730" s="15"/>
      <c r="AC1730" s="15"/>
      <c r="AD1730" s="15"/>
      <c r="AE1730" s="15"/>
      <c r="AF1730" s="15"/>
      <c r="AG1730" s="15"/>
      <c r="AH1730" s="15"/>
      <c r="AI1730" s="15"/>
      <c r="AJ1730" s="15"/>
      <c r="AK1730" s="15"/>
      <c r="AL1730" s="15"/>
      <c r="AM1730" s="15"/>
    </row>
    <row r="1731" spans="2:39" ht="25.2" customHeight="1" x14ac:dyDescent="0.3">
      <c r="B1731" s="13" t="str">
        <f t="shared" si="30"/>
        <v/>
      </c>
      <c r="C1731" s="18"/>
      <c r="D1731" s="19" t="str">
        <f>IF(Tabela2[[#This Row],[AGRUPADOR]]&lt;&gt;"",VLOOKUP(Tabela2[[#This Row],[AGRUPADOR]],Tabela1[],2,0),"")</f>
        <v/>
      </c>
      <c r="E1731" s="19" t="str">
        <f>IF(Tabela2[[#This Row],[AGRUPADOR]]&lt;&gt;"",VLOOKUP(Tabela2[[#This Row],[AGRUPADOR]],Tabela1[],4,0),"")</f>
        <v/>
      </c>
      <c r="F1731" s="14"/>
      <c r="G1731" s="6"/>
      <c r="H1731" s="6"/>
      <c r="I1731" s="25"/>
      <c r="J1731" s="7"/>
      <c r="K1731" s="15"/>
      <c r="L1731" s="379">
        <f>IF(H1731&lt;&gt;"",J1731*K1731,SUMIFS(L1732:L$9844,$F1732:$F$9844,"*"&amp;F1731&amp;"*",$H1732:$H$9844,"&lt;&gt;"))</f>
        <v>0</v>
      </c>
      <c r="M1731" s="379" t="str">
        <f>IF(Tabela2[[#This Row],[UNID.]]&lt;&gt;"",IFERROR(VLOOKUP(Tabela2[[#This Row],[AGRUPADOR]],Lucratividade!$D$4:$O$129,6,0),0),"")</f>
        <v/>
      </c>
      <c r="N1731" s="379">
        <f>IF(H1731&lt;&gt;"",J1731*M1731*I1731,SUMIFS(N1732:N$9844,$F1732:$F$9844,"*"&amp;F1731&amp;"*",$H1732:$H$9844,"&lt;&gt;"))</f>
        <v>0</v>
      </c>
      <c r="O1731" s="162" t="str">
        <f>IFERROR((-Tabela2[[#This Row],[CUSTO TOTAL]]+Tabela2[[#This Row],[VENDA TOTAL]])/Tabela2[[#This Row],[VENDA TOTAL]]-PARAMETROS!$C$19,"")</f>
        <v/>
      </c>
      <c r="AA1731" s="219">
        <f>SUM(Plan_Orc[[#This Row],[01/jan]:[01/dez]])</f>
        <v>0</v>
      </c>
      <c r="AB1731" s="15"/>
      <c r="AC1731" s="15"/>
      <c r="AD1731" s="15"/>
      <c r="AE1731" s="15"/>
      <c r="AF1731" s="15"/>
      <c r="AG1731" s="15"/>
      <c r="AH1731" s="15"/>
      <c r="AI1731" s="15"/>
      <c r="AJ1731" s="15"/>
      <c r="AK1731" s="15"/>
      <c r="AL1731" s="15"/>
      <c r="AM1731" s="15"/>
    </row>
    <row r="1732" spans="2:39" ht="25.2" customHeight="1" x14ac:dyDescent="0.3">
      <c r="B1732" s="13" t="str">
        <f t="shared" ref="B1732:B1795" si="31">IF(LEN(F1732)=3,1,"")</f>
        <v/>
      </c>
      <c r="C1732" s="18"/>
      <c r="D1732" s="19" t="str">
        <f>IF(Tabela2[[#This Row],[AGRUPADOR]]&lt;&gt;"",VLOOKUP(Tabela2[[#This Row],[AGRUPADOR]],Tabela1[],2,0),"")</f>
        <v/>
      </c>
      <c r="E1732" s="19" t="str">
        <f>IF(Tabela2[[#This Row],[AGRUPADOR]]&lt;&gt;"",VLOOKUP(Tabela2[[#This Row],[AGRUPADOR]],Tabela1[],4,0),"")</f>
        <v/>
      </c>
      <c r="F1732" s="14"/>
      <c r="G1732" s="6"/>
      <c r="H1732" s="6"/>
      <c r="I1732" s="25"/>
      <c r="J1732" s="7"/>
      <c r="K1732" s="15"/>
      <c r="L1732" s="379">
        <f>IF(H1732&lt;&gt;"",J1732*K1732,SUMIFS(L1733:L$9844,$F1733:$F$9844,"*"&amp;F1732&amp;"*",$H1733:$H$9844,"&lt;&gt;"))</f>
        <v>0</v>
      </c>
      <c r="M1732" s="379" t="str">
        <f>IF(Tabela2[[#This Row],[UNID.]]&lt;&gt;"",IFERROR(VLOOKUP(Tabela2[[#This Row],[AGRUPADOR]],Lucratividade!$D$4:$O$129,6,0),0),"")</f>
        <v/>
      </c>
      <c r="N1732" s="379">
        <f>IF(H1732&lt;&gt;"",J1732*M1732*I1732,SUMIFS(N1733:N$9844,$F1733:$F$9844,"*"&amp;F1732&amp;"*",$H1733:$H$9844,"&lt;&gt;"))</f>
        <v>0</v>
      </c>
      <c r="O1732" s="162" t="str">
        <f>IFERROR((-Tabela2[[#This Row],[CUSTO TOTAL]]+Tabela2[[#This Row],[VENDA TOTAL]])/Tabela2[[#This Row],[VENDA TOTAL]]-PARAMETROS!$C$19,"")</f>
        <v/>
      </c>
      <c r="AA1732" s="219">
        <f>SUM(Plan_Orc[[#This Row],[01/jan]:[01/dez]])</f>
        <v>0</v>
      </c>
      <c r="AB1732" s="15"/>
      <c r="AC1732" s="15"/>
      <c r="AD1732" s="15"/>
      <c r="AE1732" s="15"/>
      <c r="AF1732" s="15"/>
      <c r="AG1732" s="15"/>
      <c r="AH1732" s="15"/>
      <c r="AI1732" s="15"/>
      <c r="AJ1732" s="15"/>
      <c r="AK1732" s="15"/>
      <c r="AL1732" s="15"/>
      <c r="AM1732" s="15"/>
    </row>
    <row r="1733" spans="2:39" ht="25.2" customHeight="1" x14ac:dyDescent="0.3">
      <c r="B1733" s="13" t="str">
        <f t="shared" si="31"/>
        <v/>
      </c>
      <c r="C1733" s="18"/>
      <c r="D1733" s="19" t="str">
        <f>IF(Tabela2[[#This Row],[AGRUPADOR]]&lt;&gt;"",VLOOKUP(Tabela2[[#This Row],[AGRUPADOR]],Tabela1[],2,0),"")</f>
        <v/>
      </c>
      <c r="E1733" s="19" t="str">
        <f>IF(Tabela2[[#This Row],[AGRUPADOR]]&lt;&gt;"",VLOOKUP(Tabela2[[#This Row],[AGRUPADOR]],Tabela1[],4,0),"")</f>
        <v/>
      </c>
      <c r="F1733" s="14"/>
      <c r="G1733" s="6"/>
      <c r="H1733" s="6"/>
      <c r="I1733" s="25"/>
      <c r="J1733" s="7"/>
      <c r="K1733" s="15"/>
      <c r="L1733" s="379">
        <f>IF(H1733&lt;&gt;"",J1733*K1733,SUMIFS(L1734:L$9844,$F1734:$F$9844,"*"&amp;F1733&amp;"*",$H1734:$H$9844,"&lt;&gt;"))</f>
        <v>0</v>
      </c>
      <c r="M1733" s="379" t="str">
        <f>IF(Tabela2[[#This Row],[UNID.]]&lt;&gt;"",IFERROR(VLOOKUP(Tabela2[[#This Row],[AGRUPADOR]],Lucratividade!$D$4:$O$129,6,0),0),"")</f>
        <v/>
      </c>
      <c r="N1733" s="379">
        <f>IF(H1733&lt;&gt;"",J1733*M1733*I1733,SUMIFS(N1734:N$9844,$F1734:$F$9844,"*"&amp;F1733&amp;"*",$H1734:$H$9844,"&lt;&gt;"))</f>
        <v>0</v>
      </c>
      <c r="O1733" s="162" t="str">
        <f>IFERROR((-Tabela2[[#This Row],[CUSTO TOTAL]]+Tabela2[[#This Row],[VENDA TOTAL]])/Tabela2[[#This Row],[VENDA TOTAL]]-PARAMETROS!$C$19,"")</f>
        <v/>
      </c>
      <c r="AA1733" s="219">
        <f>SUM(Plan_Orc[[#This Row],[01/jan]:[01/dez]])</f>
        <v>0</v>
      </c>
      <c r="AB1733" s="15"/>
      <c r="AC1733" s="15"/>
      <c r="AD1733" s="15"/>
      <c r="AE1733" s="15"/>
      <c r="AF1733" s="15"/>
      <c r="AG1733" s="15"/>
      <c r="AH1733" s="15"/>
      <c r="AI1733" s="15"/>
      <c r="AJ1733" s="15"/>
      <c r="AK1733" s="15"/>
      <c r="AL1733" s="15"/>
      <c r="AM1733" s="15"/>
    </row>
    <row r="1734" spans="2:39" ht="25.2" customHeight="1" x14ac:dyDescent="0.3">
      <c r="B1734" s="13" t="str">
        <f t="shared" si="31"/>
        <v/>
      </c>
      <c r="C1734" s="18"/>
      <c r="D1734" s="19" t="str">
        <f>IF(Tabela2[[#This Row],[AGRUPADOR]]&lt;&gt;"",VLOOKUP(Tabela2[[#This Row],[AGRUPADOR]],Tabela1[],2,0),"")</f>
        <v/>
      </c>
      <c r="E1734" s="19" t="str">
        <f>IF(Tabela2[[#This Row],[AGRUPADOR]]&lt;&gt;"",VLOOKUP(Tabela2[[#This Row],[AGRUPADOR]],Tabela1[],4,0),"")</f>
        <v/>
      </c>
      <c r="F1734" s="14"/>
      <c r="G1734" s="6"/>
      <c r="H1734" s="6"/>
      <c r="I1734" s="25"/>
      <c r="J1734" s="7"/>
      <c r="K1734" s="15"/>
      <c r="L1734" s="379">
        <f>IF(H1734&lt;&gt;"",J1734*K1734,SUMIFS(L1735:L$9844,$F1735:$F$9844,"*"&amp;F1734&amp;"*",$H1735:$H$9844,"&lt;&gt;"))</f>
        <v>0</v>
      </c>
      <c r="M1734" s="379" t="str">
        <f>IF(Tabela2[[#This Row],[UNID.]]&lt;&gt;"",IFERROR(VLOOKUP(Tabela2[[#This Row],[AGRUPADOR]],Lucratividade!$D$4:$O$129,6,0),0),"")</f>
        <v/>
      </c>
      <c r="N1734" s="379">
        <f>IF(H1734&lt;&gt;"",J1734*M1734*I1734,SUMIFS(N1735:N$9844,$F1735:$F$9844,"*"&amp;F1734&amp;"*",$H1735:$H$9844,"&lt;&gt;"))</f>
        <v>0</v>
      </c>
      <c r="O1734" s="162" t="str">
        <f>IFERROR((-Tabela2[[#This Row],[CUSTO TOTAL]]+Tabela2[[#This Row],[VENDA TOTAL]])/Tabela2[[#This Row],[VENDA TOTAL]]-PARAMETROS!$C$19,"")</f>
        <v/>
      </c>
      <c r="AA1734" s="219">
        <f>SUM(Plan_Orc[[#This Row],[01/jan]:[01/dez]])</f>
        <v>0</v>
      </c>
      <c r="AB1734" s="15"/>
      <c r="AC1734" s="15"/>
      <c r="AD1734" s="15"/>
      <c r="AE1734" s="15"/>
      <c r="AF1734" s="15"/>
      <c r="AG1734" s="15"/>
      <c r="AH1734" s="15"/>
      <c r="AI1734" s="15"/>
      <c r="AJ1734" s="15"/>
      <c r="AK1734" s="15"/>
      <c r="AL1734" s="15"/>
      <c r="AM1734" s="15"/>
    </row>
    <row r="1735" spans="2:39" ht="25.2" customHeight="1" x14ac:dyDescent="0.3">
      <c r="B1735" s="13" t="str">
        <f t="shared" si="31"/>
        <v/>
      </c>
      <c r="C1735" s="18"/>
      <c r="D1735" s="19" t="str">
        <f>IF(Tabela2[[#This Row],[AGRUPADOR]]&lt;&gt;"",VLOOKUP(Tabela2[[#This Row],[AGRUPADOR]],Tabela1[],2,0),"")</f>
        <v/>
      </c>
      <c r="E1735" s="19" t="str">
        <f>IF(Tabela2[[#This Row],[AGRUPADOR]]&lt;&gt;"",VLOOKUP(Tabela2[[#This Row],[AGRUPADOR]],Tabela1[],4,0),"")</f>
        <v/>
      </c>
      <c r="F1735" s="14"/>
      <c r="G1735" s="6"/>
      <c r="H1735" s="6"/>
      <c r="I1735" s="25"/>
      <c r="J1735" s="7"/>
      <c r="K1735" s="15"/>
      <c r="L1735" s="379">
        <f>IF(H1735&lt;&gt;"",J1735*K1735,SUMIFS(L1736:L$9844,$F1736:$F$9844,"*"&amp;F1735&amp;"*",$H1736:$H$9844,"&lt;&gt;"))</f>
        <v>0</v>
      </c>
      <c r="M1735" s="379" t="str">
        <f>IF(Tabela2[[#This Row],[UNID.]]&lt;&gt;"",IFERROR(VLOOKUP(Tabela2[[#This Row],[AGRUPADOR]],Lucratividade!$D$4:$O$129,6,0),0),"")</f>
        <v/>
      </c>
      <c r="N1735" s="379">
        <f>IF(H1735&lt;&gt;"",J1735*M1735*I1735,SUMIFS(N1736:N$9844,$F1736:$F$9844,"*"&amp;F1735&amp;"*",$H1736:$H$9844,"&lt;&gt;"))</f>
        <v>0</v>
      </c>
      <c r="O1735" s="162" t="str">
        <f>IFERROR((-Tabela2[[#This Row],[CUSTO TOTAL]]+Tabela2[[#This Row],[VENDA TOTAL]])/Tabela2[[#This Row],[VENDA TOTAL]]-PARAMETROS!$C$19,"")</f>
        <v/>
      </c>
      <c r="AA1735" s="219">
        <f>SUM(Plan_Orc[[#This Row],[01/jan]:[01/dez]])</f>
        <v>0</v>
      </c>
      <c r="AB1735" s="15"/>
      <c r="AC1735" s="15"/>
      <c r="AD1735" s="15"/>
      <c r="AE1735" s="15"/>
      <c r="AF1735" s="15"/>
      <c r="AG1735" s="15"/>
      <c r="AH1735" s="15"/>
      <c r="AI1735" s="15"/>
      <c r="AJ1735" s="15"/>
      <c r="AK1735" s="15"/>
      <c r="AL1735" s="15"/>
      <c r="AM1735" s="15"/>
    </row>
    <row r="1736" spans="2:39" ht="25.2" customHeight="1" x14ac:dyDescent="0.3">
      <c r="B1736" s="13" t="str">
        <f t="shared" si="31"/>
        <v/>
      </c>
      <c r="C1736" s="18"/>
      <c r="D1736" s="19" t="str">
        <f>IF(Tabela2[[#This Row],[AGRUPADOR]]&lt;&gt;"",VLOOKUP(Tabela2[[#This Row],[AGRUPADOR]],Tabela1[],2,0),"")</f>
        <v/>
      </c>
      <c r="E1736" s="19" t="str">
        <f>IF(Tabela2[[#This Row],[AGRUPADOR]]&lt;&gt;"",VLOOKUP(Tabela2[[#This Row],[AGRUPADOR]],Tabela1[],4,0),"")</f>
        <v/>
      </c>
      <c r="F1736" s="14"/>
      <c r="G1736" s="6"/>
      <c r="H1736" s="6"/>
      <c r="I1736" s="25"/>
      <c r="J1736" s="7"/>
      <c r="K1736" s="15"/>
      <c r="L1736" s="379">
        <f>IF(H1736&lt;&gt;"",J1736*K1736,SUMIFS(L1737:L$9844,$F1737:$F$9844,"*"&amp;F1736&amp;"*",$H1737:$H$9844,"&lt;&gt;"))</f>
        <v>0</v>
      </c>
      <c r="M1736" s="379" t="str">
        <f>IF(Tabela2[[#This Row],[UNID.]]&lt;&gt;"",IFERROR(VLOOKUP(Tabela2[[#This Row],[AGRUPADOR]],Lucratividade!$D$4:$O$129,6,0),0),"")</f>
        <v/>
      </c>
      <c r="N1736" s="379">
        <f>IF(H1736&lt;&gt;"",J1736*M1736*I1736,SUMIFS(N1737:N$9844,$F1737:$F$9844,"*"&amp;F1736&amp;"*",$H1737:$H$9844,"&lt;&gt;"))</f>
        <v>0</v>
      </c>
      <c r="O1736" s="162" t="str">
        <f>IFERROR((-Tabela2[[#This Row],[CUSTO TOTAL]]+Tabela2[[#This Row],[VENDA TOTAL]])/Tabela2[[#This Row],[VENDA TOTAL]]-PARAMETROS!$C$19,"")</f>
        <v/>
      </c>
      <c r="AA1736" s="219">
        <f>SUM(Plan_Orc[[#This Row],[01/jan]:[01/dez]])</f>
        <v>0</v>
      </c>
      <c r="AB1736" s="15"/>
      <c r="AC1736" s="15"/>
      <c r="AD1736" s="15"/>
      <c r="AE1736" s="15"/>
      <c r="AF1736" s="15"/>
      <c r="AG1736" s="15"/>
      <c r="AH1736" s="15"/>
      <c r="AI1736" s="15"/>
      <c r="AJ1736" s="15"/>
      <c r="AK1736" s="15"/>
      <c r="AL1736" s="15"/>
      <c r="AM1736" s="15"/>
    </row>
    <row r="1737" spans="2:39" ht="25.2" customHeight="1" x14ac:dyDescent="0.3">
      <c r="B1737" s="13" t="str">
        <f t="shared" si="31"/>
        <v/>
      </c>
      <c r="C1737" s="18"/>
      <c r="D1737" s="19" t="str">
        <f>IF(Tabela2[[#This Row],[AGRUPADOR]]&lt;&gt;"",VLOOKUP(Tabela2[[#This Row],[AGRUPADOR]],Tabela1[],2,0),"")</f>
        <v/>
      </c>
      <c r="E1737" s="19" t="str">
        <f>IF(Tabela2[[#This Row],[AGRUPADOR]]&lt;&gt;"",VLOOKUP(Tabela2[[#This Row],[AGRUPADOR]],Tabela1[],4,0),"")</f>
        <v/>
      </c>
      <c r="F1737" s="14"/>
      <c r="G1737" s="6"/>
      <c r="H1737" s="6"/>
      <c r="I1737" s="25"/>
      <c r="J1737" s="7"/>
      <c r="K1737" s="15"/>
      <c r="L1737" s="379">
        <f>IF(H1737&lt;&gt;"",J1737*K1737,SUMIFS(L1738:L$9844,$F1738:$F$9844,"*"&amp;F1737&amp;"*",$H1738:$H$9844,"&lt;&gt;"))</f>
        <v>0</v>
      </c>
      <c r="M1737" s="379" t="str">
        <f>IF(Tabela2[[#This Row],[UNID.]]&lt;&gt;"",IFERROR(VLOOKUP(Tabela2[[#This Row],[AGRUPADOR]],Lucratividade!$D$4:$O$129,6,0),0),"")</f>
        <v/>
      </c>
      <c r="N1737" s="379">
        <f>IF(H1737&lt;&gt;"",J1737*M1737*I1737,SUMIFS(N1738:N$9844,$F1738:$F$9844,"*"&amp;F1737&amp;"*",$H1738:$H$9844,"&lt;&gt;"))</f>
        <v>0</v>
      </c>
      <c r="O1737" s="162" t="str">
        <f>IFERROR((-Tabela2[[#This Row],[CUSTO TOTAL]]+Tabela2[[#This Row],[VENDA TOTAL]])/Tabela2[[#This Row],[VENDA TOTAL]]-PARAMETROS!$C$19,"")</f>
        <v/>
      </c>
      <c r="AA1737" s="219">
        <f>SUM(Plan_Orc[[#This Row],[01/jan]:[01/dez]])</f>
        <v>0</v>
      </c>
      <c r="AB1737" s="15"/>
      <c r="AC1737" s="15"/>
      <c r="AD1737" s="15"/>
      <c r="AE1737" s="15"/>
      <c r="AF1737" s="15"/>
      <c r="AG1737" s="15"/>
      <c r="AH1737" s="15"/>
      <c r="AI1737" s="15"/>
      <c r="AJ1737" s="15"/>
      <c r="AK1737" s="15"/>
      <c r="AL1737" s="15"/>
      <c r="AM1737" s="15"/>
    </row>
    <row r="1738" spans="2:39" ht="25.2" customHeight="1" x14ac:dyDescent="0.3">
      <c r="B1738" s="13" t="str">
        <f t="shared" si="31"/>
        <v/>
      </c>
      <c r="C1738" s="18"/>
      <c r="D1738" s="19" t="str">
        <f>IF(Tabela2[[#This Row],[AGRUPADOR]]&lt;&gt;"",VLOOKUP(Tabela2[[#This Row],[AGRUPADOR]],Tabela1[],2,0),"")</f>
        <v/>
      </c>
      <c r="E1738" s="19" t="str">
        <f>IF(Tabela2[[#This Row],[AGRUPADOR]]&lt;&gt;"",VLOOKUP(Tabela2[[#This Row],[AGRUPADOR]],Tabela1[],4,0),"")</f>
        <v/>
      </c>
      <c r="F1738" s="14"/>
      <c r="G1738" s="6"/>
      <c r="H1738" s="6"/>
      <c r="I1738" s="25"/>
      <c r="J1738" s="7"/>
      <c r="K1738" s="15"/>
      <c r="L1738" s="379">
        <f>IF(H1738&lt;&gt;"",J1738*K1738,SUMIFS(L1739:L$9844,$F1739:$F$9844,"*"&amp;F1738&amp;"*",$H1739:$H$9844,"&lt;&gt;"))</f>
        <v>0</v>
      </c>
      <c r="M1738" s="379" t="str">
        <f>IF(Tabela2[[#This Row],[UNID.]]&lt;&gt;"",IFERROR(VLOOKUP(Tabela2[[#This Row],[AGRUPADOR]],Lucratividade!$D$4:$O$129,6,0),0),"")</f>
        <v/>
      </c>
      <c r="N1738" s="379">
        <f>IF(H1738&lt;&gt;"",J1738*M1738*I1738,SUMIFS(N1739:N$9844,$F1739:$F$9844,"*"&amp;F1738&amp;"*",$H1739:$H$9844,"&lt;&gt;"))</f>
        <v>0</v>
      </c>
      <c r="O1738" s="162" t="str">
        <f>IFERROR((-Tabela2[[#This Row],[CUSTO TOTAL]]+Tabela2[[#This Row],[VENDA TOTAL]])/Tabela2[[#This Row],[VENDA TOTAL]]-PARAMETROS!$C$19,"")</f>
        <v/>
      </c>
      <c r="AA1738" s="219">
        <f>SUM(Plan_Orc[[#This Row],[01/jan]:[01/dez]])</f>
        <v>0</v>
      </c>
      <c r="AB1738" s="15"/>
      <c r="AC1738" s="15"/>
      <c r="AD1738" s="15"/>
      <c r="AE1738" s="15"/>
      <c r="AF1738" s="15"/>
      <c r="AG1738" s="15"/>
      <c r="AH1738" s="15"/>
      <c r="AI1738" s="15"/>
      <c r="AJ1738" s="15"/>
      <c r="AK1738" s="15"/>
      <c r="AL1738" s="15"/>
      <c r="AM1738" s="15"/>
    </row>
    <row r="1739" spans="2:39" ht="25.2" customHeight="1" x14ac:dyDescent="0.3">
      <c r="B1739" s="13" t="str">
        <f t="shared" si="31"/>
        <v/>
      </c>
      <c r="C1739" s="18"/>
      <c r="D1739" s="19" t="str">
        <f>IF(Tabela2[[#This Row],[AGRUPADOR]]&lt;&gt;"",VLOOKUP(Tabela2[[#This Row],[AGRUPADOR]],Tabela1[],2,0),"")</f>
        <v/>
      </c>
      <c r="E1739" s="19" t="str">
        <f>IF(Tabela2[[#This Row],[AGRUPADOR]]&lt;&gt;"",VLOOKUP(Tabela2[[#This Row],[AGRUPADOR]],Tabela1[],4,0),"")</f>
        <v/>
      </c>
      <c r="F1739" s="14"/>
      <c r="G1739" s="6"/>
      <c r="H1739" s="6"/>
      <c r="I1739" s="25"/>
      <c r="J1739" s="7"/>
      <c r="K1739" s="15"/>
      <c r="L1739" s="379">
        <f>IF(H1739&lt;&gt;"",J1739*K1739,SUMIFS(L1740:L$9844,$F1740:$F$9844,"*"&amp;F1739&amp;"*",$H1740:$H$9844,"&lt;&gt;"))</f>
        <v>0</v>
      </c>
      <c r="M1739" s="379" t="str">
        <f>IF(Tabela2[[#This Row],[UNID.]]&lt;&gt;"",IFERROR(VLOOKUP(Tabela2[[#This Row],[AGRUPADOR]],Lucratividade!$D$4:$O$129,6,0),0),"")</f>
        <v/>
      </c>
      <c r="N1739" s="379">
        <f>IF(H1739&lt;&gt;"",J1739*M1739*I1739,SUMIFS(N1740:N$9844,$F1740:$F$9844,"*"&amp;F1739&amp;"*",$H1740:$H$9844,"&lt;&gt;"))</f>
        <v>0</v>
      </c>
      <c r="O1739" s="162" t="str">
        <f>IFERROR((-Tabela2[[#This Row],[CUSTO TOTAL]]+Tabela2[[#This Row],[VENDA TOTAL]])/Tabela2[[#This Row],[VENDA TOTAL]]-PARAMETROS!$C$19,"")</f>
        <v/>
      </c>
      <c r="AA1739" s="219">
        <f>SUM(Plan_Orc[[#This Row],[01/jan]:[01/dez]])</f>
        <v>0</v>
      </c>
      <c r="AB1739" s="15"/>
      <c r="AC1739" s="15"/>
      <c r="AD1739" s="15"/>
      <c r="AE1739" s="15"/>
      <c r="AF1739" s="15"/>
      <c r="AG1739" s="15"/>
      <c r="AH1739" s="15"/>
      <c r="AI1739" s="15"/>
      <c r="AJ1739" s="15"/>
      <c r="AK1739" s="15"/>
      <c r="AL1739" s="15"/>
      <c r="AM1739" s="15"/>
    </row>
    <row r="1740" spans="2:39" ht="25.2" customHeight="1" x14ac:dyDescent="0.3">
      <c r="B1740" s="13" t="str">
        <f t="shared" si="31"/>
        <v/>
      </c>
      <c r="C1740" s="18"/>
      <c r="D1740" s="19" t="str">
        <f>IF(Tabela2[[#This Row],[AGRUPADOR]]&lt;&gt;"",VLOOKUP(Tabela2[[#This Row],[AGRUPADOR]],Tabela1[],2,0),"")</f>
        <v/>
      </c>
      <c r="E1740" s="19" t="str">
        <f>IF(Tabela2[[#This Row],[AGRUPADOR]]&lt;&gt;"",VLOOKUP(Tabela2[[#This Row],[AGRUPADOR]],Tabela1[],4,0),"")</f>
        <v/>
      </c>
      <c r="F1740" s="14"/>
      <c r="G1740" s="6"/>
      <c r="H1740" s="6"/>
      <c r="I1740" s="25"/>
      <c r="J1740" s="7"/>
      <c r="K1740" s="15"/>
      <c r="L1740" s="379">
        <f>IF(H1740&lt;&gt;"",J1740*K1740,SUMIFS(L1741:L$9844,$F1741:$F$9844,"*"&amp;F1740&amp;"*",$H1741:$H$9844,"&lt;&gt;"))</f>
        <v>0</v>
      </c>
      <c r="M1740" s="379" t="str">
        <f>IF(Tabela2[[#This Row],[UNID.]]&lt;&gt;"",IFERROR(VLOOKUP(Tabela2[[#This Row],[AGRUPADOR]],Lucratividade!$D$4:$O$129,6,0),0),"")</f>
        <v/>
      </c>
      <c r="N1740" s="379">
        <f>IF(H1740&lt;&gt;"",J1740*M1740*I1740,SUMIFS(N1741:N$9844,$F1741:$F$9844,"*"&amp;F1740&amp;"*",$H1741:$H$9844,"&lt;&gt;"))</f>
        <v>0</v>
      </c>
      <c r="O1740" s="162" t="str">
        <f>IFERROR((-Tabela2[[#This Row],[CUSTO TOTAL]]+Tabela2[[#This Row],[VENDA TOTAL]])/Tabela2[[#This Row],[VENDA TOTAL]]-PARAMETROS!$C$19,"")</f>
        <v/>
      </c>
      <c r="AA1740" s="219">
        <f>SUM(Plan_Orc[[#This Row],[01/jan]:[01/dez]])</f>
        <v>0</v>
      </c>
      <c r="AB1740" s="15"/>
      <c r="AC1740" s="15"/>
      <c r="AD1740" s="15"/>
      <c r="AE1740" s="15"/>
      <c r="AF1740" s="15"/>
      <c r="AG1740" s="15"/>
      <c r="AH1740" s="15"/>
      <c r="AI1740" s="15"/>
      <c r="AJ1740" s="15"/>
      <c r="AK1740" s="15"/>
      <c r="AL1740" s="15"/>
      <c r="AM1740" s="15"/>
    </row>
    <row r="1741" spans="2:39" ht="25.2" customHeight="1" x14ac:dyDescent="0.3">
      <c r="B1741" s="13" t="str">
        <f t="shared" si="31"/>
        <v/>
      </c>
      <c r="C1741" s="18"/>
      <c r="D1741" s="19" t="str">
        <f>IF(Tabela2[[#This Row],[AGRUPADOR]]&lt;&gt;"",VLOOKUP(Tabela2[[#This Row],[AGRUPADOR]],Tabela1[],2,0),"")</f>
        <v/>
      </c>
      <c r="E1741" s="19" t="str">
        <f>IF(Tabela2[[#This Row],[AGRUPADOR]]&lt;&gt;"",VLOOKUP(Tabela2[[#This Row],[AGRUPADOR]],Tabela1[],4,0),"")</f>
        <v/>
      </c>
      <c r="F1741" s="14"/>
      <c r="G1741" s="6"/>
      <c r="H1741" s="6"/>
      <c r="I1741" s="25"/>
      <c r="J1741" s="7"/>
      <c r="K1741" s="15"/>
      <c r="L1741" s="379">
        <f>IF(H1741&lt;&gt;"",J1741*K1741,SUMIFS(L1742:L$9844,$F1742:$F$9844,"*"&amp;F1741&amp;"*",$H1742:$H$9844,"&lt;&gt;"))</f>
        <v>0</v>
      </c>
      <c r="M1741" s="379" t="str">
        <f>IF(Tabela2[[#This Row],[UNID.]]&lt;&gt;"",IFERROR(VLOOKUP(Tabela2[[#This Row],[AGRUPADOR]],Lucratividade!$D$4:$O$129,6,0),0),"")</f>
        <v/>
      </c>
      <c r="N1741" s="379">
        <f>IF(H1741&lt;&gt;"",J1741*M1741*I1741,SUMIFS(N1742:N$9844,$F1742:$F$9844,"*"&amp;F1741&amp;"*",$H1742:$H$9844,"&lt;&gt;"))</f>
        <v>0</v>
      </c>
      <c r="O1741" s="162" t="str">
        <f>IFERROR((-Tabela2[[#This Row],[CUSTO TOTAL]]+Tabela2[[#This Row],[VENDA TOTAL]])/Tabela2[[#This Row],[VENDA TOTAL]]-PARAMETROS!$C$19,"")</f>
        <v/>
      </c>
      <c r="AA1741" s="219">
        <f>SUM(Plan_Orc[[#This Row],[01/jan]:[01/dez]])</f>
        <v>0</v>
      </c>
      <c r="AB1741" s="15"/>
      <c r="AC1741" s="15"/>
      <c r="AD1741" s="15"/>
      <c r="AE1741" s="15"/>
      <c r="AF1741" s="15"/>
      <c r="AG1741" s="15"/>
      <c r="AH1741" s="15"/>
      <c r="AI1741" s="15"/>
      <c r="AJ1741" s="15"/>
      <c r="AK1741" s="15"/>
      <c r="AL1741" s="15"/>
      <c r="AM1741" s="15"/>
    </row>
    <row r="1742" spans="2:39" ht="25.2" customHeight="1" x14ac:dyDescent="0.3">
      <c r="B1742" s="13" t="str">
        <f t="shared" si="31"/>
        <v/>
      </c>
      <c r="C1742" s="18"/>
      <c r="D1742" s="19" t="str">
        <f>IF(Tabela2[[#This Row],[AGRUPADOR]]&lt;&gt;"",VLOOKUP(Tabela2[[#This Row],[AGRUPADOR]],Tabela1[],2,0),"")</f>
        <v/>
      </c>
      <c r="E1742" s="19" t="str">
        <f>IF(Tabela2[[#This Row],[AGRUPADOR]]&lt;&gt;"",VLOOKUP(Tabela2[[#This Row],[AGRUPADOR]],Tabela1[],4,0),"")</f>
        <v/>
      </c>
      <c r="F1742" s="14"/>
      <c r="G1742" s="6"/>
      <c r="H1742" s="6"/>
      <c r="I1742" s="25"/>
      <c r="J1742" s="7"/>
      <c r="K1742" s="15"/>
      <c r="L1742" s="379">
        <f>IF(H1742&lt;&gt;"",J1742*K1742,SUMIFS(L1743:L$9844,$F1743:$F$9844,"*"&amp;F1742&amp;"*",$H1743:$H$9844,"&lt;&gt;"))</f>
        <v>0</v>
      </c>
      <c r="M1742" s="379" t="str">
        <f>IF(Tabela2[[#This Row],[UNID.]]&lt;&gt;"",IFERROR(VLOOKUP(Tabela2[[#This Row],[AGRUPADOR]],Lucratividade!$D$4:$O$129,6,0),0),"")</f>
        <v/>
      </c>
      <c r="N1742" s="379">
        <f>IF(H1742&lt;&gt;"",J1742*M1742*I1742,SUMIFS(N1743:N$9844,$F1743:$F$9844,"*"&amp;F1742&amp;"*",$H1743:$H$9844,"&lt;&gt;"))</f>
        <v>0</v>
      </c>
      <c r="O1742" s="162" t="str">
        <f>IFERROR((-Tabela2[[#This Row],[CUSTO TOTAL]]+Tabela2[[#This Row],[VENDA TOTAL]])/Tabela2[[#This Row],[VENDA TOTAL]]-PARAMETROS!$C$19,"")</f>
        <v/>
      </c>
      <c r="AA1742" s="219">
        <f>SUM(Plan_Orc[[#This Row],[01/jan]:[01/dez]])</f>
        <v>0</v>
      </c>
      <c r="AB1742" s="15"/>
      <c r="AC1742" s="15"/>
      <c r="AD1742" s="15"/>
      <c r="AE1742" s="15"/>
      <c r="AF1742" s="15"/>
      <c r="AG1742" s="15"/>
      <c r="AH1742" s="15"/>
      <c r="AI1742" s="15"/>
      <c r="AJ1742" s="15"/>
      <c r="AK1742" s="15"/>
      <c r="AL1742" s="15"/>
      <c r="AM1742" s="15"/>
    </row>
    <row r="1743" spans="2:39" ht="25.2" customHeight="1" x14ac:dyDescent="0.3">
      <c r="B1743" s="13" t="str">
        <f t="shared" si="31"/>
        <v/>
      </c>
      <c r="C1743" s="18"/>
      <c r="D1743" s="19" t="str">
        <f>IF(Tabela2[[#This Row],[AGRUPADOR]]&lt;&gt;"",VLOOKUP(Tabela2[[#This Row],[AGRUPADOR]],Tabela1[],2,0),"")</f>
        <v/>
      </c>
      <c r="E1743" s="19" t="str">
        <f>IF(Tabela2[[#This Row],[AGRUPADOR]]&lt;&gt;"",VLOOKUP(Tabela2[[#This Row],[AGRUPADOR]],Tabela1[],4,0),"")</f>
        <v/>
      </c>
      <c r="F1743" s="14"/>
      <c r="G1743" s="6"/>
      <c r="H1743" s="6"/>
      <c r="I1743" s="25"/>
      <c r="J1743" s="7"/>
      <c r="K1743" s="15"/>
      <c r="L1743" s="379">
        <f>IF(H1743&lt;&gt;"",J1743*K1743,SUMIFS(L1744:L$9844,$F1744:$F$9844,"*"&amp;F1743&amp;"*",$H1744:$H$9844,"&lt;&gt;"))</f>
        <v>0</v>
      </c>
      <c r="M1743" s="379" t="str">
        <f>IF(Tabela2[[#This Row],[UNID.]]&lt;&gt;"",IFERROR(VLOOKUP(Tabela2[[#This Row],[AGRUPADOR]],Lucratividade!$D$4:$O$129,6,0),0),"")</f>
        <v/>
      </c>
      <c r="N1743" s="379">
        <f>IF(H1743&lt;&gt;"",J1743*M1743*I1743,SUMIFS(N1744:N$9844,$F1744:$F$9844,"*"&amp;F1743&amp;"*",$H1744:$H$9844,"&lt;&gt;"))</f>
        <v>0</v>
      </c>
      <c r="O1743" s="162" t="str">
        <f>IFERROR((-Tabela2[[#This Row],[CUSTO TOTAL]]+Tabela2[[#This Row],[VENDA TOTAL]])/Tabela2[[#This Row],[VENDA TOTAL]]-PARAMETROS!$C$19,"")</f>
        <v/>
      </c>
      <c r="AA1743" s="219">
        <f>SUM(Plan_Orc[[#This Row],[01/jan]:[01/dez]])</f>
        <v>0</v>
      </c>
      <c r="AB1743" s="15"/>
      <c r="AC1743" s="15"/>
      <c r="AD1743" s="15"/>
      <c r="AE1743" s="15"/>
      <c r="AF1743" s="15"/>
      <c r="AG1743" s="15"/>
      <c r="AH1743" s="15"/>
      <c r="AI1743" s="15"/>
      <c r="AJ1743" s="15"/>
      <c r="AK1743" s="15"/>
      <c r="AL1743" s="15"/>
      <c r="AM1743" s="15"/>
    </row>
    <row r="1744" spans="2:39" ht="25.2" customHeight="1" x14ac:dyDescent="0.3">
      <c r="B1744" s="13" t="str">
        <f t="shared" si="31"/>
        <v/>
      </c>
      <c r="C1744" s="18"/>
      <c r="D1744" s="19" t="str">
        <f>IF(Tabela2[[#This Row],[AGRUPADOR]]&lt;&gt;"",VLOOKUP(Tabela2[[#This Row],[AGRUPADOR]],Tabela1[],2,0),"")</f>
        <v/>
      </c>
      <c r="E1744" s="19" t="str">
        <f>IF(Tabela2[[#This Row],[AGRUPADOR]]&lt;&gt;"",VLOOKUP(Tabela2[[#This Row],[AGRUPADOR]],Tabela1[],4,0),"")</f>
        <v/>
      </c>
      <c r="F1744" s="14"/>
      <c r="G1744" s="6"/>
      <c r="H1744" s="6"/>
      <c r="I1744" s="25"/>
      <c r="J1744" s="7"/>
      <c r="K1744" s="15"/>
      <c r="L1744" s="379">
        <f>IF(H1744&lt;&gt;"",J1744*K1744,SUMIFS(L1745:L$9844,$F1745:$F$9844,"*"&amp;F1744&amp;"*",$H1745:$H$9844,"&lt;&gt;"))</f>
        <v>0</v>
      </c>
      <c r="M1744" s="379" t="str">
        <f>IF(Tabela2[[#This Row],[UNID.]]&lt;&gt;"",IFERROR(VLOOKUP(Tabela2[[#This Row],[AGRUPADOR]],Lucratividade!$D$4:$O$129,6,0),0),"")</f>
        <v/>
      </c>
      <c r="N1744" s="379">
        <f>IF(H1744&lt;&gt;"",J1744*M1744*I1744,SUMIFS(N1745:N$9844,$F1745:$F$9844,"*"&amp;F1744&amp;"*",$H1745:$H$9844,"&lt;&gt;"))</f>
        <v>0</v>
      </c>
      <c r="O1744" s="162" t="str">
        <f>IFERROR((-Tabela2[[#This Row],[CUSTO TOTAL]]+Tabela2[[#This Row],[VENDA TOTAL]])/Tabela2[[#This Row],[VENDA TOTAL]]-PARAMETROS!$C$19,"")</f>
        <v/>
      </c>
      <c r="AA1744" s="219">
        <f>SUM(Plan_Orc[[#This Row],[01/jan]:[01/dez]])</f>
        <v>0</v>
      </c>
      <c r="AB1744" s="15"/>
      <c r="AC1744" s="15"/>
      <c r="AD1744" s="15"/>
      <c r="AE1744" s="15"/>
      <c r="AF1744" s="15"/>
      <c r="AG1744" s="15"/>
      <c r="AH1744" s="15"/>
      <c r="AI1744" s="15"/>
      <c r="AJ1744" s="15"/>
      <c r="AK1744" s="15"/>
      <c r="AL1744" s="15"/>
      <c r="AM1744" s="15"/>
    </row>
    <row r="1745" spans="2:39" ht="25.2" customHeight="1" x14ac:dyDescent="0.3">
      <c r="B1745" s="13" t="str">
        <f t="shared" si="31"/>
        <v/>
      </c>
      <c r="C1745" s="18"/>
      <c r="D1745" s="19" t="str">
        <f>IF(Tabela2[[#This Row],[AGRUPADOR]]&lt;&gt;"",VLOOKUP(Tabela2[[#This Row],[AGRUPADOR]],Tabela1[],2,0),"")</f>
        <v/>
      </c>
      <c r="E1745" s="19" t="str">
        <f>IF(Tabela2[[#This Row],[AGRUPADOR]]&lt;&gt;"",VLOOKUP(Tabela2[[#This Row],[AGRUPADOR]],Tabela1[],4,0),"")</f>
        <v/>
      </c>
      <c r="F1745" s="14"/>
      <c r="G1745" s="6"/>
      <c r="H1745" s="6"/>
      <c r="I1745" s="25"/>
      <c r="J1745" s="7"/>
      <c r="K1745" s="15"/>
      <c r="L1745" s="379">
        <f>IF(H1745&lt;&gt;"",J1745*K1745,SUMIFS(L1746:L$9844,$F1746:$F$9844,"*"&amp;F1745&amp;"*",$H1746:$H$9844,"&lt;&gt;"))</f>
        <v>0</v>
      </c>
      <c r="M1745" s="379" t="str">
        <f>IF(Tabela2[[#This Row],[UNID.]]&lt;&gt;"",IFERROR(VLOOKUP(Tabela2[[#This Row],[AGRUPADOR]],Lucratividade!$D$4:$O$129,6,0),0),"")</f>
        <v/>
      </c>
      <c r="N1745" s="379">
        <f>IF(H1745&lt;&gt;"",J1745*M1745*I1745,SUMIFS(N1746:N$9844,$F1746:$F$9844,"*"&amp;F1745&amp;"*",$H1746:$H$9844,"&lt;&gt;"))</f>
        <v>0</v>
      </c>
      <c r="O1745" s="162" t="str">
        <f>IFERROR((-Tabela2[[#This Row],[CUSTO TOTAL]]+Tabela2[[#This Row],[VENDA TOTAL]])/Tabela2[[#This Row],[VENDA TOTAL]]-PARAMETROS!$C$19,"")</f>
        <v/>
      </c>
      <c r="AA1745" s="218">
        <f>SUM(Plan_Orc[[#This Row],[01/jan]:[01/dez]])</f>
        <v>0</v>
      </c>
      <c r="AB1745" s="12"/>
      <c r="AC1745" s="12"/>
      <c r="AD1745" s="12"/>
      <c r="AE1745" s="12"/>
      <c r="AF1745" s="12"/>
      <c r="AG1745" s="12"/>
      <c r="AH1745" s="12"/>
      <c r="AI1745" s="12"/>
      <c r="AJ1745" s="12"/>
      <c r="AK1745" s="12"/>
      <c r="AL1745" s="12"/>
      <c r="AM1745" s="12"/>
    </row>
    <row r="1746" spans="2:39" ht="25.2" customHeight="1" x14ac:dyDescent="0.3">
      <c r="B1746" s="13" t="str">
        <f t="shared" si="31"/>
        <v/>
      </c>
      <c r="C1746" s="18"/>
      <c r="D1746" s="19" t="str">
        <f>IF(Tabela2[[#This Row],[AGRUPADOR]]&lt;&gt;"",VLOOKUP(Tabela2[[#This Row],[AGRUPADOR]],Tabela1[],2,0),"")</f>
        <v/>
      </c>
      <c r="E1746" s="19" t="str">
        <f>IF(Tabela2[[#This Row],[AGRUPADOR]]&lt;&gt;"",VLOOKUP(Tabela2[[#This Row],[AGRUPADOR]],Tabela1[],4,0),"")</f>
        <v/>
      </c>
      <c r="F1746" s="14"/>
      <c r="G1746" s="6"/>
      <c r="H1746" s="6"/>
      <c r="I1746" s="25"/>
      <c r="J1746" s="7"/>
      <c r="K1746" s="15"/>
      <c r="L1746" s="379">
        <f>IF(H1746&lt;&gt;"",J1746*K1746,SUMIFS(L1747:L$9844,$F1747:$F$9844,"*"&amp;F1746&amp;"*",$H1747:$H$9844,"&lt;&gt;"))</f>
        <v>0</v>
      </c>
      <c r="M1746" s="379" t="str">
        <f>IF(Tabela2[[#This Row],[UNID.]]&lt;&gt;"",IFERROR(VLOOKUP(Tabela2[[#This Row],[AGRUPADOR]],Lucratividade!$D$4:$O$129,6,0),0),"")</f>
        <v/>
      </c>
      <c r="N1746" s="379">
        <f>IF(H1746&lt;&gt;"",J1746*M1746*I1746,SUMIFS(N1747:N$9844,$F1747:$F$9844,"*"&amp;F1746&amp;"*",$H1747:$H$9844,"&lt;&gt;"))</f>
        <v>0</v>
      </c>
      <c r="O1746" s="162" t="str">
        <f>IFERROR((-Tabela2[[#This Row],[CUSTO TOTAL]]+Tabela2[[#This Row],[VENDA TOTAL]])/Tabela2[[#This Row],[VENDA TOTAL]]-PARAMETROS!$C$19,"")</f>
        <v/>
      </c>
      <c r="AA1746" s="219">
        <f>SUM(Plan_Orc[[#This Row],[01/jan]:[01/dez]])</f>
        <v>0</v>
      </c>
      <c r="AB1746" s="15"/>
      <c r="AC1746" s="15"/>
      <c r="AD1746" s="15"/>
      <c r="AE1746" s="15"/>
      <c r="AF1746" s="15"/>
      <c r="AG1746" s="15"/>
      <c r="AH1746" s="15"/>
      <c r="AI1746" s="15"/>
      <c r="AJ1746" s="15"/>
      <c r="AK1746" s="15"/>
      <c r="AL1746" s="15"/>
      <c r="AM1746" s="15"/>
    </row>
    <row r="1747" spans="2:39" ht="25.2" customHeight="1" x14ac:dyDescent="0.3">
      <c r="B1747" s="13" t="str">
        <f t="shared" si="31"/>
        <v/>
      </c>
      <c r="C1747" s="18"/>
      <c r="D1747" s="19" t="str">
        <f>IF(Tabela2[[#This Row],[AGRUPADOR]]&lt;&gt;"",VLOOKUP(Tabela2[[#This Row],[AGRUPADOR]],Tabela1[],2,0),"")</f>
        <v/>
      </c>
      <c r="E1747" s="19" t="str">
        <f>IF(Tabela2[[#This Row],[AGRUPADOR]]&lt;&gt;"",VLOOKUP(Tabela2[[#This Row],[AGRUPADOR]],Tabela1[],4,0),"")</f>
        <v/>
      </c>
      <c r="F1747" s="14"/>
      <c r="G1747" s="6"/>
      <c r="H1747" s="6"/>
      <c r="I1747" s="25"/>
      <c r="J1747" s="7"/>
      <c r="K1747" s="15"/>
      <c r="L1747" s="379">
        <f>IF(H1747&lt;&gt;"",J1747*K1747,SUMIFS(L1748:L$9844,$F1748:$F$9844,"*"&amp;F1747&amp;"*",$H1748:$H$9844,"&lt;&gt;"))</f>
        <v>0</v>
      </c>
      <c r="M1747" s="379" t="str">
        <f>IF(Tabela2[[#This Row],[UNID.]]&lt;&gt;"",IFERROR(VLOOKUP(Tabela2[[#This Row],[AGRUPADOR]],Lucratividade!$D$4:$O$129,6,0),0),"")</f>
        <v/>
      </c>
      <c r="N1747" s="379">
        <f>IF(H1747&lt;&gt;"",J1747*M1747*I1747,SUMIFS(N1748:N$9844,$F1748:$F$9844,"*"&amp;F1747&amp;"*",$H1748:$H$9844,"&lt;&gt;"))</f>
        <v>0</v>
      </c>
      <c r="O1747" s="162" t="str">
        <f>IFERROR((-Tabela2[[#This Row],[CUSTO TOTAL]]+Tabela2[[#This Row],[VENDA TOTAL]])/Tabela2[[#This Row],[VENDA TOTAL]]-PARAMETROS!$C$19,"")</f>
        <v/>
      </c>
      <c r="AA1747" s="220">
        <f>SUM(Plan_Orc[[#This Row],[01/jan]:[01/dez]])</f>
        <v>0</v>
      </c>
      <c r="AB1747" s="9"/>
      <c r="AC1747" s="9"/>
      <c r="AD1747" s="9"/>
      <c r="AE1747" s="9"/>
      <c r="AF1747" s="9"/>
      <c r="AG1747" s="9"/>
      <c r="AH1747" s="9"/>
      <c r="AI1747" s="9"/>
      <c r="AJ1747" s="9"/>
      <c r="AK1747" s="9"/>
      <c r="AL1747" s="9"/>
      <c r="AM1747" s="9"/>
    </row>
    <row r="1748" spans="2:39" ht="25.2" customHeight="1" x14ac:dyDescent="0.3">
      <c r="B1748" s="13" t="str">
        <f t="shared" si="31"/>
        <v/>
      </c>
      <c r="C1748" s="18"/>
      <c r="D1748" s="19" t="str">
        <f>IF(Tabela2[[#This Row],[AGRUPADOR]]&lt;&gt;"",VLOOKUP(Tabela2[[#This Row],[AGRUPADOR]],Tabela1[],2,0),"")</f>
        <v/>
      </c>
      <c r="E1748" s="19" t="str">
        <f>IF(Tabela2[[#This Row],[AGRUPADOR]]&lt;&gt;"",VLOOKUP(Tabela2[[#This Row],[AGRUPADOR]],Tabela1[],4,0),"")</f>
        <v/>
      </c>
      <c r="F1748" s="14"/>
      <c r="G1748" s="6"/>
      <c r="H1748" s="6"/>
      <c r="I1748" s="25"/>
      <c r="J1748" s="7"/>
      <c r="K1748" s="15"/>
      <c r="L1748" s="379">
        <f>IF(H1748&lt;&gt;"",J1748*K1748,SUMIFS(L1749:L$9844,$F1749:$F$9844,"*"&amp;F1748&amp;"*",$H1749:$H$9844,"&lt;&gt;"))</f>
        <v>0</v>
      </c>
      <c r="M1748" s="379" t="str">
        <f>IF(Tabela2[[#This Row],[UNID.]]&lt;&gt;"",IFERROR(VLOOKUP(Tabela2[[#This Row],[AGRUPADOR]],Lucratividade!$D$4:$O$129,6,0),0),"")</f>
        <v/>
      </c>
      <c r="N1748" s="379">
        <f>IF(H1748&lt;&gt;"",J1748*M1748*I1748,SUMIFS(N1749:N$9844,$F1749:$F$9844,"*"&amp;F1748&amp;"*",$H1749:$H$9844,"&lt;&gt;"))</f>
        <v>0</v>
      </c>
      <c r="O1748" s="162" t="str">
        <f>IFERROR((-Tabela2[[#This Row],[CUSTO TOTAL]]+Tabela2[[#This Row],[VENDA TOTAL]])/Tabela2[[#This Row],[VENDA TOTAL]]-PARAMETROS!$C$19,"")</f>
        <v/>
      </c>
      <c r="AA1748" s="219">
        <f>SUM(Plan_Orc[[#This Row],[01/jan]:[01/dez]])</f>
        <v>0</v>
      </c>
      <c r="AB1748" s="15"/>
      <c r="AC1748" s="15"/>
      <c r="AD1748" s="15"/>
      <c r="AE1748" s="15"/>
      <c r="AF1748" s="15"/>
      <c r="AG1748" s="15"/>
      <c r="AH1748" s="15"/>
      <c r="AI1748" s="15"/>
      <c r="AJ1748" s="15"/>
      <c r="AK1748" s="15"/>
      <c r="AL1748" s="15"/>
      <c r="AM1748" s="15"/>
    </row>
    <row r="1749" spans="2:39" ht="25.2" customHeight="1" x14ac:dyDescent="0.3">
      <c r="B1749" s="13" t="str">
        <f t="shared" si="31"/>
        <v/>
      </c>
      <c r="C1749" s="18"/>
      <c r="D1749" s="19" t="str">
        <f>IF(Tabela2[[#This Row],[AGRUPADOR]]&lt;&gt;"",VLOOKUP(Tabela2[[#This Row],[AGRUPADOR]],Tabela1[],2,0),"")</f>
        <v/>
      </c>
      <c r="E1749" s="19" t="str">
        <f>IF(Tabela2[[#This Row],[AGRUPADOR]]&lt;&gt;"",VLOOKUP(Tabela2[[#This Row],[AGRUPADOR]],Tabela1[],4,0),"")</f>
        <v/>
      </c>
      <c r="F1749" s="14"/>
      <c r="G1749" s="6"/>
      <c r="H1749" s="6"/>
      <c r="I1749" s="25"/>
      <c r="J1749" s="7"/>
      <c r="K1749" s="15"/>
      <c r="L1749" s="379">
        <f>IF(H1749&lt;&gt;"",J1749*K1749,SUMIFS(L1750:L$9844,$F1750:$F$9844,"*"&amp;F1749&amp;"*",$H1750:$H$9844,"&lt;&gt;"))</f>
        <v>0</v>
      </c>
      <c r="M1749" s="379" t="str">
        <f>IF(Tabela2[[#This Row],[UNID.]]&lt;&gt;"",IFERROR(VLOOKUP(Tabela2[[#This Row],[AGRUPADOR]],Lucratividade!$D$4:$O$129,6,0),0),"")</f>
        <v/>
      </c>
      <c r="N1749" s="379">
        <f>IF(H1749&lt;&gt;"",J1749*M1749*I1749,SUMIFS(N1750:N$9844,$F1750:$F$9844,"*"&amp;F1749&amp;"*",$H1750:$H$9844,"&lt;&gt;"))</f>
        <v>0</v>
      </c>
      <c r="O1749" s="162" t="str">
        <f>IFERROR((-Tabela2[[#This Row],[CUSTO TOTAL]]+Tabela2[[#This Row],[VENDA TOTAL]])/Tabela2[[#This Row],[VENDA TOTAL]]-PARAMETROS!$C$19,"")</f>
        <v/>
      </c>
      <c r="AA1749" s="219">
        <f>SUM(Plan_Orc[[#This Row],[01/jan]:[01/dez]])</f>
        <v>0</v>
      </c>
      <c r="AB1749" s="15"/>
      <c r="AC1749" s="15"/>
      <c r="AD1749" s="15"/>
      <c r="AE1749" s="15"/>
      <c r="AF1749" s="15"/>
      <c r="AG1749" s="15"/>
      <c r="AH1749" s="15"/>
      <c r="AI1749" s="15"/>
      <c r="AJ1749" s="15"/>
      <c r="AK1749" s="15"/>
      <c r="AL1749" s="15"/>
      <c r="AM1749" s="15"/>
    </row>
    <row r="1750" spans="2:39" ht="25.2" customHeight="1" x14ac:dyDescent="0.3">
      <c r="B1750" s="13" t="str">
        <f t="shared" si="31"/>
        <v/>
      </c>
      <c r="C1750" s="18"/>
      <c r="D1750" s="19" t="str">
        <f>IF(Tabela2[[#This Row],[AGRUPADOR]]&lt;&gt;"",VLOOKUP(Tabela2[[#This Row],[AGRUPADOR]],Tabela1[],2,0),"")</f>
        <v/>
      </c>
      <c r="E1750" s="19" t="str">
        <f>IF(Tabela2[[#This Row],[AGRUPADOR]]&lt;&gt;"",VLOOKUP(Tabela2[[#This Row],[AGRUPADOR]],Tabela1[],4,0),"")</f>
        <v/>
      </c>
      <c r="F1750" s="14"/>
      <c r="G1750" s="6"/>
      <c r="H1750" s="6"/>
      <c r="I1750" s="25"/>
      <c r="J1750" s="7"/>
      <c r="K1750" s="15"/>
      <c r="L1750" s="379">
        <f>IF(H1750&lt;&gt;"",J1750*K1750,SUMIFS(L1751:L$9844,$F1751:$F$9844,"*"&amp;F1750&amp;"*",$H1751:$H$9844,"&lt;&gt;"))</f>
        <v>0</v>
      </c>
      <c r="M1750" s="379" t="str">
        <f>IF(Tabela2[[#This Row],[UNID.]]&lt;&gt;"",IFERROR(VLOOKUP(Tabela2[[#This Row],[AGRUPADOR]],Lucratividade!$D$4:$O$129,6,0),0),"")</f>
        <v/>
      </c>
      <c r="N1750" s="379">
        <f>IF(H1750&lt;&gt;"",J1750*M1750*I1750,SUMIFS(N1751:N$9844,$F1751:$F$9844,"*"&amp;F1750&amp;"*",$H1751:$H$9844,"&lt;&gt;"))</f>
        <v>0</v>
      </c>
      <c r="O1750" s="162" t="str">
        <f>IFERROR((-Tabela2[[#This Row],[CUSTO TOTAL]]+Tabela2[[#This Row],[VENDA TOTAL]])/Tabela2[[#This Row],[VENDA TOTAL]]-PARAMETROS!$C$19,"")</f>
        <v/>
      </c>
      <c r="AA1750" s="219">
        <f>SUM(Plan_Orc[[#This Row],[01/jan]:[01/dez]])</f>
        <v>0</v>
      </c>
      <c r="AB1750" s="15"/>
      <c r="AC1750" s="15"/>
      <c r="AD1750" s="15"/>
      <c r="AE1750" s="15"/>
      <c r="AF1750" s="15"/>
      <c r="AG1750" s="15"/>
      <c r="AH1750" s="15"/>
      <c r="AI1750" s="15"/>
      <c r="AJ1750" s="15"/>
      <c r="AK1750" s="15"/>
      <c r="AL1750" s="15"/>
      <c r="AM1750" s="15"/>
    </row>
    <row r="1751" spans="2:39" ht="25.2" customHeight="1" x14ac:dyDescent="0.3">
      <c r="B1751" s="13" t="str">
        <f t="shared" si="31"/>
        <v/>
      </c>
      <c r="C1751" s="18"/>
      <c r="D1751" s="19" t="str">
        <f>IF(Tabela2[[#This Row],[AGRUPADOR]]&lt;&gt;"",VLOOKUP(Tabela2[[#This Row],[AGRUPADOR]],Tabela1[],2,0),"")</f>
        <v/>
      </c>
      <c r="E1751" s="19" t="str">
        <f>IF(Tabela2[[#This Row],[AGRUPADOR]]&lt;&gt;"",VLOOKUP(Tabela2[[#This Row],[AGRUPADOR]],Tabela1[],4,0),"")</f>
        <v/>
      </c>
      <c r="F1751" s="14"/>
      <c r="G1751" s="6"/>
      <c r="H1751" s="6"/>
      <c r="I1751" s="25"/>
      <c r="J1751" s="7"/>
      <c r="K1751" s="15"/>
      <c r="L1751" s="379">
        <f>IF(H1751&lt;&gt;"",J1751*K1751,SUMIFS(L1752:L$9844,$F1752:$F$9844,"*"&amp;F1751&amp;"*",$H1752:$H$9844,"&lt;&gt;"))</f>
        <v>0</v>
      </c>
      <c r="M1751" s="379" t="str">
        <f>IF(Tabela2[[#This Row],[UNID.]]&lt;&gt;"",IFERROR(VLOOKUP(Tabela2[[#This Row],[AGRUPADOR]],Lucratividade!$D$4:$O$129,6,0),0),"")</f>
        <v/>
      </c>
      <c r="N1751" s="379">
        <f>IF(H1751&lt;&gt;"",J1751*M1751*I1751,SUMIFS(N1752:N$9844,$F1752:$F$9844,"*"&amp;F1751&amp;"*",$H1752:$H$9844,"&lt;&gt;"))</f>
        <v>0</v>
      </c>
      <c r="O1751" s="162" t="str">
        <f>IFERROR((-Tabela2[[#This Row],[CUSTO TOTAL]]+Tabela2[[#This Row],[VENDA TOTAL]])/Tabela2[[#This Row],[VENDA TOTAL]]-PARAMETROS!$C$19,"")</f>
        <v/>
      </c>
      <c r="AA1751" s="219">
        <f>SUM(Plan_Orc[[#This Row],[01/jan]:[01/dez]])</f>
        <v>0</v>
      </c>
      <c r="AB1751" s="15"/>
      <c r="AC1751" s="15"/>
      <c r="AD1751" s="15"/>
      <c r="AE1751" s="15"/>
      <c r="AF1751" s="15"/>
      <c r="AG1751" s="15"/>
      <c r="AH1751" s="15"/>
      <c r="AI1751" s="15"/>
      <c r="AJ1751" s="15"/>
      <c r="AK1751" s="15"/>
      <c r="AL1751" s="15"/>
      <c r="AM1751" s="15"/>
    </row>
    <row r="1752" spans="2:39" ht="25.2" customHeight="1" x14ac:dyDescent="0.3">
      <c r="B1752" s="13" t="str">
        <f t="shared" si="31"/>
        <v/>
      </c>
      <c r="C1752" s="18"/>
      <c r="D1752" s="19" t="str">
        <f>IF(Tabela2[[#This Row],[AGRUPADOR]]&lt;&gt;"",VLOOKUP(Tabela2[[#This Row],[AGRUPADOR]],Tabela1[],2,0),"")</f>
        <v/>
      </c>
      <c r="E1752" s="19" t="str">
        <f>IF(Tabela2[[#This Row],[AGRUPADOR]]&lt;&gt;"",VLOOKUP(Tabela2[[#This Row],[AGRUPADOR]],Tabela1[],4,0),"")</f>
        <v/>
      </c>
      <c r="F1752" s="14"/>
      <c r="G1752" s="6"/>
      <c r="H1752" s="6"/>
      <c r="I1752" s="25"/>
      <c r="J1752" s="7"/>
      <c r="K1752" s="15"/>
      <c r="L1752" s="379">
        <f>IF(H1752&lt;&gt;"",J1752*K1752,SUMIFS(L1753:L$9844,$F1753:$F$9844,"*"&amp;F1752&amp;"*",$H1753:$H$9844,"&lt;&gt;"))</f>
        <v>0</v>
      </c>
      <c r="M1752" s="379" t="str">
        <f>IF(Tabela2[[#This Row],[UNID.]]&lt;&gt;"",IFERROR(VLOOKUP(Tabela2[[#This Row],[AGRUPADOR]],Lucratividade!$D$4:$O$129,6,0),0),"")</f>
        <v/>
      </c>
      <c r="N1752" s="379">
        <f>IF(H1752&lt;&gt;"",J1752*M1752*I1752,SUMIFS(N1753:N$9844,$F1753:$F$9844,"*"&amp;F1752&amp;"*",$H1753:$H$9844,"&lt;&gt;"))</f>
        <v>0</v>
      </c>
      <c r="O1752" s="162" t="str">
        <f>IFERROR((-Tabela2[[#This Row],[CUSTO TOTAL]]+Tabela2[[#This Row],[VENDA TOTAL]])/Tabela2[[#This Row],[VENDA TOTAL]]-PARAMETROS!$C$19,"")</f>
        <v/>
      </c>
      <c r="AA1752" s="220">
        <f>SUM(Plan_Orc[[#This Row],[01/jan]:[01/dez]])</f>
        <v>0</v>
      </c>
      <c r="AB1752" s="9"/>
      <c r="AC1752" s="9"/>
      <c r="AD1752" s="9"/>
      <c r="AE1752" s="9"/>
      <c r="AF1752" s="9"/>
      <c r="AG1752" s="9"/>
      <c r="AH1752" s="9"/>
      <c r="AI1752" s="9"/>
      <c r="AJ1752" s="9"/>
      <c r="AK1752" s="9"/>
      <c r="AL1752" s="9"/>
      <c r="AM1752" s="9"/>
    </row>
    <row r="1753" spans="2:39" ht="25.2" customHeight="1" x14ac:dyDescent="0.3">
      <c r="B1753" s="13" t="str">
        <f t="shared" si="31"/>
        <v/>
      </c>
      <c r="C1753" s="18"/>
      <c r="D1753" s="19" t="str">
        <f>IF(Tabela2[[#This Row],[AGRUPADOR]]&lt;&gt;"",VLOOKUP(Tabela2[[#This Row],[AGRUPADOR]],Tabela1[],2,0),"")</f>
        <v/>
      </c>
      <c r="E1753" s="19" t="str">
        <f>IF(Tabela2[[#This Row],[AGRUPADOR]]&lt;&gt;"",VLOOKUP(Tabela2[[#This Row],[AGRUPADOR]],Tabela1[],4,0),"")</f>
        <v/>
      </c>
      <c r="F1753" s="14"/>
      <c r="G1753" s="6"/>
      <c r="H1753" s="6"/>
      <c r="I1753" s="25"/>
      <c r="J1753" s="7"/>
      <c r="K1753" s="15"/>
      <c r="L1753" s="379">
        <f>IF(H1753&lt;&gt;"",J1753*K1753,SUMIFS(L1754:L$9844,$F1754:$F$9844,"*"&amp;F1753&amp;"*",$H1754:$H$9844,"&lt;&gt;"))</f>
        <v>0</v>
      </c>
      <c r="M1753" s="379" t="str">
        <f>IF(Tabela2[[#This Row],[UNID.]]&lt;&gt;"",IFERROR(VLOOKUP(Tabela2[[#This Row],[AGRUPADOR]],Lucratividade!$D$4:$O$129,6,0),0),"")</f>
        <v/>
      </c>
      <c r="N1753" s="379">
        <f>IF(H1753&lt;&gt;"",J1753*M1753*I1753,SUMIFS(N1754:N$9844,$F1754:$F$9844,"*"&amp;F1753&amp;"*",$H1754:$H$9844,"&lt;&gt;"))</f>
        <v>0</v>
      </c>
      <c r="O1753" s="162" t="str">
        <f>IFERROR((-Tabela2[[#This Row],[CUSTO TOTAL]]+Tabela2[[#This Row],[VENDA TOTAL]])/Tabela2[[#This Row],[VENDA TOTAL]]-PARAMETROS!$C$19,"")</f>
        <v/>
      </c>
      <c r="AA1753" s="218">
        <f>SUM(Plan_Orc[[#This Row],[01/jan]:[01/dez]])</f>
        <v>0</v>
      </c>
      <c r="AB1753" s="12"/>
      <c r="AC1753" s="12"/>
      <c r="AD1753" s="12"/>
      <c r="AE1753" s="12"/>
      <c r="AF1753" s="12"/>
      <c r="AG1753" s="12"/>
      <c r="AH1753" s="12"/>
      <c r="AI1753" s="12"/>
      <c r="AJ1753" s="12"/>
      <c r="AK1753" s="12"/>
      <c r="AL1753" s="12"/>
      <c r="AM1753" s="12"/>
    </row>
    <row r="1754" spans="2:39" ht="25.2" customHeight="1" x14ac:dyDescent="0.3">
      <c r="B1754" s="13" t="str">
        <f t="shared" si="31"/>
        <v/>
      </c>
      <c r="C1754" s="18"/>
      <c r="D1754" s="19" t="str">
        <f>IF(Tabela2[[#This Row],[AGRUPADOR]]&lt;&gt;"",VLOOKUP(Tabela2[[#This Row],[AGRUPADOR]],Tabela1[],2,0),"")</f>
        <v/>
      </c>
      <c r="E1754" s="19" t="str">
        <f>IF(Tabela2[[#This Row],[AGRUPADOR]]&lt;&gt;"",VLOOKUP(Tabela2[[#This Row],[AGRUPADOR]],Tabela1[],4,0),"")</f>
        <v/>
      </c>
      <c r="F1754" s="14"/>
      <c r="G1754" s="6"/>
      <c r="H1754" s="6"/>
      <c r="I1754" s="25"/>
      <c r="J1754" s="7"/>
      <c r="K1754" s="15"/>
      <c r="L1754" s="379">
        <f>IF(H1754&lt;&gt;"",J1754*K1754,SUMIFS(L1755:L$9844,$F1755:$F$9844,"*"&amp;F1754&amp;"*",$H1755:$H$9844,"&lt;&gt;"))</f>
        <v>0</v>
      </c>
      <c r="M1754" s="379" t="str">
        <f>IF(Tabela2[[#This Row],[UNID.]]&lt;&gt;"",IFERROR(VLOOKUP(Tabela2[[#This Row],[AGRUPADOR]],Lucratividade!$D$4:$O$129,6,0),0),"")</f>
        <v/>
      </c>
      <c r="N1754" s="379">
        <f>IF(H1754&lt;&gt;"",J1754*M1754*I1754,SUMIFS(N1755:N$9844,$F1755:$F$9844,"*"&amp;F1754&amp;"*",$H1755:$H$9844,"&lt;&gt;"))</f>
        <v>0</v>
      </c>
      <c r="O1754" s="162" t="str">
        <f>IFERROR((-Tabela2[[#This Row],[CUSTO TOTAL]]+Tabela2[[#This Row],[VENDA TOTAL]])/Tabela2[[#This Row],[VENDA TOTAL]]-PARAMETROS!$C$19,"")</f>
        <v/>
      </c>
      <c r="AA1754" s="219">
        <f>SUM(Plan_Orc[[#This Row],[01/jan]:[01/dez]])</f>
        <v>0</v>
      </c>
      <c r="AB1754" s="15"/>
      <c r="AC1754" s="15"/>
      <c r="AD1754" s="15"/>
      <c r="AE1754" s="15"/>
      <c r="AF1754" s="15"/>
      <c r="AG1754" s="15"/>
      <c r="AH1754" s="15"/>
      <c r="AI1754" s="15"/>
      <c r="AJ1754" s="15"/>
      <c r="AK1754" s="15"/>
      <c r="AL1754" s="15"/>
      <c r="AM1754" s="15"/>
    </row>
    <row r="1755" spans="2:39" ht="25.2" customHeight="1" x14ac:dyDescent="0.3">
      <c r="B1755" s="13" t="str">
        <f t="shared" si="31"/>
        <v/>
      </c>
      <c r="C1755" s="18"/>
      <c r="D1755" s="19" t="str">
        <f>IF(Tabela2[[#This Row],[AGRUPADOR]]&lt;&gt;"",VLOOKUP(Tabela2[[#This Row],[AGRUPADOR]],Tabela1[],2,0),"")</f>
        <v/>
      </c>
      <c r="E1755" s="19" t="str">
        <f>IF(Tabela2[[#This Row],[AGRUPADOR]]&lt;&gt;"",VLOOKUP(Tabela2[[#This Row],[AGRUPADOR]],Tabela1[],4,0),"")</f>
        <v/>
      </c>
      <c r="F1755" s="14"/>
      <c r="G1755" s="6"/>
      <c r="H1755" s="6"/>
      <c r="I1755" s="25"/>
      <c r="J1755" s="7"/>
      <c r="K1755" s="15"/>
      <c r="L1755" s="379">
        <f>IF(H1755&lt;&gt;"",J1755*K1755,SUMIFS(L1756:L$9844,$F1756:$F$9844,"*"&amp;F1755&amp;"*",$H1756:$H$9844,"&lt;&gt;"))</f>
        <v>0</v>
      </c>
      <c r="M1755" s="379" t="str">
        <f>IF(Tabela2[[#This Row],[UNID.]]&lt;&gt;"",IFERROR(VLOOKUP(Tabela2[[#This Row],[AGRUPADOR]],Lucratividade!$D$4:$O$129,6,0),0),"")</f>
        <v/>
      </c>
      <c r="N1755" s="379">
        <f>IF(H1755&lt;&gt;"",J1755*M1755*I1755,SUMIFS(N1756:N$9844,$F1756:$F$9844,"*"&amp;F1755&amp;"*",$H1756:$H$9844,"&lt;&gt;"))</f>
        <v>0</v>
      </c>
      <c r="O1755" s="162" t="str">
        <f>IFERROR((-Tabela2[[#This Row],[CUSTO TOTAL]]+Tabela2[[#This Row],[VENDA TOTAL]])/Tabela2[[#This Row],[VENDA TOTAL]]-PARAMETROS!$C$19,"")</f>
        <v/>
      </c>
      <c r="AA1755" s="222">
        <f>SUM(Plan_Orc[[#This Row],[01/jan]:[01/dez]])</f>
        <v>0</v>
      </c>
      <c r="AB1755" s="161"/>
      <c r="AC1755" s="161"/>
      <c r="AD1755" s="161"/>
      <c r="AE1755" s="161"/>
      <c r="AF1755" s="161"/>
      <c r="AG1755" s="161"/>
      <c r="AH1755" s="161"/>
      <c r="AI1755" s="161"/>
      <c r="AJ1755" s="161"/>
      <c r="AK1755" s="161"/>
      <c r="AL1755" s="161"/>
      <c r="AM1755" s="161"/>
    </row>
    <row r="1756" spans="2:39" ht="25.2" customHeight="1" x14ac:dyDescent="0.3">
      <c r="B1756" s="13" t="str">
        <f t="shared" si="31"/>
        <v/>
      </c>
      <c r="C1756" s="18"/>
      <c r="D1756" s="19" t="str">
        <f>IF(Tabela2[[#This Row],[AGRUPADOR]]&lt;&gt;"",VLOOKUP(Tabela2[[#This Row],[AGRUPADOR]],Tabela1[],2,0),"")</f>
        <v/>
      </c>
      <c r="E1756" s="19" t="str">
        <f>IF(Tabela2[[#This Row],[AGRUPADOR]]&lt;&gt;"",VLOOKUP(Tabela2[[#This Row],[AGRUPADOR]],Tabela1[],4,0),"")</f>
        <v/>
      </c>
      <c r="F1756" s="14"/>
      <c r="G1756" s="6"/>
      <c r="H1756" s="6"/>
      <c r="I1756" s="25"/>
      <c r="J1756" s="7"/>
      <c r="K1756" s="15"/>
      <c r="L1756" s="379">
        <f>IF(H1756&lt;&gt;"",J1756*K1756,SUMIFS(L1757:L$9844,$F1757:$F$9844,"*"&amp;F1756&amp;"*",$H1757:$H$9844,"&lt;&gt;"))</f>
        <v>0</v>
      </c>
      <c r="M1756" s="379" t="str">
        <f>IF(Tabela2[[#This Row],[UNID.]]&lt;&gt;"",IFERROR(VLOOKUP(Tabela2[[#This Row],[AGRUPADOR]],Lucratividade!$D$4:$O$129,6,0),0),"")</f>
        <v/>
      </c>
      <c r="N1756" s="379">
        <f>IF(H1756&lt;&gt;"",J1756*M1756*I1756,SUMIFS(N1757:N$9844,$F1757:$F$9844,"*"&amp;F1756&amp;"*",$H1757:$H$9844,"&lt;&gt;"))</f>
        <v>0</v>
      </c>
      <c r="O1756" s="162" t="str">
        <f>IFERROR((-Tabela2[[#This Row],[CUSTO TOTAL]]+Tabela2[[#This Row],[VENDA TOTAL]])/Tabela2[[#This Row],[VENDA TOTAL]]-PARAMETROS!$C$19,"")</f>
        <v/>
      </c>
      <c r="AA1756" s="217">
        <f>SUM(Plan_Orc[[#This Row],[01/jan]:[01/dez]])</f>
        <v>0</v>
      </c>
      <c r="AB1756" s="202"/>
      <c r="AC1756" s="202"/>
      <c r="AD1756" s="202"/>
      <c r="AE1756" s="202"/>
      <c r="AF1756" s="202"/>
      <c r="AG1756" s="202"/>
      <c r="AH1756" s="202"/>
      <c r="AI1756" s="202"/>
      <c r="AJ1756" s="202"/>
      <c r="AK1756" s="202"/>
      <c r="AL1756" s="202"/>
      <c r="AM1756" s="202"/>
    </row>
    <row r="1757" spans="2:39" ht="25.2" customHeight="1" x14ac:dyDescent="0.3">
      <c r="B1757" s="13" t="str">
        <f t="shared" si="31"/>
        <v/>
      </c>
      <c r="C1757" s="18"/>
      <c r="D1757" s="19" t="str">
        <f>IF(Tabela2[[#This Row],[AGRUPADOR]]&lt;&gt;"",VLOOKUP(Tabela2[[#This Row],[AGRUPADOR]],Tabela1[],2,0),"")</f>
        <v/>
      </c>
      <c r="E1757" s="19" t="str">
        <f>IF(Tabela2[[#This Row],[AGRUPADOR]]&lt;&gt;"",VLOOKUP(Tabela2[[#This Row],[AGRUPADOR]],Tabela1[],4,0),"")</f>
        <v/>
      </c>
      <c r="F1757" s="14"/>
      <c r="G1757" s="6"/>
      <c r="H1757" s="6"/>
      <c r="I1757" s="25"/>
      <c r="J1757" s="7"/>
      <c r="K1757" s="15"/>
      <c r="L1757" s="379">
        <f>IF(H1757&lt;&gt;"",J1757*K1757,SUMIFS(L1758:L$9844,$F1758:$F$9844,"*"&amp;F1757&amp;"*",$H1758:$H$9844,"&lt;&gt;"))</f>
        <v>0</v>
      </c>
      <c r="M1757" s="379" t="str">
        <f>IF(Tabela2[[#This Row],[UNID.]]&lt;&gt;"",IFERROR(VLOOKUP(Tabela2[[#This Row],[AGRUPADOR]],Lucratividade!$D$4:$O$129,6,0),0),"")</f>
        <v/>
      </c>
      <c r="N1757" s="379">
        <f>IF(H1757&lt;&gt;"",J1757*M1757*I1757,SUMIFS(N1758:N$9844,$F1758:$F$9844,"*"&amp;F1757&amp;"*",$H1758:$H$9844,"&lt;&gt;"))</f>
        <v>0</v>
      </c>
      <c r="O1757" s="162" t="str">
        <f>IFERROR((-Tabela2[[#This Row],[CUSTO TOTAL]]+Tabela2[[#This Row],[VENDA TOTAL]])/Tabela2[[#This Row],[VENDA TOTAL]]-PARAMETROS!$C$19,"")</f>
        <v/>
      </c>
      <c r="AA1757" s="218">
        <f>SUM(Plan_Orc[[#This Row],[01/jan]:[01/dez]])</f>
        <v>0</v>
      </c>
      <c r="AB1757" s="12"/>
      <c r="AC1757" s="12"/>
      <c r="AD1757" s="12"/>
      <c r="AE1757" s="12"/>
      <c r="AF1757" s="12"/>
      <c r="AG1757" s="12"/>
      <c r="AH1757" s="12"/>
      <c r="AI1757" s="12"/>
      <c r="AJ1757" s="12"/>
      <c r="AK1757" s="12"/>
      <c r="AL1757" s="12"/>
      <c r="AM1757" s="12"/>
    </row>
    <row r="1758" spans="2:39" ht="25.2" customHeight="1" x14ac:dyDescent="0.3">
      <c r="B1758" s="13" t="str">
        <f t="shared" si="31"/>
        <v/>
      </c>
      <c r="C1758" s="18"/>
      <c r="D1758" s="19" t="str">
        <f>IF(Tabela2[[#This Row],[AGRUPADOR]]&lt;&gt;"",VLOOKUP(Tabela2[[#This Row],[AGRUPADOR]],Tabela1[],2,0),"")</f>
        <v/>
      </c>
      <c r="E1758" s="19" t="str">
        <f>IF(Tabela2[[#This Row],[AGRUPADOR]]&lt;&gt;"",VLOOKUP(Tabela2[[#This Row],[AGRUPADOR]],Tabela1[],4,0),"")</f>
        <v/>
      </c>
      <c r="F1758" s="14"/>
      <c r="G1758" s="6"/>
      <c r="H1758" s="6"/>
      <c r="I1758" s="25"/>
      <c r="J1758" s="7"/>
      <c r="K1758" s="15"/>
      <c r="L1758" s="379">
        <f>IF(H1758&lt;&gt;"",J1758*K1758,SUMIFS(L1759:L$9844,$F1759:$F$9844,"*"&amp;F1758&amp;"*",$H1759:$H$9844,"&lt;&gt;"))</f>
        <v>0</v>
      </c>
      <c r="M1758" s="379" t="str">
        <f>IF(Tabela2[[#This Row],[UNID.]]&lt;&gt;"",IFERROR(VLOOKUP(Tabela2[[#This Row],[AGRUPADOR]],Lucratividade!$D$4:$O$129,6,0),0),"")</f>
        <v/>
      </c>
      <c r="N1758" s="379">
        <f>IF(H1758&lt;&gt;"",J1758*M1758*I1758,SUMIFS(N1759:N$9844,$F1759:$F$9844,"*"&amp;F1758&amp;"*",$H1759:$H$9844,"&lt;&gt;"))</f>
        <v>0</v>
      </c>
      <c r="O1758" s="162" t="str">
        <f>IFERROR((-Tabela2[[#This Row],[CUSTO TOTAL]]+Tabela2[[#This Row],[VENDA TOTAL]])/Tabela2[[#This Row],[VENDA TOTAL]]-PARAMETROS!$C$19,"")</f>
        <v/>
      </c>
      <c r="AA1758" s="219">
        <f>SUM(Plan_Orc[[#This Row],[01/jan]:[01/dez]])</f>
        <v>0</v>
      </c>
      <c r="AB1758" s="15"/>
      <c r="AC1758" s="15"/>
      <c r="AD1758" s="15"/>
      <c r="AE1758" s="15"/>
      <c r="AF1758" s="15"/>
      <c r="AG1758" s="15"/>
      <c r="AH1758" s="15"/>
      <c r="AI1758" s="15"/>
      <c r="AJ1758" s="15"/>
      <c r="AK1758" s="15"/>
      <c r="AL1758" s="15"/>
      <c r="AM1758" s="15"/>
    </row>
    <row r="1759" spans="2:39" ht="25.2" customHeight="1" x14ac:dyDescent="0.3">
      <c r="B1759" s="13" t="str">
        <f t="shared" si="31"/>
        <v/>
      </c>
      <c r="C1759" s="18"/>
      <c r="D1759" s="19" t="str">
        <f>IF(Tabela2[[#This Row],[AGRUPADOR]]&lt;&gt;"",VLOOKUP(Tabela2[[#This Row],[AGRUPADOR]],Tabela1[],2,0),"")</f>
        <v/>
      </c>
      <c r="E1759" s="19" t="str">
        <f>IF(Tabela2[[#This Row],[AGRUPADOR]]&lt;&gt;"",VLOOKUP(Tabela2[[#This Row],[AGRUPADOR]],Tabela1[],4,0),"")</f>
        <v/>
      </c>
      <c r="F1759" s="14"/>
      <c r="G1759" s="6"/>
      <c r="H1759" s="6"/>
      <c r="I1759" s="25"/>
      <c r="J1759" s="7"/>
      <c r="K1759" s="15"/>
      <c r="L1759" s="379">
        <f>IF(H1759&lt;&gt;"",J1759*K1759,SUMIFS(L1760:L$9844,$F1760:$F$9844,"*"&amp;F1759&amp;"*",$H1760:$H$9844,"&lt;&gt;"))</f>
        <v>0</v>
      </c>
      <c r="M1759" s="379" t="str">
        <f>IF(Tabela2[[#This Row],[UNID.]]&lt;&gt;"",IFERROR(VLOOKUP(Tabela2[[#This Row],[AGRUPADOR]],Lucratividade!$D$4:$O$129,6,0),0),"")</f>
        <v/>
      </c>
      <c r="N1759" s="379">
        <f>IF(H1759&lt;&gt;"",J1759*M1759*I1759,SUMIFS(N1760:N$9844,$F1760:$F$9844,"*"&amp;F1759&amp;"*",$H1760:$H$9844,"&lt;&gt;"))</f>
        <v>0</v>
      </c>
      <c r="O1759" s="162" t="str">
        <f>IFERROR((-Tabela2[[#This Row],[CUSTO TOTAL]]+Tabela2[[#This Row],[VENDA TOTAL]])/Tabela2[[#This Row],[VENDA TOTAL]]-PARAMETROS!$C$19,"")</f>
        <v/>
      </c>
      <c r="AA1759" s="217">
        <f>SUM(Plan_Orc[[#This Row],[01/jan]:[01/dez]])</f>
        <v>0</v>
      </c>
      <c r="AB1759" s="202"/>
      <c r="AC1759" s="202"/>
      <c r="AD1759" s="202"/>
      <c r="AE1759" s="202"/>
      <c r="AF1759" s="202"/>
      <c r="AG1759" s="202"/>
      <c r="AH1759" s="202"/>
      <c r="AI1759" s="202"/>
      <c r="AJ1759" s="202"/>
      <c r="AK1759" s="202"/>
      <c r="AL1759" s="202"/>
      <c r="AM1759" s="202"/>
    </row>
    <row r="1760" spans="2:39" ht="25.2" customHeight="1" x14ac:dyDescent="0.3">
      <c r="B1760" s="13" t="str">
        <f t="shared" si="31"/>
        <v/>
      </c>
      <c r="C1760" s="18"/>
      <c r="D1760" s="19" t="str">
        <f>IF(Tabela2[[#This Row],[AGRUPADOR]]&lt;&gt;"",VLOOKUP(Tabela2[[#This Row],[AGRUPADOR]],Tabela1[],2,0),"")</f>
        <v/>
      </c>
      <c r="E1760" s="19" t="str">
        <f>IF(Tabela2[[#This Row],[AGRUPADOR]]&lt;&gt;"",VLOOKUP(Tabela2[[#This Row],[AGRUPADOR]],Tabela1[],4,0),"")</f>
        <v/>
      </c>
      <c r="F1760" s="14"/>
      <c r="G1760" s="6"/>
      <c r="H1760" s="6"/>
      <c r="I1760" s="25"/>
      <c r="J1760" s="7"/>
      <c r="K1760" s="15"/>
      <c r="L1760" s="379">
        <f>IF(H1760&lt;&gt;"",J1760*K1760,SUMIFS(L1761:L$9844,$F1761:$F$9844,"*"&amp;F1760&amp;"*",$H1761:$H$9844,"&lt;&gt;"))</f>
        <v>0</v>
      </c>
      <c r="M1760" s="379" t="str">
        <f>IF(Tabela2[[#This Row],[UNID.]]&lt;&gt;"",IFERROR(VLOOKUP(Tabela2[[#This Row],[AGRUPADOR]],Lucratividade!$D$4:$O$129,6,0),0),"")</f>
        <v/>
      </c>
      <c r="N1760" s="379">
        <f>IF(H1760&lt;&gt;"",J1760*M1760*I1760,SUMIFS(N1761:N$9844,$F1761:$F$9844,"*"&amp;F1760&amp;"*",$H1761:$H$9844,"&lt;&gt;"))</f>
        <v>0</v>
      </c>
      <c r="O1760" s="162" t="str">
        <f>IFERROR((-Tabela2[[#This Row],[CUSTO TOTAL]]+Tabela2[[#This Row],[VENDA TOTAL]])/Tabela2[[#This Row],[VENDA TOTAL]]-PARAMETROS!$C$19,"")</f>
        <v/>
      </c>
      <c r="AA1760" s="218">
        <f>SUM(Plan_Orc[[#This Row],[01/jan]:[01/dez]])</f>
        <v>0</v>
      </c>
      <c r="AB1760" s="12"/>
      <c r="AC1760" s="12"/>
      <c r="AD1760" s="12"/>
      <c r="AE1760" s="12"/>
      <c r="AF1760" s="12"/>
      <c r="AG1760" s="12"/>
      <c r="AH1760" s="12"/>
      <c r="AI1760" s="12"/>
      <c r="AJ1760" s="12"/>
      <c r="AK1760" s="12"/>
      <c r="AL1760" s="12"/>
      <c r="AM1760" s="12"/>
    </row>
    <row r="1761" spans="2:39" ht="25.2" customHeight="1" x14ac:dyDescent="0.3">
      <c r="B1761" s="13" t="str">
        <f t="shared" si="31"/>
        <v/>
      </c>
      <c r="C1761" s="18"/>
      <c r="D1761" s="19" t="str">
        <f>IF(Tabela2[[#This Row],[AGRUPADOR]]&lt;&gt;"",VLOOKUP(Tabela2[[#This Row],[AGRUPADOR]],Tabela1[],2,0),"")</f>
        <v/>
      </c>
      <c r="E1761" s="19" t="str">
        <f>IF(Tabela2[[#This Row],[AGRUPADOR]]&lt;&gt;"",VLOOKUP(Tabela2[[#This Row],[AGRUPADOR]],Tabela1[],4,0),"")</f>
        <v/>
      </c>
      <c r="F1761" s="14"/>
      <c r="G1761" s="6"/>
      <c r="H1761" s="6"/>
      <c r="I1761" s="25"/>
      <c r="J1761" s="7"/>
      <c r="K1761" s="15"/>
      <c r="L1761" s="379">
        <f>IF(H1761&lt;&gt;"",J1761*K1761,SUMIFS(L1762:L$9844,$F1762:$F$9844,"*"&amp;F1761&amp;"*",$H1762:$H$9844,"&lt;&gt;"))</f>
        <v>0</v>
      </c>
      <c r="M1761" s="379" t="str">
        <f>IF(Tabela2[[#This Row],[UNID.]]&lt;&gt;"",IFERROR(VLOOKUP(Tabela2[[#This Row],[AGRUPADOR]],Lucratividade!$D$4:$O$129,6,0),0),"")</f>
        <v/>
      </c>
      <c r="N1761" s="379">
        <f>IF(H1761&lt;&gt;"",J1761*M1761*I1761,SUMIFS(N1762:N$9844,$F1762:$F$9844,"*"&amp;F1761&amp;"*",$H1762:$H$9844,"&lt;&gt;"))</f>
        <v>0</v>
      </c>
      <c r="O1761" s="162" t="str">
        <f>IFERROR((-Tabela2[[#This Row],[CUSTO TOTAL]]+Tabela2[[#This Row],[VENDA TOTAL]])/Tabela2[[#This Row],[VENDA TOTAL]]-PARAMETROS!$C$19,"")</f>
        <v/>
      </c>
      <c r="AA1761" s="219">
        <f>SUM(Plan_Orc[[#This Row],[01/jan]:[01/dez]])</f>
        <v>0</v>
      </c>
      <c r="AB1761" s="15"/>
      <c r="AC1761" s="15"/>
      <c r="AD1761" s="15"/>
      <c r="AE1761" s="15"/>
      <c r="AF1761" s="15"/>
      <c r="AG1761" s="15"/>
      <c r="AH1761" s="15"/>
      <c r="AI1761" s="15"/>
      <c r="AJ1761" s="15"/>
      <c r="AK1761" s="15"/>
      <c r="AL1761" s="15"/>
      <c r="AM1761" s="15"/>
    </row>
    <row r="1762" spans="2:39" ht="25.2" customHeight="1" x14ac:dyDescent="0.3">
      <c r="B1762" s="13" t="str">
        <f t="shared" si="31"/>
        <v/>
      </c>
      <c r="C1762" s="18"/>
      <c r="D1762" s="19" t="str">
        <f>IF(Tabela2[[#This Row],[AGRUPADOR]]&lt;&gt;"",VLOOKUP(Tabela2[[#This Row],[AGRUPADOR]],Tabela1[],2,0),"")</f>
        <v/>
      </c>
      <c r="E1762" s="19" t="str">
        <f>IF(Tabela2[[#This Row],[AGRUPADOR]]&lt;&gt;"",VLOOKUP(Tabela2[[#This Row],[AGRUPADOR]],Tabela1[],4,0),"")</f>
        <v/>
      </c>
      <c r="F1762" s="14"/>
      <c r="G1762" s="6"/>
      <c r="H1762" s="6"/>
      <c r="I1762" s="25"/>
      <c r="J1762" s="7"/>
      <c r="K1762" s="15"/>
      <c r="L1762" s="379">
        <f>IF(H1762&lt;&gt;"",J1762*K1762,SUMIFS(L1763:L$9844,$F1763:$F$9844,"*"&amp;F1762&amp;"*",$H1763:$H$9844,"&lt;&gt;"))</f>
        <v>0</v>
      </c>
      <c r="M1762" s="379" t="str">
        <f>IF(Tabela2[[#This Row],[UNID.]]&lt;&gt;"",IFERROR(VLOOKUP(Tabela2[[#This Row],[AGRUPADOR]],Lucratividade!$D$4:$O$129,6,0),0),"")</f>
        <v/>
      </c>
      <c r="N1762" s="379">
        <f>IF(H1762&lt;&gt;"",J1762*M1762*I1762,SUMIFS(N1763:N$9844,$F1763:$F$9844,"*"&amp;F1762&amp;"*",$H1763:$H$9844,"&lt;&gt;"))</f>
        <v>0</v>
      </c>
      <c r="O1762" s="162" t="str">
        <f>IFERROR((-Tabela2[[#This Row],[CUSTO TOTAL]]+Tabela2[[#This Row],[VENDA TOTAL]])/Tabela2[[#This Row],[VENDA TOTAL]]-PARAMETROS!$C$19,"")</f>
        <v/>
      </c>
      <c r="AA1762" s="219">
        <f>SUM(Plan_Orc[[#This Row],[01/jan]:[01/dez]])</f>
        <v>0</v>
      </c>
      <c r="AB1762" s="15"/>
      <c r="AC1762" s="15"/>
      <c r="AD1762" s="15"/>
      <c r="AE1762" s="15"/>
      <c r="AF1762" s="15"/>
      <c r="AG1762" s="15"/>
      <c r="AH1762" s="15"/>
      <c r="AI1762" s="15"/>
      <c r="AJ1762" s="15"/>
      <c r="AK1762" s="15"/>
      <c r="AL1762" s="15"/>
      <c r="AM1762" s="15"/>
    </row>
    <row r="1763" spans="2:39" ht="25.2" customHeight="1" x14ac:dyDescent="0.3">
      <c r="B1763" s="13" t="str">
        <f t="shared" si="31"/>
        <v/>
      </c>
      <c r="C1763" s="18"/>
      <c r="D1763" s="19" t="str">
        <f>IF(Tabela2[[#This Row],[AGRUPADOR]]&lt;&gt;"",VLOOKUP(Tabela2[[#This Row],[AGRUPADOR]],Tabela1[],2,0),"")</f>
        <v/>
      </c>
      <c r="E1763" s="19" t="str">
        <f>IF(Tabela2[[#This Row],[AGRUPADOR]]&lt;&gt;"",VLOOKUP(Tabela2[[#This Row],[AGRUPADOR]],Tabela1[],4,0),"")</f>
        <v/>
      </c>
      <c r="F1763" s="14"/>
      <c r="G1763" s="6"/>
      <c r="H1763" s="6"/>
      <c r="I1763" s="25"/>
      <c r="J1763" s="7"/>
      <c r="K1763" s="15"/>
      <c r="L1763" s="379">
        <f>IF(H1763&lt;&gt;"",J1763*K1763,SUMIFS(L1764:L$9844,$F1764:$F$9844,"*"&amp;F1763&amp;"*",$H1764:$H$9844,"&lt;&gt;"))</f>
        <v>0</v>
      </c>
      <c r="M1763" s="379" t="str">
        <f>IF(Tabela2[[#This Row],[UNID.]]&lt;&gt;"",IFERROR(VLOOKUP(Tabela2[[#This Row],[AGRUPADOR]],Lucratividade!$D$4:$O$129,6,0),0),"")</f>
        <v/>
      </c>
      <c r="N1763" s="379">
        <f>IF(H1763&lt;&gt;"",J1763*M1763*I1763,SUMIFS(N1764:N$9844,$F1764:$F$9844,"*"&amp;F1763&amp;"*",$H1764:$H$9844,"&lt;&gt;"))</f>
        <v>0</v>
      </c>
      <c r="O1763" s="162" t="str">
        <f>IFERROR((-Tabela2[[#This Row],[CUSTO TOTAL]]+Tabela2[[#This Row],[VENDA TOTAL]])/Tabela2[[#This Row],[VENDA TOTAL]]-PARAMETROS!$C$19,"")</f>
        <v/>
      </c>
      <c r="AA1763" s="219">
        <f>SUM(Plan_Orc[[#This Row],[01/jan]:[01/dez]])</f>
        <v>0</v>
      </c>
      <c r="AB1763" s="15"/>
      <c r="AC1763" s="15"/>
      <c r="AD1763" s="15"/>
      <c r="AE1763" s="15"/>
      <c r="AF1763" s="15"/>
      <c r="AG1763" s="15"/>
      <c r="AH1763" s="15"/>
      <c r="AI1763" s="15"/>
      <c r="AJ1763" s="15"/>
      <c r="AK1763" s="15"/>
      <c r="AL1763" s="15"/>
      <c r="AM1763" s="15"/>
    </row>
    <row r="1764" spans="2:39" ht="25.2" customHeight="1" x14ac:dyDescent="0.3">
      <c r="B1764" s="13" t="str">
        <f t="shared" si="31"/>
        <v/>
      </c>
      <c r="C1764" s="18"/>
      <c r="D1764" s="19" t="str">
        <f>IF(Tabela2[[#This Row],[AGRUPADOR]]&lt;&gt;"",VLOOKUP(Tabela2[[#This Row],[AGRUPADOR]],Tabela1[],2,0),"")</f>
        <v/>
      </c>
      <c r="E1764" s="19" t="str">
        <f>IF(Tabela2[[#This Row],[AGRUPADOR]]&lt;&gt;"",VLOOKUP(Tabela2[[#This Row],[AGRUPADOR]],Tabela1[],4,0),"")</f>
        <v/>
      </c>
      <c r="F1764" s="14"/>
      <c r="G1764" s="6"/>
      <c r="H1764" s="6"/>
      <c r="I1764" s="25"/>
      <c r="J1764" s="7"/>
      <c r="K1764" s="15"/>
      <c r="L1764" s="379">
        <f>IF(H1764&lt;&gt;"",J1764*K1764,SUMIFS(L1765:L$9844,$F1765:$F$9844,"*"&amp;F1764&amp;"*",$H1765:$H$9844,"&lt;&gt;"))</f>
        <v>0</v>
      </c>
      <c r="M1764" s="379" t="str">
        <f>IF(Tabela2[[#This Row],[UNID.]]&lt;&gt;"",IFERROR(VLOOKUP(Tabela2[[#This Row],[AGRUPADOR]],Lucratividade!$D$4:$O$129,6,0),0),"")</f>
        <v/>
      </c>
      <c r="N1764" s="379">
        <f>IF(H1764&lt;&gt;"",J1764*M1764*I1764,SUMIFS(N1765:N$9844,$F1765:$F$9844,"*"&amp;F1764&amp;"*",$H1765:$H$9844,"&lt;&gt;"))</f>
        <v>0</v>
      </c>
      <c r="O1764" s="162" t="str">
        <f>IFERROR((-Tabela2[[#This Row],[CUSTO TOTAL]]+Tabela2[[#This Row],[VENDA TOTAL]])/Tabela2[[#This Row],[VENDA TOTAL]]-PARAMETROS!$C$19,"")</f>
        <v/>
      </c>
      <c r="AA1764" s="219">
        <f>SUM(Plan_Orc[[#This Row],[01/jan]:[01/dez]])</f>
        <v>0</v>
      </c>
      <c r="AB1764" s="15"/>
      <c r="AC1764" s="15"/>
      <c r="AD1764" s="15"/>
      <c r="AE1764" s="15"/>
      <c r="AF1764" s="15"/>
      <c r="AG1764" s="15"/>
      <c r="AH1764" s="15"/>
      <c r="AI1764" s="15"/>
      <c r="AJ1764" s="15"/>
      <c r="AK1764" s="15"/>
      <c r="AL1764" s="15"/>
      <c r="AM1764" s="15"/>
    </row>
    <row r="1765" spans="2:39" ht="25.2" customHeight="1" x14ac:dyDescent="0.3">
      <c r="B1765" s="13" t="str">
        <f t="shared" si="31"/>
        <v/>
      </c>
      <c r="C1765" s="18"/>
      <c r="D1765" s="19" t="str">
        <f>IF(Tabela2[[#This Row],[AGRUPADOR]]&lt;&gt;"",VLOOKUP(Tabela2[[#This Row],[AGRUPADOR]],Tabela1[],2,0),"")</f>
        <v/>
      </c>
      <c r="E1765" s="19" t="str">
        <f>IF(Tabela2[[#This Row],[AGRUPADOR]]&lt;&gt;"",VLOOKUP(Tabela2[[#This Row],[AGRUPADOR]],Tabela1[],4,0),"")</f>
        <v/>
      </c>
      <c r="F1765" s="14"/>
      <c r="G1765" s="6"/>
      <c r="H1765" s="6"/>
      <c r="I1765" s="25"/>
      <c r="J1765" s="7"/>
      <c r="K1765" s="15"/>
      <c r="L1765" s="379">
        <f>IF(H1765&lt;&gt;"",J1765*K1765,SUMIFS(L1766:L$9844,$F1766:$F$9844,"*"&amp;F1765&amp;"*",$H1766:$H$9844,"&lt;&gt;"))</f>
        <v>0</v>
      </c>
      <c r="M1765" s="379" t="str">
        <f>IF(Tabela2[[#This Row],[UNID.]]&lt;&gt;"",IFERROR(VLOOKUP(Tabela2[[#This Row],[AGRUPADOR]],Lucratividade!$D$4:$O$129,6,0),0),"")</f>
        <v/>
      </c>
      <c r="N1765" s="379">
        <f>IF(H1765&lt;&gt;"",J1765*M1765*I1765,SUMIFS(N1766:N$9844,$F1766:$F$9844,"*"&amp;F1765&amp;"*",$H1766:$H$9844,"&lt;&gt;"))</f>
        <v>0</v>
      </c>
      <c r="O1765" s="162" t="str">
        <f>IFERROR((-Tabela2[[#This Row],[CUSTO TOTAL]]+Tabela2[[#This Row],[VENDA TOTAL]])/Tabela2[[#This Row],[VENDA TOTAL]]-PARAMETROS!$C$19,"")</f>
        <v/>
      </c>
      <c r="AA1765" s="219">
        <f>SUM(Plan_Orc[[#This Row],[01/jan]:[01/dez]])</f>
        <v>0</v>
      </c>
      <c r="AB1765" s="15"/>
      <c r="AC1765" s="15"/>
      <c r="AD1765" s="15"/>
      <c r="AE1765" s="15"/>
      <c r="AF1765" s="15"/>
      <c r="AG1765" s="15"/>
      <c r="AH1765" s="15"/>
      <c r="AI1765" s="15"/>
      <c r="AJ1765" s="15"/>
      <c r="AK1765" s="15"/>
      <c r="AL1765" s="15"/>
      <c r="AM1765" s="15"/>
    </row>
    <row r="1766" spans="2:39" ht="25.2" customHeight="1" x14ac:dyDescent="0.3">
      <c r="B1766" s="13" t="str">
        <f t="shared" si="31"/>
        <v/>
      </c>
      <c r="C1766" s="18"/>
      <c r="D1766" s="19" t="str">
        <f>IF(Tabela2[[#This Row],[AGRUPADOR]]&lt;&gt;"",VLOOKUP(Tabela2[[#This Row],[AGRUPADOR]],Tabela1[],2,0),"")</f>
        <v/>
      </c>
      <c r="E1766" s="19" t="str">
        <f>IF(Tabela2[[#This Row],[AGRUPADOR]]&lt;&gt;"",VLOOKUP(Tabela2[[#This Row],[AGRUPADOR]],Tabela1[],4,0),"")</f>
        <v/>
      </c>
      <c r="F1766" s="14"/>
      <c r="G1766" s="6"/>
      <c r="H1766" s="6"/>
      <c r="I1766" s="25"/>
      <c r="J1766" s="7"/>
      <c r="K1766" s="15"/>
      <c r="L1766" s="379">
        <f>IF(H1766&lt;&gt;"",J1766*K1766,SUMIFS(L1767:L$9844,$F1767:$F$9844,"*"&amp;F1766&amp;"*",$H1767:$H$9844,"&lt;&gt;"))</f>
        <v>0</v>
      </c>
      <c r="M1766" s="379" t="str">
        <f>IF(Tabela2[[#This Row],[UNID.]]&lt;&gt;"",IFERROR(VLOOKUP(Tabela2[[#This Row],[AGRUPADOR]],Lucratividade!$D$4:$O$129,6,0),0),"")</f>
        <v/>
      </c>
      <c r="N1766" s="379">
        <f>IF(H1766&lt;&gt;"",J1766*M1766*I1766,SUMIFS(N1767:N$9844,$F1767:$F$9844,"*"&amp;F1766&amp;"*",$H1767:$H$9844,"&lt;&gt;"))</f>
        <v>0</v>
      </c>
      <c r="O1766" s="162" t="str">
        <f>IFERROR((-Tabela2[[#This Row],[CUSTO TOTAL]]+Tabela2[[#This Row],[VENDA TOTAL]])/Tabela2[[#This Row],[VENDA TOTAL]]-PARAMETROS!$C$19,"")</f>
        <v/>
      </c>
      <c r="AA1766" s="219">
        <f>SUM(Plan_Orc[[#This Row],[01/jan]:[01/dez]])</f>
        <v>0</v>
      </c>
      <c r="AB1766" s="15"/>
      <c r="AC1766" s="15"/>
      <c r="AD1766" s="15"/>
      <c r="AE1766" s="15"/>
      <c r="AF1766" s="15"/>
      <c r="AG1766" s="15"/>
      <c r="AH1766" s="15"/>
      <c r="AI1766" s="15"/>
      <c r="AJ1766" s="15"/>
      <c r="AK1766" s="15"/>
      <c r="AL1766" s="15"/>
      <c r="AM1766" s="15"/>
    </row>
    <row r="1767" spans="2:39" ht="25.2" customHeight="1" x14ac:dyDescent="0.3">
      <c r="B1767" s="13" t="str">
        <f t="shared" si="31"/>
        <v/>
      </c>
      <c r="C1767" s="18"/>
      <c r="D1767" s="19" t="str">
        <f>IF(Tabela2[[#This Row],[AGRUPADOR]]&lt;&gt;"",VLOOKUP(Tabela2[[#This Row],[AGRUPADOR]],Tabela1[],2,0),"")</f>
        <v/>
      </c>
      <c r="E1767" s="19" t="str">
        <f>IF(Tabela2[[#This Row],[AGRUPADOR]]&lt;&gt;"",VLOOKUP(Tabela2[[#This Row],[AGRUPADOR]],Tabela1[],4,0),"")</f>
        <v/>
      </c>
      <c r="F1767" s="14"/>
      <c r="G1767" s="6"/>
      <c r="H1767" s="6"/>
      <c r="I1767" s="25"/>
      <c r="J1767" s="7"/>
      <c r="K1767" s="15"/>
      <c r="L1767" s="379">
        <f>IF(H1767&lt;&gt;"",J1767*K1767,SUMIFS(L1768:L$9844,$F1768:$F$9844,"*"&amp;F1767&amp;"*",$H1768:$H$9844,"&lt;&gt;"))</f>
        <v>0</v>
      </c>
      <c r="M1767" s="379" t="str">
        <f>IF(Tabela2[[#This Row],[UNID.]]&lt;&gt;"",IFERROR(VLOOKUP(Tabela2[[#This Row],[AGRUPADOR]],Lucratividade!$D$4:$O$129,6,0),0),"")</f>
        <v/>
      </c>
      <c r="N1767" s="379">
        <f>IF(H1767&lt;&gt;"",J1767*M1767*I1767,SUMIFS(N1768:N$9844,$F1768:$F$9844,"*"&amp;F1767&amp;"*",$H1768:$H$9844,"&lt;&gt;"))</f>
        <v>0</v>
      </c>
      <c r="O1767" s="162" t="str">
        <f>IFERROR((-Tabela2[[#This Row],[CUSTO TOTAL]]+Tabela2[[#This Row],[VENDA TOTAL]])/Tabela2[[#This Row],[VENDA TOTAL]]-PARAMETROS!$C$19,"")</f>
        <v/>
      </c>
      <c r="AA1767" s="219">
        <f>SUM(Plan_Orc[[#This Row],[01/jan]:[01/dez]])</f>
        <v>0</v>
      </c>
      <c r="AB1767" s="15"/>
      <c r="AC1767" s="15"/>
      <c r="AD1767" s="15"/>
      <c r="AE1767" s="15"/>
      <c r="AF1767" s="15"/>
      <c r="AG1767" s="15"/>
      <c r="AH1767" s="15"/>
      <c r="AI1767" s="15"/>
      <c r="AJ1767" s="15"/>
      <c r="AK1767" s="15"/>
      <c r="AL1767" s="15"/>
      <c r="AM1767" s="15"/>
    </row>
    <row r="1768" spans="2:39" ht="25.2" customHeight="1" x14ac:dyDescent="0.3">
      <c r="B1768" s="13" t="str">
        <f t="shared" si="31"/>
        <v/>
      </c>
      <c r="C1768" s="18"/>
      <c r="D1768" s="19" t="str">
        <f>IF(Tabela2[[#This Row],[AGRUPADOR]]&lt;&gt;"",VLOOKUP(Tabela2[[#This Row],[AGRUPADOR]],Tabela1[],2,0),"")</f>
        <v/>
      </c>
      <c r="E1768" s="19" t="str">
        <f>IF(Tabela2[[#This Row],[AGRUPADOR]]&lt;&gt;"",VLOOKUP(Tabela2[[#This Row],[AGRUPADOR]],Tabela1[],4,0),"")</f>
        <v/>
      </c>
      <c r="F1768" s="14"/>
      <c r="G1768" s="6"/>
      <c r="H1768" s="6"/>
      <c r="I1768" s="25"/>
      <c r="J1768" s="7"/>
      <c r="K1768" s="15"/>
      <c r="L1768" s="379">
        <f>IF(H1768&lt;&gt;"",J1768*K1768,SUMIFS(L1769:L$9844,$F1769:$F$9844,"*"&amp;F1768&amp;"*",$H1769:$H$9844,"&lt;&gt;"))</f>
        <v>0</v>
      </c>
      <c r="M1768" s="379" t="str">
        <f>IF(Tabela2[[#This Row],[UNID.]]&lt;&gt;"",IFERROR(VLOOKUP(Tabela2[[#This Row],[AGRUPADOR]],Lucratividade!$D$4:$O$129,6,0),0),"")</f>
        <v/>
      </c>
      <c r="N1768" s="379">
        <f>IF(H1768&lt;&gt;"",J1768*M1768*I1768,SUMIFS(N1769:N$9844,$F1769:$F$9844,"*"&amp;F1768&amp;"*",$H1769:$H$9844,"&lt;&gt;"))</f>
        <v>0</v>
      </c>
      <c r="O1768" s="162" t="str">
        <f>IFERROR((-Tabela2[[#This Row],[CUSTO TOTAL]]+Tabela2[[#This Row],[VENDA TOTAL]])/Tabela2[[#This Row],[VENDA TOTAL]]-PARAMETROS!$C$19,"")</f>
        <v/>
      </c>
      <c r="AA1768" s="219">
        <f>SUM(Plan_Orc[[#This Row],[01/jan]:[01/dez]])</f>
        <v>0</v>
      </c>
      <c r="AB1768" s="15"/>
      <c r="AC1768" s="15"/>
      <c r="AD1768" s="15"/>
      <c r="AE1768" s="15"/>
      <c r="AF1768" s="15"/>
      <c r="AG1768" s="15"/>
      <c r="AH1768" s="15"/>
      <c r="AI1768" s="15"/>
      <c r="AJ1768" s="15"/>
      <c r="AK1768" s="15"/>
      <c r="AL1768" s="15"/>
      <c r="AM1768" s="15"/>
    </row>
    <row r="1769" spans="2:39" ht="25.2" customHeight="1" x14ac:dyDescent="0.3">
      <c r="B1769" s="13" t="str">
        <f t="shared" si="31"/>
        <v/>
      </c>
      <c r="C1769" s="18"/>
      <c r="D1769" s="19" t="str">
        <f>IF(Tabela2[[#This Row],[AGRUPADOR]]&lt;&gt;"",VLOOKUP(Tabela2[[#This Row],[AGRUPADOR]],Tabela1[],2,0),"")</f>
        <v/>
      </c>
      <c r="E1769" s="19" t="str">
        <f>IF(Tabela2[[#This Row],[AGRUPADOR]]&lt;&gt;"",VLOOKUP(Tabela2[[#This Row],[AGRUPADOR]],Tabela1[],4,0),"")</f>
        <v/>
      </c>
      <c r="F1769" s="14"/>
      <c r="G1769" s="6"/>
      <c r="H1769" s="6"/>
      <c r="I1769" s="25"/>
      <c r="J1769" s="7"/>
      <c r="K1769" s="15"/>
      <c r="L1769" s="379">
        <f>IF(H1769&lt;&gt;"",J1769*K1769,SUMIFS(L1770:L$9844,$F1770:$F$9844,"*"&amp;F1769&amp;"*",$H1770:$H$9844,"&lt;&gt;"))</f>
        <v>0</v>
      </c>
      <c r="M1769" s="379" t="str">
        <f>IF(Tabela2[[#This Row],[UNID.]]&lt;&gt;"",IFERROR(VLOOKUP(Tabela2[[#This Row],[AGRUPADOR]],Lucratividade!$D$4:$O$129,6,0),0),"")</f>
        <v/>
      </c>
      <c r="N1769" s="379">
        <f>IF(H1769&lt;&gt;"",J1769*M1769*I1769,SUMIFS(N1770:N$9844,$F1770:$F$9844,"*"&amp;F1769&amp;"*",$H1770:$H$9844,"&lt;&gt;"))</f>
        <v>0</v>
      </c>
      <c r="O1769" s="162" t="str">
        <f>IFERROR((-Tabela2[[#This Row],[CUSTO TOTAL]]+Tabela2[[#This Row],[VENDA TOTAL]])/Tabela2[[#This Row],[VENDA TOTAL]]-PARAMETROS!$C$19,"")</f>
        <v/>
      </c>
      <c r="AA1769" s="219">
        <f>SUM(Plan_Orc[[#This Row],[01/jan]:[01/dez]])</f>
        <v>0</v>
      </c>
      <c r="AB1769" s="15"/>
      <c r="AC1769" s="15"/>
      <c r="AD1769" s="15"/>
      <c r="AE1769" s="15"/>
      <c r="AF1769" s="15"/>
      <c r="AG1769" s="15"/>
      <c r="AH1769" s="15"/>
      <c r="AI1769" s="15"/>
      <c r="AJ1769" s="15"/>
      <c r="AK1769" s="15"/>
      <c r="AL1769" s="15"/>
      <c r="AM1769" s="15"/>
    </row>
    <row r="1770" spans="2:39" ht="25.2" customHeight="1" x14ac:dyDescent="0.3">
      <c r="B1770" s="13" t="str">
        <f t="shared" si="31"/>
        <v/>
      </c>
      <c r="C1770" s="18"/>
      <c r="D1770" s="19" t="str">
        <f>IF(Tabela2[[#This Row],[AGRUPADOR]]&lt;&gt;"",VLOOKUP(Tabela2[[#This Row],[AGRUPADOR]],Tabela1[],2,0),"")</f>
        <v/>
      </c>
      <c r="E1770" s="19" t="str">
        <f>IF(Tabela2[[#This Row],[AGRUPADOR]]&lt;&gt;"",VLOOKUP(Tabela2[[#This Row],[AGRUPADOR]],Tabela1[],4,0),"")</f>
        <v/>
      </c>
      <c r="F1770" s="14"/>
      <c r="G1770" s="6"/>
      <c r="H1770" s="6"/>
      <c r="I1770" s="25"/>
      <c r="J1770" s="7"/>
      <c r="K1770" s="15"/>
      <c r="L1770" s="379">
        <f>IF(H1770&lt;&gt;"",J1770*K1770,SUMIFS(L1771:L$9844,$F1771:$F$9844,"*"&amp;F1770&amp;"*",$H1771:$H$9844,"&lt;&gt;"))</f>
        <v>0</v>
      </c>
      <c r="M1770" s="379" t="str">
        <f>IF(Tabela2[[#This Row],[UNID.]]&lt;&gt;"",IFERROR(VLOOKUP(Tabela2[[#This Row],[AGRUPADOR]],Lucratividade!$D$4:$O$129,6,0),0),"")</f>
        <v/>
      </c>
      <c r="N1770" s="379">
        <f>IF(H1770&lt;&gt;"",J1770*M1770*I1770,SUMIFS(N1771:N$9844,$F1771:$F$9844,"*"&amp;F1770&amp;"*",$H1771:$H$9844,"&lt;&gt;"))</f>
        <v>0</v>
      </c>
      <c r="O1770" s="162" t="str">
        <f>IFERROR((-Tabela2[[#This Row],[CUSTO TOTAL]]+Tabela2[[#This Row],[VENDA TOTAL]])/Tabela2[[#This Row],[VENDA TOTAL]]-PARAMETROS!$C$19,"")</f>
        <v/>
      </c>
      <c r="AA1770" s="219">
        <f>SUM(Plan_Orc[[#This Row],[01/jan]:[01/dez]])</f>
        <v>0</v>
      </c>
      <c r="AB1770" s="15"/>
      <c r="AC1770" s="15"/>
      <c r="AD1770" s="15"/>
      <c r="AE1770" s="15"/>
      <c r="AF1770" s="15"/>
      <c r="AG1770" s="15"/>
      <c r="AH1770" s="15"/>
      <c r="AI1770" s="15"/>
      <c r="AJ1770" s="15"/>
      <c r="AK1770" s="15"/>
      <c r="AL1770" s="15"/>
      <c r="AM1770" s="15"/>
    </row>
    <row r="1771" spans="2:39" ht="25.2" customHeight="1" x14ac:dyDescent="0.3">
      <c r="B1771" s="13" t="str">
        <f t="shared" si="31"/>
        <v/>
      </c>
      <c r="C1771" s="18"/>
      <c r="D1771" s="19" t="str">
        <f>IF(Tabela2[[#This Row],[AGRUPADOR]]&lt;&gt;"",VLOOKUP(Tabela2[[#This Row],[AGRUPADOR]],Tabela1[],2,0),"")</f>
        <v/>
      </c>
      <c r="E1771" s="19" t="str">
        <f>IF(Tabela2[[#This Row],[AGRUPADOR]]&lt;&gt;"",VLOOKUP(Tabela2[[#This Row],[AGRUPADOR]],Tabela1[],4,0),"")</f>
        <v/>
      </c>
      <c r="F1771" s="14"/>
      <c r="G1771" s="6"/>
      <c r="H1771" s="6"/>
      <c r="I1771" s="25"/>
      <c r="J1771" s="7"/>
      <c r="K1771" s="15"/>
      <c r="L1771" s="379">
        <f>IF(H1771&lt;&gt;"",J1771*K1771,SUMIFS(L1772:L$9844,$F1772:$F$9844,"*"&amp;F1771&amp;"*",$H1772:$H$9844,"&lt;&gt;"))</f>
        <v>0</v>
      </c>
      <c r="M1771" s="379" t="str">
        <f>IF(Tabela2[[#This Row],[UNID.]]&lt;&gt;"",IFERROR(VLOOKUP(Tabela2[[#This Row],[AGRUPADOR]],Lucratividade!$D$4:$O$129,6,0),0),"")</f>
        <v/>
      </c>
      <c r="N1771" s="379">
        <f>IF(H1771&lt;&gt;"",J1771*M1771*I1771,SUMIFS(N1772:N$9844,$F1772:$F$9844,"*"&amp;F1771&amp;"*",$H1772:$H$9844,"&lt;&gt;"))</f>
        <v>0</v>
      </c>
      <c r="O1771" s="162" t="str">
        <f>IFERROR((-Tabela2[[#This Row],[CUSTO TOTAL]]+Tabela2[[#This Row],[VENDA TOTAL]])/Tabela2[[#This Row],[VENDA TOTAL]]-PARAMETROS!$C$19,"")</f>
        <v/>
      </c>
      <c r="AA1771" s="219">
        <f>SUM(Plan_Orc[[#This Row],[01/jan]:[01/dez]])</f>
        <v>0</v>
      </c>
      <c r="AB1771" s="15"/>
      <c r="AC1771" s="15"/>
      <c r="AD1771" s="15"/>
      <c r="AE1771" s="15"/>
      <c r="AF1771" s="15"/>
      <c r="AG1771" s="15"/>
      <c r="AH1771" s="15"/>
      <c r="AI1771" s="15"/>
      <c r="AJ1771" s="15"/>
      <c r="AK1771" s="15"/>
      <c r="AL1771" s="15"/>
      <c r="AM1771" s="15"/>
    </row>
    <row r="1772" spans="2:39" ht="25.2" customHeight="1" x14ac:dyDescent="0.3">
      <c r="B1772" s="13" t="str">
        <f t="shared" si="31"/>
        <v/>
      </c>
      <c r="C1772" s="18"/>
      <c r="D1772" s="19" t="str">
        <f>IF(Tabela2[[#This Row],[AGRUPADOR]]&lt;&gt;"",VLOOKUP(Tabela2[[#This Row],[AGRUPADOR]],Tabela1[],2,0),"")</f>
        <v/>
      </c>
      <c r="E1772" s="19" t="str">
        <f>IF(Tabela2[[#This Row],[AGRUPADOR]]&lt;&gt;"",VLOOKUP(Tabela2[[#This Row],[AGRUPADOR]],Tabela1[],4,0),"")</f>
        <v/>
      </c>
      <c r="F1772" s="14"/>
      <c r="G1772" s="6"/>
      <c r="H1772" s="6"/>
      <c r="I1772" s="25"/>
      <c r="J1772" s="7"/>
      <c r="K1772" s="15"/>
      <c r="L1772" s="379">
        <f>IF(H1772&lt;&gt;"",J1772*K1772,SUMIFS(L1773:L$9844,$F1773:$F$9844,"*"&amp;F1772&amp;"*",$H1773:$H$9844,"&lt;&gt;"))</f>
        <v>0</v>
      </c>
      <c r="M1772" s="379" t="str">
        <f>IF(Tabela2[[#This Row],[UNID.]]&lt;&gt;"",IFERROR(VLOOKUP(Tabela2[[#This Row],[AGRUPADOR]],Lucratividade!$D$4:$O$129,6,0),0),"")</f>
        <v/>
      </c>
      <c r="N1772" s="379">
        <f>IF(H1772&lt;&gt;"",J1772*M1772*I1772,SUMIFS(N1773:N$9844,$F1773:$F$9844,"*"&amp;F1772&amp;"*",$H1773:$H$9844,"&lt;&gt;"))</f>
        <v>0</v>
      </c>
      <c r="O1772" s="162" t="str">
        <f>IFERROR((-Tabela2[[#This Row],[CUSTO TOTAL]]+Tabela2[[#This Row],[VENDA TOTAL]])/Tabela2[[#This Row],[VENDA TOTAL]]-PARAMETROS!$C$19,"")</f>
        <v/>
      </c>
      <c r="AA1772" s="219">
        <f>SUM(Plan_Orc[[#This Row],[01/jan]:[01/dez]])</f>
        <v>0</v>
      </c>
      <c r="AB1772" s="15"/>
      <c r="AC1772" s="15"/>
      <c r="AD1772" s="15"/>
      <c r="AE1772" s="15"/>
      <c r="AF1772" s="15"/>
      <c r="AG1772" s="15"/>
      <c r="AH1772" s="15"/>
      <c r="AI1772" s="15"/>
      <c r="AJ1772" s="15"/>
      <c r="AK1772" s="15"/>
      <c r="AL1772" s="15"/>
      <c r="AM1772" s="15"/>
    </row>
    <row r="1773" spans="2:39" ht="25.2" customHeight="1" x14ac:dyDescent="0.3">
      <c r="B1773" s="13" t="str">
        <f t="shared" si="31"/>
        <v/>
      </c>
      <c r="C1773" s="18"/>
      <c r="D1773" s="19" t="str">
        <f>IF(Tabela2[[#This Row],[AGRUPADOR]]&lt;&gt;"",VLOOKUP(Tabela2[[#This Row],[AGRUPADOR]],Tabela1[],2,0),"")</f>
        <v/>
      </c>
      <c r="E1773" s="19" t="str">
        <f>IF(Tabela2[[#This Row],[AGRUPADOR]]&lt;&gt;"",VLOOKUP(Tabela2[[#This Row],[AGRUPADOR]],Tabela1[],4,0),"")</f>
        <v/>
      </c>
      <c r="F1773" s="14"/>
      <c r="G1773" s="6"/>
      <c r="H1773" s="6"/>
      <c r="I1773" s="25"/>
      <c r="J1773" s="7"/>
      <c r="K1773" s="15"/>
      <c r="L1773" s="379">
        <f>IF(H1773&lt;&gt;"",J1773*K1773,SUMIFS(L1774:L$9844,$F1774:$F$9844,"*"&amp;F1773&amp;"*",$H1774:$H$9844,"&lt;&gt;"))</f>
        <v>0</v>
      </c>
      <c r="M1773" s="379" t="str">
        <f>IF(Tabela2[[#This Row],[UNID.]]&lt;&gt;"",IFERROR(VLOOKUP(Tabela2[[#This Row],[AGRUPADOR]],Lucratividade!$D$4:$O$129,6,0),0),"")</f>
        <v/>
      </c>
      <c r="N1773" s="379">
        <f>IF(H1773&lt;&gt;"",J1773*M1773*I1773,SUMIFS(N1774:N$9844,$F1774:$F$9844,"*"&amp;F1773&amp;"*",$H1774:$H$9844,"&lt;&gt;"))</f>
        <v>0</v>
      </c>
      <c r="O1773" s="162" t="str">
        <f>IFERROR((-Tabela2[[#This Row],[CUSTO TOTAL]]+Tabela2[[#This Row],[VENDA TOTAL]])/Tabela2[[#This Row],[VENDA TOTAL]]-PARAMETROS!$C$19,"")</f>
        <v/>
      </c>
      <c r="AA1773" s="219">
        <f>SUM(Plan_Orc[[#This Row],[01/jan]:[01/dez]])</f>
        <v>0</v>
      </c>
      <c r="AB1773" s="15"/>
      <c r="AC1773" s="15"/>
      <c r="AD1773" s="15"/>
      <c r="AE1773" s="15"/>
      <c r="AF1773" s="15"/>
      <c r="AG1773" s="15"/>
      <c r="AH1773" s="15"/>
      <c r="AI1773" s="15"/>
      <c r="AJ1773" s="15"/>
      <c r="AK1773" s="15"/>
      <c r="AL1773" s="15"/>
      <c r="AM1773" s="15"/>
    </row>
    <row r="1774" spans="2:39" ht="25.2" customHeight="1" x14ac:dyDescent="0.3">
      <c r="B1774" s="13" t="str">
        <f t="shared" si="31"/>
        <v/>
      </c>
      <c r="C1774" s="18"/>
      <c r="D1774" s="19" t="str">
        <f>IF(Tabela2[[#This Row],[AGRUPADOR]]&lt;&gt;"",VLOOKUP(Tabela2[[#This Row],[AGRUPADOR]],Tabela1[],2,0),"")</f>
        <v/>
      </c>
      <c r="E1774" s="19" t="str">
        <f>IF(Tabela2[[#This Row],[AGRUPADOR]]&lt;&gt;"",VLOOKUP(Tabela2[[#This Row],[AGRUPADOR]],Tabela1[],4,0),"")</f>
        <v/>
      </c>
      <c r="F1774" s="14"/>
      <c r="G1774" s="6"/>
      <c r="H1774" s="6"/>
      <c r="I1774" s="25"/>
      <c r="J1774" s="7"/>
      <c r="K1774" s="15"/>
      <c r="L1774" s="379">
        <f>IF(H1774&lt;&gt;"",J1774*K1774,SUMIFS(L1775:L$9844,$F1775:$F$9844,"*"&amp;F1774&amp;"*",$H1775:$H$9844,"&lt;&gt;"))</f>
        <v>0</v>
      </c>
      <c r="M1774" s="379" t="str">
        <f>IF(Tabela2[[#This Row],[UNID.]]&lt;&gt;"",IFERROR(VLOOKUP(Tabela2[[#This Row],[AGRUPADOR]],Lucratividade!$D$4:$O$129,6,0),0),"")</f>
        <v/>
      </c>
      <c r="N1774" s="379">
        <f>IF(H1774&lt;&gt;"",J1774*M1774*I1774,SUMIFS(N1775:N$9844,$F1775:$F$9844,"*"&amp;F1774&amp;"*",$H1775:$H$9844,"&lt;&gt;"))</f>
        <v>0</v>
      </c>
      <c r="O1774" s="162" t="str">
        <f>IFERROR((-Tabela2[[#This Row],[CUSTO TOTAL]]+Tabela2[[#This Row],[VENDA TOTAL]])/Tabela2[[#This Row],[VENDA TOTAL]]-PARAMETROS!$C$19,"")</f>
        <v/>
      </c>
      <c r="AA1774" s="219">
        <f>SUM(Plan_Orc[[#This Row],[01/jan]:[01/dez]])</f>
        <v>0</v>
      </c>
      <c r="AB1774" s="15"/>
      <c r="AC1774" s="15"/>
      <c r="AD1774" s="15"/>
      <c r="AE1774" s="15"/>
      <c r="AF1774" s="15"/>
      <c r="AG1774" s="15"/>
      <c r="AH1774" s="15"/>
      <c r="AI1774" s="15"/>
      <c r="AJ1774" s="15"/>
      <c r="AK1774" s="15"/>
      <c r="AL1774" s="15"/>
      <c r="AM1774" s="15"/>
    </row>
    <row r="1775" spans="2:39" ht="25.2" customHeight="1" x14ac:dyDescent="0.3">
      <c r="B1775" s="13" t="str">
        <f t="shared" si="31"/>
        <v/>
      </c>
      <c r="C1775" s="18"/>
      <c r="D1775" s="19" t="str">
        <f>IF(Tabela2[[#This Row],[AGRUPADOR]]&lt;&gt;"",VLOOKUP(Tabela2[[#This Row],[AGRUPADOR]],Tabela1[],2,0),"")</f>
        <v/>
      </c>
      <c r="E1775" s="19" t="str">
        <f>IF(Tabela2[[#This Row],[AGRUPADOR]]&lt;&gt;"",VLOOKUP(Tabela2[[#This Row],[AGRUPADOR]],Tabela1[],4,0),"")</f>
        <v/>
      </c>
      <c r="F1775" s="14"/>
      <c r="G1775" s="6"/>
      <c r="H1775" s="6"/>
      <c r="I1775" s="25"/>
      <c r="J1775" s="7"/>
      <c r="K1775" s="15"/>
      <c r="L1775" s="379">
        <f>IF(H1775&lt;&gt;"",J1775*K1775,SUMIFS(L1776:L$9844,$F1776:$F$9844,"*"&amp;F1775&amp;"*",$H1776:$H$9844,"&lt;&gt;"))</f>
        <v>0</v>
      </c>
      <c r="M1775" s="379" t="str">
        <f>IF(Tabela2[[#This Row],[UNID.]]&lt;&gt;"",IFERROR(VLOOKUP(Tabela2[[#This Row],[AGRUPADOR]],Lucratividade!$D$4:$O$129,6,0),0),"")</f>
        <v/>
      </c>
      <c r="N1775" s="379">
        <f>IF(H1775&lt;&gt;"",J1775*M1775*I1775,SUMIFS(N1776:N$9844,$F1776:$F$9844,"*"&amp;F1775&amp;"*",$H1776:$H$9844,"&lt;&gt;"))</f>
        <v>0</v>
      </c>
      <c r="O1775" s="162" t="str">
        <f>IFERROR((-Tabela2[[#This Row],[CUSTO TOTAL]]+Tabela2[[#This Row],[VENDA TOTAL]])/Tabela2[[#This Row],[VENDA TOTAL]]-PARAMETROS!$C$19,"")</f>
        <v/>
      </c>
      <c r="AA1775" s="219">
        <f>SUM(Plan_Orc[[#This Row],[01/jan]:[01/dez]])</f>
        <v>0</v>
      </c>
      <c r="AB1775" s="15"/>
      <c r="AC1775" s="15"/>
      <c r="AD1775" s="15"/>
      <c r="AE1775" s="15"/>
      <c r="AF1775" s="15"/>
      <c r="AG1775" s="15"/>
      <c r="AH1775" s="15"/>
      <c r="AI1775" s="15"/>
      <c r="AJ1775" s="15"/>
      <c r="AK1775" s="15"/>
      <c r="AL1775" s="15"/>
      <c r="AM1775" s="15"/>
    </row>
    <row r="1776" spans="2:39" ht="25.2" customHeight="1" x14ac:dyDescent="0.3">
      <c r="B1776" s="13" t="str">
        <f t="shared" si="31"/>
        <v/>
      </c>
      <c r="C1776" s="18"/>
      <c r="D1776" s="19" t="str">
        <f>IF(Tabela2[[#This Row],[AGRUPADOR]]&lt;&gt;"",VLOOKUP(Tabela2[[#This Row],[AGRUPADOR]],Tabela1[],2,0),"")</f>
        <v/>
      </c>
      <c r="E1776" s="19" t="str">
        <f>IF(Tabela2[[#This Row],[AGRUPADOR]]&lt;&gt;"",VLOOKUP(Tabela2[[#This Row],[AGRUPADOR]],Tabela1[],4,0),"")</f>
        <v/>
      </c>
      <c r="F1776" s="14"/>
      <c r="G1776" s="6"/>
      <c r="H1776" s="6"/>
      <c r="I1776" s="25"/>
      <c r="J1776" s="7"/>
      <c r="K1776" s="15"/>
      <c r="L1776" s="379">
        <f>IF(H1776&lt;&gt;"",J1776*K1776,SUMIFS(L1777:L$9844,$F1777:$F$9844,"*"&amp;F1776&amp;"*",$H1777:$H$9844,"&lt;&gt;"))</f>
        <v>0</v>
      </c>
      <c r="M1776" s="379" t="str">
        <f>IF(Tabela2[[#This Row],[UNID.]]&lt;&gt;"",IFERROR(VLOOKUP(Tabela2[[#This Row],[AGRUPADOR]],Lucratividade!$D$4:$O$129,6,0),0),"")</f>
        <v/>
      </c>
      <c r="N1776" s="379">
        <f>IF(H1776&lt;&gt;"",J1776*M1776*I1776,SUMIFS(N1777:N$9844,$F1777:$F$9844,"*"&amp;F1776&amp;"*",$H1777:$H$9844,"&lt;&gt;"))</f>
        <v>0</v>
      </c>
      <c r="O1776" s="162" t="str">
        <f>IFERROR((-Tabela2[[#This Row],[CUSTO TOTAL]]+Tabela2[[#This Row],[VENDA TOTAL]])/Tabela2[[#This Row],[VENDA TOTAL]]-PARAMETROS!$C$19,"")</f>
        <v/>
      </c>
      <c r="AA1776" s="219">
        <f>SUM(Plan_Orc[[#This Row],[01/jan]:[01/dez]])</f>
        <v>0</v>
      </c>
      <c r="AB1776" s="15"/>
      <c r="AC1776" s="15"/>
      <c r="AD1776" s="15"/>
      <c r="AE1776" s="15"/>
      <c r="AF1776" s="15"/>
      <c r="AG1776" s="15"/>
      <c r="AH1776" s="15"/>
      <c r="AI1776" s="15"/>
      <c r="AJ1776" s="15"/>
      <c r="AK1776" s="15"/>
      <c r="AL1776" s="15"/>
      <c r="AM1776" s="15"/>
    </row>
    <row r="1777" spans="2:39" ht="25.2" customHeight="1" x14ac:dyDescent="0.3">
      <c r="B1777" s="13" t="str">
        <f t="shared" si="31"/>
        <v/>
      </c>
      <c r="C1777" s="18"/>
      <c r="D1777" s="19" t="str">
        <f>IF(Tabela2[[#This Row],[AGRUPADOR]]&lt;&gt;"",VLOOKUP(Tabela2[[#This Row],[AGRUPADOR]],Tabela1[],2,0),"")</f>
        <v/>
      </c>
      <c r="E1777" s="19" t="str">
        <f>IF(Tabela2[[#This Row],[AGRUPADOR]]&lt;&gt;"",VLOOKUP(Tabela2[[#This Row],[AGRUPADOR]],Tabela1[],4,0),"")</f>
        <v/>
      </c>
      <c r="F1777" s="14"/>
      <c r="G1777" s="6"/>
      <c r="H1777" s="6"/>
      <c r="I1777" s="25"/>
      <c r="J1777" s="7"/>
      <c r="K1777" s="15"/>
      <c r="L1777" s="379">
        <f>IF(H1777&lt;&gt;"",J1777*K1777,SUMIFS(L1778:L$9844,$F1778:$F$9844,"*"&amp;F1777&amp;"*",$H1778:$H$9844,"&lt;&gt;"))</f>
        <v>0</v>
      </c>
      <c r="M1777" s="379" t="str">
        <f>IF(Tabela2[[#This Row],[UNID.]]&lt;&gt;"",IFERROR(VLOOKUP(Tabela2[[#This Row],[AGRUPADOR]],Lucratividade!$D$4:$O$129,6,0),0),"")</f>
        <v/>
      </c>
      <c r="N1777" s="379">
        <f>IF(H1777&lt;&gt;"",J1777*M1777*I1777,SUMIFS(N1778:N$9844,$F1778:$F$9844,"*"&amp;F1777&amp;"*",$H1778:$H$9844,"&lt;&gt;"))</f>
        <v>0</v>
      </c>
      <c r="O1777" s="162" t="str">
        <f>IFERROR((-Tabela2[[#This Row],[CUSTO TOTAL]]+Tabela2[[#This Row],[VENDA TOTAL]])/Tabela2[[#This Row],[VENDA TOTAL]]-PARAMETROS!$C$19,"")</f>
        <v/>
      </c>
      <c r="AA1777" s="219">
        <f>SUM(Plan_Orc[[#This Row],[01/jan]:[01/dez]])</f>
        <v>0</v>
      </c>
      <c r="AB1777" s="15"/>
      <c r="AC1777" s="15"/>
      <c r="AD1777" s="15"/>
      <c r="AE1777" s="15"/>
      <c r="AF1777" s="15"/>
      <c r="AG1777" s="15"/>
      <c r="AH1777" s="15"/>
      <c r="AI1777" s="15"/>
      <c r="AJ1777" s="15"/>
      <c r="AK1777" s="15"/>
      <c r="AL1777" s="15"/>
      <c r="AM1777" s="15"/>
    </row>
    <row r="1778" spans="2:39" ht="25.2" customHeight="1" x14ac:dyDescent="0.3">
      <c r="B1778" s="13" t="str">
        <f t="shared" si="31"/>
        <v/>
      </c>
      <c r="C1778" s="18"/>
      <c r="D1778" s="19" t="str">
        <f>IF(Tabela2[[#This Row],[AGRUPADOR]]&lt;&gt;"",VLOOKUP(Tabela2[[#This Row],[AGRUPADOR]],Tabela1[],2,0),"")</f>
        <v/>
      </c>
      <c r="E1778" s="19" t="str">
        <f>IF(Tabela2[[#This Row],[AGRUPADOR]]&lt;&gt;"",VLOOKUP(Tabela2[[#This Row],[AGRUPADOR]],Tabela1[],4,0),"")</f>
        <v/>
      </c>
      <c r="F1778" s="14"/>
      <c r="G1778" s="6"/>
      <c r="H1778" s="6"/>
      <c r="I1778" s="25"/>
      <c r="J1778" s="7"/>
      <c r="K1778" s="15"/>
      <c r="L1778" s="379">
        <f>IF(H1778&lt;&gt;"",J1778*K1778,SUMIFS(L1779:L$9844,$F1779:$F$9844,"*"&amp;F1778&amp;"*",$H1779:$H$9844,"&lt;&gt;"))</f>
        <v>0</v>
      </c>
      <c r="M1778" s="379" t="str">
        <f>IF(Tabela2[[#This Row],[UNID.]]&lt;&gt;"",IFERROR(VLOOKUP(Tabela2[[#This Row],[AGRUPADOR]],Lucratividade!$D$4:$O$129,6,0),0),"")</f>
        <v/>
      </c>
      <c r="N1778" s="379">
        <f>IF(H1778&lt;&gt;"",J1778*M1778*I1778,SUMIFS(N1779:N$9844,$F1779:$F$9844,"*"&amp;F1778&amp;"*",$H1779:$H$9844,"&lt;&gt;"))</f>
        <v>0</v>
      </c>
      <c r="O1778" s="162" t="str">
        <f>IFERROR((-Tabela2[[#This Row],[CUSTO TOTAL]]+Tabela2[[#This Row],[VENDA TOTAL]])/Tabela2[[#This Row],[VENDA TOTAL]]-PARAMETROS!$C$19,"")</f>
        <v/>
      </c>
      <c r="AA1778" s="219">
        <f>SUM(Plan_Orc[[#This Row],[01/jan]:[01/dez]])</f>
        <v>0</v>
      </c>
      <c r="AB1778" s="15"/>
      <c r="AC1778" s="15"/>
      <c r="AD1778" s="15"/>
      <c r="AE1778" s="15"/>
      <c r="AF1778" s="15"/>
      <c r="AG1778" s="15"/>
      <c r="AH1778" s="15"/>
      <c r="AI1778" s="15"/>
      <c r="AJ1778" s="15"/>
      <c r="AK1778" s="15"/>
      <c r="AL1778" s="15"/>
      <c r="AM1778" s="15"/>
    </row>
    <row r="1779" spans="2:39" ht="25.2" customHeight="1" x14ac:dyDescent="0.3">
      <c r="B1779" s="13" t="str">
        <f t="shared" si="31"/>
        <v/>
      </c>
      <c r="C1779" s="18"/>
      <c r="D1779" s="19" t="str">
        <f>IF(Tabela2[[#This Row],[AGRUPADOR]]&lt;&gt;"",VLOOKUP(Tabela2[[#This Row],[AGRUPADOR]],Tabela1[],2,0),"")</f>
        <v/>
      </c>
      <c r="E1779" s="19" t="str">
        <f>IF(Tabela2[[#This Row],[AGRUPADOR]]&lt;&gt;"",VLOOKUP(Tabela2[[#This Row],[AGRUPADOR]],Tabela1[],4,0),"")</f>
        <v/>
      </c>
      <c r="F1779" s="14"/>
      <c r="G1779" s="6"/>
      <c r="H1779" s="6"/>
      <c r="I1779" s="25"/>
      <c r="J1779" s="7"/>
      <c r="K1779" s="15"/>
      <c r="L1779" s="379">
        <f>IF(H1779&lt;&gt;"",J1779*K1779,SUMIFS(L1780:L$9844,$F1780:$F$9844,"*"&amp;F1779&amp;"*",$H1780:$H$9844,"&lt;&gt;"))</f>
        <v>0</v>
      </c>
      <c r="M1779" s="379" t="str">
        <f>IF(Tabela2[[#This Row],[UNID.]]&lt;&gt;"",IFERROR(VLOOKUP(Tabela2[[#This Row],[AGRUPADOR]],Lucratividade!$D$4:$O$129,6,0),0),"")</f>
        <v/>
      </c>
      <c r="N1779" s="379">
        <f>IF(H1779&lt;&gt;"",J1779*M1779*I1779,SUMIFS(N1780:N$9844,$F1780:$F$9844,"*"&amp;F1779&amp;"*",$H1780:$H$9844,"&lt;&gt;"))</f>
        <v>0</v>
      </c>
      <c r="O1779" s="162" t="str">
        <f>IFERROR((-Tabela2[[#This Row],[CUSTO TOTAL]]+Tabela2[[#This Row],[VENDA TOTAL]])/Tabela2[[#This Row],[VENDA TOTAL]]-PARAMETROS!$C$19,"")</f>
        <v/>
      </c>
      <c r="AA1779" s="219">
        <f>SUM(Plan_Orc[[#This Row],[01/jan]:[01/dez]])</f>
        <v>0</v>
      </c>
      <c r="AB1779" s="15"/>
      <c r="AC1779" s="15"/>
      <c r="AD1779" s="15"/>
      <c r="AE1779" s="15"/>
      <c r="AF1779" s="15"/>
      <c r="AG1779" s="15"/>
      <c r="AH1779" s="15"/>
      <c r="AI1779" s="15"/>
      <c r="AJ1779" s="15"/>
      <c r="AK1779" s="15"/>
      <c r="AL1779" s="15"/>
      <c r="AM1779" s="15"/>
    </row>
    <row r="1780" spans="2:39" ht="25.2" customHeight="1" x14ac:dyDescent="0.3">
      <c r="B1780" s="13" t="str">
        <f t="shared" si="31"/>
        <v/>
      </c>
      <c r="C1780" s="18"/>
      <c r="D1780" s="19" t="str">
        <f>IF(Tabela2[[#This Row],[AGRUPADOR]]&lt;&gt;"",VLOOKUP(Tabela2[[#This Row],[AGRUPADOR]],Tabela1[],2,0),"")</f>
        <v/>
      </c>
      <c r="E1780" s="19" t="str">
        <f>IF(Tabela2[[#This Row],[AGRUPADOR]]&lt;&gt;"",VLOOKUP(Tabela2[[#This Row],[AGRUPADOR]],Tabela1[],4,0),"")</f>
        <v/>
      </c>
      <c r="F1780" s="14"/>
      <c r="G1780" s="6"/>
      <c r="H1780" s="6"/>
      <c r="I1780" s="25"/>
      <c r="J1780" s="7"/>
      <c r="K1780" s="15"/>
      <c r="L1780" s="379">
        <f>IF(H1780&lt;&gt;"",J1780*K1780,SUMIFS(L1781:L$9844,$F1781:$F$9844,"*"&amp;F1780&amp;"*",$H1781:$H$9844,"&lt;&gt;"))</f>
        <v>0</v>
      </c>
      <c r="M1780" s="379" t="str">
        <f>IF(Tabela2[[#This Row],[UNID.]]&lt;&gt;"",IFERROR(VLOOKUP(Tabela2[[#This Row],[AGRUPADOR]],Lucratividade!$D$4:$O$129,6,0),0),"")</f>
        <v/>
      </c>
      <c r="N1780" s="379">
        <f>IF(H1780&lt;&gt;"",J1780*M1780*I1780,SUMIFS(N1781:N$9844,$F1781:$F$9844,"*"&amp;F1780&amp;"*",$H1781:$H$9844,"&lt;&gt;"))</f>
        <v>0</v>
      </c>
      <c r="O1780" s="162" t="str">
        <f>IFERROR((-Tabela2[[#This Row],[CUSTO TOTAL]]+Tabela2[[#This Row],[VENDA TOTAL]])/Tabela2[[#This Row],[VENDA TOTAL]]-PARAMETROS!$C$19,"")</f>
        <v/>
      </c>
      <c r="AA1780" s="218">
        <f>SUM(Plan_Orc[[#This Row],[01/jan]:[01/dez]])</f>
        <v>0</v>
      </c>
      <c r="AB1780" s="12"/>
      <c r="AC1780" s="12"/>
      <c r="AD1780" s="12"/>
      <c r="AE1780" s="12"/>
      <c r="AF1780" s="12"/>
      <c r="AG1780" s="12"/>
      <c r="AH1780" s="12"/>
      <c r="AI1780" s="12"/>
      <c r="AJ1780" s="12"/>
      <c r="AK1780" s="12"/>
      <c r="AL1780" s="12"/>
      <c r="AM1780" s="12"/>
    </row>
    <row r="1781" spans="2:39" ht="25.2" customHeight="1" x14ac:dyDescent="0.3">
      <c r="B1781" s="13" t="str">
        <f t="shared" si="31"/>
        <v/>
      </c>
      <c r="C1781" s="18"/>
      <c r="D1781" s="19" t="str">
        <f>IF(Tabela2[[#This Row],[AGRUPADOR]]&lt;&gt;"",VLOOKUP(Tabela2[[#This Row],[AGRUPADOR]],Tabela1[],2,0),"")</f>
        <v/>
      </c>
      <c r="E1781" s="19" t="str">
        <f>IF(Tabela2[[#This Row],[AGRUPADOR]]&lt;&gt;"",VLOOKUP(Tabela2[[#This Row],[AGRUPADOR]],Tabela1[],4,0),"")</f>
        <v/>
      </c>
      <c r="F1781" s="14"/>
      <c r="G1781" s="6"/>
      <c r="H1781" s="6"/>
      <c r="I1781" s="25"/>
      <c r="J1781" s="7"/>
      <c r="K1781" s="15"/>
      <c r="L1781" s="379">
        <f>IF(H1781&lt;&gt;"",J1781*K1781,SUMIFS(L1782:L$9844,$F1782:$F$9844,"*"&amp;F1781&amp;"*",$H1782:$H$9844,"&lt;&gt;"))</f>
        <v>0</v>
      </c>
      <c r="M1781" s="379" t="str">
        <f>IF(Tabela2[[#This Row],[UNID.]]&lt;&gt;"",IFERROR(VLOOKUP(Tabela2[[#This Row],[AGRUPADOR]],Lucratividade!$D$4:$O$129,6,0),0),"")</f>
        <v/>
      </c>
      <c r="N1781" s="379">
        <f>IF(H1781&lt;&gt;"",J1781*M1781*I1781,SUMIFS(N1782:N$9844,$F1782:$F$9844,"*"&amp;F1781&amp;"*",$H1782:$H$9844,"&lt;&gt;"))</f>
        <v>0</v>
      </c>
      <c r="O1781" s="162" t="str">
        <f>IFERROR((-Tabela2[[#This Row],[CUSTO TOTAL]]+Tabela2[[#This Row],[VENDA TOTAL]])/Tabela2[[#This Row],[VENDA TOTAL]]-PARAMETROS!$C$19,"")</f>
        <v/>
      </c>
      <c r="AA1781" s="219">
        <f>SUM(Plan_Orc[[#This Row],[01/jan]:[01/dez]])</f>
        <v>0</v>
      </c>
      <c r="AB1781" s="15"/>
      <c r="AC1781" s="15"/>
      <c r="AD1781" s="15"/>
      <c r="AE1781" s="15"/>
      <c r="AF1781" s="15"/>
      <c r="AG1781" s="15"/>
      <c r="AH1781" s="15"/>
      <c r="AI1781" s="15"/>
      <c r="AJ1781" s="15"/>
      <c r="AK1781" s="15"/>
      <c r="AL1781" s="15"/>
      <c r="AM1781" s="15"/>
    </row>
    <row r="1782" spans="2:39" ht="25.2" customHeight="1" x14ac:dyDescent="0.3">
      <c r="B1782" s="13" t="str">
        <f t="shared" si="31"/>
        <v/>
      </c>
      <c r="C1782" s="18"/>
      <c r="D1782" s="19" t="str">
        <f>IF(Tabela2[[#This Row],[AGRUPADOR]]&lt;&gt;"",VLOOKUP(Tabela2[[#This Row],[AGRUPADOR]],Tabela1[],2,0),"")</f>
        <v/>
      </c>
      <c r="E1782" s="19" t="str">
        <f>IF(Tabela2[[#This Row],[AGRUPADOR]]&lt;&gt;"",VLOOKUP(Tabela2[[#This Row],[AGRUPADOR]],Tabela1[],4,0),"")</f>
        <v/>
      </c>
      <c r="F1782" s="14"/>
      <c r="G1782" s="6"/>
      <c r="H1782" s="6"/>
      <c r="I1782" s="25"/>
      <c r="J1782" s="7"/>
      <c r="K1782" s="15"/>
      <c r="L1782" s="379">
        <f>IF(H1782&lt;&gt;"",J1782*K1782,SUMIFS(L1783:L$9844,$F1783:$F$9844,"*"&amp;F1782&amp;"*",$H1783:$H$9844,"&lt;&gt;"))</f>
        <v>0</v>
      </c>
      <c r="M1782" s="379" t="str">
        <f>IF(Tabela2[[#This Row],[UNID.]]&lt;&gt;"",IFERROR(VLOOKUP(Tabela2[[#This Row],[AGRUPADOR]],Lucratividade!$D$4:$O$129,6,0),0),"")</f>
        <v/>
      </c>
      <c r="N1782" s="379">
        <f>IF(H1782&lt;&gt;"",J1782*M1782*I1782,SUMIFS(N1783:N$9844,$F1783:$F$9844,"*"&amp;F1782&amp;"*",$H1783:$H$9844,"&lt;&gt;"))</f>
        <v>0</v>
      </c>
      <c r="O1782" s="162" t="str">
        <f>IFERROR((-Tabela2[[#This Row],[CUSTO TOTAL]]+Tabela2[[#This Row],[VENDA TOTAL]])/Tabela2[[#This Row],[VENDA TOTAL]]-PARAMETROS!$C$19,"")</f>
        <v/>
      </c>
      <c r="AA1782" s="219">
        <f>SUM(Plan_Orc[[#This Row],[01/jan]:[01/dez]])</f>
        <v>0</v>
      </c>
      <c r="AB1782" s="15"/>
      <c r="AC1782" s="15"/>
      <c r="AD1782" s="15"/>
      <c r="AE1782" s="15"/>
      <c r="AF1782" s="15"/>
      <c r="AG1782" s="15"/>
      <c r="AH1782" s="15"/>
      <c r="AI1782" s="15"/>
      <c r="AJ1782" s="15"/>
      <c r="AK1782" s="15"/>
      <c r="AL1782" s="15"/>
      <c r="AM1782" s="15"/>
    </row>
    <row r="1783" spans="2:39" ht="25.2" customHeight="1" x14ac:dyDescent="0.3">
      <c r="B1783" s="13" t="str">
        <f t="shared" si="31"/>
        <v/>
      </c>
      <c r="C1783" s="18"/>
      <c r="D1783" s="19" t="str">
        <f>IF(Tabela2[[#This Row],[AGRUPADOR]]&lt;&gt;"",VLOOKUP(Tabela2[[#This Row],[AGRUPADOR]],Tabela1[],2,0),"")</f>
        <v/>
      </c>
      <c r="E1783" s="19" t="str">
        <f>IF(Tabela2[[#This Row],[AGRUPADOR]]&lt;&gt;"",VLOOKUP(Tabela2[[#This Row],[AGRUPADOR]],Tabela1[],4,0),"")</f>
        <v/>
      </c>
      <c r="F1783" s="14"/>
      <c r="G1783" s="6"/>
      <c r="H1783" s="6"/>
      <c r="I1783" s="25"/>
      <c r="J1783" s="7"/>
      <c r="K1783" s="15"/>
      <c r="L1783" s="379">
        <f>IF(H1783&lt;&gt;"",J1783*K1783,SUMIFS(L1784:L$9844,$F1784:$F$9844,"*"&amp;F1783&amp;"*",$H1784:$H$9844,"&lt;&gt;"))</f>
        <v>0</v>
      </c>
      <c r="M1783" s="379" t="str">
        <f>IF(Tabela2[[#This Row],[UNID.]]&lt;&gt;"",IFERROR(VLOOKUP(Tabela2[[#This Row],[AGRUPADOR]],Lucratividade!$D$4:$O$129,6,0),0),"")</f>
        <v/>
      </c>
      <c r="N1783" s="379">
        <f>IF(H1783&lt;&gt;"",J1783*M1783*I1783,SUMIFS(N1784:N$9844,$F1784:$F$9844,"*"&amp;F1783&amp;"*",$H1784:$H$9844,"&lt;&gt;"))</f>
        <v>0</v>
      </c>
      <c r="O1783" s="162" t="str">
        <f>IFERROR((-Tabela2[[#This Row],[CUSTO TOTAL]]+Tabela2[[#This Row],[VENDA TOTAL]])/Tabela2[[#This Row],[VENDA TOTAL]]-PARAMETROS!$C$19,"")</f>
        <v/>
      </c>
      <c r="AA1783" s="219">
        <f>SUM(Plan_Orc[[#This Row],[01/jan]:[01/dez]])</f>
        <v>0</v>
      </c>
      <c r="AB1783" s="15"/>
      <c r="AC1783" s="15"/>
      <c r="AD1783" s="15"/>
      <c r="AE1783" s="15"/>
      <c r="AF1783" s="15"/>
      <c r="AG1783" s="15"/>
      <c r="AH1783" s="15"/>
      <c r="AI1783" s="15"/>
      <c r="AJ1783" s="15"/>
      <c r="AK1783" s="15"/>
      <c r="AL1783" s="15"/>
      <c r="AM1783" s="15"/>
    </row>
    <row r="1784" spans="2:39" ht="25.2" customHeight="1" x14ac:dyDescent="0.3">
      <c r="B1784" s="13" t="str">
        <f t="shared" si="31"/>
        <v/>
      </c>
      <c r="C1784" s="18"/>
      <c r="D1784" s="19" t="str">
        <f>IF(Tabela2[[#This Row],[AGRUPADOR]]&lt;&gt;"",VLOOKUP(Tabela2[[#This Row],[AGRUPADOR]],Tabela1[],2,0),"")</f>
        <v/>
      </c>
      <c r="E1784" s="19" t="str">
        <f>IF(Tabela2[[#This Row],[AGRUPADOR]]&lt;&gt;"",VLOOKUP(Tabela2[[#This Row],[AGRUPADOR]],Tabela1[],4,0),"")</f>
        <v/>
      </c>
      <c r="F1784" s="14"/>
      <c r="G1784" s="6"/>
      <c r="H1784" s="6"/>
      <c r="I1784" s="25"/>
      <c r="J1784" s="7"/>
      <c r="K1784" s="15"/>
      <c r="L1784" s="379">
        <f>IF(H1784&lt;&gt;"",J1784*K1784,SUMIFS(L1785:L$9844,$F1785:$F$9844,"*"&amp;F1784&amp;"*",$H1785:$H$9844,"&lt;&gt;"))</f>
        <v>0</v>
      </c>
      <c r="M1784" s="379" t="str">
        <f>IF(Tabela2[[#This Row],[UNID.]]&lt;&gt;"",IFERROR(VLOOKUP(Tabela2[[#This Row],[AGRUPADOR]],Lucratividade!$D$4:$O$129,6,0),0),"")</f>
        <v/>
      </c>
      <c r="N1784" s="379">
        <f>IF(H1784&lt;&gt;"",J1784*M1784*I1784,SUMIFS(N1785:N$9844,$F1785:$F$9844,"*"&amp;F1784&amp;"*",$H1785:$H$9844,"&lt;&gt;"))</f>
        <v>0</v>
      </c>
      <c r="O1784" s="162" t="str">
        <f>IFERROR((-Tabela2[[#This Row],[CUSTO TOTAL]]+Tabela2[[#This Row],[VENDA TOTAL]])/Tabela2[[#This Row],[VENDA TOTAL]]-PARAMETROS!$C$19,"")</f>
        <v/>
      </c>
      <c r="AA1784" s="219">
        <f>SUM(Plan_Orc[[#This Row],[01/jan]:[01/dez]])</f>
        <v>0</v>
      </c>
      <c r="AB1784" s="15"/>
      <c r="AC1784" s="15"/>
      <c r="AD1784" s="15"/>
      <c r="AE1784" s="15"/>
      <c r="AF1784" s="15"/>
      <c r="AG1784" s="15"/>
      <c r="AH1784" s="15"/>
      <c r="AI1784" s="15"/>
      <c r="AJ1784" s="15"/>
      <c r="AK1784" s="15"/>
      <c r="AL1784" s="15"/>
      <c r="AM1784" s="15"/>
    </row>
    <row r="1785" spans="2:39" ht="25.2" customHeight="1" x14ac:dyDescent="0.3">
      <c r="B1785" s="13" t="str">
        <f t="shared" si="31"/>
        <v/>
      </c>
      <c r="C1785" s="18"/>
      <c r="D1785" s="19" t="str">
        <f>IF(Tabela2[[#This Row],[AGRUPADOR]]&lt;&gt;"",VLOOKUP(Tabela2[[#This Row],[AGRUPADOR]],Tabela1[],2,0),"")</f>
        <v/>
      </c>
      <c r="E1785" s="19" t="str">
        <f>IF(Tabela2[[#This Row],[AGRUPADOR]]&lt;&gt;"",VLOOKUP(Tabela2[[#This Row],[AGRUPADOR]],Tabela1[],4,0),"")</f>
        <v/>
      </c>
      <c r="F1785" s="14"/>
      <c r="G1785" s="6"/>
      <c r="H1785" s="6"/>
      <c r="I1785" s="25"/>
      <c r="J1785" s="7"/>
      <c r="K1785" s="15"/>
      <c r="L1785" s="379">
        <f>IF(H1785&lt;&gt;"",J1785*K1785,SUMIFS(L1786:L$9844,$F1786:$F$9844,"*"&amp;F1785&amp;"*",$H1786:$H$9844,"&lt;&gt;"))</f>
        <v>0</v>
      </c>
      <c r="M1785" s="379" t="str">
        <f>IF(Tabela2[[#This Row],[UNID.]]&lt;&gt;"",IFERROR(VLOOKUP(Tabela2[[#This Row],[AGRUPADOR]],Lucratividade!$D$4:$O$129,6,0),0),"")</f>
        <v/>
      </c>
      <c r="N1785" s="379">
        <f>IF(H1785&lt;&gt;"",J1785*M1785*I1785,SUMIFS(N1786:N$9844,$F1786:$F$9844,"*"&amp;F1785&amp;"*",$H1786:$H$9844,"&lt;&gt;"))</f>
        <v>0</v>
      </c>
      <c r="O1785" s="162" t="str">
        <f>IFERROR((-Tabela2[[#This Row],[CUSTO TOTAL]]+Tabela2[[#This Row],[VENDA TOTAL]])/Tabela2[[#This Row],[VENDA TOTAL]]-PARAMETROS!$C$19,"")</f>
        <v/>
      </c>
      <c r="AA1785" s="219">
        <f>SUM(Plan_Orc[[#This Row],[01/jan]:[01/dez]])</f>
        <v>0</v>
      </c>
      <c r="AB1785" s="15"/>
      <c r="AC1785" s="15"/>
      <c r="AD1785" s="15"/>
      <c r="AE1785" s="15"/>
      <c r="AF1785" s="15"/>
      <c r="AG1785" s="15"/>
      <c r="AH1785" s="15"/>
      <c r="AI1785" s="15"/>
      <c r="AJ1785" s="15"/>
      <c r="AK1785" s="15"/>
      <c r="AL1785" s="15"/>
      <c r="AM1785" s="15"/>
    </row>
    <row r="1786" spans="2:39" ht="25.2" customHeight="1" x14ac:dyDescent="0.3">
      <c r="B1786" s="13" t="str">
        <f t="shared" si="31"/>
        <v/>
      </c>
      <c r="C1786" s="18"/>
      <c r="D1786" s="19" t="str">
        <f>IF(Tabela2[[#This Row],[AGRUPADOR]]&lt;&gt;"",VLOOKUP(Tabela2[[#This Row],[AGRUPADOR]],Tabela1[],2,0),"")</f>
        <v/>
      </c>
      <c r="E1786" s="19" t="str">
        <f>IF(Tabela2[[#This Row],[AGRUPADOR]]&lt;&gt;"",VLOOKUP(Tabela2[[#This Row],[AGRUPADOR]],Tabela1[],4,0),"")</f>
        <v/>
      </c>
      <c r="F1786" s="14"/>
      <c r="G1786" s="6"/>
      <c r="H1786" s="6"/>
      <c r="I1786" s="25"/>
      <c r="J1786" s="7"/>
      <c r="K1786" s="15"/>
      <c r="L1786" s="379">
        <f>IF(H1786&lt;&gt;"",J1786*K1786,SUMIFS(L1787:L$9844,$F1787:$F$9844,"*"&amp;F1786&amp;"*",$H1787:$H$9844,"&lt;&gt;"))</f>
        <v>0</v>
      </c>
      <c r="M1786" s="379" t="str">
        <f>IF(Tabela2[[#This Row],[UNID.]]&lt;&gt;"",IFERROR(VLOOKUP(Tabela2[[#This Row],[AGRUPADOR]],Lucratividade!$D$4:$O$129,6,0),0),"")</f>
        <v/>
      </c>
      <c r="N1786" s="379">
        <f>IF(H1786&lt;&gt;"",J1786*M1786*I1786,SUMIFS(N1787:N$9844,$F1787:$F$9844,"*"&amp;F1786&amp;"*",$H1787:$H$9844,"&lt;&gt;"))</f>
        <v>0</v>
      </c>
      <c r="O1786" s="162" t="str">
        <f>IFERROR((-Tabela2[[#This Row],[CUSTO TOTAL]]+Tabela2[[#This Row],[VENDA TOTAL]])/Tabela2[[#This Row],[VENDA TOTAL]]-PARAMETROS!$C$19,"")</f>
        <v/>
      </c>
      <c r="AA1786" s="219">
        <f>SUM(Plan_Orc[[#This Row],[01/jan]:[01/dez]])</f>
        <v>0</v>
      </c>
      <c r="AB1786" s="15"/>
      <c r="AC1786" s="15"/>
      <c r="AD1786" s="15"/>
      <c r="AE1786" s="15"/>
      <c r="AF1786" s="15"/>
      <c r="AG1786" s="15"/>
      <c r="AH1786" s="15"/>
      <c r="AI1786" s="15"/>
      <c r="AJ1786" s="15"/>
      <c r="AK1786" s="15"/>
      <c r="AL1786" s="15"/>
      <c r="AM1786" s="15"/>
    </row>
    <row r="1787" spans="2:39" ht="25.2" customHeight="1" x14ac:dyDescent="0.3">
      <c r="B1787" s="13" t="str">
        <f t="shared" si="31"/>
        <v/>
      </c>
      <c r="C1787" s="18"/>
      <c r="D1787" s="19" t="str">
        <f>IF(Tabela2[[#This Row],[AGRUPADOR]]&lt;&gt;"",VLOOKUP(Tabela2[[#This Row],[AGRUPADOR]],Tabela1[],2,0),"")</f>
        <v/>
      </c>
      <c r="E1787" s="19" t="str">
        <f>IF(Tabela2[[#This Row],[AGRUPADOR]]&lt;&gt;"",VLOOKUP(Tabela2[[#This Row],[AGRUPADOR]],Tabela1[],4,0),"")</f>
        <v/>
      </c>
      <c r="F1787" s="14"/>
      <c r="G1787" s="6"/>
      <c r="H1787" s="6"/>
      <c r="I1787" s="25"/>
      <c r="J1787" s="7"/>
      <c r="K1787" s="15"/>
      <c r="L1787" s="379">
        <f>IF(H1787&lt;&gt;"",J1787*K1787,SUMIFS(L1788:L$9844,$F1788:$F$9844,"*"&amp;F1787&amp;"*",$H1788:$H$9844,"&lt;&gt;"))</f>
        <v>0</v>
      </c>
      <c r="M1787" s="379" t="str">
        <f>IF(Tabela2[[#This Row],[UNID.]]&lt;&gt;"",IFERROR(VLOOKUP(Tabela2[[#This Row],[AGRUPADOR]],Lucratividade!$D$4:$O$129,6,0),0),"")</f>
        <v/>
      </c>
      <c r="N1787" s="379">
        <f>IF(H1787&lt;&gt;"",J1787*M1787*I1787,SUMIFS(N1788:N$9844,$F1788:$F$9844,"*"&amp;F1787&amp;"*",$H1788:$H$9844,"&lt;&gt;"))</f>
        <v>0</v>
      </c>
      <c r="O1787" s="162" t="str">
        <f>IFERROR((-Tabela2[[#This Row],[CUSTO TOTAL]]+Tabela2[[#This Row],[VENDA TOTAL]])/Tabela2[[#This Row],[VENDA TOTAL]]-PARAMETROS!$C$19,"")</f>
        <v/>
      </c>
      <c r="AA1787" s="219">
        <f>SUM(Plan_Orc[[#This Row],[01/jan]:[01/dez]])</f>
        <v>0</v>
      </c>
      <c r="AB1787" s="15"/>
      <c r="AC1787" s="15"/>
      <c r="AD1787" s="15"/>
      <c r="AE1787" s="15"/>
      <c r="AF1787" s="15"/>
      <c r="AG1787" s="15"/>
      <c r="AH1787" s="15"/>
      <c r="AI1787" s="15"/>
      <c r="AJ1787" s="15"/>
      <c r="AK1787" s="15"/>
      <c r="AL1787" s="15"/>
      <c r="AM1787" s="15"/>
    </row>
    <row r="1788" spans="2:39" ht="25.2" customHeight="1" x14ac:dyDescent="0.3">
      <c r="B1788" s="13" t="str">
        <f t="shared" si="31"/>
        <v/>
      </c>
      <c r="C1788" s="18"/>
      <c r="D1788" s="19" t="str">
        <f>IF(Tabela2[[#This Row],[AGRUPADOR]]&lt;&gt;"",VLOOKUP(Tabela2[[#This Row],[AGRUPADOR]],Tabela1[],2,0),"")</f>
        <v/>
      </c>
      <c r="E1788" s="19" t="str">
        <f>IF(Tabela2[[#This Row],[AGRUPADOR]]&lt;&gt;"",VLOOKUP(Tabela2[[#This Row],[AGRUPADOR]],Tabela1[],4,0),"")</f>
        <v/>
      </c>
      <c r="F1788" s="14"/>
      <c r="G1788" s="6"/>
      <c r="H1788" s="6"/>
      <c r="I1788" s="25"/>
      <c r="J1788" s="7"/>
      <c r="K1788" s="15"/>
      <c r="L1788" s="379">
        <f>IF(H1788&lt;&gt;"",J1788*K1788,SUMIFS(L1789:L$9844,$F1789:$F$9844,"*"&amp;F1788&amp;"*",$H1789:$H$9844,"&lt;&gt;"))</f>
        <v>0</v>
      </c>
      <c r="M1788" s="379" t="str">
        <f>IF(Tabela2[[#This Row],[UNID.]]&lt;&gt;"",IFERROR(VLOOKUP(Tabela2[[#This Row],[AGRUPADOR]],Lucratividade!$D$4:$O$129,6,0),0),"")</f>
        <v/>
      </c>
      <c r="N1788" s="379">
        <f>IF(H1788&lt;&gt;"",J1788*M1788*I1788,SUMIFS(N1789:N$9844,$F1789:$F$9844,"*"&amp;F1788&amp;"*",$H1789:$H$9844,"&lt;&gt;"))</f>
        <v>0</v>
      </c>
      <c r="O1788" s="162" t="str">
        <f>IFERROR((-Tabela2[[#This Row],[CUSTO TOTAL]]+Tabela2[[#This Row],[VENDA TOTAL]])/Tabela2[[#This Row],[VENDA TOTAL]]-PARAMETROS!$C$19,"")</f>
        <v/>
      </c>
      <c r="AA1788" s="219">
        <f>SUM(Plan_Orc[[#This Row],[01/jan]:[01/dez]])</f>
        <v>0</v>
      </c>
      <c r="AB1788" s="15"/>
      <c r="AC1788" s="15"/>
      <c r="AD1788" s="15"/>
      <c r="AE1788" s="15"/>
      <c r="AF1788" s="15"/>
      <c r="AG1788" s="15"/>
      <c r="AH1788" s="15"/>
      <c r="AI1788" s="15"/>
      <c r="AJ1788" s="15"/>
      <c r="AK1788" s="15"/>
      <c r="AL1788" s="15"/>
      <c r="AM1788" s="15"/>
    </row>
    <row r="1789" spans="2:39" ht="25.2" customHeight="1" x14ac:dyDescent="0.3">
      <c r="B1789" s="13" t="str">
        <f t="shared" si="31"/>
        <v/>
      </c>
      <c r="C1789" s="18"/>
      <c r="D1789" s="19" t="str">
        <f>IF(Tabela2[[#This Row],[AGRUPADOR]]&lt;&gt;"",VLOOKUP(Tabela2[[#This Row],[AGRUPADOR]],Tabela1[],2,0),"")</f>
        <v/>
      </c>
      <c r="E1789" s="19" t="str">
        <f>IF(Tabela2[[#This Row],[AGRUPADOR]]&lt;&gt;"",VLOOKUP(Tabela2[[#This Row],[AGRUPADOR]],Tabela1[],4,0),"")</f>
        <v/>
      </c>
      <c r="F1789" s="14"/>
      <c r="G1789" s="6"/>
      <c r="H1789" s="6"/>
      <c r="I1789" s="25"/>
      <c r="J1789" s="7"/>
      <c r="K1789" s="15"/>
      <c r="L1789" s="379">
        <f>IF(H1789&lt;&gt;"",J1789*K1789,SUMIFS(L1790:L$9844,$F1790:$F$9844,"*"&amp;F1789&amp;"*",$H1790:$H$9844,"&lt;&gt;"))</f>
        <v>0</v>
      </c>
      <c r="M1789" s="379" t="str">
        <f>IF(Tabela2[[#This Row],[UNID.]]&lt;&gt;"",IFERROR(VLOOKUP(Tabela2[[#This Row],[AGRUPADOR]],Lucratividade!$D$4:$O$129,6,0),0),"")</f>
        <v/>
      </c>
      <c r="N1789" s="379">
        <f>IF(H1789&lt;&gt;"",J1789*M1789*I1789,SUMIFS(N1790:N$9844,$F1790:$F$9844,"*"&amp;F1789&amp;"*",$H1790:$H$9844,"&lt;&gt;"))</f>
        <v>0</v>
      </c>
      <c r="O1789" s="162" t="str">
        <f>IFERROR((-Tabela2[[#This Row],[CUSTO TOTAL]]+Tabela2[[#This Row],[VENDA TOTAL]])/Tabela2[[#This Row],[VENDA TOTAL]]-PARAMETROS!$C$19,"")</f>
        <v/>
      </c>
      <c r="AA1789" s="219">
        <f>SUM(Plan_Orc[[#This Row],[01/jan]:[01/dez]])</f>
        <v>0</v>
      </c>
      <c r="AB1789" s="15"/>
      <c r="AC1789" s="15"/>
      <c r="AD1789" s="15"/>
      <c r="AE1789" s="15"/>
      <c r="AF1789" s="15"/>
      <c r="AG1789" s="15"/>
      <c r="AH1789" s="15"/>
      <c r="AI1789" s="15"/>
      <c r="AJ1789" s="15"/>
      <c r="AK1789" s="15"/>
      <c r="AL1789" s="15"/>
      <c r="AM1789" s="15"/>
    </row>
    <row r="1790" spans="2:39" ht="25.2" customHeight="1" x14ac:dyDescent="0.3">
      <c r="B1790" s="13" t="str">
        <f t="shared" si="31"/>
        <v/>
      </c>
      <c r="C1790" s="18"/>
      <c r="D1790" s="19" t="str">
        <f>IF(Tabela2[[#This Row],[AGRUPADOR]]&lt;&gt;"",VLOOKUP(Tabela2[[#This Row],[AGRUPADOR]],Tabela1[],2,0),"")</f>
        <v/>
      </c>
      <c r="E1790" s="19" t="str">
        <f>IF(Tabela2[[#This Row],[AGRUPADOR]]&lt;&gt;"",VLOOKUP(Tabela2[[#This Row],[AGRUPADOR]],Tabela1[],4,0),"")</f>
        <v/>
      </c>
      <c r="F1790" s="14"/>
      <c r="G1790" s="6"/>
      <c r="H1790" s="6"/>
      <c r="I1790" s="25"/>
      <c r="J1790" s="7"/>
      <c r="K1790" s="15"/>
      <c r="L1790" s="379">
        <f>IF(H1790&lt;&gt;"",J1790*K1790,SUMIFS(L1791:L$9844,$F1791:$F$9844,"*"&amp;F1790&amp;"*",$H1791:$H$9844,"&lt;&gt;"))</f>
        <v>0</v>
      </c>
      <c r="M1790" s="379" t="str">
        <f>IF(Tabela2[[#This Row],[UNID.]]&lt;&gt;"",IFERROR(VLOOKUP(Tabela2[[#This Row],[AGRUPADOR]],Lucratividade!$D$4:$O$129,6,0),0),"")</f>
        <v/>
      </c>
      <c r="N1790" s="379">
        <f>IF(H1790&lt;&gt;"",J1790*M1790*I1790,SUMIFS(N1791:N$9844,$F1791:$F$9844,"*"&amp;F1790&amp;"*",$H1791:$H$9844,"&lt;&gt;"))</f>
        <v>0</v>
      </c>
      <c r="O1790" s="162" t="str">
        <f>IFERROR((-Tabela2[[#This Row],[CUSTO TOTAL]]+Tabela2[[#This Row],[VENDA TOTAL]])/Tabela2[[#This Row],[VENDA TOTAL]]-PARAMETROS!$C$19,"")</f>
        <v/>
      </c>
      <c r="AA1790" s="224">
        <f>SUM(Plan_Orc[[#This Row],[01/jan]:[01/dez]])</f>
        <v>0</v>
      </c>
      <c r="AB1790" s="203"/>
      <c r="AC1790" s="203"/>
      <c r="AD1790" s="203"/>
      <c r="AE1790" s="203"/>
      <c r="AF1790" s="203"/>
      <c r="AG1790" s="203"/>
      <c r="AH1790" s="203"/>
      <c r="AI1790" s="203"/>
      <c r="AJ1790" s="203"/>
      <c r="AK1790" s="203"/>
      <c r="AL1790" s="203"/>
      <c r="AM1790" s="203"/>
    </row>
    <row r="1791" spans="2:39" ht="25.2" customHeight="1" x14ac:dyDescent="0.3">
      <c r="B1791" s="13" t="str">
        <f t="shared" si="31"/>
        <v/>
      </c>
      <c r="C1791" s="18"/>
      <c r="D1791" s="19" t="str">
        <f>IF(Tabela2[[#This Row],[AGRUPADOR]]&lt;&gt;"",VLOOKUP(Tabela2[[#This Row],[AGRUPADOR]],Tabela1[],2,0),"")</f>
        <v/>
      </c>
      <c r="E1791" s="19" t="str">
        <f>IF(Tabela2[[#This Row],[AGRUPADOR]]&lt;&gt;"",VLOOKUP(Tabela2[[#This Row],[AGRUPADOR]],Tabela1[],4,0),"")</f>
        <v/>
      </c>
      <c r="F1791" s="14"/>
      <c r="G1791" s="6"/>
      <c r="H1791" s="6"/>
      <c r="I1791" s="25"/>
      <c r="J1791" s="7"/>
      <c r="K1791" s="15"/>
      <c r="L1791" s="379">
        <f>IF(H1791&lt;&gt;"",J1791*K1791,SUMIFS(L1792:L$9844,$F1792:$F$9844,"*"&amp;F1791&amp;"*",$H1792:$H$9844,"&lt;&gt;"))</f>
        <v>0</v>
      </c>
      <c r="M1791" s="379" t="str">
        <f>IF(Tabela2[[#This Row],[UNID.]]&lt;&gt;"",IFERROR(VLOOKUP(Tabela2[[#This Row],[AGRUPADOR]],Lucratividade!$D$4:$O$129,6,0),0),"")</f>
        <v/>
      </c>
      <c r="N1791" s="379">
        <f>IF(H1791&lt;&gt;"",J1791*M1791*I1791,SUMIFS(N1792:N$9844,$F1792:$F$9844,"*"&amp;F1791&amp;"*",$H1792:$H$9844,"&lt;&gt;"))</f>
        <v>0</v>
      </c>
      <c r="O1791" s="162" t="str">
        <f>IFERROR((-Tabela2[[#This Row],[CUSTO TOTAL]]+Tabela2[[#This Row],[VENDA TOTAL]])/Tabela2[[#This Row],[VENDA TOTAL]]-PARAMETROS!$C$19,"")</f>
        <v/>
      </c>
      <c r="AA1791" s="218">
        <f>SUM(Plan_Orc[[#This Row],[01/jan]:[01/dez]])</f>
        <v>0</v>
      </c>
      <c r="AB1791" s="12"/>
      <c r="AC1791" s="12"/>
      <c r="AD1791" s="12"/>
      <c r="AE1791" s="12"/>
      <c r="AF1791" s="12"/>
      <c r="AG1791" s="12"/>
      <c r="AH1791" s="12"/>
      <c r="AI1791" s="12"/>
      <c r="AJ1791" s="12"/>
      <c r="AK1791" s="12"/>
      <c r="AL1791" s="12"/>
      <c r="AM1791" s="12"/>
    </row>
    <row r="1792" spans="2:39" ht="25.2" customHeight="1" x14ac:dyDescent="0.3">
      <c r="B1792" s="13" t="str">
        <f t="shared" si="31"/>
        <v/>
      </c>
      <c r="C1792" s="18"/>
      <c r="D1792" s="19" t="str">
        <f>IF(Tabela2[[#This Row],[AGRUPADOR]]&lt;&gt;"",VLOOKUP(Tabela2[[#This Row],[AGRUPADOR]],Tabela1[],2,0),"")</f>
        <v/>
      </c>
      <c r="E1792" s="19" t="str">
        <f>IF(Tabela2[[#This Row],[AGRUPADOR]]&lt;&gt;"",VLOOKUP(Tabela2[[#This Row],[AGRUPADOR]],Tabela1[],4,0),"")</f>
        <v/>
      </c>
      <c r="F1792" s="14"/>
      <c r="G1792" s="6"/>
      <c r="H1792" s="6"/>
      <c r="I1792" s="25"/>
      <c r="J1792" s="7"/>
      <c r="K1792" s="15"/>
      <c r="L1792" s="379">
        <f>IF(H1792&lt;&gt;"",J1792*K1792,SUMIFS(L1793:L$9844,$F1793:$F$9844,"*"&amp;F1792&amp;"*",$H1793:$H$9844,"&lt;&gt;"))</f>
        <v>0</v>
      </c>
      <c r="M1792" s="379" t="str">
        <f>IF(Tabela2[[#This Row],[UNID.]]&lt;&gt;"",IFERROR(VLOOKUP(Tabela2[[#This Row],[AGRUPADOR]],Lucratividade!$D$4:$O$129,6,0),0),"")</f>
        <v/>
      </c>
      <c r="N1792" s="379">
        <f>IF(H1792&lt;&gt;"",J1792*M1792*I1792,SUMIFS(N1793:N$9844,$F1793:$F$9844,"*"&amp;F1792&amp;"*",$H1793:$H$9844,"&lt;&gt;"))</f>
        <v>0</v>
      </c>
      <c r="O1792" s="162" t="str">
        <f>IFERROR((-Tabela2[[#This Row],[CUSTO TOTAL]]+Tabela2[[#This Row],[VENDA TOTAL]])/Tabela2[[#This Row],[VENDA TOTAL]]-PARAMETROS!$C$19,"")</f>
        <v/>
      </c>
      <c r="AA1792" s="219">
        <f>SUM(Plan_Orc[[#This Row],[01/jan]:[01/dez]])</f>
        <v>0</v>
      </c>
      <c r="AB1792" s="15"/>
      <c r="AC1792" s="15"/>
      <c r="AD1792" s="15"/>
      <c r="AE1792" s="15"/>
      <c r="AF1792" s="15"/>
      <c r="AG1792" s="15"/>
      <c r="AH1792" s="15"/>
      <c r="AI1792" s="15"/>
      <c r="AJ1792" s="15"/>
      <c r="AK1792" s="15"/>
      <c r="AL1792" s="15"/>
      <c r="AM1792" s="15"/>
    </row>
    <row r="1793" spans="2:39" ht="25.2" customHeight="1" x14ac:dyDescent="0.3">
      <c r="B1793" s="13" t="str">
        <f t="shared" si="31"/>
        <v/>
      </c>
      <c r="C1793" s="18"/>
      <c r="D1793" s="19" t="str">
        <f>IF(Tabela2[[#This Row],[AGRUPADOR]]&lt;&gt;"",VLOOKUP(Tabela2[[#This Row],[AGRUPADOR]],Tabela1[],2,0),"")</f>
        <v/>
      </c>
      <c r="E1793" s="19" t="str">
        <f>IF(Tabela2[[#This Row],[AGRUPADOR]]&lt;&gt;"",VLOOKUP(Tabela2[[#This Row],[AGRUPADOR]],Tabela1[],4,0),"")</f>
        <v/>
      </c>
      <c r="F1793" s="14"/>
      <c r="G1793" s="6"/>
      <c r="H1793" s="6"/>
      <c r="I1793" s="25"/>
      <c r="J1793" s="7"/>
      <c r="K1793" s="15"/>
      <c r="L1793" s="379">
        <f>IF(H1793&lt;&gt;"",J1793*K1793,SUMIFS(L1794:L$9844,$F1794:$F$9844,"*"&amp;F1793&amp;"*",$H1794:$H$9844,"&lt;&gt;"))</f>
        <v>0</v>
      </c>
      <c r="M1793" s="379" t="str">
        <f>IF(Tabela2[[#This Row],[UNID.]]&lt;&gt;"",IFERROR(VLOOKUP(Tabela2[[#This Row],[AGRUPADOR]],Lucratividade!$D$4:$O$129,6,0),0),"")</f>
        <v/>
      </c>
      <c r="N1793" s="379">
        <f>IF(H1793&lt;&gt;"",J1793*M1793*I1793,SUMIFS(N1794:N$9844,$F1794:$F$9844,"*"&amp;F1793&amp;"*",$H1794:$H$9844,"&lt;&gt;"))</f>
        <v>0</v>
      </c>
      <c r="O1793" s="162" t="str">
        <f>IFERROR((-Tabela2[[#This Row],[CUSTO TOTAL]]+Tabela2[[#This Row],[VENDA TOTAL]])/Tabela2[[#This Row],[VENDA TOTAL]]-PARAMETROS!$C$19,"")</f>
        <v/>
      </c>
      <c r="AA1793" s="219">
        <f>SUM(Plan_Orc[[#This Row],[01/jan]:[01/dez]])</f>
        <v>0</v>
      </c>
      <c r="AB1793" s="15"/>
      <c r="AC1793" s="15"/>
      <c r="AD1793" s="15"/>
      <c r="AE1793" s="15"/>
      <c r="AF1793" s="15"/>
      <c r="AG1793" s="15"/>
      <c r="AH1793" s="15"/>
      <c r="AI1793" s="15"/>
      <c r="AJ1793" s="15"/>
      <c r="AK1793" s="15"/>
      <c r="AL1793" s="15"/>
      <c r="AM1793" s="15"/>
    </row>
    <row r="1794" spans="2:39" ht="25.2" customHeight="1" x14ac:dyDescent="0.3">
      <c r="B1794" s="13" t="str">
        <f t="shared" si="31"/>
        <v/>
      </c>
      <c r="C1794" s="18"/>
      <c r="D1794" s="19" t="str">
        <f>IF(Tabela2[[#This Row],[AGRUPADOR]]&lt;&gt;"",VLOOKUP(Tabela2[[#This Row],[AGRUPADOR]],Tabela1[],2,0),"")</f>
        <v/>
      </c>
      <c r="E1794" s="19" t="str">
        <f>IF(Tabela2[[#This Row],[AGRUPADOR]]&lt;&gt;"",VLOOKUP(Tabela2[[#This Row],[AGRUPADOR]],Tabela1[],4,0),"")</f>
        <v/>
      </c>
      <c r="F1794" s="14"/>
      <c r="G1794" s="6"/>
      <c r="H1794" s="6"/>
      <c r="I1794" s="25"/>
      <c r="J1794" s="7"/>
      <c r="K1794" s="15"/>
      <c r="L1794" s="379">
        <f>IF(H1794&lt;&gt;"",J1794*K1794,SUMIFS(L1795:L$9844,$F1795:$F$9844,"*"&amp;F1794&amp;"*",$H1795:$H$9844,"&lt;&gt;"))</f>
        <v>0</v>
      </c>
      <c r="M1794" s="379" t="str">
        <f>IF(Tabela2[[#This Row],[UNID.]]&lt;&gt;"",IFERROR(VLOOKUP(Tabela2[[#This Row],[AGRUPADOR]],Lucratividade!$D$4:$O$129,6,0),0),"")</f>
        <v/>
      </c>
      <c r="N1794" s="379">
        <f>IF(H1794&lt;&gt;"",J1794*M1794*I1794,SUMIFS(N1795:N$9844,$F1795:$F$9844,"*"&amp;F1794&amp;"*",$H1795:$H$9844,"&lt;&gt;"))</f>
        <v>0</v>
      </c>
      <c r="O1794" s="162" t="str">
        <f>IFERROR((-Tabela2[[#This Row],[CUSTO TOTAL]]+Tabela2[[#This Row],[VENDA TOTAL]])/Tabela2[[#This Row],[VENDA TOTAL]]-PARAMETROS!$C$19,"")</f>
        <v/>
      </c>
      <c r="AA1794" s="219">
        <f>SUM(Plan_Orc[[#This Row],[01/jan]:[01/dez]])</f>
        <v>0</v>
      </c>
      <c r="AB1794" s="15"/>
      <c r="AC1794" s="15"/>
      <c r="AD1794" s="15"/>
      <c r="AE1794" s="15"/>
      <c r="AF1794" s="15"/>
      <c r="AG1794" s="15"/>
      <c r="AH1794" s="15"/>
      <c r="AI1794" s="15"/>
      <c r="AJ1794" s="15"/>
      <c r="AK1794" s="15"/>
      <c r="AL1794" s="15"/>
      <c r="AM1794" s="15"/>
    </row>
    <row r="1795" spans="2:39" ht="25.2" customHeight="1" x14ac:dyDescent="0.3">
      <c r="B1795" s="13" t="str">
        <f t="shared" si="31"/>
        <v/>
      </c>
      <c r="C1795" s="18"/>
      <c r="D1795" s="19" t="str">
        <f>IF(Tabela2[[#This Row],[AGRUPADOR]]&lt;&gt;"",VLOOKUP(Tabela2[[#This Row],[AGRUPADOR]],Tabela1[],2,0),"")</f>
        <v/>
      </c>
      <c r="E1795" s="19" t="str">
        <f>IF(Tabela2[[#This Row],[AGRUPADOR]]&lt;&gt;"",VLOOKUP(Tabela2[[#This Row],[AGRUPADOR]],Tabela1[],4,0),"")</f>
        <v/>
      </c>
      <c r="F1795" s="14"/>
      <c r="G1795" s="6"/>
      <c r="H1795" s="6"/>
      <c r="I1795" s="25"/>
      <c r="J1795" s="7"/>
      <c r="K1795" s="15"/>
      <c r="L1795" s="379">
        <f>IF(H1795&lt;&gt;"",J1795*K1795,SUMIFS(L1796:L$9844,$F1796:$F$9844,"*"&amp;F1795&amp;"*",$H1796:$H$9844,"&lt;&gt;"))</f>
        <v>0</v>
      </c>
      <c r="M1795" s="379" t="str">
        <f>IF(Tabela2[[#This Row],[UNID.]]&lt;&gt;"",IFERROR(VLOOKUP(Tabela2[[#This Row],[AGRUPADOR]],Lucratividade!$D$4:$O$129,6,0),0),"")</f>
        <v/>
      </c>
      <c r="N1795" s="379">
        <f>IF(H1795&lt;&gt;"",J1795*M1795*I1795,SUMIFS(N1796:N$9844,$F1796:$F$9844,"*"&amp;F1795&amp;"*",$H1796:$H$9844,"&lt;&gt;"))</f>
        <v>0</v>
      </c>
      <c r="O1795" s="162" t="str">
        <f>IFERROR((-Tabela2[[#This Row],[CUSTO TOTAL]]+Tabela2[[#This Row],[VENDA TOTAL]])/Tabela2[[#This Row],[VENDA TOTAL]]-PARAMETROS!$C$19,"")</f>
        <v/>
      </c>
      <c r="AA1795" s="219">
        <f>SUM(Plan_Orc[[#This Row],[01/jan]:[01/dez]])</f>
        <v>0</v>
      </c>
      <c r="AB1795" s="15"/>
      <c r="AC1795" s="15"/>
      <c r="AD1795" s="15"/>
      <c r="AE1795" s="15"/>
      <c r="AF1795" s="15"/>
      <c r="AG1795" s="15"/>
      <c r="AH1795" s="15"/>
      <c r="AI1795" s="15"/>
      <c r="AJ1795" s="15"/>
      <c r="AK1795" s="15"/>
      <c r="AL1795" s="15"/>
      <c r="AM1795" s="15"/>
    </row>
    <row r="1796" spans="2:39" ht="25.2" customHeight="1" x14ac:dyDescent="0.3">
      <c r="B1796" s="13" t="str">
        <f t="shared" ref="B1796:B1859" si="32">IF(LEN(F1796)=3,1,"")</f>
        <v/>
      </c>
      <c r="C1796" s="18"/>
      <c r="D1796" s="19" t="str">
        <f>IF(Tabela2[[#This Row],[AGRUPADOR]]&lt;&gt;"",VLOOKUP(Tabela2[[#This Row],[AGRUPADOR]],Tabela1[],2,0),"")</f>
        <v/>
      </c>
      <c r="E1796" s="19" t="str">
        <f>IF(Tabela2[[#This Row],[AGRUPADOR]]&lt;&gt;"",VLOOKUP(Tabela2[[#This Row],[AGRUPADOR]],Tabela1[],4,0),"")</f>
        <v/>
      </c>
      <c r="F1796" s="14"/>
      <c r="G1796" s="6"/>
      <c r="H1796" s="6"/>
      <c r="I1796" s="25"/>
      <c r="J1796" s="7"/>
      <c r="K1796" s="15"/>
      <c r="L1796" s="379">
        <f>IF(H1796&lt;&gt;"",J1796*K1796,SUMIFS(L1797:L$9844,$F1797:$F$9844,"*"&amp;F1796&amp;"*",$H1797:$H$9844,"&lt;&gt;"))</f>
        <v>0</v>
      </c>
      <c r="M1796" s="379" t="str">
        <f>IF(Tabela2[[#This Row],[UNID.]]&lt;&gt;"",IFERROR(VLOOKUP(Tabela2[[#This Row],[AGRUPADOR]],Lucratividade!$D$4:$O$129,6,0),0),"")</f>
        <v/>
      </c>
      <c r="N1796" s="379">
        <f>IF(H1796&lt;&gt;"",J1796*M1796*I1796,SUMIFS(N1797:N$9844,$F1797:$F$9844,"*"&amp;F1796&amp;"*",$H1797:$H$9844,"&lt;&gt;"))</f>
        <v>0</v>
      </c>
      <c r="O1796" s="162" t="str">
        <f>IFERROR((-Tabela2[[#This Row],[CUSTO TOTAL]]+Tabela2[[#This Row],[VENDA TOTAL]])/Tabela2[[#This Row],[VENDA TOTAL]]-PARAMETROS!$C$19,"")</f>
        <v/>
      </c>
      <c r="AA1796" s="219">
        <f>SUM(Plan_Orc[[#This Row],[01/jan]:[01/dez]])</f>
        <v>0</v>
      </c>
      <c r="AB1796" s="15"/>
      <c r="AC1796" s="15"/>
      <c r="AD1796" s="15"/>
      <c r="AE1796" s="15"/>
      <c r="AF1796" s="15"/>
      <c r="AG1796" s="15"/>
      <c r="AH1796" s="15"/>
      <c r="AI1796" s="15"/>
      <c r="AJ1796" s="15"/>
      <c r="AK1796" s="15"/>
      <c r="AL1796" s="15"/>
      <c r="AM1796" s="15"/>
    </row>
    <row r="1797" spans="2:39" ht="25.2" customHeight="1" x14ac:dyDescent="0.3">
      <c r="B1797" s="13" t="str">
        <f t="shared" si="32"/>
        <v/>
      </c>
      <c r="C1797" s="18"/>
      <c r="D1797" s="19" t="str">
        <f>IF(Tabela2[[#This Row],[AGRUPADOR]]&lt;&gt;"",VLOOKUP(Tabela2[[#This Row],[AGRUPADOR]],Tabela1[],2,0),"")</f>
        <v/>
      </c>
      <c r="E1797" s="19" t="str">
        <f>IF(Tabela2[[#This Row],[AGRUPADOR]]&lt;&gt;"",VLOOKUP(Tabela2[[#This Row],[AGRUPADOR]],Tabela1[],4,0),"")</f>
        <v/>
      </c>
      <c r="F1797" s="14"/>
      <c r="G1797" s="6"/>
      <c r="H1797" s="6"/>
      <c r="I1797" s="25"/>
      <c r="J1797" s="7"/>
      <c r="K1797" s="15"/>
      <c r="L1797" s="379">
        <f>IF(H1797&lt;&gt;"",J1797*K1797,SUMIFS(L1798:L$9844,$F1798:$F$9844,"*"&amp;F1797&amp;"*",$H1798:$H$9844,"&lt;&gt;"))</f>
        <v>0</v>
      </c>
      <c r="M1797" s="379" t="str">
        <f>IF(Tabela2[[#This Row],[UNID.]]&lt;&gt;"",IFERROR(VLOOKUP(Tabela2[[#This Row],[AGRUPADOR]],Lucratividade!$D$4:$O$129,6,0),0),"")</f>
        <v/>
      </c>
      <c r="N1797" s="379">
        <f>IF(H1797&lt;&gt;"",J1797*M1797*I1797,SUMIFS(N1798:N$9844,$F1798:$F$9844,"*"&amp;F1797&amp;"*",$H1798:$H$9844,"&lt;&gt;"))</f>
        <v>0</v>
      </c>
      <c r="O1797" s="162" t="str">
        <f>IFERROR((-Tabela2[[#This Row],[CUSTO TOTAL]]+Tabela2[[#This Row],[VENDA TOTAL]])/Tabela2[[#This Row],[VENDA TOTAL]]-PARAMETROS!$C$19,"")</f>
        <v/>
      </c>
      <c r="AA1797" s="219">
        <f>SUM(Plan_Orc[[#This Row],[01/jan]:[01/dez]])</f>
        <v>0</v>
      </c>
      <c r="AB1797" s="15"/>
      <c r="AC1797" s="15"/>
      <c r="AD1797" s="15"/>
      <c r="AE1797" s="15"/>
      <c r="AF1797" s="15"/>
      <c r="AG1797" s="15"/>
      <c r="AH1797" s="15"/>
      <c r="AI1797" s="15"/>
      <c r="AJ1797" s="15"/>
      <c r="AK1797" s="15"/>
      <c r="AL1797" s="15"/>
      <c r="AM1797" s="15"/>
    </row>
    <row r="1798" spans="2:39" ht="25.2" customHeight="1" x14ac:dyDescent="0.3">
      <c r="B1798" s="13" t="str">
        <f t="shared" si="32"/>
        <v/>
      </c>
      <c r="C1798" s="18"/>
      <c r="D1798" s="19" t="str">
        <f>IF(Tabela2[[#This Row],[AGRUPADOR]]&lt;&gt;"",VLOOKUP(Tabela2[[#This Row],[AGRUPADOR]],Tabela1[],2,0),"")</f>
        <v/>
      </c>
      <c r="E1798" s="19" t="str">
        <f>IF(Tabela2[[#This Row],[AGRUPADOR]]&lt;&gt;"",VLOOKUP(Tabela2[[#This Row],[AGRUPADOR]],Tabela1[],4,0),"")</f>
        <v/>
      </c>
      <c r="F1798" s="14"/>
      <c r="G1798" s="6"/>
      <c r="H1798" s="6"/>
      <c r="I1798" s="25"/>
      <c r="J1798" s="7"/>
      <c r="K1798" s="15"/>
      <c r="L1798" s="379">
        <f>IF(H1798&lt;&gt;"",J1798*K1798,SUMIFS(L1799:L$9844,$F1799:$F$9844,"*"&amp;F1798&amp;"*",$H1799:$H$9844,"&lt;&gt;"))</f>
        <v>0</v>
      </c>
      <c r="M1798" s="379" t="str">
        <f>IF(Tabela2[[#This Row],[UNID.]]&lt;&gt;"",IFERROR(VLOOKUP(Tabela2[[#This Row],[AGRUPADOR]],Lucratividade!$D$4:$O$129,6,0),0),"")</f>
        <v/>
      </c>
      <c r="N1798" s="379">
        <f>IF(H1798&lt;&gt;"",J1798*M1798*I1798,SUMIFS(N1799:N$9844,$F1799:$F$9844,"*"&amp;F1798&amp;"*",$H1799:$H$9844,"&lt;&gt;"))</f>
        <v>0</v>
      </c>
      <c r="O1798" s="162" t="str">
        <f>IFERROR((-Tabela2[[#This Row],[CUSTO TOTAL]]+Tabela2[[#This Row],[VENDA TOTAL]])/Tabela2[[#This Row],[VENDA TOTAL]]-PARAMETROS!$C$19,"")</f>
        <v/>
      </c>
      <c r="AA1798" s="219">
        <f>SUM(Plan_Orc[[#This Row],[01/jan]:[01/dez]])</f>
        <v>0</v>
      </c>
      <c r="AB1798" s="15"/>
      <c r="AC1798" s="15"/>
      <c r="AD1798" s="15"/>
      <c r="AE1798" s="15"/>
      <c r="AF1798" s="15"/>
      <c r="AG1798" s="15"/>
      <c r="AH1798" s="15"/>
      <c r="AI1798" s="15"/>
      <c r="AJ1798" s="15"/>
      <c r="AK1798" s="15"/>
      <c r="AL1798" s="15"/>
      <c r="AM1798" s="15"/>
    </row>
    <row r="1799" spans="2:39" ht="25.2" customHeight="1" x14ac:dyDescent="0.3">
      <c r="B1799" s="13" t="str">
        <f t="shared" si="32"/>
        <v/>
      </c>
      <c r="C1799" s="18"/>
      <c r="D1799" s="19" t="str">
        <f>IF(Tabela2[[#This Row],[AGRUPADOR]]&lt;&gt;"",VLOOKUP(Tabela2[[#This Row],[AGRUPADOR]],Tabela1[],2,0),"")</f>
        <v/>
      </c>
      <c r="E1799" s="19" t="str">
        <f>IF(Tabela2[[#This Row],[AGRUPADOR]]&lt;&gt;"",VLOOKUP(Tabela2[[#This Row],[AGRUPADOR]],Tabela1[],4,0),"")</f>
        <v/>
      </c>
      <c r="F1799" s="14"/>
      <c r="G1799" s="6"/>
      <c r="H1799" s="6"/>
      <c r="I1799" s="25"/>
      <c r="J1799" s="7"/>
      <c r="K1799" s="15"/>
      <c r="L1799" s="379">
        <f>IF(H1799&lt;&gt;"",J1799*K1799,SUMIFS(L1800:L$9844,$F1800:$F$9844,"*"&amp;F1799&amp;"*",$H1800:$H$9844,"&lt;&gt;"))</f>
        <v>0</v>
      </c>
      <c r="M1799" s="379" t="str">
        <f>IF(Tabela2[[#This Row],[UNID.]]&lt;&gt;"",IFERROR(VLOOKUP(Tabela2[[#This Row],[AGRUPADOR]],Lucratividade!$D$4:$O$129,6,0),0),"")</f>
        <v/>
      </c>
      <c r="N1799" s="379">
        <f>IF(H1799&lt;&gt;"",J1799*M1799*I1799,SUMIFS(N1800:N$9844,$F1800:$F$9844,"*"&amp;F1799&amp;"*",$H1800:$H$9844,"&lt;&gt;"))</f>
        <v>0</v>
      </c>
      <c r="O1799" s="162" t="str">
        <f>IFERROR((-Tabela2[[#This Row],[CUSTO TOTAL]]+Tabela2[[#This Row],[VENDA TOTAL]])/Tabela2[[#This Row],[VENDA TOTAL]]-PARAMETROS!$C$19,"")</f>
        <v/>
      </c>
      <c r="AA1799" s="219">
        <f>SUM(Plan_Orc[[#This Row],[01/jan]:[01/dez]])</f>
        <v>0</v>
      </c>
      <c r="AB1799" s="15"/>
      <c r="AC1799" s="15"/>
      <c r="AD1799" s="15"/>
      <c r="AE1799" s="15"/>
      <c r="AF1799" s="15"/>
      <c r="AG1799" s="15"/>
      <c r="AH1799" s="15"/>
      <c r="AI1799" s="15"/>
      <c r="AJ1799" s="15"/>
      <c r="AK1799" s="15"/>
      <c r="AL1799" s="15"/>
      <c r="AM1799" s="15"/>
    </row>
    <row r="1800" spans="2:39" ht="25.2" customHeight="1" x14ac:dyDescent="0.3">
      <c r="B1800" s="13" t="str">
        <f t="shared" si="32"/>
        <v/>
      </c>
      <c r="C1800" s="18"/>
      <c r="D1800" s="19" t="str">
        <f>IF(Tabela2[[#This Row],[AGRUPADOR]]&lt;&gt;"",VLOOKUP(Tabela2[[#This Row],[AGRUPADOR]],Tabela1[],2,0),"")</f>
        <v/>
      </c>
      <c r="E1800" s="19" t="str">
        <f>IF(Tabela2[[#This Row],[AGRUPADOR]]&lt;&gt;"",VLOOKUP(Tabela2[[#This Row],[AGRUPADOR]],Tabela1[],4,0),"")</f>
        <v/>
      </c>
      <c r="F1800" s="14"/>
      <c r="G1800" s="6"/>
      <c r="H1800" s="6"/>
      <c r="I1800" s="25"/>
      <c r="J1800" s="7"/>
      <c r="K1800" s="15"/>
      <c r="L1800" s="379">
        <f>IF(H1800&lt;&gt;"",J1800*K1800,SUMIFS(L1801:L$9844,$F1801:$F$9844,"*"&amp;F1800&amp;"*",$H1801:$H$9844,"&lt;&gt;"))</f>
        <v>0</v>
      </c>
      <c r="M1800" s="379" t="str">
        <f>IF(Tabela2[[#This Row],[UNID.]]&lt;&gt;"",IFERROR(VLOOKUP(Tabela2[[#This Row],[AGRUPADOR]],Lucratividade!$D$4:$O$129,6,0),0),"")</f>
        <v/>
      </c>
      <c r="N1800" s="379">
        <f>IF(H1800&lt;&gt;"",J1800*M1800*I1800,SUMIFS(N1801:N$9844,$F1801:$F$9844,"*"&amp;F1800&amp;"*",$H1801:$H$9844,"&lt;&gt;"))</f>
        <v>0</v>
      </c>
      <c r="O1800" s="162" t="str">
        <f>IFERROR((-Tabela2[[#This Row],[CUSTO TOTAL]]+Tabela2[[#This Row],[VENDA TOTAL]])/Tabela2[[#This Row],[VENDA TOTAL]]-PARAMETROS!$C$19,"")</f>
        <v/>
      </c>
      <c r="AA1800" s="219">
        <f>SUM(Plan_Orc[[#This Row],[01/jan]:[01/dez]])</f>
        <v>0</v>
      </c>
      <c r="AB1800" s="15"/>
      <c r="AC1800" s="15"/>
      <c r="AD1800" s="15"/>
      <c r="AE1800" s="15"/>
      <c r="AF1800" s="15"/>
      <c r="AG1800" s="15"/>
      <c r="AH1800" s="15"/>
      <c r="AI1800" s="15"/>
      <c r="AJ1800" s="15"/>
      <c r="AK1800" s="15"/>
      <c r="AL1800" s="15"/>
      <c r="AM1800" s="15"/>
    </row>
    <row r="1801" spans="2:39" ht="25.2" customHeight="1" x14ac:dyDescent="0.3">
      <c r="B1801" s="13" t="str">
        <f t="shared" si="32"/>
        <v/>
      </c>
      <c r="C1801" s="18"/>
      <c r="D1801" s="19" t="str">
        <f>IF(Tabela2[[#This Row],[AGRUPADOR]]&lt;&gt;"",VLOOKUP(Tabela2[[#This Row],[AGRUPADOR]],Tabela1[],2,0),"")</f>
        <v/>
      </c>
      <c r="E1801" s="19" t="str">
        <f>IF(Tabela2[[#This Row],[AGRUPADOR]]&lt;&gt;"",VLOOKUP(Tabela2[[#This Row],[AGRUPADOR]],Tabela1[],4,0),"")</f>
        <v/>
      </c>
      <c r="F1801" s="14"/>
      <c r="G1801" s="6"/>
      <c r="H1801" s="6"/>
      <c r="I1801" s="25"/>
      <c r="J1801" s="7"/>
      <c r="K1801" s="15"/>
      <c r="L1801" s="379">
        <f>IF(H1801&lt;&gt;"",J1801*K1801,SUMIFS(L1802:L$9844,$F1802:$F$9844,"*"&amp;F1801&amp;"*",$H1802:$H$9844,"&lt;&gt;"))</f>
        <v>0</v>
      </c>
      <c r="M1801" s="379" t="str">
        <f>IF(Tabela2[[#This Row],[UNID.]]&lt;&gt;"",IFERROR(VLOOKUP(Tabela2[[#This Row],[AGRUPADOR]],Lucratividade!$D$4:$O$129,6,0),0),"")</f>
        <v/>
      </c>
      <c r="N1801" s="379">
        <f>IF(H1801&lt;&gt;"",J1801*M1801*I1801,SUMIFS(N1802:N$9844,$F1802:$F$9844,"*"&amp;F1801&amp;"*",$H1802:$H$9844,"&lt;&gt;"))</f>
        <v>0</v>
      </c>
      <c r="O1801" s="162" t="str">
        <f>IFERROR((-Tabela2[[#This Row],[CUSTO TOTAL]]+Tabela2[[#This Row],[VENDA TOTAL]])/Tabela2[[#This Row],[VENDA TOTAL]]-PARAMETROS!$C$19,"")</f>
        <v/>
      </c>
      <c r="AA1801" s="219">
        <f>SUM(Plan_Orc[[#This Row],[01/jan]:[01/dez]])</f>
        <v>0</v>
      </c>
      <c r="AB1801" s="15"/>
      <c r="AC1801" s="15"/>
      <c r="AD1801" s="15"/>
      <c r="AE1801" s="15"/>
      <c r="AF1801" s="15"/>
      <c r="AG1801" s="15"/>
      <c r="AH1801" s="15"/>
      <c r="AI1801" s="15"/>
      <c r="AJ1801" s="15"/>
      <c r="AK1801" s="15"/>
      <c r="AL1801" s="15"/>
      <c r="AM1801" s="15"/>
    </row>
    <row r="1802" spans="2:39" ht="25.2" customHeight="1" x14ac:dyDescent="0.3">
      <c r="B1802" s="13" t="str">
        <f t="shared" si="32"/>
        <v/>
      </c>
      <c r="C1802" s="18"/>
      <c r="D1802" s="19" t="str">
        <f>IF(Tabela2[[#This Row],[AGRUPADOR]]&lt;&gt;"",VLOOKUP(Tabela2[[#This Row],[AGRUPADOR]],Tabela1[],2,0),"")</f>
        <v/>
      </c>
      <c r="E1802" s="19" t="str">
        <f>IF(Tabela2[[#This Row],[AGRUPADOR]]&lt;&gt;"",VLOOKUP(Tabela2[[#This Row],[AGRUPADOR]],Tabela1[],4,0),"")</f>
        <v/>
      </c>
      <c r="F1802" s="14"/>
      <c r="G1802" s="6"/>
      <c r="H1802" s="6"/>
      <c r="I1802" s="25"/>
      <c r="J1802" s="7"/>
      <c r="K1802" s="15"/>
      <c r="L1802" s="379">
        <f>IF(H1802&lt;&gt;"",J1802*K1802,SUMIFS(L1803:L$9844,$F1803:$F$9844,"*"&amp;F1802&amp;"*",$H1803:$H$9844,"&lt;&gt;"))</f>
        <v>0</v>
      </c>
      <c r="M1802" s="379" t="str">
        <f>IF(Tabela2[[#This Row],[UNID.]]&lt;&gt;"",IFERROR(VLOOKUP(Tabela2[[#This Row],[AGRUPADOR]],Lucratividade!$D$4:$O$129,6,0),0),"")</f>
        <v/>
      </c>
      <c r="N1802" s="379">
        <f>IF(H1802&lt;&gt;"",J1802*M1802*I1802,SUMIFS(N1803:N$9844,$F1803:$F$9844,"*"&amp;F1802&amp;"*",$H1803:$H$9844,"&lt;&gt;"))</f>
        <v>0</v>
      </c>
      <c r="O1802" s="162" t="str">
        <f>IFERROR((-Tabela2[[#This Row],[CUSTO TOTAL]]+Tabela2[[#This Row],[VENDA TOTAL]])/Tabela2[[#This Row],[VENDA TOTAL]]-PARAMETROS!$C$19,"")</f>
        <v/>
      </c>
      <c r="AA1802" s="219">
        <f>SUM(Plan_Orc[[#This Row],[01/jan]:[01/dez]])</f>
        <v>0</v>
      </c>
      <c r="AB1802" s="15"/>
      <c r="AC1802" s="15"/>
      <c r="AD1802" s="15"/>
      <c r="AE1802" s="15"/>
      <c r="AF1802" s="15"/>
      <c r="AG1802" s="15"/>
      <c r="AH1802" s="15"/>
      <c r="AI1802" s="15"/>
      <c r="AJ1802" s="15"/>
      <c r="AK1802" s="15"/>
      <c r="AL1802" s="15"/>
      <c r="AM1802" s="15"/>
    </row>
    <row r="1803" spans="2:39" ht="25.2" customHeight="1" x14ac:dyDescent="0.3">
      <c r="B1803" s="13" t="str">
        <f t="shared" si="32"/>
        <v/>
      </c>
      <c r="C1803" s="18"/>
      <c r="D1803" s="19" t="str">
        <f>IF(Tabela2[[#This Row],[AGRUPADOR]]&lt;&gt;"",VLOOKUP(Tabela2[[#This Row],[AGRUPADOR]],Tabela1[],2,0),"")</f>
        <v/>
      </c>
      <c r="E1803" s="19" t="str">
        <f>IF(Tabela2[[#This Row],[AGRUPADOR]]&lt;&gt;"",VLOOKUP(Tabela2[[#This Row],[AGRUPADOR]],Tabela1[],4,0),"")</f>
        <v/>
      </c>
      <c r="F1803" s="14"/>
      <c r="G1803" s="6"/>
      <c r="H1803" s="6"/>
      <c r="I1803" s="25"/>
      <c r="J1803" s="7"/>
      <c r="K1803" s="15"/>
      <c r="L1803" s="379">
        <f>IF(H1803&lt;&gt;"",J1803*K1803,SUMIFS(L1804:L$9844,$F1804:$F$9844,"*"&amp;F1803&amp;"*",$H1804:$H$9844,"&lt;&gt;"))</f>
        <v>0</v>
      </c>
      <c r="M1803" s="379" t="str">
        <f>IF(Tabela2[[#This Row],[UNID.]]&lt;&gt;"",IFERROR(VLOOKUP(Tabela2[[#This Row],[AGRUPADOR]],Lucratividade!$D$4:$O$129,6,0),0),"")</f>
        <v/>
      </c>
      <c r="N1803" s="379">
        <f>IF(H1803&lt;&gt;"",J1803*M1803*I1803,SUMIFS(N1804:N$9844,$F1804:$F$9844,"*"&amp;F1803&amp;"*",$H1804:$H$9844,"&lt;&gt;"))</f>
        <v>0</v>
      </c>
      <c r="O1803" s="162" t="str">
        <f>IFERROR((-Tabela2[[#This Row],[CUSTO TOTAL]]+Tabela2[[#This Row],[VENDA TOTAL]])/Tabela2[[#This Row],[VENDA TOTAL]]-PARAMETROS!$C$19,"")</f>
        <v/>
      </c>
      <c r="AA1803" s="218">
        <f>SUM(Plan_Orc[[#This Row],[01/jan]:[01/dez]])</f>
        <v>0</v>
      </c>
      <c r="AB1803" s="12"/>
      <c r="AC1803" s="12"/>
      <c r="AD1803" s="12"/>
      <c r="AE1803" s="12"/>
      <c r="AF1803" s="12"/>
      <c r="AG1803" s="12"/>
      <c r="AH1803" s="12"/>
      <c r="AI1803" s="12"/>
      <c r="AJ1803" s="12"/>
      <c r="AK1803" s="12"/>
      <c r="AL1803" s="12"/>
      <c r="AM1803" s="12"/>
    </row>
    <row r="1804" spans="2:39" ht="25.2" customHeight="1" x14ac:dyDescent="0.3">
      <c r="B1804" s="13" t="str">
        <f t="shared" si="32"/>
        <v/>
      </c>
      <c r="C1804" s="18"/>
      <c r="D1804" s="19" t="str">
        <f>IF(Tabela2[[#This Row],[AGRUPADOR]]&lt;&gt;"",VLOOKUP(Tabela2[[#This Row],[AGRUPADOR]],Tabela1[],2,0),"")</f>
        <v/>
      </c>
      <c r="E1804" s="19" t="str">
        <f>IF(Tabela2[[#This Row],[AGRUPADOR]]&lt;&gt;"",VLOOKUP(Tabela2[[#This Row],[AGRUPADOR]],Tabela1[],4,0),"")</f>
        <v/>
      </c>
      <c r="F1804" s="14"/>
      <c r="G1804" s="6"/>
      <c r="H1804" s="6"/>
      <c r="I1804" s="25"/>
      <c r="J1804" s="7"/>
      <c r="K1804" s="15"/>
      <c r="L1804" s="379">
        <f>IF(H1804&lt;&gt;"",J1804*K1804,SUMIFS(L1805:L$9844,$F1805:$F$9844,"*"&amp;F1804&amp;"*",$H1805:$H$9844,"&lt;&gt;"))</f>
        <v>0</v>
      </c>
      <c r="M1804" s="379" t="str">
        <f>IF(Tabela2[[#This Row],[UNID.]]&lt;&gt;"",IFERROR(VLOOKUP(Tabela2[[#This Row],[AGRUPADOR]],Lucratividade!$D$4:$O$129,6,0),0),"")</f>
        <v/>
      </c>
      <c r="N1804" s="379">
        <f>IF(H1804&lt;&gt;"",J1804*M1804*I1804,SUMIFS(N1805:N$9844,$F1805:$F$9844,"*"&amp;F1804&amp;"*",$H1805:$H$9844,"&lt;&gt;"))</f>
        <v>0</v>
      </c>
      <c r="O1804" s="162" t="str">
        <f>IFERROR((-Tabela2[[#This Row],[CUSTO TOTAL]]+Tabela2[[#This Row],[VENDA TOTAL]])/Tabela2[[#This Row],[VENDA TOTAL]]-PARAMETROS!$C$19,"")</f>
        <v/>
      </c>
      <c r="AA1804" s="219">
        <f>SUM(Plan_Orc[[#This Row],[01/jan]:[01/dez]])</f>
        <v>0</v>
      </c>
      <c r="AB1804" s="15"/>
      <c r="AC1804" s="15"/>
      <c r="AD1804" s="15"/>
      <c r="AE1804" s="15"/>
      <c r="AF1804" s="15"/>
      <c r="AG1804" s="15"/>
      <c r="AH1804" s="15"/>
      <c r="AI1804" s="15"/>
      <c r="AJ1804" s="15"/>
      <c r="AK1804" s="15"/>
      <c r="AL1804" s="15"/>
      <c r="AM1804" s="15"/>
    </row>
    <row r="1805" spans="2:39" ht="25.2" customHeight="1" x14ac:dyDescent="0.3">
      <c r="B1805" s="13" t="str">
        <f t="shared" si="32"/>
        <v/>
      </c>
      <c r="C1805" s="18"/>
      <c r="D1805" s="19" t="str">
        <f>IF(Tabela2[[#This Row],[AGRUPADOR]]&lt;&gt;"",VLOOKUP(Tabela2[[#This Row],[AGRUPADOR]],Tabela1[],2,0),"")</f>
        <v/>
      </c>
      <c r="E1805" s="19" t="str">
        <f>IF(Tabela2[[#This Row],[AGRUPADOR]]&lt;&gt;"",VLOOKUP(Tabela2[[#This Row],[AGRUPADOR]],Tabela1[],4,0),"")</f>
        <v/>
      </c>
      <c r="F1805" s="14"/>
      <c r="G1805" s="6"/>
      <c r="H1805" s="6"/>
      <c r="I1805" s="25"/>
      <c r="J1805" s="7"/>
      <c r="K1805" s="15"/>
      <c r="L1805" s="379">
        <f>IF(H1805&lt;&gt;"",J1805*K1805,SUMIFS(L1806:L$9844,$F1806:$F$9844,"*"&amp;F1805&amp;"*",$H1806:$H$9844,"&lt;&gt;"))</f>
        <v>0</v>
      </c>
      <c r="M1805" s="379" t="str">
        <f>IF(Tabela2[[#This Row],[UNID.]]&lt;&gt;"",IFERROR(VLOOKUP(Tabela2[[#This Row],[AGRUPADOR]],Lucratividade!$D$4:$O$129,6,0),0),"")</f>
        <v/>
      </c>
      <c r="N1805" s="379">
        <f>IF(H1805&lt;&gt;"",J1805*M1805*I1805,SUMIFS(N1806:N$9844,$F1806:$F$9844,"*"&amp;F1805&amp;"*",$H1806:$H$9844,"&lt;&gt;"))</f>
        <v>0</v>
      </c>
      <c r="O1805" s="162" t="str">
        <f>IFERROR((-Tabela2[[#This Row],[CUSTO TOTAL]]+Tabela2[[#This Row],[VENDA TOTAL]])/Tabela2[[#This Row],[VENDA TOTAL]]-PARAMETROS!$C$19,"")</f>
        <v/>
      </c>
      <c r="AA1805" s="219">
        <f>SUM(Plan_Orc[[#This Row],[01/jan]:[01/dez]])</f>
        <v>0</v>
      </c>
      <c r="AB1805" s="15"/>
      <c r="AC1805" s="15"/>
      <c r="AD1805" s="15"/>
      <c r="AE1805" s="15"/>
      <c r="AF1805" s="15"/>
      <c r="AG1805" s="15"/>
      <c r="AH1805" s="15"/>
      <c r="AI1805" s="15"/>
      <c r="AJ1805" s="15"/>
      <c r="AK1805" s="15"/>
      <c r="AL1805" s="15"/>
      <c r="AM1805" s="15"/>
    </row>
    <row r="1806" spans="2:39" ht="25.2" customHeight="1" x14ac:dyDescent="0.3">
      <c r="B1806" s="13" t="str">
        <f t="shared" si="32"/>
        <v/>
      </c>
      <c r="C1806" s="18"/>
      <c r="D1806" s="19" t="str">
        <f>IF(Tabela2[[#This Row],[AGRUPADOR]]&lt;&gt;"",VLOOKUP(Tabela2[[#This Row],[AGRUPADOR]],Tabela1[],2,0),"")</f>
        <v/>
      </c>
      <c r="E1806" s="19" t="str">
        <f>IF(Tabela2[[#This Row],[AGRUPADOR]]&lt;&gt;"",VLOOKUP(Tabela2[[#This Row],[AGRUPADOR]],Tabela1[],4,0),"")</f>
        <v/>
      </c>
      <c r="F1806" s="14"/>
      <c r="G1806" s="6"/>
      <c r="H1806" s="6"/>
      <c r="I1806" s="25"/>
      <c r="J1806" s="7"/>
      <c r="K1806" s="15"/>
      <c r="L1806" s="379">
        <f>IF(H1806&lt;&gt;"",J1806*K1806,SUMIFS(L1807:L$9844,$F1807:$F$9844,"*"&amp;F1806&amp;"*",$H1807:$H$9844,"&lt;&gt;"))</f>
        <v>0</v>
      </c>
      <c r="M1806" s="379" t="str">
        <f>IF(Tabela2[[#This Row],[UNID.]]&lt;&gt;"",IFERROR(VLOOKUP(Tabela2[[#This Row],[AGRUPADOR]],Lucratividade!$D$4:$O$129,6,0),0),"")</f>
        <v/>
      </c>
      <c r="N1806" s="379">
        <f>IF(H1806&lt;&gt;"",J1806*M1806*I1806,SUMIFS(N1807:N$9844,$F1807:$F$9844,"*"&amp;F1806&amp;"*",$H1807:$H$9844,"&lt;&gt;"))</f>
        <v>0</v>
      </c>
      <c r="O1806" s="162" t="str">
        <f>IFERROR((-Tabela2[[#This Row],[CUSTO TOTAL]]+Tabela2[[#This Row],[VENDA TOTAL]])/Tabela2[[#This Row],[VENDA TOTAL]]-PARAMETROS!$C$19,"")</f>
        <v/>
      </c>
      <c r="AA1806" s="219">
        <f>SUM(Plan_Orc[[#This Row],[01/jan]:[01/dez]])</f>
        <v>0</v>
      </c>
      <c r="AB1806" s="15"/>
      <c r="AC1806" s="15"/>
      <c r="AD1806" s="15"/>
      <c r="AE1806" s="15"/>
      <c r="AF1806" s="15"/>
      <c r="AG1806" s="15"/>
      <c r="AH1806" s="15"/>
      <c r="AI1806" s="15"/>
      <c r="AJ1806" s="15"/>
      <c r="AK1806" s="15"/>
      <c r="AL1806" s="15"/>
      <c r="AM1806" s="15"/>
    </row>
    <row r="1807" spans="2:39" ht="25.2" customHeight="1" x14ac:dyDescent="0.3">
      <c r="B1807" s="13" t="str">
        <f t="shared" si="32"/>
        <v/>
      </c>
      <c r="C1807" s="18"/>
      <c r="D1807" s="19" t="str">
        <f>IF(Tabela2[[#This Row],[AGRUPADOR]]&lt;&gt;"",VLOOKUP(Tabela2[[#This Row],[AGRUPADOR]],Tabela1[],2,0),"")</f>
        <v/>
      </c>
      <c r="E1807" s="19" t="str">
        <f>IF(Tabela2[[#This Row],[AGRUPADOR]]&lt;&gt;"",VLOOKUP(Tabela2[[#This Row],[AGRUPADOR]],Tabela1[],4,0),"")</f>
        <v/>
      </c>
      <c r="F1807" s="14"/>
      <c r="G1807" s="6"/>
      <c r="H1807" s="6"/>
      <c r="I1807" s="25"/>
      <c r="J1807" s="7"/>
      <c r="K1807" s="15"/>
      <c r="L1807" s="379">
        <f>IF(H1807&lt;&gt;"",J1807*K1807,SUMIFS(L1808:L$9844,$F1808:$F$9844,"*"&amp;F1807&amp;"*",$H1808:$H$9844,"&lt;&gt;"))</f>
        <v>0</v>
      </c>
      <c r="M1807" s="379" t="str">
        <f>IF(Tabela2[[#This Row],[UNID.]]&lt;&gt;"",IFERROR(VLOOKUP(Tabela2[[#This Row],[AGRUPADOR]],Lucratividade!$D$4:$O$129,6,0),0),"")</f>
        <v/>
      </c>
      <c r="N1807" s="379">
        <f>IF(H1807&lt;&gt;"",J1807*M1807*I1807,SUMIFS(N1808:N$9844,$F1808:$F$9844,"*"&amp;F1807&amp;"*",$H1808:$H$9844,"&lt;&gt;"))</f>
        <v>0</v>
      </c>
      <c r="O1807" s="162" t="str">
        <f>IFERROR((-Tabela2[[#This Row],[CUSTO TOTAL]]+Tabela2[[#This Row],[VENDA TOTAL]])/Tabela2[[#This Row],[VENDA TOTAL]]-PARAMETROS!$C$19,"")</f>
        <v/>
      </c>
      <c r="AA1807" s="219">
        <f>SUM(Plan_Orc[[#This Row],[01/jan]:[01/dez]])</f>
        <v>0</v>
      </c>
      <c r="AB1807" s="15"/>
      <c r="AC1807" s="15"/>
      <c r="AD1807" s="15"/>
      <c r="AE1807" s="15"/>
      <c r="AF1807" s="15"/>
      <c r="AG1807" s="15"/>
      <c r="AH1807" s="15"/>
      <c r="AI1807" s="15"/>
      <c r="AJ1807" s="15"/>
      <c r="AK1807" s="15"/>
      <c r="AL1807" s="15"/>
      <c r="AM1807" s="15"/>
    </row>
    <row r="1808" spans="2:39" ht="25.2" customHeight="1" x14ac:dyDescent="0.3">
      <c r="B1808" s="13" t="str">
        <f t="shared" si="32"/>
        <v/>
      </c>
      <c r="C1808" s="18"/>
      <c r="D1808" s="19" t="str">
        <f>IF(Tabela2[[#This Row],[AGRUPADOR]]&lt;&gt;"",VLOOKUP(Tabela2[[#This Row],[AGRUPADOR]],Tabela1[],2,0),"")</f>
        <v/>
      </c>
      <c r="E1808" s="19" t="str">
        <f>IF(Tabela2[[#This Row],[AGRUPADOR]]&lt;&gt;"",VLOOKUP(Tabela2[[#This Row],[AGRUPADOR]],Tabela1[],4,0),"")</f>
        <v/>
      </c>
      <c r="F1808" s="14"/>
      <c r="G1808" s="6"/>
      <c r="H1808" s="6"/>
      <c r="I1808" s="25"/>
      <c r="J1808" s="7"/>
      <c r="K1808" s="15"/>
      <c r="L1808" s="379">
        <f>IF(H1808&lt;&gt;"",J1808*K1808,SUMIFS(L1809:L$9844,$F1809:$F$9844,"*"&amp;F1808&amp;"*",$H1809:$H$9844,"&lt;&gt;"))</f>
        <v>0</v>
      </c>
      <c r="M1808" s="379" t="str">
        <f>IF(Tabela2[[#This Row],[UNID.]]&lt;&gt;"",IFERROR(VLOOKUP(Tabela2[[#This Row],[AGRUPADOR]],Lucratividade!$D$4:$O$129,6,0),0),"")</f>
        <v/>
      </c>
      <c r="N1808" s="379">
        <f>IF(H1808&lt;&gt;"",J1808*M1808*I1808,SUMIFS(N1809:N$9844,$F1809:$F$9844,"*"&amp;F1808&amp;"*",$H1809:$H$9844,"&lt;&gt;"))</f>
        <v>0</v>
      </c>
      <c r="O1808" s="162" t="str">
        <f>IFERROR((-Tabela2[[#This Row],[CUSTO TOTAL]]+Tabela2[[#This Row],[VENDA TOTAL]])/Tabela2[[#This Row],[VENDA TOTAL]]-PARAMETROS!$C$19,"")</f>
        <v/>
      </c>
      <c r="AA1808" s="219">
        <f>SUM(Plan_Orc[[#This Row],[01/jan]:[01/dez]])</f>
        <v>0</v>
      </c>
      <c r="AB1808" s="15"/>
      <c r="AC1808" s="15"/>
      <c r="AD1808" s="15"/>
      <c r="AE1808" s="15"/>
      <c r="AF1808" s="15"/>
      <c r="AG1808" s="15"/>
      <c r="AH1808" s="15"/>
      <c r="AI1808" s="15"/>
      <c r="AJ1808" s="15"/>
      <c r="AK1808" s="15"/>
      <c r="AL1808" s="15"/>
      <c r="AM1808" s="15"/>
    </row>
    <row r="1809" spans="2:39" ht="25.2" customHeight="1" x14ac:dyDescent="0.3">
      <c r="B1809" s="13" t="str">
        <f t="shared" si="32"/>
        <v/>
      </c>
      <c r="C1809" s="18"/>
      <c r="D1809" s="19" t="str">
        <f>IF(Tabela2[[#This Row],[AGRUPADOR]]&lt;&gt;"",VLOOKUP(Tabela2[[#This Row],[AGRUPADOR]],Tabela1[],2,0),"")</f>
        <v/>
      </c>
      <c r="E1809" s="19" t="str">
        <f>IF(Tabela2[[#This Row],[AGRUPADOR]]&lt;&gt;"",VLOOKUP(Tabela2[[#This Row],[AGRUPADOR]],Tabela1[],4,0),"")</f>
        <v/>
      </c>
      <c r="F1809" s="14"/>
      <c r="G1809" s="6"/>
      <c r="H1809" s="6"/>
      <c r="I1809" s="25"/>
      <c r="J1809" s="7"/>
      <c r="K1809" s="15"/>
      <c r="L1809" s="379">
        <f>IF(H1809&lt;&gt;"",J1809*K1809,SUMIFS(L1810:L$9844,$F1810:$F$9844,"*"&amp;F1809&amp;"*",$H1810:$H$9844,"&lt;&gt;"))</f>
        <v>0</v>
      </c>
      <c r="M1809" s="379" t="str">
        <f>IF(Tabela2[[#This Row],[UNID.]]&lt;&gt;"",IFERROR(VLOOKUP(Tabela2[[#This Row],[AGRUPADOR]],Lucratividade!$D$4:$O$129,6,0),0),"")</f>
        <v/>
      </c>
      <c r="N1809" s="379">
        <f>IF(H1809&lt;&gt;"",J1809*M1809*I1809,SUMIFS(N1810:N$9844,$F1810:$F$9844,"*"&amp;F1809&amp;"*",$H1810:$H$9844,"&lt;&gt;"))</f>
        <v>0</v>
      </c>
      <c r="O1809" s="162" t="str">
        <f>IFERROR((-Tabela2[[#This Row],[CUSTO TOTAL]]+Tabela2[[#This Row],[VENDA TOTAL]])/Tabela2[[#This Row],[VENDA TOTAL]]-PARAMETROS!$C$19,"")</f>
        <v/>
      </c>
      <c r="AA1809" s="219">
        <f>SUM(Plan_Orc[[#This Row],[01/jan]:[01/dez]])</f>
        <v>0</v>
      </c>
      <c r="AB1809" s="15"/>
      <c r="AC1809" s="15"/>
      <c r="AD1809" s="15"/>
      <c r="AE1809" s="15"/>
      <c r="AF1809" s="15"/>
      <c r="AG1809" s="15"/>
      <c r="AH1809" s="15"/>
      <c r="AI1809" s="15"/>
      <c r="AJ1809" s="15"/>
      <c r="AK1809" s="15"/>
      <c r="AL1809" s="15"/>
      <c r="AM1809" s="15"/>
    </row>
    <row r="1810" spans="2:39" ht="25.2" customHeight="1" x14ac:dyDescent="0.3">
      <c r="B1810" s="13" t="str">
        <f t="shared" si="32"/>
        <v/>
      </c>
      <c r="C1810" s="18"/>
      <c r="D1810" s="19" t="str">
        <f>IF(Tabela2[[#This Row],[AGRUPADOR]]&lt;&gt;"",VLOOKUP(Tabela2[[#This Row],[AGRUPADOR]],Tabela1[],2,0),"")</f>
        <v/>
      </c>
      <c r="E1810" s="19" t="str">
        <f>IF(Tabela2[[#This Row],[AGRUPADOR]]&lt;&gt;"",VLOOKUP(Tabela2[[#This Row],[AGRUPADOR]],Tabela1[],4,0),"")</f>
        <v/>
      </c>
      <c r="F1810" s="14"/>
      <c r="G1810" s="6"/>
      <c r="H1810" s="6"/>
      <c r="I1810" s="25"/>
      <c r="J1810" s="7"/>
      <c r="K1810" s="15"/>
      <c r="L1810" s="379">
        <f>IF(H1810&lt;&gt;"",J1810*K1810,SUMIFS(L1811:L$9844,$F1811:$F$9844,"*"&amp;F1810&amp;"*",$H1811:$H$9844,"&lt;&gt;"))</f>
        <v>0</v>
      </c>
      <c r="M1810" s="379" t="str">
        <f>IF(Tabela2[[#This Row],[UNID.]]&lt;&gt;"",IFERROR(VLOOKUP(Tabela2[[#This Row],[AGRUPADOR]],Lucratividade!$D$4:$O$129,6,0),0),"")</f>
        <v/>
      </c>
      <c r="N1810" s="379">
        <f>IF(H1810&lt;&gt;"",J1810*M1810*I1810,SUMIFS(N1811:N$9844,$F1811:$F$9844,"*"&amp;F1810&amp;"*",$H1811:$H$9844,"&lt;&gt;"))</f>
        <v>0</v>
      </c>
      <c r="O1810" s="162" t="str">
        <f>IFERROR((-Tabela2[[#This Row],[CUSTO TOTAL]]+Tabela2[[#This Row],[VENDA TOTAL]])/Tabela2[[#This Row],[VENDA TOTAL]]-PARAMETROS!$C$19,"")</f>
        <v/>
      </c>
      <c r="AA1810" s="219">
        <f>SUM(Plan_Orc[[#This Row],[01/jan]:[01/dez]])</f>
        <v>0</v>
      </c>
      <c r="AB1810" s="15"/>
      <c r="AC1810" s="15"/>
      <c r="AD1810" s="15"/>
      <c r="AE1810" s="15"/>
      <c r="AF1810" s="15"/>
      <c r="AG1810" s="15"/>
      <c r="AH1810" s="15"/>
      <c r="AI1810" s="15"/>
      <c r="AJ1810" s="15"/>
      <c r="AK1810" s="15"/>
      <c r="AL1810" s="15"/>
      <c r="AM1810" s="15"/>
    </row>
    <row r="1811" spans="2:39" ht="25.2" customHeight="1" x14ac:dyDescent="0.3">
      <c r="B1811" s="13" t="str">
        <f t="shared" si="32"/>
        <v/>
      </c>
      <c r="C1811" s="18"/>
      <c r="D1811" s="19" t="str">
        <f>IF(Tabela2[[#This Row],[AGRUPADOR]]&lt;&gt;"",VLOOKUP(Tabela2[[#This Row],[AGRUPADOR]],Tabela1[],2,0),"")</f>
        <v/>
      </c>
      <c r="E1811" s="19" t="str">
        <f>IF(Tabela2[[#This Row],[AGRUPADOR]]&lt;&gt;"",VLOOKUP(Tabela2[[#This Row],[AGRUPADOR]],Tabela1[],4,0),"")</f>
        <v/>
      </c>
      <c r="F1811" s="14"/>
      <c r="G1811" s="6"/>
      <c r="H1811" s="6"/>
      <c r="I1811" s="25"/>
      <c r="J1811" s="7"/>
      <c r="K1811" s="15"/>
      <c r="L1811" s="379">
        <f>IF(H1811&lt;&gt;"",J1811*K1811,SUMIFS(L1812:L$9844,$F1812:$F$9844,"*"&amp;F1811&amp;"*",$H1812:$H$9844,"&lt;&gt;"))</f>
        <v>0</v>
      </c>
      <c r="M1811" s="379" t="str">
        <f>IF(Tabela2[[#This Row],[UNID.]]&lt;&gt;"",IFERROR(VLOOKUP(Tabela2[[#This Row],[AGRUPADOR]],Lucratividade!$D$4:$O$129,6,0),0),"")</f>
        <v/>
      </c>
      <c r="N1811" s="379">
        <f>IF(H1811&lt;&gt;"",J1811*M1811*I1811,SUMIFS(N1812:N$9844,$F1812:$F$9844,"*"&amp;F1811&amp;"*",$H1812:$H$9844,"&lt;&gt;"))</f>
        <v>0</v>
      </c>
      <c r="O1811" s="162" t="str">
        <f>IFERROR((-Tabela2[[#This Row],[CUSTO TOTAL]]+Tabela2[[#This Row],[VENDA TOTAL]])/Tabela2[[#This Row],[VENDA TOTAL]]-PARAMETROS!$C$19,"")</f>
        <v/>
      </c>
      <c r="AA1811" s="219">
        <f>SUM(Plan_Orc[[#This Row],[01/jan]:[01/dez]])</f>
        <v>0</v>
      </c>
      <c r="AB1811" s="15"/>
      <c r="AC1811" s="15"/>
      <c r="AD1811" s="15"/>
      <c r="AE1811" s="15"/>
      <c r="AF1811" s="15"/>
      <c r="AG1811" s="15"/>
      <c r="AH1811" s="15"/>
      <c r="AI1811" s="15"/>
      <c r="AJ1811" s="15"/>
      <c r="AK1811" s="15"/>
      <c r="AL1811" s="15"/>
      <c r="AM1811" s="15"/>
    </row>
    <row r="1812" spans="2:39" ht="25.2" customHeight="1" x14ac:dyDescent="0.3">
      <c r="B1812" s="13" t="str">
        <f t="shared" si="32"/>
        <v/>
      </c>
      <c r="C1812" s="18"/>
      <c r="D1812" s="19" t="str">
        <f>IF(Tabela2[[#This Row],[AGRUPADOR]]&lt;&gt;"",VLOOKUP(Tabela2[[#This Row],[AGRUPADOR]],Tabela1[],2,0),"")</f>
        <v/>
      </c>
      <c r="E1812" s="19" t="str">
        <f>IF(Tabela2[[#This Row],[AGRUPADOR]]&lt;&gt;"",VLOOKUP(Tabela2[[#This Row],[AGRUPADOR]],Tabela1[],4,0),"")</f>
        <v/>
      </c>
      <c r="F1812" s="14"/>
      <c r="G1812" s="6"/>
      <c r="H1812" s="6"/>
      <c r="I1812" s="25"/>
      <c r="J1812" s="7"/>
      <c r="K1812" s="15"/>
      <c r="L1812" s="379">
        <f>IF(H1812&lt;&gt;"",J1812*K1812,SUMIFS(L1813:L$9844,$F1813:$F$9844,"*"&amp;F1812&amp;"*",$H1813:$H$9844,"&lt;&gt;"))</f>
        <v>0</v>
      </c>
      <c r="M1812" s="379" t="str">
        <f>IF(Tabela2[[#This Row],[UNID.]]&lt;&gt;"",IFERROR(VLOOKUP(Tabela2[[#This Row],[AGRUPADOR]],Lucratividade!$D$4:$O$129,6,0),0),"")</f>
        <v/>
      </c>
      <c r="N1812" s="379">
        <f>IF(H1812&lt;&gt;"",J1812*M1812*I1812,SUMIFS(N1813:N$9844,$F1813:$F$9844,"*"&amp;F1812&amp;"*",$H1813:$H$9844,"&lt;&gt;"))</f>
        <v>0</v>
      </c>
      <c r="O1812" s="162" t="str">
        <f>IFERROR((-Tabela2[[#This Row],[CUSTO TOTAL]]+Tabela2[[#This Row],[VENDA TOTAL]])/Tabela2[[#This Row],[VENDA TOTAL]]-PARAMETROS!$C$19,"")</f>
        <v/>
      </c>
      <c r="AA1812" s="219">
        <f>SUM(Plan_Orc[[#This Row],[01/jan]:[01/dez]])</f>
        <v>0</v>
      </c>
      <c r="AB1812" s="15"/>
      <c r="AC1812" s="15"/>
      <c r="AD1812" s="15"/>
      <c r="AE1812" s="15"/>
      <c r="AF1812" s="15"/>
      <c r="AG1812" s="15"/>
      <c r="AH1812" s="15"/>
      <c r="AI1812" s="15"/>
      <c r="AJ1812" s="15"/>
      <c r="AK1812" s="15"/>
      <c r="AL1812" s="15"/>
      <c r="AM1812" s="15"/>
    </row>
    <row r="1813" spans="2:39" ht="25.2" customHeight="1" x14ac:dyDescent="0.3">
      <c r="B1813" s="13" t="str">
        <f t="shared" si="32"/>
        <v/>
      </c>
      <c r="C1813" s="18"/>
      <c r="D1813" s="19" t="str">
        <f>IF(Tabela2[[#This Row],[AGRUPADOR]]&lt;&gt;"",VLOOKUP(Tabela2[[#This Row],[AGRUPADOR]],Tabela1[],2,0),"")</f>
        <v/>
      </c>
      <c r="E1813" s="19" t="str">
        <f>IF(Tabela2[[#This Row],[AGRUPADOR]]&lt;&gt;"",VLOOKUP(Tabela2[[#This Row],[AGRUPADOR]],Tabela1[],4,0),"")</f>
        <v/>
      </c>
      <c r="F1813" s="14"/>
      <c r="G1813" s="6"/>
      <c r="H1813" s="6"/>
      <c r="I1813" s="25"/>
      <c r="J1813" s="7"/>
      <c r="K1813" s="15"/>
      <c r="L1813" s="379">
        <f>IF(H1813&lt;&gt;"",J1813*K1813,SUMIFS(L1814:L$9844,$F1814:$F$9844,"*"&amp;F1813&amp;"*",$H1814:$H$9844,"&lt;&gt;"))</f>
        <v>0</v>
      </c>
      <c r="M1813" s="379" t="str">
        <f>IF(Tabela2[[#This Row],[UNID.]]&lt;&gt;"",IFERROR(VLOOKUP(Tabela2[[#This Row],[AGRUPADOR]],Lucratividade!$D$4:$O$129,6,0),0),"")</f>
        <v/>
      </c>
      <c r="N1813" s="379">
        <f>IF(H1813&lt;&gt;"",J1813*M1813*I1813,SUMIFS(N1814:N$9844,$F1814:$F$9844,"*"&amp;F1813&amp;"*",$H1814:$H$9844,"&lt;&gt;"))</f>
        <v>0</v>
      </c>
      <c r="O1813" s="162" t="str">
        <f>IFERROR((-Tabela2[[#This Row],[CUSTO TOTAL]]+Tabela2[[#This Row],[VENDA TOTAL]])/Tabela2[[#This Row],[VENDA TOTAL]]-PARAMETROS!$C$19,"")</f>
        <v/>
      </c>
      <c r="AA1813" s="219">
        <f>SUM(Plan_Orc[[#This Row],[01/jan]:[01/dez]])</f>
        <v>0</v>
      </c>
      <c r="AB1813" s="15"/>
      <c r="AC1813" s="15"/>
      <c r="AD1813" s="15"/>
      <c r="AE1813" s="15"/>
      <c r="AF1813" s="15"/>
      <c r="AG1813" s="15"/>
      <c r="AH1813" s="15"/>
      <c r="AI1813" s="15"/>
      <c r="AJ1813" s="15"/>
      <c r="AK1813" s="15"/>
      <c r="AL1813" s="15"/>
      <c r="AM1813" s="15"/>
    </row>
    <row r="1814" spans="2:39" ht="25.2" customHeight="1" x14ac:dyDescent="0.3">
      <c r="B1814" s="13" t="str">
        <f t="shared" si="32"/>
        <v/>
      </c>
      <c r="C1814" s="18"/>
      <c r="D1814" s="19" t="str">
        <f>IF(Tabela2[[#This Row],[AGRUPADOR]]&lt;&gt;"",VLOOKUP(Tabela2[[#This Row],[AGRUPADOR]],Tabela1[],2,0),"")</f>
        <v/>
      </c>
      <c r="E1814" s="19" t="str">
        <f>IF(Tabela2[[#This Row],[AGRUPADOR]]&lt;&gt;"",VLOOKUP(Tabela2[[#This Row],[AGRUPADOR]],Tabela1[],4,0),"")</f>
        <v/>
      </c>
      <c r="F1814" s="14"/>
      <c r="G1814" s="6"/>
      <c r="H1814" s="6"/>
      <c r="I1814" s="25"/>
      <c r="J1814" s="7"/>
      <c r="K1814" s="15"/>
      <c r="L1814" s="379">
        <f>IF(H1814&lt;&gt;"",J1814*K1814,SUMIFS(L1815:L$9844,$F1815:$F$9844,"*"&amp;F1814&amp;"*",$H1815:$H$9844,"&lt;&gt;"))</f>
        <v>0</v>
      </c>
      <c r="M1814" s="379" t="str">
        <f>IF(Tabela2[[#This Row],[UNID.]]&lt;&gt;"",IFERROR(VLOOKUP(Tabela2[[#This Row],[AGRUPADOR]],Lucratividade!$D$4:$O$129,6,0),0),"")</f>
        <v/>
      </c>
      <c r="N1814" s="379">
        <f>IF(H1814&lt;&gt;"",J1814*M1814*I1814,SUMIFS(N1815:N$9844,$F1815:$F$9844,"*"&amp;F1814&amp;"*",$H1815:$H$9844,"&lt;&gt;"))</f>
        <v>0</v>
      </c>
      <c r="O1814" s="162" t="str">
        <f>IFERROR((-Tabela2[[#This Row],[CUSTO TOTAL]]+Tabela2[[#This Row],[VENDA TOTAL]])/Tabela2[[#This Row],[VENDA TOTAL]]-PARAMETROS!$C$19,"")</f>
        <v/>
      </c>
      <c r="AA1814" s="219">
        <f>SUM(Plan_Orc[[#This Row],[01/jan]:[01/dez]])</f>
        <v>0</v>
      </c>
      <c r="AB1814" s="15"/>
      <c r="AC1814" s="15"/>
      <c r="AD1814" s="15"/>
      <c r="AE1814" s="15"/>
      <c r="AF1814" s="15"/>
      <c r="AG1814" s="15"/>
      <c r="AH1814" s="15"/>
      <c r="AI1814" s="15"/>
      <c r="AJ1814" s="15"/>
      <c r="AK1814" s="15"/>
      <c r="AL1814" s="15"/>
      <c r="AM1814" s="15"/>
    </row>
    <row r="1815" spans="2:39" ht="25.2" customHeight="1" x14ac:dyDescent="0.3">
      <c r="B1815" s="13" t="str">
        <f t="shared" si="32"/>
        <v/>
      </c>
      <c r="C1815" s="18"/>
      <c r="D1815" s="19" t="str">
        <f>IF(Tabela2[[#This Row],[AGRUPADOR]]&lt;&gt;"",VLOOKUP(Tabela2[[#This Row],[AGRUPADOR]],Tabela1[],2,0),"")</f>
        <v/>
      </c>
      <c r="E1815" s="19" t="str">
        <f>IF(Tabela2[[#This Row],[AGRUPADOR]]&lt;&gt;"",VLOOKUP(Tabela2[[#This Row],[AGRUPADOR]],Tabela1[],4,0),"")</f>
        <v/>
      </c>
      <c r="F1815" s="14"/>
      <c r="G1815" s="6"/>
      <c r="H1815" s="6"/>
      <c r="I1815" s="25"/>
      <c r="J1815" s="7"/>
      <c r="K1815" s="15"/>
      <c r="L1815" s="379">
        <f>IF(H1815&lt;&gt;"",J1815*K1815,SUMIFS(L1816:L$9844,$F1816:$F$9844,"*"&amp;F1815&amp;"*",$H1816:$H$9844,"&lt;&gt;"))</f>
        <v>0</v>
      </c>
      <c r="M1815" s="379" t="str">
        <f>IF(Tabela2[[#This Row],[UNID.]]&lt;&gt;"",IFERROR(VLOOKUP(Tabela2[[#This Row],[AGRUPADOR]],Lucratividade!$D$4:$O$129,6,0),0),"")</f>
        <v/>
      </c>
      <c r="N1815" s="379">
        <f>IF(H1815&lt;&gt;"",J1815*M1815*I1815,SUMIFS(N1816:N$9844,$F1816:$F$9844,"*"&amp;F1815&amp;"*",$H1816:$H$9844,"&lt;&gt;"))</f>
        <v>0</v>
      </c>
      <c r="O1815" s="162" t="str">
        <f>IFERROR((-Tabela2[[#This Row],[CUSTO TOTAL]]+Tabela2[[#This Row],[VENDA TOTAL]])/Tabela2[[#This Row],[VENDA TOTAL]]-PARAMETROS!$C$19,"")</f>
        <v/>
      </c>
      <c r="AA1815" s="219">
        <f>SUM(Plan_Orc[[#This Row],[01/jan]:[01/dez]])</f>
        <v>0</v>
      </c>
      <c r="AB1815" s="15"/>
      <c r="AC1815" s="15"/>
      <c r="AD1815" s="15"/>
      <c r="AE1815" s="15"/>
      <c r="AF1815" s="15"/>
      <c r="AG1815" s="15"/>
      <c r="AH1815" s="15"/>
      <c r="AI1815" s="15"/>
      <c r="AJ1815" s="15"/>
      <c r="AK1815" s="15"/>
      <c r="AL1815" s="15"/>
      <c r="AM1815" s="15"/>
    </row>
    <row r="1816" spans="2:39" ht="25.2" customHeight="1" x14ac:dyDescent="0.3">
      <c r="B1816" s="13" t="str">
        <f t="shared" si="32"/>
        <v/>
      </c>
      <c r="C1816" s="18"/>
      <c r="D1816" s="19" t="str">
        <f>IF(Tabela2[[#This Row],[AGRUPADOR]]&lt;&gt;"",VLOOKUP(Tabela2[[#This Row],[AGRUPADOR]],Tabela1[],2,0),"")</f>
        <v/>
      </c>
      <c r="E1816" s="19" t="str">
        <f>IF(Tabela2[[#This Row],[AGRUPADOR]]&lt;&gt;"",VLOOKUP(Tabela2[[#This Row],[AGRUPADOR]],Tabela1[],4,0),"")</f>
        <v/>
      </c>
      <c r="F1816" s="14"/>
      <c r="G1816" s="6"/>
      <c r="H1816" s="6"/>
      <c r="I1816" s="25"/>
      <c r="J1816" s="7"/>
      <c r="K1816" s="15"/>
      <c r="L1816" s="379">
        <f>IF(H1816&lt;&gt;"",J1816*K1816,SUMIFS(L1817:L$9844,$F1817:$F$9844,"*"&amp;F1816&amp;"*",$H1817:$H$9844,"&lt;&gt;"))</f>
        <v>0</v>
      </c>
      <c r="M1816" s="379" t="str">
        <f>IF(Tabela2[[#This Row],[UNID.]]&lt;&gt;"",IFERROR(VLOOKUP(Tabela2[[#This Row],[AGRUPADOR]],Lucratividade!$D$4:$O$129,6,0),0),"")</f>
        <v/>
      </c>
      <c r="N1816" s="379">
        <f>IF(H1816&lt;&gt;"",J1816*M1816*I1816,SUMIFS(N1817:N$9844,$F1817:$F$9844,"*"&amp;F1816&amp;"*",$H1817:$H$9844,"&lt;&gt;"))</f>
        <v>0</v>
      </c>
      <c r="O1816" s="162" t="str">
        <f>IFERROR((-Tabela2[[#This Row],[CUSTO TOTAL]]+Tabela2[[#This Row],[VENDA TOTAL]])/Tabela2[[#This Row],[VENDA TOTAL]]-PARAMETROS!$C$19,"")</f>
        <v/>
      </c>
      <c r="AA1816" s="219">
        <f>SUM(Plan_Orc[[#This Row],[01/jan]:[01/dez]])</f>
        <v>0</v>
      </c>
      <c r="AB1816" s="15"/>
      <c r="AC1816" s="15"/>
      <c r="AD1816" s="15"/>
      <c r="AE1816" s="15"/>
      <c r="AF1816" s="15"/>
      <c r="AG1816" s="15"/>
      <c r="AH1816" s="15"/>
      <c r="AI1816" s="15"/>
      <c r="AJ1816" s="15"/>
      <c r="AK1816" s="15"/>
      <c r="AL1816" s="15"/>
      <c r="AM1816" s="15"/>
    </row>
    <row r="1817" spans="2:39" ht="25.2" customHeight="1" x14ac:dyDescent="0.3">
      <c r="B1817" s="13" t="str">
        <f t="shared" si="32"/>
        <v/>
      </c>
      <c r="C1817" s="18"/>
      <c r="D1817" s="19" t="str">
        <f>IF(Tabela2[[#This Row],[AGRUPADOR]]&lt;&gt;"",VLOOKUP(Tabela2[[#This Row],[AGRUPADOR]],Tabela1[],2,0),"")</f>
        <v/>
      </c>
      <c r="E1817" s="19" t="str">
        <f>IF(Tabela2[[#This Row],[AGRUPADOR]]&lt;&gt;"",VLOOKUP(Tabela2[[#This Row],[AGRUPADOR]],Tabela1[],4,0),"")</f>
        <v/>
      </c>
      <c r="F1817" s="14"/>
      <c r="G1817" s="6"/>
      <c r="H1817" s="6"/>
      <c r="I1817" s="25"/>
      <c r="J1817" s="7"/>
      <c r="K1817" s="15"/>
      <c r="L1817" s="379">
        <f>IF(H1817&lt;&gt;"",J1817*K1817,SUMIFS(L1818:L$9844,$F1818:$F$9844,"*"&amp;F1817&amp;"*",$H1818:$H$9844,"&lt;&gt;"))</f>
        <v>0</v>
      </c>
      <c r="M1817" s="379" t="str">
        <f>IF(Tabela2[[#This Row],[UNID.]]&lt;&gt;"",IFERROR(VLOOKUP(Tabela2[[#This Row],[AGRUPADOR]],Lucratividade!$D$4:$O$129,6,0),0),"")</f>
        <v/>
      </c>
      <c r="N1817" s="379">
        <f>IF(H1817&lt;&gt;"",J1817*M1817*I1817,SUMIFS(N1818:N$9844,$F1818:$F$9844,"*"&amp;F1817&amp;"*",$H1818:$H$9844,"&lt;&gt;"))</f>
        <v>0</v>
      </c>
      <c r="O1817" s="162" t="str">
        <f>IFERROR((-Tabela2[[#This Row],[CUSTO TOTAL]]+Tabela2[[#This Row],[VENDA TOTAL]])/Tabela2[[#This Row],[VENDA TOTAL]]-PARAMETROS!$C$19,"")</f>
        <v/>
      </c>
      <c r="AA1817" s="219">
        <f>SUM(Plan_Orc[[#This Row],[01/jan]:[01/dez]])</f>
        <v>0</v>
      </c>
      <c r="AB1817" s="15"/>
      <c r="AC1817" s="15"/>
      <c r="AD1817" s="15"/>
      <c r="AE1817" s="15"/>
      <c r="AF1817" s="15"/>
      <c r="AG1817" s="15"/>
      <c r="AH1817" s="15"/>
      <c r="AI1817" s="15"/>
      <c r="AJ1817" s="15"/>
      <c r="AK1817" s="15"/>
      <c r="AL1817" s="15"/>
      <c r="AM1817" s="15"/>
    </row>
    <row r="1818" spans="2:39" ht="25.2" customHeight="1" x14ac:dyDescent="0.3">
      <c r="B1818" s="13" t="str">
        <f t="shared" si="32"/>
        <v/>
      </c>
      <c r="C1818" s="18"/>
      <c r="D1818" s="19" t="str">
        <f>IF(Tabela2[[#This Row],[AGRUPADOR]]&lt;&gt;"",VLOOKUP(Tabela2[[#This Row],[AGRUPADOR]],Tabela1[],2,0),"")</f>
        <v/>
      </c>
      <c r="E1818" s="19" t="str">
        <f>IF(Tabela2[[#This Row],[AGRUPADOR]]&lt;&gt;"",VLOOKUP(Tabela2[[#This Row],[AGRUPADOR]],Tabela1[],4,0),"")</f>
        <v/>
      </c>
      <c r="F1818" s="14"/>
      <c r="G1818" s="6"/>
      <c r="H1818" s="6"/>
      <c r="I1818" s="25"/>
      <c r="J1818" s="7"/>
      <c r="K1818" s="15"/>
      <c r="L1818" s="379">
        <f>IF(H1818&lt;&gt;"",J1818*K1818,SUMIFS(L1819:L$9844,$F1819:$F$9844,"*"&amp;F1818&amp;"*",$H1819:$H$9844,"&lt;&gt;"))</f>
        <v>0</v>
      </c>
      <c r="M1818" s="379" t="str">
        <f>IF(Tabela2[[#This Row],[UNID.]]&lt;&gt;"",IFERROR(VLOOKUP(Tabela2[[#This Row],[AGRUPADOR]],Lucratividade!$D$4:$O$129,6,0),0),"")</f>
        <v/>
      </c>
      <c r="N1818" s="379">
        <f>IF(H1818&lt;&gt;"",J1818*M1818*I1818,SUMIFS(N1819:N$9844,$F1819:$F$9844,"*"&amp;F1818&amp;"*",$H1819:$H$9844,"&lt;&gt;"))</f>
        <v>0</v>
      </c>
      <c r="O1818" s="162" t="str">
        <f>IFERROR((-Tabela2[[#This Row],[CUSTO TOTAL]]+Tabela2[[#This Row],[VENDA TOTAL]])/Tabela2[[#This Row],[VENDA TOTAL]]-PARAMETROS!$C$19,"")</f>
        <v/>
      </c>
      <c r="AA1818" s="219">
        <f>SUM(Plan_Orc[[#This Row],[01/jan]:[01/dez]])</f>
        <v>0</v>
      </c>
      <c r="AB1818" s="15"/>
      <c r="AC1818" s="15"/>
      <c r="AD1818" s="15"/>
      <c r="AE1818" s="15"/>
      <c r="AF1818" s="15"/>
      <c r="AG1818" s="15"/>
      <c r="AH1818" s="15"/>
      <c r="AI1818" s="15"/>
      <c r="AJ1818" s="15"/>
      <c r="AK1818" s="15"/>
      <c r="AL1818" s="15"/>
      <c r="AM1818" s="15"/>
    </row>
    <row r="1819" spans="2:39" ht="25.2" customHeight="1" x14ac:dyDescent="0.3">
      <c r="B1819" s="13" t="str">
        <f t="shared" si="32"/>
        <v/>
      </c>
      <c r="C1819" s="18"/>
      <c r="D1819" s="19" t="str">
        <f>IF(Tabela2[[#This Row],[AGRUPADOR]]&lt;&gt;"",VLOOKUP(Tabela2[[#This Row],[AGRUPADOR]],Tabela1[],2,0),"")</f>
        <v/>
      </c>
      <c r="E1819" s="19" t="str">
        <f>IF(Tabela2[[#This Row],[AGRUPADOR]]&lt;&gt;"",VLOOKUP(Tabela2[[#This Row],[AGRUPADOR]],Tabela1[],4,0),"")</f>
        <v/>
      </c>
      <c r="F1819" s="14"/>
      <c r="G1819" s="6"/>
      <c r="H1819" s="6"/>
      <c r="I1819" s="25"/>
      <c r="J1819" s="7"/>
      <c r="K1819" s="15"/>
      <c r="L1819" s="379">
        <f>IF(H1819&lt;&gt;"",J1819*K1819,SUMIFS(L1820:L$9844,$F1820:$F$9844,"*"&amp;F1819&amp;"*",$H1820:$H$9844,"&lt;&gt;"))</f>
        <v>0</v>
      </c>
      <c r="M1819" s="379" t="str">
        <f>IF(Tabela2[[#This Row],[UNID.]]&lt;&gt;"",IFERROR(VLOOKUP(Tabela2[[#This Row],[AGRUPADOR]],Lucratividade!$D$4:$O$129,6,0),0),"")</f>
        <v/>
      </c>
      <c r="N1819" s="379">
        <f>IF(H1819&lt;&gt;"",J1819*M1819*I1819,SUMIFS(N1820:N$9844,$F1820:$F$9844,"*"&amp;F1819&amp;"*",$H1820:$H$9844,"&lt;&gt;"))</f>
        <v>0</v>
      </c>
      <c r="O1819" s="162" t="str">
        <f>IFERROR((-Tabela2[[#This Row],[CUSTO TOTAL]]+Tabela2[[#This Row],[VENDA TOTAL]])/Tabela2[[#This Row],[VENDA TOTAL]]-PARAMETROS!$C$19,"")</f>
        <v/>
      </c>
      <c r="AA1819" s="219">
        <f>SUM(Plan_Orc[[#This Row],[01/jan]:[01/dez]])</f>
        <v>0</v>
      </c>
      <c r="AB1819" s="15"/>
      <c r="AC1819" s="15"/>
      <c r="AD1819" s="15"/>
      <c r="AE1819" s="15"/>
      <c r="AF1819" s="15"/>
      <c r="AG1819" s="15"/>
      <c r="AH1819" s="15"/>
      <c r="AI1819" s="15"/>
      <c r="AJ1819" s="15"/>
      <c r="AK1819" s="15"/>
      <c r="AL1819" s="15"/>
      <c r="AM1819" s="15"/>
    </row>
    <row r="1820" spans="2:39" ht="25.2" customHeight="1" x14ac:dyDescent="0.3">
      <c r="B1820" s="13" t="str">
        <f t="shared" si="32"/>
        <v/>
      </c>
      <c r="C1820" s="18"/>
      <c r="D1820" s="19" t="str">
        <f>IF(Tabela2[[#This Row],[AGRUPADOR]]&lt;&gt;"",VLOOKUP(Tabela2[[#This Row],[AGRUPADOR]],Tabela1[],2,0),"")</f>
        <v/>
      </c>
      <c r="E1820" s="19" t="str">
        <f>IF(Tabela2[[#This Row],[AGRUPADOR]]&lt;&gt;"",VLOOKUP(Tabela2[[#This Row],[AGRUPADOR]],Tabela1[],4,0),"")</f>
        <v/>
      </c>
      <c r="F1820" s="14"/>
      <c r="G1820" s="6"/>
      <c r="H1820" s="6"/>
      <c r="I1820" s="25"/>
      <c r="J1820" s="7"/>
      <c r="K1820" s="15"/>
      <c r="L1820" s="379">
        <f>IF(H1820&lt;&gt;"",J1820*K1820,SUMIFS(L1821:L$9844,$F1821:$F$9844,"*"&amp;F1820&amp;"*",$H1821:$H$9844,"&lt;&gt;"))</f>
        <v>0</v>
      </c>
      <c r="M1820" s="379" t="str">
        <f>IF(Tabela2[[#This Row],[UNID.]]&lt;&gt;"",IFERROR(VLOOKUP(Tabela2[[#This Row],[AGRUPADOR]],Lucratividade!$D$4:$O$129,6,0),0),"")</f>
        <v/>
      </c>
      <c r="N1820" s="379">
        <f>IF(H1820&lt;&gt;"",J1820*M1820*I1820,SUMIFS(N1821:N$9844,$F1821:$F$9844,"*"&amp;F1820&amp;"*",$H1821:$H$9844,"&lt;&gt;"))</f>
        <v>0</v>
      </c>
      <c r="O1820" s="162" t="str">
        <f>IFERROR((-Tabela2[[#This Row],[CUSTO TOTAL]]+Tabela2[[#This Row],[VENDA TOTAL]])/Tabela2[[#This Row],[VENDA TOTAL]]-PARAMETROS!$C$19,"")</f>
        <v/>
      </c>
      <c r="AA1820" s="219">
        <f>SUM(Plan_Orc[[#This Row],[01/jan]:[01/dez]])</f>
        <v>0</v>
      </c>
      <c r="AB1820" s="15"/>
      <c r="AC1820" s="15"/>
      <c r="AD1820" s="15"/>
      <c r="AE1820" s="15"/>
      <c r="AF1820" s="15"/>
      <c r="AG1820" s="15"/>
      <c r="AH1820" s="15"/>
      <c r="AI1820" s="15"/>
      <c r="AJ1820" s="15"/>
      <c r="AK1820" s="15"/>
      <c r="AL1820" s="15"/>
      <c r="AM1820" s="15"/>
    </row>
    <row r="1821" spans="2:39" ht="25.2" customHeight="1" x14ac:dyDescent="0.3">
      <c r="B1821" s="13" t="str">
        <f t="shared" si="32"/>
        <v/>
      </c>
      <c r="C1821" s="18"/>
      <c r="D1821" s="19" t="str">
        <f>IF(Tabela2[[#This Row],[AGRUPADOR]]&lt;&gt;"",VLOOKUP(Tabela2[[#This Row],[AGRUPADOR]],Tabela1[],2,0),"")</f>
        <v/>
      </c>
      <c r="E1821" s="19" t="str">
        <f>IF(Tabela2[[#This Row],[AGRUPADOR]]&lt;&gt;"",VLOOKUP(Tabela2[[#This Row],[AGRUPADOR]],Tabela1[],4,0),"")</f>
        <v/>
      </c>
      <c r="F1821" s="14"/>
      <c r="G1821" s="6"/>
      <c r="H1821" s="6"/>
      <c r="I1821" s="25"/>
      <c r="J1821" s="7"/>
      <c r="K1821" s="15"/>
      <c r="L1821" s="379">
        <f>IF(H1821&lt;&gt;"",J1821*K1821,SUMIFS(L1822:L$9844,$F1822:$F$9844,"*"&amp;F1821&amp;"*",$H1822:$H$9844,"&lt;&gt;"))</f>
        <v>0</v>
      </c>
      <c r="M1821" s="379" t="str">
        <f>IF(Tabela2[[#This Row],[UNID.]]&lt;&gt;"",IFERROR(VLOOKUP(Tabela2[[#This Row],[AGRUPADOR]],Lucratividade!$D$4:$O$129,6,0),0),"")</f>
        <v/>
      </c>
      <c r="N1821" s="379">
        <f>IF(H1821&lt;&gt;"",J1821*M1821*I1821,SUMIFS(N1822:N$9844,$F1822:$F$9844,"*"&amp;F1821&amp;"*",$H1822:$H$9844,"&lt;&gt;"))</f>
        <v>0</v>
      </c>
      <c r="O1821" s="162" t="str">
        <f>IFERROR((-Tabela2[[#This Row],[CUSTO TOTAL]]+Tabela2[[#This Row],[VENDA TOTAL]])/Tabela2[[#This Row],[VENDA TOTAL]]-PARAMETROS!$C$19,"")</f>
        <v/>
      </c>
      <c r="AA1821" s="219">
        <f>SUM(Plan_Orc[[#This Row],[01/jan]:[01/dez]])</f>
        <v>0</v>
      </c>
      <c r="AB1821" s="15"/>
      <c r="AC1821" s="15"/>
      <c r="AD1821" s="15"/>
      <c r="AE1821" s="15"/>
      <c r="AF1821" s="15"/>
      <c r="AG1821" s="15"/>
      <c r="AH1821" s="15"/>
      <c r="AI1821" s="15"/>
      <c r="AJ1821" s="15"/>
      <c r="AK1821" s="15"/>
      <c r="AL1821" s="15"/>
      <c r="AM1821" s="15"/>
    </row>
    <row r="1822" spans="2:39" ht="25.2" customHeight="1" x14ac:dyDescent="0.3">
      <c r="B1822" s="13" t="str">
        <f t="shared" si="32"/>
        <v/>
      </c>
      <c r="C1822" s="18"/>
      <c r="D1822" s="19" t="str">
        <f>IF(Tabela2[[#This Row],[AGRUPADOR]]&lt;&gt;"",VLOOKUP(Tabela2[[#This Row],[AGRUPADOR]],Tabela1[],2,0),"")</f>
        <v/>
      </c>
      <c r="E1822" s="19" t="str">
        <f>IF(Tabela2[[#This Row],[AGRUPADOR]]&lt;&gt;"",VLOOKUP(Tabela2[[#This Row],[AGRUPADOR]],Tabela1[],4,0),"")</f>
        <v/>
      </c>
      <c r="F1822" s="14"/>
      <c r="G1822" s="6"/>
      <c r="H1822" s="6"/>
      <c r="I1822" s="25"/>
      <c r="J1822" s="7"/>
      <c r="K1822" s="15"/>
      <c r="L1822" s="379">
        <f>IF(H1822&lt;&gt;"",J1822*K1822,SUMIFS(L1823:L$9844,$F1823:$F$9844,"*"&amp;F1822&amp;"*",$H1823:$H$9844,"&lt;&gt;"))</f>
        <v>0</v>
      </c>
      <c r="M1822" s="379" t="str">
        <f>IF(Tabela2[[#This Row],[UNID.]]&lt;&gt;"",IFERROR(VLOOKUP(Tabela2[[#This Row],[AGRUPADOR]],Lucratividade!$D$4:$O$129,6,0),0),"")</f>
        <v/>
      </c>
      <c r="N1822" s="379">
        <f>IF(H1822&lt;&gt;"",J1822*M1822*I1822,SUMIFS(N1823:N$9844,$F1823:$F$9844,"*"&amp;F1822&amp;"*",$H1823:$H$9844,"&lt;&gt;"))</f>
        <v>0</v>
      </c>
      <c r="O1822" s="162" t="str">
        <f>IFERROR((-Tabela2[[#This Row],[CUSTO TOTAL]]+Tabela2[[#This Row],[VENDA TOTAL]])/Tabela2[[#This Row],[VENDA TOTAL]]-PARAMETROS!$C$19,"")</f>
        <v/>
      </c>
      <c r="AA1822" s="219">
        <f>SUM(Plan_Orc[[#This Row],[01/jan]:[01/dez]])</f>
        <v>0</v>
      </c>
      <c r="AB1822" s="15"/>
      <c r="AC1822" s="15"/>
      <c r="AD1822" s="15"/>
      <c r="AE1822" s="15"/>
      <c r="AF1822" s="15"/>
      <c r="AG1822" s="15"/>
      <c r="AH1822" s="15"/>
      <c r="AI1822" s="15"/>
      <c r="AJ1822" s="15"/>
      <c r="AK1822" s="15"/>
      <c r="AL1822" s="15"/>
      <c r="AM1822" s="15"/>
    </row>
    <row r="1823" spans="2:39" ht="25.2" customHeight="1" x14ac:dyDescent="0.3">
      <c r="B1823" s="13" t="str">
        <f t="shared" si="32"/>
        <v/>
      </c>
      <c r="C1823" s="18"/>
      <c r="D1823" s="19" t="str">
        <f>IF(Tabela2[[#This Row],[AGRUPADOR]]&lt;&gt;"",VLOOKUP(Tabela2[[#This Row],[AGRUPADOR]],Tabela1[],2,0),"")</f>
        <v/>
      </c>
      <c r="E1823" s="19" t="str">
        <f>IF(Tabela2[[#This Row],[AGRUPADOR]]&lt;&gt;"",VLOOKUP(Tabela2[[#This Row],[AGRUPADOR]],Tabela1[],4,0),"")</f>
        <v/>
      </c>
      <c r="F1823" s="14"/>
      <c r="G1823" s="6"/>
      <c r="H1823" s="6"/>
      <c r="I1823" s="25"/>
      <c r="J1823" s="7"/>
      <c r="K1823" s="15"/>
      <c r="L1823" s="379">
        <f>IF(H1823&lt;&gt;"",J1823*K1823,SUMIFS(L1824:L$9844,$F1824:$F$9844,"*"&amp;F1823&amp;"*",$H1824:$H$9844,"&lt;&gt;"))</f>
        <v>0</v>
      </c>
      <c r="M1823" s="379" t="str">
        <f>IF(Tabela2[[#This Row],[UNID.]]&lt;&gt;"",IFERROR(VLOOKUP(Tabela2[[#This Row],[AGRUPADOR]],Lucratividade!$D$4:$O$129,6,0),0),"")</f>
        <v/>
      </c>
      <c r="N1823" s="379">
        <f>IF(H1823&lt;&gt;"",J1823*M1823*I1823,SUMIFS(N1824:N$9844,$F1824:$F$9844,"*"&amp;F1823&amp;"*",$H1824:$H$9844,"&lt;&gt;"))</f>
        <v>0</v>
      </c>
      <c r="O1823" s="162" t="str">
        <f>IFERROR((-Tabela2[[#This Row],[CUSTO TOTAL]]+Tabela2[[#This Row],[VENDA TOTAL]])/Tabela2[[#This Row],[VENDA TOTAL]]-PARAMETROS!$C$19,"")</f>
        <v/>
      </c>
      <c r="AA1823" s="218">
        <f>SUM(Plan_Orc[[#This Row],[01/jan]:[01/dez]])</f>
        <v>0</v>
      </c>
      <c r="AB1823" s="12"/>
      <c r="AC1823" s="12"/>
      <c r="AD1823" s="12"/>
      <c r="AE1823" s="12"/>
      <c r="AF1823" s="12"/>
      <c r="AG1823" s="12"/>
      <c r="AH1823" s="12"/>
      <c r="AI1823" s="12"/>
      <c r="AJ1823" s="12"/>
      <c r="AK1823" s="12"/>
      <c r="AL1823" s="12"/>
      <c r="AM1823" s="12"/>
    </row>
    <row r="1824" spans="2:39" ht="25.2" customHeight="1" x14ac:dyDescent="0.3">
      <c r="B1824" s="13" t="str">
        <f t="shared" si="32"/>
        <v/>
      </c>
      <c r="C1824" s="18"/>
      <c r="D1824" s="19" t="str">
        <f>IF(Tabela2[[#This Row],[AGRUPADOR]]&lt;&gt;"",VLOOKUP(Tabela2[[#This Row],[AGRUPADOR]],Tabela1[],2,0),"")</f>
        <v/>
      </c>
      <c r="E1824" s="19" t="str">
        <f>IF(Tabela2[[#This Row],[AGRUPADOR]]&lt;&gt;"",VLOOKUP(Tabela2[[#This Row],[AGRUPADOR]],Tabela1[],4,0),"")</f>
        <v/>
      </c>
      <c r="F1824" s="14"/>
      <c r="G1824" s="6"/>
      <c r="H1824" s="6"/>
      <c r="I1824" s="25"/>
      <c r="J1824" s="7"/>
      <c r="K1824" s="15"/>
      <c r="L1824" s="379">
        <f>IF(H1824&lt;&gt;"",J1824*K1824,SUMIFS(L1825:L$9844,$F1825:$F$9844,"*"&amp;F1824&amp;"*",$H1825:$H$9844,"&lt;&gt;"))</f>
        <v>0</v>
      </c>
      <c r="M1824" s="379" t="str">
        <f>IF(Tabela2[[#This Row],[UNID.]]&lt;&gt;"",IFERROR(VLOOKUP(Tabela2[[#This Row],[AGRUPADOR]],Lucratividade!$D$4:$O$129,6,0),0),"")</f>
        <v/>
      </c>
      <c r="N1824" s="379">
        <f>IF(H1824&lt;&gt;"",J1824*M1824*I1824,SUMIFS(N1825:N$9844,$F1825:$F$9844,"*"&amp;F1824&amp;"*",$H1825:$H$9844,"&lt;&gt;"))</f>
        <v>0</v>
      </c>
      <c r="O1824" s="162" t="str">
        <f>IFERROR((-Tabela2[[#This Row],[CUSTO TOTAL]]+Tabela2[[#This Row],[VENDA TOTAL]])/Tabela2[[#This Row],[VENDA TOTAL]]-PARAMETROS!$C$19,"")</f>
        <v/>
      </c>
      <c r="AA1824" s="219">
        <f>SUM(Plan_Orc[[#This Row],[01/jan]:[01/dez]])</f>
        <v>0</v>
      </c>
      <c r="AB1824" s="15"/>
      <c r="AC1824" s="15"/>
      <c r="AD1824" s="15"/>
      <c r="AE1824" s="15"/>
      <c r="AF1824" s="15"/>
      <c r="AG1824" s="15"/>
      <c r="AH1824" s="15"/>
      <c r="AI1824" s="15"/>
      <c r="AJ1824" s="15"/>
      <c r="AK1824" s="15"/>
      <c r="AL1824" s="15"/>
      <c r="AM1824" s="15"/>
    </row>
    <row r="1825" spans="2:39" ht="25.2" customHeight="1" x14ac:dyDescent="0.3">
      <c r="B1825" s="13" t="str">
        <f t="shared" si="32"/>
        <v/>
      </c>
      <c r="C1825" s="18"/>
      <c r="D1825" s="19" t="str">
        <f>IF(Tabela2[[#This Row],[AGRUPADOR]]&lt;&gt;"",VLOOKUP(Tabela2[[#This Row],[AGRUPADOR]],Tabela1[],2,0),"")</f>
        <v/>
      </c>
      <c r="E1825" s="19" t="str">
        <f>IF(Tabela2[[#This Row],[AGRUPADOR]]&lt;&gt;"",VLOOKUP(Tabela2[[#This Row],[AGRUPADOR]],Tabela1[],4,0),"")</f>
        <v/>
      </c>
      <c r="F1825" s="14"/>
      <c r="G1825" s="6"/>
      <c r="H1825" s="6"/>
      <c r="I1825" s="25"/>
      <c r="J1825" s="7"/>
      <c r="K1825" s="15"/>
      <c r="L1825" s="379">
        <f>IF(H1825&lt;&gt;"",J1825*K1825,SUMIFS(L1826:L$9844,$F1826:$F$9844,"*"&amp;F1825&amp;"*",$H1826:$H$9844,"&lt;&gt;"))</f>
        <v>0</v>
      </c>
      <c r="M1825" s="379" t="str">
        <f>IF(Tabela2[[#This Row],[UNID.]]&lt;&gt;"",IFERROR(VLOOKUP(Tabela2[[#This Row],[AGRUPADOR]],Lucratividade!$D$4:$O$129,6,0),0),"")</f>
        <v/>
      </c>
      <c r="N1825" s="379">
        <f>IF(H1825&lt;&gt;"",J1825*M1825*I1825,SUMIFS(N1826:N$9844,$F1826:$F$9844,"*"&amp;F1825&amp;"*",$H1826:$H$9844,"&lt;&gt;"))</f>
        <v>0</v>
      </c>
      <c r="O1825" s="162" t="str">
        <f>IFERROR((-Tabela2[[#This Row],[CUSTO TOTAL]]+Tabela2[[#This Row],[VENDA TOTAL]])/Tabela2[[#This Row],[VENDA TOTAL]]-PARAMETROS!$C$19,"")</f>
        <v/>
      </c>
      <c r="AA1825" s="219">
        <f>SUM(Plan_Orc[[#This Row],[01/jan]:[01/dez]])</f>
        <v>0</v>
      </c>
      <c r="AB1825" s="15"/>
      <c r="AC1825" s="15"/>
      <c r="AD1825" s="15"/>
      <c r="AE1825" s="15"/>
      <c r="AF1825" s="15"/>
      <c r="AG1825" s="15"/>
      <c r="AH1825" s="15"/>
      <c r="AI1825" s="15"/>
      <c r="AJ1825" s="15"/>
      <c r="AK1825" s="15"/>
      <c r="AL1825" s="15"/>
      <c r="AM1825" s="15"/>
    </row>
    <row r="1826" spans="2:39" ht="25.2" customHeight="1" x14ac:dyDescent="0.3">
      <c r="B1826" s="13" t="str">
        <f t="shared" si="32"/>
        <v/>
      </c>
      <c r="C1826" s="18"/>
      <c r="D1826" s="19" t="str">
        <f>IF(Tabela2[[#This Row],[AGRUPADOR]]&lt;&gt;"",VLOOKUP(Tabela2[[#This Row],[AGRUPADOR]],Tabela1[],2,0),"")</f>
        <v/>
      </c>
      <c r="E1826" s="19" t="str">
        <f>IF(Tabela2[[#This Row],[AGRUPADOR]]&lt;&gt;"",VLOOKUP(Tabela2[[#This Row],[AGRUPADOR]],Tabela1[],4,0),"")</f>
        <v/>
      </c>
      <c r="F1826" s="14"/>
      <c r="G1826" s="6"/>
      <c r="H1826" s="6"/>
      <c r="I1826" s="25"/>
      <c r="J1826" s="7"/>
      <c r="K1826" s="15"/>
      <c r="L1826" s="379">
        <f>IF(H1826&lt;&gt;"",J1826*K1826,SUMIFS(L1827:L$9844,$F1827:$F$9844,"*"&amp;F1826&amp;"*",$H1827:$H$9844,"&lt;&gt;"))</f>
        <v>0</v>
      </c>
      <c r="M1826" s="379" t="str">
        <f>IF(Tabela2[[#This Row],[UNID.]]&lt;&gt;"",IFERROR(VLOOKUP(Tabela2[[#This Row],[AGRUPADOR]],Lucratividade!$D$4:$O$129,6,0),0),"")</f>
        <v/>
      </c>
      <c r="N1826" s="379">
        <f>IF(H1826&lt;&gt;"",J1826*M1826*I1826,SUMIFS(N1827:N$9844,$F1827:$F$9844,"*"&amp;F1826&amp;"*",$H1827:$H$9844,"&lt;&gt;"))</f>
        <v>0</v>
      </c>
      <c r="O1826" s="162" t="str">
        <f>IFERROR((-Tabela2[[#This Row],[CUSTO TOTAL]]+Tabela2[[#This Row],[VENDA TOTAL]])/Tabela2[[#This Row],[VENDA TOTAL]]-PARAMETROS!$C$19,"")</f>
        <v/>
      </c>
      <c r="AA1826" s="219">
        <f>SUM(Plan_Orc[[#This Row],[01/jan]:[01/dez]])</f>
        <v>0</v>
      </c>
      <c r="AB1826" s="15"/>
      <c r="AC1826" s="15"/>
      <c r="AD1826" s="15"/>
      <c r="AE1826" s="15"/>
      <c r="AF1826" s="15"/>
      <c r="AG1826" s="15"/>
      <c r="AH1826" s="15"/>
      <c r="AI1826" s="15"/>
      <c r="AJ1826" s="15"/>
      <c r="AK1826" s="15"/>
      <c r="AL1826" s="15"/>
      <c r="AM1826" s="15"/>
    </row>
    <row r="1827" spans="2:39" ht="25.2" customHeight="1" x14ac:dyDescent="0.3">
      <c r="B1827" s="13" t="str">
        <f t="shared" si="32"/>
        <v/>
      </c>
      <c r="C1827" s="18"/>
      <c r="D1827" s="19" t="str">
        <f>IF(Tabela2[[#This Row],[AGRUPADOR]]&lt;&gt;"",VLOOKUP(Tabela2[[#This Row],[AGRUPADOR]],Tabela1[],2,0),"")</f>
        <v/>
      </c>
      <c r="E1827" s="19" t="str">
        <f>IF(Tabela2[[#This Row],[AGRUPADOR]]&lt;&gt;"",VLOOKUP(Tabela2[[#This Row],[AGRUPADOR]],Tabela1[],4,0),"")</f>
        <v/>
      </c>
      <c r="F1827" s="14"/>
      <c r="G1827" s="6"/>
      <c r="H1827" s="6"/>
      <c r="I1827" s="25"/>
      <c r="J1827" s="7"/>
      <c r="K1827" s="15"/>
      <c r="L1827" s="379">
        <f>IF(H1827&lt;&gt;"",J1827*K1827,SUMIFS(L1828:L$9844,$F1828:$F$9844,"*"&amp;F1827&amp;"*",$H1828:$H$9844,"&lt;&gt;"))</f>
        <v>0</v>
      </c>
      <c r="M1827" s="379" t="str">
        <f>IF(Tabela2[[#This Row],[UNID.]]&lt;&gt;"",IFERROR(VLOOKUP(Tabela2[[#This Row],[AGRUPADOR]],Lucratividade!$D$4:$O$129,6,0),0),"")</f>
        <v/>
      </c>
      <c r="N1827" s="379">
        <f>IF(H1827&lt;&gt;"",J1827*M1827*I1827,SUMIFS(N1828:N$9844,$F1828:$F$9844,"*"&amp;F1827&amp;"*",$H1828:$H$9844,"&lt;&gt;"))</f>
        <v>0</v>
      </c>
      <c r="O1827" s="162" t="str">
        <f>IFERROR((-Tabela2[[#This Row],[CUSTO TOTAL]]+Tabela2[[#This Row],[VENDA TOTAL]])/Tabela2[[#This Row],[VENDA TOTAL]]-PARAMETROS!$C$19,"")</f>
        <v/>
      </c>
      <c r="AA1827" s="219">
        <f>SUM(Plan_Orc[[#This Row],[01/jan]:[01/dez]])</f>
        <v>0</v>
      </c>
      <c r="AB1827" s="15"/>
      <c r="AC1827" s="15"/>
      <c r="AD1827" s="15"/>
      <c r="AE1827" s="15"/>
      <c r="AF1827" s="15"/>
      <c r="AG1827" s="15"/>
      <c r="AH1827" s="15"/>
      <c r="AI1827" s="15"/>
      <c r="AJ1827" s="15"/>
      <c r="AK1827" s="15"/>
      <c r="AL1827" s="15"/>
      <c r="AM1827" s="15"/>
    </row>
    <row r="1828" spans="2:39" ht="25.2" customHeight="1" x14ac:dyDescent="0.3">
      <c r="B1828" s="13" t="str">
        <f t="shared" si="32"/>
        <v/>
      </c>
      <c r="C1828" s="18"/>
      <c r="D1828" s="19" t="str">
        <f>IF(Tabela2[[#This Row],[AGRUPADOR]]&lt;&gt;"",VLOOKUP(Tabela2[[#This Row],[AGRUPADOR]],Tabela1[],2,0),"")</f>
        <v/>
      </c>
      <c r="E1828" s="19" t="str">
        <f>IF(Tabela2[[#This Row],[AGRUPADOR]]&lt;&gt;"",VLOOKUP(Tabela2[[#This Row],[AGRUPADOR]],Tabela1[],4,0),"")</f>
        <v/>
      </c>
      <c r="F1828" s="14"/>
      <c r="G1828" s="6"/>
      <c r="H1828" s="6"/>
      <c r="I1828" s="25"/>
      <c r="J1828" s="7"/>
      <c r="K1828" s="15"/>
      <c r="L1828" s="379">
        <f>IF(H1828&lt;&gt;"",J1828*K1828,SUMIFS(L1829:L$9844,$F1829:$F$9844,"*"&amp;F1828&amp;"*",$H1829:$H$9844,"&lt;&gt;"))</f>
        <v>0</v>
      </c>
      <c r="M1828" s="379" t="str">
        <f>IF(Tabela2[[#This Row],[UNID.]]&lt;&gt;"",IFERROR(VLOOKUP(Tabela2[[#This Row],[AGRUPADOR]],Lucratividade!$D$4:$O$129,6,0),0),"")</f>
        <v/>
      </c>
      <c r="N1828" s="379">
        <f>IF(H1828&lt;&gt;"",J1828*M1828*I1828,SUMIFS(N1829:N$9844,$F1829:$F$9844,"*"&amp;F1828&amp;"*",$H1829:$H$9844,"&lt;&gt;"))</f>
        <v>0</v>
      </c>
      <c r="O1828" s="162" t="str">
        <f>IFERROR((-Tabela2[[#This Row],[CUSTO TOTAL]]+Tabela2[[#This Row],[VENDA TOTAL]])/Tabela2[[#This Row],[VENDA TOTAL]]-PARAMETROS!$C$19,"")</f>
        <v/>
      </c>
      <c r="AA1828" s="219">
        <f>SUM(Plan_Orc[[#This Row],[01/jan]:[01/dez]])</f>
        <v>0</v>
      </c>
      <c r="AB1828" s="15"/>
      <c r="AC1828" s="15"/>
      <c r="AD1828" s="15"/>
      <c r="AE1828" s="15"/>
      <c r="AF1828" s="15"/>
      <c r="AG1828" s="15"/>
      <c r="AH1828" s="15"/>
      <c r="AI1828" s="15"/>
      <c r="AJ1828" s="15"/>
      <c r="AK1828" s="15"/>
      <c r="AL1828" s="15"/>
      <c r="AM1828" s="15"/>
    </row>
    <row r="1829" spans="2:39" ht="25.2" customHeight="1" x14ac:dyDescent="0.3">
      <c r="B1829" s="13" t="str">
        <f t="shared" si="32"/>
        <v/>
      </c>
      <c r="C1829" s="18"/>
      <c r="D1829" s="19" t="str">
        <f>IF(Tabela2[[#This Row],[AGRUPADOR]]&lt;&gt;"",VLOOKUP(Tabela2[[#This Row],[AGRUPADOR]],Tabela1[],2,0),"")</f>
        <v/>
      </c>
      <c r="E1829" s="19" t="str">
        <f>IF(Tabela2[[#This Row],[AGRUPADOR]]&lt;&gt;"",VLOOKUP(Tabela2[[#This Row],[AGRUPADOR]],Tabela1[],4,0),"")</f>
        <v/>
      </c>
      <c r="F1829" s="14"/>
      <c r="G1829" s="6"/>
      <c r="H1829" s="6"/>
      <c r="I1829" s="25"/>
      <c r="J1829" s="7"/>
      <c r="K1829" s="15"/>
      <c r="L1829" s="379">
        <f>IF(H1829&lt;&gt;"",J1829*K1829,SUMIFS(L1830:L$9844,$F1830:$F$9844,"*"&amp;F1829&amp;"*",$H1830:$H$9844,"&lt;&gt;"))</f>
        <v>0</v>
      </c>
      <c r="M1829" s="379" t="str">
        <f>IF(Tabela2[[#This Row],[UNID.]]&lt;&gt;"",IFERROR(VLOOKUP(Tabela2[[#This Row],[AGRUPADOR]],Lucratividade!$D$4:$O$129,6,0),0),"")</f>
        <v/>
      </c>
      <c r="N1829" s="379">
        <f>IF(H1829&lt;&gt;"",J1829*M1829*I1829,SUMIFS(N1830:N$9844,$F1830:$F$9844,"*"&amp;F1829&amp;"*",$H1830:$H$9844,"&lt;&gt;"))</f>
        <v>0</v>
      </c>
      <c r="O1829" s="162" t="str">
        <f>IFERROR((-Tabela2[[#This Row],[CUSTO TOTAL]]+Tabela2[[#This Row],[VENDA TOTAL]])/Tabela2[[#This Row],[VENDA TOTAL]]-PARAMETROS!$C$19,"")</f>
        <v/>
      </c>
      <c r="AA1829" s="219">
        <f>SUM(Plan_Orc[[#This Row],[01/jan]:[01/dez]])</f>
        <v>0</v>
      </c>
      <c r="AB1829" s="15"/>
      <c r="AC1829" s="15"/>
      <c r="AD1829" s="15"/>
      <c r="AE1829" s="15"/>
      <c r="AF1829" s="15"/>
      <c r="AG1829" s="15"/>
      <c r="AH1829" s="15"/>
      <c r="AI1829" s="15"/>
      <c r="AJ1829" s="15"/>
      <c r="AK1829" s="15"/>
      <c r="AL1829" s="15"/>
      <c r="AM1829" s="15"/>
    </row>
    <row r="1830" spans="2:39" ht="25.2" customHeight="1" x14ac:dyDescent="0.3">
      <c r="B1830" s="13" t="str">
        <f t="shared" si="32"/>
        <v/>
      </c>
      <c r="C1830" s="18"/>
      <c r="D1830" s="19" t="str">
        <f>IF(Tabela2[[#This Row],[AGRUPADOR]]&lt;&gt;"",VLOOKUP(Tabela2[[#This Row],[AGRUPADOR]],Tabela1[],2,0),"")</f>
        <v/>
      </c>
      <c r="E1830" s="19" t="str">
        <f>IF(Tabela2[[#This Row],[AGRUPADOR]]&lt;&gt;"",VLOOKUP(Tabela2[[#This Row],[AGRUPADOR]],Tabela1[],4,0),"")</f>
        <v/>
      </c>
      <c r="F1830" s="14"/>
      <c r="G1830" s="6"/>
      <c r="H1830" s="6"/>
      <c r="I1830" s="25"/>
      <c r="J1830" s="7"/>
      <c r="K1830" s="15"/>
      <c r="L1830" s="379">
        <f>IF(H1830&lt;&gt;"",J1830*K1830,SUMIFS(L1831:L$9844,$F1831:$F$9844,"*"&amp;F1830&amp;"*",$H1831:$H$9844,"&lt;&gt;"))</f>
        <v>0</v>
      </c>
      <c r="M1830" s="379" t="str">
        <f>IF(Tabela2[[#This Row],[UNID.]]&lt;&gt;"",IFERROR(VLOOKUP(Tabela2[[#This Row],[AGRUPADOR]],Lucratividade!$D$4:$O$129,6,0),0),"")</f>
        <v/>
      </c>
      <c r="N1830" s="379">
        <f>IF(H1830&lt;&gt;"",J1830*M1830*I1830,SUMIFS(N1831:N$9844,$F1831:$F$9844,"*"&amp;F1830&amp;"*",$H1831:$H$9844,"&lt;&gt;"))</f>
        <v>0</v>
      </c>
      <c r="O1830" s="162" t="str">
        <f>IFERROR((-Tabela2[[#This Row],[CUSTO TOTAL]]+Tabela2[[#This Row],[VENDA TOTAL]])/Tabela2[[#This Row],[VENDA TOTAL]]-PARAMETROS!$C$19,"")</f>
        <v/>
      </c>
      <c r="AA1830" s="219">
        <f>SUM(Plan_Orc[[#This Row],[01/jan]:[01/dez]])</f>
        <v>0</v>
      </c>
      <c r="AB1830" s="15"/>
      <c r="AC1830" s="15"/>
      <c r="AD1830" s="15"/>
      <c r="AE1830" s="15"/>
      <c r="AF1830" s="15"/>
      <c r="AG1830" s="15"/>
      <c r="AH1830" s="15"/>
      <c r="AI1830" s="15"/>
      <c r="AJ1830" s="15"/>
      <c r="AK1830" s="15"/>
      <c r="AL1830" s="15"/>
      <c r="AM1830" s="15"/>
    </row>
    <row r="1831" spans="2:39" ht="25.2" customHeight="1" x14ac:dyDescent="0.3">
      <c r="B1831" s="13" t="str">
        <f t="shared" si="32"/>
        <v/>
      </c>
      <c r="C1831" s="18"/>
      <c r="D1831" s="19" t="str">
        <f>IF(Tabela2[[#This Row],[AGRUPADOR]]&lt;&gt;"",VLOOKUP(Tabela2[[#This Row],[AGRUPADOR]],Tabela1[],2,0),"")</f>
        <v/>
      </c>
      <c r="E1831" s="19" t="str">
        <f>IF(Tabela2[[#This Row],[AGRUPADOR]]&lt;&gt;"",VLOOKUP(Tabela2[[#This Row],[AGRUPADOR]],Tabela1[],4,0),"")</f>
        <v/>
      </c>
      <c r="F1831" s="14"/>
      <c r="G1831" s="6"/>
      <c r="H1831" s="6"/>
      <c r="I1831" s="25"/>
      <c r="J1831" s="7"/>
      <c r="K1831" s="15"/>
      <c r="L1831" s="379">
        <f>IF(H1831&lt;&gt;"",J1831*K1831,SUMIFS(L1832:L$9844,$F1832:$F$9844,"*"&amp;F1831&amp;"*",$H1832:$H$9844,"&lt;&gt;"))</f>
        <v>0</v>
      </c>
      <c r="M1831" s="379" t="str">
        <f>IF(Tabela2[[#This Row],[UNID.]]&lt;&gt;"",IFERROR(VLOOKUP(Tabela2[[#This Row],[AGRUPADOR]],Lucratividade!$D$4:$O$129,6,0),0),"")</f>
        <v/>
      </c>
      <c r="N1831" s="379">
        <f>IF(H1831&lt;&gt;"",J1831*M1831*I1831,SUMIFS(N1832:N$9844,$F1832:$F$9844,"*"&amp;F1831&amp;"*",$H1832:$H$9844,"&lt;&gt;"))</f>
        <v>0</v>
      </c>
      <c r="O1831" s="162" t="str">
        <f>IFERROR((-Tabela2[[#This Row],[CUSTO TOTAL]]+Tabela2[[#This Row],[VENDA TOTAL]])/Tabela2[[#This Row],[VENDA TOTAL]]-PARAMETROS!$C$19,"")</f>
        <v/>
      </c>
      <c r="AA1831" s="219">
        <f>SUM(Plan_Orc[[#This Row],[01/jan]:[01/dez]])</f>
        <v>0</v>
      </c>
      <c r="AB1831" s="15"/>
      <c r="AC1831" s="15"/>
      <c r="AD1831" s="15"/>
      <c r="AE1831" s="15"/>
      <c r="AF1831" s="15"/>
      <c r="AG1831" s="15"/>
      <c r="AH1831" s="15"/>
      <c r="AI1831" s="15"/>
      <c r="AJ1831" s="15"/>
      <c r="AK1831" s="15"/>
      <c r="AL1831" s="15"/>
      <c r="AM1831" s="15"/>
    </row>
    <row r="1832" spans="2:39" ht="25.2" customHeight="1" x14ac:dyDescent="0.3">
      <c r="B1832" s="13" t="str">
        <f t="shared" si="32"/>
        <v/>
      </c>
      <c r="C1832" s="18"/>
      <c r="D1832" s="19" t="str">
        <f>IF(Tabela2[[#This Row],[AGRUPADOR]]&lt;&gt;"",VLOOKUP(Tabela2[[#This Row],[AGRUPADOR]],Tabela1[],2,0),"")</f>
        <v/>
      </c>
      <c r="E1832" s="19" t="str">
        <f>IF(Tabela2[[#This Row],[AGRUPADOR]]&lt;&gt;"",VLOOKUP(Tabela2[[#This Row],[AGRUPADOR]],Tabela1[],4,0),"")</f>
        <v/>
      </c>
      <c r="F1832" s="14"/>
      <c r="G1832" s="6"/>
      <c r="H1832" s="6"/>
      <c r="I1832" s="25"/>
      <c r="J1832" s="7"/>
      <c r="K1832" s="15"/>
      <c r="L1832" s="379">
        <f>IF(H1832&lt;&gt;"",J1832*K1832,SUMIFS(L1833:L$9844,$F1833:$F$9844,"*"&amp;F1832&amp;"*",$H1833:$H$9844,"&lt;&gt;"))</f>
        <v>0</v>
      </c>
      <c r="M1832" s="379" t="str">
        <f>IF(Tabela2[[#This Row],[UNID.]]&lt;&gt;"",IFERROR(VLOOKUP(Tabela2[[#This Row],[AGRUPADOR]],Lucratividade!$D$4:$O$129,6,0),0),"")</f>
        <v/>
      </c>
      <c r="N1832" s="379">
        <f>IF(H1832&lt;&gt;"",J1832*M1832*I1832,SUMIFS(N1833:N$9844,$F1833:$F$9844,"*"&amp;F1832&amp;"*",$H1833:$H$9844,"&lt;&gt;"))</f>
        <v>0</v>
      </c>
      <c r="O1832" s="162" t="str">
        <f>IFERROR((-Tabela2[[#This Row],[CUSTO TOTAL]]+Tabela2[[#This Row],[VENDA TOTAL]])/Tabela2[[#This Row],[VENDA TOTAL]]-PARAMETROS!$C$19,"")</f>
        <v/>
      </c>
      <c r="AA1832" s="219">
        <f>SUM(Plan_Orc[[#This Row],[01/jan]:[01/dez]])</f>
        <v>0</v>
      </c>
      <c r="AB1832" s="15"/>
      <c r="AC1832" s="15"/>
      <c r="AD1832" s="15"/>
      <c r="AE1832" s="15"/>
      <c r="AF1832" s="15"/>
      <c r="AG1832" s="15"/>
      <c r="AH1832" s="15"/>
      <c r="AI1832" s="15"/>
      <c r="AJ1832" s="15"/>
      <c r="AK1832" s="15"/>
      <c r="AL1832" s="15"/>
      <c r="AM1832" s="15"/>
    </row>
    <row r="1833" spans="2:39" ht="25.2" customHeight="1" x14ac:dyDescent="0.3">
      <c r="B1833" s="13" t="str">
        <f t="shared" si="32"/>
        <v/>
      </c>
      <c r="C1833" s="18"/>
      <c r="D1833" s="19" t="str">
        <f>IF(Tabela2[[#This Row],[AGRUPADOR]]&lt;&gt;"",VLOOKUP(Tabela2[[#This Row],[AGRUPADOR]],Tabela1[],2,0),"")</f>
        <v/>
      </c>
      <c r="E1833" s="19" t="str">
        <f>IF(Tabela2[[#This Row],[AGRUPADOR]]&lt;&gt;"",VLOOKUP(Tabela2[[#This Row],[AGRUPADOR]],Tabela1[],4,0),"")</f>
        <v/>
      </c>
      <c r="F1833" s="14"/>
      <c r="G1833" s="6"/>
      <c r="H1833" s="6"/>
      <c r="I1833" s="25"/>
      <c r="J1833" s="7"/>
      <c r="K1833" s="15"/>
      <c r="L1833" s="379">
        <f>IF(H1833&lt;&gt;"",J1833*K1833,SUMIFS(L1834:L$9844,$F1834:$F$9844,"*"&amp;F1833&amp;"*",$H1834:$H$9844,"&lt;&gt;"))</f>
        <v>0</v>
      </c>
      <c r="M1833" s="379" t="str">
        <f>IF(Tabela2[[#This Row],[UNID.]]&lt;&gt;"",IFERROR(VLOOKUP(Tabela2[[#This Row],[AGRUPADOR]],Lucratividade!$D$4:$O$129,6,0),0),"")</f>
        <v/>
      </c>
      <c r="N1833" s="379">
        <f>IF(H1833&lt;&gt;"",J1833*M1833*I1833,SUMIFS(N1834:N$9844,$F1834:$F$9844,"*"&amp;F1833&amp;"*",$H1834:$H$9844,"&lt;&gt;"))</f>
        <v>0</v>
      </c>
      <c r="O1833" s="162" t="str">
        <f>IFERROR((-Tabela2[[#This Row],[CUSTO TOTAL]]+Tabela2[[#This Row],[VENDA TOTAL]])/Tabela2[[#This Row],[VENDA TOTAL]]-PARAMETROS!$C$19,"")</f>
        <v/>
      </c>
      <c r="AA1833" s="219">
        <f>SUM(Plan_Orc[[#This Row],[01/jan]:[01/dez]])</f>
        <v>0</v>
      </c>
      <c r="AB1833" s="15"/>
      <c r="AC1833" s="15"/>
      <c r="AD1833" s="15"/>
      <c r="AE1833" s="15"/>
      <c r="AF1833" s="15"/>
      <c r="AG1833" s="15"/>
      <c r="AH1833" s="15"/>
      <c r="AI1833" s="15"/>
      <c r="AJ1833" s="15"/>
      <c r="AK1833" s="15"/>
      <c r="AL1833" s="15"/>
      <c r="AM1833" s="15"/>
    </row>
    <row r="1834" spans="2:39" ht="25.2" customHeight="1" x14ac:dyDescent="0.3">
      <c r="B1834" s="13" t="str">
        <f t="shared" si="32"/>
        <v/>
      </c>
      <c r="C1834" s="18"/>
      <c r="D1834" s="19" t="str">
        <f>IF(Tabela2[[#This Row],[AGRUPADOR]]&lt;&gt;"",VLOOKUP(Tabela2[[#This Row],[AGRUPADOR]],Tabela1[],2,0),"")</f>
        <v/>
      </c>
      <c r="E1834" s="19" t="str">
        <f>IF(Tabela2[[#This Row],[AGRUPADOR]]&lt;&gt;"",VLOOKUP(Tabela2[[#This Row],[AGRUPADOR]],Tabela1[],4,0),"")</f>
        <v/>
      </c>
      <c r="F1834" s="14"/>
      <c r="G1834" s="6"/>
      <c r="H1834" s="6"/>
      <c r="I1834" s="25"/>
      <c r="J1834" s="7"/>
      <c r="K1834" s="15"/>
      <c r="L1834" s="379">
        <f>IF(H1834&lt;&gt;"",J1834*K1834,SUMIFS(L1835:L$9844,$F1835:$F$9844,"*"&amp;F1834&amp;"*",$H1835:$H$9844,"&lt;&gt;"))</f>
        <v>0</v>
      </c>
      <c r="M1834" s="379" t="str">
        <f>IF(Tabela2[[#This Row],[UNID.]]&lt;&gt;"",IFERROR(VLOOKUP(Tabela2[[#This Row],[AGRUPADOR]],Lucratividade!$D$4:$O$129,6,0),0),"")</f>
        <v/>
      </c>
      <c r="N1834" s="379">
        <f>IF(H1834&lt;&gt;"",J1834*M1834*I1834,SUMIFS(N1835:N$9844,$F1835:$F$9844,"*"&amp;F1834&amp;"*",$H1835:$H$9844,"&lt;&gt;"))</f>
        <v>0</v>
      </c>
      <c r="O1834" s="162" t="str">
        <f>IFERROR((-Tabela2[[#This Row],[CUSTO TOTAL]]+Tabela2[[#This Row],[VENDA TOTAL]])/Tabela2[[#This Row],[VENDA TOTAL]]-PARAMETROS!$C$19,"")</f>
        <v/>
      </c>
      <c r="AA1834" s="219">
        <f>SUM(Plan_Orc[[#This Row],[01/jan]:[01/dez]])</f>
        <v>0</v>
      </c>
      <c r="AB1834" s="15"/>
      <c r="AC1834" s="15"/>
      <c r="AD1834" s="15"/>
      <c r="AE1834" s="15"/>
      <c r="AF1834" s="15"/>
      <c r="AG1834" s="15"/>
      <c r="AH1834" s="15"/>
      <c r="AI1834" s="15"/>
      <c r="AJ1834" s="15"/>
      <c r="AK1834" s="15"/>
      <c r="AL1834" s="15"/>
      <c r="AM1834" s="15"/>
    </row>
    <row r="1835" spans="2:39" ht="25.2" customHeight="1" x14ac:dyDescent="0.3">
      <c r="B1835" s="13" t="str">
        <f t="shared" si="32"/>
        <v/>
      </c>
      <c r="C1835" s="18"/>
      <c r="D1835" s="19" t="str">
        <f>IF(Tabela2[[#This Row],[AGRUPADOR]]&lt;&gt;"",VLOOKUP(Tabela2[[#This Row],[AGRUPADOR]],Tabela1[],2,0),"")</f>
        <v/>
      </c>
      <c r="E1835" s="19" t="str">
        <f>IF(Tabela2[[#This Row],[AGRUPADOR]]&lt;&gt;"",VLOOKUP(Tabela2[[#This Row],[AGRUPADOR]],Tabela1[],4,0),"")</f>
        <v/>
      </c>
      <c r="F1835" s="14"/>
      <c r="G1835" s="6"/>
      <c r="H1835" s="6"/>
      <c r="I1835" s="25"/>
      <c r="J1835" s="7"/>
      <c r="K1835" s="15"/>
      <c r="L1835" s="379">
        <f>IF(H1835&lt;&gt;"",J1835*K1835,SUMIFS(L1836:L$9844,$F1836:$F$9844,"*"&amp;F1835&amp;"*",$H1836:$H$9844,"&lt;&gt;"))</f>
        <v>0</v>
      </c>
      <c r="M1835" s="379" t="str">
        <f>IF(Tabela2[[#This Row],[UNID.]]&lt;&gt;"",IFERROR(VLOOKUP(Tabela2[[#This Row],[AGRUPADOR]],Lucratividade!$D$4:$O$129,6,0),0),"")</f>
        <v/>
      </c>
      <c r="N1835" s="379">
        <f>IF(H1835&lt;&gt;"",J1835*M1835*I1835,SUMIFS(N1836:N$9844,$F1836:$F$9844,"*"&amp;F1835&amp;"*",$H1836:$H$9844,"&lt;&gt;"))</f>
        <v>0</v>
      </c>
      <c r="O1835" s="162" t="str">
        <f>IFERROR((-Tabela2[[#This Row],[CUSTO TOTAL]]+Tabela2[[#This Row],[VENDA TOTAL]])/Tabela2[[#This Row],[VENDA TOTAL]]-PARAMETROS!$C$19,"")</f>
        <v/>
      </c>
      <c r="AA1835" s="219">
        <f>SUM(Plan_Orc[[#This Row],[01/jan]:[01/dez]])</f>
        <v>0</v>
      </c>
      <c r="AB1835" s="15"/>
      <c r="AC1835" s="15"/>
      <c r="AD1835" s="15"/>
      <c r="AE1835" s="15"/>
      <c r="AF1835" s="15"/>
      <c r="AG1835" s="15"/>
      <c r="AH1835" s="15"/>
      <c r="AI1835" s="15"/>
      <c r="AJ1835" s="15"/>
      <c r="AK1835" s="15"/>
      <c r="AL1835" s="15"/>
      <c r="AM1835" s="15"/>
    </row>
    <row r="1836" spans="2:39" ht="25.2" customHeight="1" x14ac:dyDescent="0.3">
      <c r="B1836" s="13" t="str">
        <f t="shared" si="32"/>
        <v/>
      </c>
      <c r="C1836" s="18"/>
      <c r="D1836" s="19" t="str">
        <f>IF(Tabela2[[#This Row],[AGRUPADOR]]&lt;&gt;"",VLOOKUP(Tabela2[[#This Row],[AGRUPADOR]],Tabela1[],2,0),"")</f>
        <v/>
      </c>
      <c r="E1836" s="19" t="str">
        <f>IF(Tabela2[[#This Row],[AGRUPADOR]]&lt;&gt;"",VLOOKUP(Tabela2[[#This Row],[AGRUPADOR]],Tabela1[],4,0),"")</f>
        <v/>
      </c>
      <c r="F1836" s="14"/>
      <c r="G1836" s="6"/>
      <c r="H1836" s="6"/>
      <c r="I1836" s="25"/>
      <c r="J1836" s="7"/>
      <c r="K1836" s="15"/>
      <c r="L1836" s="379">
        <f>IF(H1836&lt;&gt;"",J1836*K1836,SUMIFS(L1837:L$9844,$F1837:$F$9844,"*"&amp;F1836&amp;"*",$H1837:$H$9844,"&lt;&gt;"))</f>
        <v>0</v>
      </c>
      <c r="M1836" s="379" t="str">
        <f>IF(Tabela2[[#This Row],[UNID.]]&lt;&gt;"",IFERROR(VLOOKUP(Tabela2[[#This Row],[AGRUPADOR]],Lucratividade!$D$4:$O$129,6,0),0),"")</f>
        <v/>
      </c>
      <c r="N1836" s="379">
        <f>IF(H1836&lt;&gt;"",J1836*M1836*I1836,SUMIFS(N1837:N$9844,$F1837:$F$9844,"*"&amp;F1836&amp;"*",$H1837:$H$9844,"&lt;&gt;"))</f>
        <v>0</v>
      </c>
      <c r="O1836" s="162" t="str">
        <f>IFERROR((-Tabela2[[#This Row],[CUSTO TOTAL]]+Tabela2[[#This Row],[VENDA TOTAL]])/Tabela2[[#This Row],[VENDA TOTAL]]-PARAMETROS!$C$19,"")</f>
        <v/>
      </c>
      <c r="AA1836" s="219">
        <f>SUM(Plan_Orc[[#This Row],[01/jan]:[01/dez]])</f>
        <v>0</v>
      </c>
      <c r="AB1836" s="15"/>
      <c r="AC1836" s="15"/>
      <c r="AD1836" s="15"/>
      <c r="AE1836" s="15"/>
      <c r="AF1836" s="15"/>
      <c r="AG1836" s="15"/>
      <c r="AH1836" s="15"/>
      <c r="AI1836" s="15"/>
      <c r="AJ1836" s="15"/>
      <c r="AK1836" s="15"/>
      <c r="AL1836" s="15"/>
      <c r="AM1836" s="15"/>
    </row>
    <row r="1837" spans="2:39" ht="25.2" customHeight="1" x14ac:dyDescent="0.3">
      <c r="B1837" s="13" t="str">
        <f t="shared" si="32"/>
        <v/>
      </c>
      <c r="C1837" s="18"/>
      <c r="D1837" s="19" t="str">
        <f>IF(Tabela2[[#This Row],[AGRUPADOR]]&lt;&gt;"",VLOOKUP(Tabela2[[#This Row],[AGRUPADOR]],Tabela1[],2,0),"")</f>
        <v/>
      </c>
      <c r="E1837" s="19" t="str">
        <f>IF(Tabela2[[#This Row],[AGRUPADOR]]&lt;&gt;"",VLOOKUP(Tabela2[[#This Row],[AGRUPADOR]],Tabela1[],4,0),"")</f>
        <v/>
      </c>
      <c r="F1837" s="14"/>
      <c r="G1837" s="6"/>
      <c r="H1837" s="6"/>
      <c r="I1837" s="25"/>
      <c r="J1837" s="7"/>
      <c r="K1837" s="15"/>
      <c r="L1837" s="379">
        <f>IF(H1837&lt;&gt;"",J1837*K1837,SUMIFS(L1838:L$9844,$F1838:$F$9844,"*"&amp;F1837&amp;"*",$H1838:$H$9844,"&lt;&gt;"))</f>
        <v>0</v>
      </c>
      <c r="M1837" s="379" t="str">
        <f>IF(Tabela2[[#This Row],[UNID.]]&lt;&gt;"",IFERROR(VLOOKUP(Tabela2[[#This Row],[AGRUPADOR]],Lucratividade!$D$4:$O$129,6,0),0),"")</f>
        <v/>
      </c>
      <c r="N1837" s="379">
        <f>IF(H1837&lt;&gt;"",J1837*M1837*I1837,SUMIFS(N1838:N$9844,$F1838:$F$9844,"*"&amp;F1837&amp;"*",$H1838:$H$9844,"&lt;&gt;"))</f>
        <v>0</v>
      </c>
      <c r="O1837" s="162" t="str">
        <f>IFERROR((-Tabela2[[#This Row],[CUSTO TOTAL]]+Tabela2[[#This Row],[VENDA TOTAL]])/Tabela2[[#This Row],[VENDA TOTAL]]-PARAMETROS!$C$19,"")</f>
        <v/>
      </c>
      <c r="AA1837" s="219">
        <f>SUM(Plan_Orc[[#This Row],[01/jan]:[01/dez]])</f>
        <v>0</v>
      </c>
      <c r="AB1837" s="15"/>
      <c r="AC1837" s="15"/>
      <c r="AD1837" s="15"/>
      <c r="AE1837" s="15"/>
      <c r="AF1837" s="15"/>
      <c r="AG1837" s="15"/>
      <c r="AH1837" s="15"/>
      <c r="AI1837" s="15"/>
      <c r="AJ1837" s="15"/>
      <c r="AK1837" s="15"/>
      <c r="AL1837" s="15"/>
      <c r="AM1837" s="15"/>
    </row>
    <row r="1838" spans="2:39" ht="25.2" customHeight="1" x14ac:dyDescent="0.3">
      <c r="B1838" s="13" t="str">
        <f t="shared" si="32"/>
        <v/>
      </c>
      <c r="C1838" s="18"/>
      <c r="D1838" s="19" t="str">
        <f>IF(Tabela2[[#This Row],[AGRUPADOR]]&lt;&gt;"",VLOOKUP(Tabela2[[#This Row],[AGRUPADOR]],Tabela1[],2,0),"")</f>
        <v/>
      </c>
      <c r="E1838" s="19" t="str">
        <f>IF(Tabela2[[#This Row],[AGRUPADOR]]&lt;&gt;"",VLOOKUP(Tabela2[[#This Row],[AGRUPADOR]],Tabela1[],4,0),"")</f>
        <v/>
      </c>
      <c r="F1838" s="14"/>
      <c r="G1838" s="6"/>
      <c r="H1838" s="6"/>
      <c r="I1838" s="25"/>
      <c r="J1838" s="7"/>
      <c r="K1838" s="15"/>
      <c r="L1838" s="379">
        <f>IF(H1838&lt;&gt;"",J1838*K1838,SUMIFS(L1839:L$9844,$F1839:$F$9844,"*"&amp;F1838&amp;"*",$H1839:$H$9844,"&lt;&gt;"))</f>
        <v>0</v>
      </c>
      <c r="M1838" s="379" t="str">
        <f>IF(Tabela2[[#This Row],[UNID.]]&lt;&gt;"",IFERROR(VLOOKUP(Tabela2[[#This Row],[AGRUPADOR]],Lucratividade!$D$4:$O$129,6,0),0),"")</f>
        <v/>
      </c>
      <c r="N1838" s="379">
        <f>IF(H1838&lt;&gt;"",J1838*M1838*I1838,SUMIFS(N1839:N$9844,$F1839:$F$9844,"*"&amp;F1838&amp;"*",$H1839:$H$9844,"&lt;&gt;"))</f>
        <v>0</v>
      </c>
      <c r="O1838" s="162" t="str">
        <f>IFERROR((-Tabela2[[#This Row],[CUSTO TOTAL]]+Tabela2[[#This Row],[VENDA TOTAL]])/Tabela2[[#This Row],[VENDA TOTAL]]-PARAMETROS!$C$19,"")</f>
        <v/>
      </c>
      <c r="AA1838" s="219">
        <f>SUM(Plan_Orc[[#This Row],[01/jan]:[01/dez]])</f>
        <v>0</v>
      </c>
      <c r="AB1838" s="15"/>
      <c r="AC1838" s="15"/>
      <c r="AD1838" s="15"/>
      <c r="AE1838" s="15"/>
      <c r="AF1838" s="15"/>
      <c r="AG1838" s="15"/>
      <c r="AH1838" s="15"/>
      <c r="AI1838" s="15"/>
      <c r="AJ1838" s="15"/>
      <c r="AK1838" s="15"/>
      <c r="AL1838" s="15"/>
      <c r="AM1838" s="15"/>
    </row>
    <row r="1839" spans="2:39" ht="25.2" customHeight="1" x14ac:dyDescent="0.3">
      <c r="B1839" s="13" t="str">
        <f t="shared" si="32"/>
        <v/>
      </c>
      <c r="C1839" s="18"/>
      <c r="D1839" s="19" t="str">
        <f>IF(Tabela2[[#This Row],[AGRUPADOR]]&lt;&gt;"",VLOOKUP(Tabela2[[#This Row],[AGRUPADOR]],Tabela1[],2,0),"")</f>
        <v/>
      </c>
      <c r="E1839" s="19" t="str">
        <f>IF(Tabela2[[#This Row],[AGRUPADOR]]&lt;&gt;"",VLOOKUP(Tabela2[[#This Row],[AGRUPADOR]],Tabela1[],4,0),"")</f>
        <v/>
      </c>
      <c r="F1839" s="14"/>
      <c r="G1839" s="6"/>
      <c r="H1839" s="6"/>
      <c r="I1839" s="25"/>
      <c r="J1839" s="7"/>
      <c r="K1839" s="15"/>
      <c r="L1839" s="379">
        <f>IF(H1839&lt;&gt;"",J1839*K1839,SUMIFS(L1840:L$9844,$F1840:$F$9844,"*"&amp;F1839&amp;"*",$H1840:$H$9844,"&lt;&gt;"))</f>
        <v>0</v>
      </c>
      <c r="M1839" s="379" t="str">
        <f>IF(Tabela2[[#This Row],[UNID.]]&lt;&gt;"",IFERROR(VLOOKUP(Tabela2[[#This Row],[AGRUPADOR]],Lucratividade!$D$4:$O$129,6,0),0),"")</f>
        <v/>
      </c>
      <c r="N1839" s="379">
        <f>IF(H1839&lt;&gt;"",J1839*M1839*I1839,SUMIFS(N1840:N$9844,$F1840:$F$9844,"*"&amp;F1839&amp;"*",$H1840:$H$9844,"&lt;&gt;"))</f>
        <v>0</v>
      </c>
      <c r="O1839" s="162" t="str">
        <f>IFERROR((-Tabela2[[#This Row],[CUSTO TOTAL]]+Tabela2[[#This Row],[VENDA TOTAL]])/Tabela2[[#This Row],[VENDA TOTAL]]-PARAMETROS!$C$19,"")</f>
        <v/>
      </c>
      <c r="AA1839" s="219">
        <f>SUM(Plan_Orc[[#This Row],[01/jan]:[01/dez]])</f>
        <v>0</v>
      </c>
      <c r="AB1839" s="15"/>
      <c r="AC1839" s="15"/>
      <c r="AD1839" s="15"/>
      <c r="AE1839" s="15"/>
      <c r="AF1839" s="15"/>
      <c r="AG1839" s="15"/>
      <c r="AH1839" s="15"/>
      <c r="AI1839" s="15"/>
      <c r="AJ1839" s="15"/>
      <c r="AK1839" s="15"/>
      <c r="AL1839" s="15"/>
      <c r="AM1839" s="15"/>
    </row>
    <row r="1840" spans="2:39" ht="25.2" customHeight="1" x14ac:dyDescent="0.3">
      <c r="B1840" s="13" t="str">
        <f t="shared" si="32"/>
        <v/>
      </c>
      <c r="C1840" s="18"/>
      <c r="D1840" s="19" t="str">
        <f>IF(Tabela2[[#This Row],[AGRUPADOR]]&lt;&gt;"",VLOOKUP(Tabela2[[#This Row],[AGRUPADOR]],Tabela1[],2,0),"")</f>
        <v/>
      </c>
      <c r="E1840" s="19" t="str">
        <f>IF(Tabela2[[#This Row],[AGRUPADOR]]&lt;&gt;"",VLOOKUP(Tabela2[[#This Row],[AGRUPADOR]],Tabela1[],4,0),"")</f>
        <v/>
      </c>
      <c r="F1840" s="14"/>
      <c r="G1840" s="6"/>
      <c r="H1840" s="6"/>
      <c r="I1840" s="25"/>
      <c r="J1840" s="7"/>
      <c r="K1840" s="15"/>
      <c r="L1840" s="379">
        <f>IF(H1840&lt;&gt;"",J1840*K1840,SUMIFS(L1841:L$9844,$F1841:$F$9844,"*"&amp;F1840&amp;"*",$H1841:$H$9844,"&lt;&gt;"))</f>
        <v>0</v>
      </c>
      <c r="M1840" s="379" t="str">
        <f>IF(Tabela2[[#This Row],[UNID.]]&lt;&gt;"",IFERROR(VLOOKUP(Tabela2[[#This Row],[AGRUPADOR]],Lucratividade!$D$4:$O$129,6,0),0),"")</f>
        <v/>
      </c>
      <c r="N1840" s="379">
        <f>IF(H1840&lt;&gt;"",J1840*M1840*I1840,SUMIFS(N1841:N$9844,$F1841:$F$9844,"*"&amp;F1840&amp;"*",$H1841:$H$9844,"&lt;&gt;"))</f>
        <v>0</v>
      </c>
      <c r="O1840" s="162" t="str">
        <f>IFERROR((-Tabela2[[#This Row],[CUSTO TOTAL]]+Tabela2[[#This Row],[VENDA TOTAL]])/Tabela2[[#This Row],[VENDA TOTAL]]-PARAMETROS!$C$19,"")</f>
        <v/>
      </c>
      <c r="AA1840" s="219">
        <f>SUM(Plan_Orc[[#This Row],[01/jan]:[01/dez]])</f>
        <v>0</v>
      </c>
      <c r="AB1840" s="15"/>
      <c r="AC1840" s="15"/>
      <c r="AD1840" s="15"/>
      <c r="AE1840" s="15"/>
      <c r="AF1840" s="15"/>
      <c r="AG1840" s="15"/>
      <c r="AH1840" s="15"/>
      <c r="AI1840" s="15"/>
      <c r="AJ1840" s="15"/>
      <c r="AK1840" s="15"/>
      <c r="AL1840" s="15"/>
      <c r="AM1840" s="15"/>
    </row>
    <row r="1841" spans="2:39" ht="25.2" customHeight="1" x14ac:dyDescent="0.3">
      <c r="B1841" s="13" t="str">
        <f t="shared" si="32"/>
        <v/>
      </c>
      <c r="C1841" s="18"/>
      <c r="D1841" s="19" t="str">
        <f>IF(Tabela2[[#This Row],[AGRUPADOR]]&lt;&gt;"",VLOOKUP(Tabela2[[#This Row],[AGRUPADOR]],Tabela1[],2,0),"")</f>
        <v/>
      </c>
      <c r="E1841" s="19" t="str">
        <f>IF(Tabela2[[#This Row],[AGRUPADOR]]&lt;&gt;"",VLOOKUP(Tabela2[[#This Row],[AGRUPADOR]],Tabela1[],4,0),"")</f>
        <v/>
      </c>
      <c r="F1841" s="14"/>
      <c r="G1841" s="6"/>
      <c r="H1841" s="6"/>
      <c r="I1841" s="25"/>
      <c r="J1841" s="7"/>
      <c r="K1841" s="15"/>
      <c r="L1841" s="379">
        <f>IF(H1841&lt;&gt;"",J1841*K1841,SUMIFS(L1842:L$9844,$F1842:$F$9844,"*"&amp;F1841&amp;"*",$H1842:$H$9844,"&lt;&gt;"))</f>
        <v>0</v>
      </c>
      <c r="M1841" s="379" t="str">
        <f>IF(Tabela2[[#This Row],[UNID.]]&lt;&gt;"",IFERROR(VLOOKUP(Tabela2[[#This Row],[AGRUPADOR]],Lucratividade!$D$4:$O$129,6,0),0),"")</f>
        <v/>
      </c>
      <c r="N1841" s="379">
        <f>IF(H1841&lt;&gt;"",J1841*M1841*I1841,SUMIFS(N1842:N$9844,$F1842:$F$9844,"*"&amp;F1841&amp;"*",$H1842:$H$9844,"&lt;&gt;"))</f>
        <v>0</v>
      </c>
      <c r="O1841" s="162" t="str">
        <f>IFERROR((-Tabela2[[#This Row],[CUSTO TOTAL]]+Tabela2[[#This Row],[VENDA TOTAL]])/Tabela2[[#This Row],[VENDA TOTAL]]-PARAMETROS!$C$19,"")</f>
        <v/>
      </c>
      <c r="AA1841" s="219">
        <f>SUM(Plan_Orc[[#This Row],[01/jan]:[01/dez]])</f>
        <v>0</v>
      </c>
      <c r="AB1841" s="15"/>
      <c r="AC1841" s="15"/>
      <c r="AD1841" s="15"/>
      <c r="AE1841" s="15"/>
      <c r="AF1841" s="15"/>
      <c r="AG1841" s="15"/>
      <c r="AH1841" s="15"/>
      <c r="AI1841" s="15"/>
      <c r="AJ1841" s="15"/>
      <c r="AK1841" s="15"/>
      <c r="AL1841" s="15"/>
      <c r="AM1841" s="15"/>
    </row>
    <row r="1842" spans="2:39" ht="25.2" customHeight="1" x14ac:dyDescent="0.3">
      <c r="B1842" s="13" t="str">
        <f t="shared" si="32"/>
        <v/>
      </c>
      <c r="C1842" s="18"/>
      <c r="D1842" s="19" t="str">
        <f>IF(Tabela2[[#This Row],[AGRUPADOR]]&lt;&gt;"",VLOOKUP(Tabela2[[#This Row],[AGRUPADOR]],Tabela1[],2,0),"")</f>
        <v/>
      </c>
      <c r="E1842" s="19" t="str">
        <f>IF(Tabela2[[#This Row],[AGRUPADOR]]&lt;&gt;"",VLOOKUP(Tabela2[[#This Row],[AGRUPADOR]],Tabela1[],4,0),"")</f>
        <v/>
      </c>
      <c r="F1842" s="14"/>
      <c r="G1842" s="6"/>
      <c r="H1842" s="6"/>
      <c r="I1842" s="25"/>
      <c r="J1842" s="7"/>
      <c r="K1842" s="15"/>
      <c r="L1842" s="379">
        <f>IF(H1842&lt;&gt;"",J1842*K1842,SUMIFS(L1843:L$9844,$F1843:$F$9844,"*"&amp;F1842&amp;"*",$H1843:$H$9844,"&lt;&gt;"))</f>
        <v>0</v>
      </c>
      <c r="M1842" s="379" t="str">
        <f>IF(Tabela2[[#This Row],[UNID.]]&lt;&gt;"",IFERROR(VLOOKUP(Tabela2[[#This Row],[AGRUPADOR]],Lucratividade!$D$4:$O$129,6,0),0),"")</f>
        <v/>
      </c>
      <c r="N1842" s="379">
        <f>IF(H1842&lt;&gt;"",J1842*M1842*I1842,SUMIFS(N1843:N$9844,$F1843:$F$9844,"*"&amp;F1842&amp;"*",$H1843:$H$9844,"&lt;&gt;"))</f>
        <v>0</v>
      </c>
      <c r="O1842" s="162" t="str">
        <f>IFERROR((-Tabela2[[#This Row],[CUSTO TOTAL]]+Tabela2[[#This Row],[VENDA TOTAL]])/Tabela2[[#This Row],[VENDA TOTAL]]-PARAMETROS!$C$19,"")</f>
        <v/>
      </c>
      <c r="AA1842" s="219">
        <f>SUM(Plan_Orc[[#This Row],[01/jan]:[01/dez]])</f>
        <v>0</v>
      </c>
      <c r="AB1842" s="15"/>
      <c r="AC1842" s="15"/>
      <c r="AD1842" s="15"/>
      <c r="AE1842" s="15"/>
      <c r="AF1842" s="15"/>
      <c r="AG1842" s="15"/>
      <c r="AH1842" s="15"/>
      <c r="AI1842" s="15"/>
      <c r="AJ1842" s="15"/>
      <c r="AK1842" s="15"/>
      <c r="AL1842" s="15"/>
      <c r="AM1842" s="15"/>
    </row>
    <row r="1843" spans="2:39" ht="25.2" customHeight="1" x14ac:dyDescent="0.3">
      <c r="B1843" s="13" t="str">
        <f t="shared" si="32"/>
        <v/>
      </c>
      <c r="C1843" s="18"/>
      <c r="D1843" s="19" t="str">
        <f>IF(Tabela2[[#This Row],[AGRUPADOR]]&lt;&gt;"",VLOOKUP(Tabela2[[#This Row],[AGRUPADOR]],Tabela1[],2,0),"")</f>
        <v/>
      </c>
      <c r="E1843" s="19" t="str">
        <f>IF(Tabela2[[#This Row],[AGRUPADOR]]&lt;&gt;"",VLOOKUP(Tabela2[[#This Row],[AGRUPADOR]],Tabela1[],4,0),"")</f>
        <v/>
      </c>
      <c r="F1843" s="14"/>
      <c r="G1843" s="6"/>
      <c r="H1843" s="6"/>
      <c r="I1843" s="25"/>
      <c r="J1843" s="7"/>
      <c r="K1843" s="15"/>
      <c r="L1843" s="379">
        <f>IF(H1843&lt;&gt;"",J1843*K1843,SUMIFS(L1844:L$9844,$F1844:$F$9844,"*"&amp;F1843&amp;"*",$H1844:$H$9844,"&lt;&gt;"))</f>
        <v>0</v>
      </c>
      <c r="M1843" s="379" t="str">
        <f>IF(Tabela2[[#This Row],[UNID.]]&lt;&gt;"",IFERROR(VLOOKUP(Tabela2[[#This Row],[AGRUPADOR]],Lucratividade!$D$4:$O$129,6,0),0),"")</f>
        <v/>
      </c>
      <c r="N1843" s="379">
        <f>IF(H1843&lt;&gt;"",J1843*M1843*I1843,SUMIFS(N1844:N$9844,$F1844:$F$9844,"*"&amp;F1843&amp;"*",$H1844:$H$9844,"&lt;&gt;"))</f>
        <v>0</v>
      </c>
      <c r="O1843" s="162" t="str">
        <f>IFERROR((-Tabela2[[#This Row],[CUSTO TOTAL]]+Tabela2[[#This Row],[VENDA TOTAL]])/Tabela2[[#This Row],[VENDA TOTAL]]-PARAMETROS!$C$19,"")</f>
        <v/>
      </c>
      <c r="AA1843" s="219">
        <f>SUM(Plan_Orc[[#This Row],[01/jan]:[01/dez]])</f>
        <v>0</v>
      </c>
      <c r="AB1843" s="15"/>
      <c r="AC1843" s="15"/>
      <c r="AD1843" s="15"/>
      <c r="AE1843" s="15"/>
      <c r="AF1843" s="15"/>
      <c r="AG1843" s="15"/>
      <c r="AH1843" s="15"/>
      <c r="AI1843" s="15"/>
      <c r="AJ1843" s="15"/>
      <c r="AK1843" s="15"/>
      <c r="AL1843" s="15"/>
      <c r="AM1843" s="15"/>
    </row>
    <row r="1844" spans="2:39" ht="25.2" customHeight="1" x14ac:dyDescent="0.3">
      <c r="B1844" s="13" t="str">
        <f t="shared" si="32"/>
        <v/>
      </c>
      <c r="C1844" s="18"/>
      <c r="D1844" s="19" t="str">
        <f>IF(Tabela2[[#This Row],[AGRUPADOR]]&lt;&gt;"",VLOOKUP(Tabela2[[#This Row],[AGRUPADOR]],Tabela1[],2,0),"")</f>
        <v/>
      </c>
      <c r="E1844" s="19" t="str">
        <f>IF(Tabela2[[#This Row],[AGRUPADOR]]&lt;&gt;"",VLOOKUP(Tabela2[[#This Row],[AGRUPADOR]],Tabela1[],4,0),"")</f>
        <v/>
      </c>
      <c r="F1844" s="14"/>
      <c r="G1844" s="6"/>
      <c r="H1844" s="6"/>
      <c r="I1844" s="25"/>
      <c r="J1844" s="7"/>
      <c r="K1844" s="15"/>
      <c r="L1844" s="379">
        <f>IF(H1844&lt;&gt;"",J1844*K1844,SUMIFS(L1845:L$9844,$F1845:$F$9844,"*"&amp;F1844&amp;"*",$H1845:$H$9844,"&lt;&gt;"))</f>
        <v>0</v>
      </c>
      <c r="M1844" s="379" t="str">
        <f>IF(Tabela2[[#This Row],[UNID.]]&lt;&gt;"",IFERROR(VLOOKUP(Tabela2[[#This Row],[AGRUPADOR]],Lucratividade!$D$4:$O$129,6,0),0),"")</f>
        <v/>
      </c>
      <c r="N1844" s="379">
        <f>IF(H1844&lt;&gt;"",J1844*M1844*I1844,SUMIFS(N1845:N$9844,$F1845:$F$9844,"*"&amp;F1844&amp;"*",$H1845:$H$9844,"&lt;&gt;"))</f>
        <v>0</v>
      </c>
      <c r="O1844" s="162" t="str">
        <f>IFERROR((-Tabela2[[#This Row],[CUSTO TOTAL]]+Tabela2[[#This Row],[VENDA TOTAL]])/Tabela2[[#This Row],[VENDA TOTAL]]-PARAMETROS!$C$19,"")</f>
        <v/>
      </c>
      <c r="AA1844" s="219">
        <f>SUM(Plan_Orc[[#This Row],[01/jan]:[01/dez]])</f>
        <v>0</v>
      </c>
      <c r="AB1844" s="15"/>
      <c r="AC1844" s="15"/>
      <c r="AD1844" s="15"/>
      <c r="AE1844" s="15"/>
      <c r="AF1844" s="15"/>
      <c r="AG1844" s="15"/>
      <c r="AH1844" s="15"/>
      <c r="AI1844" s="15"/>
      <c r="AJ1844" s="15"/>
      <c r="AK1844" s="15"/>
      <c r="AL1844" s="15"/>
      <c r="AM1844" s="15"/>
    </row>
    <row r="1845" spans="2:39" ht="25.2" customHeight="1" x14ac:dyDescent="0.3">
      <c r="B1845" s="13" t="str">
        <f t="shared" si="32"/>
        <v/>
      </c>
      <c r="C1845" s="18"/>
      <c r="D1845" s="19" t="str">
        <f>IF(Tabela2[[#This Row],[AGRUPADOR]]&lt;&gt;"",VLOOKUP(Tabela2[[#This Row],[AGRUPADOR]],Tabela1[],2,0),"")</f>
        <v/>
      </c>
      <c r="E1845" s="19" t="str">
        <f>IF(Tabela2[[#This Row],[AGRUPADOR]]&lt;&gt;"",VLOOKUP(Tabela2[[#This Row],[AGRUPADOR]],Tabela1[],4,0),"")</f>
        <v/>
      </c>
      <c r="F1845" s="14"/>
      <c r="G1845" s="6"/>
      <c r="H1845" s="6"/>
      <c r="I1845" s="25"/>
      <c r="J1845" s="7"/>
      <c r="K1845" s="15"/>
      <c r="L1845" s="379">
        <f>IF(H1845&lt;&gt;"",J1845*K1845,SUMIFS(L1846:L$9844,$F1846:$F$9844,"*"&amp;F1845&amp;"*",$H1846:$H$9844,"&lt;&gt;"))</f>
        <v>0</v>
      </c>
      <c r="M1845" s="379" t="str">
        <f>IF(Tabela2[[#This Row],[UNID.]]&lt;&gt;"",IFERROR(VLOOKUP(Tabela2[[#This Row],[AGRUPADOR]],Lucratividade!$D$4:$O$129,6,0),0),"")</f>
        <v/>
      </c>
      <c r="N1845" s="379">
        <f>IF(H1845&lt;&gt;"",J1845*M1845*I1845,SUMIFS(N1846:N$9844,$F1846:$F$9844,"*"&amp;F1845&amp;"*",$H1846:$H$9844,"&lt;&gt;"))</f>
        <v>0</v>
      </c>
      <c r="O1845" s="162" t="str">
        <f>IFERROR((-Tabela2[[#This Row],[CUSTO TOTAL]]+Tabela2[[#This Row],[VENDA TOTAL]])/Tabela2[[#This Row],[VENDA TOTAL]]-PARAMETROS!$C$19,"")</f>
        <v/>
      </c>
      <c r="AA1845" s="219">
        <f>SUM(Plan_Orc[[#This Row],[01/jan]:[01/dez]])</f>
        <v>0</v>
      </c>
      <c r="AB1845" s="15"/>
      <c r="AC1845" s="15"/>
      <c r="AD1845" s="15"/>
      <c r="AE1845" s="15"/>
      <c r="AF1845" s="15"/>
      <c r="AG1845" s="15"/>
      <c r="AH1845" s="15"/>
      <c r="AI1845" s="15"/>
      <c r="AJ1845" s="15"/>
      <c r="AK1845" s="15"/>
      <c r="AL1845" s="15"/>
      <c r="AM1845" s="15"/>
    </row>
    <row r="1846" spans="2:39" ht="25.2" customHeight="1" x14ac:dyDescent="0.3">
      <c r="B1846" s="13" t="str">
        <f t="shared" si="32"/>
        <v/>
      </c>
      <c r="C1846" s="18"/>
      <c r="D1846" s="19" t="str">
        <f>IF(Tabela2[[#This Row],[AGRUPADOR]]&lt;&gt;"",VLOOKUP(Tabela2[[#This Row],[AGRUPADOR]],Tabela1[],2,0),"")</f>
        <v/>
      </c>
      <c r="E1846" s="19" t="str">
        <f>IF(Tabela2[[#This Row],[AGRUPADOR]]&lt;&gt;"",VLOOKUP(Tabela2[[#This Row],[AGRUPADOR]],Tabela1[],4,0),"")</f>
        <v/>
      </c>
      <c r="F1846" s="14"/>
      <c r="G1846" s="6"/>
      <c r="H1846" s="6"/>
      <c r="I1846" s="25"/>
      <c r="J1846" s="7"/>
      <c r="K1846" s="15"/>
      <c r="L1846" s="379">
        <f>IF(H1846&lt;&gt;"",J1846*K1846,SUMIFS(L1847:L$9844,$F1847:$F$9844,"*"&amp;F1846&amp;"*",$H1847:$H$9844,"&lt;&gt;"))</f>
        <v>0</v>
      </c>
      <c r="M1846" s="379" t="str">
        <f>IF(Tabela2[[#This Row],[UNID.]]&lt;&gt;"",IFERROR(VLOOKUP(Tabela2[[#This Row],[AGRUPADOR]],Lucratividade!$D$4:$O$129,6,0),0),"")</f>
        <v/>
      </c>
      <c r="N1846" s="379">
        <f>IF(H1846&lt;&gt;"",J1846*M1846*I1846,SUMIFS(N1847:N$9844,$F1847:$F$9844,"*"&amp;F1846&amp;"*",$H1847:$H$9844,"&lt;&gt;"))</f>
        <v>0</v>
      </c>
      <c r="O1846" s="162" t="str">
        <f>IFERROR((-Tabela2[[#This Row],[CUSTO TOTAL]]+Tabela2[[#This Row],[VENDA TOTAL]])/Tabela2[[#This Row],[VENDA TOTAL]]-PARAMETROS!$C$19,"")</f>
        <v/>
      </c>
      <c r="AA1846" s="219">
        <f>SUM(Plan_Orc[[#This Row],[01/jan]:[01/dez]])</f>
        <v>0</v>
      </c>
      <c r="AB1846" s="15"/>
      <c r="AC1846" s="15"/>
      <c r="AD1846" s="15"/>
      <c r="AE1846" s="15"/>
      <c r="AF1846" s="15"/>
      <c r="AG1846" s="15"/>
      <c r="AH1846" s="15"/>
      <c r="AI1846" s="15"/>
      <c r="AJ1846" s="15"/>
      <c r="AK1846" s="15"/>
      <c r="AL1846" s="15"/>
      <c r="AM1846" s="15"/>
    </row>
    <row r="1847" spans="2:39" ht="25.2" customHeight="1" x14ac:dyDescent="0.3">
      <c r="B1847" s="13" t="str">
        <f t="shared" si="32"/>
        <v/>
      </c>
      <c r="C1847" s="18"/>
      <c r="D1847" s="19" t="str">
        <f>IF(Tabela2[[#This Row],[AGRUPADOR]]&lt;&gt;"",VLOOKUP(Tabela2[[#This Row],[AGRUPADOR]],Tabela1[],2,0),"")</f>
        <v/>
      </c>
      <c r="E1847" s="19" t="str">
        <f>IF(Tabela2[[#This Row],[AGRUPADOR]]&lt;&gt;"",VLOOKUP(Tabela2[[#This Row],[AGRUPADOR]],Tabela1[],4,0),"")</f>
        <v/>
      </c>
      <c r="F1847" s="14"/>
      <c r="G1847" s="6"/>
      <c r="H1847" s="6"/>
      <c r="I1847" s="25"/>
      <c r="J1847" s="7"/>
      <c r="K1847" s="15"/>
      <c r="L1847" s="379">
        <f>IF(H1847&lt;&gt;"",J1847*K1847,SUMIFS(L1848:L$9844,$F1848:$F$9844,"*"&amp;F1847&amp;"*",$H1848:$H$9844,"&lt;&gt;"))</f>
        <v>0</v>
      </c>
      <c r="M1847" s="379" t="str">
        <f>IF(Tabela2[[#This Row],[UNID.]]&lt;&gt;"",IFERROR(VLOOKUP(Tabela2[[#This Row],[AGRUPADOR]],Lucratividade!$D$4:$O$129,6,0),0),"")</f>
        <v/>
      </c>
      <c r="N1847" s="379">
        <f>IF(H1847&lt;&gt;"",J1847*M1847*I1847,SUMIFS(N1848:N$9844,$F1848:$F$9844,"*"&amp;F1847&amp;"*",$H1848:$H$9844,"&lt;&gt;"))</f>
        <v>0</v>
      </c>
      <c r="O1847" s="162" t="str">
        <f>IFERROR((-Tabela2[[#This Row],[CUSTO TOTAL]]+Tabela2[[#This Row],[VENDA TOTAL]])/Tabela2[[#This Row],[VENDA TOTAL]]-PARAMETROS!$C$19,"")</f>
        <v/>
      </c>
      <c r="AA1847" s="219">
        <f>SUM(Plan_Orc[[#This Row],[01/jan]:[01/dez]])</f>
        <v>0</v>
      </c>
      <c r="AB1847" s="15"/>
      <c r="AC1847" s="15"/>
      <c r="AD1847" s="15"/>
      <c r="AE1847" s="15"/>
      <c r="AF1847" s="15"/>
      <c r="AG1847" s="15"/>
      <c r="AH1847" s="15"/>
      <c r="AI1847" s="15"/>
      <c r="AJ1847" s="15"/>
      <c r="AK1847" s="15"/>
      <c r="AL1847" s="15"/>
      <c r="AM1847" s="15"/>
    </row>
    <row r="1848" spans="2:39" ht="25.2" customHeight="1" x14ac:dyDescent="0.3">
      <c r="B1848" s="13" t="str">
        <f t="shared" si="32"/>
        <v/>
      </c>
      <c r="C1848" s="18"/>
      <c r="D1848" s="19" t="str">
        <f>IF(Tabela2[[#This Row],[AGRUPADOR]]&lt;&gt;"",VLOOKUP(Tabela2[[#This Row],[AGRUPADOR]],Tabela1[],2,0),"")</f>
        <v/>
      </c>
      <c r="E1848" s="19" t="str">
        <f>IF(Tabela2[[#This Row],[AGRUPADOR]]&lt;&gt;"",VLOOKUP(Tabela2[[#This Row],[AGRUPADOR]],Tabela1[],4,0),"")</f>
        <v/>
      </c>
      <c r="F1848" s="14"/>
      <c r="G1848" s="6"/>
      <c r="H1848" s="6"/>
      <c r="I1848" s="25"/>
      <c r="J1848" s="7"/>
      <c r="K1848" s="15"/>
      <c r="L1848" s="379">
        <f>IF(H1848&lt;&gt;"",J1848*K1848,SUMIFS(L1849:L$9844,$F1849:$F$9844,"*"&amp;F1848&amp;"*",$H1849:$H$9844,"&lt;&gt;"))</f>
        <v>0</v>
      </c>
      <c r="M1848" s="379" t="str">
        <f>IF(Tabela2[[#This Row],[UNID.]]&lt;&gt;"",IFERROR(VLOOKUP(Tabela2[[#This Row],[AGRUPADOR]],Lucratividade!$D$4:$O$129,6,0),0),"")</f>
        <v/>
      </c>
      <c r="N1848" s="379">
        <f>IF(H1848&lt;&gt;"",J1848*M1848*I1848,SUMIFS(N1849:N$9844,$F1849:$F$9844,"*"&amp;F1848&amp;"*",$H1849:$H$9844,"&lt;&gt;"))</f>
        <v>0</v>
      </c>
      <c r="O1848" s="162" t="str">
        <f>IFERROR((-Tabela2[[#This Row],[CUSTO TOTAL]]+Tabela2[[#This Row],[VENDA TOTAL]])/Tabela2[[#This Row],[VENDA TOTAL]]-PARAMETROS!$C$19,"")</f>
        <v/>
      </c>
      <c r="AA1848" s="219">
        <f>SUM(Plan_Orc[[#This Row],[01/jan]:[01/dez]])</f>
        <v>0</v>
      </c>
      <c r="AB1848" s="15"/>
      <c r="AC1848" s="15"/>
      <c r="AD1848" s="15"/>
      <c r="AE1848" s="15"/>
      <c r="AF1848" s="15"/>
      <c r="AG1848" s="15"/>
      <c r="AH1848" s="15"/>
      <c r="AI1848" s="15"/>
      <c r="AJ1848" s="15"/>
      <c r="AK1848" s="15"/>
      <c r="AL1848" s="15"/>
      <c r="AM1848" s="15"/>
    </row>
    <row r="1849" spans="2:39" ht="25.2" customHeight="1" x14ac:dyDescent="0.3">
      <c r="B1849" s="13" t="str">
        <f t="shared" si="32"/>
        <v/>
      </c>
      <c r="C1849" s="18"/>
      <c r="D1849" s="19" t="str">
        <f>IF(Tabela2[[#This Row],[AGRUPADOR]]&lt;&gt;"",VLOOKUP(Tabela2[[#This Row],[AGRUPADOR]],Tabela1[],2,0),"")</f>
        <v/>
      </c>
      <c r="E1849" s="19" t="str">
        <f>IF(Tabela2[[#This Row],[AGRUPADOR]]&lt;&gt;"",VLOOKUP(Tabela2[[#This Row],[AGRUPADOR]],Tabela1[],4,0),"")</f>
        <v/>
      </c>
      <c r="F1849" s="14"/>
      <c r="G1849" s="6"/>
      <c r="H1849" s="6"/>
      <c r="I1849" s="25"/>
      <c r="J1849" s="7"/>
      <c r="K1849" s="15"/>
      <c r="L1849" s="379">
        <f>IF(H1849&lt;&gt;"",J1849*K1849,SUMIFS(L1850:L$9844,$F1850:$F$9844,"*"&amp;F1849&amp;"*",$H1850:$H$9844,"&lt;&gt;"))</f>
        <v>0</v>
      </c>
      <c r="M1849" s="379" t="str">
        <f>IF(Tabela2[[#This Row],[UNID.]]&lt;&gt;"",IFERROR(VLOOKUP(Tabela2[[#This Row],[AGRUPADOR]],Lucratividade!$D$4:$O$129,6,0),0),"")</f>
        <v/>
      </c>
      <c r="N1849" s="379">
        <f>IF(H1849&lt;&gt;"",J1849*M1849*I1849,SUMIFS(N1850:N$9844,$F1850:$F$9844,"*"&amp;F1849&amp;"*",$H1850:$H$9844,"&lt;&gt;"))</f>
        <v>0</v>
      </c>
      <c r="O1849" s="162" t="str">
        <f>IFERROR((-Tabela2[[#This Row],[CUSTO TOTAL]]+Tabela2[[#This Row],[VENDA TOTAL]])/Tabela2[[#This Row],[VENDA TOTAL]]-PARAMETROS!$C$19,"")</f>
        <v/>
      </c>
      <c r="AA1849" s="219">
        <f>SUM(Plan_Orc[[#This Row],[01/jan]:[01/dez]])</f>
        <v>0</v>
      </c>
      <c r="AB1849" s="15"/>
      <c r="AC1849" s="15"/>
      <c r="AD1849" s="15"/>
      <c r="AE1849" s="15"/>
      <c r="AF1849" s="15"/>
      <c r="AG1849" s="15"/>
      <c r="AH1849" s="15"/>
      <c r="AI1849" s="15"/>
      <c r="AJ1849" s="15"/>
      <c r="AK1849" s="15"/>
      <c r="AL1849" s="15"/>
      <c r="AM1849" s="15"/>
    </row>
    <row r="1850" spans="2:39" ht="25.2" customHeight="1" x14ac:dyDescent="0.3">
      <c r="B1850" s="13" t="str">
        <f t="shared" si="32"/>
        <v/>
      </c>
      <c r="C1850" s="18"/>
      <c r="D1850" s="19" t="str">
        <f>IF(Tabela2[[#This Row],[AGRUPADOR]]&lt;&gt;"",VLOOKUP(Tabela2[[#This Row],[AGRUPADOR]],Tabela1[],2,0),"")</f>
        <v/>
      </c>
      <c r="E1850" s="19" t="str">
        <f>IF(Tabela2[[#This Row],[AGRUPADOR]]&lt;&gt;"",VLOOKUP(Tabela2[[#This Row],[AGRUPADOR]],Tabela1[],4,0),"")</f>
        <v/>
      </c>
      <c r="F1850" s="14"/>
      <c r="G1850" s="6"/>
      <c r="H1850" s="6"/>
      <c r="I1850" s="25"/>
      <c r="J1850" s="7"/>
      <c r="K1850" s="15"/>
      <c r="L1850" s="379">
        <f>IF(H1850&lt;&gt;"",J1850*K1850,SUMIFS(L1851:L$9844,$F1851:$F$9844,"*"&amp;F1850&amp;"*",$H1851:$H$9844,"&lt;&gt;"))</f>
        <v>0</v>
      </c>
      <c r="M1850" s="379" t="str">
        <f>IF(Tabela2[[#This Row],[UNID.]]&lt;&gt;"",IFERROR(VLOOKUP(Tabela2[[#This Row],[AGRUPADOR]],Lucratividade!$D$4:$O$129,6,0),0),"")</f>
        <v/>
      </c>
      <c r="N1850" s="379">
        <f>IF(H1850&lt;&gt;"",J1850*M1850*I1850,SUMIFS(N1851:N$9844,$F1851:$F$9844,"*"&amp;F1850&amp;"*",$H1851:$H$9844,"&lt;&gt;"))</f>
        <v>0</v>
      </c>
      <c r="O1850" s="162" t="str">
        <f>IFERROR((-Tabela2[[#This Row],[CUSTO TOTAL]]+Tabela2[[#This Row],[VENDA TOTAL]])/Tabela2[[#This Row],[VENDA TOTAL]]-PARAMETROS!$C$19,"")</f>
        <v/>
      </c>
      <c r="AA1850" s="219">
        <f>SUM(Plan_Orc[[#This Row],[01/jan]:[01/dez]])</f>
        <v>0</v>
      </c>
      <c r="AB1850" s="15"/>
      <c r="AC1850" s="15"/>
      <c r="AD1850" s="15"/>
      <c r="AE1850" s="15"/>
      <c r="AF1850" s="15"/>
      <c r="AG1850" s="15"/>
      <c r="AH1850" s="15"/>
      <c r="AI1850" s="15"/>
      <c r="AJ1850" s="15"/>
      <c r="AK1850" s="15"/>
      <c r="AL1850" s="15"/>
      <c r="AM1850" s="15"/>
    </row>
    <row r="1851" spans="2:39" ht="25.2" customHeight="1" x14ac:dyDescent="0.3">
      <c r="B1851" s="13" t="str">
        <f t="shared" si="32"/>
        <v/>
      </c>
      <c r="C1851" s="18"/>
      <c r="D1851" s="19" t="str">
        <f>IF(Tabela2[[#This Row],[AGRUPADOR]]&lt;&gt;"",VLOOKUP(Tabela2[[#This Row],[AGRUPADOR]],Tabela1[],2,0),"")</f>
        <v/>
      </c>
      <c r="E1851" s="19" t="str">
        <f>IF(Tabela2[[#This Row],[AGRUPADOR]]&lt;&gt;"",VLOOKUP(Tabela2[[#This Row],[AGRUPADOR]],Tabela1[],4,0),"")</f>
        <v/>
      </c>
      <c r="F1851" s="14"/>
      <c r="G1851" s="6"/>
      <c r="H1851" s="6"/>
      <c r="I1851" s="25"/>
      <c r="J1851" s="7"/>
      <c r="K1851" s="15"/>
      <c r="L1851" s="379">
        <f>IF(H1851&lt;&gt;"",J1851*K1851,SUMIFS(L1852:L$9844,$F1852:$F$9844,"*"&amp;F1851&amp;"*",$H1852:$H$9844,"&lt;&gt;"))</f>
        <v>0</v>
      </c>
      <c r="M1851" s="379" t="str">
        <f>IF(Tabela2[[#This Row],[UNID.]]&lt;&gt;"",IFERROR(VLOOKUP(Tabela2[[#This Row],[AGRUPADOR]],Lucratividade!$D$4:$O$129,6,0),0),"")</f>
        <v/>
      </c>
      <c r="N1851" s="379">
        <f>IF(H1851&lt;&gt;"",J1851*M1851*I1851,SUMIFS(N1852:N$9844,$F1852:$F$9844,"*"&amp;F1851&amp;"*",$H1852:$H$9844,"&lt;&gt;"))</f>
        <v>0</v>
      </c>
      <c r="O1851" s="162" t="str">
        <f>IFERROR((-Tabela2[[#This Row],[CUSTO TOTAL]]+Tabela2[[#This Row],[VENDA TOTAL]])/Tabela2[[#This Row],[VENDA TOTAL]]-PARAMETROS!$C$19,"")</f>
        <v/>
      </c>
      <c r="AA1851" s="218">
        <f>SUM(Plan_Orc[[#This Row],[01/jan]:[01/dez]])</f>
        <v>0</v>
      </c>
      <c r="AB1851" s="12"/>
      <c r="AC1851" s="12"/>
      <c r="AD1851" s="12"/>
      <c r="AE1851" s="12"/>
      <c r="AF1851" s="12"/>
      <c r="AG1851" s="12"/>
      <c r="AH1851" s="12"/>
      <c r="AI1851" s="12"/>
      <c r="AJ1851" s="12"/>
      <c r="AK1851" s="12"/>
      <c r="AL1851" s="12"/>
      <c r="AM1851" s="12"/>
    </row>
    <row r="1852" spans="2:39" ht="25.2" customHeight="1" x14ac:dyDescent="0.3">
      <c r="B1852" s="13" t="str">
        <f t="shared" si="32"/>
        <v/>
      </c>
      <c r="C1852" s="18"/>
      <c r="D1852" s="19" t="str">
        <f>IF(Tabela2[[#This Row],[AGRUPADOR]]&lt;&gt;"",VLOOKUP(Tabela2[[#This Row],[AGRUPADOR]],Tabela1[],2,0),"")</f>
        <v/>
      </c>
      <c r="E1852" s="19" t="str">
        <f>IF(Tabela2[[#This Row],[AGRUPADOR]]&lt;&gt;"",VLOOKUP(Tabela2[[#This Row],[AGRUPADOR]],Tabela1[],4,0),"")</f>
        <v/>
      </c>
      <c r="F1852" s="14"/>
      <c r="G1852" s="6"/>
      <c r="H1852" s="6"/>
      <c r="I1852" s="25"/>
      <c r="J1852" s="7"/>
      <c r="K1852" s="15"/>
      <c r="L1852" s="379">
        <f>IF(H1852&lt;&gt;"",J1852*K1852,SUMIFS(L1853:L$9844,$F1853:$F$9844,"*"&amp;F1852&amp;"*",$H1853:$H$9844,"&lt;&gt;"))</f>
        <v>0</v>
      </c>
      <c r="M1852" s="379" t="str">
        <f>IF(Tabela2[[#This Row],[UNID.]]&lt;&gt;"",IFERROR(VLOOKUP(Tabela2[[#This Row],[AGRUPADOR]],Lucratividade!$D$4:$O$129,6,0),0),"")</f>
        <v/>
      </c>
      <c r="N1852" s="379">
        <f>IF(H1852&lt;&gt;"",J1852*M1852*I1852,SUMIFS(N1853:N$9844,$F1853:$F$9844,"*"&amp;F1852&amp;"*",$H1853:$H$9844,"&lt;&gt;"))</f>
        <v>0</v>
      </c>
      <c r="O1852" s="162" t="str">
        <f>IFERROR((-Tabela2[[#This Row],[CUSTO TOTAL]]+Tabela2[[#This Row],[VENDA TOTAL]])/Tabela2[[#This Row],[VENDA TOTAL]]-PARAMETROS!$C$19,"")</f>
        <v/>
      </c>
      <c r="AA1852" s="219">
        <f>SUM(Plan_Orc[[#This Row],[01/jan]:[01/dez]])</f>
        <v>0</v>
      </c>
      <c r="AB1852" s="15"/>
      <c r="AC1852" s="15"/>
      <c r="AD1852" s="15"/>
      <c r="AE1852" s="15"/>
      <c r="AF1852" s="15"/>
      <c r="AG1852" s="15"/>
      <c r="AH1852" s="15"/>
      <c r="AI1852" s="15"/>
      <c r="AJ1852" s="15"/>
      <c r="AK1852" s="15"/>
      <c r="AL1852" s="15"/>
      <c r="AM1852" s="15"/>
    </row>
    <row r="1853" spans="2:39" ht="25.2" customHeight="1" x14ac:dyDescent="0.3">
      <c r="B1853" s="13" t="str">
        <f t="shared" si="32"/>
        <v/>
      </c>
      <c r="C1853" s="18"/>
      <c r="D1853" s="19" t="str">
        <f>IF(Tabela2[[#This Row],[AGRUPADOR]]&lt;&gt;"",VLOOKUP(Tabela2[[#This Row],[AGRUPADOR]],Tabela1[],2,0),"")</f>
        <v/>
      </c>
      <c r="E1853" s="19" t="str">
        <f>IF(Tabela2[[#This Row],[AGRUPADOR]]&lt;&gt;"",VLOOKUP(Tabela2[[#This Row],[AGRUPADOR]],Tabela1[],4,0),"")</f>
        <v/>
      </c>
      <c r="F1853" s="14"/>
      <c r="G1853" s="6"/>
      <c r="H1853" s="6"/>
      <c r="I1853" s="25"/>
      <c r="J1853" s="7"/>
      <c r="K1853" s="15"/>
      <c r="L1853" s="379">
        <f>IF(H1853&lt;&gt;"",J1853*K1853,SUMIFS(L1854:L$9844,$F1854:$F$9844,"*"&amp;F1853&amp;"*",$H1854:$H$9844,"&lt;&gt;"))</f>
        <v>0</v>
      </c>
      <c r="M1853" s="379" t="str">
        <f>IF(Tabela2[[#This Row],[UNID.]]&lt;&gt;"",IFERROR(VLOOKUP(Tabela2[[#This Row],[AGRUPADOR]],Lucratividade!$D$4:$O$129,6,0),0),"")</f>
        <v/>
      </c>
      <c r="N1853" s="379">
        <f>IF(H1853&lt;&gt;"",J1853*M1853*I1853,SUMIFS(N1854:N$9844,$F1854:$F$9844,"*"&amp;F1853&amp;"*",$H1854:$H$9844,"&lt;&gt;"))</f>
        <v>0</v>
      </c>
      <c r="O1853" s="162" t="str">
        <f>IFERROR((-Tabela2[[#This Row],[CUSTO TOTAL]]+Tabela2[[#This Row],[VENDA TOTAL]])/Tabela2[[#This Row],[VENDA TOTAL]]-PARAMETROS!$C$19,"")</f>
        <v/>
      </c>
      <c r="AA1853" s="219">
        <f>SUM(Plan_Orc[[#This Row],[01/jan]:[01/dez]])</f>
        <v>0</v>
      </c>
      <c r="AB1853" s="15"/>
      <c r="AC1853" s="15"/>
      <c r="AD1853" s="15"/>
      <c r="AE1853" s="15"/>
      <c r="AF1853" s="15"/>
      <c r="AG1853" s="15"/>
      <c r="AH1853" s="15"/>
      <c r="AI1853" s="15"/>
      <c r="AJ1853" s="15"/>
      <c r="AK1853" s="15"/>
      <c r="AL1853" s="15"/>
      <c r="AM1853" s="15"/>
    </row>
    <row r="1854" spans="2:39" ht="25.2" customHeight="1" x14ac:dyDescent="0.3">
      <c r="B1854" s="13" t="str">
        <f t="shared" si="32"/>
        <v/>
      </c>
      <c r="C1854" s="18"/>
      <c r="D1854" s="19" t="str">
        <f>IF(Tabela2[[#This Row],[AGRUPADOR]]&lt;&gt;"",VLOOKUP(Tabela2[[#This Row],[AGRUPADOR]],Tabela1[],2,0),"")</f>
        <v/>
      </c>
      <c r="E1854" s="19" t="str">
        <f>IF(Tabela2[[#This Row],[AGRUPADOR]]&lt;&gt;"",VLOOKUP(Tabela2[[#This Row],[AGRUPADOR]],Tabela1[],4,0),"")</f>
        <v/>
      </c>
      <c r="F1854" s="14"/>
      <c r="G1854" s="6"/>
      <c r="H1854" s="6"/>
      <c r="I1854" s="25"/>
      <c r="J1854" s="7"/>
      <c r="K1854" s="15"/>
      <c r="L1854" s="379">
        <f>IF(H1854&lt;&gt;"",J1854*K1854,SUMIFS(L1855:L$9844,$F1855:$F$9844,"*"&amp;F1854&amp;"*",$H1855:$H$9844,"&lt;&gt;"))</f>
        <v>0</v>
      </c>
      <c r="M1854" s="379" t="str">
        <f>IF(Tabela2[[#This Row],[UNID.]]&lt;&gt;"",IFERROR(VLOOKUP(Tabela2[[#This Row],[AGRUPADOR]],Lucratividade!$D$4:$O$129,6,0),0),"")</f>
        <v/>
      </c>
      <c r="N1854" s="379">
        <f>IF(H1854&lt;&gt;"",J1854*M1854*I1854,SUMIFS(N1855:N$9844,$F1855:$F$9844,"*"&amp;F1854&amp;"*",$H1855:$H$9844,"&lt;&gt;"))</f>
        <v>0</v>
      </c>
      <c r="O1854" s="162" t="str">
        <f>IFERROR((-Tabela2[[#This Row],[CUSTO TOTAL]]+Tabela2[[#This Row],[VENDA TOTAL]])/Tabela2[[#This Row],[VENDA TOTAL]]-PARAMETROS!$C$19,"")</f>
        <v/>
      </c>
      <c r="AA1854" s="219">
        <f>SUM(Plan_Orc[[#This Row],[01/jan]:[01/dez]])</f>
        <v>0</v>
      </c>
      <c r="AB1854" s="15"/>
      <c r="AC1854" s="15"/>
      <c r="AD1854" s="15"/>
      <c r="AE1854" s="15"/>
      <c r="AF1854" s="15"/>
      <c r="AG1854" s="15"/>
      <c r="AH1854" s="15"/>
      <c r="AI1854" s="15"/>
      <c r="AJ1854" s="15"/>
      <c r="AK1854" s="15"/>
      <c r="AL1854" s="15"/>
      <c r="AM1854" s="15"/>
    </row>
    <row r="1855" spans="2:39" ht="25.2" customHeight="1" x14ac:dyDescent="0.3">
      <c r="B1855" s="13" t="str">
        <f t="shared" si="32"/>
        <v/>
      </c>
      <c r="C1855" s="18"/>
      <c r="D1855" s="19" t="str">
        <f>IF(Tabela2[[#This Row],[AGRUPADOR]]&lt;&gt;"",VLOOKUP(Tabela2[[#This Row],[AGRUPADOR]],Tabela1[],2,0),"")</f>
        <v/>
      </c>
      <c r="E1855" s="19" t="str">
        <f>IF(Tabela2[[#This Row],[AGRUPADOR]]&lt;&gt;"",VLOOKUP(Tabela2[[#This Row],[AGRUPADOR]],Tabela1[],4,0),"")</f>
        <v/>
      </c>
      <c r="F1855" s="14"/>
      <c r="G1855" s="6"/>
      <c r="H1855" s="6"/>
      <c r="I1855" s="25"/>
      <c r="J1855" s="7"/>
      <c r="K1855" s="15"/>
      <c r="L1855" s="379">
        <f>IF(H1855&lt;&gt;"",J1855*K1855,SUMIFS(L1856:L$9844,$F1856:$F$9844,"*"&amp;F1855&amp;"*",$H1856:$H$9844,"&lt;&gt;"))</f>
        <v>0</v>
      </c>
      <c r="M1855" s="379" t="str">
        <f>IF(Tabela2[[#This Row],[UNID.]]&lt;&gt;"",IFERROR(VLOOKUP(Tabela2[[#This Row],[AGRUPADOR]],Lucratividade!$D$4:$O$129,6,0),0),"")</f>
        <v/>
      </c>
      <c r="N1855" s="379">
        <f>IF(H1855&lt;&gt;"",J1855*M1855*I1855,SUMIFS(N1856:N$9844,$F1856:$F$9844,"*"&amp;F1855&amp;"*",$H1856:$H$9844,"&lt;&gt;"))</f>
        <v>0</v>
      </c>
      <c r="O1855" s="162" t="str">
        <f>IFERROR((-Tabela2[[#This Row],[CUSTO TOTAL]]+Tabela2[[#This Row],[VENDA TOTAL]])/Tabela2[[#This Row],[VENDA TOTAL]]-PARAMETROS!$C$19,"")</f>
        <v/>
      </c>
      <c r="AA1855" s="219">
        <f>SUM(Plan_Orc[[#This Row],[01/jan]:[01/dez]])</f>
        <v>0</v>
      </c>
      <c r="AB1855" s="15"/>
      <c r="AC1855" s="15"/>
      <c r="AD1855" s="15"/>
      <c r="AE1855" s="15"/>
      <c r="AF1855" s="15"/>
      <c r="AG1855" s="15"/>
      <c r="AH1855" s="15"/>
      <c r="AI1855" s="15"/>
      <c r="AJ1855" s="15"/>
      <c r="AK1855" s="15"/>
      <c r="AL1855" s="15"/>
      <c r="AM1855" s="15"/>
    </row>
    <row r="1856" spans="2:39" ht="25.2" customHeight="1" x14ac:dyDescent="0.3">
      <c r="B1856" s="13" t="str">
        <f t="shared" si="32"/>
        <v/>
      </c>
      <c r="C1856" s="18"/>
      <c r="D1856" s="19" t="str">
        <f>IF(Tabela2[[#This Row],[AGRUPADOR]]&lt;&gt;"",VLOOKUP(Tabela2[[#This Row],[AGRUPADOR]],Tabela1[],2,0),"")</f>
        <v/>
      </c>
      <c r="E1856" s="19" t="str">
        <f>IF(Tabela2[[#This Row],[AGRUPADOR]]&lt;&gt;"",VLOOKUP(Tabela2[[#This Row],[AGRUPADOR]],Tabela1[],4,0),"")</f>
        <v/>
      </c>
      <c r="F1856" s="14"/>
      <c r="G1856" s="6"/>
      <c r="H1856" s="6"/>
      <c r="I1856" s="25"/>
      <c r="J1856" s="7"/>
      <c r="K1856" s="15"/>
      <c r="L1856" s="379">
        <f>IF(H1856&lt;&gt;"",J1856*K1856,SUMIFS(L1857:L$9844,$F1857:$F$9844,"*"&amp;F1856&amp;"*",$H1857:$H$9844,"&lt;&gt;"))</f>
        <v>0</v>
      </c>
      <c r="M1856" s="379" t="str">
        <f>IF(Tabela2[[#This Row],[UNID.]]&lt;&gt;"",IFERROR(VLOOKUP(Tabela2[[#This Row],[AGRUPADOR]],Lucratividade!$D$4:$O$129,6,0),0),"")</f>
        <v/>
      </c>
      <c r="N1856" s="379">
        <f>IF(H1856&lt;&gt;"",J1856*M1856*I1856,SUMIFS(N1857:N$9844,$F1857:$F$9844,"*"&amp;F1856&amp;"*",$H1857:$H$9844,"&lt;&gt;"))</f>
        <v>0</v>
      </c>
      <c r="O1856" s="162" t="str">
        <f>IFERROR((-Tabela2[[#This Row],[CUSTO TOTAL]]+Tabela2[[#This Row],[VENDA TOTAL]])/Tabela2[[#This Row],[VENDA TOTAL]]-PARAMETROS!$C$19,"")</f>
        <v/>
      </c>
      <c r="AA1856" s="219">
        <f>SUM(Plan_Orc[[#This Row],[01/jan]:[01/dez]])</f>
        <v>0</v>
      </c>
      <c r="AB1856" s="15"/>
      <c r="AC1856" s="15"/>
      <c r="AD1856" s="15"/>
      <c r="AE1856" s="15"/>
      <c r="AF1856" s="15"/>
      <c r="AG1856" s="15"/>
      <c r="AH1856" s="15"/>
      <c r="AI1856" s="15"/>
      <c r="AJ1856" s="15"/>
      <c r="AK1856" s="15"/>
      <c r="AL1856" s="15"/>
      <c r="AM1856" s="15"/>
    </row>
    <row r="1857" spans="2:39" ht="25.2" customHeight="1" x14ac:dyDescent="0.3">
      <c r="B1857" s="13" t="str">
        <f t="shared" si="32"/>
        <v/>
      </c>
      <c r="C1857" s="18"/>
      <c r="D1857" s="19" t="str">
        <f>IF(Tabela2[[#This Row],[AGRUPADOR]]&lt;&gt;"",VLOOKUP(Tabela2[[#This Row],[AGRUPADOR]],Tabela1[],2,0),"")</f>
        <v/>
      </c>
      <c r="E1857" s="19" t="str">
        <f>IF(Tabela2[[#This Row],[AGRUPADOR]]&lt;&gt;"",VLOOKUP(Tabela2[[#This Row],[AGRUPADOR]],Tabela1[],4,0),"")</f>
        <v/>
      </c>
      <c r="F1857" s="14"/>
      <c r="G1857" s="6"/>
      <c r="H1857" s="6"/>
      <c r="I1857" s="25"/>
      <c r="J1857" s="7"/>
      <c r="K1857" s="15"/>
      <c r="L1857" s="379">
        <f>IF(H1857&lt;&gt;"",J1857*K1857,SUMIFS(L1858:L$9844,$F1858:$F$9844,"*"&amp;F1857&amp;"*",$H1858:$H$9844,"&lt;&gt;"))</f>
        <v>0</v>
      </c>
      <c r="M1857" s="379" t="str">
        <f>IF(Tabela2[[#This Row],[UNID.]]&lt;&gt;"",IFERROR(VLOOKUP(Tabela2[[#This Row],[AGRUPADOR]],Lucratividade!$D$4:$O$129,6,0),0),"")</f>
        <v/>
      </c>
      <c r="N1857" s="379">
        <f>IF(H1857&lt;&gt;"",J1857*M1857*I1857,SUMIFS(N1858:N$9844,$F1858:$F$9844,"*"&amp;F1857&amp;"*",$H1858:$H$9844,"&lt;&gt;"))</f>
        <v>0</v>
      </c>
      <c r="O1857" s="162" t="str">
        <f>IFERROR((-Tabela2[[#This Row],[CUSTO TOTAL]]+Tabela2[[#This Row],[VENDA TOTAL]])/Tabela2[[#This Row],[VENDA TOTAL]]-PARAMETROS!$C$19,"")</f>
        <v/>
      </c>
      <c r="AA1857" s="219">
        <f>SUM(Plan_Orc[[#This Row],[01/jan]:[01/dez]])</f>
        <v>0</v>
      </c>
      <c r="AB1857" s="15"/>
      <c r="AC1857" s="15"/>
      <c r="AD1857" s="15"/>
      <c r="AE1857" s="15"/>
      <c r="AF1857" s="15"/>
      <c r="AG1857" s="15"/>
      <c r="AH1857" s="15"/>
      <c r="AI1857" s="15"/>
      <c r="AJ1857" s="15"/>
      <c r="AK1857" s="15"/>
      <c r="AL1857" s="15"/>
      <c r="AM1857" s="15"/>
    </row>
    <row r="1858" spans="2:39" ht="25.2" customHeight="1" x14ac:dyDescent="0.3">
      <c r="B1858" s="13" t="str">
        <f t="shared" si="32"/>
        <v/>
      </c>
      <c r="C1858" s="18"/>
      <c r="D1858" s="19" t="str">
        <f>IF(Tabela2[[#This Row],[AGRUPADOR]]&lt;&gt;"",VLOOKUP(Tabela2[[#This Row],[AGRUPADOR]],Tabela1[],2,0),"")</f>
        <v/>
      </c>
      <c r="E1858" s="19" t="str">
        <f>IF(Tabela2[[#This Row],[AGRUPADOR]]&lt;&gt;"",VLOOKUP(Tabela2[[#This Row],[AGRUPADOR]],Tabela1[],4,0),"")</f>
        <v/>
      </c>
      <c r="F1858" s="14"/>
      <c r="G1858" s="6"/>
      <c r="H1858" s="6"/>
      <c r="I1858" s="25"/>
      <c r="J1858" s="7"/>
      <c r="K1858" s="15"/>
      <c r="L1858" s="379">
        <f>IF(H1858&lt;&gt;"",J1858*K1858,SUMIFS(L1859:L$9844,$F1859:$F$9844,"*"&amp;F1858&amp;"*",$H1859:$H$9844,"&lt;&gt;"))</f>
        <v>0</v>
      </c>
      <c r="M1858" s="379" t="str">
        <f>IF(Tabela2[[#This Row],[UNID.]]&lt;&gt;"",IFERROR(VLOOKUP(Tabela2[[#This Row],[AGRUPADOR]],Lucratividade!$D$4:$O$129,6,0),0),"")</f>
        <v/>
      </c>
      <c r="N1858" s="379">
        <f>IF(H1858&lt;&gt;"",J1858*M1858*I1858,SUMIFS(N1859:N$9844,$F1859:$F$9844,"*"&amp;F1858&amp;"*",$H1859:$H$9844,"&lt;&gt;"))</f>
        <v>0</v>
      </c>
      <c r="O1858" s="162" t="str">
        <f>IFERROR((-Tabela2[[#This Row],[CUSTO TOTAL]]+Tabela2[[#This Row],[VENDA TOTAL]])/Tabela2[[#This Row],[VENDA TOTAL]]-PARAMETROS!$C$19,"")</f>
        <v/>
      </c>
      <c r="AA1858" s="219">
        <f>SUM(Plan_Orc[[#This Row],[01/jan]:[01/dez]])</f>
        <v>0</v>
      </c>
      <c r="AB1858" s="15"/>
      <c r="AC1858" s="15"/>
      <c r="AD1858" s="15"/>
      <c r="AE1858" s="15"/>
      <c r="AF1858" s="15"/>
      <c r="AG1858" s="15"/>
      <c r="AH1858" s="15"/>
      <c r="AI1858" s="15"/>
      <c r="AJ1858" s="15"/>
      <c r="AK1858" s="15"/>
      <c r="AL1858" s="15"/>
      <c r="AM1858" s="15"/>
    </row>
    <row r="1859" spans="2:39" ht="25.2" customHeight="1" x14ac:dyDescent="0.3">
      <c r="B1859" s="13" t="str">
        <f t="shared" si="32"/>
        <v/>
      </c>
      <c r="C1859" s="18"/>
      <c r="D1859" s="19" t="str">
        <f>IF(Tabela2[[#This Row],[AGRUPADOR]]&lt;&gt;"",VLOOKUP(Tabela2[[#This Row],[AGRUPADOR]],Tabela1[],2,0),"")</f>
        <v/>
      </c>
      <c r="E1859" s="19" t="str">
        <f>IF(Tabela2[[#This Row],[AGRUPADOR]]&lt;&gt;"",VLOOKUP(Tabela2[[#This Row],[AGRUPADOR]],Tabela1[],4,0),"")</f>
        <v/>
      </c>
      <c r="F1859" s="14"/>
      <c r="G1859" s="6"/>
      <c r="H1859" s="6"/>
      <c r="I1859" s="25"/>
      <c r="J1859" s="7"/>
      <c r="K1859" s="15"/>
      <c r="L1859" s="379">
        <f>IF(H1859&lt;&gt;"",J1859*K1859,SUMIFS(L1860:L$9844,$F1860:$F$9844,"*"&amp;F1859&amp;"*",$H1860:$H$9844,"&lt;&gt;"))</f>
        <v>0</v>
      </c>
      <c r="M1859" s="379" t="str">
        <f>IF(Tabela2[[#This Row],[UNID.]]&lt;&gt;"",IFERROR(VLOOKUP(Tabela2[[#This Row],[AGRUPADOR]],Lucratividade!$D$4:$O$129,6,0),0),"")</f>
        <v/>
      </c>
      <c r="N1859" s="379">
        <f>IF(H1859&lt;&gt;"",J1859*M1859*I1859,SUMIFS(N1860:N$9844,$F1860:$F$9844,"*"&amp;F1859&amp;"*",$H1860:$H$9844,"&lt;&gt;"))</f>
        <v>0</v>
      </c>
      <c r="O1859" s="162" t="str">
        <f>IFERROR((-Tabela2[[#This Row],[CUSTO TOTAL]]+Tabela2[[#This Row],[VENDA TOTAL]])/Tabela2[[#This Row],[VENDA TOTAL]]-PARAMETROS!$C$19,"")</f>
        <v/>
      </c>
      <c r="AA1859" s="219">
        <f>SUM(Plan_Orc[[#This Row],[01/jan]:[01/dez]])</f>
        <v>0</v>
      </c>
      <c r="AB1859" s="15"/>
      <c r="AC1859" s="15"/>
      <c r="AD1859" s="15"/>
      <c r="AE1859" s="15"/>
      <c r="AF1859" s="15"/>
      <c r="AG1859" s="15"/>
      <c r="AH1859" s="15"/>
      <c r="AI1859" s="15"/>
      <c r="AJ1859" s="15"/>
      <c r="AK1859" s="15"/>
      <c r="AL1859" s="15"/>
      <c r="AM1859" s="15"/>
    </row>
    <row r="1860" spans="2:39" ht="25.2" customHeight="1" x14ac:dyDescent="0.3">
      <c r="B1860" s="13" t="str">
        <f t="shared" ref="B1860:B1923" si="33">IF(LEN(F1860)=3,1,"")</f>
        <v/>
      </c>
      <c r="C1860" s="18"/>
      <c r="D1860" s="19" t="str">
        <f>IF(Tabela2[[#This Row],[AGRUPADOR]]&lt;&gt;"",VLOOKUP(Tabela2[[#This Row],[AGRUPADOR]],Tabela1[],2,0),"")</f>
        <v/>
      </c>
      <c r="E1860" s="19" t="str">
        <f>IF(Tabela2[[#This Row],[AGRUPADOR]]&lt;&gt;"",VLOOKUP(Tabela2[[#This Row],[AGRUPADOR]],Tabela1[],4,0),"")</f>
        <v/>
      </c>
      <c r="F1860" s="14"/>
      <c r="G1860" s="6"/>
      <c r="H1860" s="6"/>
      <c r="I1860" s="25"/>
      <c r="J1860" s="7"/>
      <c r="K1860" s="15"/>
      <c r="L1860" s="379">
        <f>IF(H1860&lt;&gt;"",J1860*K1860,SUMIFS(L1861:L$9844,$F1861:$F$9844,"*"&amp;F1860&amp;"*",$H1861:$H$9844,"&lt;&gt;"))</f>
        <v>0</v>
      </c>
      <c r="M1860" s="379" t="str">
        <f>IF(Tabela2[[#This Row],[UNID.]]&lt;&gt;"",IFERROR(VLOOKUP(Tabela2[[#This Row],[AGRUPADOR]],Lucratividade!$D$4:$O$129,6,0),0),"")</f>
        <v/>
      </c>
      <c r="N1860" s="379">
        <f>IF(H1860&lt;&gt;"",J1860*M1860*I1860,SUMIFS(N1861:N$9844,$F1861:$F$9844,"*"&amp;F1860&amp;"*",$H1861:$H$9844,"&lt;&gt;"))</f>
        <v>0</v>
      </c>
      <c r="O1860" s="162" t="str">
        <f>IFERROR((-Tabela2[[#This Row],[CUSTO TOTAL]]+Tabela2[[#This Row],[VENDA TOTAL]])/Tabela2[[#This Row],[VENDA TOTAL]]-PARAMETROS!$C$19,"")</f>
        <v/>
      </c>
      <c r="AA1860" s="219">
        <f>SUM(Plan_Orc[[#This Row],[01/jan]:[01/dez]])</f>
        <v>0</v>
      </c>
      <c r="AB1860" s="15"/>
      <c r="AC1860" s="15"/>
      <c r="AD1860" s="15"/>
      <c r="AE1860" s="15"/>
      <c r="AF1860" s="15"/>
      <c r="AG1860" s="15"/>
      <c r="AH1860" s="15"/>
      <c r="AI1860" s="15"/>
      <c r="AJ1860" s="15"/>
      <c r="AK1860" s="15"/>
      <c r="AL1860" s="15"/>
      <c r="AM1860" s="15"/>
    </row>
    <row r="1861" spans="2:39" ht="25.2" customHeight="1" x14ac:dyDescent="0.3">
      <c r="B1861" s="13" t="str">
        <f t="shared" si="33"/>
        <v/>
      </c>
      <c r="C1861" s="18"/>
      <c r="D1861" s="19" t="str">
        <f>IF(Tabela2[[#This Row],[AGRUPADOR]]&lt;&gt;"",VLOOKUP(Tabela2[[#This Row],[AGRUPADOR]],Tabela1[],2,0),"")</f>
        <v/>
      </c>
      <c r="E1861" s="19" t="str">
        <f>IF(Tabela2[[#This Row],[AGRUPADOR]]&lt;&gt;"",VLOOKUP(Tabela2[[#This Row],[AGRUPADOR]],Tabela1[],4,0),"")</f>
        <v/>
      </c>
      <c r="F1861" s="14"/>
      <c r="G1861" s="6"/>
      <c r="H1861" s="6"/>
      <c r="I1861" s="25"/>
      <c r="J1861" s="7"/>
      <c r="K1861" s="15"/>
      <c r="L1861" s="379">
        <f>IF(H1861&lt;&gt;"",J1861*K1861,SUMIFS(L1862:L$9844,$F1862:$F$9844,"*"&amp;F1861&amp;"*",$H1862:$H$9844,"&lt;&gt;"))</f>
        <v>0</v>
      </c>
      <c r="M1861" s="379" t="str">
        <f>IF(Tabela2[[#This Row],[UNID.]]&lt;&gt;"",IFERROR(VLOOKUP(Tabela2[[#This Row],[AGRUPADOR]],Lucratividade!$D$4:$O$129,6,0),0),"")</f>
        <v/>
      </c>
      <c r="N1861" s="379">
        <f>IF(H1861&lt;&gt;"",J1861*M1861*I1861,SUMIFS(N1862:N$9844,$F1862:$F$9844,"*"&amp;F1861&amp;"*",$H1862:$H$9844,"&lt;&gt;"))</f>
        <v>0</v>
      </c>
      <c r="O1861" s="162" t="str">
        <f>IFERROR((-Tabela2[[#This Row],[CUSTO TOTAL]]+Tabela2[[#This Row],[VENDA TOTAL]])/Tabela2[[#This Row],[VENDA TOTAL]]-PARAMETROS!$C$19,"")</f>
        <v/>
      </c>
      <c r="AA1861" s="219">
        <f>SUM(Plan_Orc[[#This Row],[01/jan]:[01/dez]])</f>
        <v>0</v>
      </c>
      <c r="AB1861" s="15"/>
      <c r="AC1861" s="15"/>
      <c r="AD1861" s="15"/>
      <c r="AE1861" s="15"/>
      <c r="AF1861" s="15"/>
      <c r="AG1861" s="15"/>
      <c r="AH1861" s="15"/>
      <c r="AI1861" s="15"/>
      <c r="AJ1861" s="15"/>
      <c r="AK1861" s="15"/>
      <c r="AL1861" s="15"/>
      <c r="AM1861" s="15"/>
    </row>
    <row r="1862" spans="2:39" ht="25.2" customHeight="1" x14ac:dyDescent="0.3">
      <c r="B1862" s="13" t="str">
        <f t="shared" si="33"/>
        <v/>
      </c>
      <c r="C1862" s="18"/>
      <c r="D1862" s="19" t="str">
        <f>IF(Tabela2[[#This Row],[AGRUPADOR]]&lt;&gt;"",VLOOKUP(Tabela2[[#This Row],[AGRUPADOR]],Tabela1[],2,0),"")</f>
        <v/>
      </c>
      <c r="E1862" s="19" t="str">
        <f>IF(Tabela2[[#This Row],[AGRUPADOR]]&lt;&gt;"",VLOOKUP(Tabela2[[#This Row],[AGRUPADOR]],Tabela1[],4,0),"")</f>
        <v/>
      </c>
      <c r="F1862" s="14"/>
      <c r="G1862" s="6"/>
      <c r="H1862" s="6"/>
      <c r="I1862" s="25"/>
      <c r="J1862" s="7"/>
      <c r="K1862" s="15"/>
      <c r="L1862" s="379">
        <f>IF(H1862&lt;&gt;"",J1862*K1862,SUMIFS(L1863:L$9844,$F1863:$F$9844,"*"&amp;F1862&amp;"*",$H1863:$H$9844,"&lt;&gt;"))</f>
        <v>0</v>
      </c>
      <c r="M1862" s="379" t="str">
        <f>IF(Tabela2[[#This Row],[UNID.]]&lt;&gt;"",IFERROR(VLOOKUP(Tabela2[[#This Row],[AGRUPADOR]],Lucratividade!$D$4:$O$129,6,0),0),"")</f>
        <v/>
      </c>
      <c r="N1862" s="379">
        <f>IF(H1862&lt;&gt;"",J1862*M1862*I1862,SUMIFS(N1863:N$9844,$F1863:$F$9844,"*"&amp;F1862&amp;"*",$H1863:$H$9844,"&lt;&gt;"))</f>
        <v>0</v>
      </c>
      <c r="O1862" s="162" t="str">
        <f>IFERROR((-Tabela2[[#This Row],[CUSTO TOTAL]]+Tabela2[[#This Row],[VENDA TOTAL]])/Tabela2[[#This Row],[VENDA TOTAL]]-PARAMETROS!$C$19,"")</f>
        <v/>
      </c>
      <c r="AA1862" s="219">
        <f>SUM(Plan_Orc[[#This Row],[01/jan]:[01/dez]])</f>
        <v>0</v>
      </c>
      <c r="AB1862" s="15"/>
      <c r="AC1862" s="15"/>
      <c r="AD1862" s="15"/>
      <c r="AE1862" s="15"/>
      <c r="AF1862" s="15"/>
      <c r="AG1862" s="15"/>
      <c r="AH1862" s="15"/>
      <c r="AI1862" s="15"/>
      <c r="AJ1862" s="15"/>
      <c r="AK1862" s="15"/>
      <c r="AL1862" s="15"/>
      <c r="AM1862" s="15"/>
    </row>
    <row r="1863" spans="2:39" ht="25.2" customHeight="1" x14ac:dyDescent="0.3">
      <c r="B1863" s="13" t="str">
        <f t="shared" si="33"/>
        <v/>
      </c>
      <c r="C1863" s="18"/>
      <c r="D1863" s="19" t="str">
        <f>IF(Tabela2[[#This Row],[AGRUPADOR]]&lt;&gt;"",VLOOKUP(Tabela2[[#This Row],[AGRUPADOR]],Tabela1[],2,0),"")</f>
        <v/>
      </c>
      <c r="E1863" s="19" t="str">
        <f>IF(Tabela2[[#This Row],[AGRUPADOR]]&lt;&gt;"",VLOOKUP(Tabela2[[#This Row],[AGRUPADOR]],Tabela1[],4,0),"")</f>
        <v/>
      </c>
      <c r="F1863" s="14"/>
      <c r="G1863" s="6"/>
      <c r="H1863" s="6"/>
      <c r="I1863" s="25"/>
      <c r="J1863" s="7"/>
      <c r="K1863" s="15"/>
      <c r="L1863" s="379">
        <f>IF(H1863&lt;&gt;"",J1863*K1863,SUMIFS(L1864:L$9844,$F1864:$F$9844,"*"&amp;F1863&amp;"*",$H1864:$H$9844,"&lt;&gt;"))</f>
        <v>0</v>
      </c>
      <c r="M1863" s="379" t="str">
        <f>IF(Tabela2[[#This Row],[UNID.]]&lt;&gt;"",IFERROR(VLOOKUP(Tabela2[[#This Row],[AGRUPADOR]],Lucratividade!$D$4:$O$129,6,0),0),"")</f>
        <v/>
      </c>
      <c r="N1863" s="379">
        <f>IF(H1863&lt;&gt;"",J1863*M1863*I1863,SUMIFS(N1864:N$9844,$F1864:$F$9844,"*"&amp;F1863&amp;"*",$H1864:$H$9844,"&lt;&gt;"))</f>
        <v>0</v>
      </c>
      <c r="O1863" s="162" t="str">
        <f>IFERROR((-Tabela2[[#This Row],[CUSTO TOTAL]]+Tabela2[[#This Row],[VENDA TOTAL]])/Tabela2[[#This Row],[VENDA TOTAL]]-PARAMETROS!$C$19,"")</f>
        <v/>
      </c>
      <c r="AA1863" s="219">
        <f>SUM(Plan_Orc[[#This Row],[01/jan]:[01/dez]])</f>
        <v>0</v>
      </c>
      <c r="AB1863" s="15"/>
      <c r="AC1863" s="15"/>
      <c r="AD1863" s="15"/>
      <c r="AE1863" s="15"/>
      <c r="AF1863" s="15"/>
      <c r="AG1863" s="15"/>
      <c r="AH1863" s="15"/>
      <c r="AI1863" s="15"/>
      <c r="AJ1863" s="15"/>
      <c r="AK1863" s="15"/>
      <c r="AL1863" s="15"/>
      <c r="AM1863" s="15"/>
    </row>
    <row r="1864" spans="2:39" ht="25.2" customHeight="1" x14ac:dyDescent="0.3">
      <c r="B1864" s="13" t="str">
        <f t="shared" si="33"/>
        <v/>
      </c>
      <c r="C1864" s="18"/>
      <c r="D1864" s="19" t="str">
        <f>IF(Tabela2[[#This Row],[AGRUPADOR]]&lt;&gt;"",VLOOKUP(Tabela2[[#This Row],[AGRUPADOR]],Tabela1[],2,0),"")</f>
        <v/>
      </c>
      <c r="E1864" s="19" t="str">
        <f>IF(Tabela2[[#This Row],[AGRUPADOR]]&lt;&gt;"",VLOOKUP(Tabela2[[#This Row],[AGRUPADOR]],Tabela1[],4,0),"")</f>
        <v/>
      </c>
      <c r="F1864" s="14"/>
      <c r="G1864" s="6"/>
      <c r="H1864" s="6"/>
      <c r="I1864" s="25"/>
      <c r="J1864" s="7"/>
      <c r="K1864" s="15"/>
      <c r="L1864" s="379">
        <f>IF(H1864&lt;&gt;"",J1864*K1864,SUMIFS(L1865:L$9844,$F1865:$F$9844,"*"&amp;F1864&amp;"*",$H1865:$H$9844,"&lt;&gt;"))</f>
        <v>0</v>
      </c>
      <c r="M1864" s="379" t="str">
        <f>IF(Tabela2[[#This Row],[UNID.]]&lt;&gt;"",IFERROR(VLOOKUP(Tabela2[[#This Row],[AGRUPADOR]],Lucratividade!$D$4:$O$129,6,0),0),"")</f>
        <v/>
      </c>
      <c r="N1864" s="379">
        <f>IF(H1864&lt;&gt;"",J1864*M1864*I1864,SUMIFS(N1865:N$9844,$F1865:$F$9844,"*"&amp;F1864&amp;"*",$H1865:$H$9844,"&lt;&gt;"))</f>
        <v>0</v>
      </c>
      <c r="O1864" s="162" t="str">
        <f>IFERROR((-Tabela2[[#This Row],[CUSTO TOTAL]]+Tabela2[[#This Row],[VENDA TOTAL]])/Tabela2[[#This Row],[VENDA TOTAL]]-PARAMETROS!$C$19,"")</f>
        <v/>
      </c>
      <c r="AA1864" s="219">
        <f>SUM(Plan_Orc[[#This Row],[01/jan]:[01/dez]])</f>
        <v>0</v>
      </c>
      <c r="AB1864" s="15"/>
      <c r="AC1864" s="15"/>
      <c r="AD1864" s="15"/>
      <c r="AE1864" s="15"/>
      <c r="AF1864" s="15"/>
      <c r="AG1864" s="15"/>
      <c r="AH1864" s="15"/>
      <c r="AI1864" s="15"/>
      <c r="AJ1864" s="15"/>
      <c r="AK1864" s="15"/>
      <c r="AL1864" s="15"/>
      <c r="AM1864" s="15"/>
    </row>
    <row r="1865" spans="2:39" ht="25.2" customHeight="1" x14ac:dyDescent="0.3">
      <c r="B1865" s="13" t="str">
        <f t="shared" si="33"/>
        <v/>
      </c>
      <c r="C1865" s="18"/>
      <c r="D1865" s="19" t="str">
        <f>IF(Tabela2[[#This Row],[AGRUPADOR]]&lt;&gt;"",VLOOKUP(Tabela2[[#This Row],[AGRUPADOR]],Tabela1[],2,0),"")</f>
        <v/>
      </c>
      <c r="E1865" s="19" t="str">
        <f>IF(Tabela2[[#This Row],[AGRUPADOR]]&lt;&gt;"",VLOOKUP(Tabela2[[#This Row],[AGRUPADOR]],Tabela1[],4,0),"")</f>
        <v/>
      </c>
      <c r="F1865" s="14"/>
      <c r="G1865" s="6"/>
      <c r="H1865" s="6"/>
      <c r="I1865" s="25"/>
      <c r="J1865" s="7"/>
      <c r="K1865" s="15"/>
      <c r="L1865" s="379">
        <f>IF(H1865&lt;&gt;"",J1865*K1865,SUMIFS(L1866:L$9844,$F1866:$F$9844,"*"&amp;F1865&amp;"*",$H1866:$H$9844,"&lt;&gt;"))</f>
        <v>0</v>
      </c>
      <c r="M1865" s="379" t="str">
        <f>IF(Tabela2[[#This Row],[UNID.]]&lt;&gt;"",IFERROR(VLOOKUP(Tabela2[[#This Row],[AGRUPADOR]],Lucratividade!$D$4:$O$129,6,0),0),"")</f>
        <v/>
      </c>
      <c r="N1865" s="379">
        <f>IF(H1865&lt;&gt;"",J1865*M1865*I1865,SUMIFS(N1866:N$9844,$F1866:$F$9844,"*"&amp;F1865&amp;"*",$H1866:$H$9844,"&lt;&gt;"))</f>
        <v>0</v>
      </c>
      <c r="O1865" s="162" t="str">
        <f>IFERROR((-Tabela2[[#This Row],[CUSTO TOTAL]]+Tabela2[[#This Row],[VENDA TOTAL]])/Tabela2[[#This Row],[VENDA TOTAL]]-PARAMETROS!$C$19,"")</f>
        <v/>
      </c>
      <c r="AA1865" s="219">
        <f>SUM(Plan_Orc[[#This Row],[01/jan]:[01/dez]])</f>
        <v>0</v>
      </c>
      <c r="AB1865" s="15"/>
      <c r="AC1865" s="15"/>
      <c r="AD1865" s="15"/>
      <c r="AE1865" s="15"/>
      <c r="AF1865" s="15"/>
      <c r="AG1865" s="15"/>
      <c r="AH1865" s="15"/>
      <c r="AI1865" s="15"/>
      <c r="AJ1865" s="15"/>
      <c r="AK1865" s="15"/>
      <c r="AL1865" s="15"/>
      <c r="AM1865" s="15"/>
    </row>
    <row r="1866" spans="2:39" ht="25.2" customHeight="1" x14ac:dyDescent="0.3">
      <c r="B1866" s="13" t="str">
        <f t="shared" si="33"/>
        <v/>
      </c>
      <c r="C1866" s="18"/>
      <c r="D1866" s="19" t="str">
        <f>IF(Tabela2[[#This Row],[AGRUPADOR]]&lt;&gt;"",VLOOKUP(Tabela2[[#This Row],[AGRUPADOR]],Tabela1[],2,0),"")</f>
        <v/>
      </c>
      <c r="E1866" s="19" t="str">
        <f>IF(Tabela2[[#This Row],[AGRUPADOR]]&lt;&gt;"",VLOOKUP(Tabela2[[#This Row],[AGRUPADOR]],Tabela1[],4,0),"")</f>
        <v/>
      </c>
      <c r="F1866" s="14"/>
      <c r="G1866" s="6"/>
      <c r="H1866" s="6"/>
      <c r="I1866" s="25"/>
      <c r="J1866" s="7"/>
      <c r="K1866" s="15"/>
      <c r="L1866" s="379">
        <f>IF(H1866&lt;&gt;"",J1866*K1866,SUMIFS(L1867:L$9844,$F1867:$F$9844,"*"&amp;F1866&amp;"*",$H1867:$H$9844,"&lt;&gt;"))</f>
        <v>0</v>
      </c>
      <c r="M1866" s="379" t="str">
        <f>IF(Tabela2[[#This Row],[UNID.]]&lt;&gt;"",IFERROR(VLOOKUP(Tabela2[[#This Row],[AGRUPADOR]],Lucratividade!$D$4:$O$129,6,0),0),"")</f>
        <v/>
      </c>
      <c r="N1866" s="379">
        <f>IF(H1866&lt;&gt;"",J1866*M1866*I1866,SUMIFS(N1867:N$9844,$F1867:$F$9844,"*"&amp;F1866&amp;"*",$H1867:$H$9844,"&lt;&gt;"))</f>
        <v>0</v>
      </c>
      <c r="O1866" s="162" t="str">
        <f>IFERROR((-Tabela2[[#This Row],[CUSTO TOTAL]]+Tabela2[[#This Row],[VENDA TOTAL]])/Tabela2[[#This Row],[VENDA TOTAL]]-PARAMETROS!$C$19,"")</f>
        <v/>
      </c>
      <c r="AA1866" s="219">
        <f>SUM(Plan_Orc[[#This Row],[01/jan]:[01/dez]])</f>
        <v>0</v>
      </c>
      <c r="AB1866" s="15"/>
      <c r="AC1866" s="15"/>
      <c r="AD1866" s="15"/>
      <c r="AE1866" s="15"/>
      <c r="AF1866" s="15"/>
      <c r="AG1866" s="15"/>
      <c r="AH1866" s="15"/>
      <c r="AI1866" s="15"/>
      <c r="AJ1866" s="15"/>
      <c r="AK1866" s="15"/>
      <c r="AL1866" s="15"/>
      <c r="AM1866" s="15"/>
    </row>
    <row r="1867" spans="2:39" ht="25.2" customHeight="1" x14ac:dyDescent="0.3">
      <c r="B1867" s="13" t="str">
        <f t="shared" si="33"/>
        <v/>
      </c>
      <c r="C1867" s="18"/>
      <c r="D1867" s="19" t="str">
        <f>IF(Tabela2[[#This Row],[AGRUPADOR]]&lt;&gt;"",VLOOKUP(Tabela2[[#This Row],[AGRUPADOR]],Tabela1[],2,0),"")</f>
        <v/>
      </c>
      <c r="E1867" s="19" t="str">
        <f>IF(Tabela2[[#This Row],[AGRUPADOR]]&lt;&gt;"",VLOOKUP(Tabela2[[#This Row],[AGRUPADOR]],Tabela1[],4,0),"")</f>
        <v/>
      </c>
      <c r="F1867" s="14"/>
      <c r="G1867" s="6"/>
      <c r="H1867" s="6"/>
      <c r="I1867" s="25"/>
      <c r="J1867" s="7"/>
      <c r="K1867" s="15"/>
      <c r="L1867" s="379">
        <f>IF(H1867&lt;&gt;"",J1867*K1867,SUMIFS(L1868:L$9844,$F1868:$F$9844,"*"&amp;F1867&amp;"*",$H1868:$H$9844,"&lt;&gt;"))</f>
        <v>0</v>
      </c>
      <c r="M1867" s="379" t="str">
        <f>IF(Tabela2[[#This Row],[UNID.]]&lt;&gt;"",IFERROR(VLOOKUP(Tabela2[[#This Row],[AGRUPADOR]],Lucratividade!$D$4:$O$129,6,0),0),"")</f>
        <v/>
      </c>
      <c r="N1867" s="379">
        <f>IF(H1867&lt;&gt;"",J1867*M1867*I1867,SUMIFS(N1868:N$9844,$F1868:$F$9844,"*"&amp;F1867&amp;"*",$H1868:$H$9844,"&lt;&gt;"))</f>
        <v>0</v>
      </c>
      <c r="O1867" s="162" t="str">
        <f>IFERROR((-Tabela2[[#This Row],[CUSTO TOTAL]]+Tabela2[[#This Row],[VENDA TOTAL]])/Tabela2[[#This Row],[VENDA TOTAL]]-PARAMETROS!$C$19,"")</f>
        <v/>
      </c>
      <c r="AA1867" s="219">
        <f>SUM(Plan_Orc[[#This Row],[01/jan]:[01/dez]])</f>
        <v>0</v>
      </c>
      <c r="AB1867" s="15"/>
      <c r="AC1867" s="15"/>
      <c r="AD1867" s="15"/>
      <c r="AE1867" s="15"/>
      <c r="AF1867" s="15"/>
      <c r="AG1867" s="15"/>
      <c r="AH1867" s="15"/>
      <c r="AI1867" s="15"/>
      <c r="AJ1867" s="15"/>
      <c r="AK1867" s="15"/>
      <c r="AL1867" s="15"/>
      <c r="AM1867" s="15"/>
    </row>
    <row r="1868" spans="2:39" ht="25.2" customHeight="1" x14ac:dyDescent="0.3">
      <c r="B1868" s="13" t="str">
        <f t="shared" si="33"/>
        <v/>
      </c>
      <c r="C1868" s="18"/>
      <c r="D1868" s="19" t="str">
        <f>IF(Tabela2[[#This Row],[AGRUPADOR]]&lt;&gt;"",VLOOKUP(Tabela2[[#This Row],[AGRUPADOR]],Tabela1[],2,0),"")</f>
        <v/>
      </c>
      <c r="E1868" s="19" t="str">
        <f>IF(Tabela2[[#This Row],[AGRUPADOR]]&lt;&gt;"",VLOOKUP(Tabela2[[#This Row],[AGRUPADOR]],Tabela1[],4,0),"")</f>
        <v/>
      </c>
      <c r="F1868" s="14"/>
      <c r="G1868" s="6"/>
      <c r="H1868" s="6"/>
      <c r="I1868" s="25"/>
      <c r="J1868" s="7"/>
      <c r="K1868" s="15"/>
      <c r="L1868" s="379">
        <f>IF(H1868&lt;&gt;"",J1868*K1868,SUMIFS(L1869:L$9844,$F1869:$F$9844,"*"&amp;F1868&amp;"*",$H1869:$H$9844,"&lt;&gt;"))</f>
        <v>0</v>
      </c>
      <c r="M1868" s="379" t="str">
        <f>IF(Tabela2[[#This Row],[UNID.]]&lt;&gt;"",IFERROR(VLOOKUP(Tabela2[[#This Row],[AGRUPADOR]],Lucratividade!$D$4:$O$129,6,0),0),"")</f>
        <v/>
      </c>
      <c r="N1868" s="379">
        <f>IF(H1868&lt;&gt;"",J1868*M1868*I1868,SUMIFS(N1869:N$9844,$F1869:$F$9844,"*"&amp;F1868&amp;"*",$H1869:$H$9844,"&lt;&gt;"))</f>
        <v>0</v>
      </c>
      <c r="O1868" s="162" t="str">
        <f>IFERROR((-Tabela2[[#This Row],[CUSTO TOTAL]]+Tabela2[[#This Row],[VENDA TOTAL]])/Tabela2[[#This Row],[VENDA TOTAL]]-PARAMETROS!$C$19,"")</f>
        <v/>
      </c>
      <c r="AA1868" s="219">
        <f>SUM(Plan_Orc[[#This Row],[01/jan]:[01/dez]])</f>
        <v>0</v>
      </c>
      <c r="AB1868" s="15"/>
      <c r="AC1868" s="15"/>
      <c r="AD1868" s="15"/>
      <c r="AE1868" s="15"/>
      <c r="AF1868" s="15"/>
      <c r="AG1868" s="15"/>
      <c r="AH1868" s="15"/>
      <c r="AI1868" s="15"/>
      <c r="AJ1868" s="15"/>
      <c r="AK1868" s="15"/>
      <c r="AL1868" s="15"/>
      <c r="AM1868" s="15"/>
    </row>
    <row r="1869" spans="2:39" ht="25.2" customHeight="1" x14ac:dyDescent="0.3">
      <c r="B1869" s="13" t="str">
        <f t="shared" si="33"/>
        <v/>
      </c>
      <c r="C1869" s="18"/>
      <c r="D1869" s="19" t="str">
        <f>IF(Tabela2[[#This Row],[AGRUPADOR]]&lt;&gt;"",VLOOKUP(Tabela2[[#This Row],[AGRUPADOR]],Tabela1[],2,0),"")</f>
        <v/>
      </c>
      <c r="E1869" s="19" t="str">
        <f>IF(Tabela2[[#This Row],[AGRUPADOR]]&lt;&gt;"",VLOOKUP(Tabela2[[#This Row],[AGRUPADOR]],Tabela1[],4,0),"")</f>
        <v/>
      </c>
      <c r="F1869" s="14"/>
      <c r="G1869" s="6"/>
      <c r="H1869" s="6"/>
      <c r="I1869" s="25"/>
      <c r="J1869" s="7"/>
      <c r="K1869" s="15"/>
      <c r="L1869" s="379">
        <f>IF(H1869&lt;&gt;"",J1869*K1869,SUMIFS(L1870:L$9844,$F1870:$F$9844,"*"&amp;F1869&amp;"*",$H1870:$H$9844,"&lt;&gt;"))</f>
        <v>0</v>
      </c>
      <c r="M1869" s="379" t="str">
        <f>IF(Tabela2[[#This Row],[UNID.]]&lt;&gt;"",IFERROR(VLOOKUP(Tabela2[[#This Row],[AGRUPADOR]],Lucratividade!$D$4:$O$129,6,0),0),"")</f>
        <v/>
      </c>
      <c r="N1869" s="379">
        <f>IF(H1869&lt;&gt;"",J1869*M1869*I1869,SUMIFS(N1870:N$9844,$F1870:$F$9844,"*"&amp;F1869&amp;"*",$H1870:$H$9844,"&lt;&gt;"))</f>
        <v>0</v>
      </c>
      <c r="O1869" s="162" t="str">
        <f>IFERROR((-Tabela2[[#This Row],[CUSTO TOTAL]]+Tabela2[[#This Row],[VENDA TOTAL]])/Tabela2[[#This Row],[VENDA TOTAL]]-PARAMETROS!$C$19,"")</f>
        <v/>
      </c>
      <c r="AA1869" s="219">
        <f>SUM(Plan_Orc[[#This Row],[01/jan]:[01/dez]])</f>
        <v>0</v>
      </c>
      <c r="AB1869" s="15"/>
      <c r="AC1869" s="15"/>
      <c r="AD1869" s="15"/>
      <c r="AE1869" s="15"/>
      <c r="AF1869" s="15"/>
      <c r="AG1869" s="15"/>
      <c r="AH1869" s="15"/>
      <c r="AI1869" s="15"/>
      <c r="AJ1869" s="15"/>
      <c r="AK1869" s="15"/>
      <c r="AL1869" s="15"/>
      <c r="AM1869" s="15"/>
    </row>
    <row r="1870" spans="2:39" ht="25.2" customHeight="1" x14ac:dyDescent="0.3">
      <c r="B1870" s="13" t="str">
        <f t="shared" si="33"/>
        <v/>
      </c>
      <c r="C1870" s="18"/>
      <c r="D1870" s="19" t="str">
        <f>IF(Tabela2[[#This Row],[AGRUPADOR]]&lt;&gt;"",VLOOKUP(Tabela2[[#This Row],[AGRUPADOR]],Tabela1[],2,0),"")</f>
        <v/>
      </c>
      <c r="E1870" s="19" t="str">
        <f>IF(Tabela2[[#This Row],[AGRUPADOR]]&lt;&gt;"",VLOOKUP(Tabela2[[#This Row],[AGRUPADOR]],Tabela1[],4,0),"")</f>
        <v/>
      </c>
      <c r="F1870" s="14"/>
      <c r="G1870" s="6"/>
      <c r="H1870" s="6"/>
      <c r="I1870" s="25"/>
      <c r="J1870" s="7"/>
      <c r="K1870" s="15"/>
      <c r="L1870" s="379">
        <f>IF(H1870&lt;&gt;"",J1870*K1870,SUMIFS(L1871:L$9844,$F1871:$F$9844,"*"&amp;F1870&amp;"*",$H1871:$H$9844,"&lt;&gt;"))</f>
        <v>0</v>
      </c>
      <c r="M1870" s="379" t="str">
        <f>IF(Tabela2[[#This Row],[UNID.]]&lt;&gt;"",IFERROR(VLOOKUP(Tabela2[[#This Row],[AGRUPADOR]],Lucratividade!$D$4:$O$129,6,0),0),"")</f>
        <v/>
      </c>
      <c r="N1870" s="379">
        <f>IF(H1870&lt;&gt;"",J1870*M1870*I1870,SUMIFS(N1871:N$9844,$F1871:$F$9844,"*"&amp;F1870&amp;"*",$H1871:$H$9844,"&lt;&gt;"))</f>
        <v>0</v>
      </c>
      <c r="O1870" s="162" t="str">
        <f>IFERROR((-Tabela2[[#This Row],[CUSTO TOTAL]]+Tabela2[[#This Row],[VENDA TOTAL]])/Tabela2[[#This Row],[VENDA TOTAL]]-PARAMETROS!$C$19,"")</f>
        <v/>
      </c>
      <c r="AA1870" s="218">
        <f>SUM(Plan_Orc[[#This Row],[01/jan]:[01/dez]])</f>
        <v>0</v>
      </c>
      <c r="AB1870" s="12"/>
      <c r="AC1870" s="12"/>
      <c r="AD1870" s="12"/>
      <c r="AE1870" s="12"/>
      <c r="AF1870" s="12"/>
      <c r="AG1870" s="12"/>
      <c r="AH1870" s="12"/>
      <c r="AI1870" s="12"/>
      <c r="AJ1870" s="12"/>
      <c r="AK1870" s="12"/>
      <c r="AL1870" s="12"/>
      <c r="AM1870" s="12"/>
    </row>
    <row r="1871" spans="2:39" ht="25.2" customHeight="1" x14ac:dyDescent="0.3">
      <c r="B1871" s="13" t="str">
        <f t="shared" si="33"/>
        <v/>
      </c>
      <c r="C1871" s="18"/>
      <c r="D1871" s="19" t="str">
        <f>IF(Tabela2[[#This Row],[AGRUPADOR]]&lt;&gt;"",VLOOKUP(Tabela2[[#This Row],[AGRUPADOR]],Tabela1[],2,0),"")</f>
        <v/>
      </c>
      <c r="E1871" s="19" t="str">
        <f>IF(Tabela2[[#This Row],[AGRUPADOR]]&lt;&gt;"",VLOOKUP(Tabela2[[#This Row],[AGRUPADOR]],Tabela1[],4,0),"")</f>
        <v/>
      </c>
      <c r="F1871" s="14"/>
      <c r="G1871" s="6"/>
      <c r="H1871" s="6"/>
      <c r="I1871" s="25"/>
      <c r="J1871" s="7"/>
      <c r="K1871" s="15"/>
      <c r="L1871" s="379">
        <f>IF(H1871&lt;&gt;"",J1871*K1871,SUMIFS(L1872:L$9844,$F1872:$F$9844,"*"&amp;F1871&amp;"*",$H1872:$H$9844,"&lt;&gt;"))</f>
        <v>0</v>
      </c>
      <c r="M1871" s="379" t="str">
        <f>IF(Tabela2[[#This Row],[UNID.]]&lt;&gt;"",IFERROR(VLOOKUP(Tabela2[[#This Row],[AGRUPADOR]],Lucratividade!$D$4:$O$129,6,0),0),"")</f>
        <v/>
      </c>
      <c r="N1871" s="379">
        <f>IF(H1871&lt;&gt;"",J1871*M1871*I1871,SUMIFS(N1872:N$9844,$F1872:$F$9844,"*"&amp;F1871&amp;"*",$H1872:$H$9844,"&lt;&gt;"))</f>
        <v>0</v>
      </c>
      <c r="O1871" s="162" t="str">
        <f>IFERROR((-Tabela2[[#This Row],[CUSTO TOTAL]]+Tabela2[[#This Row],[VENDA TOTAL]])/Tabela2[[#This Row],[VENDA TOTAL]]-PARAMETROS!$C$19,"")</f>
        <v/>
      </c>
      <c r="AA1871" s="219">
        <f>SUM(Plan_Orc[[#This Row],[01/jan]:[01/dez]])</f>
        <v>0</v>
      </c>
      <c r="AB1871" s="15"/>
      <c r="AC1871" s="15"/>
      <c r="AD1871" s="15"/>
      <c r="AE1871" s="15"/>
      <c r="AF1871" s="15"/>
      <c r="AG1871" s="15"/>
      <c r="AH1871" s="15"/>
      <c r="AI1871" s="15"/>
      <c r="AJ1871" s="15"/>
      <c r="AK1871" s="15"/>
      <c r="AL1871" s="15"/>
      <c r="AM1871" s="15"/>
    </row>
    <row r="1872" spans="2:39" ht="25.2" customHeight="1" x14ac:dyDescent="0.3">
      <c r="B1872" s="13" t="str">
        <f t="shared" si="33"/>
        <v/>
      </c>
      <c r="C1872" s="18"/>
      <c r="D1872" s="19" t="str">
        <f>IF(Tabela2[[#This Row],[AGRUPADOR]]&lt;&gt;"",VLOOKUP(Tabela2[[#This Row],[AGRUPADOR]],Tabela1[],2,0),"")</f>
        <v/>
      </c>
      <c r="E1872" s="19" t="str">
        <f>IF(Tabela2[[#This Row],[AGRUPADOR]]&lt;&gt;"",VLOOKUP(Tabela2[[#This Row],[AGRUPADOR]],Tabela1[],4,0),"")</f>
        <v/>
      </c>
      <c r="F1872" s="14"/>
      <c r="G1872" s="6"/>
      <c r="H1872" s="6"/>
      <c r="I1872" s="25"/>
      <c r="J1872" s="7"/>
      <c r="K1872" s="15"/>
      <c r="L1872" s="379">
        <f>IF(H1872&lt;&gt;"",J1872*K1872,SUMIFS(L1873:L$9844,$F1873:$F$9844,"*"&amp;F1872&amp;"*",$H1873:$H$9844,"&lt;&gt;"))</f>
        <v>0</v>
      </c>
      <c r="M1872" s="379" t="str">
        <f>IF(Tabela2[[#This Row],[UNID.]]&lt;&gt;"",IFERROR(VLOOKUP(Tabela2[[#This Row],[AGRUPADOR]],Lucratividade!$D$4:$O$129,6,0),0),"")</f>
        <v/>
      </c>
      <c r="N1872" s="379">
        <f>IF(H1872&lt;&gt;"",J1872*M1872*I1872,SUMIFS(N1873:N$9844,$F1873:$F$9844,"*"&amp;F1872&amp;"*",$H1873:$H$9844,"&lt;&gt;"))</f>
        <v>0</v>
      </c>
      <c r="O1872" s="162" t="str">
        <f>IFERROR((-Tabela2[[#This Row],[CUSTO TOTAL]]+Tabela2[[#This Row],[VENDA TOTAL]])/Tabela2[[#This Row],[VENDA TOTAL]]-PARAMETROS!$C$19,"")</f>
        <v/>
      </c>
      <c r="AA1872" s="220">
        <f>SUM(Plan_Orc[[#This Row],[01/jan]:[01/dez]])</f>
        <v>0</v>
      </c>
      <c r="AB1872" s="9"/>
      <c r="AC1872" s="9"/>
      <c r="AD1872" s="9"/>
      <c r="AE1872" s="9"/>
      <c r="AF1872" s="9"/>
      <c r="AG1872" s="9"/>
      <c r="AH1872" s="9"/>
      <c r="AI1872" s="9"/>
      <c r="AJ1872" s="9"/>
      <c r="AK1872" s="9"/>
      <c r="AL1872" s="9"/>
      <c r="AM1872" s="9"/>
    </row>
    <row r="1873" spans="2:39" ht="25.2" customHeight="1" x14ac:dyDescent="0.3">
      <c r="B1873" s="13" t="str">
        <f t="shared" si="33"/>
        <v/>
      </c>
      <c r="C1873" s="18"/>
      <c r="D1873" s="19" t="str">
        <f>IF(Tabela2[[#This Row],[AGRUPADOR]]&lt;&gt;"",VLOOKUP(Tabela2[[#This Row],[AGRUPADOR]],Tabela1[],2,0),"")</f>
        <v/>
      </c>
      <c r="E1873" s="19" t="str">
        <f>IF(Tabela2[[#This Row],[AGRUPADOR]]&lt;&gt;"",VLOOKUP(Tabela2[[#This Row],[AGRUPADOR]],Tabela1[],4,0),"")</f>
        <v/>
      </c>
      <c r="F1873" s="14"/>
      <c r="G1873" s="6"/>
      <c r="H1873" s="6"/>
      <c r="I1873" s="25"/>
      <c r="J1873" s="7"/>
      <c r="K1873" s="15"/>
      <c r="L1873" s="379">
        <f>IF(H1873&lt;&gt;"",J1873*K1873,SUMIFS(L1874:L$9844,$F1874:$F$9844,"*"&amp;F1873&amp;"*",$H1874:$H$9844,"&lt;&gt;"))</f>
        <v>0</v>
      </c>
      <c r="M1873" s="379" t="str">
        <f>IF(Tabela2[[#This Row],[UNID.]]&lt;&gt;"",IFERROR(VLOOKUP(Tabela2[[#This Row],[AGRUPADOR]],Lucratividade!$D$4:$O$129,6,0),0),"")</f>
        <v/>
      </c>
      <c r="N1873" s="379">
        <f>IF(H1873&lt;&gt;"",J1873*M1873*I1873,SUMIFS(N1874:N$9844,$F1874:$F$9844,"*"&amp;F1873&amp;"*",$H1874:$H$9844,"&lt;&gt;"))</f>
        <v>0</v>
      </c>
      <c r="O1873" s="162" t="str">
        <f>IFERROR((-Tabela2[[#This Row],[CUSTO TOTAL]]+Tabela2[[#This Row],[VENDA TOTAL]])/Tabela2[[#This Row],[VENDA TOTAL]]-PARAMETROS!$C$19,"")</f>
        <v/>
      </c>
      <c r="AA1873" s="219">
        <f>SUM(Plan_Orc[[#This Row],[01/jan]:[01/dez]])</f>
        <v>0</v>
      </c>
      <c r="AB1873" s="15"/>
      <c r="AC1873" s="15"/>
      <c r="AD1873" s="15"/>
      <c r="AE1873" s="15"/>
      <c r="AF1873" s="15"/>
      <c r="AG1873" s="15"/>
      <c r="AH1873" s="15"/>
      <c r="AI1873" s="15"/>
      <c r="AJ1873" s="15"/>
      <c r="AK1873" s="15"/>
      <c r="AL1873" s="15"/>
      <c r="AM1873" s="15"/>
    </row>
    <row r="1874" spans="2:39" ht="25.2" customHeight="1" x14ac:dyDescent="0.3">
      <c r="B1874" s="13" t="str">
        <f t="shared" si="33"/>
        <v/>
      </c>
      <c r="C1874" s="18"/>
      <c r="D1874" s="19" t="str">
        <f>IF(Tabela2[[#This Row],[AGRUPADOR]]&lt;&gt;"",VLOOKUP(Tabela2[[#This Row],[AGRUPADOR]],Tabela1[],2,0),"")</f>
        <v/>
      </c>
      <c r="E1874" s="19" t="str">
        <f>IF(Tabela2[[#This Row],[AGRUPADOR]]&lt;&gt;"",VLOOKUP(Tabela2[[#This Row],[AGRUPADOR]],Tabela1[],4,0),"")</f>
        <v/>
      </c>
      <c r="F1874" s="14"/>
      <c r="G1874" s="6"/>
      <c r="H1874" s="6"/>
      <c r="I1874" s="25"/>
      <c r="J1874" s="7"/>
      <c r="K1874" s="15"/>
      <c r="L1874" s="379">
        <f>IF(H1874&lt;&gt;"",J1874*K1874,SUMIFS(L1875:L$9844,$F1875:$F$9844,"*"&amp;F1874&amp;"*",$H1875:$H$9844,"&lt;&gt;"))</f>
        <v>0</v>
      </c>
      <c r="M1874" s="379" t="str">
        <f>IF(Tabela2[[#This Row],[UNID.]]&lt;&gt;"",IFERROR(VLOOKUP(Tabela2[[#This Row],[AGRUPADOR]],Lucratividade!$D$4:$O$129,6,0),0),"")</f>
        <v/>
      </c>
      <c r="N1874" s="379">
        <f>IF(H1874&lt;&gt;"",J1874*M1874*I1874,SUMIFS(N1875:N$9844,$F1875:$F$9844,"*"&amp;F1874&amp;"*",$H1875:$H$9844,"&lt;&gt;"))</f>
        <v>0</v>
      </c>
      <c r="O1874" s="162" t="str">
        <f>IFERROR((-Tabela2[[#This Row],[CUSTO TOTAL]]+Tabela2[[#This Row],[VENDA TOTAL]])/Tabela2[[#This Row],[VENDA TOTAL]]-PARAMETROS!$C$19,"")</f>
        <v/>
      </c>
      <c r="AA1874" s="219">
        <f>SUM(Plan_Orc[[#This Row],[01/jan]:[01/dez]])</f>
        <v>0</v>
      </c>
      <c r="AB1874" s="15"/>
      <c r="AC1874" s="15"/>
      <c r="AD1874" s="15"/>
      <c r="AE1874" s="15"/>
      <c r="AF1874" s="15"/>
      <c r="AG1874" s="15"/>
      <c r="AH1874" s="15"/>
      <c r="AI1874" s="15"/>
      <c r="AJ1874" s="15"/>
      <c r="AK1874" s="15"/>
      <c r="AL1874" s="15"/>
      <c r="AM1874" s="15"/>
    </row>
    <row r="1875" spans="2:39" ht="25.2" customHeight="1" x14ac:dyDescent="0.3">
      <c r="B1875" s="13" t="str">
        <f t="shared" si="33"/>
        <v/>
      </c>
      <c r="C1875" s="18"/>
      <c r="D1875" s="19" t="str">
        <f>IF(Tabela2[[#This Row],[AGRUPADOR]]&lt;&gt;"",VLOOKUP(Tabela2[[#This Row],[AGRUPADOR]],Tabela1[],2,0),"")</f>
        <v/>
      </c>
      <c r="E1875" s="19" t="str">
        <f>IF(Tabela2[[#This Row],[AGRUPADOR]]&lt;&gt;"",VLOOKUP(Tabela2[[#This Row],[AGRUPADOR]],Tabela1[],4,0),"")</f>
        <v/>
      </c>
      <c r="F1875" s="14"/>
      <c r="G1875" s="6"/>
      <c r="H1875" s="6"/>
      <c r="I1875" s="25"/>
      <c r="J1875" s="7"/>
      <c r="K1875" s="15"/>
      <c r="L1875" s="379">
        <f>IF(H1875&lt;&gt;"",J1875*K1875,SUMIFS(L1876:L$9844,$F1876:$F$9844,"*"&amp;F1875&amp;"*",$H1876:$H$9844,"&lt;&gt;"))</f>
        <v>0</v>
      </c>
      <c r="M1875" s="379" t="str">
        <f>IF(Tabela2[[#This Row],[UNID.]]&lt;&gt;"",IFERROR(VLOOKUP(Tabela2[[#This Row],[AGRUPADOR]],Lucratividade!$D$4:$O$129,6,0),0),"")</f>
        <v/>
      </c>
      <c r="N1875" s="379">
        <f>IF(H1875&lt;&gt;"",J1875*M1875*I1875,SUMIFS(N1876:N$9844,$F1876:$F$9844,"*"&amp;F1875&amp;"*",$H1876:$H$9844,"&lt;&gt;"))</f>
        <v>0</v>
      </c>
      <c r="O1875" s="162" t="str">
        <f>IFERROR((-Tabela2[[#This Row],[CUSTO TOTAL]]+Tabela2[[#This Row],[VENDA TOTAL]])/Tabela2[[#This Row],[VENDA TOTAL]]-PARAMETROS!$C$19,"")</f>
        <v/>
      </c>
      <c r="AA1875" s="219">
        <f>SUM(Plan_Orc[[#This Row],[01/jan]:[01/dez]])</f>
        <v>0</v>
      </c>
      <c r="AB1875" s="15"/>
      <c r="AC1875" s="15"/>
      <c r="AD1875" s="15"/>
      <c r="AE1875" s="15"/>
      <c r="AF1875" s="15"/>
      <c r="AG1875" s="15"/>
      <c r="AH1875" s="15"/>
      <c r="AI1875" s="15"/>
      <c r="AJ1875" s="15"/>
      <c r="AK1875" s="15"/>
      <c r="AL1875" s="15"/>
      <c r="AM1875" s="15"/>
    </row>
    <row r="1876" spans="2:39" ht="25.2" customHeight="1" x14ac:dyDescent="0.3">
      <c r="B1876" s="13" t="str">
        <f t="shared" si="33"/>
        <v/>
      </c>
      <c r="C1876" s="18"/>
      <c r="D1876" s="19" t="str">
        <f>IF(Tabela2[[#This Row],[AGRUPADOR]]&lt;&gt;"",VLOOKUP(Tabela2[[#This Row],[AGRUPADOR]],Tabela1[],2,0),"")</f>
        <v/>
      </c>
      <c r="E1876" s="19" t="str">
        <f>IF(Tabela2[[#This Row],[AGRUPADOR]]&lt;&gt;"",VLOOKUP(Tabela2[[#This Row],[AGRUPADOR]],Tabela1[],4,0),"")</f>
        <v/>
      </c>
      <c r="F1876" s="14"/>
      <c r="G1876" s="6"/>
      <c r="H1876" s="6"/>
      <c r="I1876" s="25"/>
      <c r="J1876" s="7"/>
      <c r="K1876" s="15"/>
      <c r="L1876" s="379">
        <f>IF(H1876&lt;&gt;"",J1876*K1876,SUMIFS(L1877:L$9844,$F1877:$F$9844,"*"&amp;F1876&amp;"*",$H1877:$H$9844,"&lt;&gt;"))</f>
        <v>0</v>
      </c>
      <c r="M1876" s="379" t="str">
        <f>IF(Tabela2[[#This Row],[UNID.]]&lt;&gt;"",IFERROR(VLOOKUP(Tabela2[[#This Row],[AGRUPADOR]],Lucratividade!$D$4:$O$129,6,0),0),"")</f>
        <v/>
      </c>
      <c r="N1876" s="379">
        <f>IF(H1876&lt;&gt;"",J1876*M1876*I1876,SUMIFS(N1877:N$9844,$F1877:$F$9844,"*"&amp;F1876&amp;"*",$H1877:$H$9844,"&lt;&gt;"))</f>
        <v>0</v>
      </c>
      <c r="O1876" s="162" t="str">
        <f>IFERROR((-Tabela2[[#This Row],[CUSTO TOTAL]]+Tabela2[[#This Row],[VENDA TOTAL]])/Tabela2[[#This Row],[VENDA TOTAL]]-PARAMETROS!$C$19,"")</f>
        <v/>
      </c>
      <c r="AA1876" s="219">
        <f>SUM(Plan_Orc[[#This Row],[01/jan]:[01/dez]])</f>
        <v>0</v>
      </c>
      <c r="AB1876" s="15"/>
      <c r="AC1876" s="15"/>
      <c r="AD1876" s="15"/>
      <c r="AE1876" s="15"/>
      <c r="AF1876" s="15"/>
      <c r="AG1876" s="15"/>
      <c r="AH1876" s="15"/>
      <c r="AI1876" s="15"/>
      <c r="AJ1876" s="15"/>
      <c r="AK1876" s="15"/>
      <c r="AL1876" s="15"/>
      <c r="AM1876" s="15"/>
    </row>
    <row r="1877" spans="2:39" ht="25.2" customHeight="1" x14ac:dyDescent="0.3">
      <c r="B1877" s="13" t="str">
        <f t="shared" si="33"/>
        <v/>
      </c>
      <c r="C1877" s="18"/>
      <c r="D1877" s="19" t="str">
        <f>IF(Tabela2[[#This Row],[AGRUPADOR]]&lt;&gt;"",VLOOKUP(Tabela2[[#This Row],[AGRUPADOR]],Tabela1[],2,0),"")</f>
        <v/>
      </c>
      <c r="E1877" s="19" t="str">
        <f>IF(Tabela2[[#This Row],[AGRUPADOR]]&lt;&gt;"",VLOOKUP(Tabela2[[#This Row],[AGRUPADOR]],Tabela1[],4,0),"")</f>
        <v/>
      </c>
      <c r="F1877" s="14"/>
      <c r="G1877" s="6"/>
      <c r="H1877" s="6"/>
      <c r="I1877" s="25"/>
      <c r="J1877" s="7"/>
      <c r="K1877" s="15"/>
      <c r="L1877" s="379">
        <f>IF(H1877&lt;&gt;"",J1877*K1877,SUMIFS(L1878:L$9844,$F1878:$F$9844,"*"&amp;F1877&amp;"*",$H1878:$H$9844,"&lt;&gt;"))</f>
        <v>0</v>
      </c>
      <c r="M1877" s="379" t="str">
        <f>IF(Tabela2[[#This Row],[UNID.]]&lt;&gt;"",IFERROR(VLOOKUP(Tabela2[[#This Row],[AGRUPADOR]],Lucratividade!$D$4:$O$129,6,0),0),"")</f>
        <v/>
      </c>
      <c r="N1877" s="379">
        <f>IF(H1877&lt;&gt;"",J1877*M1877*I1877,SUMIFS(N1878:N$9844,$F1878:$F$9844,"*"&amp;F1877&amp;"*",$H1878:$H$9844,"&lt;&gt;"))</f>
        <v>0</v>
      </c>
      <c r="O1877" s="162" t="str">
        <f>IFERROR((-Tabela2[[#This Row],[CUSTO TOTAL]]+Tabela2[[#This Row],[VENDA TOTAL]])/Tabela2[[#This Row],[VENDA TOTAL]]-PARAMETROS!$C$19,"")</f>
        <v/>
      </c>
      <c r="AA1877" s="220">
        <f>SUM(Plan_Orc[[#This Row],[01/jan]:[01/dez]])</f>
        <v>0</v>
      </c>
      <c r="AB1877" s="9"/>
      <c r="AC1877" s="9"/>
      <c r="AD1877" s="9"/>
      <c r="AE1877" s="9"/>
      <c r="AF1877" s="9"/>
      <c r="AG1877" s="9"/>
      <c r="AH1877" s="9"/>
      <c r="AI1877" s="9"/>
      <c r="AJ1877" s="9"/>
      <c r="AK1877" s="9"/>
      <c r="AL1877" s="9"/>
      <c r="AM1877" s="9"/>
    </row>
    <row r="1878" spans="2:39" ht="25.2" customHeight="1" x14ac:dyDescent="0.3">
      <c r="B1878" s="13" t="str">
        <f t="shared" si="33"/>
        <v/>
      </c>
      <c r="C1878" s="18"/>
      <c r="D1878" s="19" t="str">
        <f>IF(Tabela2[[#This Row],[AGRUPADOR]]&lt;&gt;"",VLOOKUP(Tabela2[[#This Row],[AGRUPADOR]],Tabela1[],2,0),"")</f>
        <v/>
      </c>
      <c r="E1878" s="19" t="str">
        <f>IF(Tabela2[[#This Row],[AGRUPADOR]]&lt;&gt;"",VLOOKUP(Tabela2[[#This Row],[AGRUPADOR]],Tabela1[],4,0),"")</f>
        <v/>
      </c>
      <c r="F1878" s="14"/>
      <c r="G1878" s="6"/>
      <c r="H1878" s="6"/>
      <c r="I1878" s="25"/>
      <c r="J1878" s="7"/>
      <c r="K1878" s="15"/>
      <c r="L1878" s="379">
        <f>IF(H1878&lt;&gt;"",J1878*K1878,SUMIFS(L1879:L$9844,$F1879:$F$9844,"*"&amp;F1878&amp;"*",$H1879:$H$9844,"&lt;&gt;"))</f>
        <v>0</v>
      </c>
      <c r="M1878" s="379" t="str">
        <f>IF(Tabela2[[#This Row],[UNID.]]&lt;&gt;"",IFERROR(VLOOKUP(Tabela2[[#This Row],[AGRUPADOR]],Lucratividade!$D$4:$O$129,6,0),0),"")</f>
        <v/>
      </c>
      <c r="N1878" s="379">
        <f>IF(H1878&lt;&gt;"",J1878*M1878*I1878,SUMIFS(N1879:N$9844,$F1879:$F$9844,"*"&amp;F1878&amp;"*",$H1879:$H$9844,"&lt;&gt;"))</f>
        <v>0</v>
      </c>
      <c r="O1878" s="162" t="str">
        <f>IFERROR((-Tabela2[[#This Row],[CUSTO TOTAL]]+Tabela2[[#This Row],[VENDA TOTAL]])/Tabela2[[#This Row],[VENDA TOTAL]]-PARAMETROS!$C$19,"")</f>
        <v/>
      </c>
      <c r="AA1878" s="218">
        <f>SUM(Plan_Orc[[#This Row],[01/jan]:[01/dez]])</f>
        <v>0</v>
      </c>
      <c r="AB1878" s="12"/>
      <c r="AC1878" s="12"/>
      <c r="AD1878" s="12"/>
      <c r="AE1878" s="12"/>
      <c r="AF1878" s="12"/>
      <c r="AG1878" s="12"/>
      <c r="AH1878" s="12"/>
      <c r="AI1878" s="12"/>
      <c r="AJ1878" s="12"/>
      <c r="AK1878" s="12"/>
      <c r="AL1878" s="12"/>
      <c r="AM1878" s="12"/>
    </row>
    <row r="1879" spans="2:39" ht="25.2" customHeight="1" x14ac:dyDescent="0.3">
      <c r="B1879" s="13" t="str">
        <f t="shared" si="33"/>
        <v/>
      </c>
      <c r="C1879" s="18"/>
      <c r="D1879" s="19" t="str">
        <f>IF(Tabela2[[#This Row],[AGRUPADOR]]&lt;&gt;"",VLOOKUP(Tabela2[[#This Row],[AGRUPADOR]],Tabela1[],2,0),"")</f>
        <v/>
      </c>
      <c r="E1879" s="19" t="str">
        <f>IF(Tabela2[[#This Row],[AGRUPADOR]]&lt;&gt;"",VLOOKUP(Tabela2[[#This Row],[AGRUPADOR]],Tabela1[],4,0),"")</f>
        <v/>
      </c>
      <c r="F1879" s="14"/>
      <c r="G1879" s="6"/>
      <c r="H1879" s="6"/>
      <c r="I1879" s="25"/>
      <c r="J1879" s="7"/>
      <c r="K1879" s="15"/>
      <c r="L1879" s="379">
        <f>IF(H1879&lt;&gt;"",J1879*K1879,SUMIFS(L1880:L$9844,$F1880:$F$9844,"*"&amp;F1879&amp;"*",$H1880:$H$9844,"&lt;&gt;"))</f>
        <v>0</v>
      </c>
      <c r="M1879" s="379" t="str">
        <f>IF(Tabela2[[#This Row],[UNID.]]&lt;&gt;"",IFERROR(VLOOKUP(Tabela2[[#This Row],[AGRUPADOR]],Lucratividade!$D$4:$O$129,6,0),0),"")</f>
        <v/>
      </c>
      <c r="N1879" s="379">
        <f>IF(H1879&lt;&gt;"",J1879*M1879*I1879,SUMIFS(N1880:N$9844,$F1880:$F$9844,"*"&amp;F1879&amp;"*",$H1880:$H$9844,"&lt;&gt;"))</f>
        <v>0</v>
      </c>
      <c r="O1879" s="162" t="str">
        <f>IFERROR((-Tabela2[[#This Row],[CUSTO TOTAL]]+Tabela2[[#This Row],[VENDA TOTAL]])/Tabela2[[#This Row],[VENDA TOTAL]]-PARAMETROS!$C$19,"")</f>
        <v/>
      </c>
      <c r="AA1879" s="219">
        <f>SUM(Plan_Orc[[#This Row],[01/jan]:[01/dez]])</f>
        <v>0</v>
      </c>
      <c r="AB1879" s="15"/>
      <c r="AC1879" s="15"/>
      <c r="AD1879" s="15"/>
      <c r="AE1879" s="15"/>
      <c r="AF1879" s="15"/>
      <c r="AG1879" s="15"/>
      <c r="AH1879" s="15"/>
      <c r="AI1879" s="15"/>
      <c r="AJ1879" s="15"/>
      <c r="AK1879" s="15"/>
      <c r="AL1879" s="15"/>
      <c r="AM1879" s="15"/>
    </row>
    <row r="1880" spans="2:39" ht="25.2" customHeight="1" x14ac:dyDescent="0.3">
      <c r="B1880" s="13" t="str">
        <f t="shared" si="33"/>
        <v/>
      </c>
      <c r="C1880" s="18"/>
      <c r="D1880" s="19" t="str">
        <f>IF(Tabela2[[#This Row],[AGRUPADOR]]&lt;&gt;"",VLOOKUP(Tabela2[[#This Row],[AGRUPADOR]],Tabela1[],2,0),"")</f>
        <v/>
      </c>
      <c r="E1880" s="19" t="str">
        <f>IF(Tabela2[[#This Row],[AGRUPADOR]]&lt;&gt;"",VLOOKUP(Tabela2[[#This Row],[AGRUPADOR]],Tabela1[],4,0),"")</f>
        <v/>
      </c>
      <c r="F1880" s="14"/>
      <c r="G1880" s="6"/>
      <c r="H1880" s="6"/>
      <c r="I1880" s="25"/>
      <c r="J1880" s="7"/>
      <c r="K1880" s="15"/>
      <c r="L1880" s="379">
        <f>IF(H1880&lt;&gt;"",J1880*K1880,SUMIFS(L1881:L$9844,$F1881:$F$9844,"*"&amp;F1880&amp;"*",$H1881:$H$9844,"&lt;&gt;"))</f>
        <v>0</v>
      </c>
      <c r="M1880" s="379" t="str">
        <f>IF(Tabela2[[#This Row],[UNID.]]&lt;&gt;"",IFERROR(VLOOKUP(Tabela2[[#This Row],[AGRUPADOR]],Lucratividade!$D$4:$O$129,6,0),0),"")</f>
        <v/>
      </c>
      <c r="N1880" s="379">
        <f>IF(H1880&lt;&gt;"",J1880*M1880*I1880,SUMIFS(N1881:N$9844,$F1881:$F$9844,"*"&amp;F1880&amp;"*",$H1881:$H$9844,"&lt;&gt;"))</f>
        <v>0</v>
      </c>
      <c r="O1880" s="162" t="str">
        <f>IFERROR((-Tabela2[[#This Row],[CUSTO TOTAL]]+Tabela2[[#This Row],[VENDA TOTAL]])/Tabela2[[#This Row],[VENDA TOTAL]]-PARAMETROS!$C$19,"")</f>
        <v/>
      </c>
      <c r="AA1880" s="222">
        <f>SUM(Plan_Orc[[#This Row],[01/jan]:[01/dez]])</f>
        <v>0</v>
      </c>
      <c r="AB1880" s="161"/>
      <c r="AC1880" s="161"/>
      <c r="AD1880" s="161"/>
      <c r="AE1880" s="161"/>
      <c r="AF1880" s="161"/>
      <c r="AG1880" s="161"/>
      <c r="AH1880" s="161"/>
      <c r="AI1880" s="161"/>
      <c r="AJ1880" s="161"/>
      <c r="AK1880" s="161"/>
      <c r="AL1880" s="161"/>
      <c r="AM1880" s="161"/>
    </row>
    <row r="1881" spans="2:39" ht="25.2" customHeight="1" x14ac:dyDescent="0.3">
      <c r="B1881" s="13" t="str">
        <f t="shared" si="33"/>
        <v/>
      </c>
      <c r="C1881" s="18"/>
      <c r="D1881" s="19" t="str">
        <f>IF(Tabela2[[#This Row],[AGRUPADOR]]&lt;&gt;"",VLOOKUP(Tabela2[[#This Row],[AGRUPADOR]],Tabela1[],2,0),"")</f>
        <v/>
      </c>
      <c r="E1881" s="19" t="str">
        <f>IF(Tabela2[[#This Row],[AGRUPADOR]]&lt;&gt;"",VLOOKUP(Tabela2[[#This Row],[AGRUPADOR]],Tabela1[],4,0),"")</f>
        <v/>
      </c>
      <c r="F1881" s="14"/>
      <c r="G1881" s="6"/>
      <c r="H1881" s="6"/>
      <c r="I1881" s="25"/>
      <c r="J1881" s="7"/>
      <c r="K1881" s="15"/>
      <c r="L1881" s="379">
        <f>IF(H1881&lt;&gt;"",J1881*K1881,SUMIFS(L1882:L$9844,$F1882:$F$9844,"*"&amp;F1881&amp;"*",$H1882:$H$9844,"&lt;&gt;"))</f>
        <v>0</v>
      </c>
      <c r="M1881" s="379" t="str">
        <f>IF(Tabela2[[#This Row],[UNID.]]&lt;&gt;"",IFERROR(VLOOKUP(Tabela2[[#This Row],[AGRUPADOR]],Lucratividade!$D$4:$O$129,6,0),0),"")</f>
        <v/>
      </c>
      <c r="N1881" s="379">
        <f>IF(H1881&lt;&gt;"",J1881*M1881*I1881,SUMIFS(N1882:N$9844,$F1882:$F$9844,"*"&amp;F1881&amp;"*",$H1882:$H$9844,"&lt;&gt;"))</f>
        <v>0</v>
      </c>
      <c r="O1881" s="162" t="str">
        <f>IFERROR((-Tabela2[[#This Row],[CUSTO TOTAL]]+Tabela2[[#This Row],[VENDA TOTAL]])/Tabela2[[#This Row],[VENDA TOTAL]]-PARAMETROS!$C$19,"")</f>
        <v/>
      </c>
      <c r="AA1881" s="217">
        <f>SUM(Plan_Orc[[#This Row],[01/jan]:[01/dez]])</f>
        <v>0</v>
      </c>
      <c r="AB1881" s="202"/>
      <c r="AC1881" s="202"/>
      <c r="AD1881" s="202"/>
      <c r="AE1881" s="202"/>
      <c r="AF1881" s="202"/>
      <c r="AG1881" s="202"/>
      <c r="AH1881" s="202"/>
      <c r="AI1881" s="202"/>
      <c r="AJ1881" s="202"/>
      <c r="AK1881" s="202"/>
      <c r="AL1881" s="202"/>
      <c r="AM1881" s="202"/>
    </row>
    <row r="1882" spans="2:39" ht="25.2" customHeight="1" x14ac:dyDescent="0.3">
      <c r="B1882" s="13" t="str">
        <f t="shared" si="33"/>
        <v/>
      </c>
      <c r="C1882" s="18"/>
      <c r="D1882" s="19" t="str">
        <f>IF(Tabela2[[#This Row],[AGRUPADOR]]&lt;&gt;"",VLOOKUP(Tabela2[[#This Row],[AGRUPADOR]],Tabela1[],2,0),"")</f>
        <v/>
      </c>
      <c r="E1882" s="19" t="str">
        <f>IF(Tabela2[[#This Row],[AGRUPADOR]]&lt;&gt;"",VLOOKUP(Tabela2[[#This Row],[AGRUPADOR]],Tabela1[],4,0),"")</f>
        <v/>
      </c>
      <c r="F1882" s="14"/>
      <c r="G1882" s="6"/>
      <c r="H1882" s="6"/>
      <c r="I1882" s="25"/>
      <c r="J1882" s="7"/>
      <c r="K1882" s="15"/>
      <c r="L1882" s="379">
        <f>IF(H1882&lt;&gt;"",J1882*K1882,SUMIFS(L1883:L$9844,$F1883:$F$9844,"*"&amp;F1882&amp;"*",$H1883:$H$9844,"&lt;&gt;"))</f>
        <v>0</v>
      </c>
      <c r="M1882" s="379" t="str">
        <f>IF(Tabela2[[#This Row],[UNID.]]&lt;&gt;"",IFERROR(VLOOKUP(Tabela2[[#This Row],[AGRUPADOR]],Lucratividade!$D$4:$O$129,6,0),0),"")</f>
        <v/>
      </c>
      <c r="N1882" s="379">
        <f>IF(H1882&lt;&gt;"",J1882*M1882*I1882,SUMIFS(N1883:N$9844,$F1883:$F$9844,"*"&amp;F1882&amp;"*",$H1883:$H$9844,"&lt;&gt;"))</f>
        <v>0</v>
      </c>
      <c r="O1882" s="162" t="str">
        <f>IFERROR((-Tabela2[[#This Row],[CUSTO TOTAL]]+Tabela2[[#This Row],[VENDA TOTAL]])/Tabela2[[#This Row],[VENDA TOTAL]]-PARAMETROS!$C$19,"")</f>
        <v/>
      </c>
      <c r="AA1882" s="218">
        <f>SUM(Plan_Orc[[#This Row],[01/jan]:[01/dez]])</f>
        <v>0</v>
      </c>
      <c r="AB1882" s="12"/>
      <c r="AC1882" s="12"/>
      <c r="AD1882" s="12"/>
      <c r="AE1882" s="12"/>
      <c r="AF1882" s="12"/>
      <c r="AG1882" s="12"/>
      <c r="AH1882" s="12"/>
      <c r="AI1882" s="12"/>
      <c r="AJ1882" s="12"/>
      <c r="AK1882" s="12"/>
      <c r="AL1882" s="12"/>
      <c r="AM1882" s="12"/>
    </row>
    <row r="1883" spans="2:39" ht="25.2" customHeight="1" x14ac:dyDescent="0.3">
      <c r="B1883" s="13" t="str">
        <f t="shared" si="33"/>
        <v/>
      </c>
      <c r="C1883" s="18"/>
      <c r="D1883" s="19" t="str">
        <f>IF(Tabela2[[#This Row],[AGRUPADOR]]&lt;&gt;"",VLOOKUP(Tabela2[[#This Row],[AGRUPADOR]],Tabela1[],2,0),"")</f>
        <v/>
      </c>
      <c r="E1883" s="19" t="str">
        <f>IF(Tabela2[[#This Row],[AGRUPADOR]]&lt;&gt;"",VLOOKUP(Tabela2[[#This Row],[AGRUPADOR]],Tabela1[],4,0),"")</f>
        <v/>
      </c>
      <c r="F1883" s="14"/>
      <c r="G1883" s="6"/>
      <c r="H1883" s="6"/>
      <c r="I1883" s="25"/>
      <c r="J1883" s="7"/>
      <c r="K1883" s="15"/>
      <c r="L1883" s="379">
        <f>IF(H1883&lt;&gt;"",J1883*K1883,SUMIFS(L1884:L$9844,$F1884:$F$9844,"*"&amp;F1883&amp;"*",$H1884:$H$9844,"&lt;&gt;"))</f>
        <v>0</v>
      </c>
      <c r="M1883" s="379" t="str">
        <f>IF(Tabela2[[#This Row],[UNID.]]&lt;&gt;"",IFERROR(VLOOKUP(Tabela2[[#This Row],[AGRUPADOR]],Lucratividade!$D$4:$O$129,6,0),0),"")</f>
        <v/>
      </c>
      <c r="N1883" s="379">
        <f>IF(H1883&lt;&gt;"",J1883*M1883*I1883,SUMIFS(N1884:N$9844,$F1884:$F$9844,"*"&amp;F1883&amp;"*",$H1884:$H$9844,"&lt;&gt;"))</f>
        <v>0</v>
      </c>
      <c r="O1883" s="162" t="str">
        <f>IFERROR((-Tabela2[[#This Row],[CUSTO TOTAL]]+Tabela2[[#This Row],[VENDA TOTAL]])/Tabela2[[#This Row],[VENDA TOTAL]]-PARAMETROS!$C$19,"")</f>
        <v/>
      </c>
      <c r="AA1883" s="219">
        <f>SUM(Plan_Orc[[#This Row],[01/jan]:[01/dez]])</f>
        <v>0</v>
      </c>
      <c r="AB1883" s="15"/>
      <c r="AC1883" s="15"/>
      <c r="AD1883" s="15"/>
      <c r="AE1883" s="15"/>
      <c r="AF1883" s="15"/>
      <c r="AG1883" s="15"/>
      <c r="AH1883" s="15"/>
      <c r="AI1883" s="15"/>
      <c r="AJ1883" s="15"/>
      <c r="AK1883" s="15"/>
      <c r="AL1883" s="15"/>
      <c r="AM1883" s="15"/>
    </row>
    <row r="1884" spans="2:39" ht="25.2" customHeight="1" x14ac:dyDescent="0.3">
      <c r="B1884" s="13" t="str">
        <f t="shared" si="33"/>
        <v/>
      </c>
      <c r="C1884" s="18"/>
      <c r="D1884" s="19" t="str">
        <f>IF(Tabela2[[#This Row],[AGRUPADOR]]&lt;&gt;"",VLOOKUP(Tabela2[[#This Row],[AGRUPADOR]],Tabela1[],2,0),"")</f>
        <v/>
      </c>
      <c r="E1884" s="19" t="str">
        <f>IF(Tabela2[[#This Row],[AGRUPADOR]]&lt;&gt;"",VLOOKUP(Tabela2[[#This Row],[AGRUPADOR]],Tabela1[],4,0),"")</f>
        <v/>
      </c>
      <c r="F1884" s="14"/>
      <c r="G1884" s="6"/>
      <c r="H1884" s="6"/>
      <c r="I1884" s="25"/>
      <c r="J1884" s="7"/>
      <c r="K1884" s="15"/>
      <c r="L1884" s="379">
        <f>IF(H1884&lt;&gt;"",J1884*K1884,SUMIFS(L1885:L$9844,$F1885:$F$9844,"*"&amp;F1884&amp;"*",$H1885:$H$9844,"&lt;&gt;"))</f>
        <v>0</v>
      </c>
      <c r="M1884" s="379" t="str">
        <f>IF(Tabela2[[#This Row],[UNID.]]&lt;&gt;"",IFERROR(VLOOKUP(Tabela2[[#This Row],[AGRUPADOR]],Lucratividade!$D$4:$O$129,6,0),0),"")</f>
        <v/>
      </c>
      <c r="N1884" s="379">
        <f>IF(H1884&lt;&gt;"",J1884*M1884*I1884,SUMIFS(N1885:N$9844,$F1885:$F$9844,"*"&amp;F1884&amp;"*",$H1885:$H$9844,"&lt;&gt;"))</f>
        <v>0</v>
      </c>
      <c r="O1884" s="162" t="str">
        <f>IFERROR((-Tabela2[[#This Row],[CUSTO TOTAL]]+Tabela2[[#This Row],[VENDA TOTAL]])/Tabela2[[#This Row],[VENDA TOTAL]]-PARAMETROS!$C$19,"")</f>
        <v/>
      </c>
      <c r="AA1884" s="217">
        <f>SUM(Plan_Orc[[#This Row],[01/jan]:[01/dez]])</f>
        <v>0</v>
      </c>
      <c r="AB1884" s="202"/>
      <c r="AC1884" s="202"/>
      <c r="AD1884" s="202"/>
      <c r="AE1884" s="202"/>
      <c r="AF1884" s="202"/>
      <c r="AG1884" s="202"/>
      <c r="AH1884" s="202"/>
      <c r="AI1884" s="202"/>
      <c r="AJ1884" s="202"/>
      <c r="AK1884" s="202"/>
      <c r="AL1884" s="202"/>
      <c r="AM1884" s="202"/>
    </row>
    <row r="1885" spans="2:39" ht="25.2" customHeight="1" x14ac:dyDescent="0.3">
      <c r="B1885" s="13" t="str">
        <f t="shared" si="33"/>
        <v/>
      </c>
      <c r="C1885" s="18"/>
      <c r="D1885" s="19" t="str">
        <f>IF(Tabela2[[#This Row],[AGRUPADOR]]&lt;&gt;"",VLOOKUP(Tabela2[[#This Row],[AGRUPADOR]],Tabela1[],2,0),"")</f>
        <v/>
      </c>
      <c r="E1885" s="19" t="str">
        <f>IF(Tabela2[[#This Row],[AGRUPADOR]]&lt;&gt;"",VLOOKUP(Tabela2[[#This Row],[AGRUPADOR]],Tabela1[],4,0),"")</f>
        <v/>
      </c>
      <c r="F1885" s="14"/>
      <c r="G1885" s="6"/>
      <c r="H1885" s="6"/>
      <c r="I1885" s="25"/>
      <c r="J1885" s="7"/>
      <c r="K1885" s="15"/>
      <c r="L1885" s="379">
        <f>IF(H1885&lt;&gt;"",J1885*K1885,SUMIFS(L1886:L$9844,$F1886:$F$9844,"*"&amp;F1885&amp;"*",$H1886:$H$9844,"&lt;&gt;"))</f>
        <v>0</v>
      </c>
      <c r="M1885" s="379" t="str">
        <f>IF(Tabela2[[#This Row],[UNID.]]&lt;&gt;"",IFERROR(VLOOKUP(Tabela2[[#This Row],[AGRUPADOR]],Lucratividade!$D$4:$O$129,6,0),0),"")</f>
        <v/>
      </c>
      <c r="N1885" s="379">
        <f>IF(H1885&lt;&gt;"",J1885*M1885*I1885,SUMIFS(N1886:N$9844,$F1886:$F$9844,"*"&amp;F1885&amp;"*",$H1886:$H$9844,"&lt;&gt;"))</f>
        <v>0</v>
      </c>
      <c r="O1885" s="162" t="str">
        <f>IFERROR((-Tabela2[[#This Row],[CUSTO TOTAL]]+Tabela2[[#This Row],[VENDA TOTAL]])/Tabela2[[#This Row],[VENDA TOTAL]]-PARAMETROS!$C$19,"")</f>
        <v/>
      </c>
      <c r="AA1885" s="218">
        <f>SUM(Plan_Orc[[#This Row],[01/jan]:[01/dez]])</f>
        <v>0</v>
      </c>
      <c r="AB1885" s="12"/>
      <c r="AC1885" s="12"/>
      <c r="AD1885" s="12"/>
      <c r="AE1885" s="12"/>
      <c r="AF1885" s="12"/>
      <c r="AG1885" s="12"/>
      <c r="AH1885" s="12"/>
      <c r="AI1885" s="12"/>
      <c r="AJ1885" s="12"/>
      <c r="AK1885" s="12"/>
      <c r="AL1885" s="12"/>
      <c r="AM1885" s="12"/>
    </row>
    <row r="1886" spans="2:39" ht="25.2" customHeight="1" x14ac:dyDescent="0.3">
      <c r="B1886" s="13" t="str">
        <f t="shared" si="33"/>
        <v/>
      </c>
      <c r="C1886" s="18"/>
      <c r="D1886" s="19" t="str">
        <f>IF(Tabela2[[#This Row],[AGRUPADOR]]&lt;&gt;"",VLOOKUP(Tabela2[[#This Row],[AGRUPADOR]],Tabela1[],2,0),"")</f>
        <v/>
      </c>
      <c r="E1886" s="19" t="str">
        <f>IF(Tabela2[[#This Row],[AGRUPADOR]]&lt;&gt;"",VLOOKUP(Tabela2[[#This Row],[AGRUPADOR]],Tabela1[],4,0),"")</f>
        <v/>
      </c>
      <c r="F1886" s="14"/>
      <c r="G1886" s="6"/>
      <c r="H1886" s="6"/>
      <c r="I1886" s="25"/>
      <c r="J1886" s="7"/>
      <c r="K1886" s="15"/>
      <c r="L1886" s="379">
        <f>IF(H1886&lt;&gt;"",J1886*K1886,SUMIFS(L1887:L$9844,$F1887:$F$9844,"*"&amp;F1886&amp;"*",$H1887:$H$9844,"&lt;&gt;"))</f>
        <v>0</v>
      </c>
      <c r="M1886" s="379" t="str">
        <f>IF(Tabela2[[#This Row],[UNID.]]&lt;&gt;"",IFERROR(VLOOKUP(Tabela2[[#This Row],[AGRUPADOR]],Lucratividade!$D$4:$O$129,6,0),0),"")</f>
        <v/>
      </c>
      <c r="N1886" s="379">
        <f>IF(H1886&lt;&gt;"",J1886*M1886*I1886,SUMIFS(N1887:N$9844,$F1887:$F$9844,"*"&amp;F1886&amp;"*",$H1887:$H$9844,"&lt;&gt;"))</f>
        <v>0</v>
      </c>
      <c r="O1886" s="162" t="str">
        <f>IFERROR((-Tabela2[[#This Row],[CUSTO TOTAL]]+Tabela2[[#This Row],[VENDA TOTAL]])/Tabela2[[#This Row],[VENDA TOTAL]]-PARAMETROS!$C$19,"")</f>
        <v/>
      </c>
      <c r="AA1886" s="219">
        <f>SUM(Plan_Orc[[#This Row],[01/jan]:[01/dez]])</f>
        <v>0</v>
      </c>
      <c r="AB1886" s="15"/>
      <c r="AC1886" s="15"/>
      <c r="AD1886" s="15"/>
      <c r="AE1886" s="15"/>
      <c r="AF1886" s="15"/>
      <c r="AG1886" s="15"/>
      <c r="AH1886" s="15"/>
      <c r="AI1886" s="15"/>
      <c r="AJ1886" s="15"/>
      <c r="AK1886" s="15"/>
      <c r="AL1886" s="15"/>
      <c r="AM1886" s="15"/>
    </row>
    <row r="1887" spans="2:39" ht="25.2" customHeight="1" x14ac:dyDescent="0.3">
      <c r="B1887" s="13" t="str">
        <f t="shared" si="33"/>
        <v/>
      </c>
      <c r="C1887" s="18"/>
      <c r="D1887" s="19" t="str">
        <f>IF(Tabela2[[#This Row],[AGRUPADOR]]&lt;&gt;"",VLOOKUP(Tabela2[[#This Row],[AGRUPADOR]],Tabela1[],2,0),"")</f>
        <v/>
      </c>
      <c r="E1887" s="19" t="str">
        <f>IF(Tabela2[[#This Row],[AGRUPADOR]]&lt;&gt;"",VLOOKUP(Tabela2[[#This Row],[AGRUPADOR]],Tabela1[],4,0),"")</f>
        <v/>
      </c>
      <c r="F1887" s="14"/>
      <c r="G1887" s="6"/>
      <c r="H1887" s="6"/>
      <c r="I1887" s="25"/>
      <c r="J1887" s="7"/>
      <c r="K1887" s="15"/>
      <c r="L1887" s="379">
        <f>IF(H1887&lt;&gt;"",J1887*K1887,SUMIFS(L1888:L$9844,$F1888:$F$9844,"*"&amp;F1887&amp;"*",$H1888:$H$9844,"&lt;&gt;"))</f>
        <v>0</v>
      </c>
      <c r="M1887" s="379" t="str">
        <f>IF(Tabela2[[#This Row],[UNID.]]&lt;&gt;"",IFERROR(VLOOKUP(Tabela2[[#This Row],[AGRUPADOR]],Lucratividade!$D$4:$O$129,6,0),0),"")</f>
        <v/>
      </c>
      <c r="N1887" s="379">
        <f>IF(H1887&lt;&gt;"",J1887*M1887*I1887,SUMIFS(N1888:N$9844,$F1888:$F$9844,"*"&amp;F1887&amp;"*",$H1888:$H$9844,"&lt;&gt;"))</f>
        <v>0</v>
      </c>
      <c r="O1887" s="162" t="str">
        <f>IFERROR((-Tabela2[[#This Row],[CUSTO TOTAL]]+Tabela2[[#This Row],[VENDA TOTAL]])/Tabela2[[#This Row],[VENDA TOTAL]]-PARAMETROS!$C$19,"")</f>
        <v/>
      </c>
      <c r="AA1887" s="219">
        <f>SUM(Plan_Orc[[#This Row],[01/jan]:[01/dez]])</f>
        <v>0</v>
      </c>
      <c r="AB1887" s="15"/>
      <c r="AC1887" s="15"/>
      <c r="AD1887" s="15"/>
      <c r="AE1887" s="15"/>
      <c r="AF1887" s="15"/>
      <c r="AG1887" s="15"/>
      <c r="AH1887" s="15"/>
      <c r="AI1887" s="15"/>
      <c r="AJ1887" s="15"/>
      <c r="AK1887" s="15"/>
      <c r="AL1887" s="15"/>
      <c r="AM1887" s="15"/>
    </row>
    <row r="1888" spans="2:39" ht="25.2" customHeight="1" x14ac:dyDescent="0.3">
      <c r="B1888" s="13" t="str">
        <f t="shared" si="33"/>
        <v/>
      </c>
      <c r="C1888" s="18"/>
      <c r="D1888" s="19" t="str">
        <f>IF(Tabela2[[#This Row],[AGRUPADOR]]&lt;&gt;"",VLOOKUP(Tabela2[[#This Row],[AGRUPADOR]],Tabela1[],2,0),"")</f>
        <v/>
      </c>
      <c r="E1888" s="19" t="str">
        <f>IF(Tabela2[[#This Row],[AGRUPADOR]]&lt;&gt;"",VLOOKUP(Tabela2[[#This Row],[AGRUPADOR]],Tabela1[],4,0),"")</f>
        <v/>
      </c>
      <c r="F1888" s="14"/>
      <c r="G1888" s="6"/>
      <c r="H1888" s="6"/>
      <c r="I1888" s="25"/>
      <c r="J1888" s="7"/>
      <c r="K1888" s="15"/>
      <c r="L1888" s="379">
        <f>IF(H1888&lt;&gt;"",J1888*K1888,SUMIFS(L1889:L$9844,$F1889:$F$9844,"*"&amp;F1888&amp;"*",$H1889:$H$9844,"&lt;&gt;"))</f>
        <v>0</v>
      </c>
      <c r="M1888" s="379" t="str">
        <f>IF(Tabela2[[#This Row],[UNID.]]&lt;&gt;"",IFERROR(VLOOKUP(Tabela2[[#This Row],[AGRUPADOR]],Lucratividade!$D$4:$O$129,6,0),0),"")</f>
        <v/>
      </c>
      <c r="N1888" s="379">
        <f>IF(H1888&lt;&gt;"",J1888*M1888*I1888,SUMIFS(N1889:N$9844,$F1889:$F$9844,"*"&amp;F1888&amp;"*",$H1889:$H$9844,"&lt;&gt;"))</f>
        <v>0</v>
      </c>
      <c r="O1888" s="162" t="str">
        <f>IFERROR((-Tabela2[[#This Row],[CUSTO TOTAL]]+Tabela2[[#This Row],[VENDA TOTAL]])/Tabela2[[#This Row],[VENDA TOTAL]]-PARAMETROS!$C$19,"")</f>
        <v/>
      </c>
      <c r="AA1888" s="219">
        <f>SUM(Plan_Orc[[#This Row],[01/jan]:[01/dez]])</f>
        <v>0</v>
      </c>
      <c r="AB1888" s="15"/>
      <c r="AC1888" s="15"/>
      <c r="AD1888" s="15"/>
      <c r="AE1888" s="15"/>
      <c r="AF1888" s="15"/>
      <c r="AG1888" s="15"/>
      <c r="AH1888" s="15"/>
      <c r="AI1888" s="15"/>
      <c r="AJ1888" s="15"/>
      <c r="AK1888" s="15"/>
      <c r="AL1888" s="15"/>
      <c r="AM1888" s="15"/>
    </row>
    <row r="1889" spans="2:39" ht="25.2" customHeight="1" x14ac:dyDescent="0.3">
      <c r="B1889" s="13" t="str">
        <f t="shared" si="33"/>
        <v/>
      </c>
      <c r="C1889" s="18"/>
      <c r="D1889" s="19" t="str">
        <f>IF(Tabela2[[#This Row],[AGRUPADOR]]&lt;&gt;"",VLOOKUP(Tabela2[[#This Row],[AGRUPADOR]],Tabela1[],2,0),"")</f>
        <v/>
      </c>
      <c r="E1889" s="19" t="str">
        <f>IF(Tabela2[[#This Row],[AGRUPADOR]]&lt;&gt;"",VLOOKUP(Tabela2[[#This Row],[AGRUPADOR]],Tabela1[],4,0),"")</f>
        <v/>
      </c>
      <c r="F1889" s="14"/>
      <c r="G1889" s="6"/>
      <c r="H1889" s="6"/>
      <c r="I1889" s="25"/>
      <c r="J1889" s="7"/>
      <c r="K1889" s="15"/>
      <c r="L1889" s="379">
        <f>IF(H1889&lt;&gt;"",J1889*K1889,SUMIFS(L1890:L$9844,$F1890:$F$9844,"*"&amp;F1889&amp;"*",$H1890:$H$9844,"&lt;&gt;"))</f>
        <v>0</v>
      </c>
      <c r="M1889" s="379" t="str">
        <f>IF(Tabela2[[#This Row],[UNID.]]&lt;&gt;"",IFERROR(VLOOKUP(Tabela2[[#This Row],[AGRUPADOR]],Lucratividade!$D$4:$O$129,6,0),0),"")</f>
        <v/>
      </c>
      <c r="N1889" s="379">
        <f>IF(H1889&lt;&gt;"",J1889*M1889*I1889,SUMIFS(N1890:N$9844,$F1890:$F$9844,"*"&amp;F1889&amp;"*",$H1890:$H$9844,"&lt;&gt;"))</f>
        <v>0</v>
      </c>
      <c r="O1889" s="162" t="str">
        <f>IFERROR((-Tabela2[[#This Row],[CUSTO TOTAL]]+Tabela2[[#This Row],[VENDA TOTAL]])/Tabela2[[#This Row],[VENDA TOTAL]]-PARAMETROS!$C$19,"")</f>
        <v/>
      </c>
      <c r="AA1889" s="219">
        <f>SUM(Plan_Orc[[#This Row],[01/jan]:[01/dez]])</f>
        <v>0</v>
      </c>
      <c r="AB1889" s="15"/>
      <c r="AC1889" s="15"/>
      <c r="AD1889" s="15"/>
      <c r="AE1889" s="15"/>
      <c r="AF1889" s="15"/>
      <c r="AG1889" s="15"/>
      <c r="AH1889" s="15"/>
      <c r="AI1889" s="15"/>
      <c r="AJ1889" s="15"/>
      <c r="AK1889" s="15"/>
      <c r="AL1889" s="15"/>
      <c r="AM1889" s="15"/>
    </row>
    <row r="1890" spans="2:39" ht="25.2" customHeight="1" x14ac:dyDescent="0.3">
      <c r="B1890" s="13" t="str">
        <f t="shared" si="33"/>
        <v/>
      </c>
      <c r="C1890" s="18"/>
      <c r="D1890" s="19" t="str">
        <f>IF(Tabela2[[#This Row],[AGRUPADOR]]&lt;&gt;"",VLOOKUP(Tabela2[[#This Row],[AGRUPADOR]],Tabela1[],2,0),"")</f>
        <v/>
      </c>
      <c r="E1890" s="19" t="str">
        <f>IF(Tabela2[[#This Row],[AGRUPADOR]]&lt;&gt;"",VLOOKUP(Tabela2[[#This Row],[AGRUPADOR]],Tabela1[],4,0),"")</f>
        <v/>
      </c>
      <c r="F1890" s="14"/>
      <c r="G1890" s="6"/>
      <c r="H1890" s="6"/>
      <c r="I1890" s="25"/>
      <c r="J1890" s="7"/>
      <c r="K1890" s="15"/>
      <c r="L1890" s="379">
        <f>IF(H1890&lt;&gt;"",J1890*K1890,SUMIFS(L1891:L$9844,$F1891:$F$9844,"*"&amp;F1890&amp;"*",$H1891:$H$9844,"&lt;&gt;"))</f>
        <v>0</v>
      </c>
      <c r="M1890" s="379" t="str">
        <f>IF(Tabela2[[#This Row],[UNID.]]&lt;&gt;"",IFERROR(VLOOKUP(Tabela2[[#This Row],[AGRUPADOR]],Lucratividade!$D$4:$O$129,6,0),0),"")</f>
        <v/>
      </c>
      <c r="N1890" s="379">
        <f>IF(H1890&lt;&gt;"",J1890*M1890*I1890,SUMIFS(N1891:N$9844,$F1891:$F$9844,"*"&amp;F1890&amp;"*",$H1891:$H$9844,"&lt;&gt;"))</f>
        <v>0</v>
      </c>
      <c r="O1890" s="162" t="str">
        <f>IFERROR((-Tabela2[[#This Row],[CUSTO TOTAL]]+Tabela2[[#This Row],[VENDA TOTAL]])/Tabela2[[#This Row],[VENDA TOTAL]]-PARAMETROS!$C$19,"")</f>
        <v/>
      </c>
      <c r="AA1890" s="219">
        <f>SUM(Plan_Orc[[#This Row],[01/jan]:[01/dez]])</f>
        <v>0</v>
      </c>
      <c r="AB1890" s="15"/>
      <c r="AC1890" s="15"/>
      <c r="AD1890" s="15"/>
      <c r="AE1890" s="15"/>
      <c r="AF1890" s="15"/>
      <c r="AG1890" s="15"/>
      <c r="AH1890" s="15"/>
      <c r="AI1890" s="15"/>
      <c r="AJ1890" s="15"/>
      <c r="AK1890" s="15"/>
      <c r="AL1890" s="15"/>
      <c r="AM1890" s="15"/>
    </row>
    <row r="1891" spans="2:39" ht="25.2" customHeight="1" x14ac:dyDescent="0.3">
      <c r="B1891" s="13" t="str">
        <f t="shared" si="33"/>
        <v/>
      </c>
      <c r="C1891" s="18"/>
      <c r="D1891" s="19" t="str">
        <f>IF(Tabela2[[#This Row],[AGRUPADOR]]&lt;&gt;"",VLOOKUP(Tabela2[[#This Row],[AGRUPADOR]],Tabela1[],2,0),"")</f>
        <v/>
      </c>
      <c r="E1891" s="19" t="str">
        <f>IF(Tabela2[[#This Row],[AGRUPADOR]]&lt;&gt;"",VLOOKUP(Tabela2[[#This Row],[AGRUPADOR]],Tabela1[],4,0),"")</f>
        <v/>
      </c>
      <c r="F1891" s="14"/>
      <c r="G1891" s="6"/>
      <c r="H1891" s="6"/>
      <c r="I1891" s="25"/>
      <c r="J1891" s="7"/>
      <c r="K1891" s="15"/>
      <c r="L1891" s="379">
        <f>IF(H1891&lt;&gt;"",J1891*K1891,SUMIFS(L1892:L$9844,$F1892:$F$9844,"*"&amp;F1891&amp;"*",$H1892:$H$9844,"&lt;&gt;"))</f>
        <v>0</v>
      </c>
      <c r="M1891" s="379" t="str">
        <f>IF(Tabela2[[#This Row],[UNID.]]&lt;&gt;"",IFERROR(VLOOKUP(Tabela2[[#This Row],[AGRUPADOR]],Lucratividade!$D$4:$O$129,6,0),0),"")</f>
        <v/>
      </c>
      <c r="N1891" s="379">
        <f>IF(H1891&lt;&gt;"",J1891*M1891*I1891,SUMIFS(N1892:N$9844,$F1892:$F$9844,"*"&amp;F1891&amp;"*",$H1892:$H$9844,"&lt;&gt;"))</f>
        <v>0</v>
      </c>
      <c r="O1891" s="162" t="str">
        <f>IFERROR((-Tabela2[[#This Row],[CUSTO TOTAL]]+Tabela2[[#This Row],[VENDA TOTAL]])/Tabela2[[#This Row],[VENDA TOTAL]]-PARAMETROS!$C$19,"")</f>
        <v/>
      </c>
      <c r="AA1891" s="219">
        <f>SUM(Plan_Orc[[#This Row],[01/jan]:[01/dez]])</f>
        <v>0</v>
      </c>
      <c r="AB1891" s="15"/>
      <c r="AC1891" s="15"/>
      <c r="AD1891" s="15"/>
      <c r="AE1891" s="15"/>
      <c r="AF1891" s="15"/>
      <c r="AG1891" s="15"/>
      <c r="AH1891" s="15"/>
      <c r="AI1891" s="15"/>
      <c r="AJ1891" s="15"/>
      <c r="AK1891" s="15"/>
      <c r="AL1891" s="15"/>
      <c r="AM1891" s="15"/>
    </row>
    <row r="1892" spans="2:39" ht="25.2" customHeight="1" x14ac:dyDescent="0.3">
      <c r="B1892" s="13" t="str">
        <f t="shared" si="33"/>
        <v/>
      </c>
      <c r="C1892" s="18"/>
      <c r="D1892" s="19" t="str">
        <f>IF(Tabela2[[#This Row],[AGRUPADOR]]&lt;&gt;"",VLOOKUP(Tabela2[[#This Row],[AGRUPADOR]],Tabela1[],2,0),"")</f>
        <v/>
      </c>
      <c r="E1892" s="19" t="str">
        <f>IF(Tabela2[[#This Row],[AGRUPADOR]]&lt;&gt;"",VLOOKUP(Tabela2[[#This Row],[AGRUPADOR]],Tabela1[],4,0),"")</f>
        <v/>
      </c>
      <c r="F1892" s="14"/>
      <c r="G1892" s="6"/>
      <c r="H1892" s="6"/>
      <c r="I1892" s="25"/>
      <c r="J1892" s="7"/>
      <c r="K1892" s="15"/>
      <c r="L1892" s="379">
        <f>IF(H1892&lt;&gt;"",J1892*K1892,SUMIFS(L1893:L$9844,$F1893:$F$9844,"*"&amp;F1892&amp;"*",$H1893:$H$9844,"&lt;&gt;"))</f>
        <v>0</v>
      </c>
      <c r="M1892" s="379" t="str">
        <f>IF(Tabela2[[#This Row],[UNID.]]&lt;&gt;"",IFERROR(VLOOKUP(Tabela2[[#This Row],[AGRUPADOR]],Lucratividade!$D$4:$O$129,6,0),0),"")</f>
        <v/>
      </c>
      <c r="N1892" s="379">
        <f>IF(H1892&lt;&gt;"",J1892*M1892*I1892,SUMIFS(N1893:N$9844,$F1893:$F$9844,"*"&amp;F1892&amp;"*",$H1893:$H$9844,"&lt;&gt;"))</f>
        <v>0</v>
      </c>
      <c r="O1892" s="162" t="str">
        <f>IFERROR((-Tabela2[[#This Row],[CUSTO TOTAL]]+Tabela2[[#This Row],[VENDA TOTAL]])/Tabela2[[#This Row],[VENDA TOTAL]]-PARAMETROS!$C$19,"")</f>
        <v/>
      </c>
      <c r="AA1892" s="219">
        <f>SUM(Plan_Orc[[#This Row],[01/jan]:[01/dez]])</f>
        <v>0</v>
      </c>
      <c r="AB1892" s="15"/>
      <c r="AC1892" s="15"/>
      <c r="AD1892" s="15"/>
      <c r="AE1892" s="15"/>
      <c r="AF1892" s="15"/>
      <c r="AG1892" s="15"/>
      <c r="AH1892" s="15"/>
      <c r="AI1892" s="15"/>
      <c r="AJ1892" s="15"/>
      <c r="AK1892" s="15"/>
      <c r="AL1892" s="15"/>
      <c r="AM1892" s="15"/>
    </row>
    <row r="1893" spans="2:39" ht="25.2" customHeight="1" x14ac:dyDescent="0.3">
      <c r="B1893" s="13" t="str">
        <f t="shared" si="33"/>
        <v/>
      </c>
      <c r="C1893" s="18"/>
      <c r="D1893" s="19" t="str">
        <f>IF(Tabela2[[#This Row],[AGRUPADOR]]&lt;&gt;"",VLOOKUP(Tabela2[[#This Row],[AGRUPADOR]],Tabela1[],2,0),"")</f>
        <v/>
      </c>
      <c r="E1893" s="19" t="str">
        <f>IF(Tabela2[[#This Row],[AGRUPADOR]]&lt;&gt;"",VLOOKUP(Tabela2[[#This Row],[AGRUPADOR]],Tabela1[],4,0),"")</f>
        <v/>
      </c>
      <c r="F1893" s="14"/>
      <c r="G1893" s="6"/>
      <c r="H1893" s="6"/>
      <c r="I1893" s="25"/>
      <c r="J1893" s="7"/>
      <c r="K1893" s="15"/>
      <c r="L1893" s="379">
        <f>IF(H1893&lt;&gt;"",J1893*K1893,SUMIFS(L1894:L$9844,$F1894:$F$9844,"*"&amp;F1893&amp;"*",$H1894:$H$9844,"&lt;&gt;"))</f>
        <v>0</v>
      </c>
      <c r="M1893" s="379" t="str">
        <f>IF(Tabela2[[#This Row],[UNID.]]&lt;&gt;"",IFERROR(VLOOKUP(Tabela2[[#This Row],[AGRUPADOR]],Lucratividade!$D$4:$O$129,6,0),0),"")</f>
        <v/>
      </c>
      <c r="N1893" s="379">
        <f>IF(H1893&lt;&gt;"",J1893*M1893*I1893,SUMIFS(N1894:N$9844,$F1894:$F$9844,"*"&amp;F1893&amp;"*",$H1894:$H$9844,"&lt;&gt;"))</f>
        <v>0</v>
      </c>
      <c r="O1893" s="162" t="str">
        <f>IFERROR((-Tabela2[[#This Row],[CUSTO TOTAL]]+Tabela2[[#This Row],[VENDA TOTAL]])/Tabela2[[#This Row],[VENDA TOTAL]]-PARAMETROS!$C$19,"")</f>
        <v/>
      </c>
      <c r="AA1893" s="219">
        <f>SUM(Plan_Orc[[#This Row],[01/jan]:[01/dez]])</f>
        <v>0</v>
      </c>
      <c r="AB1893" s="15"/>
      <c r="AC1893" s="15"/>
      <c r="AD1893" s="15"/>
      <c r="AE1893" s="15"/>
      <c r="AF1893" s="15"/>
      <c r="AG1893" s="15"/>
      <c r="AH1893" s="15"/>
      <c r="AI1893" s="15"/>
      <c r="AJ1893" s="15"/>
      <c r="AK1893" s="15"/>
      <c r="AL1893" s="15"/>
      <c r="AM1893" s="15"/>
    </row>
    <row r="1894" spans="2:39" ht="25.2" customHeight="1" x14ac:dyDescent="0.3">
      <c r="B1894" s="13" t="str">
        <f t="shared" si="33"/>
        <v/>
      </c>
      <c r="C1894" s="18"/>
      <c r="D1894" s="19" t="str">
        <f>IF(Tabela2[[#This Row],[AGRUPADOR]]&lt;&gt;"",VLOOKUP(Tabela2[[#This Row],[AGRUPADOR]],Tabela1[],2,0),"")</f>
        <v/>
      </c>
      <c r="E1894" s="19" t="str">
        <f>IF(Tabela2[[#This Row],[AGRUPADOR]]&lt;&gt;"",VLOOKUP(Tabela2[[#This Row],[AGRUPADOR]],Tabela1[],4,0),"")</f>
        <v/>
      </c>
      <c r="F1894" s="14"/>
      <c r="G1894" s="6"/>
      <c r="H1894" s="6"/>
      <c r="I1894" s="25"/>
      <c r="J1894" s="7"/>
      <c r="K1894" s="15"/>
      <c r="L1894" s="379">
        <f>IF(H1894&lt;&gt;"",J1894*K1894,SUMIFS(L1895:L$9844,$F1895:$F$9844,"*"&amp;F1894&amp;"*",$H1895:$H$9844,"&lt;&gt;"))</f>
        <v>0</v>
      </c>
      <c r="M1894" s="379" t="str">
        <f>IF(Tabela2[[#This Row],[UNID.]]&lt;&gt;"",IFERROR(VLOOKUP(Tabela2[[#This Row],[AGRUPADOR]],Lucratividade!$D$4:$O$129,6,0),0),"")</f>
        <v/>
      </c>
      <c r="N1894" s="379">
        <f>IF(H1894&lt;&gt;"",J1894*M1894*I1894,SUMIFS(N1895:N$9844,$F1895:$F$9844,"*"&amp;F1894&amp;"*",$H1895:$H$9844,"&lt;&gt;"))</f>
        <v>0</v>
      </c>
      <c r="O1894" s="162" t="str">
        <f>IFERROR((-Tabela2[[#This Row],[CUSTO TOTAL]]+Tabela2[[#This Row],[VENDA TOTAL]])/Tabela2[[#This Row],[VENDA TOTAL]]-PARAMETROS!$C$19,"")</f>
        <v/>
      </c>
      <c r="AA1894" s="219">
        <f>SUM(Plan_Orc[[#This Row],[01/jan]:[01/dez]])</f>
        <v>0</v>
      </c>
      <c r="AB1894" s="15"/>
      <c r="AC1894" s="15"/>
      <c r="AD1894" s="15"/>
      <c r="AE1894" s="15"/>
      <c r="AF1894" s="15"/>
      <c r="AG1894" s="15"/>
      <c r="AH1894" s="15"/>
      <c r="AI1894" s="15"/>
      <c r="AJ1894" s="15"/>
      <c r="AK1894" s="15"/>
      <c r="AL1894" s="15"/>
      <c r="AM1894" s="15"/>
    </row>
    <row r="1895" spans="2:39" ht="25.2" customHeight="1" x14ac:dyDescent="0.3">
      <c r="B1895" s="13" t="str">
        <f t="shared" si="33"/>
        <v/>
      </c>
      <c r="C1895" s="18"/>
      <c r="D1895" s="19" t="str">
        <f>IF(Tabela2[[#This Row],[AGRUPADOR]]&lt;&gt;"",VLOOKUP(Tabela2[[#This Row],[AGRUPADOR]],Tabela1[],2,0),"")</f>
        <v/>
      </c>
      <c r="E1895" s="19" t="str">
        <f>IF(Tabela2[[#This Row],[AGRUPADOR]]&lt;&gt;"",VLOOKUP(Tabela2[[#This Row],[AGRUPADOR]],Tabela1[],4,0),"")</f>
        <v/>
      </c>
      <c r="F1895" s="14"/>
      <c r="G1895" s="6"/>
      <c r="H1895" s="6"/>
      <c r="I1895" s="25"/>
      <c r="J1895" s="7"/>
      <c r="K1895" s="15"/>
      <c r="L1895" s="379">
        <f>IF(H1895&lt;&gt;"",J1895*K1895,SUMIFS(L1896:L$9844,$F1896:$F$9844,"*"&amp;F1895&amp;"*",$H1896:$H$9844,"&lt;&gt;"))</f>
        <v>0</v>
      </c>
      <c r="M1895" s="379" t="str">
        <f>IF(Tabela2[[#This Row],[UNID.]]&lt;&gt;"",IFERROR(VLOOKUP(Tabela2[[#This Row],[AGRUPADOR]],Lucratividade!$D$4:$O$129,6,0),0),"")</f>
        <v/>
      </c>
      <c r="N1895" s="379">
        <f>IF(H1895&lt;&gt;"",J1895*M1895*I1895,SUMIFS(N1896:N$9844,$F1896:$F$9844,"*"&amp;F1895&amp;"*",$H1896:$H$9844,"&lt;&gt;"))</f>
        <v>0</v>
      </c>
      <c r="O1895" s="162" t="str">
        <f>IFERROR((-Tabela2[[#This Row],[CUSTO TOTAL]]+Tabela2[[#This Row],[VENDA TOTAL]])/Tabela2[[#This Row],[VENDA TOTAL]]-PARAMETROS!$C$19,"")</f>
        <v/>
      </c>
      <c r="AA1895" s="219">
        <f>SUM(Plan_Orc[[#This Row],[01/jan]:[01/dez]])</f>
        <v>0</v>
      </c>
      <c r="AB1895" s="15"/>
      <c r="AC1895" s="15"/>
      <c r="AD1895" s="15"/>
      <c r="AE1895" s="15"/>
      <c r="AF1895" s="15"/>
      <c r="AG1895" s="15"/>
      <c r="AH1895" s="15"/>
      <c r="AI1895" s="15"/>
      <c r="AJ1895" s="15"/>
      <c r="AK1895" s="15"/>
      <c r="AL1895" s="15"/>
      <c r="AM1895" s="15"/>
    </row>
    <row r="1896" spans="2:39" ht="25.2" customHeight="1" x14ac:dyDescent="0.3">
      <c r="B1896" s="13" t="str">
        <f t="shared" si="33"/>
        <v/>
      </c>
      <c r="C1896" s="18"/>
      <c r="D1896" s="19" t="str">
        <f>IF(Tabela2[[#This Row],[AGRUPADOR]]&lt;&gt;"",VLOOKUP(Tabela2[[#This Row],[AGRUPADOR]],Tabela1[],2,0),"")</f>
        <v/>
      </c>
      <c r="E1896" s="19" t="str">
        <f>IF(Tabela2[[#This Row],[AGRUPADOR]]&lt;&gt;"",VLOOKUP(Tabela2[[#This Row],[AGRUPADOR]],Tabela1[],4,0),"")</f>
        <v/>
      </c>
      <c r="F1896" s="14"/>
      <c r="G1896" s="6"/>
      <c r="H1896" s="6"/>
      <c r="I1896" s="25"/>
      <c r="J1896" s="7"/>
      <c r="K1896" s="15"/>
      <c r="L1896" s="379">
        <f>IF(H1896&lt;&gt;"",J1896*K1896,SUMIFS(L1897:L$9844,$F1897:$F$9844,"*"&amp;F1896&amp;"*",$H1897:$H$9844,"&lt;&gt;"))</f>
        <v>0</v>
      </c>
      <c r="M1896" s="379" t="str">
        <f>IF(Tabela2[[#This Row],[UNID.]]&lt;&gt;"",IFERROR(VLOOKUP(Tabela2[[#This Row],[AGRUPADOR]],Lucratividade!$D$4:$O$129,6,0),0),"")</f>
        <v/>
      </c>
      <c r="N1896" s="379">
        <f>IF(H1896&lt;&gt;"",J1896*M1896*I1896,SUMIFS(N1897:N$9844,$F1897:$F$9844,"*"&amp;F1896&amp;"*",$H1897:$H$9844,"&lt;&gt;"))</f>
        <v>0</v>
      </c>
      <c r="O1896" s="162" t="str">
        <f>IFERROR((-Tabela2[[#This Row],[CUSTO TOTAL]]+Tabela2[[#This Row],[VENDA TOTAL]])/Tabela2[[#This Row],[VENDA TOTAL]]-PARAMETROS!$C$19,"")</f>
        <v/>
      </c>
      <c r="AA1896" s="219">
        <f>SUM(Plan_Orc[[#This Row],[01/jan]:[01/dez]])</f>
        <v>0</v>
      </c>
      <c r="AB1896" s="15"/>
      <c r="AC1896" s="15"/>
      <c r="AD1896" s="15"/>
      <c r="AE1896" s="15"/>
      <c r="AF1896" s="15"/>
      <c r="AG1896" s="15"/>
      <c r="AH1896" s="15"/>
      <c r="AI1896" s="15"/>
      <c r="AJ1896" s="15"/>
      <c r="AK1896" s="15"/>
      <c r="AL1896" s="15"/>
      <c r="AM1896" s="15"/>
    </row>
    <row r="1897" spans="2:39" ht="25.2" customHeight="1" x14ac:dyDescent="0.3">
      <c r="B1897" s="13" t="str">
        <f t="shared" si="33"/>
        <v/>
      </c>
      <c r="C1897" s="18"/>
      <c r="D1897" s="19" t="str">
        <f>IF(Tabela2[[#This Row],[AGRUPADOR]]&lt;&gt;"",VLOOKUP(Tabela2[[#This Row],[AGRUPADOR]],Tabela1[],2,0),"")</f>
        <v/>
      </c>
      <c r="E1897" s="19" t="str">
        <f>IF(Tabela2[[#This Row],[AGRUPADOR]]&lt;&gt;"",VLOOKUP(Tabela2[[#This Row],[AGRUPADOR]],Tabela1[],4,0),"")</f>
        <v/>
      </c>
      <c r="F1897" s="14"/>
      <c r="G1897" s="6"/>
      <c r="H1897" s="6"/>
      <c r="I1897" s="25"/>
      <c r="J1897" s="7"/>
      <c r="K1897" s="15"/>
      <c r="L1897" s="379">
        <f>IF(H1897&lt;&gt;"",J1897*K1897,SUMIFS(L1898:L$9844,$F1898:$F$9844,"*"&amp;F1897&amp;"*",$H1898:$H$9844,"&lt;&gt;"))</f>
        <v>0</v>
      </c>
      <c r="M1897" s="379" t="str">
        <f>IF(Tabela2[[#This Row],[UNID.]]&lt;&gt;"",IFERROR(VLOOKUP(Tabela2[[#This Row],[AGRUPADOR]],Lucratividade!$D$4:$O$129,6,0),0),"")</f>
        <v/>
      </c>
      <c r="N1897" s="379">
        <f>IF(H1897&lt;&gt;"",J1897*M1897*I1897,SUMIFS(N1898:N$9844,$F1898:$F$9844,"*"&amp;F1897&amp;"*",$H1898:$H$9844,"&lt;&gt;"))</f>
        <v>0</v>
      </c>
      <c r="O1897" s="162" t="str">
        <f>IFERROR((-Tabela2[[#This Row],[CUSTO TOTAL]]+Tabela2[[#This Row],[VENDA TOTAL]])/Tabela2[[#This Row],[VENDA TOTAL]]-PARAMETROS!$C$19,"")</f>
        <v/>
      </c>
      <c r="AA1897" s="219">
        <f>SUM(Plan_Orc[[#This Row],[01/jan]:[01/dez]])</f>
        <v>0</v>
      </c>
      <c r="AB1897" s="15"/>
      <c r="AC1897" s="15"/>
      <c r="AD1897" s="15"/>
      <c r="AE1897" s="15"/>
      <c r="AF1897" s="15"/>
      <c r="AG1897" s="15"/>
      <c r="AH1897" s="15"/>
      <c r="AI1897" s="15"/>
      <c r="AJ1897" s="15"/>
      <c r="AK1897" s="15"/>
      <c r="AL1897" s="15"/>
      <c r="AM1897" s="15"/>
    </row>
    <row r="1898" spans="2:39" ht="25.2" customHeight="1" x14ac:dyDescent="0.3">
      <c r="B1898" s="13" t="str">
        <f t="shared" si="33"/>
        <v/>
      </c>
      <c r="C1898" s="18"/>
      <c r="D1898" s="19" t="str">
        <f>IF(Tabela2[[#This Row],[AGRUPADOR]]&lt;&gt;"",VLOOKUP(Tabela2[[#This Row],[AGRUPADOR]],Tabela1[],2,0),"")</f>
        <v/>
      </c>
      <c r="E1898" s="19" t="str">
        <f>IF(Tabela2[[#This Row],[AGRUPADOR]]&lt;&gt;"",VLOOKUP(Tabela2[[#This Row],[AGRUPADOR]],Tabela1[],4,0),"")</f>
        <v/>
      </c>
      <c r="F1898" s="14"/>
      <c r="G1898" s="6"/>
      <c r="H1898" s="6"/>
      <c r="I1898" s="25"/>
      <c r="J1898" s="7"/>
      <c r="K1898" s="15"/>
      <c r="L1898" s="379">
        <f>IF(H1898&lt;&gt;"",J1898*K1898,SUMIFS(L1899:L$9844,$F1899:$F$9844,"*"&amp;F1898&amp;"*",$H1899:$H$9844,"&lt;&gt;"))</f>
        <v>0</v>
      </c>
      <c r="M1898" s="379" t="str">
        <f>IF(Tabela2[[#This Row],[UNID.]]&lt;&gt;"",IFERROR(VLOOKUP(Tabela2[[#This Row],[AGRUPADOR]],Lucratividade!$D$4:$O$129,6,0),0),"")</f>
        <v/>
      </c>
      <c r="N1898" s="379">
        <f>IF(H1898&lt;&gt;"",J1898*M1898*I1898,SUMIFS(N1899:N$9844,$F1899:$F$9844,"*"&amp;F1898&amp;"*",$H1899:$H$9844,"&lt;&gt;"))</f>
        <v>0</v>
      </c>
      <c r="O1898" s="162" t="str">
        <f>IFERROR((-Tabela2[[#This Row],[CUSTO TOTAL]]+Tabela2[[#This Row],[VENDA TOTAL]])/Tabela2[[#This Row],[VENDA TOTAL]]-PARAMETROS!$C$19,"")</f>
        <v/>
      </c>
      <c r="AA1898" s="219">
        <f>SUM(Plan_Orc[[#This Row],[01/jan]:[01/dez]])</f>
        <v>0</v>
      </c>
      <c r="AB1898" s="15"/>
      <c r="AC1898" s="15"/>
      <c r="AD1898" s="15"/>
      <c r="AE1898" s="15"/>
      <c r="AF1898" s="15"/>
      <c r="AG1898" s="15"/>
      <c r="AH1898" s="15"/>
      <c r="AI1898" s="15"/>
      <c r="AJ1898" s="15"/>
      <c r="AK1898" s="15"/>
      <c r="AL1898" s="15"/>
      <c r="AM1898" s="15"/>
    </row>
    <row r="1899" spans="2:39" ht="25.2" customHeight="1" x14ac:dyDescent="0.3">
      <c r="B1899" s="13" t="str">
        <f t="shared" si="33"/>
        <v/>
      </c>
      <c r="C1899" s="18"/>
      <c r="D1899" s="19" t="str">
        <f>IF(Tabela2[[#This Row],[AGRUPADOR]]&lt;&gt;"",VLOOKUP(Tabela2[[#This Row],[AGRUPADOR]],Tabela1[],2,0),"")</f>
        <v/>
      </c>
      <c r="E1899" s="19" t="str">
        <f>IF(Tabela2[[#This Row],[AGRUPADOR]]&lt;&gt;"",VLOOKUP(Tabela2[[#This Row],[AGRUPADOR]],Tabela1[],4,0),"")</f>
        <v/>
      </c>
      <c r="F1899" s="14"/>
      <c r="G1899" s="6"/>
      <c r="H1899" s="6"/>
      <c r="I1899" s="25"/>
      <c r="J1899" s="7"/>
      <c r="K1899" s="15"/>
      <c r="L1899" s="379">
        <f>IF(H1899&lt;&gt;"",J1899*K1899,SUMIFS(L1900:L$9844,$F1900:$F$9844,"*"&amp;F1899&amp;"*",$H1900:$H$9844,"&lt;&gt;"))</f>
        <v>0</v>
      </c>
      <c r="M1899" s="379" t="str">
        <f>IF(Tabela2[[#This Row],[UNID.]]&lt;&gt;"",IFERROR(VLOOKUP(Tabela2[[#This Row],[AGRUPADOR]],Lucratividade!$D$4:$O$129,6,0),0),"")</f>
        <v/>
      </c>
      <c r="N1899" s="379">
        <f>IF(H1899&lt;&gt;"",J1899*M1899*I1899,SUMIFS(N1900:N$9844,$F1900:$F$9844,"*"&amp;F1899&amp;"*",$H1900:$H$9844,"&lt;&gt;"))</f>
        <v>0</v>
      </c>
      <c r="O1899" s="162" t="str">
        <f>IFERROR((-Tabela2[[#This Row],[CUSTO TOTAL]]+Tabela2[[#This Row],[VENDA TOTAL]])/Tabela2[[#This Row],[VENDA TOTAL]]-PARAMETROS!$C$19,"")</f>
        <v/>
      </c>
      <c r="AA1899" s="219">
        <f>SUM(Plan_Orc[[#This Row],[01/jan]:[01/dez]])</f>
        <v>0</v>
      </c>
      <c r="AB1899" s="15"/>
      <c r="AC1899" s="15"/>
      <c r="AD1899" s="15"/>
      <c r="AE1899" s="15"/>
      <c r="AF1899" s="15"/>
      <c r="AG1899" s="15"/>
      <c r="AH1899" s="15"/>
      <c r="AI1899" s="15"/>
      <c r="AJ1899" s="15"/>
      <c r="AK1899" s="15"/>
      <c r="AL1899" s="15"/>
      <c r="AM1899" s="15"/>
    </row>
    <row r="1900" spans="2:39" ht="25.2" customHeight="1" x14ac:dyDescent="0.3">
      <c r="B1900" s="13" t="str">
        <f t="shared" si="33"/>
        <v/>
      </c>
      <c r="C1900" s="18"/>
      <c r="D1900" s="19" t="str">
        <f>IF(Tabela2[[#This Row],[AGRUPADOR]]&lt;&gt;"",VLOOKUP(Tabela2[[#This Row],[AGRUPADOR]],Tabela1[],2,0),"")</f>
        <v/>
      </c>
      <c r="E1900" s="19" t="str">
        <f>IF(Tabela2[[#This Row],[AGRUPADOR]]&lt;&gt;"",VLOOKUP(Tabela2[[#This Row],[AGRUPADOR]],Tabela1[],4,0),"")</f>
        <v/>
      </c>
      <c r="F1900" s="14"/>
      <c r="G1900" s="6"/>
      <c r="H1900" s="6"/>
      <c r="I1900" s="25"/>
      <c r="J1900" s="7"/>
      <c r="K1900" s="15"/>
      <c r="L1900" s="379">
        <f>IF(H1900&lt;&gt;"",J1900*K1900,SUMIFS(L1901:L$9844,$F1901:$F$9844,"*"&amp;F1900&amp;"*",$H1901:$H$9844,"&lt;&gt;"))</f>
        <v>0</v>
      </c>
      <c r="M1900" s="379" t="str">
        <f>IF(Tabela2[[#This Row],[UNID.]]&lt;&gt;"",IFERROR(VLOOKUP(Tabela2[[#This Row],[AGRUPADOR]],Lucratividade!$D$4:$O$129,6,0),0),"")</f>
        <v/>
      </c>
      <c r="N1900" s="379">
        <f>IF(H1900&lt;&gt;"",J1900*M1900*I1900,SUMIFS(N1901:N$9844,$F1901:$F$9844,"*"&amp;F1900&amp;"*",$H1901:$H$9844,"&lt;&gt;"))</f>
        <v>0</v>
      </c>
      <c r="O1900" s="162" t="str">
        <f>IFERROR((-Tabela2[[#This Row],[CUSTO TOTAL]]+Tabela2[[#This Row],[VENDA TOTAL]])/Tabela2[[#This Row],[VENDA TOTAL]]-PARAMETROS!$C$19,"")</f>
        <v/>
      </c>
      <c r="AA1900" s="219">
        <f>SUM(Plan_Orc[[#This Row],[01/jan]:[01/dez]])</f>
        <v>0</v>
      </c>
      <c r="AB1900" s="15"/>
      <c r="AC1900" s="15"/>
      <c r="AD1900" s="15"/>
      <c r="AE1900" s="15"/>
      <c r="AF1900" s="15"/>
      <c r="AG1900" s="15"/>
      <c r="AH1900" s="15"/>
      <c r="AI1900" s="15"/>
      <c r="AJ1900" s="15"/>
      <c r="AK1900" s="15"/>
      <c r="AL1900" s="15"/>
      <c r="AM1900" s="15"/>
    </row>
    <row r="1901" spans="2:39" ht="25.2" customHeight="1" x14ac:dyDescent="0.3">
      <c r="B1901" s="13" t="str">
        <f t="shared" si="33"/>
        <v/>
      </c>
      <c r="C1901" s="18"/>
      <c r="D1901" s="19" t="str">
        <f>IF(Tabela2[[#This Row],[AGRUPADOR]]&lt;&gt;"",VLOOKUP(Tabela2[[#This Row],[AGRUPADOR]],Tabela1[],2,0),"")</f>
        <v/>
      </c>
      <c r="E1901" s="19" t="str">
        <f>IF(Tabela2[[#This Row],[AGRUPADOR]]&lt;&gt;"",VLOOKUP(Tabela2[[#This Row],[AGRUPADOR]],Tabela1[],4,0),"")</f>
        <v/>
      </c>
      <c r="F1901" s="14"/>
      <c r="G1901" s="6"/>
      <c r="H1901" s="6"/>
      <c r="I1901" s="25"/>
      <c r="J1901" s="7"/>
      <c r="K1901" s="15"/>
      <c r="L1901" s="379">
        <f>IF(H1901&lt;&gt;"",J1901*K1901,SUMIFS(L1902:L$9844,$F1902:$F$9844,"*"&amp;F1901&amp;"*",$H1902:$H$9844,"&lt;&gt;"))</f>
        <v>0</v>
      </c>
      <c r="M1901" s="379" t="str">
        <f>IF(Tabela2[[#This Row],[UNID.]]&lt;&gt;"",IFERROR(VLOOKUP(Tabela2[[#This Row],[AGRUPADOR]],Lucratividade!$D$4:$O$129,6,0),0),"")</f>
        <v/>
      </c>
      <c r="N1901" s="379">
        <f>IF(H1901&lt;&gt;"",J1901*M1901*I1901,SUMIFS(N1902:N$9844,$F1902:$F$9844,"*"&amp;F1901&amp;"*",$H1902:$H$9844,"&lt;&gt;"))</f>
        <v>0</v>
      </c>
      <c r="O1901" s="162" t="str">
        <f>IFERROR((-Tabela2[[#This Row],[CUSTO TOTAL]]+Tabela2[[#This Row],[VENDA TOTAL]])/Tabela2[[#This Row],[VENDA TOTAL]]-PARAMETROS!$C$19,"")</f>
        <v/>
      </c>
      <c r="AA1901" s="219">
        <f>SUM(Plan_Orc[[#This Row],[01/jan]:[01/dez]])</f>
        <v>0</v>
      </c>
      <c r="AB1901" s="15"/>
      <c r="AC1901" s="15"/>
      <c r="AD1901" s="15"/>
      <c r="AE1901" s="15"/>
      <c r="AF1901" s="15"/>
      <c r="AG1901" s="15"/>
      <c r="AH1901" s="15"/>
      <c r="AI1901" s="15"/>
      <c r="AJ1901" s="15"/>
      <c r="AK1901" s="15"/>
      <c r="AL1901" s="15"/>
      <c r="AM1901" s="15"/>
    </row>
    <row r="1902" spans="2:39" ht="25.2" customHeight="1" x14ac:dyDescent="0.3">
      <c r="B1902" s="13" t="str">
        <f t="shared" si="33"/>
        <v/>
      </c>
      <c r="C1902" s="18"/>
      <c r="D1902" s="19" t="str">
        <f>IF(Tabela2[[#This Row],[AGRUPADOR]]&lt;&gt;"",VLOOKUP(Tabela2[[#This Row],[AGRUPADOR]],Tabela1[],2,0),"")</f>
        <v/>
      </c>
      <c r="E1902" s="19" t="str">
        <f>IF(Tabela2[[#This Row],[AGRUPADOR]]&lt;&gt;"",VLOOKUP(Tabela2[[#This Row],[AGRUPADOR]],Tabela1[],4,0),"")</f>
        <v/>
      </c>
      <c r="F1902" s="14"/>
      <c r="G1902" s="6"/>
      <c r="H1902" s="6"/>
      <c r="I1902" s="25"/>
      <c r="J1902" s="7"/>
      <c r="K1902" s="15"/>
      <c r="L1902" s="379">
        <f>IF(H1902&lt;&gt;"",J1902*K1902,SUMIFS(L1903:L$9844,$F1903:$F$9844,"*"&amp;F1902&amp;"*",$H1903:$H$9844,"&lt;&gt;"))</f>
        <v>0</v>
      </c>
      <c r="M1902" s="379" t="str">
        <f>IF(Tabela2[[#This Row],[UNID.]]&lt;&gt;"",IFERROR(VLOOKUP(Tabela2[[#This Row],[AGRUPADOR]],Lucratividade!$D$4:$O$129,6,0),0),"")</f>
        <v/>
      </c>
      <c r="N1902" s="379">
        <f>IF(H1902&lt;&gt;"",J1902*M1902*I1902,SUMIFS(N1903:N$9844,$F1903:$F$9844,"*"&amp;F1902&amp;"*",$H1903:$H$9844,"&lt;&gt;"))</f>
        <v>0</v>
      </c>
      <c r="O1902" s="162" t="str">
        <f>IFERROR((-Tabela2[[#This Row],[CUSTO TOTAL]]+Tabela2[[#This Row],[VENDA TOTAL]])/Tabela2[[#This Row],[VENDA TOTAL]]-PARAMETROS!$C$19,"")</f>
        <v/>
      </c>
      <c r="AA1902" s="219">
        <f>SUM(Plan_Orc[[#This Row],[01/jan]:[01/dez]])</f>
        <v>0</v>
      </c>
      <c r="AB1902" s="15"/>
      <c r="AC1902" s="15"/>
      <c r="AD1902" s="15"/>
      <c r="AE1902" s="15"/>
      <c r="AF1902" s="15"/>
      <c r="AG1902" s="15"/>
      <c r="AH1902" s="15"/>
      <c r="AI1902" s="15"/>
      <c r="AJ1902" s="15"/>
      <c r="AK1902" s="15"/>
      <c r="AL1902" s="15"/>
      <c r="AM1902" s="15"/>
    </row>
    <row r="1903" spans="2:39" ht="25.2" customHeight="1" x14ac:dyDescent="0.3">
      <c r="B1903" s="13" t="str">
        <f t="shared" si="33"/>
        <v/>
      </c>
      <c r="C1903" s="18"/>
      <c r="D1903" s="19" t="str">
        <f>IF(Tabela2[[#This Row],[AGRUPADOR]]&lt;&gt;"",VLOOKUP(Tabela2[[#This Row],[AGRUPADOR]],Tabela1[],2,0),"")</f>
        <v/>
      </c>
      <c r="E1903" s="19" t="str">
        <f>IF(Tabela2[[#This Row],[AGRUPADOR]]&lt;&gt;"",VLOOKUP(Tabela2[[#This Row],[AGRUPADOR]],Tabela1[],4,0),"")</f>
        <v/>
      </c>
      <c r="F1903" s="14"/>
      <c r="G1903" s="6"/>
      <c r="H1903" s="6"/>
      <c r="I1903" s="25"/>
      <c r="J1903" s="7"/>
      <c r="K1903" s="15"/>
      <c r="L1903" s="379">
        <f>IF(H1903&lt;&gt;"",J1903*K1903,SUMIFS(L1904:L$9844,$F1904:$F$9844,"*"&amp;F1903&amp;"*",$H1904:$H$9844,"&lt;&gt;"))</f>
        <v>0</v>
      </c>
      <c r="M1903" s="379" t="str">
        <f>IF(Tabela2[[#This Row],[UNID.]]&lt;&gt;"",IFERROR(VLOOKUP(Tabela2[[#This Row],[AGRUPADOR]],Lucratividade!$D$4:$O$129,6,0),0),"")</f>
        <v/>
      </c>
      <c r="N1903" s="379">
        <f>IF(H1903&lt;&gt;"",J1903*M1903*I1903,SUMIFS(N1904:N$9844,$F1904:$F$9844,"*"&amp;F1903&amp;"*",$H1904:$H$9844,"&lt;&gt;"))</f>
        <v>0</v>
      </c>
      <c r="O1903" s="162" t="str">
        <f>IFERROR((-Tabela2[[#This Row],[CUSTO TOTAL]]+Tabela2[[#This Row],[VENDA TOTAL]])/Tabela2[[#This Row],[VENDA TOTAL]]-PARAMETROS!$C$19,"")</f>
        <v/>
      </c>
      <c r="AA1903" s="219">
        <f>SUM(Plan_Orc[[#This Row],[01/jan]:[01/dez]])</f>
        <v>0</v>
      </c>
      <c r="AB1903" s="15"/>
      <c r="AC1903" s="15"/>
      <c r="AD1903" s="15"/>
      <c r="AE1903" s="15"/>
      <c r="AF1903" s="15"/>
      <c r="AG1903" s="15"/>
      <c r="AH1903" s="15"/>
      <c r="AI1903" s="15"/>
      <c r="AJ1903" s="15"/>
      <c r="AK1903" s="15"/>
      <c r="AL1903" s="15"/>
      <c r="AM1903" s="15"/>
    </row>
    <row r="1904" spans="2:39" ht="25.2" customHeight="1" x14ac:dyDescent="0.3">
      <c r="B1904" s="13" t="str">
        <f t="shared" si="33"/>
        <v/>
      </c>
      <c r="C1904" s="18"/>
      <c r="D1904" s="19" t="str">
        <f>IF(Tabela2[[#This Row],[AGRUPADOR]]&lt;&gt;"",VLOOKUP(Tabela2[[#This Row],[AGRUPADOR]],Tabela1[],2,0),"")</f>
        <v/>
      </c>
      <c r="E1904" s="19" t="str">
        <f>IF(Tabela2[[#This Row],[AGRUPADOR]]&lt;&gt;"",VLOOKUP(Tabela2[[#This Row],[AGRUPADOR]],Tabela1[],4,0),"")</f>
        <v/>
      </c>
      <c r="F1904" s="14"/>
      <c r="G1904" s="6"/>
      <c r="H1904" s="6"/>
      <c r="I1904" s="25"/>
      <c r="J1904" s="7"/>
      <c r="K1904" s="15"/>
      <c r="L1904" s="379">
        <f>IF(H1904&lt;&gt;"",J1904*K1904,SUMIFS(L1905:L$9844,$F1905:$F$9844,"*"&amp;F1904&amp;"*",$H1905:$H$9844,"&lt;&gt;"))</f>
        <v>0</v>
      </c>
      <c r="M1904" s="379" t="str">
        <f>IF(Tabela2[[#This Row],[UNID.]]&lt;&gt;"",IFERROR(VLOOKUP(Tabela2[[#This Row],[AGRUPADOR]],Lucratividade!$D$4:$O$129,6,0),0),"")</f>
        <v/>
      </c>
      <c r="N1904" s="379">
        <f>IF(H1904&lt;&gt;"",J1904*M1904*I1904,SUMIFS(N1905:N$9844,$F1905:$F$9844,"*"&amp;F1904&amp;"*",$H1905:$H$9844,"&lt;&gt;"))</f>
        <v>0</v>
      </c>
      <c r="O1904" s="162" t="str">
        <f>IFERROR((-Tabela2[[#This Row],[CUSTO TOTAL]]+Tabela2[[#This Row],[VENDA TOTAL]])/Tabela2[[#This Row],[VENDA TOTAL]]-PARAMETROS!$C$19,"")</f>
        <v/>
      </c>
      <c r="AA1904" s="219">
        <f>SUM(Plan_Orc[[#This Row],[01/jan]:[01/dez]])</f>
        <v>0</v>
      </c>
      <c r="AB1904" s="15"/>
      <c r="AC1904" s="15"/>
      <c r="AD1904" s="15"/>
      <c r="AE1904" s="15"/>
      <c r="AF1904" s="15"/>
      <c r="AG1904" s="15"/>
      <c r="AH1904" s="15"/>
      <c r="AI1904" s="15"/>
      <c r="AJ1904" s="15"/>
      <c r="AK1904" s="15"/>
      <c r="AL1904" s="15"/>
      <c r="AM1904" s="15"/>
    </row>
    <row r="1905" spans="2:39" ht="25.2" customHeight="1" x14ac:dyDescent="0.3">
      <c r="B1905" s="13" t="str">
        <f t="shared" si="33"/>
        <v/>
      </c>
      <c r="C1905" s="18"/>
      <c r="D1905" s="19" t="str">
        <f>IF(Tabela2[[#This Row],[AGRUPADOR]]&lt;&gt;"",VLOOKUP(Tabela2[[#This Row],[AGRUPADOR]],Tabela1[],2,0),"")</f>
        <v/>
      </c>
      <c r="E1905" s="19" t="str">
        <f>IF(Tabela2[[#This Row],[AGRUPADOR]]&lt;&gt;"",VLOOKUP(Tabela2[[#This Row],[AGRUPADOR]],Tabela1[],4,0),"")</f>
        <v/>
      </c>
      <c r="F1905" s="14"/>
      <c r="G1905" s="6"/>
      <c r="H1905" s="6"/>
      <c r="I1905" s="25"/>
      <c r="J1905" s="7"/>
      <c r="K1905" s="15"/>
      <c r="L1905" s="379">
        <f>IF(H1905&lt;&gt;"",J1905*K1905,SUMIFS(L1906:L$9844,$F1906:$F$9844,"*"&amp;F1905&amp;"*",$H1906:$H$9844,"&lt;&gt;"))</f>
        <v>0</v>
      </c>
      <c r="M1905" s="379" t="str">
        <f>IF(Tabela2[[#This Row],[UNID.]]&lt;&gt;"",IFERROR(VLOOKUP(Tabela2[[#This Row],[AGRUPADOR]],Lucratividade!$D$4:$O$129,6,0),0),"")</f>
        <v/>
      </c>
      <c r="N1905" s="379">
        <f>IF(H1905&lt;&gt;"",J1905*M1905*I1905,SUMIFS(N1906:N$9844,$F1906:$F$9844,"*"&amp;F1905&amp;"*",$H1906:$H$9844,"&lt;&gt;"))</f>
        <v>0</v>
      </c>
      <c r="O1905" s="162" t="str">
        <f>IFERROR((-Tabela2[[#This Row],[CUSTO TOTAL]]+Tabela2[[#This Row],[VENDA TOTAL]])/Tabela2[[#This Row],[VENDA TOTAL]]-PARAMETROS!$C$19,"")</f>
        <v/>
      </c>
      <c r="AA1905" s="218">
        <f>SUM(Plan_Orc[[#This Row],[01/jan]:[01/dez]])</f>
        <v>0</v>
      </c>
      <c r="AB1905" s="12"/>
      <c r="AC1905" s="12"/>
      <c r="AD1905" s="12"/>
      <c r="AE1905" s="12"/>
      <c r="AF1905" s="12"/>
      <c r="AG1905" s="12"/>
      <c r="AH1905" s="12"/>
      <c r="AI1905" s="12"/>
      <c r="AJ1905" s="12"/>
      <c r="AK1905" s="12"/>
      <c r="AL1905" s="12"/>
      <c r="AM1905" s="12"/>
    </row>
    <row r="1906" spans="2:39" ht="25.2" customHeight="1" x14ac:dyDescent="0.3">
      <c r="B1906" s="13" t="str">
        <f t="shared" si="33"/>
        <v/>
      </c>
      <c r="C1906" s="18"/>
      <c r="D1906" s="19" t="str">
        <f>IF(Tabela2[[#This Row],[AGRUPADOR]]&lt;&gt;"",VLOOKUP(Tabela2[[#This Row],[AGRUPADOR]],Tabela1[],2,0),"")</f>
        <v/>
      </c>
      <c r="E1906" s="19" t="str">
        <f>IF(Tabela2[[#This Row],[AGRUPADOR]]&lt;&gt;"",VLOOKUP(Tabela2[[#This Row],[AGRUPADOR]],Tabela1[],4,0),"")</f>
        <v/>
      </c>
      <c r="F1906" s="14"/>
      <c r="G1906" s="6"/>
      <c r="H1906" s="6"/>
      <c r="I1906" s="25"/>
      <c r="J1906" s="7"/>
      <c r="K1906" s="15"/>
      <c r="L1906" s="379">
        <f>IF(H1906&lt;&gt;"",J1906*K1906,SUMIFS(L1907:L$9844,$F1907:$F$9844,"*"&amp;F1906&amp;"*",$H1907:$H$9844,"&lt;&gt;"))</f>
        <v>0</v>
      </c>
      <c r="M1906" s="379" t="str">
        <f>IF(Tabela2[[#This Row],[UNID.]]&lt;&gt;"",IFERROR(VLOOKUP(Tabela2[[#This Row],[AGRUPADOR]],Lucratividade!$D$4:$O$129,6,0),0),"")</f>
        <v/>
      </c>
      <c r="N1906" s="379">
        <f>IF(H1906&lt;&gt;"",J1906*M1906*I1906,SUMIFS(N1907:N$9844,$F1907:$F$9844,"*"&amp;F1906&amp;"*",$H1907:$H$9844,"&lt;&gt;"))</f>
        <v>0</v>
      </c>
      <c r="O1906" s="162" t="str">
        <f>IFERROR((-Tabela2[[#This Row],[CUSTO TOTAL]]+Tabela2[[#This Row],[VENDA TOTAL]])/Tabela2[[#This Row],[VENDA TOTAL]]-PARAMETROS!$C$19,"")</f>
        <v/>
      </c>
      <c r="AA1906" s="219">
        <f>SUM(Plan_Orc[[#This Row],[01/jan]:[01/dez]])</f>
        <v>0</v>
      </c>
      <c r="AB1906" s="15"/>
      <c r="AC1906" s="15"/>
      <c r="AD1906" s="15"/>
      <c r="AE1906" s="15"/>
      <c r="AF1906" s="15"/>
      <c r="AG1906" s="15"/>
      <c r="AH1906" s="15"/>
      <c r="AI1906" s="15"/>
      <c r="AJ1906" s="15"/>
      <c r="AK1906" s="15"/>
      <c r="AL1906" s="15"/>
      <c r="AM1906" s="15"/>
    </row>
    <row r="1907" spans="2:39" ht="25.2" customHeight="1" x14ac:dyDescent="0.3">
      <c r="B1907" s="13" t="str">
        <f t="shared" si="33"/>
        <v/>
      </c>
      <c r="C1907" s="18"/>
      <c r="D1907" s="19" t="str">
        <f>IF(Tabela2[[#This Row],[AGRUPADOR]]&lt;&gt;"",VLOOKUP(Tabela2[[#This Row],[AGRUPADOR]],Tabela1[],2,0),"")</f>
        <v/>
      </c>
      <c r="E1907" s="19" t="str">
        <f>IF(Tabela2[[#This Row],[AGRUPADOR]]&lt;&gt;"",VLOOKUP(Tabela2[[#This Row],[AGRUPADOR]],Tabela1[],4,0),"")</f>
        <v/>
      </c>
      <c r="F1907" s="14"/>
      <c r="G1907" s="6"/>
      <c r="H1907" s="6"/>
      <c r="I1907" s="25"/>
      <c r="J1907" s="7"/>
      <c r="K1907" s="15"/>
      <c r="L1907" s="379">
        <f>IF(H1907&lt;&gt;"",J1907*K1907,SUMIFS(L1908:L$9844,$F1908:$F$9844,"*"&amp;F1907&amp;"*",$H1908:$H$9844,"&lt;&gt;"))</f>
        <v>0</v>
      </c>
      <c r="M1907" s="379" t="str">
        <f>IF(Tabela2[[#This Row],[UNID.]]&lt;&gt;"",IFERROR(VLOOKUP(Tabela2[[#This Row],[AGRUPADOR]],Lucratividade!$D$4:$O$129,6,0),0),"")</f>
        <v/>
      </c>
      <c r="N1907" s="379">
        <f>IF(H1907&lt;&gt;"",J1907*M1907*I1907,SUMIFS(N1908:N$9844,$F1908:$F$9844,"*"&amp;F1907&amp;"*",$H1908:$H$9844,"&lt;&gt;"))</f>
        <v>0</v>
      </c>
      <c r="O1907" s="162" t="str">
        <f>IFERROR((-Tabela2[[#This Row],[CUSTO TOTAL]]+Tabela2[[#This Row],[VENDA TOTAL]])/Tabela2[[#This Row],[VENDA TOTAL]]-PARAMETROS!$C$19,"")</f>
        <v/>
      </c>
      <c r="AA1907" s="219">
        <f>SUM(Plan_Orc[[#This Row],[01/jan]:[01/dez]])</f>
        <v>0</v>
      </c>
      <c r="AB1907" s="15"/>
      <c r="AC1907" s="15"/>
      <c r="AD1907" s="15"/>
      <c r="AE1907" s="15"/>
      <c r="AF1907" s="15"/>
      <c r="AG1907" s="15"/>
      <c r="AH1907" s="15"/>
      <c r="AI1907" s="15"/>
      <c r="AJ1907" s="15"/>
      <c r="AK1907" s="15"/>
      <c r="AL1907" s="15"/>
      <c r="AM1907" s="15"/>
    </row>
    <row r="1908" spans="2:39" ht="25.2" customHeight="1" x14ac:dyDescent="0.3">
      <c r="B1908" s="13" t="str">
        <f t="shared" si="33"/>
        <v/>
      </c>
      <c r="C1908" s="18"/>
      <c r="D1908" s="19" t="str">
        <f>IF(Tabela2[[#This Row],[AGRUPADOR]]&lt;&gt;"",VLOOKUP(Tabela2[[#This Row],[AGRUPADOR]],Tabela1[],2,0),"")</f>
        <v/>
      </c>
      <c r="E1908" s="19" t="str">
        <f>IF(Tabela2[[#This Row],[AGRUPADOR]]&lt;&gt;"",VLOOKUP(Tabela2[[#This Row],[AGRUPADOR]],Tabela1[],4,0),"")</f>
        <v/>
      </c>
      <c r="F1908" s="14"/>
      <c r="G1908" s="6"/>
      <c r="H1908" s="6"/>
      <c r="I1908" s="25"/>
      <c r="J1908" s="7"/>
      <c r="K1908" s="15"/>
      <c r="L1908" s="379">
        <f>IF(H1908&lt;&gt;"",J1908*K1908,SUMIFS(L1909:L$9844,$F1909:$F$9844,"*"&amp;F1908&amp;"*",$H1909:$H$9844,"&lt;&gt;"))</f>
        <v>0</v>
      </c>
      <c r="M1908" s="379" t="str">
        <f>IF(Tabela2[[#This Row],[UNID.]]&lt;&gt;"",IFERROR(VLOOKUP(Tabela2[[#This Row],[AGRUPADOR]],Lucratividade!$D$4:$O$129,6,0),0),"")</f>
        <v/>
      </c>
      <c r="N1908" s="379">
        <f>IF(H1908&lt;&gt;"",J1908*M1908*I1908,SUMIFS(N1909:N$9844,$F1909:$F$9844,"*"&amp;F1908&amp;"*",$H1909:$H$9844,"&lt;&gt;"))</f>
        <v>0</v>
      </c>
      <c r="O1908" s="162" t="str">
        <f>IFERROR((-Tabela2[[#This Row],[CUSTO TOTAL]]+Tabela2[[#This Row],[VENDA TOTAL]])/Tabela2[[#This Row],[VENDA TOTAL]]-PARAMETROS!$C$19,"")</f>
        <v/>
      </c>
      <c r="AA1908" s="219">
        <f>SUM(Plan_Orc[[#This Row],[01/jan]:[01/dez]])</f>
        <v>0</v>
      </c>
      <c r="AB1908" s="15"/>
      <c r="AC1908" s="15"/>
      <c r="AD1908" s="15"/>
      <c r="AE1908" s="15"/>
      <c r="AF1908" s="15"/>
      <c r="AG1908" s="15"/>
      <c r="AH1908" s="15"/>
      <c r="AI1908" s="15"/>
      <c r="AJ1908" s="15"/>
      <c r="AK1908" s="15"/>
      <c r="AL1908" s="15"/>
      <c r="AM1908" s="15"/>
    </row>
    <row r="1909" spans="2:39" ht="25.2" customHeight="1" x14ac:dyDescent="0.3">
      <c r="B1909" s="13" t="str">
        <f t="shared" si="33"/>
        <v/>
      </c>
      <c r="C1909" s="18"/>
      <c r="D1909" s="19" t="str">
        <f>IF(Tabela2[[#This Row],[AGRUPADOR]]&lt;&gt;"",VLOOKUP(Tabela2[[#This Row],[AGRUPADOR]],Tabela1[],2,0),"")</f>
        <v/>
      </c>
      <c r="E1909" s="19" t="str">
        <f>IF(Tabela2[[#This Row],[AGRUPADOR]]&lt;&gt;"",VLOOKUP(Tabela2[[#This Row],[AGRUPADOR]],Tabela1[],4,0),"")</f>
        <v/>
      </c>
      <c r="F1909" s="14"/>
      <c r="G1909" s="6"/>
      <c r="H1909" s="6"/>
      <c r="I1909" s="25"/>
      <c r="J1909" s="7"/>
      <c r="K1909" s="15"/>
      <c r="L1909" s="379">
        <f>IF(H1909&lt;&gt;"",J1909*K1909,SUMIFS(L1910:L$9844,$F1910:$F$9844,"*"&amp;F1909&amp;"*",$H1910:$H$9844,"&lt;&gt;"))</f>
        <v>0</v>
      </c>
      <c r="M1909" s="379" t="str">
        <f>IF(Tabela2[[#This Row],[UNID.]]&lt;&gt;"",IFERROR(VLOOKUP(Tabela2[[#This Row],[AGRUPADOR]],Lucratividade!$D$4:$O$129,6,0),0),"")</f>
        <v/>
      </c>
      <c r="N1909" s="379">
        <f>IF(H1909&lt;&gt;"",J1909*M1909*I1909,SUMIFS(N1910:N$9844,$F1910:$F$9844,"*"&amp;F1909&amp;"*",$H1910:$H$9844,"&lt;&gt;"))</f>
        <v>0</v>
      </c>
      <c r="O1909" s="162" t="str">
        <f>IFERROR((-Tabela2[[#This Row],[CUSTO TOTAL]]+Tabela2[[#This Row],[VENDA TOTAL]])/Tabela2[[#This Row],[VENDA TOTAL]]-PARAMETROS!$C$19,"")</f>
        <v/>
      </c>
      <c r="AA1909" s="219">
        <f>SUM(Plan_Orc[[#This Row],[01/jan]:[01/dez]])</f>
        <v>0</v>
      </c>
      <c r="AB1909" s="15"/>
      <c r="AC1909" s="15"/>
      <c r="AD1909" s="15"/>
      <c r="AE1909" s="15"/>
      <c r="AF1909" s="15"/>
      <c r="AG1909" s="15"/>
      <c r="AH1909" s="15"/>
      <c r="AI1909" s="15"/>
      <c r="AJ1909" s="15"/>
      <c r="AK1909" s="15"/>
      <c r="AL1909" s="15"/>
      <c r="AM1909" s="15"/>
    </row>
    <row r="1910" spans="2:39" ht="25.2" customHeight="1" x14ac:dyDescent="0.3">
      <c r="B1910" s="13" t="str">
        <f t="shared" si="33"/>
        <v/>
      </c>
      <c r="C1910" s="18"/>
      <c r="D1910" s="19" t="str">
        <f>IF(Tabela2[[#This Row],[AGRUPADOR]]&lt;&gt;"",VLOOKUP(Tabela2[[#This Row],[AGRUPADOR]],Tabela1[],2,0),"")</f>
        <v/>
      </c>
      <c r="E1910" s="19" t="str">
        <f>IF(Tabela2[[#This Row],[AGRUPADOR]]&lt;&gt;"",VLOOKUP(Tabela2[[#This Row],[AGRUPADOR]],Tabela1[],4,0),"")</f>
        <v/>
      </c>
      <c r="F1910" s="14"/>
      <c r="G1910" s="6"/>
      <c r="H1910" s="6"/>
      <c r="I1910" s="25"/>
      <c r="J1910" s="7"/>
      <c r="K1910" s="15"/>
      <c r="L1910" s="379">
        <f>IF(H1910&lt;&gt;"",J1910*K1910,SUMIFS(L1911:L$9844,$F1911:$F$9844,"*"&amp;F1910&amp;"*",$H1911:$H$9844,"&lt;&gt;"))</f>
        <v>0</v>
      </c>
      <c r="M1910" s="379" t="str">
        <f>IF(Tabela2[[#This Row],[UNID.]]&lt;&gt;"",IFERROR(VLOOKUP(Tabela2[[#This Row],[AGRUPADOR]],Lucratividade!$D$4:$O$129,6,0),0),"")</f>
        <v/>
      </c>
      <c r="N1910" s="379">
        <f>IF(H1910&lt;&gt;"",J1910*M1910*I1910,SUMIFS(N1911:N$9844,$F1911:$F$9844,"*"&amp;F1910&amp;"*",$H1911:$H$9844,"&lt;&gt;"))</f>
        <v>0</v>
      </c>
      <c r="O1910" s="162" t="str">
        <f>IFERROR((-Tabela2[[#This Row],[CUSTO TOTAL]]+Tabela2[[#This Row],[VENDA TOTAL]])/Tabela2[[#This Row],[VENDA TOTAL]]-PARAMETROS!$C$19,"")</f>
        <v/>
      </c>
      <c r="AA1910" s="219">
        <f>SUM(Plan_Orc[[#This Row],[01/jan]:[01/dez]])</f>
        <v>0</v>
      </c>
      <c r="AB1910" s="15"/>
      <c r="AC1910" s="15"/>
      <c r="AD1910" s="15"/>
      <c r="AE1910" s="15"/>
      <c r="AF1910" s="15"/>
      <c r="AG1910" s="15"/>
      <c r="AH1910" s="15"/>
      <c r="AI1910" s="15"/>
      <c r="AJ1910" s="15"/>
      <c r="AK1910" s="15"/>
      <c r="AL1910" s="15"/>
      <c r="AM1910" s="15"/>
    </row>
    <row r="1911" spans="2:39" ht="25.2" customHeight="1" x14ac:dyDescent="0.3">
      <c r="B1911" s="13" t="str">
        <f t="shared" si="33"/>
        <v/>
      </c>
      <c r="C1911" s="18"/>
      <c r="D1911" s="19" t="str">
        <f>IF(Tabela2[[#This Row],[AGRUPADOR]]&lt;&gt;"",VLOOKUP(Tabela2[[#This Row],[AGRUPADOR]],Tabela1[],2,0),"")</f>
        <v/>
      </c>
      <c r="E1911" s="19" t="str">
        <f>IF(Tabela2[[#This Row],[AGRUPADOR]]&lt;&gt;"",VLOOKUP(Tabela2[[#This Row],[AGRUPADOR]],Tabela1[],4,0),"")</f>
        <v/>
      </c>
      <c r="F1911" s="14"/>
      <c r="G1911" s="6"/>
      <c r="H1911" s="6"/>
      <c r="I1911" s="25"/>
      <c r="J1911" s="7"/>
      <c r="K1911" s="15"/>
      <c r="L1911" s="379">
        <f>IF(H1911&lt;&gt;"",J1911*K1911,SUMIFS(L1912:L$9844,$F1912:$F$9844,"*"&amp;F1911&amp;"*",$H1912:$H$9844,"&lt;&gt;"))</f>
        <v>0</v>
      </c>
      <c r="M1911" s="379" t="str">
        <f>IF(Tabela2[[#This Row],[UNID.]]&lt;&gt;"",IFERROR(VLOOKUP(Tabela2[[#This Row],[AGRUPADOR]],Lucratividade!$D$4:$O$129,6,0),0),"")</f>
        <v/>
      </c>
      <c r="N1911" s="379">
        <f>IF(H1911&lt;&gt;"",J1911*M1911*I1911,SUMIFS(N1912:N$9844,$F1912:$F$9844,"*"&amp;F1911&amp;"*",$H1912:$H$9844,"&lt;&gt;"))</f>
        <v>0</v>
      </c>
      <c r="O1911" s="162" t="str">
        <f>IFERROR((-Tabela2[[#This Row],[CUSTO TOTAL]]+Tabela2[[#This Row],[VENDA TOTAL]])/Tabela2[[#This Row],[VENDA TOTAL]]-PARAMETROS!$C$19,"")</f>
        <v/>
      </c>
      <c r="AA1911" s="219">
        <f>SUM(Plan_Orc[[#This Row],[01/jan]:[01/dez]])</f>
        <v>0</v>
      </c>
      <c r="AB1911" s="15"/>
      <c r="AC1911" s="15"/>
      <c r="AD1911" s="15"/>
      <c r="AE1911" s="15"/>
      <c r="AF1911" s="15"/>
      <c r="AG1911" s="15"/>
      <c r="AH1911" s="15"/>
      <c r="AI1911" s="15"/>
      <c r="AJ1911" s="15"/>
      <c r="AK1911" s="15"/>
      <c r="AL1911" s="15"/>
      <c r="AM1911" s="15"/>
    </row>
    <row r="1912" spans="2:39" ht="25.2" customHeight="1" x14ac:dyDescent="0.3">
      <c r="B1912" s="13" t="str">
        <f t="shared" si="33"/>
        <v/>
      </c>
      <c r="C1912" s="18"/>
      <c r="D1912" s="19" t="str">
        <f>IF(Tabela2[[#This Row],[AGRUPADOR]]&lt;&gt;"",VLOOKUP(Tabela2[[#This Row],[AGRUPADOR]],Tabela1[],2,0),"")</f>
        <v/>
      </c>
      <c r="E1912" s="19" t="str">
        <f>IF(Tabela2[[#This Row],[AGRUPADOR]]&lt;&gt;"",VLOOKUP(Tabela2[[#This Row],[AGRUPADOR]],Tabela1[],4,0),"")</f>
        <v/>
      </c>
      <c r="F1912" s="14"/>
      <c r="G1912" s="6"/>
      <c r="H1912" s="6"/>
      <c r="I1912" s="25"/>
      <c r="J1912" s="7"/>
      <c r="K1912" s="15"/>
      <c r="L1912" s="379">
        <f>IF(H1912&lt;&gt;"",J1912*K1912,SUMIFS(L1913:L$9844,$F1913:$F$9844,"*"&amp;F1912&amp;"*",$H1913:$H$9844,"&lt;&gt;"))</f>
        <v>0</v>
      </c>
      <c r="M1912" s="379" t="str">
        <f>IF(Tabela2[[#This Row],[UNID.]]&lt;&gt;"",IFERROR(VLOOKUP(Tabela2[[#This Row],[AGRUPADOR]],Lucratividade!$D$4:$O$129,6,0),0),"")</f>
        <v/>
      </c>
      <c r="N1912" s="379">
        <f>IF(H1912&lt;&gt;"",J1912*M1912*I1912,SUMIFS(N1913:N$9844,$F1913:$F$9844,"*"&amp;F1912&amp;"*",$H1913:$H$9844,"&lt;&gt;"))</f>
        <v>0</v>
      </c>
      <c r="O1912" s="162" t="str">
        <f>IFERROR((-Tabela2[[#This Row],[CUSTO TOTAL]]+Tabela2[[#This Row],[VENDA TOTAL]])/Tabela2[[#This Row],[VENDA TOTAL]]-PARAMETROS!$C$19,"")</f>
        <v/>
      </c>
      <c r="AA1912" s="219">
        <f>SUM(Plan_Orc[[#This Row],[01/jan]:[01/dez]])</f>
        <v>0</v>
      </c>
      <c r="AB1912" s="15"/>
      <c r="AC1912" s="15"/>
      <c r="AD1912" s="15"/>
      <c r="AE1912" s="15"/>
      <c r="AF1912" s="15"/>
      <c r="AG1912" s="15"/>
      <c r="AH1912" s="15"/>
      <c r="AI1912" s="15"/>
      <c r="AJ1912" s="15"/>
      <c r="AK1912" s="15"/>
      <c r="AL1912" s="15"/>
      <c r="AM1912" s="15"/>
    </row>
    <row r="1913" spans="2:39" ht="25.2" customHeight="1" x14ac:dyDescent="0.3">
      <c r="B1913" s="13" t="str">
        <f t="shared" si="33"/>
        <v/>
      </c>
      <c r="C1913" s="18"/>
      <c r="D1913" s="19" t="str">
        <f>IF(Tabela2[[#This Row],[AGRUPADOR]]&lt;&gt;"",VLOOKUP(Tabela2[[#This Row],[AGRUPADOR]],Tabela1[],2,0),"")</f>
        <v/>
      </c>
      <c r="E1913" s="19" t="str">
        <f>IF(Tabela2[[#This Row],[AGRUPADOR]]&lt;&gt;"",VLOOKUP(Tabela2[[#This Row],[AGRUPADOR]],Tabela1[],4,0),"")</f>
        <v/>
      </c>
      <c r="F1913" s="14"/>
      <c r="G1913" s="6"/>
      <c r="H1913" s="6"/>
      <c r="I1913" s="25"/>
      <c r="J1913" s="7"/>
      <c r="K1913" s="15"/>
      <c r="L1913" s="379">
        <f>IF(H1913&lt;&gt;"",J1913*K1913,SUMIFS(L1914:L$9844,$F1914:$F$9844,"*"&amp;F1913&amp;"*",$H1914:$H$9844,"&lt;&gt;"))</f>
        <v>0</v>
      </c>
      <c r="M1913" s="379" t="str">
        <f>IF(Tabela2[[#This Row],[UNID.]]&lt;&gt;"",IFERROR(VLOOKUP(Tabela2[[#This Row],[AGRUPADOR]],Lucratividade!$D$4:$O$129,6,0),0),"")</f>
        <v/>
      </c>
      <c r="N1913" s="379">
        <f>IF(H1913&lt;&gt;"",J1913*M1913*I1913,SUMIFS(N1914:N$9844,$F1914:$F$9844,"*"&amp;F1913&amp;"*",$H1914:$H$9844,"&lt;&gt;"))</f>
        <v>0</v>
      </c>
      <c r="O1913" s="162" t="str">
        <f>IFERROR((-Tabela2[[#This Row],[CUSTO TOTAL]]+Tabela2[[#This Row],[VENDA TOTAL]])/Tabela2[[#This Row],[VENDA TOTAL]]-PARAMETROS!$C$19,"")</f>
        <v/>
      </c>
      <c r="AA1913" s="219">
        <f>SUM(Plan_Orc[[#This Row],[01/jan]:[01/dez]])</f>
        <v>0</v>
      </c>
      <c r="AB1913" s="15"/>
      <c r="AC1913" s="15"/>
      <c r="AD1913" s="15"/>
      <c r="AE1913" s="15"/>
      <c r="AF1913" s="15"/>
      <c r="AG1913" s="15"/>
      <c r="AH1913" s="15"/>
      <c r="AI1913" s="15"/>
      <c r="AJ1913" s="15"/>
      <c r="AK1913" s="15"/>
      <c r="AL1913" s="15"/>
      <c r="AM1913" s="15"/>
    </row>
    <row r="1914" spans="2:39" ht="25.2" customHeight="1" x14ac:dyDescent="0.3">
      <c r="B1914" s="13" t="str">
        <f t="shared" si="33"/>
        <v/>
      </c>
      <c r="C1914" s="18"/>
      <c r="D1914" s="19" t="str">
        <f>IF(Tabela2[[#This Row],[AGRUPADOR]]&lt;&gt;"",VLOOKUP(Tabela2[[#This Row],[AGRUPADOR]],Tabela1[],2,0),"")</f>
        <v/>
      </c>
      <c r="E1914" s="19" t="str">
        <f>IF(Tabela2[[#This Row],[AGRUPADOR]]&lt;&gt;"",VLOOKUP(Tabela2[[#This Row],[AGRUPADOR]],Tabela1[],4,0),"")</f>
        <v/>
      </c>
      <c r="F1914" s="14"/>
      <c r="G1914" s="6"/>
      <c r="H1914" s="6"/>
      <c r="I1914" s="25"/>
      <c r="J1914" s="7"/>
      <c r="K1914" s="15"/>
      <c r="L1914" s="379">
        <f>IF(H1914&lt;&gt;"",J1914*K1914,SUMIFS(L1915:L$9844,$F1915:$F$9844,"*"&amp;F1914&amp;"*",$H1915:$H$9844,"&lt;&gt;"))</f>
        <v>0</v>
      </c>
      <c r="M1914" s="379" t="str">
        <f>IF(Tabela2[[#This Row],[UNID.]]&lt;&gt;"",IFERROR(VLOOKUP(Tabela2[[#This Row],[AGRUPADOR]],Lucratividade!$D$4:$O$129,6,0),0),"")</f>
        <v/>
      </c>
      <c r="N1914" s="379">
        <f>IF(H1914&lt;&gt;"",J1914*M1914*I1914,SUMIFS(N1915:N$9844,$F1915:$F$9844,"*"&amp;F1914&amp;"*",$H1915:$H$9844,"&lt;&gt;"))</f>
        <v>0</v>
      </c>
      <c r="O1914" s="162" t="str">
        <f>IFERROR((-Tabela2[[#This Row],[CUSTO TOTAL]]+Tabela2[[#This Row],[VENDA TOTAL]])/Tabela2[[#This Row],[VENDA TOTAL]]-PARAMETROS!$C$19,"")</f>
        <v/>
      </c>
      <c r="AA1914" s="219">
        <f>SUM(Plan_Orc[[#This Row],[01/jan]:[01/dez]])</f>
        <v>0</v>
      </c>
      <c r="AB1914" s="15"/>
      <c r="AC1914" s="15"/>
      <c r="AD1914" s="15"/>
      <c r="AE1914" s="15"/>
      <c r="AF1914" s="15"/>
      <c r="AG1914" s="15"/>
      <c r="AH1914" s="15"/>
      <c r="AI1914" s="15"/>
      <c r="AJ1914" s="15"/>
      <c r="AK1914" s="15"/>
      <c r="AL1914" s="15"/>
      <c r="AM1914" s="15"/>
    </row>
    <row r="1915" spans="2:39" ht="25.2" customHeight="1" x14ac:dyDescent="0.3">
      <c r="B1915" s="13" t="str">
        <f t="shared" si="33"/>
        <v/>
      </c>
      <c r="C1915" s="18"/>
      <c r="D1915" s="19" t="str">
        <f>IF(Tabela2[[#This Row],[AGRUPADOR]]&lt;&gt;"",VLOOKUP(Tabela2[[#This Row],[AGRUPADOR]],Tabela1[],2,0),"")</f>
        <v/>
      </c>
      <c r="E1915" s="19" t="str">
        <f>IF(Tabela2[[#This Row],[AGRUPADOR]]&lt;&gt;"",VLOOKUP(Tabela2[[#This Row],[AGRUPADOR]],Tabela1[],4,0),"")</f>
        <v/>
      </c>
      <c r="F1915" s="14"/>
      <c r="G1915" s="6"/>
      <c r="H1915" s="6"/>
      <c r="I1915" s="25"/>
      <c r="J1915" s="7"/>
      <c r="K1915" s="15"/>
      <c r="L1915" s="379">
        <f>IF(H1915&lt;&gt;"",J1915*K1915,SUMIFS(L1916:L$9844,$F1916:$F$9844,"*"&amp;F1915&amp;"*",$H1916:$H$9844,"&lt;&gt;"))</f>
        <v>0</v>
      </c>
      <c r="M1915" s="379" t="str">
        <f>IF(Tabela2[[#This Row],[UNID.]]&lt;&gt;"",IFERROR(VLOOKUP(Tabela2[[#This Row],[AGRUPADOR]],Lucratividade!$D$4:$O$129,6,0),0),"")</f>
        <v/>
      </c>
      <c r="N1915" s="379">
        <f>IF(H1915&lt;&gt;"",J1915*M1915*I1915,SUMIFS(N1916:N$9844,$F1916:$F$9844,"*"&amp;F1915&amp;"*",$H1916:$H$9844,"&lt;&gt;"))</f>
        <v>0</v>
      </c>
      <c r="O1915" s="162" t="str">
        <f>IFERROR((-Tabela2[[#This Row],[CUSTO TOTAL]]+Tabela2[[#This Row],[VENDA TOTAL]])/Tabela2[[#This Row],[VENDA TOTAL]]-PARAMETROS!$C$19,"")</f>
        <v/>
      </c>
      <c r="AA1915" s="224">
        <f>SUM(Plan_Orc[[#This Row],[01/jan]:[01/dez]])</f>
        <v>0</v>
      </c>
      <c r="AB1915" s="203"/>
      <c r="AC1915" s="203"/>
      <c r="AD1915" s="203"/>
      <c r="AE1915" s="203"/>
      <c r="AF1915" s="203"/>
      <c r="AG1915" s="203"/>
      <c r="AH1915" s="203"/>
      <c r="AI1915" s="203"/>
      <c r="AJ1915" s="203"/>
      <c r="AK1915" s="203"/>
      <c r="AL1915" s="203"/>
      <c r="AM1915" s="203"/>
    </row>
    <row r="1916" spans="2:39" ht="25.2" customHeight="1" x14ac:dyDescent="0.3">
      <c r="B1916" s="13" t="str">
        <f t="shared" si="33"/>
        <v/>
      </c>
      <c r="C1916" s="18"/>
      <c r="D1916" s="19" t="str">
        <f>IF(Tabela2[[#This Row],[AGRUPADOR]]&lt;&gt;"",VLOOKUP(Tabela2[[#This Row],[AGRUPADOR]],Tabela1[],2,0),"")</f>
        <v/>
      </c>
      <c r="E1916" s="19" t="str">
        <f>IF(Tabela2[[#This Row],[AGRUPADOR]]&lt;&gt;"",VLOOKUP(Tabela2[[#This Row],[AGRUPADOR]],Tabela1[],4,0),"")</f>
        <v/>
      </c>
      <c r="F1916" s="14"/>
      <c r="G1916" s="6"/>
      <c r="H1916" s="6"/>
      <c r="I1916" s="25"/>
      <c r="J1916" s="7"/>
      <c r="K1916" s="15"/>
      <c r="L1916" s="379">
        <f>IF(H1916&lt;&gt;"",J1916*K1916,SUMIFS(L1917:L$9844,$F1917:$F$9844,"*"&amp;F1916&amp;"*",$H1917:$H$9844,"&lt;&gt;"))</f>
        <v>0</v>
      </c>
      <c r="M1916" s="379" t="str">
        <f>IF(Tabela2[[#This Row],[UNID.]]&lt;&gt;"",IFERROR(VLOOKUP(Tabela2[[#This Row],[AGRUPADOR]],Lucratividade!$D$4:$O$129,6,0),0),"")</f>
        <v/>
      </c>
      <c r="N1916" s="379">
        <f>IF(H1916&lt;&gt;"",J1916*M1916*I1916,SUMIFS(N1917:N$9844,$F1917:$F$9844,"*"&amp;F1916&amp;"*",$H1917:$H$9844,"&lt;&gt;"))</f>
        <v>0</v>
      </c>
      <c r="O1916" s="162" t="str">
        <f>IFERROR((-Tabela2[[#This Row],[CUSTO TOTAL]]+Tabela2[[#This Row],[VENDA TOTAL]])/Tabela2[[#This Row],[VENDA TOTAL]]-PARAMETROS!$C$19,"")</f>
        <v/>
      </c>
      <c r="AA1916" s="218">
        <f>SUM(Plan_Orc[[#This Row],[01/jan]:[01/dez]])</f>
        <v>0</v>
      </c>
      <c r="AB1916" s="12"/>
      <c r="AC1916" s="12"/>
      <c r="AD1916" s="12"/>
      <c r="AE1916" s="12"/>
      <c r="AF1916" s="12"/>
      <c r="AG1916" s="12"/>
      <c r="AH1916" s="12"/>
      <c r="AI1916" s="12"/>
      <c r="AJ1916" s="12"/>
      <c r="AK1916" s="12"/>
      <c r="AL1916" s="12"/>
      <c r="AM1916" s="12"/>
    </row>
    <row r="1917" spans="2:39" ht="25.2" customHeight="1" x14ac:dyDescent="0.3">
      <c r="B1917" s="13" t="str">
        <f t="shared" si="33"/>
        <v/>
      </c>
      <c r="C1917" s="18"/>
      <c r="D1917" s="19" t="str">
        <f>IF(Tabela2[[#This Row],[AGRUPADOR]]&lt;&gt;"",VLOOKUP(Tabela2[[#This Row],[AGRUPADOR]],Tabela1[],2,0),"")</f>
        <v/>
      </c>
      <c r="E1917" s="19" t="str">
        <f>IF(Tabela2[[#This Row],[AGRUPADOR]]&lt;&gt;"",VLOOKUP(Tabela2[[#This Row],[AGRUPADOR]],Tabela1[],4,0),"")</f>
        <v/>
      </c>
      <c r="F1917" s="14"/>
      <c r="G1917" s="6"/>
      <c r="H1917" s="6"/>
      <c r="I1917" s="25"/>
      <c r="J1917" s="7"/>
      <c r="K1917" s="15"/>
      <c r="L1917" s="379">
        <f>IF(H1917&lt;&gt;"",J1917*K1917,SUMIFS(L1918:L$9844,$F1918:$F$9844,"*"&amp;F1917&amp;"*",$H1918:$H$9844,"&lt;&gt;"))</f>
        <v>0</v>
      </c>
      <c r="M1917" s="379" t="str">
        <f>IF(Tabela2[[#This Row],[UNID.]]&lt;&gt;"",IFERROR(VLOOKUP(Tabela2[[#This Row],[AGRUPADOR]],Lucratividade!$D$4:$O$129,6,0),0),"")</f>
        <v/>
      </c>
      <c r="N1917" s="379">
        <f>IF(H1917&lt;&gt;"",J1917*M1917*I1917,SUMIFS(N1918:N$9844,$F1918:$F$9844,"*"&amp;F1917&amp;"*",$H1918:$H$9844,"&lt;&gt;"))</f>
        <v>0</v>
      </c>
      <c r="O1917" s="162" t="str">
        <f>IFERROR((-Tabela2[[#This Row],[CUSTO TOTAL]]+Tabela2[[#This Row],[VENDA TOTAL]])/Tabela2[[#This Row],[VENDA TOTAL]]-PARAMETROS!$C$19,"")</f>
        <v/>
      </c>
      <c r="AA1917" s="219">
        <f>SUM(Plan_Orc[[#This Row],[01/jan]:[01/dez]])</f>
        <v>0</v>
      </c>
      <c r="AB1917" s="15"/>
      <c r="AC1917" s="15"/>
      <c r="AD1917" s="15"/>
      <c r="AE1917" s="15"/>
      <c r="AF1917" s="15"/>
      <c r="AG1917" s="15"/>
      <c r="AH1917" s="15"/>
      <c r="AI1917" s="15"/>
      <c r="AJ1917" s="15"/>
      <c r="AK1917" s="15"/>
      <c r="AL1917" s="15"/>
      <c r="AM1917" s="15"/>
    </row>
    <row r="1918" spans="2:39" ht="25.2" customHeight="1" x14ac:dyDescent="0.3">
      <c r="B1918" s="13" t="str">
        <f t="shared" si="33"/>
        <v/>
      </c>
      <c r="C1918" s="18"/>
      <c r="D1918" s="19" t="str">
        <f>IF(Tabela2[[#This Row],[AGRUPADOR]]&lt;&gt;"",VLOOKUP(Tabela2[[#This Row],[AGRUPADOR]],Tabela1[],2,0),"")</f>
        <v/>
      </c>
      <c r="E1918" s="19" t="str">
        <f>IF(Tabela2[[#This Row],[AGRUPADOR]]&lt;&gt;"",VLOOKUP(Tabela2[[#This Row],[AGRUPADOR]],Tabela1[],4,0),"")</f>
        <v/>
      </c>
      <c r="F1918" s="14"/>
      <c r="G1918" s="6"/>
      <c r="H1918" s="6"/>
      <c r="I1918" s="25"/>
      <c r="J1918" s="7"/>
      <c r="K1918" s="15"/>
      <c r="L1918" s="379">
        <f>IF(H1918&lt;&gt;"",J1918*K1918,SUMIFS(L1919:L$9844,$F1919:$F$9844,"*"&amp;F1918&amp;"*",$H1919:$H$9844,"&lt;&gt;"))</f>
        <v>0</v>
      </c>
      <c r="M1918" s="379" t="str">
        <f>IF(Tabela2[[#This Row],[UNID.]]&lt;&gt;"",IFERROR(VLOOKUP(Tabela2[[#This Row],[AGRUPADOR]],Lucratividade!$D$4:$O$129,6,0),0),"")</f>
        <v/>
      </c>
      <c r="N1918" s="379">
        <f>IF(H1918&lt;&gt;"",J1918*M1918*I1918,SUMIFS(N1919:N$9844,$F1919:$F$9844,"*"&amp;F1918&amp;"*",$H1919:$H$9844,"&lt;&gt;"))</f>
        <v>0</v>
      </c>
      <c r="O1918" s="162" t="str">
        <f>IFERROR((-Tabela2[[#This Row],[CUSTO TOTAL]]+Tabela2[[#This Row],[VENDA TOTAL]])/Tabela2[[#This Row],[VENDA TOTAL]]-PARAMETROS!$C$19,"")</f>
        <v/>
      </c>
      <c r="AA1918" s="219">
        <f>SUM(Plan_Orc[[#This Row],[01/jan]:[01/dez]])</f>
        <v>0</v>
      </c>
      <c r="AB1918" s="15"/>
      <c r="AC1918" s="15"/>
      <c r="AD1918" s="15"/>
      <c r="AE1918" s="15"/>
      <c r="AF1918" s="15"/>
      <c r="AG1918" s="15"/>
      <c r="AH1918" s="15"/>
      <c r="AI1918" s="15"/>
      <c r="AJ1918" s="15"/>
      <c r="AK1918" s="15"/>
      <c r="AL1918" s="15"/>
      <c r="AM1918" s="15"/>
    </row>
    <row r="1919" spans="2:39" ht="25.2" customHeight="1" x14ac:dyDescent="0.3">
      <c r="B1919" s="13" t="str">
        <f t="shared" si="33"/>
        <v/>
      </c>
      <c r="C1919" s="18"/>
      <c r="D1919" s="19" t="str">
        <f>IF(Tabela2[[#This Row],[AGRUPADOR]]&lt;&gt;"",VLOOKUP(Tabela2[[#This Row],[AGRUPADOR]],Tabela1[],2,0),"")</f>
        <v/>
      </c>
      <c r="E1919" s="19" t="str">
        <f>IF(Tabela2[[#This Row],[AGRUPADOR]]&lt;&gt;"",VLOOKUP(Tabela2[[#This Row],[AGRUPADOR]],Tabela1[],4,0),"")</f>
        <v/>
      </c>
      <c r="F1919" s="14"/>
      <c r="G1919" s="6"/>
      <c r="H1919" s="6"/>
      <c r="I1919" s="25"/>
      <c r="J1919" s="7"/>
      <c r="K1919" s="15"/>
      <c r="L1919" s="379">
        <f>IF(H1919&lt;&gt;"",J1919*K1919,SUMIFS(L1920:L$9844,$F1920:$F$9844,"*"&amp;F1919&amp;"*",$H1920:$H$9844,"&lt;&gt;"))</f>
        <v>0</v>
      </c>
      <c r="M1919" s="379" t="str">
        <f>IF(Tabela2[[#This Row],[UNID.]]&lt;&gt;"",IFERROR(VLOOKUP(Tabela2[[#This Row],[AGRUPADOR]],Lucratividade!$D$4:$O$129,6,0),0),"")</f>
        <v/>
      </c>
      <c r="N1919" s="379">
        <f>IF(H1919&lt;&gt;"",J1919*M1919*I1919,SUMIFS(N1920:N$9844,$F1920:$F$9844,"*"&amp;F1919&amp;"*",$H1920:$H$9844,"&lt;&gt;"))</f>
        <v>0</v>
      </c>
      <c r="O1919" s="162" t="str">
        <f>IFERROR((-Tabela2[[#This Row],[CUSTO TOTAL]]+Tabela2[[#This Row],[VENDA TOTAL]])/Tabela2[[#This Row],[VENDA TOTAL]]-PARAMETROS!$C$19,"")</f>
        <v/>
      </c>
      <c r="AA1919" s="219">
        <f>SUM(Plan_Orc[[#This Row],[01/jan]:[01/dez]])</f>
        <v>0</v>
      </c>
      <c r="AB1919" s="15"/>
      <c r="AC1919" s="15"/>
      <c r="AD1919" s="15"/>
      <c r="AE1919" s="15"/>
      <c r="AF1919" s="15"/>
      <c r="AG1919" s="15"/>
      <c r="AH1919" s="15"/>
      <c r="AI1919" s="15"/>
      <c r="AJ1919" s="15"/>
      <c r="AK1919" s="15"/>
      <c r="AL1919" s="15"/>
      <c r="AM1919" s="15"/>
    </row>
    <row r="1920" spans="2:39" ht="25.2" customHeight="1" x14ac:dyDescent="0.3">
      <c r="B1920" s="13" t="str">
        <f t="shared" si="33"/>
        <v/>
      </c>
      <c r="C1920" s="18"/>
      <c r="D1920" s="19" t="str">
        <f>IF(Tabela2[[#This Row],[AGRUPADOR]]&lt;&gt;"",VLOOKUP(Tabela2[[#This Row],[AGRUPADOR]],Tabela1[],2,0),"")</f>
        <v/>
      </c>
      <c r="E1920" s="19" t="str">
        <f>IF(Tabela2[[#This Row],[AGRUPADOR]]&lt;&gt;"",VLOOKUP(Tabela2[[#This Row],[AGRUPADOR]],Tabela1[],4,0),"")</f>
        <v/>
      </c>
      <c r="F1920" s="14"/>
      <c r="G1920" s="6"/>
      <c r="H1920" s="6"/>
      <c r="I1920" s="25"/>
      <c r="J1920" s="7"/>
      <c r="K1920" s="15"/>
      <c r="L1920" s="379">
        <f>IF(H1920&lt;&gt;"",J1920*K1920,SUMIFS(L1921:L$9844,$F1921:$F$9844,"*"&amp;F1920&amp;"*",$H1921:$H$9844,"&lt;&gt;"))</f>
        <v>0</v>
      </c>
      <c r="M1920" s="379" t="str">
        <f>IF(Tabela2[[#This Row],[UNID.]]&lt;&gt;"",IFERROR(VLOOKUP(Tabela2[[#This Row],[AGRUPADOR]],Lucratividade!$D$4:$O$129,6,0),0),"")</f>
        <v/>
      </c>
      <c r="N1920" s="379">
        <f>IF(H1920&lt;&gt;"",J1920*M1920*I1920,SUMIFS(N1921:N$9844,$F1921:$F$9844,"*"&amp;F1920&amp;"*",$H1921:$H$9844,"&lt;&gt;"))</f>
        <v>0</v>
      </c>
      <c r="O1920" s="162" t="str">
        <f>IFERROR((-Tabela2[[#This Row],[CUSTO TOTAL]]+Tabela2[[#This Row],[VENDA TOTAL]])/Tabela2[[#This Row],[VENDA TOTAL]]-PARAMETROS!$C$19,"")</f>
        <v/>
      </c>
      <c r="AA1920" s="219">
        <f>SUM(Plan_Orc[[#This Row],[01/jan]:[01/dez]])</f>
        <v>0</v>
      </c>
      <c r="AB1920" s="15"/>
      <c r="AC1920" s="15"/>
      <c r="AD1920" s="15"/>
      <c r="AE1920" s="15"/>
      <c r="AF1920" s="15"/>
      <c r="AG1920" s="15"/>
      <c r="AH1920" s="15"/>
      <c r="AI1920" s="15"/>
      <c r="AJ1920" s="15"/>
      <c r="AK1920" s="15"/>
      <c r="AL1920" s="15"/>
      <c r="AM1920" s="15"/>
    </row>
    <row r="1921" spans="2:39" ht="25.2" customHeight="1" x14ac:dyDescent="0.3">
      <c r="B1921" s="13" t="str">
        <f t="shared" si="33"/>
        <v/>
      </c>
      <c r="C1921" s="18"/>
      <c r="D1921" s="19" t="str">
        <f>IF(Tabela2[[#This Row],[AGRUPADOR]]&lt;&gt;"",VLOOKUP(Tabela2[[#This Row],[AGRUPADOR]],Tabela1[],2,0),"")</f>
        <v/>
      </c>
      <c r="E1921" s="19" t="str">
        <f>IF(Tabela2[[#This Row],[AGRUPADOR]]&lt;&gt;"",VLOOKUP(Tabela2[[#This Row],[AGRUPADOR]],Tabela1[],4,0),"")</f>
        <v/>
      </c>
      <c r="F1921" s="14"/>
      <c r="G1921" s="6"/>
      <c r="H1921" s="6"/>
      <c r="I1921" s="25"/>
      <c r="J1921" s="7"/>
      <c r="K1921" s="15"/>
      <c r="L1921" s="379">
        <f>IF(H1921&lt;&gt;"",J1921*K1921,SUMIFS(L1922:L$9844,$F1922:$F$9844,"*"&amp;F1921&amp;"*",$H1922:$H$9844,"&lt;&gt;"))</f>
        <v>0</v>
      </c>
      <c r="M1921" s="379" t="str">
        <f>IF(Tabela2[[#This Row],[UNID.]]&lt;&gt;"",IFERROR(VLOOKUP(Tabela2[[#This Row],[AGRUPADOR]],Lucratividade!$D$4:$O$129,6,0),0),"")</f>
        <v/>
      </c>
      <c r="N1921" s="379">
        <f>IF(H1921&lt;&gt;"",J1921*M1921*I1921,SUMIFS(N1922:N$9844,$F1922:$F$9844,"*"&amp;F1921&amp;"*",$H1922:$H$9844,"&lt;&gt;"))</f>
        <v>0</v>
      </c>
      <c r="O1921" s="162" t="str">
        <f>IFERROR((-Tabela2[[#This Row],[CUSTO TOTAL]]+Tabela2[[#This Row],[VENDA TOTAL]])/Tabela2[[#This Row],[VENDA TOTAL]]-PARAMETROS!$C$19,"")</f>
        <v/>
      </c>
      <c r="AA1921" s="219">
        <f>SUM(Plan_Orc[[#This Row],[01/jan]:[01/dez]])</f>
        <v>0</v>
      </c>
      <c r="AB1921" s="15"/>
      <c r="AC1921" s="15"/>
      <c r="AD1921" s="15"/>
      <c r="AE1921" s="15"/>
      <c r="AF1921" s="15"/>
      <c r="AG1921" s="15"/>
      <c r="AH1921" s="15"/>
      <c r="AI1921" s="15"/>
      <c r="AJ1921" s="15"/>
      <c r="AK1921" s="15"/>
      <c r="AL1921" s="15"/>
      <c r="AM1921" s="15"/>
    </row>
    <row r="1922" spans="2:39" ht="25.2" customHeight="1" x14ac:dyDescent="0.3">
      <c r="B1922" s="13" t="str">
        <f t="shared" si="33"/>
        <v/>
      </c>
      <c r="C1922" s="18"/>
      <c r="D1922" s="19" t="str">
        <f>IF(Tabela2[[#This Row],[AGRUPADOR]]&lt;&gt;"",VLOOKUP(Tabela2[[#This Row],[AGRUPADOR]],Tabela1[],2,0),"")</f>
        <v/>
      </c>
      <c r="E1922" s="19" t="str">
        <f>IF(Tabela2[[#This Row],[AGRUPADOR]]&lt;&gt;"",VLOOKUP(Tabela2[[#This Row],[AGRUPADOR]],Tabela1[],4,0),"")</f>
        <v/>
      </c>
      <c r="F1922" s="14"/>
      <c r="G1922" s="6"/>
      <c r="H1922" s="6"/>
      <c r="I1922" s="25"/>
      <c r="J1922" s="7"/>
      <c r="K1922" s="15"/>
      <c r="L1922" s="379">
        <f>IF(H1922&lt;&gt;"",J1922*K1922,SUMIFS(L1923:L$9844,$F1923:$F$9844,"*"&amp;F1922&amp;"*",$H1923:$H$9844,"&lt;&gt;"))</f>
        <v>0</v>
      </c>
      <c r="M1922" s="379" t="str">
        <f>IF(Tabela2[[#This Row],[UNID.]]&lt;&gt;"",IFERROR(VLOOKUP(Tabela2[[#This Row],[AGRUPADOR]],Lucratividade!$D$4:$O$129,6,0),0),"")</f>
        <v/>
      </c>
      <c r="N1922" s="379">
        <f>IF(H1922&lt;&gt;"",J1922*M1922*I1922,SUMIFS(N1923:N$9844,$F1923:$F$9844,"*"&amp;F1922&amp;"*",$H1923:$H$9844,"&lt;&gt;"))</f>
        <v>0</v>
      </c>
      <c r="O1922" s="162" t="str">
        <f>IFERROR((-Tabela2[[#This Row],[CUSTO TOTAL]]+Tabela2[[#This Row],[VENDA TOTAL]])/Tabela2[[#This Row],[VENDA TOTAL]]-PARAMETROS!$C$19,"")</f>
        <v/>
      </c>
      <c r="AA1922" s="219">
        <f>SUM(Plan_Orc[[#This Row],[01/jan]:[01/dez]])</f>
        <v>0</v>
      </c>
      <c r="AB1922" s="15"/>
      <c r="AC1922" s="15"/>
      <c r="AD1922" s="15"/>
      <c r="AE1922" s="15"/>
      <c r="AF1922" s="15"/>
      <c r="AG1922" s="15"/>
      <c r="AH1922" s="15"/>
      <c r="AI1922" s="15"/>
      <c r="AJ1922" s="15"/>
      <c r="AK1922" s="15"/>
      <c r="AL1922" s="15"/>
      <c r="AM1922" s="15"/>
    </row>
    <row r="1923" spans="2:39" ht="25.2" customHeight="1" x14ac:dyDescent="0.3">
      <c r="B1923" s="13" t="str">
        <f t="shared" si="33"/>
        <v/>
      </c>
      <c r="C1923" s="18"/>
      <c r="D1923" s="19" t="str">
        <f>IF(Tabela2[[#This Row],[AGRUPADOR]]&lt;&gt;"",VLOOKUP(Tabela2[[#This Row],[AGRUPADOR]],Tabela1[],2,0),"")</f>
        <v/>
      </c>
      <c r="E1923" s="19" t="str">
        <f>IF(Tabela2[[#This Row],[AGRUPADOR]]&lt;&gt;"",VLOOKUP(Tabela2[[#This Row],[AGRUPADOR]],Tabela1[],4,0),"")</f>
        <v/>
      </c>
      <c r="F1923" s="14"/>
      <c r="G1923" s="6"/>
      <c r="H1923" s="6"/>
      <c r="I1923" s="25"/>
      <c r="J1923" s="7"/>
      <c r="K1923" s="15"/>
      <c r="L1923" s="379">
        <f>IF(H1923&lt;&gt;"",J1923*K1923,SUMIFS(L1924:L$9844,$F1924:$F$9844,"*"&amp;F1923&amp;"*",$H1924:$H$9844,"&lt;&gt;"))</f>
        <v>0</v>
      </c>
      <c r="M1923" s="379" t="str">
        <f>IF(Tabela2[[#This Row],[UNID.]]&lt;&gt;"",IFERROR(VLOOKUP(Tabela2[[#This Row],[AGRUPADOR]],Lucratividade!$D$4:$O$129,6,0),0),"")</f>
        <v/>
      </c>
      <c r="N1923" s="379">
        <f>IF(H1923&lt;&gt;"",J1923*M1923*I1923,SUMIFS(N1924:N$9844,$F1924:$F$9844,"*"&amp;F1923&amp;"*",$H1924:$H$9844,"&lt;&gt;"))</f>
        <v>0</v>
      </c>
      <c r="O1923" s="162" t="str">
        <f>IFERROR((-Tabela2[[#This Row],[CUSTO TOTAL]]+Tabela2[[#This Row],[VENDA TOTAL]])/Tabela2[[#This Row],[VENDA TOTAL]]-PARAMETROS!$C$19,"")</f>
        <v/>
      </c>
      <c r="AA1923" s="219">
        <f>SUM(Plan_Orc[[#This Row],[01/jan]:[01/dez]])</f>
        <v>0</v>
      </c>
      <c r="AB1923" s="15"/>
      <c r="AC1923" s="15"/>
      <c r="AD1923" s="15"/>
      <c r="AE1923" s="15"/>
      <c r="AF1923" s="15"/>
      <c r="AG1923" s="15"/>
      <c r="AH1923" s="15"/>
      <c r="AI1923" s="15"/>
      <c r="AJ1923" s="15"/>
      <c r="AK1923" s="15"/>
      <c r="AL1923" s="15"/>
      <c r="AM1923" s="15"/>
    </row>
    <row r="1924" spans="2:39" ht="25.2" customHeight="1" x14ac:dyDescent="0.3">
      <c r="B1924" s="13" t="str">
        <f t="shared" ref="B1924:B1987" si="34">IF(LEN(F1924)=3,1,"")</f>
        <v/>
      </c>
      <c r="C1924" s="18"/>
      <c r="D1924" s="19" t="str">
        <f>IF(Tabela2[[#This Row],[AGRUPADOR]]&lt;&gt;"",VLOOKUP(Tabela2[[#This Row],[AGRUPADOR]],Tabela1[],2,0),"")</f>
        <v/>
      </c>
      <c r="E1924" s="19" t="str">
        <f>IF(Tabela2[[#This Row],[AGRUPADOR]]&lt;&gt;"",VLOOKUP(Tabela2[[#This Row],[AGRUPADOR]],Tabela1[],4,0),"")</f>
        <v/>
      </c>
      <c r="F1924" s="14"/>
      <c r="G1924" s="6"/>
      <c r="H1924" s="6"/>
      <c r="I1924" s="25"/>
      <c r="J1924" s="7"/>
      <c r="K1924" s="15"/>
      <c r="L1924" s="379">
        <f>IF(H1924&lt;&gt;"",J1924*K1924,SUMIFS(L1925:L$9844,$F1925:$F$9844,"*"&amp;F1924&amp;"*",$H1925:$H$9844,"&lt;&gt;"))</f>
        <v>0</v>
      </c>
      <c r="M1924" s="379" t="str">
        <f>IF(Tabela2[[#This Row],[UNID.]]&lt;&gt;"",IFERROR(VLOOKUP(Tabela2[[#This Row],[AGRUPADOR]],Lucratividade!$D$4:$O$129,6,0),0),"")</f>
        <v/>
      </c>
      <c r="N1924" s="379">
        <f>IF(H1924&lt;&gt;"",J1924*M1924*I1924,SUMIFS(N1925:N$9844,$F1925:$F$9844,"*"&amp;F1924&amp;"*",$H1925:$H$9844,"&lt;&gt;"))</f>
        <v>0</v>
      </c>
      <c r="O1924" s="162" t="str">
        <f>IFERROR((-Tabela2[[#This Row],[CUSTO TOTAL]]+Tabela2[[#This Row],[VENDA TOTAL]])/Tabela2[[#This Row],[VENDA TOTAL]]-PARAMETROS!$C$19,"")</f>
        <v/>
      </c>
      <c r="AA1924" s="219">
        <f>SUM(Plan_Orc[[#This Row],[01/jan]:[01/dez]])</f>
        <v>0</v>
      </c>
      <c r="AB1924" s="15"/>
      <c r="AC1924" s="15"/>
      <c r="AD1924" s="15"/>
      <c r="AE1924" s="15"/>
      <c r="AF1924" s="15"/>
      <c r="AG1924" s="15"/>
      <c r="AH1924" s="15"/>
      <c r="AI1924" s="15"/>
      <c r="AJ1924" s="15"/>
      <c r="AK1924" s="15"/>
      <c r="AL1924" s="15"/>
      <c r="AM1924" s="15"/>
    </row>
    <row r="1925" spans="2:39" ht="25.2" customHeight="1" x14ac:dyDescent="0.3">
      <c r="B1925" s="13" t="str">
        <f t="shared" si="34"/>
        <v/>
      </c>
      <c r="C1925" s="18"/>
      <c r="D1925" s="19" t="str">
        <f>IF(Tabela2[[#This Row],[AGRUPADOR]]&lt;&gt;"",VLOOKUP(Tabela2[[#This Row],[AGRUPADOR]],Tabela1[],2,0),"")</f>
        <v/>
      </c>
      <c r="E1925" s="19" t="str">
        <f>IF(Tabela2[[#This Row],[AGRUPADOR]]&lt;&gt;"",VLOOKUP(Tabela2[[#This Row],[AGRUPADOR]],Tabela1[],4,0),"")</f>
        <v/>
      </c>
      <c r="F1925" s="14"/>
      <c r="G1925" s="6"/>
      <c r="H1925" s="6"/>
      <c r="I1925" s="25"/>
      <c r="J1925" s="7"/>
      <c r="K1925" s="15"/>
      <c r="L1925" s="379">
        <f>IF(H1925&lt;&gt;"",J1925*K1925,SUMIFS(L1926:L$9844,$F1926:$F$9844,"*"&amp;F1925&amp;"*",$H1926:$H$9844,"&lt;&gt;"))</f>
        <v>0</v>
      </c>
      <c r="M1925" s="379" t="str">
        <f>IF(Tabela2[[#This Row],[UNID.]]&lt;&gt;"",IFERROR(VLOOKUP(Tabela2[[#This Row],[AGRUPADOR]],Lucratividade!$D$4:$O$129,6,0),0),"")</f>
        <v/>
      </c>
      <c r="N1925" s="379">
        <f>IF(H1925&lt;&gt;"",J1925*M1925*I1925,SUMIFS(N1926:N$9844,$F1926:$F$9844,"*"&amp;F1925&amp;"*",$H1926:$H$9844,"&lt;&gt;"))</f>
        <v>0</v>
      </c>
      <c r="O1925" s="162" t="str">
        <f>IFERROR((-Tabela2[[#This Row],[CUSTO TOTAL]]+Tabela2[[#This Row],[VENDA TOTAL]])/Tabela2[[#This Row],[VENDA TOTAL]]-PARAMETROS!$C$19,"")</f>
        <v/>
      </c>
      <c r="AA1925" s="219">
        <f>SUM(Plan_Orc[[#This Row],[01/jan]:[01/dez]])</f>
        <v>0</v>
      </c>
      <c r="AB1925" s="15"/>
      <c r="AC1925" s="15"/>
      <c r="AD1925" s="15"/>
      <c r="AE1925" s="15"/>
      <c r="AF1925" s="15"/>
      <c r="AG1925" s="15"/>
      <c r="AH1925" s="15"/>
      <c r="AI1925" s="15"/>
      <c r="AJ1925" s="15"/>
      <c r="AK1925" s="15"/>
      <c r="AL1925" s="15"/>
      <c r="AM1925" s="15"/>
    </row>
    <row r="1926" spans="2:39" ht="25.2" customHeight="1" x14ac:dyDescent="0.3">
      <c r="B1926" s="13" t="str">
        <f t="shared" si="34"/>
        <v/>
      </c>
      <c r="C1926" s="18"/>
      <c r="D1926" s="19" t="str">
        <f>IF(Tabela2[[#This Row],[AGRUPADOR]]&lt;&gt;"",VLOOKUP(Tabela2[[#This Row],[AGRUPADOR]],Tabela1[],2,0),"")</f>
        <v/>
      </c>
      <c r="E1926" s="19" t="str">
        <f>IF(Tabela2[[#This Row],[AGRUPADOR]]&lt;&gt;"",VLOOKUP(Tabela2[[#This Row],[AGRUPADOR]],Tabela1[],4,0),"")</f>
        <v/>
      </c>
      <c r="F1926" s="14"/>
      <c r="G1926" s="6"/>
      <c r="H1926" s="6"/>
      <c r="I1926" s="25"/>
      <c r="J1926" s="7"/>
      <c r="K1926" s="15"/>
      <c r="L1926" s="379">
        <f>IF(H1926&lt;&gt;"",J1926*K1926,SUMIFS(L1927:L$9844,$F1927:$F$9844,"*"&amp;F1926&amp;"*",$H1927:$H$9844,"&lt;&gt;"))</f>
        <v>0</v>
      </c>
      <c r="M1926" s="379" t="str">
        <f>IF(Tabela2[[#This Row],[UNID.]]&lt;&gt;"",IFERROR(VLOOKUP(Tabela2[[#This Row],[AGRUPADOR]],Lucratividade!$D$4:$O$129,6,0),0),"")</f>
        <v/>
      </c>
      <c r="N1926" s="379">
        <f>IF(H1926&lt;&gt;"",J1926*M1926*I1926,SUMIFS(N1927:N$9844,$F1927:$F$9844,"*"&amp;F1926&amp;"*",$H1927:$H$9844,"&lt;&gt;"))</f>
        <v>0</v>
      </c>
      <c r="O1926" s="162" t="str">
        <f>IFERROR((-Tabela2[[#This Row],[CUSTO TOTAL]]+Tabela2[[#This Row],[VENDA TOTAL]])/Tabela2[[#This Row],[VENDA TOTAL]]-PARAMETROS!$C$19,"")</f>
        <v/>
      </c>
      <c r="AA1926" s="219">
        <f>SUM(Plan_Orc[[#This Row],[01/jan]:[01/dez]])</f>
        <v>0</v>
      </c>
      <c r="AB1926" s="15"/>
      <c r="AC1926" s="15"/>
      <c r="AD1926" s="15"/>
      <c r="AE1926" s="15"/>
      <c r="AF1926" s="15"/>
      <c r="AG1926" s="15"/>
      <c r="AH1926" s="15"/>
      <c r="AI1926" s="15"/>
      <c r="AJ1926" s="15"/>
      <c r="AK1926" s="15"/>
      <c r="AL1926" s="15"/>
      <c r="AM1926" s="15"/>
    </row>
    <row r="1927" spans="2:39" ht="25.2" customHeight="1" x14ac:dyDescent="0.3">
      <c r="B1927" s="13" t="str">
        <f t="shared" si="34"/>
        <v/>
      </c>
      <c r="C1927" s="18"/>
      <c r="D1927" s="19" t="str">
        <f>IF(Tabela2[[#This Row],[AGRUPADOR]]&lt;&gt;"",VLOOKUP(Tabela2[[#This Row],[AGRUPADOR]],Tabela1[],2,0),"")</f>
        <v/>
      </c>
      <c r="E1927" s="19" t="str">
        <f>IF(Tabela2[[#This Row],[AGRUPADOR]]&lt;&gt;"",VLOOKUP(Tabela2[[#This Row],[AGRUPADOR]],Tabela1[],4,0),"")</f>
        <v/>
      </c>
      <c r="F1927" s="14"/>
      <c r="G1927" s="6"/>
      <c r="H1927" s="6"/>
      <c r="I1927" s="25"/>
      <c r="J1927" s="7"/>
      <c r="K1927" s="15"/>
      <c r="L1927" s="379">
        <f>IF(H1927&lt;&gt;"",J1927*K1927,SUMIFS(L1928:L$9844,$F1928:$F$9844,"*"&amp;F1927&amp;"*",$H1928:$H$9844,"&lt;&gt;"))</f>
        <v>0</v>
      </c>
      <c r="M1927" s="379" t="str">
        <f>IF(Tabela2[[#This Row],[UNID.]]&lt;&gt;"",IFERROR(VLOOKUP(Tabela2[[#This Row],[AGRUPADOR]],Lucratividade!$D$4:$O$129,6,0),0),"")</f>
        <v/>
      </c>
      <c r="N1927" s="379">
        <f>IF(H1927&lt;&gt;"",J1927*M1927*I1927,SUMIFS(N1928:N$9844,$F1928:$F$9844,"*"&amp;F1927&amp;"*",$H1928:$H$9844,"&lt;&gt;"))</f>
        <v>0</v>
      </c>
      <c r="O1927" s="162" t="str">
        <f>IFERROR((-Tabela2[[#This Row],[CUSTO TOTAL]]+Tabela2[[#This Row],[VENDA TOTAL]])/Tabela2[[#This Row],[VENDA TOTAL]]-PARAMETROS!$C$19,"")</f>
        <v/>
      </c>
      <c r="AA1927" s="219">
        <f>SUM(Plan_Orc[[#This Row],[01/jan]:[01/dez]])</f>
        <v>0</v>
      </c>
      <c r="AB1927" s="15"/>
      <c r="AC1927" s="15"/>
      <c r="AD1927" s="15"/>
      <c r="AE1927" s="15"/>
      <c r="AF1927" s="15"/>
      <c r="AG1927" s="15"/>
      <c r="AH1927" s="15"/>
      <c r="AI1927" s="15"/>
      <c r="AJ1927" s="15"/>
      <c r="AK1927" s="15"/>
      <c r="AL1927" s="15"/>
      <c r="AM1927" s="15"/>
    </row>
    <row r="1928" spans="2:39" ht="25.2" customHeight="1" x14ac:dyDescent="0.3">
      <c r="B1928" s="13" t="str">
        <f t="shared" si="34"/>
        <v/>
      </c>
      <c r="C1928" s="18"/>
      <c r="D1928" s="19" t="str">
        <f>IF(Tabela2[[#This Row],[AGRUPADOR]]&lt;&gt;"",VLOOKUP(Tabela2[[#This Row],[AGRUPADOR]],Tabela1[],2,0),"")</f>
        <v/>
      </c>
      <c r="E1928" s="19" t="str">
        <f>IF(Tabela2[[#This Row],[AGRUPADOR]]&lt;&gt;"",VLOOKUP(Tabela2[[#This Row],[AGRUPADOR]],Tabela1[],4,0),"")</f>
        <v/>
      </c>
      <c r="F1928" s="14"/>
      <c r="G1928" s="6"/>
      <c r="H1928" s="6"/>
      <c r="I1928" s="25"/>
      <c r="J1928" s="7"/>
      <c r="K1928" s="15"/>
      <c r="L1928" s="379">
        <f>IF(H1928&lt;&gt;"",J1928*K1928,SUMIFS(L1929:L$9844,$F1929:$F$9844,"*"&amp;F1928&amp;"*",$H1929:$H$9844,"&lt;&gt;"))</f>
        <v>0</v>
      </c>
      <c r="M1928" s="379" t="str">
        <f>IF(Tabela2[[#This Row],[UNID.]]&lt;&gt;"",IFERROR(VLOOKUP(Tabela2[[#This Row],[AGRUPADOR]],Lucratividade!$D$4:$O$129,6,0),0),"")</f>
        <v/>
      </c>
      <c r="N1928" s="379">
        <f>IF(H1928&lt;&gt;"",J1928*M1928*I1928,SUMIFS(N1929:N$9844,$F1929:$F$9844,"*"&amp;F1928&amp;"*",$H1929:$H$9844,"&lt;&gt;"))</f>
        <v>0</v>
      </c>
      <c r="O1928" s="162" t="str">
        <f>IFERROR((-Tabela2[[#This Row],[CUSTO TOTAL]]+Tabela2[[#This Row],[VENDA TOTAL]])/Tabela2[[#This Row],[VENDA TOTAL]]-PARAMETROS!$C$19,"")</f>
        <v/>
      </c>
      <c r="AA1928" s="218">
        <f>SUM(Plan_Orc[[#This Row],[01/jan]:[01/dez]])</f>
        <v>0</v>
      </c>
      <c r="AB1928" s="12"/>
      <c r="AC1928" s="12"/>
      <c r="AD1928" s="12"/>
      <c r="AE1928" s="12"/>
      <c r="AF1928" s="12"/>
      <c r="AG1928" s="12"/>
      <c r="AH1928" s="12"/>
      <c r="AI1928" s="12"/>
      <c r="AJ1928" s="12"/>
      <c r="AK1928" s="12"/>
      <c r="AL1928" s="12"/>
      <c r="AM1928" s="12"/>
    </row>
    <row r="1929" spans="2:39" ht="25.2" customHeight="1" x14ac:dyDescent="0.3">
      <c r="B1929" s="13" t="str">
        <f t="shared" si="34"/>
        <v/>
      </c>
      <c r="C1929" s="18"/>
      <c r="D1929" s="19" t="str">
        <f>IF(Tabela2[[#This Row],[AGRUPADOR]]&lt;&gt;"",VLOOKUP(Tabela2[[#This Row],[AGRUPADOR]],Tabela1[],2,0),"")</f>
        <v/>
      </c>
      <c r="E1929" s="19" t="str">
        <f>IF(Tabela2[[#This Row],[AGRUPADOR]]&lt;&gt;"",VLOOKUP(Tabela2[[#This Row],[AGRUPADOR]],Tabela1[],4,0),"")</f>
        <v/>
      </c>
      <c r="F1929" s="14"/>
      <c r="G1929" s="6"/>
      <c r="H1929" s="6"/>
      <c r="I1929" s="25"/>
      <c r="J1929" s="7"/>
      <c r="K1929" s="15"/>
      <c r="L1929" s="379">
        <f>IF(H1929&lt;&gt;"",J1929*K1929,SUMIFS(L1930:L$9844,$F1930:$F$9844,"*"&amp;F1929&amp;"*",$H1930:$H$9844,"&lt;&gt;"))</f>
        <v>0</v>
      </c>
      <c r="M1929" s="379" t="str">
        <f>IF(Tabela2[[#This Row],[UNID.]]&lt;&gt;"",IFERROR(VLOOKUP(Tabela2[[#This Row],[AGRUPADOR]],Lucratividade!$D$4:$O$129,6,0),0),"")</f>
        <v/>
      </c>
      <c r="N1929" s="379">
        <f>IF(H1929&lt;&gt;"",J1929*M1929*I1929,SUMIFS(N1930:N$9844,$F1930:$F$9844,"*"&amp;F1929&amp;"*",$H1930:$H$9844,"&lt;&gt;"))</f>
        <v>0</v>
      </c>
      <c r="O1929" s="162" t="str">
        <f>IFERROR((-Tabela2[[#This Row],[CUSTO TOTAL]]+Tabela2[[#This Row],[VENDA TOTAL]])/Tabela2[[#This Row],[VENDA TOTAL]]-PARAMETROS!$C$19,"")</f>
        <v/>
      </c>
      <c r="AA1929" s="219">
        <f>SUM(Plan_Orc[[#This Row],[01/jan]:[01/dez]])</f>
        <v>0</v>
      </c>
      <c r="AB1929" s="15"/>
      <c r="AC1929" s="15"/>
      <c r="AD1929" s="15"/>
      <c r="AE1929" s="15"/>
      <c r="AF1929" s="15"/>
      <c r="AG1929" s="15"/>
      <c r="AH1929" s="15"/>
      <c r="AI1929" s="15"/>
      <c r="AJ1929" s="15"/>
      <c r="AK1929" s="15"/>
      <c r="AL1929" s="15"/>
      <c r="AM1929" s="15"/>
    </row>
    <row r="1930" spans="2:39" ht="25.2" customHeight="1" x14ac:dyDescent="0.3">
      <c r="B1930" s="13" t="str">
        <f t="shared" si="34"/>
        <v/>
      </c>
      <c r="C1930" s="18"/>
      <c r="D1930" s="19" t="str">
        <f>IF(Tabela2[[#This Row],[AGRUPADOR]]&lt;&gt;"",VLOOKUP(Tabela2[[#This Row],[AGRUPADOR]],Tabela1[],2,0),"")</f>
        <v/>
      </c>
      <c r="E1930" s="19" t="str">
        <f>IF(Tabela2[[#This Row],[AGRUPADOR]]&lt;&gt;"",VLOOKUP(Tabela2[[#This Row],[AGRUPADOR]],Tabela1[],4,0),"")</f>
        <v/>
      </c>
      <c r="F1930" s="14"/>
      <c r="G1930" s="6"/>
      <c r="H1930" s="6"/>
      <c r="I1930" s="25"/>
      <c r="J1930" s="7"/>
      <c r="K1930" s="15"/>
      <c r="L1930" s="379">
        <f>IF(H1930&lt;&gt;"",J1930*K1930,SUMIFS(L1931:L$9844,$F1931:$F$9844,"*"&amp;F1930&amp;"*",$H1931:$H$9844,"&lt;&gt;"))</f>
        <v>0</v>
      </c>
      <c r="M1930" s="379" t="str">
        <f>IF(Tabela2[[#This Row],[UNID.]]&lt;&gt;"",IFERROR(VLOOKUP(Tabela2[[#This Row],[AGRUPADOR]],Lucratividade!$D$4:$O$129,6,0),0),"")</f>
        <v/>
      </c>
      <c r="N1930" s="379">
        <f>IF(H1930&lt;&gt;"",J1930*M1930*I1930,SUMIFS(N1931:N$9844,$F1931:$F$9844,"*"&amp;F1930&amp;"*",$H1931:$H$9844,"&lt;&gt;"))</f>
        <v>0</v>
      </c>
      <c r="O1930" s="162" t="str">
        <f>IFERROR((-Tabela2[[#This Row],[CUSTO TOTAL]]+Tabela2[[#This Row],[VENDA TOTAL]])/Tabela2[[#This Row],[VENDA TOTAL]]-PARAMETROS!$C$19,"")</f>
        <v/>
      </c>
      <c r="AA1930" s="219">
        <f>SUM(Plan_Orc[[#This Row],[01/jan]:[01/dez]])</f>
        <v>0</v>
      </c>
      <c r="AB1930" s="15"/>
      <c r="AC1930" s="15"/>
      <c r="AD1930" s="15"/>
      <c r="AE1930" s="15"/>
      <c r="AF1930" s="15"/>
      <c r="AG1930" s="15"/>
      <c r="AH1930" s="15"/>
      <c r="AI1930" s="15"/>
      <c r="AJ1930" s="15"/>
      <c r="AK1930" s="15"/>
      <c r="AL1930" s="15"/>
      <c r="AM1930" s="15"/>
    </row>
    <row r="1931" spans="2:39" ht="25.2" customHeight="1" x14ac:dyDescent="0.3">
      <c r="B1931" s="13" t="str">
        <f t="shared" si="34"/>
        <v/>
      </c>
      <c r="C1931" s="18"/>
      <c r="D1931" s="19" t="str">
        <f>IF(Tabela2[[#This Row],[AGRUPADOR]]&lt;&gt;"",VLOOKUP(Tabela2[[#This Row],[AGRUPADOR]],Tabela1[],2,0),"")</f>
        <v/>
      </c>
      <c r="E1931" s="19" t="str">
        <f>IF(Tabela2[[#This Row],[AGRUPADOR]]&lt;&gt;"",VLOOKUP(Tabela2[[#This Row],[AGRUPADOR]],Tabela1[],4,0),"")</f>
        <v/>
      </c>
      <c r="F1931" s="14"/>
      <c r="G1931" s="6"/>
      <c r="H1931" s="6"/>
      <c r="I1931" s="25"/>
      <c r="J1931" s="7"/>
      <c r="K1931" s="15"/>
      <c r="L1931" s="379">
        <f>IF(H1931&lt;&gt;"",J1931*K1931,SUMIFS(L1932:L$9844,$F1932:$F$9844,"*"&amp;F1931&amp;"*",$H1932:$H$9844,"&lt;&gt;"))</f>
        <v>0</v>
      </c>
      <c r="M1931" s="379" t="str">
        <f>IF(Tabela2[[#This Row],[UNID.]]&lt;&gt;"",IFERROR(VLOOKUP(Tabela2[[#This Row],[AGRUPADOR]],Lucratividade!$D$4:$O$129,6,0),0),"")</f>
        <v/>
      </c>
      <c r="N1931" s="379">
        <f>IF(H1931&lt;&gt;"",J1931*M1931*I1931,SUMIFS(N1932:N$9844,$F1932:$F$9844,"*"&amp;F1931&amp;"*",$H1932:$H$9844,"&lt;&gt;"))</f>
        <v>0</v>
      </c>
      <c r="O1931" s="162" t="str">
        <f>IFERROR((-Tabela2[[#This Row],[CUSTO TOTAL]]+Tabela2[[#This Row],[VENDA TOTAL]])/Tabela2[[#This Row],[VENDA TOTAL]]-PARAMETROS!$C$19,"")</f>
        <v/>
      </c>
      <c r="AA1931" s="219">
        <f>SUM(Plan_Orc[[#This Row],[01/jan]:[01/dez]])</f>
        <v>0</v>
      </c>
      <c r="AB1931" s="15"/>
      <c r="AC1931" s="15"/>
      <c r="AD1931" s="15"/>
      <c r="AE1931" s="15"/>
      <c r="AF1931" s="15"/>
      <c r="AG1931" s="15"/>
      <c r="AH1931" s="15"/>
      <c r="AI1931" s="15"/>
      <c r="AJ1931" s="15"/>
      <c r="AK1931" s="15"/>
      <c r="AL1931" s="15"/>
      <c r="AM1931" s="15"/>
    </row>
    <row r="1932" spans="2:39" ht="25.2" customHeight="1" x14ac:dyDescent="0.3">
      <c r="B1932" s="13" t="str">
        <f t="shared" si="34"/>
        <v/>
      </c>
      <c r="C1932" s="18"/>
      <c r="D1932" s="19" t="str">
        <f>IF(Tabela2[[#This Row],[AGRUPADOR]]&lt;&gt;"",VLOOKUP(Tabela2[[#This Row],[AGRUPADOR]],Tabela1[],2,0),"")</f>
        <v/>
      </c>
      <c r="E1932" s="19" t="str">
        <f>IF(Tabela2[[#This Row],[AGRUPADOR]]&lt;&gt;"",VLOOKUP(Tabela2[[#This Row],[AGRUPADOR]],Tabela1[],4,0),"")</f>
        <v/>
      </c>
      <c r="F1932" s="14"/>
      <c r="G1932" s="6"/>
      <c r="H1932" s="6"/>
      <c r="I1932" s="25"/>
      <c r="J1932" s="7"/>
      <c r="K1932" s="15"/>
      <c r="L1932" s="379">
        <f>IF(H1932&lt;&gt;"",J1932*K1932,SUMIFS(L1933:L$9844,$F1933:$F$9844,"*"&amp;F1932&amp;"*",$H1933:$H$9844,"&lt;&gt;"))</f>
        <v>0</v>
      </c>
      <c r="M1932" s="379" t="str">
        <f>IF(Tabela2[[#This Row],[UNID.]]&lt;&gt;"",IFERROR(VLOOKUP(Tabela2[[#This Row],[AGRUPADOR]],Lucratividade!$D$4:$O$129,6,0),0),"")</f>
        <v/>
      </c>
      <c r="N1932" s="379">
        <f>IF(H1932&lt;&gt;"",J1932*M1932*I1932,SUMIFS(N1933:N$9844,$F1933:$F$9844,"*"&amp;F1932&amp;"*",$H1933:$H$9844,"&lt;&gt;"))</f>
        <v>0</v>
      </c>
      <c r="O1932" s="162" t="str">
        <f>IFERROR((-Tabela2[[#This Row],[CUSTO TOTAL]]+Tabela2[[#This Row],[VENDA TOTAL]])/Tabela2[[#This Row],[VENDA TOTAL]]-PARAMETROS!$C$19,"")</f>
        <v/>
      </c>
      <c r="AA1932" s="219">
        <f>SUM(Plan_Orc[[#This Row],[01/jan]:[01/dez]])</f>
        <v>0</v>
      </c>
      <c r="AB1932" s="15"/>
      <c r="AC1932" s="15"/>
      <c r="AD1932" s="15"/>
      <c r="AE1932" s="15"/>
      <c r="AF1932" s="15"/>
      <c r="AG1932" s="15"/>
      <c r="AH1932" s="15"/>
      <c r="AI1932" s="15"/>
      <c r="AJ1932" s="15"/>
      <c r="AK1932" s="15"/>
      <c r="AL1932" s="15"/>
      <c r="AM1932" s="15"/>
    </row>
    <row r="1933" spans="2:39" ht="25.2" customHeight="1" x14ac:dyDescent="0.3">
      <c r="B1933" s="13" t="str">
        <f t="shared" si="34"/>
        <v/>
      </c>
      <c r="C1933" s="18"/>
      <c r="D1933" s="19" t="str">
        <f>IF(Tabela2[[#This Row],[AGRUPADOR]]&lt;&gt;"",VLOOKUP(Tabela2[[#This Row],[AGRUPADOR]],Tabela1[],2,0),"")</f>
        <v/>
      </c>
      <c r="E1933" s="19" t="str">
        <f>IF(Tabela2[[#This Row],[AGRUPADOR]]&lt;&gt;"",VLOOKUP(Tabela2[[#This Row],[AGRUPADOR]],Tabela1[],4,0),"")</f>
        <v/>
      </c>
      <c r="F1933" s="14"/>
      <c r="G1933" s="6"/>
      <c r="H1933" s="6"/>
      <c r="I1933" s="25"/>
      <c r="J1933" s="7"/>
      <c r="K1933" s="15"/>
      <c r="L1933" s="379">
        <f>IF(H1933&lt;&gt;"",J1933*K1933,SUMIFS(L1934:L$9844,$F1934:$F$9844,"*"&amp;F1933&amp;"*",$H1934:$H$9844,"&lt;&gt;"))</f>
        <v>0</v>
      </c>
      <c r="M1933" s="379" t="str">
        <f>IF(Tabela2[[#This Row],[UNID.]]&lt;&gt;"",IFERROR(VLOOKUP(Tabela2[[#This Row],[AGRUPADOR]],Lucratividade!$D$4:$O$129,6,0),0),"")</f>
        <v/>
      </c>
      <c r="N1933" s="379">
        <f>IF(H1933&lt;&gt;"",J1933*M1933*I1933,SUMIFS(N1934:N$9844,$F1934:$F$9844,"*"&amp;F1933&amp;"*",$H1934:$H$9844,"&lt;&gt;"))</f>
        <v>0</v>
      </c>
      <c r="O1933" s="162" t="str">
        <f>IFERROR((-Tabela2[[#This Row],[CUSTO TOTAL]]+Tabela2[[#This Row],[VENDA TOTAL]])/Tabela2[[#This Row],[VENDA TOTAL]]-PARAMETROS!$C$19,"")</f>
        <v/>
      </c>
      <c r="AA1933" s="219">
        <f>SUM(Plan_Orc[[#This Row],[01/jan]:[01/dez]])</f>
        <v>0</v>
      </c>
      <c r="AB1933" s="15"/>
      <c r="AC1933" s="15"/>
      <c r="AD1933" s="15"/>
      <c r="AE1933" s="15"/>
      <c r="AF1933" s="15"/>
      <c r="AG1933" s="15"/>
      <c r="AH1933" s="15"/>
      <c r="AI1933" s="15"/>
      <c r="AJ1933" s="15"/>
      <c r="AK1933" s="15"/>
      <c r="AL1933" s="15"/>
      <c r="AM1933" s="15"/>
    </row>
    <row r="1934" spans="2:39" ht="25.2" customHeight="1" x14ac:dyDescent="0.3">
      <c r="B1934" s="13" t="str">
        <f t="shared" si="34"/>
        <v/>
      </c>
      <c r="C1934" s="18"/>
      <c r="D1934" s="19" t="str">
        <f>IF(Tabela2[[#This Row],[AGRUPADOR]]&lt;&gt;"",VLOOKUP(Tabela2[[#This Row],[AGRUPADOR]],Tabela1[],2,0),"")</f>
        <v/>
      </c>
      <c r="E1934" s="19" t="str">
        <f>IF(Tabela2[[#This Row],[AGRUPADOR]]&lt;&gt;"",VLOOKUP(Tabela2[[#This Row],[AGRUPADOR]],Tabela1[],4,0),"")</f>
        <v/>
      </c>
      <c r="F1934" s="14"/>
      <c r="G1934" s="6"/>
      <c r="H1934" s="6"/>
      <c r="I1934" s="25"/>
      <c r="J1934" s="7"/>
      <c r="K1934" s="15"/>
      <c r="L1934" s="379">
        <f>IF(H1934&lt;&gt;"",J1934*K1934,SUMIFS(L1935:L$9844,$F1935:$F$9844,"*"&amp;F1934&amp;"*",$H1935:$H$9844,"&lt;&gt;"))</f>
        <v>0</v>
      </c>
      <c r="M1934" s="379" t="str">
        <f>IF(Tabela2[[#This Row],[UNID.]]&lt;&gt;"",IFERROR(VLOOKUP(Tabela2[[#This Row],[AGRUPADOR]],Lucratividade!$D$4:$O$129,6,0),0),"")</f>
        <v/>
      </c>
      <c r="N1934" s="379">
        <f>IF(H1934&lt;&gt;"",J1934*M1934*I1934,SUMIFS(N1935:N$9844,$F1935:$F$9844,"*"&amp;F1934&amp;"*",$H1935:$H$9844,"&lt;&gt;"))</f>
        <v>0</v>
      </c>
      <c r="O1934" s="162" t="str">
        <f>IFERROR((-Tabela2[[#This Row],[CUSTO TOTAL]]+Tabela2[[#This Row],[VENDA TOTAL]])/Tabela2[[#This Row],[VENDA TOTAL]]-PARAMETROS!$C$19,"")</f>
        <v/>
      </c>
      <c r="AA1934" s="219">
        <f>SUM(Plan_Orc[[#This Row],[01/jan]:[01/dez]])</f>
        <v>0</v>
      </c>
      <c r="AB1934" s="15"/>
      <c r="AC1934" s="15"/>
      <c r="AD1934" s="15"/>
      <c r="AE1934" s="15"/>
      <c r="AF1934" s="15"/>
      <c r="AG1934" s="15"/>
      <c r="AH1934" s="15"/>
      <c r="AI1934" s="15"/>
      <c r="AJ1934" s="15"/>
      <c r="AK1934" s="15"/>
      <c r="AL1934" s="15"/>
      <c r="AM1934" s="15"/>
    </row>
    <row r="1935" spans="2:39" ht="25.2" customHeight="1" x14ac:dyDescent="0.3">
      <c r="B1935" s="13" t="str">
        <f t="shared" si="34"/>
        <v/>
      </c>
      <c r="C1935" s="18"/>
      <c r="D1935" s="19" t="str">
        <f>IF(Tabela2[[#This Row],[AGRUPADOR]]&lt;&gt;"",VLOOKUP(Tabela2[[#This Row],[AGRUPADOR]],Tabela1[],2,0),"")</f>
        <v/>
      </c>
      <c r="E1935" s="19" t="str">
        <f>IF(Tabela2[[#This Row],[AGRUPADOR]]&lt;&gt;"",VLOOKUP(Tabela2[[#This Row],[AGRUPADOR]],Tabela1[],4,0),"")</f>
        <v/>
      </c>
      <c r="F1935" s="14"/>
      <c r="G1935" s="6"/>
      <c r="H1935" s="6"/>
      <c r="I1935" s="25"/>
      <c r="J1935" s="7"/>
      <c r="K1935" s="15"/>
      <c r="L1935" s="379">
        <f>IF(H1935&lt;&gt;"",J1935*K1935,SUMIFS(L1936:L$9844,$F1936:$F$9844,"*"&amp;F1935&amp;"*",$H1936:$H$9844,"&lt;&gt;"))</f>
        <v>0</v>
      </c>
      <c r="M1935" s="379" t="str">
        <f>IF(Tabela2[[#This Row],[UNID.]]&lt;&gt;"",IFERROR(VLOOKUP(Tabela2[[#This Row],[AGRUPADOR]],Lucratividade!$D$4:$O$129,6,0),0),"")</f>
        <v/>
      </c>
      <c r="N1935" s="379">
        <f>IF(H1935&lt;&gt;"",J1935*M1935*I1935,SUMIFS(N1936:N$9844,$F1936:$F$9844,"*"&amp;F1935&amp;"*",$H1936:$H$9844,"&lt;&gt;"))</f>
        <v>0</v>
      </c>
      <c r="O1935" s="162" t="str">
        <f>IFERROR((-Tabela2[[#This Row],[CUSTO TOTAL]]+Tabela2[[#This Row],[VENDA TOTAL]])/Tabela2[[#This Row],[VENDA TOTAL]]-PARAMETROS!$C$19,"")</f>
        <v/>
      </c>
      <c r="AA1935" s="219">
        <f>SUM(Plan_Orc[[#This Row],[01/jan]:[01/dez]])</f>
        <v>0</v>
      </c>
      <c r="AB1935" s="15"/>
      <c r="AC1935" s="15"/>
      <c r="AD1935" s="15"/>
      <c r="AE1935" s="15"/>
      <c r="AF1935" s="15"/>
      <c r="AG1935" s="15"/>
      <c r="AH1935" s="15"/>
      <c r="AI1935" s="15"/>
      <c r="AJ1935" s="15"/>
      <c r="AK1935" s="15"/>
      <c r="AL1935" s="15"/>
      <c r="AM1935" s="15"/>
    </row>
    <row r="1936" spans="2:39" ht="25.2" customHeight="1" x14ac:dyDescent="0.3">
      <c r="B1936" s="13" t="str">
        <f t="shared" si="34"/>
        <v/>
      </c>
      <c r="C1936" s="18"/>
      <c r="D1936" s="19" t="str">
        <f>IF(Tabela2[[#This Row],[AGRUPADOR]]&lt;&gt;"",VLOOKUP(Tabela2[[#This Row],[AGRUPADOR]],Tabela1[],2,0),"")</f>
        <v/>
      </c>
      <c r="E1936" s="19" t="str">
        <f>IF(Tabela2[[#This Row],[AGRUPADOR]]&lt;&gt;"",VLOOKUP(Tabela2[[#This Row],[AGRUPADOR]],Tabela1[],4,0),"")</f>
        <v/>
      </c>
      <c r="F1936" s="14"/>
      <c r="G1936" s="6"/>
      <c r="H1936" s="6"/>
      <c r="I1936" s="25"/>
      <c r="J1936" s="7"/>
      <c r="K1936" s="15"/>
      <c r="L1936" s="379">
        <f>IF(H1936&lt;&gt;"",J1936*K1936,SUMIFS(L1937:L$9844,$F1937:$F$9844,"*"&amp;F1936&amp;"*",$H1937:$H$9844,"&lt;&gt;"))</f>
        <v>0</v>
      </c>
      <c r="M1936" s="379" t="str">
        <f>IF(Tabela2[[#This Row],[UNID.]]&lt;&gt;"",IFERROR(VLOOKUP(Tabela2[[#This Row],[AGRUPADOR]],Lucratividade!$D$4:$O$129,6,0),0),"")</f>
        <v/>
      </c>
      <c r="N1936" s="379">
        <f>IF(H1936&lt;&gt;"",J1936*M1936*I1936,SUMIFS(N1937:N$9844,$F1937:$F$9844,"*"&amp;F1936&amp;"*",$H1937:$H$9844,"&lt;&gt;"))</f>
        <v>0</v>
      </c>
      <c r="O1936" s="162" t="str">
        <f>IFERROR((-Tabela2[[#This Row],[CUSTO TOTAL]]+Tabela2[[#This Row],[VENDA TOTAL]])/Tabela2[[#This Row],[VENDA TOTAL]]-PARAMETROS!$C$19,"")</f>
        <v/>
      </c>
      <c r="AA1936" s="219">
        <f>SUM(Plan_Orc[[#This Row],[01/jan]:[01/dez]])</f>
        <v>0</v>
      </c>
      <c r="AB1936" s="15"/>
      <c r="AC1936" s="15"/>
      <c r="AD1936" s="15"/>
      <c r="AE1936" s="15"/>
      <c r="AF1936" s="15"/>
      <c r="AG1936" s="15"/>
      <c r="AH1936" s="15"/>
      <c r="AI1936" s="15"/>
      <c r="AJ1936" s="15"/>
      <c r="AK1936" s="15"/>
      <c r="AL1936" s="15"/>
      <c r="AM1936" s="15"/>
    </row>
    <row r="1937" spans="2:39" ht="25.2" customHeight="1" x14ac:dyDescent="0.3">
      <c r="B1937" s="13" t="str">
        <f t="shared" si="34"/>
        <v/>
      </c>
      <c r="C1937" s="18"/>
      <c r="D1937" s="19" t="str">
        <f>IF(Tabela2[[#This Row],[AGRUPADOR]]&lt;&gt;"",VLOOKUP(Tabela2[[#This Row],[AGRUPADOR]],Tabela1[],2,0),"")</f>
        <v/>
      </c>
      <c r="E1937" s="19" t="str">
        <f>IF(Tabela2[[#This Row],[AGRUPADOR]]&lt;&gt;"",VLOOKUP(Tabela2[[#This Row],[AGRUPADOR]],Tabela1[],4,0),"")</f>
        <v/>
      </c>
      <c r="F1937" s="14"/>
      <c r="G1937" s="6"/>
      <c r="H1937" s="6"/>
      <c r="I1937" s="25"/>
      <c r="J1937" s="7"/>
      <c r="K1937" s="15"/>
      <c r="L1937" s="379">
        <f>IF(H1937&lt;&gt;"",J1937*K1937,SUMIFS(L1938:L$9844,$F1938:$F$9844,"*"&amp;F1937&amp;"*",$H1938:$H$9844,"&lt;&gt;"))</f>
        <v>0</v>
      </c>
      <c r="M1937" s="379" t="str">
        <f>IF(Tabela2[[#This Row],[UNID.]]&lt;&gt;"",IFERROR(VLOOKUP(Tabela2[[#This Row],[AGRUPADOR]],Lucratividade!$D$4:$O$129,6,0),0),"")</f>
        <v/>
      </c>
      <c r="N1937" s="379">
        <f>IF(H1937&lt;&gt;"",J1937*M1937*I1937,SUMIFS(N1938:N$9844,$F1938:$F$9844,"*"&amp;F1937&amp;"*",$H1938:$H$9844,"&lt;&gt;"))</f>
        <v>0</v>
      </c>
      <c r="O1937" s="162" t="str">
        <f>IFERROR((-Tabela2[[#This Row],[CUSTO TOTAL]]+Tabela2[[#This Row],[VENDA TOTAL]])/Tabela2[[#This Row],[VENDA TOTAL]]-PARAMETROS!$C$19,"")</f>
        <v/>
      </c>
      <c r="AA1937" s="219">
        <f>SUM(Plan_Orc[[#This Row],[01/jan]:[01/dez]])</f>
        <v>0</v>
      </c>
      <c r="AB1937" s="15"/>
      <c r="AC1937" s="15"/>
      <c r="AD1937" s="15"/>
      <c r="AE1937" s="15"/>
      <c r="AF1937" s="15"/>
      <c r="AG1937" s="15"/>
      <c r="AH1937" s="15"/>
      <c r="AI1937" s="15"/>
      <c r="AJ1937" s="15"/>
      <c r="AK1937" s="15"/>
      <c r="AL1937" s="15"/>
      <c r="AM1937" s="15"/>
    </row>
    <row r="1938" spans="2:39" ht="25.2" customHeight="1" x14ac:dyDescent="0.3">
      <c r="B1938" s="13" t="str">
        <f t="shared" si="34"/>
        <v/>
      </c>
      <c r="C1938" s="18"/>
      <c r="D1938" s="19" t="str">
        <f>IF(Tabela2[[#This Row],[AGRUPADOR]]&lt;&gt;"",VLOOKUP(Tabela2[[#This Row],[AGRUPADOR]],Tabela1[],2,0),"")</f>
        <v/>
      </c>
      <c r="E1938" s="19" t="str">
        <f>IF(Tabela2[[#This Row],[AGRUPADOR]]&lt;&gt;"",VLOOKUP(Tabela2[[#This Row],[AGRUPADOR]],Tabela1[],4,0),"")</f>
        <v/>
      </c>
      <c r="F1938" s="14"/>
      <c r="G1938" s="6"/>
      <c r="H1938" s="6"/>
      <c r="I1938" s="25"/>
      <c r="J1938" s="7"/>
      <c r="K1938" s="15"/>
      <c r="L1938" s="379">
        <f>IF(H1938&lt;&gt;"",J1938*K1938,SUMIFS(L1939:L$9844,$F1939:$F$9844,"*"&amp;F1938&amp;"*",$H1939:$H$9844,"&lt;&gt;"))</f>
        <v>0</v>
      </c>
      <c r="M1938" s="379" t="str">
        <f>IF(Tabela2[[#This Row],[UNID.]]&lt;&gt;"",IFERROR(VLOOKUP(Tabela2[[#This Row],[AGRUPADOR]],Lucratividade!$D$4:$O$129,6,0),0),"")</f>
        <v/>
      </c>
      <c r="N1938" s="379">
        <f>IF(H1938&lt;&gt;"",J1938*M1938*I1938,SUMIFS(N1939:N$9844,$F1939:$F$9844,"*"&amp;F1938&amp;"*",$H1939:$H$9844,"&lt;&gt;"))</f>
        <v>0</v>
      </c>
      <c r="O1938" s="162" t="str">
        <f>IFERROR((-Tabela2[[#This Row],[CUSTO TOTAL]]+Tabela2[[#This Row],[VENDA TOTAL]])/Tabela2[[#This Row],[VENDA TOTAL]]-PARAMETROS!$C$19,"")</f>
        <v/>
      </c>
      <c r="AA1938" s="219">
        <f>SUM(Plan_Orc[[#This Row],[01/jan]:[01/dez]])</f>
        <v>0</v>
      </c>
      <c r="AB1938" s="15"/>
      <c r="AC1938" s="15"/>
      <c r="AD1938" s="15"/>
      <c r="AE1938" s="15"/>
      <c r="AF1938" s="15"/>
      <c r="AG1938" s="15"/>
      <c r="AH1938" s="15"/>
      <c r="AI1938" s="15"/>
      <c r="AJ1938" s="15"/>
      <c r="AK1938" s="15"/>
      <c r="AL1938" s="15"/>
      <c r="AM1938" s="15"/>
    </row>
    <row r="1939" spans="2:39" ht="25.2" customHeight="1" x14ac:dyDescent="0.3">
      <c r="B1939" s="13" t="str">
        <f t="shared" si="34"/>
        <v/>
      </c>
      <c r="C1939" s="18"/>
      <c r="D1939" s="19" t="str">
        <f>IF(Tabela2[[#This Row],[AGRUPADOR]]&lt;&gt;"",VLOOKUP(Tabela2[[#This Row],[AGRUPADOR]],Tabela1[],2,0),"")</f>
        <v/>
      </c>
      <c r="E1939" s="19" t="str">
        <f>IF(Tabela2[[#This Row],[AGRUPADOR]]&lt;&gt;"",VLOOKUP(Tabela2[[#This Row],[AGRUPADOR]],Tabela1[],4,0),"")</f>
        <v/>
      </c>
      <c r="F1939" s="14"/>
      <c r="G1939" s="6"/>
      <c r="H1939" s="6"/>
      <c r="I1939" s="25"/>
      <c r="J1939" s="7"/>
      <c r="K1939" s="15"/>
      <c r="L1939" s="379">
        <f>IF(H1939&lt;&gt;"",J1939*K1939,SUMIFS(L1940:L$9844,$F1940:$F$9844,"*"&amp;F1939&amp;"*",$H1940:$H$9844,"&lt;&gt;"))</f>
        <v>0</v>
      </c>
      <c r="M1939" s="379" t="str">
        <f>IF(Tabela2[[#This Row],[UNID.]]&lt;&gt;"",IFERROR(VLOOKUP(Tabela2[[#This Row],[AGRUPADOR]],Lucratividade!$D$4:$O$129,6,0),0),"")</f>
        <v/>
      </c>
      <c r="N1939" s="379">
        <f>IF(H1939&lt;&gt;"",J1939*M1939*I1939,SUMIFS(N1940:N$9844,$F1940:$F$9844,"*"&amp;F1939&amp;"*",$H1940:$H$9844,"&lt;&gt;"))</f>
        <v>0</v>
      </c>
      <c r="O1939" s="162" t="str">
        <f>IFERROR((-Tabela2[[#This Row],[CUSTO TOTAL]]+Tabela2[[#This Row],[VENDA TOTAL]])/Tabela2[[#This Row],[VENDA TOTAL]]-PARAMETROS!$C$19,"")</f>
        <v/>
      </c>
      <c r="AA1939" s="219">
        <f>SUM(Plan_Orc[[#This Row],[01/jan]:[01/dez]])</f>
        <v>0</v>
      </c>
      <c r="AB1939" s="15"/>
      <c r="AC1939" s="15"/>
      <c r="AD1939" s="15"/>
      <c r="AE1939" s="15"/>
      <c r="AF1939" s="15"/>
      <c r="AG1939" s="15"/>
      <c r="AH1939" s="15"/>
      <c r="AI1939" s="15"/>
      <c r="AJ1939" s="15"/>
      <c r="AK1939" s="15"/>
      <c r="AL1939" s="15"/>
      <c r="AM1939" s="15"/>
    </row>
    <row r="1940" spans="2:39" ht="25.2" customHeight="1" x14ac:dyDescent="0.3">
      <c r="B1940" s="13" t="str">
        <f t="shared" si="34"/>
        <v/>
      </c>
      <c r="C1940" s="18"/>
      <c r="D1940" s="19" t="str">
        <f>IF(Tabela2[[#This Row],[AGRUPADOR]]&lt;&gt;"",VLOOKUP(Tabela2[[#This Row],[AGRUPADOR]],Tabela1[],2,0),"")</f>
        <v/>
      </c>
      <c r="E1940" s="19" t="str">
        <f>IF(Tabela2[[#This Row],[AGRUPADOR]]&lt;&gt;"",VLOOKUP(Tabela2[[#This Row],[AGRUPADOR]],Tabela1[],4,0),"")</f>
        <v/>
      </c>
      <c r="F1940" s="14"/>
      <c r="G1940" s="6"/>
      <c r="H1940" s="6"/>
      <c r="I1940" s="25"/>
      <c r="J1940" s="7"/>
      <c r="K1940" s="15"/>
      <c r="L1940" s="379">
        <f>IF(H1940&lt;&gt;"",J1940*K1940,SUMIFS(L1941:L$9844,$F1941:$F$9844,"*"&amp;F1940&amp;"*",$H1941:$H$9844,"&lt;&gt;"))</f>
        <v>0</v>
      </c>
      <c r="M1940" s="379" t="str">
        <f>IF(Tabela2[[#This Row],[UNID.]]&lt;&gt;"",IFERROR(VLOOKUP(Tabela2[[#This Row],[AGRUPADOR]],Lucratividade!$D$4:$O$129,6,0),0),"")</f>
        <v/>
      </c>
      <c r="N1940" s="379">
        <f>IF(H1940&lt;&gt;"",J1940*M1940*I1940,SUMIFS(N1941:N$9844,$F1941:$F$9844,"*"&amp;F1940&amp;"*",$H1941:$H$9844,"&lt;&gt;"))</f>
        <v>0</v>
      </c>
      <c r="O1940" s="162" t="str">
        <f>IFERROR((-Tabela2[[#This Row],[CUSTO TOTAL]]+Tabela2[[#This Row],[VENDA TOTAL]])/Tabela2[[#This Row],[VENDA TOTAL]]-PARAMETROS!$C$19,"")</f>
        <v/>
      </c>
      <c r="AA1940" s="219">
        <f>SUM(Plan_Orc[[#This Row],[01/jan]:[01/dez]])</f>
        <v>0</v>
      </c>
      <c r="AB1940" s="15"/>
      <c r="AC1940" s="15"/>
      <c r="AD1940" s="15"/>
      <c r="AE1940" s="15"/>
      <c r="AF1940" s="15"/>
      <c r="AG1940" s="15"/>
      <c r="AH1940" s="15"/>
      <c r="AI1940" s="15"/>
      <c r="AJ1940" s="15"/>
      <c r="AK1940" s="15"/>
      <c r="AL1940" s="15"/>
      <c r="AM1940" s="15"/>
    </row>
    <row r="1941" spans="2:39" ht="25.2" customHeight="1" x14ac:dyDescent="0.3">
      <c r="B1941" s="13" t="str">
        <f t="shared" si="34"/>
        <v/>
      </c>
      <c r="C1941" s="18"/>
      <c r="D1941" s="19" t="str">
        <f>IF(Tabela2[[#This Row],[AGRUPADOR]]&lt;&gt;"",VLOOKUP(Tabela2[[#This Row],[AGRUPADOR]],Tabela1[],2,0),"")</f>
        <v/>
      </c>
      <c r="E1941" s="19" t="str">
        <f>IF(Tabela2[[#This Row],[AGRUPADOR]]&lt;&gt;"",VLOOKUP(Tabela2[[#This Row],[AGRUPADOR]],Tabela1[],4,0),"")</f>
        <v/>
      </c>
      <c r="F1941" s="14"/>
      <c r="G1941" s="6"/>
      <c r="H1941" s="6"/>
      <c r="I1941" s="25"/>
      <c r="J1941" s="7"/>
      <c r="K1941" s="15"/>
      <c r="L1941" s="379">
        <f>IF(H1941&lt;&gt;"",J1941*K1941,SUMIFS(L1942:L$9844,$F1942:$F$9844,"*"&amp;F1941&amp;"*",$H1942:$H$9844,"&lt;&gt;"))</f>
        <v>0</v>
      </c>
      <c r="M1941" s="379" t="str">
        <f>IF(Tabela2[[#This Row],[UNID.]]&lt;&gt;"",IFERROR(VLOOKUP(Tabela2[[#This Row],[AGRUPADOR]],Lucratividade!$D$4:$O$129,6,0),0),"")</f>
        <v/>
      </c>
      <c r="N1941" s="379">
        <f>IF(H1941&lt;&gt;"",J1941*M1941*I1941,SUMIFS(N1942:N$9844,$F1942:$F$9844,"*"&amp;F1941&amp;"*",$H1942:$H$9844,"&lt;&gt;"))</f>
        <v>0</v>
      </c>
      <c r="O1941" s="162" t="str">
        <f>IFERROR((-Tabela2[[#This Row],[CUSTO TOTAL]]+Tabela2[[#This Row],[VENDA TOTAL]])/Tabela2[[#This Row],[VENDA TOTAL]]-PARAMETROS!$C$19,"")</f>
        <v/>
      </c>
      <c r="AA1941" s="219">
        <f>SUM(Plan_Orc[[#This Row],[01/jan]:[01/dez]])</f>
        <v>0</v>
      </c>
      <c r="AB1941" s="15"/>
      <c r="AC1941" s="15"/>
      <c r="AD1941" s="15"/>
      <c r="AE1941" s="15"/>
      <c r="AF1941" s="15"/>
      <c r="AG1941" s="15"/>
      <c r="AH1941" s="15"/>
      <c r="AI1941" s="15"/>
      <c r="AJ1941" s="15"/>
      <c r="AK1941" s="15"/>
      <c r="AL1941" s="15"/>
      <c r="AM1941" s="15"/>
    </row>
    <row r="1942" spans="2:39" ht="25.2" customHeight="1" x14ac:dyDescent="0.3">
      <c r="B1942" s="13" t="str">
        <f t="shared" si="34"/>
        <v/>
      </c>
      <c r="C1942" s="18"/>
      <c r="D1942" s="19" t="str">
        <f>IF(Tabela2[[#This Row],[AGRUPADOR]]&lt;&gt;"",VLOOKUP(Tabela2[[#This Row],[AGRUPADOR]],Tabela1[],2,0),"")</f>
        <v/>
      </c>
      <c r="E1942" s="19" t="str">
        <f>IF(Tabela2[[#This Row],[AGRUPADOR]]&lt;&gt;"",VLOOKUP(Tabela2[[#This Row],[AGRUPADOR]],Tabela1[],4,0),"")</f>
        <v/>
      </c>
      <c r="F1942" s="14"/>
      <c r="G1942" s="6"/>
      <c r="H1942" s="6"/>
      <c r="I1942" s="25"/>
      <c r="J1942" s="7"/>
      <c r="K1942" s="15"/>
      <c r="L1942" s="379">
        <f>IF(H1942&lt;&gt;"",J1942*K1942,SUMIFS(L1943:L$9844,$F1943:$F$9844,"*"&amp;F1942&amp;"*",$H1943:$H$9844,"&lt;&gt;"))</f>
        <v>0</v>
      </c>
      <c r="M1942" s="379" t="str">
        <f>IF(Tabela2[[#This Row],[UNID.]]&lt;&gt;"",IFERROR(VLOOKUP(Tabela2[[#This Row],[AGRUPADOR]],Lucratividade!$D$4:$O$129,6,0),0),"")</f>
        <v/>
      </c>
      <c r="N1942" s="379">
        <f>IF(H1942&lt;&gt;"",J1942*M1942*I1942,SUMIFS(N1943:N$9844,$F1943:$F$9844,"*"&amp;F1942&amp;"*",$H1943:$H$9844,"&lt;&gt;"))</f>
        <v>0</v>
      </c>
      <c r="O1942" s="162" t="str">
        <f>IFERROR((-Tabela2[[#This Row],[CUSTO TOTAL]]+Tabela2[[#This Row],[VENDA TOTAL]])/Tabela2[[#This Row],[VENDA TOTAL]]-PARAMETROS!$C$19,"")</f>
        <v/>
      </c>
      <c r="AA1942" s="219">
        <f>SUM(Plan_Orc[[#This Row],[01/jan]:[01/dez]])</f>
        <v>0</v>
      </c>
      <c r="AB1942" s="15"/>
      <c r="AC1942" s="15"/>
      <c r="AD1942" s="15"/>
      <c r="AE1942" s="15"/>
      <c r="AF1942" s="15"/>
      <c r="AG1942" s="15"/>
      <c r="AH1942" s="15"/>
      <c r="AI1942" s="15"/>
      <c r="AJ1942" s="15"/>
      <c r="AK1942" s="15"/>
      <c r="AL1942" s="15"/>
      <c r="AM1942" s="15"/>
    </row>
    <row r="1943" spans="2:39" ht="25.2" customHeight="1" x14ac:dyDescent="0.3">
      <c r="B1943" s="13" t="str">
        <f t="shared" si="34"/>
        <v/>
      </c>
      <c r="C1943" s="18"/>
      <c r="D1943" s="19" t="str">
        <f>IF(Tabela2[[#This Row],[AGRUPADOR]]&lt;&gt;"",VLOOKUP(Tabela2[[#This Row],[AGRUPADOR]],Tabela1[],2,0),"")</f>
        <v/>
      </c>
      <c r="E1943" s="19" t="str">
        <f>IF(Tabela2[[#This Row],[AGRUPADOR]]&lt;&gt;"",VLOOKUP(Tabela2[[#This Row],[AGRUPADOR]],Tabela1[],4,0),"")</f>
        <v/>
      </c>
      <c r="F1943" s="14"/>
      <c r="G1943" s="6"/>
      <c r="H1943" s="6"/>
      <c r="I1943" s="25"/>
      <c r="J1943" s="7"/>
      <c r="K1943" s="15"/>
      <c r="L1943" s="379">
        <f>IF(H1943&lt;&gt;"",J1943*K1943,SUMIFS(L1944:L$9844,$F1944:$F$9844,"*"&amp;F1943&amp;"*",$H1944:$H$9844,"&lt;&gt;"))</f>
        <v>0</v>
      </c>
      <c r="M1943" s="379" t="str">
        <f>IF(Tabela2[[#This Row],[UNID.]]&lt;&gt;"",IFERROR(VLOOKUP(Tabela2[[#This Row],[AGRUPADOR]],Lucratividade!$D$4:$O$129,6,0),0),"")</f>
        <v/>
      </c>
      <c r="N1943" s="379">
        <f>IF(H1943&lt;&gt;"",J1943*M1943*I1943,SUMIFS(N1944:N$9844,$F1944:$F$9844,"*"&amp;F1943&amp;"*",$H1944:$H$9844,"&lt;&gt;"))</f>
        <v>0</v>
      </c>
      <c r="O1943" s="162" t="str">
        <f>IFERROR((-Tabela2[[#This Row],[CUSTO TOTAL]]+Tabela2[[#This Row],[VENDA TOTAL]])/Tabela2[[#This Row],[VENDA TOTAL]]-PARAMETROS!$C$19,"")</f>
        <v/>
      </c>
      <c r="AA1943" s="219">
        <f>SUM(Plan_Orc[[#This Row],[01/jan]:[01/dez]])</f>
        <v>0</v>
      </c>
      <c r="AB1943" s="15"/>
      <c r="AC1943" s="15"/>
      <c r="AD1943" s="15"/>
      <c r="AE1943" s="15"/>
      <c r="AF1943" s="15"/>
      <c r="AG1943" s="15"/>
      <c r="AH1943" s="15"/>
      <c r="AI1943" s="15"/>
      <c r="AJ1943" s="15"/>
      <c r="AK1943" s="15"/>
      <c r="AL1943" s="15"/>
      <c r="AM1943" s="15"/>
    </row>
    <row r="1944" spans="2:39" ht="25.2" customHeight="1" x14ac:dyDescent="0.3">
      <c r="B1944" s="13" t="str">
        <f t="shared" si="34"/>
        <v/>
      </c>
      <c r="C1944" s="18"/>
      <c r="D1944" s="19" t="str">
        <f>IF(Tabela2[[#This Row],[AGRUPADOR]]&lt;&gt;"",VLOOKUP(Tabela2[[#This Row],[AGRUPADOR]],Tabela1[],2,0),"")</f>
        <v/>
      </c>
      <c r="E1944" s="19" t="str">
        <f>IF(Tabela2[[#This Row],[AGRUPADOR]]&lt;&gt;"",VLOOKUP(Tabela2[[#This Row],[AGRUPADOR]],Tabela1[],4,0),"")</f>
        <v/>
      </c>
      <c r="F1944" s="14"/>
      <c r="G1944" s="6"/>
      <c r="H1944" s="6"/>
      <c r="I1944" s="25"/>
      <c r="J1944" s="7"/>
      <c r="K1944" s="15"/>
      <c r="L1944" s="379">
        <f>IF(H1944&lt;&gt;"",J1944*K1944,SUMIFS(L1945:L$9844,$F1945:$F$9844,"*"&amp;F1944&amp;"*",$H1945:$H$9844,"&lt;&gt;"))</f>
        <v>0</v>
      </c>
      <c r="M1944" s="379" t="str">
        <f>IF(Tabela2[[#This Row],[UNID.]]&lt;&gt;"",IFERROR(VLOOKUP(Tabela2[[#This Row],[AGRUPADOR]],Lucratividade!$D$4:$O$129,6,0),0),"")</f>
        <v/>
      </c>
      <c r="N1944" s="379">
        <f>IF(H1944&lt;&gt;"",J1944*M1944*I1944,SUMIFS(N1945:N$9844,$F1945:$F$9844,"*"&amp;F1944&amp;"*",$H1945:$H$9844,"&lt;&gt;"))</f>
        <v>0</v>
      </c>
      <c r="O1944" s="162" t="str">
        <f>IFERROR((-Tabela2[[#This Row],[CUSTO TOTAL]]+Tabela2[[#This Row],[VENDA TOTAL]])/Tabela2[[#This Row],[VENDA TOTAL]]-PARAMETROS!$C$19,"")</f>
        <v/>
      </c>
      <c r="AA1944" s="219">
        <f>SUM(Plan_Orc[[#This Row],[01/jan]:[01/dez]])</f>
        <v>0</v>
      </c>
      <c r="AB1944" s="15"/>
      <c r="AC1944" s="15"/>
      <c r="AD1944" s="15"/>
      <c r="AE1944" s="15"/>
      <c r="AF1944" s="15"/>
      <c r="AG1944" s="15"/>
      <c r="AH1944" s="15"/>
      <c r="AI1944" s="15"/>
      <c r="AJ1944" s="15"/>
      <c r="AK1944" s="15"/>
      <c r="AL1944" s="15"/>
      <c r="AM1944" s="15"/>
    </row>
    <row r="1945" spans="2:39" ht="25.2" customHeight="1" x14ac:dyDescent="0.3">
      <c r="B1945" s="13" t="str">
        <f t="shared" si="34"/>
        <v/>
      </c>
      <c r="C1945" s="18"/>
      <c r="D1945" s="19" t="str">
        <f>IF(Tabela2[[#This Row],[AGRUPADOR]]&lt;&gt;"",VLOOKUP(Tabela2[[#This Row],[AGRUPADOR]],Tabela1[],2,0),"")</f>
        <v/>
      </c>
      <c r="E1945" s="19" t="str">
        <f>IF(Tabela2[[#This Row],[AGRUPADOR]]&lt;&gt;"",VLOOKUP(Tabela2[[#This Row],[AGRUPADOR]],Tabela1[],4,0),"")</f>
        <v/>
      </c>
      <c r="F1945" s="14"/>
      <c r="G1945" s="6"/>
      <c r="H1945" s="6"/>
      <c r="I1945" s="25"/>
      <c r="J1945" s="7"/>
      <c r="K1945" s="15"/>
      <c r="L1945" s="379">
        <f>IF(H1945&lt;&gt;"",J1945*K1945,SUMIFS(L1946:L$9844,$F1946:$F$9844,"*"&amp;F1945&amp;"*",$H1946:$H$9844,"&lt;&gt;"))</f>
        <v>0</v>
      </c>
      <c r="M1945" s="379" t="str">
        <f>IF(Tabela2[[#This Row],[UNID.]]&lt;&gt;"",IFERROR(VLOOKUP(Tabela2[[#This Row],[AGRUPADOR]],Lucratividade!$D$4:$O$129,6,0),0),"")</f>
        <v/>
      </c>
      <c r="N1945" s="379">
        <f>IF(H1945&lt;&gt;"",J1945*M1945*I1945,SUMIFS(N1946:N$9844,$F1946:$F$9844,"*"&amp;F1945&amp;"*",$H1946:$H$9844,"&lt;&gt;"))</f>
        <v>0</v>
      </c>
      <c r="O1945" s="162" t="str">
        <f>IFERROR((-Tabela2[[#This Row],[CUSTO TOTAL]]+Tabela2[[#This Row],[VENDA TOTAL]])/Tabela2[[#This Row],[VENDA TOTAL]]-PARAMETROS!$C$19,"")</f>
        <v/>
      </c>
      <c r="AA1945" s="219">
        <f>SUM(Plan_Orc[[#This Row],[01/jan]:[01/dez]])</f>
        <v>0</v>
      </c>
      <c r="AB1945" s="15"/>
      <c r="AC1945" s="15"/>
      <c r="AD1945" s="15"/>
      <c r="AE1945" s="15"/>
      <c r="AF1945" s="15"/>
      <c r="AG1945" s="15"/>
      <c r="AH1945" s="15"/>
      <c r="AI1945" s="15"/>
      <c r="AJ1945" s="15"/>
      <c r="AK1945" s="15"/>
      <c r="AL1945" s="15"/>
      <c r="AM1945" s="15"/>
    </row>
    <row r="1946" spans="2:39" ht="25.2" customHeight="1" x14ac:dyDescent="0.3">
      <c r="B1946" s="13" t="str">
        <f t="shared" si="34"/>
        <v/>
      </c>
      <c r="C1946" s="18"/>
      <c r="D1946" s="19" t="str">
        <f>IF(Tabela2[[#This Row],[AGRUPADOR]]&lt;&gt;"",VLOOKUP(Tabela2[[#This Row],[AGRUPADOR]],Tabela1[],2,0),"")</f>
        <v/>
      </c>
      <c r="E1946" s="19" t="str">
        <f>IF(Tabela2[[#This Row],[AGRUPADOR]]&lt;&gt;"",VLOOKUP(Tabela2[[#This Row],[AGRUPADOR]],Tabela1[],4,0),"")</f>
        <v/>
      </c>
      <c r="F1946" s="14"/>
      <c r="G1946" s="6"/>
      <c r="H1946" s="6"/>
      <c r="I1946" s="25"/>
      <c r="J1946" s="7"/>
      <c r="K1946" s="15"/>
      <c r="L1946" s="379">
        <f>IF(H1946&lt;&gt;"",J1946*K1946,SUMIFS(L1947:L$9844,$F1947:$F$9844,"*"&amp;F1946&amp;"*",$H1947:$H$9844,"&lt;&gt;"))</f>
        <v>0</v>
      </c>
      <c r="M1946" s="379" t="str">
        <f>IF(Tabela2[[#This Row],[UNID.]]&lt;&gt;"",IFERROR(VLOOKUP(Tabela2[[#This Row],[AGRUPADOR]],Lucratividade!$D$4:$O$129,6,0),0),"")</f>
        <v/>
      </c>
      <c r="N1946" s="379">
        <f>IF(H1946&lt;&gt;"",J1946*M1946*I1946,SUMIFS(N1947:N$9844,$F1947:$F$9844,"*"&amp;F1946&amp;"*",$H1947:$H$9844,"&lt;&gt;"))</f>
        <v>0</v>
      </c>
      <c r="O1946" s="162" t="str">
        <f>IFERROR((-Tabela2[[#This Row],[CUSTO TOTAL]]+Tabela2[[#This Row],[VENDA TOTAL]])/Tabela2[[#This Row],[VENDA TOTAL]]-PARAMETROS!$C$19,"")</f>
        <v/>
      </c>
      <c r="AA1946" s="219">
        <f>SUM(Plan_Orc[[#This Row],[01/jan]:[01/dez]])</f>
        <v>0</v>
      </c>
      <c r="AB1946" s="15"/>
      <c r="AC1946" s="15"/>
      <c r="AD1946" s="15"/>
      <c r="AE1946" s="15"/>
      <c r="AF1946" s="15"/>
      <c r="AG1946" s="15"/>
      <c r="AH1946" s="15"/>
      <c r="AI1946" s="15"/>
      <c r="AJ1946" s="15"/>
      <c r="AK1946" s="15"/>
      <c r="AL1946" s="15"/>
      <c r="AM1946" s="15"/>
    </row>
    <row r="1947" spans="2:39" ht="25.2" customHeight="1" x14ac:dyDescent="0.3">
      <c r="B1947" s="13" t="str">
        <f t="shared" si="34"/>
        <v/>
      </c>
      <c r="C1947" s="18"/>
      <c r="D1947" s="19" t="str">
        <f>IF(Tabela2[[#This Row],[AGRUPADOR]]&lt;&gt;"",VLOOKUP(Tabela2[[#This Row],[AGRUPADOR]],Tabela1[],2,0),"")</f>
        <v/>
      </c>
      <c r="E1947" s="19" t="str">
        <f>IF(Tabela2[[#This Row],[AGRUPADOR]]&lt;&gt;"",VLOOKUP(Tabela2[[#This Row],[AGRUPADOR]],Tabela1[],4,0),"")</f>
        <v/>
      </c>
      <c r="F1947" s="14"/>
      <c r="G1947" s="6"/>
      <c r="H1947" s="6"/>
      <c r="I1947" s="25"/>
      <c r="J1947" s="7"/>
      <c r="K1947" s="15"/>
      <c r="L1947" s="379">
        <f>IF(H1947&lt;&gt;"",J1947*K1947,SUMIFS(L1948:L$9844,$F1948:$F$9844,"*"&amp;F1947&amp;"*",$H1948:$H$9844,"&lt;&gt;"))</f>
        <v>0</v>
      </c>
      <c r="M1947" s="379" t="str">
        <f>IF(Tabela2[[#This Row],[UNID.]]&lt;&gt;"",IFERROR(VLOOKUP(Tabela2[[#This Row],[AGRUPADOR]],Lucratividade!$D$4:$O$129,6,0),0),"")</f>
        <v/>
      </c>
      <c r="N1947" s="379">
        <f>IF(H1947&lt;&gt;"",J1947*M1947*I1947,SUMIFS(N1948:N$9844,$F1948:$F$9844,"*"&amp;F1947&amp;"*",$H1948:$H$9844,"&lt;&gt;"))</f>
        <v>0</v>
      </c>
      <c r="O1947" s="162" t="str">
        <f>IFERROR((-Tabela2[[#This Row],[CUSTO TOTAL]]+Tabela2[[#This Row],[VENDA TOTAL]])/Tabela2[[#This Row],[VENDA TOTAL]]-PARAMETROS!$C$19,"")</f>
        <v/>
      </c>
      <c r="AA1947" s="219">
        <f>SUM(Plan_Orc[[#This Row],[01/jan]:[01/dez]])</f>
        <v>0</v>
      </c>
      <c r="AB1947" s="15"/>
      <c r="AC1947" s="15"/>
      <c r="AD1947" s="15"/>
      <c r="AE1947" s="15"/>
      <c r="AF1947" s="15"/>
      <c r="AG1947" s="15"/>
      <c r="AH1947" s="15"/>
      <c r="AI1947" s="15"/>
      <c r="AJ1947" s="15"/>
      <c r="AK1947" s="15"/>
      <c r="AL1947" s="15"/>
      <c r="AM1947" s="15"/>
    </row>
    <row r="1948" spans="2:39" ht="25.2" customHeight="1" x14ac:dyDescent="0.3">
      <c r="B1948" s="13" t="str">
        <f t="shared" si="34"/>
        <v/>
      </c>
      <c r="C1948" s="18"/>
      <c r="D1948" s="19" t="str">
        <f>IF(Tabela2[[#This Row],[AGRUPADOR]]&lt;&gt;"",VLOOKUP(Tabela2[[#This Row],[AGRUPADOR]],Tabela1[],2,0),"")</f>
        <v/>
      </c>
      <c r="E1948" s="19" t="str">
        <f>IF(Tabela2[[#This Row],[AGRUPADOR]]&lt;&gt;"",VLOOKUP(Tabela2[[#This Row],[AGRUPADOR]],Tabela1[],4,0),"")</f>
        <v/>
      </c>
      <c r="F1948" s="14"/>
      <c r="G1948" s="6"/>
      <c r="H1948" s="6"/>
      <c r="I1948" s="25"/>
      <c r="J1948" s="7"/>
      <c r="K1948" s="15"/>
      <c r="L1948" s="379">
        <f>IF(H1948&lt;&gt;"",J1948*K1948,SUMIFS(L1949:L$9844,$F1949:$F$9844,"*"&amp;F1948&amp;"*",$H1949:$H$9844,"&lt;&gt;"))</f>
        <v>0</v>
      </c>
      <c r="M1948" s="379" t="str">
        <f>IF(Tabela2[[#This Row],[UNID.]]&lt;&gt;"",IFERROR(VLOOKUP(Tabela2[[#This Row],[AGRUPADOR]],Lucratividade!$D$4:$O$129,6,0),0),"")</f>
        <v/>
      </c>
      <c r="N1948" s="379">
        <f>IF(H1948&lt;&gt;"",J1948*M1948*I1948,SUMIFS(N1949:N$9844,$F1949:$F$9844,"*"&amp;F1948&amp;"*",$H1949:$H$9844,"&lt;&gt;"))</f>
        <v>0</v>
      </c>
      <c r="O1948" s="162" t="str">
        <f>IFERROR((-Tabela2[[#This Row],[CUSTO TOTAL]]+Tabela2[[#This Row],[VENDA TOTAL]])/Tabela2[[#This Row],[VENDA TOTAL]]-PARAMETROS!$C$19,"")</f>
        <v/>
      </c>
      <c r="AA1948" s="218">
        <f>SUM(Plan_Orc[[#This Row],[01/jan]:[01/dez]])</f>
        <v>0</v>
      </c>
      <c r="AB1948" s="12"/>
      <c r="AC1948" s="12"/>
      <c r="AD1948" s="12"/>
      <c r="AE1948" s="12"/>
      <c r="AF1948" s="12"/>
      <c r="AG1948" s="12"/>
      <c r="AH1948" s="12"/>
      <c r="AI1948" s="12"/>
      <c r="AJ1948" s="12"/>
      <c r="AK1948" s="12"/>
      <c r="AL1948" s="12"/>
      <c r="AM1948" s="12"/>
    </row>
    <row r="1949" spans="2:39" ht="25.2" customHeight="1" x14ac:dyDescent="0.3">
      <c r="B1949" s="13" t="str">
        <f t="shared" si="34"/>
        <v/>
      </c>
      <c r="C1949" s="18"/>
      <c r="D1949" s="19" t="str">
        <f>IF(Tabela2[[#This Row],[AGRUPADOR]]&lt;&gt;"",VLOOKUP(Tabela2[[#This Row],[AGRUPADOR]],Tabela1[],2,0),"")</f>
        <v/>
      </c>
      <c r="E1949" s="19" t="str">
        <f>IF(Tabela2[[#This Row],[AGRUPADOR]]&lt;&gt;"",VLOOKUP(Tabela2[[#This Row],[AGRUPADOR]],Tabela1[],4,0),"")</f>
        <v/>
      </c>
      <c r="F1949" s="14"/>
      <c r="G1949" s="6"/>
      <c r="H1949" s="6"/>
      <c r="I1949" s="25"/>
      <c r="J1949" s="7"/>
      <c r="K1949" s="15"/>
      <c r="L1949" s="379">
        <f>IF(H1949&lt;&gt;"",J1949*K1949,SUMIFS(L1950:L$9844,$F1950:$F$9844,"*"&amp;F1949&amp;"*",$H1950:$H$9844,"&lt;&gt;"))</f>
        <v>0</v>
      </c>
      <c r="M1949" s="379" t="str">
        <f>IF(Tabela2[[#This Row],[UNID.]]&lt;&gt;"",IFERROR(VLOOKUP(Tabela2[[#This Row],[AGRUPADOR]],Lucratividade!$D$4:$O$129,6,0),0),"")</f>
        <v/>
      </c>
      <c r="N1949" s="379">
        <f>IF(H1949&lt;&gt;"",J1949*M1949*I1949,SUMIFS(N1950:N$9844,$F1950:$F$9844,"*"&amp;F1949&amp;"*",$H1950:$H$9844,"&lt;&gt;"))</f>
        <v>0</v>
      </c>
      <c r="O1949" s="162" t="str">
        <f>IFERROR((-Tabela2[[#This Row],[CUSTO TOTAL]]+Tabela2[[#This Row],[VENDA TOTAL]])/Tabela2[[#This Row],[VENDA TOTAL]]-PARAMETROS!$C$19,"")</f>
        <v/>
      </c>
      <c r="AA1949" s="219">
        <f>SUM(Plan_Orc[[#This Row],[01/jan]:[01/dez]])</f>
        <v>0</v>
      </c>
      <c r="AB1949" s="15"/>
      <c r="AC1949" s="15"/>
      <c r="AD1949" s="15"/>
      <c r="AE1949" s="15"/>
      <c r="AF1949" s="15"/>
      <c r="AG1949" s="15"/>
      <c r="AH1949" s="15"/>
      <c r="AI1949" s="15"/>
      <c r="AJ1949" s="15"/>
      <c r="AK1949" s="15"/>
      <c r="AL1949" s="15"/>
      <c r="AM1949" s="15"/>
    </row>
    <row r="1950" spans="2:39" ht="25.2" customHeight="1" x14ac:dyDescent="0.3">
      <c r="B1950" s="13" t="str">
        <f t="shared" si="34"/>
        <v/>
      </c>
      <c r="C1950" s="18"/>
      <c r="D1950" s="19" t="str">
        <f>IF(Tabela2[[#This Row],[AGRUPADOR]]&lt;&gt;"",VLOOKUP(Tabela2[[#This Row],[AGRUPADOR]],Tabela1[],2,0),"")</f>
        <v/>
      </c>
      <c r="E1950" s="19" t="str">
        <f>IF(Tabela2[[#This Row],[AGRUPADOR]]&lt;&gt;"",VLOOKUP(Tabela2[[#This Row],[AGRUPADOR]],Tabela1[],4,0),"")</f>
        <v/>
      </c>
      <c r="F1950" s="14"/>
      <c r="G1950" s="6"/>
      <c r="H1950" s="6"/>
      <c r="I1950" s="25"/>
      <c r="J1950" s="7"/>
      <c r="K1950" s="15"/>
      <c r="L1950" s="379">
        <f>IF(H1950&lt;&gt;"",J1950*K1950,SUMIFS(L1951:L$9844,$F1951:$F$9844,"*"&amp;F1950&amp;"*",$H1951:$H$9844,"&lt;&gt;"))</f>
        <v>0</v>
      </c>
      <c r="M1950" s="379" t="str">
        <f>IF(Tabela2[[#This Row],[UNID.]]&lt;&gt;"",IFERROR(VLOOKUP(Tabela2[[#This Row],[AGRUPADOR]],Lucratividade!$D$4:$O$129,6,0),0),"")</f>
        <v/>
      </c>
      <c r="N1950" s="379">
        <f>IF(H1950&lt;&gt;"",J1950*M1950*I1950,SUMIFS(N1951:N$9844,$F1951:$F$9844,"*"&amp;F1950&amp;"*",$H1951:$H$9844,"&lt;&gt;"))</f>
        <v>0</v>
      </c>
      <c r="O1950" s="162" t="str">
        <f>IFERROR((-Tabela2[[#This Row],[CUSTO TOTAL]]+Tabela2[[#This Row],[VENDA TOTAL]])/Tabela2[[#This Row],[VENDA TOTAL]]-PARAMETROS!$C$19,"")</f>
        <v/>
      </c>
      <c r="AA1950" s="219">
        <f>SUM(Plan_Orc[[#This Row],[01/jan]:[01/dez]])</f>
        <v>0</v>
      </c>
      <c r="AB1950" s="15"/>
      <c r="AC1950" s="15"/>
      <c r="AD1950" s="15"/>
      <c r="AE1950" s="15"/>
      <c r="AF1950" s="15"/>
      <c r="AG1950" s="15"/>
      <c r="AH1950" s="15"/>
      <c r="AI1950" s="15"/>
      <c r="AJ1950" s="15"/>
      <c r="AK1950" s="15"/>
      <c r="AL1950" s="15"/>
      <c r="AM1950" s="15"/>
    </row>
    <row r="1951" spans="2:39" ht="25.2" customHeight="1" x14ac:dyDescent="0.3">
      <c r="B1951" s="13" t="str">
        <f t="shared" si="34"/>
        <v/>
      </c>
      <c r="C1951" s="18"/>
      <c r="D1951" s="19" t="str">
        <f>IF(Tabela2[[#This Row],[AGRUPADOR]]&lt;&gt;"",VLOOKUP(Tabela2[[#This Row],[AGRUPADOR]],Tabela1[],2,0),"")</f>
        <v/>
      </c>
      <c r="E1951" s="19" t="str">
        <f>IF(Tabela2[[#This Row],[AGRUPADOR]]&lt;&gt;"",VLOOKUP(Tabela2[[#This Row],[AGRUPADOR]],Tabela1[],4,0),"")</f>
        <v/>
      </c>
      <c r="F1951" s="14"/>
      <c r="G1951" s="6"/>
      <c r="H1951" s="6"/>
      <c r="I1951" s="25"/>
      <c r="J1951" s="7"/>
      <c r="K1951" s="15"/>
      <c r="L1951" s="379">
        <f>IF(H1951&lt;&gt;"",J1951*K1951,SUMIFS(L1952:L$9844,$F1952:$F$9844,"*"&amp;F1951&amp;"*",$H1952:$H$9844,"&lt;&gt;"))</f>
        <v>0</v>
      </c>
      <c r="M1951" s="379" t="str">
        <f>IF(Tabela2[[#This Row],[UNID.]]&lt;&gt;"",IFERROR(VLOOKUP(Tabela2[[#This Row],[AGRUPADOR]],Lucratividade!$D$4:$O$129,6,0),0),"")</f>
        <v/>
      </c>
      <c r="N1951" s="379">
        <f>IF(H1951&lt;&gt;"",J1951*M1951*I1951,SUMIFS(N1952:N$9844,$F1952:$F$9844,"*"&amp;F1951&amp;"*",$H1952:$H$9844,"&lt;&gt;"))</f>
        <v>0</v>
      </c>
      <c r="O1951" s="162" t="str">
        <f>IFERROR((-Tabela2[[#This Row],[CUSTO TOTAL]]+Tabela2[[#This Row],[VENDA TOTAL]])/Tabela2[[#This Row],[VENDA TOTAL]]-PARAMETROS!$C$19,"")</f>
        <v/>
      </c>
      <c r="AA1951" s="219">
        <f>SUM(Plan_Orc[[#This Row],[01/jan]:[01/dez]])</f>
        <v>0</v>
      </c>
      <c r="AB1951" s="15"/>
      <c r="AC1951" s="15"/>
      <c r="AD1951" s="15"/>
      <c r="AE1951" s="15"/>
      <c r="AF1951" s="15"/>
      <c r="AG1951" s="15"/>
      <c r="AH1951" s="15"/>
      <c r="AI1951" s="15"/>
      <c r="AJ1951" s="15"/>
      <c r="AK1951" s="15"/>
      <c r="AL1951" s="15"/>
      <c r="AM1951" s="15"/>
    </row>
    <row r="1952" spans="2:39" ht="25.2" customHeight="1" x14ac:dyDescent="0.3">
      <c r="B1952" s="13" t="str">
        <f t="shared" si="34"/>
        <v/>
      </c>
      <c r="C1952" s="18"/>
      <c r="D1952" s="19" t="str">
        <f>IF(Tabela2[[#This Row],[AGRUPADOR]]&lt;&gt;"",VLOOKUP(Tabela2[[#This Row],[AGRUPADOR]],Tabela1[],2,0),"")</f>
        <v/>
      </c>
      <c r="E1952" s="19" t="str">
        <f>IF(Tabela2[[#This Row],[AGRUPADOR]]&lt;&gt;"",VLOOKUP(Tabela2[[#This Row],[AGRUPADOR]],Tabela1[],4,0),"")</f>
        <v/>
      </c>
      <c r="F1952" s="14"/>
      <c r="G1952" s="6"/>
      <c r="H1952" s="6"/>
      <c r="I1952" s="25"/>
      <c r="J1952" s="7"/>
      <c r="K1952" s="15"/>
      <c r="L1952" s="379">
        <f>IF(H1952&lt;&gt;"",J1952*K1952,SUMIFS(L1953:L$9844,$F1953:$F$9844,"*"&amp;F1952&amp;"*",$H1953:$H$9844,"&lt;&gt;"))</f>
        <v>0</v>
      </c>
      <c r="M1952" s="379" t="str">
        <f>IF(Tabela2[[#This Row],[UNID.]]&lt;&gt;"",IFERROR(VLOOKUP(Tabela2[[#This Row],[AGRUPADOR]],Lucratividade!$D$4:$O$129,6,0),0),"")</f>
        <v/>
      </c>
      <c r="N1952" s="379">
        <f>IF(H1952&lt;&gt;"",J1952*M1952*I1952,SUMIFS(N1953:N$9844,$F1953:$F$9844,"*"&amp;F1952&amp;"*",$H1953:$H$9844,"&lt;&gt;"))</f>
        <v>0</v>
      </c>
      <c r="O1952" s="162" t="str">
        <f>IFERROR((-Tabela2[[#This Row],[CUSTO TOTAL]]+Tabela2[[#This Row],[VENDA TOTAL]])/Tabela2[[#This Row],[VENDA TOTAL]]-PARAMETROS!$C$19,"")</f>
        <v/>
      </c>
      <c r="AA1952" s="219">
        <f>SUM(Plan_Orc[[#This Row],[01/jan]:[01/dez]])</f>
        <v>0</v>
      </c>
      <c r="AB1952" s="15"/>
      <c r="AC1952" s="15"/>
      <c r="AD1952" s="15"/>
      <c r="AE1952" s="15"/>
      <c r="AF1952" s="15"/>
      <c r="AG1952" s="15"/>
      <c r="AH1952" s="15"/>
      <c r="AI1952" s="15"/>
      <c r="AJ1952" s="15"/>
      <c r="AK1952" s="15"/>
      <c r="AL1952" s="15"/>
      <c r="AM1952" s="15"/>
    </row>
    <row r="1953" spans="2:39" ht="25.2" customHeight="1" x14ac:dyDescent="0.3">
      <c r="B1953" s="13" t="str">
        <f t="shared" si="34"/>
        <v/>
      </c>
      <c r="C1953" s="18"/>
      <c r="D1953" s="19" t="str">
        <f>IF(Tabela2[[#This Row],[AGRUPADOR]]&lt;&gt;"",VLOOKUP(Tabela2[[#This Row],[AGRUPADOR]],Tabela1[],2,0),"")</f>
        <v/>
      </c>
      <c r="E1953" s="19" t="str">
        <f>IF(Tabela2[[#This Row],[AGRUPADOR]]&lt;&gt;"",VLOOKUP(Tabela2[[#This Row],[AGRUPADOR]],Tabela1[],4,0),"")</f>
        <v/>
      </c>
      <c r="F1953" s="14"/>
      <c r="G1953" s="6"/>
      <c r="H1953" s="6"/>
      <c r="I1953" s="25"/>
      <c r="J1953" s="7"/>
      <c r="K1953" s="15"/>
      <c r="L1953" s="379">
        <f>IF(H1953&lt;&gt;"",J1953*K1953,SUMIFS(L1954:L$9844,$F1954:$F$9844,"*"&amp;F1953&amp;"*",$H1954:$H$9844,"&lt;&gt;"))</f>
        <v>0</v>
      </c>
      <c r="M1953" s="379" t="str">
        <f>IF(Tabela2[[#This Row],[UNID.]]&lt;&gt;"",IFERROR(VLOOKUP(Tabela2[[#This Row],[AGRUPADOR]],Lucratividade!$D$4:$O$129,6,0),0),"")</f>
        <v/>
      </c>
      <c r="N1953" s="379">
        <f>IF(H1953&lt;&gt;"",J1953*M1953*I1953,SUMIFS(N1954:N$9844,$F1954:$F$9844,"*"&amp;F1953&amp;"*",$H1954:$H$9844,"&lt;&gt;"))</f>
        <v>0</v>
      </c>
      <c r="O1953" s="162" t="str">
        <f>IFERROR((-Tabela2[[#This Row],[CUSTO TOTAL]]+Tabela2[[#This Row],[VENDA TOTAL]])/Tabela2[[#This Row],[VENDA TOTAL]]-PARAMETROS!$C$19,"")</f>
        <v/>
      </c>
      <c r="AA1953" s="219">
        <f>SUM(Plan_Orc[[#This Row],[01/jan]:[01/dez]])</f>
        <v>0</v>
      </c>
      <c r="AB1953" s="15"/>
      <c r="AC1953" s="15"/>
      <c r="AD1953" s="15"/>
      <c r="AE1953" s="15"/>
      <c r="AF1953" s="15"/>
      <c r="AG1953" s="15"/>
      <c r="AH1953" s="15"/>
      <c r="AI1953" s="15"/>
      <c r="AJ1953" s="15"/>
      <c r="AK1953" s="15"/>
      <c r="AL1953" s="15"/>
      <c r="AM1953" s="15"/>
    </row>
    <row r="1954" spans="2:39" ht="25.2" customHeight="1" x14ac:dyDescent="0.3">
      <c r="B1954" s="13" t="str">
        <f t="shared" si="34"/>
        <v/>
      </c>
      <c r="C1954" s="18"/>
      <c r="D1954" s="19" t="str">
        <f>IF(Tabela2[[#This Row],[AGRUPADOR]]&lt;&gt;"",VLOOKUP(Tabela2[[#This Row],[AGRUPADOR]],Tabela1[],2,0),"")</f>
        <v/>
      </c>
      <c r="E1954" s="19" t="str">
        <f>IF(Tabela2[[#This Row],[AGRUPADOR]]&lt;&gt;"",VLOOKUP(Tabela2[[#This Row],[AGRUPADOR]],Tabela1[],4,0),"")</f>
        <v/>
      </c>
      <c r="F1954" s="14"/>
      <c r="G1954" s="6"/>
      <c r="H1954" s="6"/>
      <c r="I1954" s="25"/>
      <c r="J1954" s="7"/>
      <c r="K1954" s="15"/>
      <c r="L1954" s="379">
        <f>IF(H1954&lt;&gt;"",J1954*K1954,SUMIFS(L1955:L$9844,$F1955:$F$9844,"*"&amp;F1954&amp;"*",$H1955:$H$9844,"&lt;&gt;"))</f>
        <v>0</v>
      </c>
      <c r="M1954" s="379" t="str">
        <f>IF(Tabela2[[#This Row],[UNID.]]&lt;&gt;"",IFERROR(VLOOKUP(Tabela2[[#This Row],[AGRUPADOR]],Lucratividade!$D$4:$O$129,6,0),0),"")</f>
        <v/>
      </c>
      <c r="N1954" s="379">
        <f>IF(H1954&lt;&gt;"",J1954*M1954*I1954,SUMIFS(N1955:N$9844,$F1955:$F$9844,"*"&amp;F1954&amp;"*",$H1955:$H$9844,"&lt;&gt;"))</f>
        <v>0</v>
      </c>
      <c r="O1954" s="162" t="str">
        <f>IFERROR((-Tabela2[[#This Row],[CUSTO TOTAL]]+Tabela2[[#This Row],[VENDA TOTAL]])/Tabela2[[#This Row],[VENDA TOTAL]]-PARAMETROS!$C$19,"")</f>
        <v/>
      </c>
      <c r="AA1954" s="219">
        <f>SUM(Plan_Orc[[#This Row],[01/jan]:[01/dez]])</f>
        <v>0</v>
      </c>
      <c r="AB1954" s="15"/>
      <c r="AC1954" s="15"/>
      <c r="AD1954" s="15"/>
      <c r="AE1954" s="15"/>
      <c r="AF1954" s="15"/>
      <c r="AG1954" s="15"/>
      <c r="AH1954" s="15"/>
      <c r="AI1954" s="15"/>
      <c r="AJ1954" s="15"/>
      <c r="AK1954" s="15"/>
      <c r="AL1954" s="15"/>
      <c r="AM1954" s="15"/>
    </row>
    <row r="1955" spans="2:39" ht="25.2" customHeight="1" x14ac:dyDescent="0.3">
      <c r="B1955" s="13" t="str">
        <f t="shared" si="34"/>
        <v/>
      </c>
      <c r="C1955" s="18"/>
      <c r="D1955" s="19" t="str">
        <f>IF(Tabela2[[#This Row],[AGRUPADOR]]&lt;&gt;"",VLOOKUP(Tabela2[[#This Row],[AGRUPADOR]],Tabela1[],2,0),"")</f>
        <v/>
      </c>
      <c r="E1955" s="19" t="str">
        <f>IF(Tabela2[[#This Row],[AGRUPADOR]]&lt;&gt;"",VLOOKUP(Tabela2[[#This Row],[AGRUPADOR]],Tabela1[],4,0),"")</f>
        <v/>
      </c>
      <c r="F1955" s="14"/>
      <c r="G1955" s="6"/>
      <c r="H1955" s="6"/>
      <c r="I1955" s="25"/>
      <c r="J1955" s="7"/>
      <c r="K1955" s="15"/>
      <c r="L1955" s="379">
        <f>IF(H1955&lt;&gt;"",J1955*K1955,SUMIFS(L1956:L$9844,$F1956:$F$9844,"*"&amp;F1955&amp;"*",$H1956:$H$9844,"&lt;&gt;"))</f>
        <v>0</v>
      </c>
      <c r="M1955" s="379" t="str">
        <f>IF(Tabela2[[#This Row],[UNID.]]&lt;&gt;"",IFERROR(VLOOKUP(Tabela2[[#This Row],[AGRUPADOR]],Lucratividade!$D$4:$O$129,6,0),0),"")</f>
        <v/>
      </c>
      <c r="N1955" s="379">
        <f>IF(H1955&lt;&gt;"",J1955*M1955*I1955,SUMIFS(N1956:N$9844,$F1956:$F$9844,"*"&amp;F1955&amp;"*",$H1956:$H$9844,"&lt;&gt;"))</f>
        <v>0</v>
      </c>
      <c r="O1955" s="162" t="str">
        <f>IFERROR((-Tabela2[[#This Row],[CUSTO TOTAL]]+Tabela2[[#This Row],[VENDA TOTAL]])/Tabela2[[#This Row],[VENDA TOTAL]]-PARAMETROS!$C$19,"")</f>
        <v/>
      </c>
      <c r="AA1955" s="219">
        <f>SUM(Plan_Orc[[#This Row],[01/jan]:[01/dez]])</f>
        <v>0</v>
      </c>
      <c r="AB1955" s="15"/>
      <c r="AC1955" s="15"/>
      <c r="AD1955" s="15"/>
      <c r="AE1955" s="15"/>
      <c r="AF1955" s="15"/>
      <c r="AG1955" s="15"/>
      <c r="AH1955" s="15"/>
      <c r="AI1955" s="15"/>
      <c r="AJ1955" s="15"/>
      <c r="AK1955" s="15"/>
      <c r="AL1955" s="15"/>
      <c r="AM1955" s="15"/>
    </row>
    <row r="1956" spans="2:39" ht="25.2" customHeight="1" x14ac:dyDescent="0.3">
      <c r="B1956" s="13" t="str">
        <f t="shared" si="34"/>
        <v/>
      </c>
      <c r="C1956" s="18"/>
      <c r="D1956" s="19" t="str">
        <f>IF(Tabela2[[#This Row],[AGRUPADOR]]&lt;&gt;"",VLOOKUP(Tabela2[[#This Row],[AGRUPADOR]],Tabela1[],2,0),"")</f>
        <v/>
      </c>
      <c r="E1956" s="19" t="str">
        <f>IF(Tabela2[[#This Row],[AGRUPADOR]]&lt;&gt;"",VLOOKUP(Tabela2[[#This Row],[AGRUPADOR]],Tabela1[],4,0),"")</f>
        <v/>
      </c>
      <c r="F1956" s="14"/>
      <c r="G1956" s="6"/>
      <c r="H1956" s="6"/>
      <c r="I1956" s="25"/>
      <c r="J1956" s="7"/>
      <c r="K1956" s="15"/>
      <c r="L1956" s="379">
        <f>IF(H1956&lt;&gt;"",J1956*K1956,SUMIFS(L1957:L$9844,$F1957:$F$9844,"*"&amp;F1956&amp;"*",$H1957:$H$9844,"&lt;&gt;"))</f>
        <v>0</v>
      </c>
      <c r="M1956" s="379" t="str">
        <f>IF(Tabela2[[#This Row],[UNID.]]&lt;&gt;"",IFERROR(VLOOKUP(Tabela2[[#This Row],[AGRUPADOR]],Lucratividade!$D$4:$O$129,6,0),0),"")</f>
        <v/>
      </c>
      <c r="N1956" s="379">
        <f>IF(H1956&lt;&gt;"",J1956*M1956*I1956,SUMIFS(N1957:N$9844,$F1957:$F$9844,"*"&amp;F1956&amp;"*",$H1957:$H$9844,"&lt;&gt;"))</f>
        <v>0</v>
      </c>
      <c r="O1956" s="162" t="str">
        <f>IFERROR((-Tabela2[[#This Row],[CUSTO TOTAL]]+Tabela2[[#This Row],[VENDA TOTAL]])/Tabela2[[#This Row],[VENDA TOTAL]]-PARAMETROS!$C$19,"")</f>
        <v/>
      </c>
      <c r="AA1956" s="219">
        <f>SUM(Plan_Orc[[#This Row],[01/jan]:[01/dez]])</f>
        <v>0</v>
      </c>
      <c r="AB1956" s="15"/>
      <c r="AC1956" s="15"/>
      <c r="AD1956" s="15"/>
      <c r="AE1956" s="15"/>
      <c r="AF1956" s="15"/>
      <c r="AG1956" s="15"/>
      <c r="AH1956" s="15"/>
      <c r="AI1956" s="15"/>
      <c r="AJ1956" s="15"/>
      <c r="AK1956" s="15"/>
      <c r="AL1956" s="15"/>
      <c r="AM1956" s="15"/>
    </row>
    <row r="1957" spans="2:39" ht="25.2" customHeight="1" x14ac:dyDescent="0.3">
      <c r="B1957" s="13" t="str">
        <f t="shared" si="34"/>
        <v/>
      </c>
      <c r="C1957" s="18"/>
      <c r="D1957" s="19" t="str">
        <f>IF(Tabela2[[#This Row],[AGRUPADOR]]&lt;&gt;"",VLOOKUP(Tabela2[[#This Row],[AGRUPADOR]],Tabela1[],2,0),"")</f>
        <v/>
      </c>
      <c r="E1957" s="19" t="str">
        <f>IF(Tabela2[[#This Row],[AGRUPADOR]]&lt;&gt;"",VLOOKUP(Tabela2[[#This Row],[AGRUPADOR]],Tabela1[],4,0),"")</f>
        <v/>
      </c>
      <c r="F1957" s="14"/>
      <c r="G1957" s="6"/>
      <c r="H1957" s="6"/>
      <c r="I1957" s="25"/>
      <c r="J1957" s="7"/>
      <c r="K1957" s="15"/>
      <c r="L1957" s="379">
        <f>IF(H1957&lt;&gt;"",J1957*K1957,SUMIFS(L1958:L$9844,$F1958:$F$9844,"*"&amp;F1957&amp;"*",$H1958:$H$9844,"&lt;&gt;"))</f>
        <v>0</v>
      </c>
      <c r="M1957" s="379" t="str">
        <f>IF(Tabela2[[#This Row],[UNID.]]&lt;&gt;"",IFERROR(VLOOKUP(Tabela2[[#This Row],[AGRUPADOR]],Lucratividade!$D$4:$O$129,6,0),0),"")</f>
        <v/>
      </c>
      <c r="N1957" s="379">
        <f>IF(H1957&lt;&gt;"",J1957*M1957*I1957,SUMIFS(N1958:N$9844,$F1958:$F$9844,"*"&amp;F1957&amp;"*",$H1958:$H$9844,"&lt;&gt;"))</f>
        <v>0</v>
      </c>
      <c r="O1957" s="162" t="str">
        <f>IFERROR((-Tabela2[[#This Row],[CUSTO TOTAL]]+Tabela2[[#This Row],[VENDA TOTAL]])/Tabela2[[#This Row],[VENDA TOTAL]]-PARAMETROS!$C$19,"")</f>
        <v/>
      </c>
      <c r="AA1957" s="219">
        <f>SUM(Plan_Orc[[#This Row],[01/jan]:[01/dez]])</f>
        <v>0</v>
      </c>
      <c r="AB1957" s="15"/>
      <c r="AC1957" s="15"/>
      <c r="AD1957" s="15"/>
      <c r="AE1957" s="15"/>
      <c r="AF1957" s="15"/>
      <c r="AG1957" s="15"/>
      <c r="AH1957" s="15"/>
      <c r="AI1957" s="15"/>
      <c r="AJ1957" s="15"/>
      <c r="AK1957" s="15"/>
      <c r="AL1957" s="15"/>
      <c r="AM1957" s="15"/>
    </row>
    <row r="1958" spans="2:39" ht="25.2" customHeight="1" x14ac:dyDescent="0.3">
      <c r="B1958" s="13" t="str">
        <f t="shared" si="34"/>
        <v/>
      </c>
      <c r="C1958" s="18"/>
      <c r="D1958" s="19" t="str">
        <f>IF(Tabela2[[#This Row],[AGRUPADOR]]&lt;&gt;"",VLOOKUP(Tabela2[[#This Row],[AGRUPADOR]],Tabela1[],2,0),"")</f>
        <v/>
      </c>
      <c r="E1958" s="19" t="str">
        <f>IF(Tabela2[[#This Row],[AGRUPADOR]]&lt;&gt;"",VLOOKUP(Tabela2[[#This Row],[AGRUPADOR]],Tabela1[],4,0),"")</f>
        <v/>
      </c>
      <c r="F1958" s="14"/>
      <c r="G1958" s="6"/>
      <c r="H1958" s="6"/>
      <c r="I1958" s="25"/>
      <c r="J1958" s="7"/>
      <c r="K1958" s="15"/>
      <c r="L1958" s="379">
        <f>IF(H1958&lt;&gt;"",J1958*K1958,SUMIFS(L1959:L$9844,$F1959:$F$9844,"*"&amp;F1958&amp;"*",$H1959:$H$9844,"&lt;&gt;"))</f>
        <v>0</v>
      </c>
      <c r="M1958" s="379" t="str">
        <f>IF(Tabela2[[#This Row],[UNID.]]&lt;&gt;"",IFERROR(VLOOKUP(Tabela2[[#This Row],[AGRUPADOR]],Lucratividade!$D$4:$O$129,6,0),0),"")</f>
        <v/>
      </c>
      <c r="N1958" s="379">
        <f>IF(H1958&lt;&gt;"",J1958*M1958*I1958,SUMIFS(N1959:N$9844,$F1959:$F$9844,"*"&amp;F1958&amp;"*",$H1959:$H$9844,"&lt;&gt;"))</f>
        <v>0</v>
      </c>
      <c r="O1958" s="162" t="str">
        <f>IFERROR((-Tabela2[[#This Row],[CUSTO TOTAL]]+Tabela2[[#This Row],[VENDA TOTAL]])/Tabela2[[#This Row],[VENDA TOTAL]]-PARAMETROS!$C$19,"")</f>
        <v/>
      </c>
      <c r="AA1958" s="219">
        <f>SUM(Plan_Orc[[#This Row],[01/jan]:[01/dez]])</f>
        <v>0</v>
      </c>
      <c r="AB1958" s="15"/>
      <c r="AC1958" s="15"/>
      <c r="AD1958" s="15"/>
      <c r="AE1958" s="15"/>
      <c r="AF1958" s="15"/>
      <c r="AG1958" s="15"/>
      <c r="AH1958" s="15"/>
      <c r="AI1958" s="15"/>
      <c r="AJ1958" s="15"/>
      <c r="AK1958" s="15"/>
      <c r="AL1958" s="15"/>
      <c r="AM1958" s="15"/>
    </row>
    <row r="1959" spans="2:39" ht="25.2" customHeight="1" x14ac:dyDescent="0.3">
      <c r="B1959" s="13" t="str">
        <f t="shared" si="34"/>
        <v/>
      </c>
      <c r="C1959" s="18"/>
      <c r="D1959" s="19" t="str">
        <f>IF(Tabela2[[#This Row],[AGRUPADOR]]&lt;&gt;"",VLOOKUP(Tabela2[[#This Row],[AGRUPADOR]],Tabela1[],2,0),"")</f>
        <v/>
      </c>
      <c r="E1959" s="19" t="str">
        <f>IF(Tabela2[[#This Row],[AGRUPADOR]]&lt;&gt;"",VLOOKUP(Tabela2[[#This Row],[AGRUPADOR]],Tabela1[],4,0),"")</f>
        <v/>
      </c>
      <c r="F1959" s="14"/>
      <c r="G1959" s="6"/>
      <c r="H1959" s="6"/>
      <c r="I1959" s="25"/>
      <c r="J1959" s="7"/>
      <c r="K1959" s="15"/>
      <c r="L1959" s="379">
        <f>IF(H1959&lt;&gt;"",J1959*K1959,SUMIFS(L1960:L$9844,$F1960:$F$9844,"*"&amp;F1959&amp;"*",$H1960:$H$9844,"&lt;&gt;"))</f>
        <v>0</v>
      </c>
      <c r="M1959" s="379" t="str">
        <f>IF(Tabela2[[#This Row],[UNID.]]&lt;&gt;"",IFERROR(VLOOKUP(Tabela2[[#This Row],[AGRUPADOR]],Lucratividade!$D$4:$O$129,6,0),0),"")</f>
        <v/>
      </c>
      <c r="N1959" s="379">
        <f>IF(H1959&lt;&gt;"",J1959*M1959*I1959,SUMIFS(N1960:N$9844,$F1960:$F$9844,"*"&amp;F1959&amp;"*",$H1960:$H$9844,"&lt;&gt;"))</f>
        <v>0</v>
      </c>
      <c r="O1959" s="162" t="str">
        <f>IFERROR((-Tabela2[[#This Row],[CUSTO TOTAL]]+Tabela2[[#This Row],[VENDA TOTAL]])/Tabela2[[#This Row],[VENDA TOTAL]]-PARAMETROS!$C$19,"")</f>
        <v/>
      </c>
      <c r="AA1959" s="219">
        <f>SUM(Plan_Orc[[#This Row],[01/jan]:[01/dez]])</f>
        <v>0</v>
      </c>
      <c r="AB1959" s="15"/>
      <c r="AC1959" s="15"/>
      <c r="AD1959" s="15"/>
      <c r="AE1959" s="15"/>
      <c r="AF1959" s="15"/>
      <c r="AG1959" s="15"/>
      <c r="AH1959" s="15"/>
      <c r="AI1959" s="15"/>
      <c r="AJ1959" s="15"/>
      <c r="AK1959" s="15"/>
      <c r="AL1959" s="15"/>
      <c r="AM1959" s="15"/>
    </row>
    <row r="1960" spans="2:39" ht="25.2" customHeight="1" x14ac:dyDescent="0.3">
      <c r="B1960" s="13" t="str">
        <f t="shared" si="34"/>
        <v/>
      </c>
      <c r="C1960" s="18"/>
      <c r="D1960" s="19" t="str">
        <f>IF(Tabela2[[#This Row],[AGRUPADOR]]&lt;&gt;"",VLOOKUP(Tabela2[[#This Row],[AGRUPADOR]],Tabela1[],2,0),"")</f>
        <v/>
      </c>
      <c r="E1960" s="19" t="str">
        <f>IF(Tabela2[[#This Row],[AGRUPADOR]]&lt;&gt;"",VLOOKUP(Tabela2[[#This Row],[AGRUPADOR]],Tabela1[],4,0),"")</f>
        <v/>
      </c>
      <c r="F1960" s="14"/>
      <c r="G1960" s="6"/>
      <c r="H1960" s="6"/>
      <c r="I1960" s="25"/>
      <c r="J1960" s="7"/>
      <c r="K1960" s="15"/>
      <c r="L1960" s="379">
        <f>IF(H1960&lt;&gt;"",J1960*K1960,SUMIFS(L1961:L$9844,$F1961:$F$9844,"*"&amp;F1960&amp;"*",$H1961:$H$9844,"&lt;&gt;"))</f>
        <v>0</v>
      </c>
      <c r="M1960" s="379" t="str">
        <f>IF(Tabela2[[#This Row],[UNID.]]&lt;&gt;"",IFERROR(VLOOKUP(Tabela2[[#This Row],[AGRUPADOR]],Lucratividade!$D$4:$O$129,6,0),0),"")</f>
        <v/>
      </c>
      <c r="N1960" s="379">
        <f>IF(H1960&lt;&gt;"",J1960*M1960*I1960,SUMIFS(N1961:N$9844,$F1961:$F$9844,"*"&amp;F1960&amp;"*",$H1961:$H$9844,"&lt;&gt;"))</f>
        <v>0</v>
      </c>
      <c r="O1960" s="162" t="str">
        <f>IFERROR((-Tabela2[[#This Row],[CUSTO TOTAL]]+Tabela2[[#This Row],[VENDA TOTAL]])/Tabela2[[#This Row],[VENDA TOTAL]]-PARAMETROS!$C$19,"")</f>
        <v/>
      </c>
      <c r="AA1960" s="219">
        <f>SUM(Plan_Orc[[#This Row],[01/jan]:[01/dez]])</f>
        <v>0</v>
      </c>
      <c r="AB1960" s="15"/>
      <c r="AC1960" s="15"/>
      <c r="AD1960" s="15"/>
      <c r="AE1960" s="15"/>
      <c r="AF1960" s="15"/>
      <c r="AG1960" s="15"/>
      <c r="AH1960" s="15"/>
      <c r="AI1960" s="15"/>
      <c r="AJ1960" s="15"/>
      <c r="AK1960" s="15"/>
      <c r="AL1960" s="15"/>
      <c r="AM1960" s="15"/>
    </row>
    <row r="1961" spans="2:39" ht="25.2" customHeight="1" x14ac:dyDescent="0.3">
      <c r="B1961" s="13" t="str">
        <f t="shared" si="34"/>
        <v/>
      </c>
      <c r="C1961" s="18"/>
      <c r="D1961" s="19" t="str">
        <f>IF(Tabela2[[#This Row],[AGRUPADOR]]&lt;&gt;"",VLOOKUP(Tabela2[[#This Row],[AGRUPADOR]],Tabela1[],2,0),"")</f>
        <v/>
      </c>
      <c r="E1961" s="19" t="str">
        <f>IF(Tabela2[[#This Row],[AGRUPADOR]]&lt;&gt;"",VLOOKUP(Tabela2[[#This Row],[AGRUPADOR]],Tabela1[],4,0),"")</f>
        <v/>
      </c>
      <c r="F1961" s="14"/>
      <c r="G1961" s="6"/>
      <c r="H1961" s="6"/>
      <c r="I1961" s="25"/>
      <c r="J1961" s="7"/>
      <c r="K1961" s="15"/>
      <c r="L1961" s="379">
        <f>IF(H1961&lt;&gt;"",J1961*K1961,SUMIFS(L1962:L$9844,$F1962:$F$9844,"*"&amp;F1961&amp;"*",$H1962:$H$9844,"&lt;&gt;"))</f>
        <v>0</v>
      </c>
      <c r="M1961" s="379" t="str">
        <f>IF(Tabela2[[#This Row],[UNID.]]&lt;&gt;"",IFERROR(VLOOKUP(Tabela2[[#This Row],[AGRUPADOR]],Lucratividade!$D$4:$O$129,6,0),0),"")</f>
        <v/>
      </c>
      <c r="N1961" s="379">
        <f>IF(H1961&lt;&gt;"",J1961*M1961*I1961,SUMIFS(N1962:N$9844,$F1962:$F$9844,"*"&amp;F1961&amp;"*",$H1962:$H$9844,"&lt;&gt;"))</f>
        <v>0</v>
      </c>
      <c r="O1961" s="162" t="str">
        <f>IFERROR((-Tabela2[[#This Row],[CUSTO TOTAL]]+Tabela2[[#This Row],[VENDA TOTAL]])/Tabela2[[#This Row],[VENDA TOTAL]]-PARAMETROS!$C$19,"")</f>
        <v/>
      </c>
      <c r="AA1961" s="219">
        <f>SUM(Plan_Orc[[#This Row],[01/jan]:[01/dez]])</f>
        <v>0</v>
      </c>
      <c r="AB1961" s="15"/>
      <c r="AC1961" s="15"/>
      <c r="AD1961" s="15"/>
      <c r="AE1961" s="15"/>
      <c r="AF1961" s="15"/>
      <c r="AG1961" s="15"/>
      <c r="AH1961" s="15"/>
      <c r="AI1961" s="15"/>
      <c r="AJ1961" s="15"/>
      <c r="AK1961" s="15"/>
      <c r="AL1961" s="15"/>
      <c r="AM1961" s="15"/>
    </row>
    <row r="1962" spans="2:39" ht="25.2" customHeight="1" x14ac:dyDescent="0.3">
      <c r="B1962" s="13" t="str">
        <f t="shared" si="34"/>
        <v/>
      </c>
      <c r="C1962" s="18"/>
      <c r="D1962" s="19" t="str">
        <f>IF(Tabela2[[#This Row],[AGRUPADOR]]&lt;&gt;"",VLOOKUP(Tabela2[[#This Row],[AGRUPADOR]],Tabela1[],2,0),"")</f>
        <v/>
      </c>
      <c r="E1962" s="19" t="str">
        <f>IF(Tabela2[[#This Row],[AGRUPADOR]]&lt;&gt;"",VLOOKUP(Tabela2[[#This Row],[AGRUPADOR]],Tabela1[],4,0),"")</f>
        <v/>
      </c>
      <c r="F1962" s="14"/>
      <c r="G1962" s="6"/>
      <c r="H1962" s="6"/>
      <c r="I1962" s="25"/>
      <c r="J1962" s="7"/>
      <c r="K1962" s="15"/>
      <c r="L1962" s="379">
        <f>IF(H1962&lt;&gt;"",J1962*K1962,SUMIFS(L1963:L$9844,$F1963:$F$9844,"*"&amp;F1962&amp;"*",$H1963:$H$9844,"&lt;&gt;"))</f>
        <v>0</v>
      </c>
      <c r="M1962" s="379" t="str">
        <f>IF(Tabela2[[#This Row],[UNID.]]&lt;&gt;"",IFERROR(VLOOKUP(Tabela2[[#This Row],[AGRUPADOR]],Lucratividade!$D$4:$O$129,6,0),0),"")</f>
        <v/>
      </c>
      <c r="N1962" s="379">
        <f>IF(H1962&lt;&gt;"",J1962*M1962*I1962,SUMIFS(N1963:N$9844,$F1963:$F$9844,"*"&amp;F1962&amp;"*",$H1963:$H$9844,"&lt;&gt;"))</f>
        <v>0</v>
      </c>
      <c r="O1962" s="162" t="str">
        <f>IFERROR((-Tabela2[[#This Row],[CUSTO TOTAL]]+Tabela2[[#This Row],[VENDA TOTAL]])/Tabela2[[#This Row],[VENDA TOTAL]]-PARAMETROS!$C$19,"")</f>
        <v/>
      </c>
      <c r="AA1962" s="219">
        <f>SUM(Plan_Orc[[#This Row],[01/jan]:[01/dez]])</f>
        <v>0</v>
      </c>
      <c r="AB1962" s="15"/>
      <c r="AC1962" s="15"/>
      <c r="AD1962" s="15"/>
      <c r="AE1962" s="15"/>
      <c r="AF1962" s="15"/>
      <c r="AG1962" s="15"/>
      <c r="AH1962" s="15"/>
      <c r="AI1962" s="15"/>
      <c r="AJ1962" s="15"/>
      <c r="AK1962" s="15"/>
      <c r="AL1962" s="15"/>
      <c r="AM1962" s="15"/>
    </row>
    <row r="1963" spans="2:39" ht="25.2" customHeight="1" x14ac:dyDescent="0.3">
      <c r="B1963" s="13" t="str">
        <f t="shared" si="34"/>
        <v/>
      </c>
      <c r="C1963" s="18"/>
      <c r="D1963" s="19" t="str">
        <f>IF(Tabela2[[#This Row],[AGRUPADOR]]&lt;&gt;"",VLOOKUP(Tabela2[[#This Row],[AGRUPADOR]],Tabela1[],2,0),"")</f>
        <v/>
      </c>
      <c r="E1963" s="19" t="str">
        <f>IF(Tabela2[[#This Row],[AGRUPADOR]]&lt;&gt;"",VLOOKUP(Tabela2[[#This Row],[AGRUPADOR]],Tabela1[],4,0),"")</f>
        <v/>
      </c>
      <c r="F1963" s="14"/>
      <c r="G1963" s="6"/>
      <c r="H1963" s="6"/>
      <c r="I1963" s="25"/>
      <c r="J1963" s="7"/>
      <c r="K1963" s="15"/>
      <c r="L1963" s="379">
        <f>IF(H1963&lt;&gt;"",J1963*K1963,SUMIFS(L1964:L$9844,$F1964:$F$9844,"*"&amp;F1963&amp;"*",$H1964:$H$9844,"&lt;&gt;"))</f>
        <v>0</v>
      </c>
      <c r="M1963" s="379" t="str">
        <f>IF(Tabela2[[#This Row],[UNID.]]&lt;&gt;"",IFERROR(VLOOKUP(Tabela2[[#This Row],[AGRUPADOR]],Lucratividade!$D$4:$O$129,6,0),0),"")</f>
        <v/>
      </c>
      <c r="N1963" s="379">
        <f>IF(H1963&lt;&gt;"",J1963*M1963*I1963,SUMIFS(N1964:N$9844,$F1964:$F$9844,"*"&amp;F1963&amp;"*",$H1964:$H$9844,"&lt;&gt;"))</f>
        <v>0</v>
      </c>
      <c r="O1963" s="162" t="str">
        <f>IFERROR((-Tabela2[[#This Row],[CUSTO TOTAL]]+Tabela2[[#This Row],[VENDA TOTAL]])/Tabela2[[#This Row],[VENDA TOTAL]]-PARAMETROS!$C$19,"")</f>
        <v/>
      </c>
      <c r="AA1963" s="219">
        <f>SUM(Plan_Orc[[#This Row],[01/jan]:[01/dez]])</f>
        <v>0</v>
      </c>
      <c r="AB1963" s="15"/>
      <c r="AC1963" s="15"/>
      <c r="AD1963" s="15"/>
      <c r="AE1963" s="15"/>
      <c r="AF1963" s="15"/>
      <c r="AG1963" s="15"/>
      <c r="AH1963" s="15"/>
      <c r="AI1963" s="15"/>
      <c r="AJ1963" s="15"/>
      <c r="AK1963" s="15"/>
      <c r="AL1963" s="15"/>
      <c r="AM1963" s="15"/>
    </row>
    <row r="1964" spans="2:39" ht="25.2" customHeight="1" x14ac:dyDescent="0.3">
      <c r="B1964" s="13" t="str">
        <f t="shared" si="34"/>
        <v/>
      </c>
      <c r="C1964" s="18"/>
      <c r="D1964" s="19" t="str">
        <f>IF(Tabela2[[#This Row],[AGRUPADOR]]&lt;&gt;"",VLOOKUP(Tabela2[[#This Row],[AGRUPADOR]],Tabela1[],2,0),"")</f>
        <v/>
      </c>
      <c r="E1964" s="19" t="str">
        <f>IF(Tabela2[[#This Row],[AGRUPADOR]]&lt;&gt;"",VLOOKUP(Tabela2[[#This Row],[AGRUPADOR]],Tabela1[],4,0),"")</f>
        <v/>
      </c>
      <c r="F1964" s="14"/>
      <c r="G1964" s="6"/>
      <c r="H1964" s="6"/>
      <c r="I1964" s="25"/>
      <c r="J1964" s="7"/>
      <c r="K1964" s="15"/>
      <c r="L1964" s="379">
        <f>IF(H1964&lt;&gt;"",J1964*K1964,SUMIFS(L1965:L$9844,$F1965:$F$9844,"*"&amp;F1964&amp;"*",$H1965:$H$9844,"&lt;&gt;"))</f>
        <v>0</v>
      </c>
      <c r="M1964" s="379" t="str">
        <f>IF(Tabela2[[#This Row],[UNID.]]&lt;&gt;"",IFERROR(VLOOKUP(Tabela2[[#This Row],[AGRUPADOR]],Lucratividade!$D$4:$O$129,6,0),0),"")</f>
        <v/>
      </c>
      <c r="N1964" s="379">
        <f>IF(H1964&lt;&gt;"",J1964*M1964*I1964,SUMIFS(N1965:N$9844,$F1965:$F$9844,"*"&amp;F1964&amp;"*",$H1965:$H$9844,"&lt;&gt;"))</f>
        <v>0</v>
      </c>
      <c r="O1964" s="162" t="str">
        <f>IFERROR((-Tabela2[[#This Row],[CUSTO TOTAL]]+Tabela2[[#This Row],[VENDA TOTAL]])/Tabela2[[#This Row],[VENDA TOTAL]]-PARAMETROS!$C$19,"")</f>
        <v/>
      </c>
      <c r="AA1964" s="219">
        <f>SUM(Plan_Orc[[#This Row],[01/jan]:[01/dez]])</f>
        <v>0</v>
      </c>
      <c r="AB1964" s="15"/>
      <c r="AC1964" s="15"/>
      <c r="AD1964" s="15"/>
      <c r="AE1964" s="15"/>
      <c r="AF1964" s="15"/>
      <c r="AG1964" s="15"/>
      <c r="AH1964" s="15"/>
      <c r="AI1964" s="15"/>
      <c r="AJ1964" s="15"/>
      <c r="AK1964" s="15"/>
      <c r="AL1964" s="15"/>
      <c r="AM1964" s="15"/>
    </row>
    <row r="1965" spans="2:39" ht="25.2" customHeight="1" x14ac:dyDescent="0.3">
      <c r="B1965" s="13" t="str">
        <f t="shared" si="34"/>
        <v/>
      </c>
      <c r="C1965" s="18"/>
      <c r="D1965" s="19" t="str">
        <f>IF(Tabela2[[#This Row],[AGRUPADOR]]&lt;&gt;"",VLOOKUP(Tabela2[[#This Row],[AGRUPADOR]],Tabela1[],2,0),"")</f>
        <v/>
      </c>
      <c r="E1965" s="19" t="str">
        <f>IF(Tabela2[[#This Row],[AGRUPADOR]]&lt;&gt;"",VLOOKUP(Tabela2[[#This Row],[AGRUPADOR]],Tabela1[],4,0),"")</f>
        <v/>
      </c>
      <c r="F1965" s="14"/>
      <c r="G1965" s="6"/>
      <c r="H1965" s="6"/>
      <c r="I1965" s="25"/>
      <c r="J1965" s="7"/>
      <c r="K1965" s="15"/>
      <c r="L1965" s="379">
        <f>IF(H1965&lt;&gt;"",J1965*K1965,SUMIFS(L1966:L$9844,$F1966:$F$9844,"*"&amp;F1965&amp;"*",$H1966:$H$9844,"&lt;&gt;"))</f>
        <v>0</v>
      </c>
      <c r="M1965" s="379" t="str">
        <f>IF(Tabela2[[#This Row],[UNID.]]&lt;&gt;"",IFERROR(VLOOKUP(Tabela2[[#This Row],[AGRUPADOR]],Lucratividade!$D$4:$O$129,6,0),0),"")</f>
        <v/>
      </c>
      <c r="N1965" s="379">
        <f>IF(H1965&lt;&gt;"",J1965*M1965*I1965,SUMIFS(N1966:N$9844,$F1966:$F$9844,"*"&amp;F1965&amp;"*",$H1966:$H$9844,"&lt;&gt;"))</f>
        <v>0</v>
      </c>
      <c r="O1965" s="162" t="str">
        <f>IFERROR((-Tabela2[[#This Row],[CUSTO TOTAL]]+Tabela2[[#This Row],[VENDA TOTAL]])/Tabela2[[#This Row],[VENDA TOTAL]]-PARAMETROS!$C$19,"")</f>
        <v/>
      </c>
      <c r="AA1965" s="219">
        <f>SUM(Plan_Orc[[#This Row],[01/jan]:[01/dez]])</f>
        <v>0</v>
      </c>
      <c r="AB1965" s="15"/>
      <c r="AC1965" s="15"/>
      <c r="AD1965" s="15"/>
      <c r="AE1965" s="15"/>
      <c r="AF1965" s="15"/>
      <c r="AG1965" s="15"/>
      <c r="AH1965" s="15"/>
      <c r="AI1965" s="15"/>
      <c r="AJ1965" s="15"/>
      <c r="AK1965" s="15"/>
      <c r="AL1965" s="15"/>
      <c r="AM1965" s="15"/>
    </row>
    <row r="1966" spans="2:39" ht="25.2" customHeight="1" x14ac:dyDescent="0.3">
      <c r="B1966" s="13" t="str">
        <f t="shared" si="34"/>
        <v/>
      </c>
      <c r="C1966" s="18"/>
      <c r="D1966" s="19" t="str">
        <f>IF(Tabela2[[#This Row],[AGRUPADOR]]&lt;&gt;"",VLOOKUP(Tabela2[[#This Row],[AGRUPADOR]],Tabela1[],2,0),"")</f>
        <v/>
      </c>
      <c r="E1966" s="19" t="str">
        <f>IF(Tabela2[[#This Row],[AGRUPADOR]]&lt;&gt;"",VLOOKUP(Tabela2[[#This Row],[AGRUPADOR]],Tabela1[],4,0),"")</f>
        <v/>
      </c>
      <c r="F1966" s="14"/>
      <c r="G1966" s="6"/>
      <c r="H1966" s="6"/>
      <c r="I1966" s="25"/>
      <c r="J1966" s="7"/>
      <c r="K1966" s="15"/>
      <c r="L1966" s="379">
        <f>IF(H1966&lt;&gt;"",J1966*K1966,SUMIFS(L1967:L$9844,$F1967:$F$9844,"*"&amp;F1966&amp;"*",$H1967:$H$9844,"&lt;&gt;"))</f>
        <v>0</v>
      </c>
      <c r="M1966" s="379" t="str">
        <f>IF(Tabela2[[#This Row],[UNID.]]&lt;&gt;"",IFERROR(VLOOKUP(Tabela2[[#This Row],[AGRUPADOR]],Lucratividade!$D$4:$O$129,6,0),0),"")</f>
        <v/>
      </c>
      <c r="N1966" s="379">
        <f>IF(H1966&lt;&gt;"",J1966*M1966*I1966,SUMIFS(N1967:N$9844,$F1967:$F$9844,"*"&amp;F1966&amp;"*",$H1967:$H$9844,"&lt;&gt;"))</f>
        <v>0</v>
      </c>
      <c r="O1966" s="162" t="str">
        <f>IFERROR((-Tabela2[[#This Row],[CUSTO TOTAL]]+Tabela2[[#This Row],[VENDA TOTAL]])/Tabela2[[#This Row],[VENDA TOTAL]]-PARAMETROS!$C$19,"")</f>
        <v/>
      </c>
      <c r="AA1966" s="219">
        <f>SUM(Plan_Orc[[#This Row],[01/jan]:[01/dez]])</f>
        <v>0</v>
      </c>
      <c r="AB1966" s="15"/>
      <c r="AC1966" s="15"/>
      <c r="AD1966" s="15"/>
      <c r="AE1966" s="15"/>
      <c r="AF1966" s="15"/>
      <c r="AG1966" s="15"/>
      <c r="AH1966" s="15"/>
      <c r="AI1966" s="15"/>
      <c r="AJ1966" s="15"/>
      <c r="AK1966" s="15"/>
      <c r="AL1966" s="15"/>
      <c r="AM1966" s="15"/>
    </row>
    <row r="1967" spans="2:39" ht="25.2" customHeight="1" x14ac:dyDescent="0.3">
      <c r="B1967" s="13" t="str">
        <f t="shared" si="34"/>
        <v/>
      </c>
      <c r="C1967" s="18"/>
      <c r="D1967" s="19" t="str">
        <f>IF(Tabela2[[#This Row],[AGRUPADOR]]&lt;&gt;"",VLOOKUP(Tabela2[[#This Row],[AGRUPADOR]],Tabela1[],2,0),"")</f>
        <v/>
      </c>
      <c r="E1967" s="19" t="str">
        <f>IF(Tabela2[[#This Row],[AGRUPADOR]]&lt;&gt;"",VLOOKUP(Tabela2[[#This Row],[AGRUPADOR]],Tabela1[],4,0),"")</f>
        <v/>
      </c>
      <c r="F1967" s="14"/>
      <c r="G1967" s="6"/>
      <c r="H1967" s="6"/>
      <c r="I1967" s="25"/>
      <c r="J1967" s="7"/>
      <c r="K1967" s="15"/>
      <c r="L1967" s="379">
        <f>IF(H1967&lt;&gt;"",J1967*K1967,SUMIFS(L1968:L$9844,$F1968:$F$9844,"*"&amp;F1967&amp;"*",$H1968:$H$9844,"&lt;&gt;"))</f>
        <v>0</v>
      </c>
      <c r="M1967" s="379" t="str">
        <f>IF(Tabela2[[#This Row],[UNID.]]&lt;&gt;"",IFERROR(VLOOKUP(Tabela2[[#This Row],[AGRUPADOR]],Lucratividade!$D$4:$O$129,6,0),0),"")</f>
        <v/>
      </c>
      <c r="N1967" s="379">
        <f>IF(H1967&lt;&gt;"",J1967*M1967*I1967,SUMIFS(N1968:N$9844,$F1968:$F$9844,"*"&amp;F1967&amp;"*",$H1968:$H$9844,"&lt;&gt;"))</f>
        <v>0</v>
      </c>
      <c r="O1967" s="162" t="str">
        <f>IFERROR((-Tabela2[[#This Row],[CUSTO TOTAL]]+Tabela2[[#This Row],[VENDA TOTAL]])/Tabela2[[#This Row],[VENDA TOTAL]]-PARAMETROS!$C$19,"")</f>
        <v/>
      </c>
      <c r="AA1967" s="219">
        <f>SUM(Plan_Orc[[#This Row],[01/jan]:[01/dez]])</f>
        <v>0</v>
      </c>
      <c r="AB1967" s="15"/>
      <c r="AC1967" s="15"/>
      <c r="AD1967" s="15"/>
      <c r="AE1967" s="15"/>
      <c r="AF1967" s="15"/>
      <c r="AG1967" s="15"/>
      <c r="AH1967" s="15"/>
      <c r="AI1967" s="15"/>
      <c r="AJ1967" s="15"/>
      <c r="AK1967" s="15"/>
      <c r="AL1967" s="15"/>
      <c r="AM1967" s="15"/>
    </row>
    <row r="1968" spans="2:39" ht="25.2" customHeight="1" x14ac:dyDescent="0.3">
      <c r="B1968" s="13" t="str">
        <f t="shared" si="34"/>
        <v/>
      </c>
      <c r="C1968" s="18"/>
      <c r="D1968" s="19" t="str">
        <f>IF(Tabela2[[#This Row],[AGRUPADOR]]&lt;&gt;"",VLOOKUP(Tabela2[[#This Row],[AGRUPADOR]],Tabela1[],2,0),"")</f>
        <v/>
      </c>
      <c r="E1968" s="19" t="str">
        <f>IF(Tabela2[[#This Row],[AGRUPADOR]]&lt;&gt;"",VLOOKUP(Tabela2[[#This Row],[AGRUPADOR]],Tabela1[],4,0),"")</f>
        <v/>
      </c>
      <c r="F1968" s="14"/>
      <c r="G1968" s="6"/>
      <c r="H1968" s="6"/>
      <c r="I1968" s="25"/>
      <c r="J1968" s="7"/>
      <c r="K1968" s="15"/>
      <c r="L1968" s="379">
        <f>IF(H1968&lt;&gt;"",J1968*K1968,SUMIFS(L1969:L$9844,$F1969:$F$9844,"*"&amp;F1968&amp;"*",$H1969:$H$9844,"&lt;&gt;"))</f>
        <v>0</v>
      </c>
      <c r="M1968" s="379" t="str">
        <f>IF(Tabela2[[#This Row],[UNID.]]&lt;&gt;"",IFERROR(VLOOKUP(Tabela2[[#This Row],[AGRUPADOR]],Lucratividade!$D$4:$O$129,6,0),0),"")</f>
        <v/>
      </c>
      <c r="N1968" s="379">
        <f>IF(H1968&lt;&gt;"",J1968*M1968*I1968,SUMIFS(N1969:N$9844,$F1969:$F$9844,"*"&amp;F1968&amp;"*",$H1969:$H$9844,"&lt;&gt;"))</f>
        <v>0</v>
      </c>
      <c r="O1968" s="162" t="str">
        <f>IFERROR((-Tabela2[[#This Row],[CUSTO TOTAL]]+Tabela2[[#This Row],[VENDA TOTAL]])/Tabela2[[#This Row],[VENDA TOTAL]]-PARAMETROS!$C$19,"")</f>
        <v/>
      </c>
      <c r="AA1968" s="219">
        <f>SUM(Plan_Orc[[#This Row],[01/jan]:[01/dez]])</f>
        <v>0</v>
      </c>
      <c r="AB1968" s="15"/>
      <c r="AC1968" s="15"/>
      <c r="AD1968" s="15"/>
      <c r="AE1968" s="15"/>
      <c r="AF1968" s="15"/>
      <c r="AG1968" s="15"/>
      <c r="AH1968" s="15"/>
      <c r="AI1968" s="15"/>
      <c r="AJ1968" s="15"/>
      <c r="AK1968" s="15"/>
      <c r="AL1968" s="15"/>
      <c r="AM1968" s="15"/>
    </row>
    <row r="1969" spans="2:39" ht="25.2" customHeight="1" x14ac:dyDescent="0.3">
      <c r="B1969" s="13" t="str">
        <f t="shared" si="34"/>
        <v/>
      </c>
      <c r="C1969" s="18"/>
      <c r="D1969" s="19" t="str">
        <f>IF(Tabela2[[#This Row],[AGRUPADOR]]&lt;&gt;"",VLOOKUP(Tabela2[[#This Row],[AGRUPADOR]],Tabela1[],2,0),"")</f>
        <v/>
      </c>
      <c r="E1969" s="19" t="str">
        <f>IF(Tabela2[[#This Row],[AGRUPADOR]]&lt;&gt;"",VLOOKUP(Tabela2[[#This Row],[AGRUPADOR]],Tabela1[],4,0),"")</f>
        <v/>
      </c>
      <c r="F1969" s="14"/>
      <c r="G1969" s="6"/>
      <c r="H1969" s="6"/>
      <c r="I1969" s="25"/>
      <c r="J1969" s="7"/>
      <c r="K1969" s="15"/>
      <c r="L1969" s="379">
        <f>IF(H1969&lt;&gt;"",J1969*K1969,SUMIFS(L1970:L$9844,$F1970:$F$9844,"*"&amp;F1969&amp;"*",$H1970:$H$9844,"&lt;&gt;"))</f>
        <v>0</v>
      </c>
      <c r="M1969" s="379" t="str">
        <f>IF(Tabela2[[#This Row],[UNID.]]&lt;&gt;"",IFERROR(VLOOKUP(Tabela2[[#This Row],[AGRUPADOR]],Lucratividade!$D$4:$O$129,6,0),0),"")</f>
        <v/>
      </c>
      <c r="N1969" s="379">
        <f>IF(H1969&lt;&gt;"",J1969*M1969*I1969,SUMIFS(N1970:N$9844,$F1970:$F$9844,"*"&amp;F1969&amp;"*",$H1970:$H$9844,"&lt;&gt;"))</f>
        <v>0</v>
      </c>
      <c r="O1969" s="162" t="str">
        <f>IFERROR((-Tabela2[[#This Row],[CUSTO TOTAL]]+Tabela2[[#This Row],[VENDA TOTAL]])/Tabela2[[#This Row],[VENDA TOTAL]]-PARAMETROS!$C$19,"")</f>
        <v/>
      </c>
      <c r="AA1969" s="219">
        <f>SUM(Plan_Orc[[#This Row],[01/jan]:[01/dez]])</f>
        <v>0</v>
      </c>
      <c r="AB1969" s="15"/>
      <c r="AC1969" s="15"/>
      <c r="AD1969" s="15"/>
      <c r="AE1969" s="15"/>
      <c r="AF1969" s="15"/>
      <c r="AG1969" s="15"/>
      <c r="AH1969" s="15"/>
      <c r="AI1969" s="15"/>
      <c r="AJ1969" s="15"/>
      <c r="AK1969" s="15"/>
      <c r="AL1969" s="15"/>
      <c r="AM1969" s="15"/>
    </row>
    <row r="1970" spans="2:39" ht="25.2" customHeight="1" x14ac:dyDescent="0.3">
      <c r="B1970" s="13" t="str">
        <f t="shared" si="34"/>
        <v/>
      </c>
      <c r="C1970" s="18"/>
      <c r="D1970" s="19" t="str">
        <f>IF(Tabela2[[#This Row],[AGRUPADOR]]&lt;&gt;"",VLOOKUP(Tabela2[[#This Row],[AGRUPADOR]],Tabela1[],2,0),"")</f>
        <v/>
      </c>
      <c r="E1970" s="19" t="str">
        <f>IF(Tabela2[[#This Row],[AGRUPADOR]]&lt;&gt;"",VLOOKUP(Tabela2[[#This Row],[AGRUPADOR]],Tabela1[],4,0),"")</f>
        <v/>
      </c>
      <c r="F1970" s="14"/>
      <c r="G1970" s="6"/>
      <c r="H1970" s="6"/>
      <c r="I1970" s="25"/>
      <c r="J1970" s="7"/>
      <c r="K1970" s="15"/>
      <c r="L1970" s="379">
        <f>IF(H1970&lt;&gt;"",J1970*K1970,SUMIFS(L1971:L$9844,$F1971:$F$9844,"*"&amp;F1970&amp;"*",$H1971:$H$9844,"&lt;&gt;"))</f>
        <v>0</v>
      </c>
      <c r="M1970" s="379" t="str">
        <f>IF(Tabela2[[#This Row],[UNID.]]&lt;&gt;"",IFERROR(VLOOKUP(Tabela2[[#This Row],[AGRUPADOR]],Lucratividade!$D$4:$O$129,6,0),0),"")</f>
        <v/>
      </c>
      <c r="N1970" s="379">
        <f>IF(H1970&lt;&gt;"",J1970*M1970*I1970,SUMIFS(N1971:N$9844,$F1971:$F$9844,"*"&amp;F1970&amp;"*",$H1971:$H$9844,"&lt;&gt;"))</f>
        <v>0</v>
      </c>
      <c r="O1970" s="162" t="str">
        <f>IFERROR((-Tabela2[[#This Row],[CUSTO TOTAL]]+Tabela2[[#This Row],[VENDA TOTAL]])/Tabela2[[#This Row],[VENDA TOTAL]]-PARAMETROS!$C$19,"")</f>
        <v/>
      </c>
      <c r="AA1970" s="219">
        <f>SUM(Plan_Orc[[#This Row],[01/jan]:[01/dez]])</f>
        <v>0</v>
      </c>
      <c r="AB1970" s="15"/>
      <c r="AC1970" s="15"/>
      <c r="AD1970" s="15"/>
      <c r="AE1970" s="15"/>
      <c r="AF1970" s="15"/>
      <c r="AG1970" s="15"/>
      <c r="AH1970" s="15"/>
      <c r="AI1970" s="15"/>
      <c r="AJ1970" s="15"/>
      <c r="AK1970" s="15"/>
      <c r="AL1970" s="15"/>
      <c r="AM1970" s="15"/>
    </row>
    <row r="1971" spans="2:39" ht="25.2" customHeight="1" x14ac:dyDescent="0.3">
      <c r="B1971" s="13" t="str">
        <f t="shared" si="34"/>
        <v/>
      </c>
      <c r="C1971" s="18"/>
      <c r="D1971" s="19" t="str">
        <f>IF(Tabela2[[#This Row],[AGRUPADOR]]&lt;&gt;"",VLOOKUP(Tabela2[[#This Row],[AGRUPADOR]],Tabela1[],2,0),"")</f>
        <v/>
      </c>
      <c r="E1971" s="19" t="str">
        <f>IF(Tabela2[[#This Row],[AGRUPADOR]]&lt;&gt;"",VLOOKUP(Tabela2[[#This Row],[AGRUPADOR]],Tabela1[],4,0),"")</f>
        <v/>
      </c>
      <c r="F1971" s="14"/>
      <c r="G1971" s="6"/>
      <c r="H1971" s="6"/>
      <c r="I1971" s="25"/>
      <c r="J1971" s="7"/>
      <c r="K1971" s="15"/>
      <c r="L1971" s="379">
        <f>IF(H1971&lt;&gt;"",J1971*K1971,SUMIFS(L1972:L$9844,$F1972:$F$9844,"*"&amp;F1971&amp;"*",$H1972:$H$9844,"&lt;&gt;"))</f>
        <v>0</v>
      </c>
      <c r="M1971" s="379" t="str">
        <f>IF(Tabela2[[#This Row],[UNID.]]&lt;&gt;"",IFERROR(VLOOKUP(Tabela2[[#This Row],[AGRUPADOR]],Lucratividade!$D$4:$O$129,6,0),0),"")</f>
        <v/>
      </c>
      <c r="N1971" s="379">
        <f>IF(H1971&lt;&gt;"",J1971*M1971*I1971,SUMIFS(N1972:N$9844,$F1972:$F$9844,"*"&amp;F1971&amp;"*",$H1972:$H$9844,"&lt;&gt;"))</f>
        <v>0</v>
      </c>
      <c r="O1971" s="162" t="str">
        <f>IFERROR((-Tabela2[[#This Row],[CUSTO TOTAL]]+Tabela2[[#This Row],[VENDA TOTAL]])/Tabela2[[#This Row],[VENDA TOTAL]]-PARAMETROS!$C$19,"")</f>
        <v/>
      </c>
      <c r="AA1971" s="219">
        <f>SUM(Plan_Orc[[#This Row],[01/jan]:[01/dez]])</f>
        <v>0</v>
      </c>
      <c r="AB1971" s="15"/>
      <c r="AC1971" s="15"/>
      <c r="AD1971" s="15"/>
      <c r="AE1971" s="15"/>
      <c r="AF1971" s="15"/>
      <c r="AG1971" s="15"/>
      <c r="AH1971" s="15"/>
      <c r="AI1971" s="15"/>
      <c r="AJ1971" s="15"/>
      <c r="AK1971" s="15"/>
      <c r="AL1971" s="15"/>
      <c r="AM1971" s="15"/>
    </row>
    <row r="1972" spans="2:39" ht="25.2" customHeight="1" x14ac:dyDescent="0.3">
      <c r="B1972" s="13" t="str">
        <f t="shared" si="34"/>
        <v/>
      </c>
      <c r="C1972" s="18"/>
      <c r="D1972" s="19" t="str">
        <f>IF(Tabela2[[#This Row],[AGRUPADOR]]&lt;&gt;"",VLOOKUP(Tabela2[[#This Row],[AGRUPADOR]],Tabela1[],2,0),"")</f>
        <v/>
      </c>
      <c r="E1972" s="19" t="str">
        <f>IF(Tabela2[[#This Row],[AGRUPADOR]]&lt;&gt;"",VLOOKUP(Tabela2[[#This Row],[AGRUPADOR]],Tabela1[],4,0),"")</f>
        <v/>
      </c>
      <c r="F1972" s="14"/>
      <c r="G1972" s="6"/>
      <c r="H1972" s="6"/>
      <c r="I1972" s="25"/>
      <c r="J1972" s="7"/>
      <c r="K1972" s="15"/>
      <c r="L1972" s="379">
        <f>IF(H1972&lt;&gt;"",J1972*K1972,SUMIFS(L1973:L$9844,$F1973:$F$9844,"*"&amp;F1972&amp;"*",$H1973:$H$9844,"&lt;&gt;"))</f>
        <v>0</v>
      </c>
      <c r="M1972" s="379" t="str">
        <f>IF(Tabela2[[#This Row],[UNID.]]&lt;&gt;"",IFERROR(VLOOKUP(Tabela2[[#This Row],[AGRUPADOR]],Lucratividade!$D$4:$O$129,6,0),0),"")</f>
        <v/>
      </c>
      <c r="N1972" s="379">
        <f>IF(H1972&lt;&gt;"",J1972*M1972*I1972,SUMIFS(N1973:N$9844,$F1973:$F$9844,"*"&amp;F1972&amp;"*",$H1973:$H$9844,"&lt;&gt;"))</f>
        <v>0</v>
      </c>
      <c r="O1972" s="162" t="str">
        <f>IFERROR((-Tabela2[[#This Row],[CUSTO TOTAL]]+Tabela2[[#This Row],[VENDA TOTAL]])/Tabela2[[#This Row],[VENDA TOTAL]]-PARAMETROS!$C$19,"")</f>
        <v/>
      </c>
      <c r="AA1972" s="219">
        <f>SUM(Plan_Orc[[#This Row],[01/jan]:[01/dez]])</f>
        <v>0</v>
      </c>
      <c r="AB1972" s="15"/>
      <c r="AC1972" s="15"/>
      <c r="AD1972" s="15"/>
      <c r="AE1972" s="15"/>
      <c r="AF1972" s="15"/>
      <c r="AG1972" s="15"/>
      <c r="AH1972" s="15"/>
      <c r="AI1972" s="15"/>
      <c r="AJ1972" s="15"/>
      <c r="AK1972" s="15"/>
      <c r="AL1972" s="15"/>
      <c r="AM1972" s="15"/>
    </row>
    <row r="1973" spans="2:39" ht="25.2" customHeight="1" x14ac:dyDescent="0.3">
      <c r="B1973" s="13" t="str">
        <f t="shared" si="34"/>
        <v/>
      </c>
      <c r="C1973" s="18"/>
      <c r="D1973" s="19" t="str">
        <f>IF(Tabela2[[#This Row],[AGRUPADOR]]&lt;&gt;"",VLOOKUP(Tabela2[[#This Row],[AGRUPADOR]],Tabela1[],2,0),"")</f>
        <v/>
      </c>
      <c r="E1973" s="19" t="str">
        <f>IF(Tabela2[[#This Row],[AGRUPADOR]]&lt;&gt;"",VLOOKUP(Tabela2[[#This Row],[AGRUPADOR]],Tabela1[],4,0),"")</f>
        <v/>
      </c>
      <c r="F1973" s="14"/>
      <c r="G1973" s="6"/>
      <c r="H1973" s="6"/>
      <c r="I1973" s="25"/>
      <c r="J1973" s="7"/>
      <c r="K1973" s="15"/>
      <c r="L1973" s="379">
        <f>IF(H1973&lt;&gt;"",J1973*K1973,SUMIFS(L1974:L$9844,$F1974:$F$9844,"*"&amp;F1973&amp;"*",$H1974:$H$9844,"&lt;&gt;"))</f>
        <v>0</v>
      </c>
      <c r="M1973" s="379" t="str">
        <f>IF(Tabela2[[#This Row],[UNID.]]&lt;&gt;"",IFERROR(VLOOKUP(Tabela2[[#This Row],[AGRUPADOR]],Lucratividade!$D$4:$O$129,6,0),0),"")</f>
        <v/>
      </c>
      <c r="N1973" s="379">
        <f>IF(H1973&lt;&gt;"",J1973*M1973*I1973,SUMIFS(N1974:N$9844,$F1974:$F$9844,"*"&amp;F1973&amp;"*",$H1974:$H$9844,"&lt;&gt;"))</f>
        <v>0</v>
      </c>
      <c r="O1973" s="162" t="str">
        <f>IFERROR((-Tabela2[[#This Row],[CUSTO TOTAL]]+Tabela2[[#This Row],[VENDA TOTAL]])/Tabela2[[#This Row],[VENDA TOTAL]]-PARAMETROS!$C$19,"")</f>
        <v/>
      </c>
      <c r="AA1973" s="219">
        <f>SUM(Plan_Orc[[#This Row],[01/jan]:[01/dez]])</f>
        <v>0</v>
      </c>
      <c r="AB1973" s="15"/>
      <c r="AC1973" s="15"/>
      <c r="AD1973" s="15"/>
      <c r="AE1973" s="15"/>
      <c r="AF1973" s="15"/>
      <c r="AG1973" s="15"/>
      <c r="AH1973" s="15"/>
      <c r="AI1973" s="15"/>
      <c r="AJ1973" s="15"/>
      <c r="AK1973" s="15"/>
      <c r="AL1973" s="15"/>
      <c r="AM1973" s="15"/>
    </row>
    <row r="1974" spans="2:39" ht="25.2" customHeight="1" x14ac:dyDescent="0.3">
      <c r="B1974" s="13" t="str">
        <f t="shared" si="34"/>
        <v/>
      </c>
      <c r="C1974" s="18"/>
      <c r="D1974" s="19" t="str">
        <f>IF(Tabela2[[#This Row],[AGRUPADOR]]&lt;&gt;"",VLOOKUP(Tabela2[[#This Row],[AGRUPADOR]],Tabela1[],2,0),"")</f>
        <v/>
      </c>
      <c r="E1974" s="19" t="str">
        <f>IF(Tabela2[[#This Row],[AGRUPADOR]]&lt;&gt;"",VLOOKUP(Tabela2[[#This Row],[AGRUPADOR]],Tabela1[],4,0),"")</f>
        <v/>
      </c>
      <c r="F1974" s="14"/>
      <c r="G1974" s="6"/>
      <c r="H1974" s="6"/>
      <c r="I1974" s="25"/>
      <c r="J1974" s="7"/>
      <c r="K1974" s="15"/>
      <c r="L1974" s="379">
        <f>IF(H1974&lt;&gt;"",J1974*K1974,SUMIFS(L1975:L$9844,$F1975:$F$9844,"*"&amp;F1974&amp;"*",$H1975:$H$9844,"&lt;&gt;"))</f>
        <v>0</v>
      </c>
      <c r="M1974" s="379" t="str">
        <f>IF(Tabela2[[#This Row],[UNID.]]&lt;&gt;"",IFERROR(VLOOKUP(Tabela2[[#This Row],[AGRUPADOR]],Lucratividade!$D$4:$O$129,6,0),0),"")</f>
        <v/>
      </c>
      <c r="N1974" s="379">
        <f>IF(H1974&lt;&gt;"",J1974*M1974*I1974,SUMIFS(N1975:N$9844,$F1975:$F$9844,"*"&amp;F1974&amp;"*",$H1975:$H$9844,"&lt;&gt;"))</f>
        <v>0</v>
      </c>
      <c r="O1974" s="162" t="str">
        <f>IFERROR((-Tabela2[[#This Row],[CUSTO TOTAL]]+Tabela2[[#This Row],[VENDA TOTAL]])/Tabela2[[#This Row],[VENDA TOTAL]]-PARAMETROS!$C$19,"")</f>
        <v/>
      </c>
      <c r="AA1974" s="219">
        <f>SUM(Plan_Orc[[#This Row],[01/jan]:[01/dez]])</f>
        <v>0</v>
      </c>
      <c r="AB1974" s="15"/>
      <c r="AC1974" s="15"/>
      <c r="AD1974" s="15"/>
      <c r="AE1974" s="15"/>
      <c r="AF1974" s="15"/>
      <c r="AG1974" s="15"/>
      <c r="AH1974" s="15"/>
      <c r="AI1974" s="15"/>
      <c r="AJ1974" s="15"/>
      <c r="AK1974" s="15"/>
      <c r="AL1974" s="15"/>
      <c r="AM1974" s="15"/>
    </row>
    <row r="1975" spans="2:39" ht="25.2" customHeight="1" x14ac:dyDescent="0.3">
      <c r="B1975" s="13" t="str">
        <f t="shared" si="34"/>
        <v/>
      </c>
      <c r="C1975" s="18"/>
      <c r="D1975" s="19" t="str">
        <f>IF(Tabela2[[#This Row],[AGRUPADOR]]&lt;&gt;"",VLOOKUP(Tabela2[[#This Row],[AGRUPADOR]],Tabela1[],2,0),"")</f>
        <v/>
      </c>
      <c r="E1975" s="19" t="str">
        <f>IF(Tabela2[[#This Row],[AGRUPADOR]]&lt;&gt;"",VLOOKUP(Tabela2[[#This Row],[AGRUPADOR]],Tabela1[],4,0),"")</f>
        <v/>
      </c>
      <c r="F1975" s="14"/>
      <c r="G1975" s="6"/>
      <c r="H1975" s="6"/>
      <c r="I1975" s="25"/>
      <c r="J1975" s="7"/>
      <c r="K1975" s="15"/>
      <c r="L1975" s="379">
        <f>IF(H1975&lt;&gt;"",J1975*K1975,SUMIFS(L1976:L$9844,$F1976:$F$9844,"*"&amp;F1975&amp;"*",$H1976:$H$9844,"&lt;&gt;"))</f>
        <v>0</v>
      </c>
      <c r="M1975" s="379" t="str">
        <f>IF(Tabela2[[#This Row],[UNID.]]&lt;&gt;"",IFERROR(VLOOKUP(Tabela2[[#This Row],[AGRUPADOR]],Lucratividade!$D$4:$O$129,6,0),0),"")</f>
        <v/>
      </c>
      <c r="N1975" s="379">
        <f>IF(H1975&lt;&gt;"",J1975*M1975*I1975,SUMIFS(N1976:N$9844,$F1976:$F$9844,"*"&amp;F1975&amp;"*",$H1976:$H$9844,"&lt;&gt;"))</f>
        <v>0</v>
      </c>
      <c r="O1975" s="162" t="str">
        <f>IFERROR((-Tabela2[[#This Row],[CUSTO TOTAL]]+Tabela2[[#This Row],[VENDA TOTAL]])/Tabela2[[#This Row],[VENDA TOTAL]]-PARAMETROS!$C$19,"")</f>
        <v/>
      </c>
      <c r="AA1975" s="219">
        <f>SUM(Plan_Orc[[#This Row],[01/jan]:[01/dez]])</f>
        <v>0</v>
      </c>
      <c r="AB1975" s="15"/>
      <c r="AC1975" s="15"/>
      <c r="AD1975" s="15"/>
      <c r="AE1975" s="15"/>
      <c r="AF1975" s="15"/>
      <c r="AG1975" s="15"/>
      <c r="AH1975" s="15"/>
      <c r="AI1975" s="15"/>
      <c r="AJ1975" s="15"/>
      <c r="AK1975" s="15"/>
      <c r="AL1975" s="15"/>
      <c r="AM1975" s="15"/>
    </row>
    <row r="1976" spans="2:39" ht="25.2" customHeight="1" x14ac:dyDescent="0.3">
      <c r="B1976" s="13" t="str">
        <f t="shared" si="34"/>
        <v/>
      </c>
      <c r="C1976" s="18"/>
      <c r="D1976" s="19" t="str">
        <f>IF(Tabela2[[#This Row],[AGRUPADOR]]&lt;&gt;"",VLOOKUP(Tabela2[[#This Row],[AGRUPADOR]],Tabela1[],2,0),"")</f>
        <v/>
      </c>
      <c r="E1976" s="19" t="str">
        <f>IF(Tabela2[[#This Row],[AGRUPADOR]]&lt;&gt;"",VLOOKUP(Tabela2[[#This Row],[AGRUPADOR]],Tabela1[],4,0),"")</f>
        <v/>
      </c>
      <c r="F1976" s="14"/>
      <c r="G1976" s="6"/>
      <c r="H1976" s="6"/>
      <c r="I1976" s="25"/>
      <c r="J1976" s="7"/>
      <c r="K1976" s="15"/>
      <c r="L1976" s="379">
        <f>IF(H1976&lt;&gt;"",J1976*K1976,SUMIFS(L1977:L$9844,$F1977:$F$9844,"*"&amp;F1976&amp;"*",$H1977:$H$9844,"&lt;&gt;"))</f>
        <v>0</v>
      </c>
      <c r="M1976" s="379" t="str">
        <f>IF(Tabela2[[#This Row],[UNID.]]&lt;&gt;"",IFERROR(VLOOKUP(Tabela2[[#This Row],[AGRUPADOR]],Lucratividade!$D$4:$O$129,6,0),0),"")</f>
        <v/>
      </c>
      <c r="N1976" s="379">
        <f>IF(H1976&lt;&gt;"",J1976*M1976*I1976,SUMIFS(N1977:N$9844,$F1977:$F$9844,"*"&amp;F1976&amp;"*",$H1977:$H$9844,"&lt;&gt;"))</f>
        <v>0</v>
      </c>
      <c r="O1976" s="162" t="str">
        <f>IFERROR((-Tabela2[[#This Row],[CUSTO TOTAL]]+Tabela2[[#This Row],[VENDA TOTAL]])/Tabela2[[#This Row],[VENDA TOTAL]]-PARAMETROS!$C$19,"")</f>
        <v/>
      </c>
      <c r="AA1976" s="218">
        <f>SUM(Plan_Orc[[#This Row],[01/jan]:[01/dez]])</f>
        <v>0</v>
      </c>
      <c r="AB1976" s="12"/>
      <c r="AC1976" s="12"/>
      <c r="AD1976" s="12"/>
      <c r="AE1976" s="12"/>
      <c r="AF1976" s="12"/>
      <c r="AG1976" s="12"/>
      <c r="AH1976" s="12"/>
      <c r="AI1976" s="12"/>
      <c r="AJ1976" s="12"/>
      <c r="AK1976" s="12"/>
      <c r="AL1976" s="12"/>
      <c r="AM1976" s="12"/>
    </row>
    <row r="1977" spans="2:39" ht="25.2" customHeight="1" x14ac:dyDescent="0.3">
      <c r="B1977" s="13" t="str">
        <f t="shared" si="34"/>
        <v/>
      </c>
      <c r="C1977" s="18"/>
      <c r="D1977" s="19" t="str">
        <f>IF(Tabela2[[#This Row],[AGRUPADOR]]&lt;&gt;"",VLOOKUP(Tabela2[[#This Row],[AGRUPADOR]],Tabela1[],2,0),"")</f>
        <v/>
      </c>
      <c r="E1977" s="19" t="str">
        <f>IF(Tabela2[[#This Row],[AGRUPADOR]]&lt;&gt;"",VLOOKUP(Tabela2[[#This Row],[AGRUPADOR]],Tabela1[],4,0),"")</f>
        <v/>
      </c>
      <c r="F1977" s="14"/>
      <c r="G1977" s="6"/>
      <c r="H1977" s="6"/>
      <c r="I1977" s="25"/>
      <c r="J1977" s="7"/>
      <c r="K1977" s="15"/>
      <c r="L1977" s="379">
        <f>IF(H1977&lt;&gt;"",J1977*K1977,SUMIFS(L1978:L$9844,$F1978:$F$9844,"*"&amp;F1977&amp;"*",$H1978:$H$9844,"&lt;&gt;"))</f>
        <v>0</v>
      </c>
      <c r="M1977" s="379" t="str">
        <f>IF(Tabela2[[#This Row],[UNID.]]&lt;&gt;"",IFERROR(VLOOKUP(Tabela2[[#This Row],[AGRUPADOR]],Lucratividade!$D$4:$O$129,6,0),0),"")</f>
        <v/>
      </c>
      <c r="N1977" s="379">
        <f>IF(H1977&lt;&gt;"",J1977*M1977*I1977,SUMIFS(N1978:N$9844,$F1978:$F$9844,"*"&amp;F1977&amp;"*",$H1978:$H$9844,"&lt;&gt;"))</f>
        <v>0</v>
      </c>
      <c r="O1977" s="162" t="str">
        <f>IFERROR((-Tabela2[[#This Row],[CUSTO TOTAL]]+Tabela2[[#This Row],[VENDA TOTAL]])/Tabela2[[#This Row],[VENDA TOTAL]]-PARAMETROS!$C$19,"")</f>
        <v/>
      </c>
      <c r="AA1977" s="219">
        <f>SUM(Plan_Orc[[#This Row],[01/jan]:[01/dez]])</f>
        <v>0</v>
      </c>
      <c r="AB1977" s="15"/>
      <c r="AC1977" s="15"/>
      <c r="AD1977" s="15"/>
      <c r="AE1977" s="15"/>
      <c r="AF1977" s="15"/>
      <c r="AG1977" s="15"/>
      <c r="AH1977" s="15"/>
      <c r="AI1977" s="15"/>
      <c r="AJ1977" s="15"/>
      <c r="AK1977" s="15"/>
      <c r="AL1977" s="15"/>
      <c r="AM1977" s="15"/>
    </row>
    <row r="1978" spans="2:39" ht="25.2" customHeight="1" x14ac:dyDescent="0.3">
      <c r="B1978" s="13" t="str">
        <f t="shared" si="34"/>
        <v/>
      </c>
      <c r="C1978" s="18"/>
      <c r="D1978" s="19" t="str">
        <f>IF(Tabela2[[#This Row],[AGRUPADOR]]&lt;&gt;"",VLOOKUP(Tabela2[[#This Row],[AGRUPADOR]],Tabela1[],2,0),"")</f>
        <v/>
      </c>
      <c r="E1978" s="19" t="str">
        <f>IF(Tabela2[[#This Row],[AGRUPADOR]]&lt;&gt;"",VLOOKUP(Tabela2[[#This Row],[AGRUPADOR]],Tabela1[],4,0),"")</f>
        <v/>
      </c>
      <c r="F1978" s="14"/>
      <c r="G1978" s="6"/>
      <c r="H1978" s="6"/>
      <c r="I1978" s="25"/>
      <c r="J1978" s="7"/>
      <c r="K1978" s="15"/>
      <c r="L1978" s="379">
        <f>IF(H1978&lt;&gt;"",J1978*K1978,SUMIFS(L1979:L$9844,$F1979:$F$9844,"*"&amp;F1978&amp;"*",$H1979:$H$9844,"&lt;&gt;"))</f>
        <v>0</v>
      </c>
      <c r="M1978" s="379" t="str">
        <f>IF(Tabela2[[#This Row],[UNID.]]&lt;&gt;"",IFERROR(VLOOKUP(Tabela2[[#This Row],[AGRUPADOR]],Lucratividade!$D$4:$O$129,6,0),0),"")</f>
        <v/>
      </c>
      <c r="N1978" s="379">
        <f>IF(H1978&lt;&gt;"",J1978*M1978*I1978,SUMIFS(N1979:N$9844,$F1979:$F$9844,"*"&amp;F1978&amp;"*",$H1979:$H$9844,"&lt;&gt;"))</f>
        <v>0</v>
      </c>
      <c r="O1978" s="162" t="str">
        <f>IFERROR((-Tabela2[[#This Row],[CUSTO TOTAL]]+Tabela2[[#This Row],[VENDA TOTAL]])/Tabela2[[#This Row],[VENDA TOTAL]]-PARAMETROS!$C$19,"")</f>
        <v/>
      </c>
      <c r="AA1978" s="219">
        <f>SUM(Plan_Orc[[#This Row],[01/jan]:[01/dez]])</f>
        <v>0</v>
      </c>
      <c r="AB1978" s="15"/>
      <c r="AC1978" s="15"/>
      <c r="AD1978" s="15"/>
      <c r="AE1978" s="15"/>
      <c r="AF1978" s="15"/>
      <c r="AG1978" s="15"/>
      <c r="AH1978" s="15"/>
      <c r="AI1978" s="15"/>
      <c r="AJ1978" s="15"/>
      <c r="AK1978" s="15"/>
      <c r="AL1978" s="15"/>
      <c r="AM1978" s="15"/>
    </row>
    <row r="1979" spans="2:39" ht="25.2" customHeight="1" x14ac:dyDescent="0.3">
      <c r="B1979" s="13" t="str">
        <f t="shared" si="34"/>
        <v/>
      </c>
      <c r="C1979" s="18"/>
      <c r="D1979" s="19" t="str">
        <f>IF(Tabela2[[#This Row],[AGRUPADOR]]&lt;&gt;"",VLOOKUP(Tabela2[[#This Row],[AGRUPADOR]],Tabela1[],2,0),"")</f>
        <v/>
      </c>
      <c r="E1979" s="19" t="str">
        <f>IF(Tabela2[[#This Row],[AGRUPADOR]]&lt;&gt;"",VLOOKUP(Tabela2[[#This Row],[AGRUPADOR]],Tabela1[],4,0),"")</f>
        <v/>
      </c>
      <c r="F1979" s="14"/>
      <c r="G1979" s="6"/>
      <c r="H1979" s="6"/>
      <c r="I1979" s="25"/>
      <c r="J1979" s="7"/>
      <c r="K1979" s="15"/>
      <c r="L1979" s="379">
        <f>IF(H1979&lt;&gt;"",J1979*K1979,SUMIFS(L1980:L$9844,$F1980:$F$9844,"*"&amp;F1979&amp;"*",$H1980:$H$9844,"&lt;&gt;"))</f>
        <v>0</v>
      </c>
      <c r="M1979" s="379" t="str">
        <f>IF(Tabela2[[#This Row],[UNID.]]&lt;&gt;"",IFERROR(VLOOKUP(Tabela2[[#This Row],[AGRUPADOR]],Lucratividade!$D$4:$O$129,6,0),0),"")</f>
        <v/>
      </c>
      <c r="N1979" s="379">
        <f>IF(H1979&lt;&gt;"",J1979*M1979*I1979,SUMIFS(N1980:N$9844,$F1980:$F$9844,"*"&amp;F1979&amp;"*",$H1980:$H$9844,"&lt;&gt;"))</f>
        <v>0</v>
      </c>
      <c r="O1979" s="162" t="str">
        <f>IFERROR((-Tabela2[[#This Row],[CUSTO TOTAL]]+Tabela2[[#This Row],[VENDA TOTAL]])/Tabela2[[#This Row],[VENDA TOTAL]]-PARAMETROS!$C$19,"")</f>
        <v/>
      </c>
      <c r="AA1979" s="219">
        <f>SUM(Plan_Orc[[#This Row],[01/jan]:[01/dez]])</f>
        <v>0</v>
      </c>
      <c r="AB1979" s="15"/>
      <c r="AC1979" s="15"/>
      <c r="AD1979" s="15"/>
      <c r="AE1979" s="15"/>
      <c r="AF1979" s="15"/>
      <c r="AG1979" s="15"/>
      <c r="AH1979" s="15"/>
      <c r="AI1979" s="15"/>
      <c r="AJ1979" s="15"/>
      <c r="AK1979" s="15"/>
      <c r="AL1979" s="15"/>
      <c r="AM1979" s="15"/>
    </row>
    <row r="1980" spans="2:39" ht="25.2" customHeight="1" x14ac:dyDescent="0.3">
      <c r="B1980" s="13" t="str">
        <f t="shared" si="34"/>
        <v/>
      </c>
      <c r="C1980" s="18"/>
      <c r="D1980" s="19" t="str">
        <f>IF(Tabela2[[#This Row],[AGRUPADOR]]&lt;&gt;"",VLOOKUP(Tabela2[[#This Row],[AGRUPADOR]],Tabela1[],2,0),"")</f>
        <v/>
      </c>
      <c r="E1980" s="19" t="str">
        <f>IF(Tabela2[[#This Row],[AGRUPADOR]]&lt;&gt;"",VLOOKUP(Tabela2[[#This Row],[AGRUPADOR]],Tabela1[],4,0),"")</f>
        <v/>
      </c>
      <c r="F1980" s="14"/>
      <c r="G1980" s="6"/>
      <c r="H1980" s="6"/>
      <c r="I1980" s="25"/>
      <c r="J1980" s="7"/>
      <c r="K1980" s="15"/>
      <c r="L1980" s="379">
        <f>IF(H1980&lt;&gt;"",J1980*K1980,SUMIFS(L1981:L$9844,$F1981:$F$9844,"*"&amp;F1980&amp;"*",$H1981:$H$9844,"&lt;&gt;"))</f>
        <v>0</v>
      </c>
      <c r="M1980" s="379" t="str">
        <f>IF(Tabela2[[#This Row],[UNID.]]&lt;&gt;"",IFERROR(VLOOKUP(Tabela2[[#This Row],[AGRUPADOR]],Lucratividade!$D$4:$O$129,6,0),0),"")</f>
        <v/>
      </c>
      <c r="N1980" s="379">
        <f>IF(H1980&lt;&gt;"",J1980*M1980*I1980,SUMIFS(N1981:N$9844,$F1981:$F$9844,"*"&amp;F1980&amp;"*",$H1981:$H$9844,"&lt;&gt;"))</f>
        <v>0</v>
      </c>
      <c r="O1980" s="162" t="str">
        <f>IFERROR((-Tabela2[[#This Row],[CUSTO TOTAL]]+Tabela2[[#This Row],[VENDA TOTAL]])/Tabela2[[#This Row],[VENDA TOTAL]]-PARAMETROS!$C$19,"")</f>
        <v/>
      </c>
      <c r="AA1980" s="219">
        <f>SUM(Plan_Orc[[#This Row],[01/jan]:[01/dez]])</f>
        <v>0</v>
      </c>
      <c r="AB1980" s="15"/>
      <c r="AC1980" s="15"/>
      <c r="AD1980" s="15"/>
      <c r="AE1980" s="15"/>
      <c r="AF1980" s="15"/>
      <c r="AG1980" s="15"/>
      <c r="AH1980" s="15"/>
      <c r="AI1980" s="15"/>
      <c r="AJ1980" s="15"/>
      <c r="AK1980" s="15"/>
      <c r="AL1980" s="15"/>
      <c r="AM1980" s="15"/>
    </row>
    <row r="1981" spans="2:39" ht="25.2" customHeight="1" x14ac:dyDescent="0.3">
      <c r="B1981" s="13" t="str">
        <f t="shared" si="34"/>
        <v/>
      </c>
      <c r="C1981" s="18"/>
      <c r="D1981" s="19" t="str">
        <f>IF(Tabela2[[#This Row],[AGRUPADOR]]&lt;&gt;"",VLOOKUP(Tabela2[[#This Row],[AGRUPADOR]],Tabela1[],2,0),"")</f>
        <v/>
      </c>
      <c r="E1981" s="19" t="str">
        <f>IF(Tabela2[[#This Row],[AGRUPADOR]]&lt;&gt;"",VLOOKUP(Tabela2[[#This Row],[AGRUPADOR]],Tabela1[],4,0),"")</f>
        <v/>
      </c>
      <c r="F1981" s="14"/>
      <c r="G1981" s="6"/>
      <c r="H1981" s="6"/>
      <c r="I1981" s="25"/>
      <c r="J1981" s="7"/>
      <c r="K1981" s="15"/>
      <c r="L1981" s="379">
        <f>IF(H1981&lt;&gt;"",J1981*K1981,SUMIFS(L1982:L$9844,$F1982:$F$9844,"*"&amp;F1981&amp;"*",$H1982:$H$9844,"&lt;&gt;"))</f>
        <v>0</v>
      </c>
      <c r="M1981" s="379" t="str">
        <f>IF(Tabela2[[#This Row],[UNID.]]&lt;&gt;"",IFERROR(VLOOKUP(Tabela2[[#This Row],[AGRUPADOR]],Lucratividade!$D$4:$O$129,6,0),0),"")</f>
        <v/>
      </c>
      <c r="N1981" s="379">
        <f>IF(H1981&lt;&gt;"",J1981*M1981*I1981,SUMIFS(N1982:N$9844,$F1982:$F$9844,"*"&amp;F1981&amp;"*",$H1982:$H$9844,"&lt;&gt;"))</f>
        <v>0</v>
      </c>
      <c r="O1981" s="162" t="str">
        <f>IFERROR((-Tabela2[[#This Row],[CUSTO TOTAL]]+Tabela2[[#This Row],[VENDA TOTAL]])/Tabela2[[#This Row],[VENDA TOTAL]]-PARAMETROS!$C$19,"")</f>
        <v/>
      </c>
      <c r="AA1981" s="219">
        <f>SUM(Plan_Orc[[#This Row],[01/jan]:[01/dez]])</f>
        <v>0</v>
      </c>
      <c r="AB1981" s="15"/>
      <c r="AC1981" s="15"/>
      <c r="AD1981" s="15"/>
      <c r="AE1981" s="15"/>
      <c r="AF1981" s="15"/>
      <c r="AG1981" s="15"/>
      <c r="AH1981" s="15"/>
      <c r="AI1981" s="15"/>
      <c r="AJ1981" s="15"/>
      <c r="AK1981" s="15"/>
      <c r="AL1981" s="15"/>
      <c r="AM1981" s="15"/>
    </row>
    <row r="1982" spans="2:39" ht="25.2" customHeight="1" x14ac:dyDescent="0.3">
      <c r="B1982" s="13" t="str">
        <f t="shared" si="34"/>
        <v/>
      </c>
      <c r="C1982" s="18"/>
      <c r="D1982" s="19" t="str">
        <f>IF(Tabela2[[#This Row],[AGRUPADOR]]&lt;&gt;"",VLOOKUP(Tabela2[[#This Row],[AGRUPADOR]],Tabela1[],2,0),"")</f>
        <v/>
      </c>
      <c r="E1982" s="19" t="str">
        <f>IF(Tabela2[[#This Row],[AGRUPADOR]]&lt;&gt;"",VLOOKUP(Tabela2[[#This Row],[AGRUPADOR]],Tabela1[],4,0),"")</f>
        <v/>
      </c>
      <c r="F1982" s="14"/>
      <c r="G1982" s="6"/>
      <c r="H1982" s="6"/>
      <c r="I1982" s="25"/>
      <c r="J1982" s="7"/>
      <c r="K1982" s="15"/>
      <c r="L1982" s="379">
        <f>IF(H1982&lt;&gt;"",J1982*K1982,SUMIFS(L1983:L$9844,$F1983:$F$9844,"*"&amp;F1982&amp;"*",$H1983:$H$9844,"&lt;&gt;"))</f>
        <v>0</v>
      </c>
      <c r="M1982" s="379" t="str">
        <f>IF(Tabela2[[#This Row],[UNID.]]&lt;&gt;"",IFERROR(VLOOKUP(Tabela2[[#This Row],[AGRUPADOR]],Lucratividade!$D$4:$O$129,6,0),0),"")</f>
        <v/>
      </c>
      <c r="N1982" s="379">
        <f>IF(H1982&lt;&gt;"",J1982*M1982*I1982,SUMIFS(N1983:N$9844,$F1983:$F$9844,"*"&amp;F1982&amp;"*",$H1983:$H$9844,"&lt;&gt;"))</f>
        <v>0</v>
      </c>
      <c r="O1982" s="162" t="str">
        <f>IFERROR((-Tabela2[[#This Row],[CUSTO TOTAL]]+Tabela2[[#This Row],[VENDA TOTAL]])/Tabela2[[#This Row],[VENDA TOTAL]]-PARAMETROS!$C$19,"")</f>
        <v/>
      </c>
      <c r="AA1982" s="219">
        <f>SUM(Plan_Orc[[#This Row],[01/jan]:[01/dez]])</f>
        <v>0</v>
      </c>
      <c r="AB1982" s="15"/>
      <c r="AC1982" s="15"/>
      <c r="AD1982" s="15"/>
      <c r="AE1982" s="15"/>
      <c r="AF1982" s="15"/>
      <c r="AG1982" s="15"/>
      <c r="AH1982" s="15"/>
      <c r="AI1982" s="15"/>
      <c r="AJ1982" s="15"/>
      <c r="AK1982" s="15"/>
      <c r="AL1982" s="15"/>
      <c r="AM1982" s="15"/>
    </row>
    <row r="1983" spans="2:39" ht="25.2" customHeight="1" x14ac:dyDescent="0.3">
      <c r="B1983" s="13" t="str">
        <f t="shared" si="34"/>
        <v/>
      </c>
      <c r="C1983" s="18"/>
      <c r="D1983" s="19" t="str">
        <f>IF(Tabela2[[#This Row],[AGRUPADOR]]&lt;&gt;"",VLOOKUP(Tabela2[[#This Row],[AGRUPADOR]],Tabela1[],2,0),"")</f>
        <v/>
      </c>
      <c r="E1983" s="19" t="str">
        <f>IF(Tabela2[[#This Row],[AGRUPADOR]]&lt;&gt;"",VLOOKUP(Tabela2[[#This Row],[AGRUPADOR]],Tabela1[],4,0),"")</f>
        <v/>
      </c>
      <c r="F1983" s="14"/>
      <c r="G1983" s="6"/>
      <c r="H1983" s="6"/>
      <c r="I1983" s="25"/>
      <c r="J1983" s="7"/>
      <c r="K1983" s="15"/>
      <c r="L1983" s="379">
        <f>IF(H1983&lt;&gt;"",J1983*K1983,SUMIFS(L1984:L$9844,$F1984:$F$9844,"*"&amp;F1983&amp;"*",$H1984:$H$9844,"&lt;&gt;"))</f>
        <v>0</v>
      </c>
      <c r="M1983" s="379" t="str">
        <f>IF(Tabela2[[#This Row],[UNID.]]&lt;&gt;"",IFERROR(VLOOKUP(Tabela2[[#This Row],[AGRUPADOR]],Lucratividade!$D$4:$O$129,6,0),0),"")</f>
        <v/>
      </c>
      <c r="N1983" s="379">
        <f>IF(H1983&lt;&gt;"",J1983*M1983*I1983,SUMIFS(N1984:N$9844,$F1984:$F$9844,"*"&amp;F1983&amp;"*",$H1984:$H$9844,"&lt;&gt;"))</f>
        <v>0</v>
      </c>
      <c r="O1983" s="162" t="str">
        <f>IFERROR((-Tabela2[[#This Row],[CUSTO TOTAL]]+Tabela2[[#This Row],[VENDA TOTAL]])/Tabela2[[#This Row],[VENDA TOTAL]]-PARAMETROS!$C$19,"")</f>
        <v/>
      </c>
      <c r="AA1983" s="219">
        <f>SUM(Plan_Orc[[#This Row],[01/jan]:[01/dez]])</f>
        <v>0</v>
      </c>
      <c r="AB1983" s="15"/>
      <c r="AC1983" s="15"/>
      <c r="AD1983" s="15"/>
      <c r="AE1983" s="15"/>
      <c r="AF1983" s="15"/>
      <c r="AG1983" s="15"/>
      <c r="AH1983" s="15"/>
      <c r="AI1983" s="15"/>
      <c r="AJ1983" s="15"/>
      <c r="AK1983" s="15"/>
      <c r="AL1983" s="15"/>
      <c r="AM1983" s="15"/>
    </row>
    <row r="1984" spans="2:39" ht="25.2" customHeight="1" x14ac:dyDescent="0.3">
      <c r="B1984" s="13" t="str">
        <f t="shared" si="34"/>
        <v/>
      </c>
      <c r="C1984" s="18"/>
      <c r="D1984" s="19" t="str">
        <f>IF(Tabela2[[#This Row],[AGRUPADOR]]&lt;&gt;"",VLOOKUP(Tabela2[[#This Row],[AGRUPADOR]],Tabela1[],2,0),"")</f>
        <v/>
      </c>
      <c r="E1984" s="19" t="str">
        <f>IF(Tabela2[[#This Row],[AGRUPADOR]]&lt;&gt;"",VLOOKUP(Tabela2[[#This Row],[AGRUPADOR]],Tabela1[],4,0),"")</f>
        <v/>
      </c>
      <c r="F1984" s="14"/>
      <c r="G1984" s="6"/>
      <c r="H1984" s="6"/>
      <c r="I1984" s="25"/>
      <c r="J1984" s="7"/>
      <c r="K1984" s="15"/>
      <c r="L1984" s="379">
        <f>IF(H1984&lt;&gt;"",J1984*K1984,SUMIFS(L1985:L$9844,$F1985:$F$9844,"*"&amp;F1984&amp;"*",$H1985:$H$9844,"&lt;&gt;"))</f>
        <v>0</v>
      </c>
      <c r="M1984" s="379" t="str">
        <f>IF(Tabela2[[#This Row],[UNID.]]&lt;&gt;"",IFERROR(VLOOKUP(Tabela2[[#This Row],[AGRUPADOR]],Lucratividade!$D$4:$O$129,6,0),0),"")</f>
        <v/>
      </c>
      <c r="N1984" s="379">
        <f>IF(H1984&lt;&gt;"",J1984*M1984*I1984,SUMIFS(N1985:N$9844,$F1985:$F$9844,"*"&amp;F1984&amp;"*",$H1985:$H$9844,"&lt;&gt;"))</f>
        <v>0</v>
      </c>
      <c r="O1984" s="162" t="str">
        <f>IFERROR((-Tabela2[[#This Row],[CUSTO TOTAL]]+Tabela2[[#This Row],[VENDA TOTAL]])/Tabela2[[#This Row],[VENDA TOTAL]]-PARAMETROS!$C$19,"")</f>
        <v/>
      </c>
      <c r="AA1984" s="219">
        <f>SUM(Plan_Orc[[#This Row],[01/jan]:[01/dez]])</f>
        <v>0</v>
      </c>
      <c r="AB1984" s="15"/>
      <c r="AC1984" s="15"/>
      <c r="AD1984" s="15"/>
      <c r="AE1984" s="15"/>
      <c r="AF1984" s="15"/>
      <c r="AG1984" s="15"/>
      <c r="AH1984" s="15"/>
      <c r="AI1984" s="15"/>
      <c r="AJ1984" s="15"/>
      <c r="AK1984" s="15"/>
      <c r="AL1984" s="15"/>
      <c r="AM1984" s="15"/>
    </row>
    <row r="1985" spans="2:39" ht="25.2" customHeight="1" x14ac:dyDescent="0.3">
      <c r="B1985" s="13" t="str">
        <f t="shared" si="34"/>
        <v/>
      </c>
      <c r="C1985" s="18"/>
      <c r="D1985" s="19" t="str">
        <f>IF(Tabela2[[#This Row],[AGRUPADOR]]&lt;&gt;"",VLOOKUP(Tabela2[[#This Row],[AGRUPADOR]],Tabela1[],2,0),"")</f>
        <v/>
      </c>
      <c r="E1985" s="19" t="str">
        <f>IF(Tabela2[[#This Row],[AGRUPADOR]]&lt;&gt;"",VLOOKUP(Tabela2[[#This Row],[AGRUPADOR]],Tabela1[],4,0),"")</f>
        <v/>
      </c>
      <c r="F1985" s="14"/>
      <c r="G1985" s="6"/>
      <c r="H1985" s="6"/>
      <c r="I1985" s="25"/>
      <c r="J1985" s="7"/>
      <c r="K1985" s="15"/>
      <c r="L1985" s="379">
        <f>IF(H1985&lt;&gt;"",J1985*K1985,SUMIFS(L1986:L$9844,$F1986:$F$9844,"*"&amp;F1985&amp;"*",$H1986:$H$9844,"&lt;&gt;"))</f>
        <v>0</v>
      </c>
      <c r="M1985" s="379" t="str">
        <f>IF(Tabela2[[#This Row],[UNID.]]&lt;&gt;"",IFERROR(VLOOKUP(Tabela2[[#This Row],[AGRUPADOR]],Lucratividade!$D$4:$O$129,6,0),0),"")</f>
        <v/>
      </c>
      <c r="N1985" s="379">
        <f>IF(H1985&lt;&gt;"",J1985*M1985*I1985,SUMIFS(N1986:N$9844,$F1986:$F$9844,"*"&amp;F1985&amp;"*",$H1986:$H$9844,"&lt;&gt;"))</f>
        <v>0</v>
      </c>
      <c r="O1985" s="162" t="str">
        <f>IFERROR((-Tabela2[[#This Row],[CUSTO TOTAL]]+Tabela2[[#This Row],[VENDA TOTAL]])/Tabela2[[#This Row],[VENDA TOTAL]]-PARAMETROS!$C$19,"")</f>
        <v/>
      </c>
      <c r="AA1985" s="219">
        <f>SUM(Plan_Orc[[#This Row],[01/jan]:[01/dez]])</f>
        <v>0</v>
      </c>
      <c r="AB1985" s="15"/>
      <c r="AC1985" s="15"/>
      <c r="AD1985" s="15"/>
      <c r="AE1985" s="15"/>
      <c r="AF1985" s="15"/>
      <c r="AG1985" s="15"/>
      <c r="AH1985" s="15"/>
      <c r="AI1985" s="15"/>
      <c r="AJ1985" s="15"/>
      <c r="AK1985" s="15"/>
      <c r="AL1985" s="15"/>
      <c r="AM1985" s="15"/>
    </row>
    <row r="1986" spans="2:39" ht="25.2" customHeight="1" x14ac:dyDescent="0.3">
      <c r="B1986" s="13" t="str">
        <f t="shared" si="34"/>
        <v/>
      </c>
      <c r="C1986" s="18"/>
      <c r="D1986" s="19" t="str">
        <f>IF(Tabela2[[#This Row],[AGRUPADOR]]&lt;&gt;"",VLOOKUP(Tabela2[[#This Row],[AGRUPADOR]],Tabela1[],2,0),"")</f>
        <v/>
      </c>
      <c r="E1986" s="19" t="str">
        <f>IF(Tabela2[[#This Row],[AGRUPADOR]]&lt;&gt;"",VLOOKUP(Tabela2[[#This Row],[AGRUPADOR]],Tabela1[],4,0),"")</f>
        <v/>
      </c>
      <c r="F1986" s="14"/>
      <c r="G1986" s="6"/>
      <c r="H1986" s="6"/>
      <c r="I1986" s="25"/>
      <c r="J1986" s="7"/>
      <c r="K1986" s="15"/>
      <c r="L1986" s="379">
        <f>IF(H1986&lt;&gt;"",J1986*K1986,SUMIFS(L1987:L$9844,$F1987:$F$9844,"*"&amp;F1986&amp;"*",$H1987:$H$9844,"&lt;&gt;"))</f>
        <v>0</v>
      </c>
      <c r="M1986" s="379" t="str">
        <f>IF(Tabela2[[#This Row],[UNID.]]&lt;&gt;"",IFERROR(VLOOKUP(Tabela2[[#This Row],[AGRUPADOR]],Lucratividade!$D$4:$O$129,6,0),0),"")</f>
        <v/>
      </c>
      <c r="N1986" s="379">
        <f>IF(H1986&lt;&gt;"",J1986*M1986*I1986,SUMIFS(N1987:N$9844,$F1987:$F$9844,"*"&amp;F1986&amp;"*",$H1987:$H$9844,"&lt;&gt;"))</f>
        <v>0</v>
      </c>
      <c r="O1986" s="162" t="str">
        <f>IFERROR((-Tabela2[[#This Row],[CUSTO TOTAL]]+Tabela2[[#This Row],[VENDA TOTAL]])/Tabela2[[#This Row],[VENDA TOTAL]]-PARAMETROS!$C$19,"")</f>
        <v/>
      </c>
      <c r="AA1986" s="219">
        <f>SUM(Plan_Orc[[#This Row],[01/jan]:[01/dez]])</f>
        <v>0</v>
      </c>
      <c r="AB1986" s="15"/>
      <c r="AC1986" s="15"/>
      <c r="AD1986" s="15"/>
      <c r="AE1986" s="15"/>
      <c r="AF1986" s="15"/>
      <c r="AG1986" s="15"/>
      <c r="AH1986" s="15"/>
      <c r="AI1986" s="15"/>
      <c r="AJ1986" s="15"/>
      <c r="AK1986" s="15"/>
      <c r="AL1986" s="15"/>
      <c r="AM1986" s="15"/>
    </row>
    <row r="1987" spans="2:39" ht="25.2" customHeight="1" x14ac:dyDescent="0.3">
      <c r="B1987" s="13" t="str">
        <f t="shared" si="34"/>
        <v/>
      </c>
      <c r="C1987" s="18"/>
      <c r="D1987" s="19" t="str">
        <f>IF(Tabela2[[#This Row],[AGRUPADOR]]&lt;&gt;"",VLOOKUP(Tabela2[[#This Row],[AGRUPADOR]],Tabela1[],2,0),"")</f>
        <v/>
      </c>
      <c r="E1987" s="19" t="str">
        <f>IF(Tabela2[[#This Row],[AGRUPADOR]]&lt;&gt;"",VLOOKUP(Tabela2[[#This Row],[AGRUPADOR]],Tabela1[],4,0),"")</f>
        <v/>
      </c>
      <c r="F1987" s="14"/>
      <c r="G1987" s="6"/>
      <c r="H1987" s="6"/>
      <c r="I1987" s="25"/>
      <c r="J1987" s="7"/>
      <c r="K1987" s="15"/>
      <c r="L1987" s="379">
        <f>IF(H1987&lt;&gt;"",J1987*K1987,SUMIFS(L1988:L$9844,$F1988:$F$9844,"*"&amp;F1987&amp;"*",$H1988:$H$9844,"&lt;&gt;"))</f>
        <v>0</v>
      </c>
      <c r="M1987" s="379" t="str">
        <f>IF(Tabela2[[#This Row],[UNID.]]&lt;&gt;"",IFERROR(VLOOKUP(Tabela2[[#This Row],[AGRUPADOR]],Lucratividade!$D$4:$O$129,6,0),0),"")</f>
        <v/>
      </c>
      <c r="N1987" s="379">
        <f>IF(H1987&lt;&gt;"",J1987*M1987*I1987,SUMIFS(N1988:N$9844,$F1988:$F$9844,"*"&amp;F1987&amp;"*",$H1988:$H$9844,"&lt;&gt;"))</f>
        <v>0</v>
      </c>
      <c r="O1987" s="162" t="str">
        <f>IFERROR((-Tabela2[[#This Row],[CUSTO TOTAL]]+Tabela2[[#This Row],[VENDA TOTAL]])/Tabela2[[#This Row],[VENDA TOTAL]]-PARAMETROS!$C$19,"")</f>
        <v/>
      </c>
      <c r="AA1987" s="219">
        <f>SUM(Plan_Orc[[#This Row],[01/jan]:[01/dez]])</f>
        <v>0</v>
      </c>
      <c r="AB1987" s="15"/>
      <c r="AC1987" s="15"/>
      <c r="AD1987" s="15"/>
      <c r="AE1987" s="15"/>
      <c r="AF1987" s="15"/>
      <c r="AG1987" s="15"/>
      <c r="AH1987" s="15"/>
      <c r="AI1987" s="15"/>
      <c r="AJ1987" s="15"/>
      <c r="AK1987" s="15"/>
      <c r="AL1987" s="15"/>
      <c r="AM1987" s="15"/>
    </row>
    <row r="1988" spans="2:39" ht="25.2" customHeight="1" x14ac:dyDescent="0.3">
      <c r="B1988" s="13" t="str">
        <f t="shared" ref="B1988:B2001" si="35">IF(LEN(F1988)=3,1,"")</f>
        <v/>
      </c>
      <c r="C1988" s="18"/>
      <c r="D1988" s="19" t="str">
        <f>IF(Tabela2[[#This Row],[AGRUPADOR]]&lt;&gt;"",VLOOKUP(Tabela2[[#This Row],[AGRUPADOR]],Tabela1[],2,0),"")</f>
        <v/>
      </c>
      <c r="E1988" s="19" t="str">
        <f>IF(Tabela2[[#This Row],[AGRUPADOR]]&lt;&gt;"",VLOOKUP(Tabela2[[#This Row],[AGRUPADOR]],Tabela1[],4,0),"")</f>
        <v/>
      </c>
      <c r="F1988" s="14"/>
      <c r="G1988" s="6"/>
      <c r="H1988" s="6"/>
      <c r="I1988" s="25"/>
      <c r="J1988" s="7"/>
      <c r="K1988" s="15"/>
      <c r="L1988" s="379">
        <f>IF(H1988&lt;&gt;"",J1988*K1988,SUMIFS(L1989:L$9844,$F1989:$F$9844,"*"&amp;F1988&amp;"*",$H1989:$H$9844,"&lt;&gt;"))</f>
        <v>0</v>
      </c>
      <c r="M1988" s="379" t="str">
        <f>IF(Tabela2[[#This Row],[UNID.]]&lt;&gt;"",IFERROR(VLOOKUP(Tabela2[[#This Row],[AGRUPADOR]],Lucratividade!$D$4:$O$129,6,0),0),"")</f>
        <v/>
      </c>
      <c r="N1988" s="379">
        <f>IF(H1988&lt;&gt;"",J1988*M1988*I1988,SUMIFS(N1989:N$9844,$F1989:$F$9844,"*"&amp;F1988&amp;"*",$H1989:$H$9844,"&lt;&gt;"))</f>
        <v>0</v>
      </c>
      <c r="O1988" s="162" t="str">
        <f>IFERROR((-Tabela2[[#This Row],[CUSTO TOTAL]]+Tabela2[[#This Row],[VENDA TOTAL]])/Tabela2[[#This Row],[VENDA TOTAL]]-PARAMETROS!$C$19,"")</f>
        <v/>
      </c>
      <c r="AA1988" s="219">
        <f>SUM(Plan_Orc[[#This Row],[01/jan]:[01/dez]])</f>
        <v>0</v>
      </c>
      <c r="AB1988" s="15"/>
      <c r="AC1988" s="15"/>
      <c r="AD1988" s="15"/>
      <c r="AE1988" s="15"/>
      <c r="AF1988" s="15"/>
      <c r="AG1988" s="15"/>
      <c r="AH1988" s="15"/>
      <c r="AI1988" s="15"/>
      <c r="AJ1988" s="15"/>
      <c r="AK1988" s="15"/>
      <c r="AL1988" s="15"/>
      <c r="AM1988" s="15"/>
    </row>
    <row r="1989" spans="2:39" ht="25.2" customHeight="1" x14ac:dyDescent="0.3">
      <c r="B1989" s="13" t="str">
        <f t="shared" si="35"/>
        <v/>
      </c>
      <c r="C1989" s="18"/>
      <c r="D1989" s="19" t="str">
        <f>IF(Tabela2[[#This Row],[AGRUPADOR]]&lt;&gt;"",VLOOKUP(Tabela2[[#This Row],[AGRUPADOR]],Tabela1[],2,0),"")</f>
        <v/>
      </c>
      <c r="E1989" s="19" t="str">
        <f>IF(Tabela2[[#This Row],[AGRUPADOR]]&lt;&gt;"",VLOOKUP(Tabela2[[#This Row],[AGRUPADOR]],Tabela1[],4,0),"")</f>
        <v/>
      </c>
      <c r="F1989" s="14"/>
      <c r="G1989" s="6"/>
      <c r="H1989" s="6"/>
      <c r="I1989" s="25"/>
      <c r="J1989" s="7"/>
      <c r="K1989" s="15"/>
      <c r="L1989" s="379">
        <f>IF(H1989&lt;&gt;"",J1989*K1989,SUMIFS(L1990:L$9844,$F1990:$F$9844,"*"&amp;F1989&amp;"*",$H1990:$H$9844,"&lt;&gt;"))</f>
        <v>0</v>
      </c>
      <c r="M1989" s="379" t="str">
        <f>IF(Tabela2[[#This Row],[UNID.]]&lt;&gt;"",IFERROR(VLOOKUP(Tabela2[[#This Row],[AGRUPADOR]],Lucratividade!$D$4:$O$129,6,0),0),"")</f>
        <v/>
      </c>
      <c r="N1989" s="379">
        <f>IF(H1989&lt;&gt;"",J1989*M1989*I1989,SUMIFS(N1990:N$9844,$F1990:$F$9844,"*"&amp;F1989&amp;"*",$H1990:$H$9844,"&lt;&gt;"))</f>
        <v>0</v>
      </c>
      <c r="O1989" s="162" t="str">
        <f>IFERROR((-Tabela2[[#This Row],[CUSTO TOTAL]]+Tabela2[[#This Row],[VENDA TOTAL]])/Tabela2[[#This Row],[VENDA TOTAL]]-PARAMETROS!$C$19,"")</f>
        <v/>
      </c>
      <c r="AA1989" s="219">
        <f>SUM(Plan_Orc[[#This Row],[01/jan]:[01/dez]])</f>
        <v>0</v>
      </c>
      <c r="AB1989" s="15"/>
      <c r="AC1989" s="15"/>
      <c r="AD1989" s="15"/>
      <c r="AE1989" s="15"/>
      <c r="AF1989" s="15"/>
      <c r="AG1989" s="15"/>
      <c r="AH1989" s="15"/>
      <c r="AI1989" s="15"/>
      <c r="AJ1989" s="15"/>
      <c r="AK1989" s="15"/>
      <c r="AL1989" s="15"/>
      <c r="AM1989" s="15"/>
    </row>
    <row r="1990" spans="2:39" ht="25.2" customHeight="1" x14ac:dyDescent="0.3">
      <c r="B1990" s="13" t="str">
        <f t="shared" si="35"/>
        <v/>
      </c>
      <c r="C1990" s="18"/>
      <c r="D1990" s="19" t="str">
        <f>IF(Tabela2[[#This Row],[AGRUPADOR]]&lt;&gt;"",VLOOKUP(Tabela2[[#This Row],[AGRUPADOR]],Tabela1[],2,0),"")</f>
        <v/>
      </c>
      <c r="E1990" s="19" t="str">
        <f>IF(Tabela2[[#This Row],[AGRUPADOR]]&lt;&gt;"",VLOOKUP(Tabela2[[#This Row],[AGRUPADOR]],Tabela1[],4,0),"")</f>
        <v/>
      </c>
      <c r="F1990" s="14"/>
      <c r="G1990" s="6"/>
      <c r="H1990" s="6"/>
      <c r="I1990" s="25"/>
      <c r="J1990" s="7"/>
      <c r="K1990" s="15"/>
      <c r="L1990" s="379">
        <f>IF(H1990&lt;&gt;"",J1990*K1990,SUMIFS(L1991:L$9844,$F1991:$F$9844,"*"&amp;F1990&amp;"*",$H1991:$H$9844,"&lt;&gt;"))</f>
        <v>0</v>
      </c>
      <c r="M1990" s="379" t="str">
        <f>IF(Tabela2[[#This Row],[UNID.]]&lt;&gt;"",IFERROR(VLOOKUP(Tabela2[[#This Row],[AGRUPADOR]],Lucratividade!$D$4:$O$129,6,0),0),"")</f>
        <v/>
      </c>
      <c r="N1990" s="379">
        <f>IF(H1990&lt;&gt;"",J1990*M1990*I1990,SUMIFS(N1991:N$9844,$F1991:$F$9844,"*"&amp;F1990&amp;"*",$H1991:$H$9844,"&lt;&gt;"))</f>
        <v>0</v>
      </c>
      <c r="O1990" s="162" t="str">
        <f>IFERROR((-Tabela2[[#This Row],[CUSTO TOTAL]]+Tabela2[[#This Row],[VENDA TOTAL]])/Tabela2[[#This Row],[VENDA TOTAL]]-PARAMETROS!$C$19,"")</f>
        <v/>
      </c>
      <c r="AA1990" s="219">
        <f>SUM(Plan_Orc[[#This Row],[01/jan]:[01/dez]])</f>
        <v>0</v>
      </c>
      <c r="AB1990" s="15"/>
      <c r="AC1990" s="15"/>
      <c r="AD1990" s="15"/>
      <c r="AE1990" s="15"/>
      <c r="AF1990" s="15"/>
      <c r="AG1990" s="15"/>
      <c r="AH1990" s="15"/>
      <c r="AI1990" s="15"/>
      <c r="AJ1990" s="15"/>
      <c r="AK1990" s="15"/>
      <c r="AL1990" s="15"/>
      <c r="AM1990" s="15"/>
    </row>
    <row r="1991" spans="2:39" ht="25.2" customHeight="1" x14ac:dyDescent="0.3">
      <c r="B1991" s="13" t="str">
        <f t="shared" si="35"/>
        <v/>
      </c>
      <c r="C1991" s="18"/>
      <c r="D1991" s="19" t="str">
        <f>IF(Tabela2[[#This Row],[AGRUPADOR]]&lt;&gt;"",VLOOKUP(Tabela2[[#This Row],[AGRUPADOR]],Tabela1[],2,0),"")</f>
        <v/>
      </c>
      <c r="E1991" s="19" t="str">
        <f>IF(Tabela2[[#This Row],[AGRUPADOR]]&lt;&gt;"",VLOOKUP(Tabela2[[#This Row],[AGRUPADOR]],Tabela1[],4,0),"")</f>
        <v/>
      </c>
      <c r="F1991" s="14"/>
      <c r="G1991" s="6"/>
      <c r="H1991" s="6"/>
      <c r="I1991" s="25"/>
      <c r="J1991" s="7"/>
      <c r="K1991" s="15"/>
      <c r="L1991" s="379">
        <f>IF(H1991&lt;&gt;"",J1991*K1991,SUMIFS(L1992:L$9844,$F1992:$F$9844,"*"&amp;F1991&amp;"*",$H1992:$H$9844,"&lt;&gt;"))</f>
        <v>0</v>
      </c>
      <c r="M1991" s="379" t="str">
        <f>IF(Tabela2[[#This Row],[UNID.]]&lt;&gt;"",IFERROR(VLOOKUP(Tabela2[[#This Row],[AGRUPADOR]],Lucratividade!$D$4:$O$129,6,0),0),"")</f>
        <v/>
      </c>
      <c r="N1991" s="379">
        <f>IF(H1991&lt;&gt;"",J1991*M1991*I1991,SUMIFS(N1992:N$9844,$F1992:$F$9844,"*"&amp;F1991&amp;"*",$H1992:$H$9844,"&lt;&gt;"))</f>
        <v>0</v>
      </c>
      <c r="O1991" s="162" t="str">
        <f>IFERROR((-Tabela2[[#This Row],[CUSTO TOTAL]]+Tabela2[[#This Row],[VENDA TOTAL]])/Tabela2[[#This Row],[VENDA TOTAL]]-PARAMETROS!$C$19,"")</f>
        <v/>
      </c>
      <c r="AA1991" s="219">
        <f>SUM(Plan_Orc[[#This Row],[01/jan]:[01/dez]])</f>
        <v>0</v>
      </c>
      <c r="AB1991" s="15"/>
      <c r="AC1991" s="15"/>
      <c r="AD1991" s="15"/>
      <c r="AE1991" s="15"/>
      <c r="AF1991" s="15"/>
      <c r="AG1991" s="15"/>
      <c r="AH1991" s="15"/>
      <c r="AI1991" s="15"/>
      <c r="AJ1991" s="15"/>
      <c r="AK1991" s="15"/>
      <c r="AL1991" s="15"/>
      <c r="AM1991" s="15"/>
    </row>
    <row r="1992" spans="2:39" ht="25.2" customHeight="1" x14ac:dyDescent="0.3">
      <c r="B1992" s="13" t="str">
        <f t="shared" si="35"/>
        <v/>
      </c>
      <c r="C1992" s="18"/>
      <c r="D1992" s="19" t="str">
        <f>IF(Tabela2[[#This Row],[AGRUPADOR]]&lt;&gt;"",VLOOKUP(Tabela2[[#This Row],[AGRUPADOR]],Tabela1[],2,0),"")</f>
        <v/>
      </c>
      <c r="E1992" s="19" t="str">
        <f>IF(Tabela2[[#This Row],[AGRUPADOR]]&lt;&gt;"",VLOOKUP(Tabela2[[#This Row],[AGRUPADOR]],Tabela1[],4,0),"")</f>
        <v/>
      </c>
      <c r="F1992" s="14"/>
      <c r="G1992" s="6"/>
      <c r="H1992" s="6"/>
      <c r="I1992" s="25"/>
      <c r="J1992" s="7"/>
      <c r="K1992" s="15"/>
      <c r="L1992" s="379">
        <f>IF(H1992&lt;&gt;"",J1992*K1992,SUMIFS(L1993:L$9844,$F1993:$F$9844,"*"&amp;F1992&amp;"*",$H1993:$H$9844,"&lt;&gt;"))</f>
        <v>0</v>
      </c>
      <c r="M1992" s="379" t="str">
        <f>IF(Tabela2[[#This Row],[UNID.]]&lt;&gt;"",IFERROR(VLOOKUP(Tabela2[[#This Row],[AGRUPADOR]],Lucratividade!$D$4:$O$129,6,0),0),"")</f>
        <v/>
      </c>
      <c r="N1992" s="379">
        <f>IF(H1992&lt;&gt;"",J1992*M1992*I1992,SUMIFS(N1993:N$9844,$F1993:$F$9844,"*"&amp;F1992&amp;"*",$H1993:$H$9844,"&lt;&gt;"))</f>
        <v>0</v>
      </c>
      <c r="O1992" s="162" t="str">
        <f>IFERROR((-Tabela2[[#This Row],[CUSTO TOTAL]]+Tabela2[[#This Row],[VENDA TOTAL]])/Tabela2[[#This Row],[VENDA TOTAL]]-PARAMETROS!$C$19,"")</f>
        <v/>
      </c>
      <c r="AA1992" s="219">
        <f>SUM(Plan_Orc[[#This Row],[01/jan]:[01/dez]])</f>
        <v>0</v>
      </c>
      <c r="AB1992" s="15"/>
      <c r="AC1992" s="15"/>
      <c r="AD1992" s="15"/>
      <c r="AE1992" s="15"/>
      <c r="AF1992" s="15"/>
      <c r="AG1992" s="15"/>
      <c r="AH1992" s="15"/>
      <c r="AI1992" s="15"/>
      <c r="AJ1992" s="15"/>
      <c r="AK1992" s="15"/>
      <c r="AL1992" s="15"/>
      <c r="AM1992" s="15"/>
    </row>
    <row r="1993" spans="2:39" ht="25.2" customHeight="1" x14ac:dyDescent="0.3">
      <c r="B1993" s="13" t="str">
        <f t="shared" si="35"/>
        <v/>
      </c>
      <c r="C1993" s="18"/>
      <c r="D1993" s="19" t="str">
        <f>IF(Tabela2[[#This Row],[AGRUPADOR]]&lt;&gt;"",VLOOKUP(Tabela2[[#This Row],[AGRUPADOR]],Tabela1[],2,0),"")</f>
        <v/>
      </c>
      <c r="E1993" s="19" t="str">
        <f>IF(Tabela2[[#This Row],[AGRUPADOR]]&lt;&gt;"",VLOOKUP(Tabela2[[#This Row],[AGRUPADOR]],Tabela1[],4,0),"")</f>
        <v/>
      </c>
      <c r="F1993" s="14"/>
      <c r="G1993" s="6"/>
      <c r="H1993" s="6"/>
      <c r="I1993" s="25"/>
      <c r="J1993" s="7"/>
      <c r="K1993" s="15"/>
      <c r="L1993" s="379">
        <f>IF(H1993&lt;&gt;"",J1993*K1993,SUMIFS(L1994:L$9844,$F1994:$F$9844,"*"&amp;F1993&amp;"*",$H1994:$H$9844,"&lt;&gt;"))</f>
        <v>0</v>
      </c>
      <c r="M1993" s="379" t="str">
        <f>IF(Tabela2[[#This Row],[UNID.]]&lt;&gt;"",IFERROR(VLOOKUP(Tabela2[[#This Row],[AGRUPADOR]],Lucratividade!$D$4:$O$129,6,0),0),"")</f>
        <v/>
      </c>
      <c r="N1993" s="379">
        <f>IF(H1993&lt;&gt;"",J1993*M1993*I1993,SUMIFS(N1994:N$9844,$F1994:$F$9844,"*"&amp;F1993&amp;"*",$H1994:$H$9844,"&lt;&gt;"))</f>
        <v>0</v>
      </c>
      <c r="O1993" s="162" t="str">
        <f>IFERROR((-Tabela2[[#This Row],[CUSTO TOTAL]]+Tabela2[[#This Row],[VENDA TOTAL]])/Tabela2[[#This Row],[VENDA TOTAL]]-PARAMETROS!$C$19,"")</f>
        <v/>
      </c>
      <c r="AA1993" s="219">
        <f>SUM(Plan_Orc[[#This Row],[01/jan]:[01/dez]])</f>
        <v>0</v>
      </c>
      <c r="AB1993" s="15"/>
      <c r="AC1993" s="15"/>
      <c r="AD1993" s="15"/>
      <c r="AE1993" s="15"/>
      <c r="AF1993" s="15"/>
      <c r="AG1993" s="15"/>
      <c r="AH1993" s="15"/>
      <c r="AI1993" s="15"/>
      <c r="AJ1993" s="15"/>
      <c r="AK1993" s="15"/>
      <c r="AL1993" s="15"/>
      <c r="AM1993" s="15"/>
    </row>
    <row r="1994" spans="2:39" ht="25.2" customHeight="1" x14ac:dyDescent="0.3">
      <c r="B1994" s="13" t="str">
        <f t="shared" si="35"/>
        <v/>
      </c>
      <c r="C1994" s="18"/>
      <c r="D1994" s="19" t="str">
        <f>IF(Tabela2[[#This Row],[AGRUPADOR]]&lt;&gt;"",VLOOKUP(Tabela2[[#This Row],[AGRUPADOR]],Tabela1[],2,0),"")</f>
        <v/>
      </c>
      <c r="E1994" s="19" t="str">
        <f>IF(Tabela2[[#This Row],[AGRUPADOR]]&lt;&gt;"",VLOOKUP(Tabela2[[#This Row],[AGRUPADOR]],Tabela1[],4,0),"")</f>
        <v/>
      </c>
      <c r="F1994" s="14"/>
      <c r="G1994" s="6"/>
      <c r="H1994" s="6"/>
      <c r="I1994" s="25"/>
      <c r="J1994" s="7"/>
      <c r="K1994" s="15"/>
      <c r="L1994" s="379">
        <f>IF(H1994&lt;&gt;"",J1994*K1994,SUMIFS(L1995:L$9844,$F1995:$F$9844,"*"&amp;F1994&amp;"*",$H1995:$H$9844,"&lt;&gt;"))</f>
        <v>0</v>
      </c>
      <c r="M1994" s="379" t="str">
        <f>IF(Tabela2[[#This Row],[UNID.]]&lt;&gt;"",IFERROR(VLOOKUP(Tabela2[[#This Row],[AGRUPADOR]],Lucratividade!$D$4:$O$129,6,0),0),"")</f>
        <v/>
      </c>
      <c r="N1994" s="379">
        <f>IF(H1994&lt;&gt;"",J1994*M1994*I1994,SUMIFS(N1995:N$9844,$F1995:$F$9844,"*"&amp;F1994&amp;"*",$H1995:$H$9844,"&lt;&gt;"))</f>
        <v>0</v>
      </c>
      <c r="O1994" s="162" t="str">
        <f>IFERROR((-Tabela2[[#This Row],[CUSTO TOTAL]]+Tabela2[[#This Row],[VENDA TOTAL]])/Tabela2[[#This Row],[VENDA TOTAL]]-PARAMETROS!$C$19,"")</f>
        <v/>
      </c>
      <c r="AA1994" s="219">
        <f>SUM(Plan_Orc[[#This Row],[01/jan]:[01/dez]])</f>
        <v>0</v>
      </c>
      <c r="AB1994" s="15"/>
      <c r="AC1994" s="15"/>
      <c r="AD1994" s="15"/>
      <c r="AE1994" s="15"/>
      <c r="AF1994" s="15"/>
      <c r="AG1994" s="15"/>
      <c r="AH1994" s="15"/>
      <c r="AI1994" s="15"/>
      <c r="AJ1994" s="15"/>
      <c r="AK1994" s="15"/>
      <c r="AL1994" s="15"/>
      <c r="AM1994" s="15"/>
    </row>
    <row r="1995" spans="2:39" ht="25.2" customHeight="1" x14ac:dyDescent="0.3">
      <c r="B1995" s="13" t="str">
        <f t="shared" si="35"/>
        <v/>
      </c>
      <c r="C1995" s="18"/>
      <c r="D1995" s="19" t="str">
        <f>IF(Tabela2[[#This Row],[AGRUPADOR]]&lt;&gt;"",VLOOKUP(Tabela2[[#This Row],[AGRUPADOR]],Tabela1[],2,0),"")</f>
        <v/>
      </c>
      <c r="E1995" s="19" t="str">
        <f>IF(Tabela2[[#This Row],[AGRUPADOR]]&lt;&gt;"",VLOOKUP(Tabela2[[#This Row],[AGRUPADOR]],Tabela1[],4,0),"")</f>
        <v/>
      </c>
      <c r="F1995" s="14"/>
      <c r="G1995" s="6"/>
      <c r="H1995" s="6"/>
      <c r="I1995" s="25"/>
      <c r="J1995" s="7"/>
      <c r="K1995" s="15"/>
      <c r="L1995" s="379">
        <f>IF(H1995&lt;&gt;"",J1995*K1995,SUMIFS(L1996:L$9844,$F1996:$F$9844,"*"&amp;F1995&amp;"*",$H1996:$H$9844,"&lt;&gt;"))</f>
        <v>0</v>
      </c>
      <c r="M1995" s="379" t="str">
        <f>IF(Tabela2[[#This Row],[UNID.]]&lt;&gt;"",IFERROR(VLOOKUP(Tabela2[[#This Row],[AGRUPADOR]],Lucratividade!$D$4:$O$129,6,0),0),"")</f>
        <v/>
      </c>
      <c r="N1995" s="379">
        <f>IF(H1995&lt;&gt;"",J1995*M1995*I1995,SUMIFS(N1996:N$9844,$F1996:$F$9844,"*"&amp;F1995&amp;"*",$H1996:$H$9844,"&lt;&gt;"))</f>
        <v>0</v>
      </c>
      <c r="O1995" s="162" t="str">
        <f>IFERROR((-Tabela2[[#This Row],[CUSTO TOTAL]]+Tabela2[[#This Row],[VENDA TOTAL]])/Tabela2[[#This Row],[VENDA TOTAL]]-PARAMETROS!$C$19,"")</f>
        <v/>
      </c>
      <c r="AA1995" s="218">
        <f>SUM(Plan_Orc[[#This Row],[01/jan]:[01/dez]])</f>
        <v>0</v>
      </c>
      <c r="AB1995" s="12"/>
      <c r="AC1995" s="12"/>
      <c r="AD1995" s="12"/>
      <c r="AE1995" s="12"/>
      <c r="AF1995" s="12"/>
      <c r="AG1995" s="12"/>
      <c r="AH1995" s="12"/>
      <c r="AI1995" s="12"/>
      <c r="AJ1995" s="12"/>
      <c r="AK1995" s="12"/>
      <c r="AL1995" s="12"/>
      <c r="AM1995" s="12"/>
    </row>
    <row r="1996" spans="2:39" ht="25.2" customHeight="1" x14ac:dyDescent="0.3">
      <c r="B1996" s="13" t="str">
        <f t="shared" si="35"/>
        <v/>
      </c>
      <c r="C1996" s="18"/>
      <c r="D1996" s="19" t="str">
        <f>IF(Tabela2[[#This Row],[AGRUPADOR]]&lt;&gt;"",VLOOKUP(Tabela2[[#This Row],[AGRUPADOR]],Tabela1[],2,0),"")</f>
        <v/>
      </c>
      <c r="E1996" s="19" t="str">
        <f>IF(Tabela2[[#This Row],[AGRUPADOR]]&lt;&gt;"",VLOOKUP(Tabela2[[#This Row],[AGRUPADOR]],Tabela1[],4,0),"")</f>
        <v/>
      </c>
      <c r="F1996" s="14"/>
      <c r="G1996" s="6"/>
      <c r="H1996" s="6"/>
      <c r="I1996" s="25"/>
      <c r="J1996" s="7"/>
      <c r="K1996" s="15"/>
      <c r="L1996" s="379">
        <f>IF(H1996&lt;&gt;"",J1996*K1996,SUMIFS(L1997:L$9844,$F1997:$F$9844,"*"&amp;F1996&amp;"*",$H1997:$H$9844,"&lt;&gt;"))</f>
        <v>0</v>
      </c>
      <c r="M1996" s="379" t="str">
        <f>IF(Tabela2[[#This Row],[UNID.]]&lt;&gt;"",IFERROR(VLOOKUP(Tabela2[[#This Row],[AGRUPADOR]],Lucratividade!$D$4:$O$129,6,0),0),"")</f>
        <v/>
      </c>
      <c r="N1996" s="379">
        <f>IF(H1996&lt;&gt;"",J1996*M1996*I1996,SUMIFS(N1997:N$9844,$F1997:$F$9844,"*"&amp;F1996&amp;"*",$H1997:$H$9844,"&lt;&gt;"))</f>
        <v>0</v>
      </c>
      <c r="O1996" s="162" t="str">
        <f>IFERROR((-Tabela2[[#This Row],[CUSTO TOTAL]]+Tabela2[[#This Row],[VENDA TOTAL]])/Tabela2[[#This Row],[VENDA TOTAL]]-PARAMETROS!$C$19,"")</f>
        <v/>
      </c>
      <c r="AA1996" s="219">
        <f>SUM(Plan_Orc[[#This Row],[01/jan]:[01/dez]])</f>
        <v>0</v>
      </c>
      <c r="AB1996" s="15"/>
      <c r="AC1996" s="15"/>
      <c r="AD1996" s="15"/>
      <c r="AE1996" s="15"/>
      <c r="AF1996" s="15"/>
      <c r="AG1996" s="15"/>
      <c r="AH1996" s="15"/>
      <c r="AI1996" s="15"/>
      <c r="AJ1996" s="15"/>
      <c r="AK1996" s="15"/>
      <c r="AL1996" s="15"/>
      <c r="AM1996" s="15"/>
    </row>
    <row r="1997" spans="2:39" ht="25.2" customHeight="1" x14ac:dyDescent="0.3">
      <c r="B1997" s="13" t="str">
        <f t="shared" si="35"/>
        <v/>
      </c>
      <c r="C1997" s="18"/>
      <c r="D1997" s="19" t="str">
        <f>IF(Tabela2[[#This Row],[AGRUPADOR]]&lt;&gt;"",VLOOKUP(Tabela2[[#This Row],[AGRUPADOR]],Tabela1[],2,0),"")</f>
        <v/>
      </c>
      <c r="E1997" s="19" t="str">
        <f>IF(Tabela2[[#This Row],[AGRUPADOR]]&lt;&gt;"",VLOOKUP(Tabela2[[#This Row],[AGRUPADOR]],Tabela1[],4,0),"")</f>
        <v/>
      </c>
      <c r="F1997" s="14"/>
      <c r="G1997" s="6"/>
      <c r="H1997" s="6"/>
      <c r="I1997" s="25"/>
      <c r="J1997" s="7"/>
      <c r="K1997" s="15"/>
      <c r="L1997" s="379">
        <f>IF(H1997&lt;&gt;"",J1997*K1997,SUMIFS(L1998:L$9844,$F1998:$F$9844,"*"&amp;F1997&amp;"*",$H1998:$H$9844,"&lt;&gt;"))</f>
        <v>0</v>
      </c>
      <c r="M1997" s="379" t="str">
        <f>IF(Tabela2[[#This Row],[UNID.]]&lt;&gt;"",IFERROR(VLOOKUP(Tabela2[[#This Row],[AGRUPADOR]],Lucratividade!$D$4:$O$129,6,0),0),"")</f>
        <v/>
      </c>
      <c r="N1997" s="379">
        <f>IF(H1997&lt;&gt;"",J1997*M1997*I1997,SUMIFS(N1998:N$9844,$F1998:$F$9844,"*"&amp;F1997&amp;"*",$H1998:$H$9844,"&lt;&gt;"))</f>
        <v>0</v>
      </c>
      <c r="O1997" s="162" t="str">
        <f>IFERROR((-Tabela2[[#This Row],[CUSTO TOTAL]]+Tabela2[[#This Row],[VENDA TOTAL]])/Tabela2[[#This Row],[VENDA TOTAL]]-PARAMETROS!$C$19,"")</f>
        <v/>
      </c>
      <c r="AA1997" s="220">
        <f>SUM(Plan_Orc[[#This Row],[01/jan]:[01/dez]])</f>
        <v>0</v>
      </c>
      <c r="AB1997" s="9"/>
      <c r="AC1997" s="9"/>
      <c r="AD1997" s="9"/>
      <c r="AE1997" s="9"/>
      <c r="AF1997" s="9"/>
      <c r="AG1997" s="9"/>
      <c r="AH1997" s="9"/>
      <c r="AI1997" s="9"/>
      <c r="AJ1997" s="9"/>
      <c r="AK1997" s="9"/>
      <c r="AL1997" s="9"/>
      <c r="AM1997" s="9"/>
    </row>
    <row r="1998" spans="2:39" ht="25.2" customHeight="1" x14ac:dyDescent="0.3">
      <c r="B1998" s="13" t="str">
        <f t="shared" si="35"/>
        <v/>
      </c>
      <c r="C1998" s="18"/>
      <c r="D1998" s="19" t="str">
        <f>IF(Tabela2[[#This Row],[AGRUPADOR]]&lt;&gt;"",VLOOKUP(Tabela2[[#This Row],[AGRUPADOR]],Tabela1[],2,0),"")</f>
        <v/>
      </c>
      <c r="E1998" s="19" t="str">
        <f>IF(Tabela2[[#This Row],[AGRUPADOR]]&lt;&gt;"",VLOOKUP(Tabela2[[#This Row],[AGRUPADOR]],Tabela1[],4,0),"")</f>
        <v/>
      </c>
      <c r="F1998" s="14"/>
      <c r="G1998" s="6"/>
      <c r="H1998" s="6"/>
      <c r="I1998" s="25"/>
      <c r="J1998" s="7"/>
      <c r="K1998" s="15"/>
      <c r="L1998" s="379">
        <f>IF(H1998&lt;&gt;"",J1998*K1998,SUMIFS(L1999:L$9844,$F1999:$F$9844,"*"&amp;F1998&amp;"*",$H1999:$H$9844,"&lt;&gt;"))</f>
        <v>0</v>
      </c>
      <c r="M1998" s="379" t="str">
        <f>IF(Tabela2[[#This Row],[UNID.]]&lt;&gt;"",IFERROR(VLOOKUP(Tabela2[[#This Row],[AGRUPADOR]],Lucratividade!$D$4:$O$129,6,0),0),"")</f>
        <v/>
      </c>
      <c r="N1998" s="379">
        <f>IF(H1998&lt;&gt;"",J1998*M1998*I1998,SUMIFS(N1999:N$9844,$F1999:$F$9844,"*"&amp;F1998&amp;"*",$H1999:$H$9844,"&lt;&gt;"))</f>
        <v>0</v>
      </c>
      <c r="O1998" s="162" t="str">
        <f>IFERROR((-Tabela2[[#This Row],[CUSTO TOTAL]]+Tabela2[[#This Row],[VENDA TOTAL]])/Tabela2[[#This Row],[VENDA TOTAL]]-PARAMETROS!$C$19,"")</f>
        <v/>
      </c>
      <c r="AA1998" s="219">
        <f>SUM(Plan_Orc[[#This Row],[01/jan]:[01/dez]])</f>
        <v>0</v>
      </c>
      <c r="AB1998" s="15"/>
      <c r="AC1998" s="15"/>
      <c r="AD1998" s="15"/>
      <c r="AE1998" s="15"/>
      <c r="AF1998" s="15"/>
      <c r="AG1998" s="15"/>
      <c r="AH1998" s="15"/>
      <c r="AI1998" s="15"/>
      <c r="AJ1998" s="15"/>
      <c r="AK1998" s="15"/>
      <c r="AL1998" s="15"/>
      <c r="AM1998" s="15"/>
    </row>
    <row r="1999" spans="2:39" ht="25.2" customHeight="1" x14ac:dyDescent="0.3">
      <c r="B1999" s="13" t="str">
        <f t="shared" si="35"/>
        <v/>
      </c>
      <c r="C1999" s="18"/>
      <c r="D1999" s="19" t="str">
        <f>IF(Tabela2[[#This Row],[AGRUPADOR]]&lt;&gt;"",VLOOKUP(Tabela2[[#This Row],[AGRUPADOR]],Tabela1[],2,0),"")</f>
        <v/>
      </c>
      <c r="E1999" s="19" t="str">
        <f>IF(Tabela2[[#This Row],[AGRUPADOR]]&lt;&gt;"",VLOOKUP(Tabela2[[#This Row],[AGRUPADOR]],Tabela1[],4,0),"")</f>
        <v/>
      </c>
      <c r="F1999" s="14"/>
      <c r="G1999" s="6"/>
      <c r="H1999" s="6"/>
      <c r="I1999" s="25"/>
      <c r="J1999" s="7"/>
      <c r="K1999" s="15"/>
      <c r="L1999" s="379">
        <f>IF(H1999&lt;&gt;"",J1999*K1999,SUMIFS(L2000:L$9844,$F2000:$F$9844,"*"&amp;F1999&amp;"*",$H2000:$H$9844,"&lt;&gt;"))</f>
        <v>0</v>
      </c>
      <c r="M1999" s="379" t="str">
        <f>IF(Tabela2[[#This Row],[UNID.]]&lt;&gt;"",IFERROR(VLOOKUP(Tabela2[[#This Row],[AGRUPADOR]],Lucratividade!$D$4:$O$129,6,0),0),"")</f>
        <v/>
      </c>
      <c r="N1999" s="379">
        <f>IF(H1999&lt;&gt;"",J1999*M1999*I1999,SUMIFS(N2000:N$9844,$F2000:$F$9844,"*"&amp;F1999&amp;"*",$H2000:$H$9844,"&lt;&gt;"))</f>
        <v>0</v>
      </c>
      <c r="O1999" s="162" t="str">
        <f>IFERROR((-Tabela2[[#This Row],[CUSTO TOTAL]]+Tabela2[[#This Row],[VENDA TOTAL]])/Tabela2[[#This Row],[VENDA TOTAL]]-PARAMETROS!$C$19,"")</f>
        <v/>
      </c>
      <c r="AA1999" s="219">
        <f>SUM(Plan_Orc[[#This Row],[01/jan]:[01/dez]])</f>
        <v>0</v>
      </c>
      <c r="AB1999" s="15"/>
      <c r="AC1999" s="15"/>
      <c r="AD1999" s="15"/>
      <c r="AE1999" s="15"/>
      <c r="AF1999" s="15"/>
      <c r="AG1999" s="15"/>
      <c r="AH1999" s="15"/>
      <c r="AI1999" s="15"/>
      <c r="AJ1999" s="15"/>
      <c r="AK1999" s="15"/>
      <c r="AL1999" s="15"/>
      <c r="AM1999" s="15"/>
    </row>
    <row r="2000" spans="2:39" ht="25.2" customHeight="1" x14ac:dyDescent="0.3">
      <c r="B2000" s="13" t="str">
        <f t="shared" si="35"/>
        <v/>
      </c>
      <c r="C2000" s="18"/>
      <c r="D2000" s="19" t="str">
        <f>IF(Tabela2[[#This Row],[AGRUPADOR]]&lt;&gt;"",VLOOKUP(Tabela2[[#This Row],[AGRUPADOR]],Tabela1[],2,0),"")</f>
        <v/>
      </c>
      <c r="E2000" s="19" t="str">
        <f>IF(Tabela2[[#This Row],[AGRUPADOR]]&lt;&gt;"",VLOOKUP(Tabela2[[#This Row],[AGRUPADOR]],Tabela1[],4,0),"")</f>
        <v/>
      </c>
      <c r="F2000" s="14"/>
      <c r="G2000" s="6"/>
      <c r="H2000" s="6"/>
      <c r="I2000" s="25"/>
      <c r="J2000" s="7"/>
      <c r="K2000" s="15"/>
      <c r="L2000" s="379">
        <f>IF(H2000&lt;&gt;"",J2000*K2000,SUMIFS(L2001:L$9844,$F2001:$F$9844,"*"&amp;F2000&amp;"*",$H2001:$H$9844,"&lt;&gt;"))</f>
        <v>0</v>
      </c>
      <c r="M2000" s="379" t="str">
        <f>IF(Tabela2[[#This Row],[UNID.]]&lt;&gt;"",IFERROR(VLOOKUP(Tabela2[[#This Row],[AGRUPADOR]],Lucratividade!$D$4:$O$129,6,0),0),"")</f>
        <v/>
      </c>
      <c r="N2000" s="379">
        <f>IF(H2000&lt;&gt;"",J2000*M2000*I2000,SUMIFS(N2001:N$9844,$F2001:$F$9844,"*"&amp;F2000&amp;"*",$H2001:$H$9844,"&lt;&gt;"))</f>
        <v>0</v>
      </c>
      <c r="O2000" s="162" t="str">
        <f>IFERROR((-Tabela2[[#This Row],[CUSTO TOTAL]]+Tabela2[[#This Row],[VENDA TOTAL]])/Tabela2[[#This Row],[VENDA TOTAL]]-PARAMETROS!$C$19,"")</f>
        <v/>
      </c>
      <c r="AA2000" s="219">
        <f>SUM(Plan_Orc[[#This Row],[01/jan]:[01/dez]])</f>
        <v>0</v>
      </c>
      <c r="AB2000" s="15"/>
      <c r="AC2000" s="15"/>
      <c r="AD2000" s="15"/>
      <c r="AE2000" s="15"/>
      <c r="AF2000" s="15"/>
      <c r="AG2000" s="15"/>
      <c r="AH2000" s="15"/>
      <c r="AI2000" s="15"/>
      <c r="AJ2000" s="15"/>
      <c r="AK2000" s="15"/>
      <c r="AL2000" s="15"/>
      <c r="AM2000" s="15"/>
    </row>
    <row r="2001" spans="2:39" ht="25.2" customHeight="1" x14ac:dyDescent="0.3">
      <c r="B2001" s="13" t="str">
        <f t="shared" si="35"/>
        <v/>
      </c>
      <c r="C2001" s="18"/>
      <c r="D2001" s="19" t="str">
        <f>IF(Tabela2[[#This Row],[AGRUPADOR]]&lt;&gt;"",VLOOKUP(Tabela2[[#This Row],[AGRUPADOR]],Tabela1[],2,0),"")</f>
        <v/>
      </c>
      <c r="E2001" s="19" t="str">
        <f>IF(Tabela2[[#This Row],[AGRUPADOR]]&lt;&gt;"",VLOOKUP(Tabela2[[#This Row],[AGRUPADOR]],Tabela1[],4,0),"")</f>
        <v/>
      </c>
      <c r="F2001" s="14"/>
      <c r="G2001" s="6"/>
      <c r="H2001" s="6"/>
      <c r="I2001" s="25"/>
      <c r="J2001" s="7"/>
      <c r="K2001" s="15"/>
      <c r="L2001" s="379">
        <f ca="1">IF(H2001&lt;&gt;"",J2001*K2001,SUMIFS(L2002:L$9844,$F2002:$F$9844,"*"&amp;F2001&amp;"*",$H2002:$H$9844,"&lt;&gt;"))</f>
        <v>0</v>
      </c>
      <c r="M2001" s="379" t="str">
        <f>IF(Tabela2[[#This Row],[UNID.]]&lt;&gt;"",IFERROR(VLOOKUP(Tabela2[[#This Row],[AGRUPADOR]],Lucratividade!$D$4:$O$129,6,0),0),"")</f>
        <v/>
      </c>
      <c r="N2001" s="379">
        <f ca="1">IF(H2001&lt;&gt;"",J2001*M2001*I2001,SUMIFS(N2002:N$9844,$F2002:$F$9844,"*"&amp;F2001&amp;"*",$H2002:$H$9844,"&lt;&gt;"))</f>
        <v>0</v>
      </c>
      <c r="O2001" s="162" t="str">
        <f ca="1">IFERROR((-Tabela2[[#This Row],[CUSTO TOTAL]]+Tabela2[[#This Row],[VENDA TOTAL]])/Tabela2[[#This Row],[VENDA TOTAL]]-PARAMETROS!$C$19,"")</f>
        <v/>
      </c>
      <c r="AA2001" s="219">
        <f>SUM(Plan_Orc[[#This Row],[01/jan]:[01/dez]])</f>
        <v>0</v>
      </c>
      <c r="AB2001" s="15"/>
      <c r="AC2001" s="15"/>
      <c r="AD2001" s="15"/>
      <c r="AE2001" s="15"/>
      <c r="AF2001" s="15"/>
      <c r="AG2001" s="15"/>
      <c r="AH2001" s="15"/>
      <c r="AI2001" s="15"/>
      <c r="AJ2001" s="15"/>
      <c r="AK2001" s="15"/>
      <c r="AL2001" s="15"/>
      <c r="AM2001" s="15"/>
    </row>
  </sheetData>
  <phoneticPr fontId="58" type="noConversion"/>
  <conditionalFormatting sqref="L2">
    <cfRule type="iconSet" priority="1">
      <iconSet>
        <cfvo type="percent" val="0"/>
        <cfvo type="percent" val="70"/>
        <cfvo type="percent" val="85"/>
      </iconSet>
    </cfRule>
  </conditionalFormatting>
  <dataValidations disablePrompts="1" count="1">
    <dataValidation type="list" allowBlank="1" showInputMessage="1" showErrorMessage="1" sqref="C4:C2000" xr:uid="{00000000-0002-0000-0100-000000000000}">
      <formula1>SERVIÇO_CODIGO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2"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7"/>
  <dimension ref="B1:F233"/>
  <sheetViews>
    <sheetView showGridLines="0" showRowColHeaders="0" zoomScale="145" zoomScaleNormal="145" workbookViewId="0">
      <pane xSplit="5" ySplit="3" topLeftCell="F4" activePane="bottomRight" state="frozen"/>
      <selection pane="topRight" activeCell="C28" activeCellId="1" sqref="E13 C28"/>
      <selection pane="bottomLeft" activeCell="C28" activeCellId="1" sqref="E13 C28"/>
      <selection pane="bottomRight" activeCell="E7" sqref="E7:E9"/>
    </sheetView>
  </sheetViews>
  <sheetFormatPr defaultRowHeight="14.4" x14ac:dyDescent="0.3"/>
  <cols>
    <col min="1" max="1" width="8.88671875" customWidth="1"/>
    <col min="2" max="2" width="55.33203125" style="2" customWidth="1"/>
    <col min="3" max="3" width="15.6640625" style="2" customWidth="1"/>
    <col min="4" max="4" width="14.6640625" style="2" customWidth="1"/>
    <col min="5" max="5" width="20.88671875" style="2" customWidth="1"/>
    <col min="6" max="6" width="14.5546875" bestFit="1" customWidth="1"/>
  </cols>
  <sheetData>
    <row r="1" spans="2:6" ht="15.6" x14ac:dyDescent="0.3">
      <c r="B1" s="79"/>
      <c r="C1"/>
    </row>
    <row r="2" spans="2:6" ht="27" customHeight="1" x14ac:dyDescent="0.3">
      <c r="B2" s="78" t="s">
        <v>1</v>
      </c>
    </row>
    <row r="3" spans="2:6" s="2" customFormat="1" ht="30" customHeight="1" x14ac:dyDescent="0.3">
      <c r="B3" s="20" t="s">
        <v>93</v>
      </c>
      <c r="C3" t="s">
        <v>94</v>
      </c>
      <c r="D3" t="s">
        <v>95</v>
      </c>
      <c r="E3" t="s">
        <v>96</v>
      </c>
      <c r="F3"/>
    </row>
    <row r="4" spans="2:6" ht="30" customHeight="1" x14ac:dyDescent="0.3">
      <c r="B4" s="21" t="s">
        <v>97</v>
      </c>
      <c r="C4" s="23">
        <v>0</v>
      </c>
      <c r="D4" s="22">
        <v>0</v>
      </c>
      <c r="E4" s="22">
        <v>48812132.702478006</v>
      </c>
    </row>
    <row r="5" spans="2:6" ht="30" customHeight="1" x14ac:dyDescent="0.3">
      <c r="B5" s="21" t="s">
        <v>86</v>
      </c>
      <c r="C5" s="23">
        <v>44200</v>
      </c>
      <c r="D5" s="22">
        <v>197.3914</v>
      </c>
      <c r="E5" s="22">
        <v>8724699.8800000008</v>
      </c>
    </row>
    <row r="6" spans="2:6" ht="30" customHeight="1" x14ac:dyDescent="0.3">
      <c r="B6" s="21" t="s">
        <v>44</v>
      </c>
      <c r="C6" s="23">
        <v>4</v>
      </c>
      <c r="D6" s="22">
        <v>1507246.9749599998</v>
      </c>
      <c r="E6" s="22">
        <v>6028987.8998399992</v>
      </c>
    </row>
    <row r="7" spans="2:6" ht="30" customHeight="1" x14ac:dyDescent="0.3">
      <c r="B7" s="273" t="s">
        <v>43</v>
      </c>
      <c r="C7" s="23">
        <v>4</v>
      </c>
      <c r="D7" s="22">
        <v>1319100.2337549999</v>
      </c>
      <c r="E7" s="22">
        <v>5276400.9350199997</v>
      </c>
    </row>
    <row r="8" spans="2:6" ht="30" customHeight="1" x14ac:dyDescent="0.3">
      <c r="B8" s="273" t="s">
        <v>48</v>
      </c>
      <c r="C8" s="23">
        <v>0</v>
      </c>
      <c r="D8" s="22">
        <v>0</v>
      </c>
      <c r="E8" s="22">
        <v>708558.01497999998</v>
      </c>
    </row>
    <row r="9" spans="2:6" ht="30" customHeight="1" x14ac:dyDescent="0.3">
      <c r="B9" s="273" t="s">
        <v>50</v>
      </c>
      <c r="C9" s="23">
        <v>0</v>
      </c>
      <c r="D9" s="22">
        <v>0</v>
      </c>
      <c r="E9" s="22">
        <v>44028.949840000001</v>
      </c>
    </row>
    <row r="10" spans="2:6" ht="30" customHeight="1" x14ac:dyDescent="0.3">
      <c r="B10" s="21" t="s">
        <v>66</v>
      </c>
      <c r="C10" s="23">
        <v>87750</v>
      </c>
      <c r="D10" s="22">
        <v>29.53</v>
      </c>
      <c r="E10" s="22">
        <v>2591257.5</v>
      </c>
    </row>
    <row r="11" spans="2:6" ht="30" customHeight="1" x14ac:dyDescent="0.3">
      <c r="B11" s="21" t="s">
        <v>70</v>
      </c>
      <c r="C11" s="23">
        <v>94250</v>
      </c>
      <c r="D11" s="22">
        <v>25.99</v>
      </c>
      <c r="E11" s="22">
        <v>2449557.5</v>
      </c>
    </row>
    <row r="12" spans="2:6" ht="30" customHeight="1" x14ac:dyDescent="0.3">
      <c r="B12" s="21" t="s">
        <v>61</v>
      </c>
      <c r="C12" s="23">
        <v>55500</v>
      </c>
      <c r="D12" s="22">
        <v>42.373075</v>
      </c>
      <c r="E12" s="22">
        <v>2351705.6625000001</v>
      </c>
    </row>
    <row r="13" spans="2:6" ht="30" customHeight="1" x14ac:dyDescent="0.3">
      <c r="B13" s="21" t="s">
        <v>76</v>
      </c>
      <c r="C13" s="23">
        <v>18416.669999999998</v>
      </c>
      <c r="D13" s="22">
        <v>124.59999999999998</v>
      </c>
      <c r="E13" s="22">
        <v>2294717.0819999995</v>
      </c>
    </row>
    <row r="14" spans="2:6" ht="30" customHeight="1" x14ac:dyDescent="0.3">
      <c r="B14" s="21" t="s">
        <v>57</v>
      </c>
      <c r="C14" s="23">
        <v>31875</v>
      </c>
      <c r="D14" s="22">
        <v>52.627694999999996</v>
      </c>
      <c r="E14" s="22">
        <v>1677507.778125</v>
      </c>
    </row>
    <row r="15" spans="2:6" ht="30" customHeight="1" x14ac:dyDescent="0.3">
      <c r="B15" s="21" t="s">
        <v>80</v>
      </c>
      <c r="C15" s="23">
        <v>453600</v>
      </c>
      <c r="D15" s="22">
        <v>2.5525000000000002</v>
      </c>
      <c r="E15" s="22">
        <v>1157814</v>
      </c>
    </row>
    <row r="16" spans="2:6" ht="30" customHeight="1" x14ac:dyDescent="0.3">
      <c r="B16" s="21" t="s">
        <v>83</v>
      </c>
      <c r="C16" s="23">
        <v>368333.33</v>
      </c>
      <c r="D16" s="22">
        <v>0.39179999999999998</v>
      </c>
      <c r="E16" s="22">
        <v>144312.99869400001</v>
      </c>
    </row>
    <row r="17" spans="2:5" ht="30" customHeight="1" x14ac:dyDescent="0.3">
      <c r="B17" s="273" t="s">
        <v>85</v>
      </c>
      <c r="C17" s="23">
        <v>368333.33</v>
      </c>
      <c r="D17" s="22">
        <v>0.39179999999999998</v>
      </c>
      <c r="E17" s="22">
        <v>144312.99869400001</v>
      </c>
    </row>
    <row r="18" spans="2:5" ht="30" customHeight="1" x14ac:dyDescent="0.3">
      <c r="B18" s="21" t="s">
        <v>89</v>
      </c>
      <c r="C18" s="23">
        <v>2210000</v>
      </c>
      <c r="D18" s="22">
        <v>0</v>
      </c>
      <c r="E18" s="22">
        <v>0</v>
      </c>
    </row>
    <row r="19" spans="2:5" ht="30" customHeight="1" x14ac:dyDescent="0.3">
      <c r="B19" s="273" t="s">
        <v>91</v>
      </c>
      <c r="C19" s="23">
        <v>2210000</v>
      </c>
      <c r="D19" s="22">
        <v>0</v>
      </c>
      <c r="E19" s="22">
        <v>0</v>
      </c>
    </row>
    <row r="20" spans="2:5" ht="30" customHeight="1" x14ac:dyDescent="0.3">
      <c r="B20" s="274" t="s">
        <v>92</v>
      </c>
      <c r="C20" s="23">
        <v>2210000</v>
      </c>
      <c r="D20" s="22">
        <v>0</v>
      </c>
      <c r="E20" s="22">
        <v>0</v>
      </c>
    </row>
    <row r="21" spans="2:5" ht="30" customHeight="1" x14ac:dyDescent="0.3">
      <c r="B21" s="21" t="s">
        <v>98</v>
      </c>
      <c r="C21" s="23">
        <v>3363929</v>
      </c>
      <c r="D21" s="22">
        <v>22.661802018900222</v>
      </c>
      <c r="E21" s="22">
        <v>76232693.003637001</v>
      </c>
    </row>
    <row r="22" spans="2:5" ht="30" customHeight="1" x14ac:dyDescent="0.3">
      <c r="B22"/>
      <c r="C22"/>
      <c r="D22"/>
      <c r="E22"/>
    </row>
    <row r="23" spans="2:5" ht="30" customHeight="1" x14ac:dyDescent="0.3">
      <c r="B23"/>
      <c r="C23"/>
      <c r="D23"/>
      <c r="E23"/>
    </row>
    <row r="24" spans="2:5" ht="30" customHeight="1" x14ac:dyDescent="0.3">
      <c r="B24"/>
      <c r="C24"/>
      <c r="D24"/>
      <c r="E24"/>
    </row>
    <row r="25" spans="2:5" ht="30" customHeight="1" x14ac:dyDescent="0.3">
      <c r="B25"/>
      <c r="C25"/>
      <c r="D25"/>
      <c r="E25"/>
    </row>
    <row r="26" spans="2:5" ht="30" customHeight="1" x14ac:dyDescent="0.3">
      <c r="B26"/>
      <c r="C26"/>
      <c r="D26"/>
      <c r="E26"/>
    </row>
    <row r="27" spans="2:5" ht="30" customHeight="1" x14ac:dyDescent="0.3">
      <c r="B27"/>
      <c r="C27"/>
      <c r="D27"/>
      <c r="E27"/>
    </row>
    <row r="28" spans="2:5" ht="30" customHeight="1" x14ac:dyDescent="0.3">
      <c r="B28"/>
      <c r="C28"/>
      <c r="D28"/>
      <c r="E28"/>
    </row>
    <row r="29" spans="2:5" ht="30" customHeight="1" x14ac:dyDescent="0.3">
      <c r="B29"/>
      <c r="C29"/>
      <c r="D29"/>
      <c r="E29"/>
    </row>
    <row r="30" spans="2:5" ht="30" customHeight="1" x14ac:dyDescent="0.3">
      <c r="B30"/>
      <c r="C30"/>
      <c r="D30"/>
      <c r="E30"/>
    </row>
    <row r="31" spans="2:5" ht="30" customHeight="1" x14ac:dyDescent="0.3">
      <c r="B31"/>
      <c r="C31"/>
      <c r="D31"/>
      <c r="E31"/>
    </row>
    <row r="32" spans="2:5" ht="30" customHeight="1" x14ac:dyDescent="0.3">
      <c r="B32"/>
      <c r="C32"/>
      <c r="D32"/>
      <c r="E32"/>
    </row>
    <row r="33" customFormat="1" ht="30" customHeight="1" x14ac:dyDescent="0.3"/>
    <row r="34" customFormat="1" ht="30" customHeight="1" x14ac:dyDescent="0.3"/>
    <row r="35" customFormat="1" ht="30" customHeight="1" x14ac:dyDescent="0.3"/>
    <row r="36" customFormat="1" ht="30" customHeight="1" x14ac:dyDescent="0.3"/>
    <row r="37" customFormat="1" ht="30" customHeight="1" x14ac:dyDescent="0.3"/>
    <row r="38" customFormat="1" ht="30" customHeight="1" x14ac:dyDescent="0.3"/>
    <row r="39" customFormat="1" ht="30" customHeight="1" x14ac:dyDescent="0.3"/>
    <row r="40" customFormat="1" ht="30" customHeight="1" x14ac:dyDescent="0.3"/>
    <row r="41" customFormat="1" ht="30" customHeight="1" x14ac:dyDescent="0.3"/>
    <row r="42" customFormat="1" ht="30" customHeight="1" x14ac:dyDescent="0.3"/>
    <row r="43" customFormat="1" ht="30" customHeight="1" x14ac:dyDescent="0.3"/>
    <row r="44" customFormat="1" ht="30" customHeight="1" x14ac:dyDescent="0.3"/>
    <row r="45" customFormat="1" ht="30" customHeight="1" x14ac:dyDescent="0.3"/>
    <row r="46" customFormat="1" ht="30" customHeight="1" x14ac:dyDescent="0.3"/>
    <row r="47" customFormat="1" ht="30" customHeight="1" x14ac:dyDescent="0.3"/>
    <row r="48" customFormat="1" ht="30" customHeight="1" x14ac:dyDescent="0.3"/>
    <row r="49" customFormat="1" ht="30" customHeight="1" x14ac:dyDescent="0.3"/>
    <row r="50" customFormat="1" ht="30" customHeight="1" x14ac:dyDescent="0.3"/>
    <row r="51" customFormat="1" ht="30" customHeight="1" x14ac:dyDescent="0.3"/>
    <row r="52" customFormat="1" ht="30" customHeight="1" x14ac:dyDescent="0.3"/>
    <row r="53" customFormat="1" ht="30" customHeight="1" x14ac:dyDescent="0.3"/>
    <row r="54" customFormat="1" ht="30" customHeight="1" x14ac:dyDescent="0.3"/>
    <row r="55" customFormat="1" ht="30" customHeight="1" x14ac:dyDescent="0.3"/>
    <row r="56" customFormat="1" ht="30" customHeight="1" x14ac:dyDescent="0.3"/>
    <row r="57" customFormat="1" ht="30" customHeight="1" x14ac:dyDescent="0.3"/>
    <row r="58" customFormat="1" ht="30" customHeight="1" x14ac:dyDescent="0.3"/>
    <row r="59" customFormat="1" ht="30" customHeight="1" x14ac:dyDescent="0.3"/>
    <row r="60" customFormat="1" ht="30" customHeight="1" x14ac:dyDescent="0.3"/>
    <row r="61" customFormat="1" ht="30" customHeight="1" x14ac:dyDescent="0.3"/>
    <row r="62" customFormat="1" ht="30" customHeight="1" x14ac:dyDescent="0.3"/>
    <row r="63" customFormat="1" ht="30" customHeight="1" x14ac:dyDescent="0.3"/>
    <row r="64" customFormat="1" ht="30" customHeight="1" x14ac:dyDescent="0.3"/>
    <row r="65" customFormat="1" ht="30" customHeight="1" x14ac:dyDescent="0.3"/>
    <row r="66" customFormat="1" ht="30" customHeight="1" x14ac:dyDescent="0.3"/>
    <row r="67" customFormat="1" ht="30" customHeight="1" x14ac:dyDescent="0.3"/>
    <row r="68" customFormat="1" ht="30" customHeight="1" x14ac:dyDescent="0.3"/>
    <row r="69" customFormat="1" ht="30" customHeight="1" x14ac:dyDescent="0.3"/>
    <row r="70" customFormat="1" ht="30" customHeight="1" x14ac:dyDescent="0.3"/>
    <row r="71" customFormat="1" ht="30" customHeight="1" x14ac:dyDescent="0.3"/>
    <row r="72" customFormat="1" ht="30" customHeight="1" x14ac:dyDescent="0.3"/>
    <row r="73" customFormat="1" ht="30" customHeight="1" x14ac:dyDescent="0.3"/>
    <row r="74" customFormat="1" ht="30" customHeight="1" x14ac:dyDescent="0.3"/>
    <row r="75" customFormat="1" ht="30" customHeight="1" x14ac:dyDescent="0.3"/>
    <row r="76" customFormat="1" ht="30" customHeight="1" x14ac:dyDescent="0.3"/>
    <row r="77" customFormat="1" ht="30" customHeight="1" x14ac:dyDescent="0.3"/>
    <row r="78" customFormat="1" ht="30" customHeight="1" x14ac:dyDescent="0.3"/>
    <row r="79" customFormat="1" ht="30" customHeight="1" x14ac:dyDescent="0.3"/>
    <row r="80" customFormat="1" ht="30" customHeight="1" x14ac:dyDescent="0.3"/>
    <row r="81" customFormat="1" ht="30" customHeight="1" x14ac:dyDescent="0.3"/>
    <row r="82" customFormat="1" ht="30" customHeight="1" x14ac:dyDescent="0.3"/>
    <row r="83" customFormat="1" ht="30" customHeight="1" x14ac:dyDescent="0.3"/>
    <row r="84" customFormat="1" ht="30" customHeight="1" x14ac:dyDescent="0.3"/>
    <row r="85" customFormat="1" ht="30" customHeight="1" x14ac:dyDescent="0.3"/>
    <row r="86" customFormat="1" ht="30" customHeight="1" x14ac:dyDescent="0.3"/>
    <row r="87" customFormat="1" ht="30" customHeight="1" x14ac:dyDescent="0.3"/>
    <row r="88" customFormat="1" ht="30" customHeight="1" x14ac:dyDescent="0.3"/>
    <row r="89" customFormat="1" ht="30" customHeight="1" x14ac:dyDescent="0.3"/>
    <row r="90" customFormat="1" ht="30" customHeight="1" x14ac:dyDescent="0.3"/>
    <row r="91" customFormat="1" ht="30" customHeight="1" x14ac:dyDescent="0.3"/>
    <row r="92" customFormat="1" ht="30" customHeight="1" x14ac:dyDescent="0.3"/>
    <row r="93" customFormat="1" ht="30" customHeight="1" x14ac:dyDescent="0.3"/>
    <row r="94" customFormat="1" ht="30" customHeight="1" x14ac:dyDescent="0.3"/>
    <row r="95" customFormat="1" ht="30" customHeight="1" x14ac:dyDescent="0.3"/>
    <row r="96" customFormat="1" ht="30" customHeight="1" x14ac:dyDescent="0.3"/>
    <row r="97" customFormat="1" ht="30" customHeight="1" x14ac:dyDescent="0.3"/>
    <row r="98" customFormat="1" ht="30" customHeight="1" x14ac:dyDescent="0.3"/>
    <row r="99" customFormat="1" ht="30" customHeight="1" x14ac:dyDescent="0.3"/>
    <row r="100" customFormat="1" ht="30" customHeight="1" x14ac:dyDescent="0.3"/>
    <row r="101" customFormat="1" ht="30" customHeight="1" x14ac:dyDescent="0.3"/>
    <row r="102" customFormat="1" ht="30" customHeight="1" x14ac:dyDescent="0.3"/>
    <row r="103" customFormat="1" ht="30" customHeight="1" x14ac:dyDescent="0.3"/>
    <row r="104" customFormat="1" ht="30" customHeight="1" x14ac:dyDescent="0.3"/>
    <row r="105" customFormat="1" ht="30" customHeight="1" x14ac:dyDescent="0.3"/>
    <row r="106" customFormat="1" ht="30" customHeight="1" x14ac:dyDescent="0.3"/>
    <row r="107" customFormat="1" ht="30" customHeight="1" x14ac:dyDescent="0.3"/>
    <row r="108" customFormat="1" ht="30" customHeight="1" x14ac:dyDescent="0.3"/>
    <row r="109" customFormat="1" ht="30" customHeight="1" x14ac:dyDescent="0.3"/>
    <row r="110" customFormat="1" ht="30" customHeight="1" x14ac:dyDescent="0.3"/>
    <row r="111" customFormat="1" ht="30" customHeight="1" x14ac:dyDescent="0.3"/>
    <row r="112" customFormat="1" ht="30" customHeight="1" x14ac:dyDescent="0.3"/>
    <row r="113" customFormat="1" ht="30" customHeight="1" x14ac:dyDescent="0.3"/>
    <row r="114" customFormat="1" ht="30" customHeight="1" x14ac:dyDescent="0.3"/>
    <row r="115" customFormat="1" ht="30" customHeight="1" x14ac:dyDescent="0.3"/>
    <row r="116" customFormat="1" ht="30" customHeight="1" x14ac:dyDescent="0.3"/>
    <row r="117" customFormat="1" ht="30" customHeight="1" x14ac:dyDescent="0.3"/>
    <row r="118" customFormat="1" ht="30" customHeight="1" x14ac:dyDescent="0.3"/>
    <row r="119" customFormat="1" ht="30" customHeight="1" x14ac:dyDescent="0.3"/>
    <row r="120" customFormat="1" ht="30" customHeight="1" x14ac:dyDescent="0.3"/>
    <row r="121" customFormat="1" ht="30" customHeight="1" x14ac:dyDescent="0.3"/>
    <row r="122" customFormat="1" ht="30" customHeight="1" x14ac:dyDescent="0.3"/>
    <row r="123" customFormat="1" ht="30" customHeight="1" x14ac:dyDescent="0.3"/>
    <row r="124" customFormat="1" ht="30" customHeight="1" x14ac:dyDescent="0.3"/>
    <row r="125" customFormat="1" ht="30" customHeight="1" x14ac:dyDescent="0.3"/>
    <row r="126" customFormat="1" ht="30" customHeight="1" x14ac:dyDescent="0.3"/>
    <row r="127" customFormat="1" ht="30" customHeight="1" x14ac:dyDescent="0.3"/>
    <row r="128" customFormat="1" ht="30" customHeight="1" x14ac:dyDescent="0.3"/>
    <row r="129" customFormat="1" ht="30" customHeight="1" x14ac:dyDescent="0.3"/>
    <row r="130" customFormat="1" ht="30" customHeight="1" x14ac:dyDescent="0.3"/>
    <row r="131" customFormat="1" ht="30" customHeight="1" x14ac:dyDescent="0.3"/>
    <row r="132" customFormat="1" ht="30" customHeight="1" x14ac:dyDescent="0.3"/>
    <row r="133" customFormat="1" ht="30" customHeight="1" x14ac:dyDescent="0.3"/>
    <row r="134" customFormat="1" ht="30" customHeight="1" x14ac:dyDescent="0.3"/>
    <row r="135" customFormat="1" ht="30" customHeight="1" x14ac:dyDescent="0.3"/>
    <row r="136" customFormat="1" ht="30" customHeight="1" x14ac:dyDescent="0.3"/>
    <row r="137" customFormat="1" ht="30" customHeight="1" x14ac:dyDescent="0.3"/>
    <row r="138" customFormat="1" ht="30" customHeight="1" x14ac:dyDescent="0.3"/>
    <row r="139" customFormat="1" ht="30" customHeight="1" x14ac:dyDescent="0.3"/>
    <row r="140" customFormat="1" ht="30" customHeight="1" x14ac:dyDescent="0.3"/>
    <row r="141" customFormat="1" ht="30" customHeight="1" x14ac:dyDescent="0.3"/>
    <row r="142" customFormat="1" ht="30" customHeight="1" x14ac:dyDescent="0.3"/>
    <row r="143" customFormat="1" ht="30" customHeight="1" x14ac:dyDescent="0.3"/>
    <row r="144" customFormat="1" ht="30" customHeight="1" x14ac:dyDescent="0.3"/>
    <row r="145" customFormat="1" ht="30" customHeight="1" x14ac:dyDescent="0.3"/>
    <row r="146" customFormat="1" ht="30" customHeight="1" x14ac:dyDescent="0.3"/>
    <row r="147" customFormat="1" ht="30" customHeight="1" x14ac:dyDescent="0.3"/>
    <row r="148" customFormat="1" ht="30" customHeight="1" x14ac:dyDescent="0.3"/>
    <row r="149" customFormat="1" ht="30" customHeight="1" x14ac:dyDescent="0.3"/>
    <row r="150" customFormat="1" ht="30" customHeight="1" x14ac:dyDescent="0.3"/>
    <row r="151" customFormat="1" ht="30" customHeight="1" x14ac:dyDescent="0.3"/>
    <row r="152" customFormat="1" ht="30" customHeight="1" x14ac:dyDescent="0.3"/>
    <row r="153" customFormat="1" ht="30" customHeight="1" x14ac:dyDescent="0.3"/>
    <row r="154" customFormat="1" ht="30" customHeight="1" x14ac:dyDescent="0.3"/>
    <row r="155" customFormat="1" ht="30" customHeight="1" x14ac:dyDescent="0.3"/>
    <row r="156" customFormat="1" ht="30" customHeight="1" x14ac:dyDescent="0.3"/>
    <row r="157" customFormat="1" ht="30" customHeight="1" x14ac:dyDescent="0.3"/>
    <row r="158" customFormat="1" ht="30" customHeight="1" x14ac:dyDescent="0.3"/>
    <row r="159" customFormat="1" ht="30" customHeight="1" x14ac:dyDescent="0.3"/>
    <row r="160" customFormat="1" ht="30" customHeight="1" x14ac:dyDescent="0.3"/>
    <row r="161" customFormat="1" ht="30" customHeight="1" x14ac:dyDescent="0.3"/>
    <row r="162" customFormat="1" ht="30" customHeight="1" x14ac:dyDescent="0.3"/>
    <row r="163" customFormat="1" ht="30" customHeight="1" x14ac:dyDescent="0.3"/>
    <row r="164" customFormat="1" ht="30" customHeight="1" x14ac:dyDescent="0.3"/>
    <row r="165" customFormat="1" ht="30" customHeight="1" x14ac:dyDescent="0.3"/>
    <row r="166" customFormat="1" ht="30" customHeight="1" x14ac:dyDescent="0.3"/>
    <row r="167" customFormat="1" ht="30" customHeight="1" x14ac:dyDescent="0.3"/>
    <row r="168" customFormat="1" ht="30" customHeight="1" x14ac:dyDescent="0.3"/>
    <row r="169" customFormat="1" ht="30" customHeight="1" x14ac:dyDescent="0.3"/>
    <row r="170" customFormat="1" ht="30" customHeight="1" x14ac:dyDescent="0.3"/>
    <row r="171" customFormat="1" ht="30" customHeight="1" x14ac:dyDescent="0.3"/>
    <row r="172" customFormat="1" ht="30" customHeight="1" x14ac:dyDescent="0.3"/>
    <row r="173" customFormat="1" ht="30" customHeight="1" x14ac:dyDescent="0.3"/>
    <row r="174" customFormat="1" ht="30" customHeight="1" x14ac:dyDescent="0.3"/>
    <row r="175" customFormat="1" ht="30" customHeight="1" x14ac:dyDescent="0.3"/>
    <row r="176" customFormat="1" ht="30" customHeight="1" x14ac:dyDescent="0.3"/>
    <row r="177" spans="2:5" ht="30" customHeight="1" x14ac:dyDescent="0.3">
      <c r="B177"/>
      <c r="C177"/>
      <c r="D177"/>
      <c r="E177"/>
    </row>
    <row r="178" spans="2:5" ht="30" customHeight="1" x14ac:dyDescent="0.3"/>
    <row r="179" spans="2:5" ht="30" customHeight="1" x14ac:dyDescent="0.3"/>
    <row r="180" spans="2:5" ht="30" customHeight="1" x14ac:dyDescent="0.3"/>
    <row r="181" spans="2:5" ht="30" customHeight="1" x14ac:dyDescent="0.3"/>
    <row r="182" spans="2:5" ht="30" customHeight="1" x14ac:dyDescent="0.3"/>
    <row r="183" spans="2:5" ht="30" customHeight="1" x14ac:dyDescent="0.3"/>
    <row r="184" spans="2:5" ht="30" customHeight="1" x14ac:dyDescent="0.3"/>
    <row r="185" spans="2:5" ht="30" customHeight="1" x14ac:dyDescent="0.3"/>
    <row r="186" spans="2:5" ht="30" customHeight="1" x14ac:dyDescent="0.3"/>
    <row r="187" spans="2:5" ht="30" customHeight="1" x14ac:dyDescent="0.3"/>
    <row r="188" spans="2:5" ht="30" customHeight="1" x14ac:dyDescent="0.3"/>
    <row r="189" spans="2:5" ht="30" customHeight="1" x14ac:dyDescent="0.3"/>
    <row r="190" spans="2:5" ht="30" customHeight="1" x14ac:dyDescent="0.3"/>
    <row r="191" spans="2:5" ht="30" customHeight="1" x14ac:dyDescent="0.3"/>
    <row r="192" spans="2:5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  <row r="202" ht="30" customHeight="1" x14ac:dyDescent="0.3"/>
    <row r="203" ht="30" customHeight="1" x14ac:dyDescent="0.3"/>
    <row r="204" ht="30" customHeight="1" x14ac:dyDescent="0.3"/>
    <row r="205" ht="30" customHeight="1" x14ac:dyDescent="0.3"/>
    <row r="206" ht="30" customHeight="1" x14ac:dyDescent="0.3"/>
    <row r="207" ht="30" customHeight="1" x14ac:dyDescent="0.3"/>
    <row r="208" ht="30" customHeight="1" x14ac:dyDescent="0.3"/>
    <row r="209" ht="30" customHeight="1" x14ac:dyDescent="0.3"/>
    <row r="210" ht="30" customHeight="1" x14ac:dyDescent="0.3"/>
    <row r="211" ht="30" customHeight="1" x14ac:dyDescent="0.3"/>
    <row r="212" ht="30" customHeight="1" x14ac:dyDescent="0.3"/>
    <row r="213" ht="30" customHeight="1" x14ac:dyDescent="0.3"/>
    <row r="214" ht="30" customHeight="1" x14ac:dyDescent="0.3"/>
    <row r="215" ht="30" customHeight="1" x14ac:dyDescent="0.3"/>
    <row r="216" ht="30" customHeight="1" x14ac:dyDescent="0.3"/>
    <row r="217" ht="30" customHeight="1" x14ac:dyDescent="0.3"/>
    <row r="218" ht="30" customHeight="1" x14ac:dyDescent="0.3"/>
    <row r="219" ht="30" customHeight="1" x14ac:dyDescent="0.3"/>
    <row r="220" ht="30" customHeight="1" x14ac:dyDescent="0.3"/>
    <row r="221" ht="30" customHeight="1" x14ac:dyDescent="0.3"/>
    <row r="222" ht="30" customHeight="1" x14ac:dyDescent="0.3"/>
    <row r="223" ht="30" customHeight="1" x14ac:dyDescent="0.3"/>
    <row r="224" ht="30" customHeight="1" x14ac:dyDescent="0.3"/>
    <row r="225" ht="30" customHeight="1" x14ac:dyDescent="0.3"/>
    <row r="226" ht="30" customHeight="1" x14ac:dyDescent="0.3"/>
    <row r="227" ht="30" customHeight="1" x14ac:dyDescent="0.3"/>
    <row r="228" ht="30" customHeight="1" x14ac:dyDescent="0.3"/>
    <row r="229" ht="30" customHeight="1" x14ac:dyDescent="0.3"/>
    <row r="230" ht="30" customHeight="1" x14ac:dyDescent="0.3"/>
    <row r="231" ht="30" customHeight="1" x14ac:dyDescent="0.3"/>
    <row r="232" ht="30" customHeight="1" x14ac:dyDescent="0.3"/>
    <row r="233" ht="30" customHeight="1" x14ac:dyDescent="0.3"/>
  </sheetData>
  <pageMargins left="0.511811024" right="0.511811024" top="0.78740157499999996" bottom="0.78740157499999996" header="0.31496062000000002" footer="0.31496062000000002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B1:C21"/>
  <sheetViews>
    <sheetView showGridLines="0" showRowColHeaders="0" zoomScale="150" zoomScaleNormal="150" workbookViewId="0">
      <selection activeCell="C20" sqref="C20"/>
    </sheetView>
  </sheetViews>
  <sheetFormatPr defaultRowHeight="14.4" x14ac:dyDescent="0.3"/>
  <cols>
    <col min="1" max="1" width="4.109375" customWidth="1"/>
    <col min="2" max="2" width="24.6640625" customWidth="1"/>
    <col min="3" max="3" width="46.33203125" customWidth="1"/>
  </cols>
  <sheetData>
    <row r="1" spans="2:3" ht="15.6" x14ac:dyDescent="0.3">
      <c r="B1" s="407" t="s">
        <v>99</v>
      </c>
      <c r="C1" s="407"/>
    </row>
    <row r="2" spans="2:3" ht="15.6" x14ac:dyDescent="0.3">
      <c r="B2" s="146"/>
      <c r="C2" s="146"/>
    </row>
    <row r="3" spans="2:3" x14ac:dyDescent="0.3">
      <c r="B3" s="408" t="s">
        <v>100</v>
      </c>
      <c r="C3" s="408"/>
    </row>
    <row r="4" spans="2:3" x14ac:dyDescent="0.3">
      <c r="B4" s="147"/>
      <c r="C4" s="148"/>
    </row>
    <row r="5" spans="2:3" x14ac:dyDescent="0.3">
      <c r="B5" s="149" t="s">
        <v>101</v>
      </c>
      <c r="C5" s="150"/>
    </row>
    <row r="6" spans="2:3" x14ac:dyDescent="0.3">
      <c r="B6" s="149"/>
      <c r="C6" s="151"/>
    </row>
    <row r="7" spans="2:3" x14ac:dyDescent="0.3">
      <c r="B7" s="149" t="s">
        <v>102</v>
      </c>
      <c r="C7" s="150"/>
    </row>
    <row r="8" spans="2:3" x14ac:dyDescent="0.3">
      <c r="B8" s="149"/>
      <c r="C8" s="148"/>
    </row>
    <row r="9" spans="2:3" x14ac:dyDescent="0.3">
      <c r="B9" s="149" t="s">
        <v>103</v>
      </c>
      <c r="C9" s="150"/>
    </row>
    <row r="10" spans="2:3" x14ac:dyDescent="0.3">
      <c r="B10" s="149"/>
      <c r="C10" s="148"/>
    </row>
    <row r="11" spans="2:3" x14ac:dyDescent="0.3">
      <c r="B11" s="149" t="s">
        <v>104</v>
      </c>
      <c r="C11" s="150"/>
    </row>
    <row r="12" spans="2:3" x14ac:dyDescent="0.3">
      <c r="B12" s="149"/>
      <c r="C12" s="148"/>
    </row>
    <row r="13" spans="2:3" x14ac:dyDescent="0.3">
      <c r="B13" s="149" t="s">
        <v>105</v>
      </c>
      <c r="C13" s="152"/>
    </row>
    <row r="14" spans="2:3" x14ac:dyDescent="0.3">
      <c r="B14" s="149"/>
      <c r="C14" s="148"/>
    </row>
    <row r="15" spans="2:3" x14ac:dyDescent="0.3">
      <c r="B15" s="149" t="s">
        <v>106</v>
      </c>
      <c r="C15" s="150"/>
    </row>
    <row r="16" spans="2:3" x14ac:dyDescent="0.3">
      <c r="B16" s="149"/>
      <c r="C16" s="148"/>
    </row>
    <row r="17" spans="2:3" x14ac:dyDescent="0.3">
      <c r="B17" s="149" t="s">
        <v>107</v>
      </c>
      <c r="C17" s="150" t="s">
        <v>108</v>
      </c>
    </row>
    <row r="18" spans="2:3" x14ac:dyDescent="0.3">
      <c r="C18" s="153"/>
    </row>
    <row r="19" spans="2:3" x14ac:dyDescent="0.3">
      <c r="B19" s="149" t="s">
        <v>109</v>
      </c>
      <c r="C19" s="370">
        <f>(0.05+0.0308+0.05+0.02)</f>
        <v>0.15080000000000002</v>
      </c>
    </row>
    <row r="21" spans="2:3" x14ac:dyDescent="0.3">
      <c r="B21" s="409" t="s">
        <v>110</v>
      </c>
      <c r="C21" s="409"/>
    </row>
  </sheetData>
  <mergeCells count="3">
    <mergeCell ref="B1:C1"/>
    <mergeCell ref="B3:C3"/>
    <mergeCell ref="B21:C21"/>
  </mergeCells>
  <dataValidations disablePrompts="1" count="1">
    <dataValidation type="list" allowBlank="1" showInputMessage="1" showErrorMessage="1" sqref="C17" xr:uid="{00000000-0002-0000-0300-000000000000}">
      <formula1>"Preço Unitário"</formula1>
    </dataValidation>
  </dataValidations>
  <hyperlinks>
    <hyperlink ref="B21:C21" location="'ORGANOGRAMA CÓDIGO'!A1" display="ORGANOGRAMA CÓDIGOS DAS OBRAS" xr:uid="{00000000-0004-0000-0300-000000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9"/>
  <dimension ref="B1:Q2"/>
  <sheetViews>
    <sheetView showGridLines="0" showRowColHeaders="0" zoomScaleNormal="100" zoomScaleSheetLayoutView="150" workbookViewId="0"/>
  </sheetViews>
  <sheetFormatPr defaultRowHeight="14.4" x14ac:dyDescent="0.3"/>
  <cols>
    <col min="1" max="1" width="3.88671875" customWidth="1"/>
    <col min="2" max="2" width="7.109375" customWidth="1"/>
    <col min="3" max="3" width="24.6640625" customWidth="1"/>
    <col min="4" max="4" width="46.33203125" customWidth="1"/>
  </cols>
  <sheetData>
    <row r="1" spans="2:17" ht="14.4" customHeight="1" x14ac:dyDescent="0.3">
      <c r="B1" s="410" t="s">
        <v>110</v>
      </c>
      <c r="C1" s="410"/>
      <c r="D1" s="410"/>
      <c r="E1" s="410"/>
      <c r="F1" s="410"/>
      <c r="G1" s="410"/>
      <c r="H1" s="410"/>
      <c r="I1" s="410"/>
      <c r="J1" s="410"/>
      <c r="K1" s="410"/>
      <c r="L1" s="410"/>
      <c r="M1" s="410"/>
      <c r="N1" s="410"/>
      <c r="O1" s="410"/>
      <c r="P1" s="410"/>
      <c r="Q1" s="410"/>
    </row>
    <row r="2" spans="2:17" ht="14.4" customHeight="1" x14ac:dyDescent="0.3">
      <c r="B2" s="411"/>
      <c r="C2" s="411"/>
      <c r="D2" s="411"/>
      <c r="E2" s="411"/>
      <c r="F2" s="411"/>
      <c r="G2" s="411"/>
      <c r="H2" s="411"/>
      <c r="I2" s="411"/>
      <c r="J2" s="411"/>
      <c r="K2" s="411"/>
      <c r="L2" s="411"/>
      <c r="M2" s="411"/>
      <c r="N2" s="411"/>
      <c r="O2" s="411"/>
      <c r="P2" s="411"/>
      <c r="Q2" s="411"/>
    </row>
  </sheetData>
  <mergeCells count="1">
    <mergeCell ref="B1:Q2"/>
  </mergeCells>
  <pageMargins left="0.51181102362204722" right="0.51181102362204722" top="0.78740157480314965" bottom="0.78740157480314965" header="0.31496062992125984" footer="0.31496062992125984"/>
  <pageSetup paperSize="9" scale="68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 filterMode="1"/>
  <dimension ref="A1:X592"/>
  <sheetViews>
    <sheetView showGridLines="0" zoomScale="70" zoomScaleNormal="70" workbookViewId="0">
      <pane xSplit="11" ySplit="3" topLeftCell="L4" activePane="bottomRight" state="frozen"/>
      <selection pane="topRight" activeCell="L1" sqref="L1"/>
      <selection pane="bottomLeft" activeCell="A4" sqref="A4"/>
      <selection pane="bottomRight" activeCell="F171" sqref="F171"/>
    </sheetView>
  </sheetViews>
  <sheetFormatPr defaultColWidth="9.109375" defaultRowHeight="14.4" x14ac:dyDescent="0.3"/>
  <cols>
    <col min="1" max="1" width="2.33203125" style="144" customWidth="1"/>
    <col min="2" max="2" width="3.109375" style="144" customWidth="1"/>
    <col min="3" max="3" width="13.5546875" customWidth="1"/>
    <col min="4" max="4" width="49.44140625" style="131" customWidth="1"/>
    <col min="5" max="5" width="5.44140625" customWidth="1"/>
    <col min="6" max="6" width="11.33203125" bestFit="1" customWidth="1"/>
    <col min="7" max="7" width="10.44140625" customWidth="1"/>
    <col min="8" max="8" width="9.88671875" customWidth="1"/>
    <col min="9" max="9" width="11.33203125" bestFit="1" customWidth="1"/>
    <col min="10" max="10" width="11.44140625" customWidth="1"/>
    <col min="11" max="11" width="8.88671875" customWidth="1"/>
    <col min="12" max="12" width="11.44140625" customWidth="1"/>
    <col min="13" max="13" width="11.33203125" customWidth="1"/>
    <col min="14" max="14" width="12.33203125" bestFit="1" customWidth="1"/>
    <col min="15" max="24" width="11.33203125" customWidth="1"/>
  </cols>
  <sheetData>
    <row r="1" spans="1:24" ht="14.4" customHeight="1" x14ac:dyDescent="0.3">
      <c r="C1" s="137"/>
      <c r="D1" s="137"/>
      <c r="E1" s="137"/>
      <c r="F1" s="138"/>
      <c r="G1" s="138"/>
      <c r="H1" s="138"/>
      <c r="I1" s="138"/>
      <c r="J1" s="139"/>
    </row>
    <row r="2" spans="1:24" ht="27" customHeight="1" x14ac:dyDescent="0.3">
      <c r="C2" s="140"/>
      <c r="D2" s="143" t="s">
        <v>4</v>
      </c>
      <c r="E2" s="140"/>
      <c r="F2" s="141"/>
      <c r="G2" s="141"/>
      <c r="H2" s="141"/>
      <c r="I2" s="141"/>
      <c r="J2" s="142"/>
    </row>
    <row r="3" spans="1:24" ht="12.75" customHeight="1" x14ac:dyDescent="0.3">
      <c r="C3" s="94" t="s">
        <v>111</v>
      </c>
      <c r="D3" s="95" t="s">
        <v>112</v>
      </c>
      <c r="E3" s="94" t="s">
        <v>113</v>
      </c>
      <c r="F3" s="94" t="s">
        <v>114</v>
      </c>
      <c r="G3" s="94" t="s">
        <v>115</v>
      </c>
      <c r="H3" s="94" t="s">
        <v>116</v>
      </c>
      <c r="I3" s="94" t="s">
        <v>117</v>
      </c>
      <c r="J3" s="94" t="s">
        <v>118</v>
      </c>
      <c r="K3" s="96" t="s">
        <v>119</v>
      </c>
      <c r="L3" s="97" t="s">
        <v>120</v>
      </c>
      <c r="M3" s="98">
        <v>44927</v>
      </c>
      <c r="N3" s="98">
        <v>44958</v>
      </c>
      <c r="O3" s="98">
        <v>44986</v>
      </c>
      <c r="P3" s="98">
        <v>45017</v>
      </c>
      <c r="Q3" s="98">
        <v>45047</v>
      </c>
      <c r="R3" s="98">
        <v>45078</v>
      </c>
      <c r="S3" s="98">
        <v>45108</v>
      </c>
      <c r="T3" s="98">
        <v>45139</v>
      </c>
      <c r="U3" s="98">
        <v>45170</v>
      </c>
      <c r="V3" s="98">
        <v>45200</v>
      </c>
      <c r="W3" s="98">
        <v>45231</v>
      </c>
      <c r="X3" s="98">
        <v>45261</v>
      </c>
    </row>
    <row r="4" spans="1:24" ht="30" customHeight="1" x14ac:dyDescent="0.3">
      <c r="A4" s="144" t="str">
        <f>IF(LEN(C4)=3,1,"")</f>
        <v/>
      </c>
      <c r="C4" s="99">
        <v>1</v>
      </c>
      <c r="D4" s="100" t="s">
        <v>121</v>
      </c>
      <c r="E4" s="101"/>
      <c r="F4" s="102">
        <v>1</v>
      </c>
      <c r="G4" s="102"/>
      <c r="H4" s="102"/>
      <c r="I4" s="102">
        <f>IF($E4&lt;&gt;"",$F4*G4,SUMIFS(I5:I$9909,$C5:$C$9909,"*"&amp;$C4&amp;"*",$E5:$E$9909,"&lt;&gt;"))</f>
        <v>0</v>
      </c>
      <c r="J4" s="102">
        <f>IF($E4&lt;&gt;"",$F4*H4,SUMIFS(J5:J$9909,$C5:$C$9909,"*"&amp;$C4&amp;"*",$E5:$E$9909,"&lt;&gt;"))</f>
        <v>1059620.6621999999</v>
      </c>
      <c r="K4" s="103">
        <f>IF(I4&gt;0,(I4-J4-I4*PARAMETROS!$C$19)/I4,0)</f>
        <v>0</v>
      </c>
      <c r="L4" s="104" t="s">
        <v>122</v>
      </c>
      <c r="M4" s="105"/>
      <c r="N4" s="102"/>
      <c r="O4" s="105"/>
      <c r="P4" s="105"/>
      <c r="Q4" s="105"/>
      <c r="R4" s="105"/>
      <c r="S4" s="105"/>
      <c r="T4" s="105"/>
      <c r="U4" s="105"/>
      <c r="V4" s="105"/>
      <c r="W4" s="105"/>
      <c r="X4" s="105"/>
    </row>
    <row r="5" spans="1:24" ht="15.75" customHeight="1" x14ac:dyDescent="0.3">
      <c r="A5" s="144" t="str">
        <f t="shared" ref="A5:A48" si="0">IF(LEN(C5)=3,1,"")</f>
        <v/>
      </c>
      <c r="C5" s="357" t="s">
        <v>123</v>
      </c>
      <c r="D5" s="358" t="s">
        <v>124</v>
      </c>
      <c r="E5" s="359"/>
      <c r="F5" s="360"/>
      <c r="G5" s="360"/>
      <c r="H5" s="360"/>
      <c r="I5" s="360">
        <f>IF(E5&lt;&gt;"",F5*G5,SUMIFS(I6:I$9909,$C6:$C$9909,"*"&amp;C5&amp;"*",$E6:$E$9909,"&lt;&gt;"))</f>
        <v>0</v>
      </c>
      <c r="J5" s="360">
        <f>IF($E5&lt;&gt;"",$F5*H5,SUMIFS(J6:J$9909,$C6:$C$9909,"*"&amp;$C5&amp;"*",$E6:$E$9909,"&lt;&gt;"))</f>
        <v>277390.83199999999</v>
      </c>
      <c r="K5" s="128">
        <f>IF(I5&gt;0,(I5-J5-I5*PARAMETROS!$C$19)/I5,0)</f>
        <v>0</v>
      </c>
      <c r="L5" s="104" t="s">
        <v>122</v>
      </c>
      <c r="M5" s="105"/>
      <c r="N5" s="109"/>
      <c r="O5" s="105"/>
      <c r="P5" s="105"/>
      <c r="Q5" s="105"/>
      <c r="R5" s="105"/>
      <c r="S5" s="105"/>
      <c r="T5" s="105"/>
      <c r="U5" s="105"/>
      <c r="V5" s="105"/>
      <c r="W5" s="105"/>
      <c r="X5" s="105"/>
    </row>
    <row r="6" spans="1:24" ht="15.75" customHeight="1" x14ac:dyDescent="0.3">
      <c r="A6" s="144" t="str">
        <f t="shared" si="0"/>
        <v/>
      </c>
      <c r="C6" s="106" t="s">
        <v>45</v>
      </c>
      <c r="D6" s="107" t="s">
        <v>125</v>
      </c>
      <c r="E6" s="108"/>
      <c r="F6" s="109"/>
      <c r="G6" s="109"/>
      <c r="H6" s="109"/>
      <c r="I6" s="109">
        <f>IF(E6&lt;&gt;"",F6*G6,SUMIFS(I7:I$9909,$C7:$C$9909,"*"&amp;C6&amp;"*",$E7:$E$9909,"&lt;&gt;"))</f>
        <v>0</v>
      </c>
      <c r="J6" s="109">
        <f>IF($E6&lt;&gt;"",$F6*H6,SUMIFS(J7:J$9909,$C7:$C$9909,"*"&amp;$C6&amp;"*",$E7:$E$9909,"&lt;&gt;"))</f>
        <v>241840.83199999999</v>
      </c>
      <c r="K6" s="103">
        <f>IF(I6&gt;0,(I6-J6-I6*PARAMETROS!$C$19)/I6,0)</f>
        <v>0</v>
      </c>
      <c r="L6" s="104" t="s">
        <v>41</v>
      </c>
      <c r="M6" s="105"/>
      <c r="N6" s="109"/>
      <c r="O6" s="105"/>
      <c r="P6" s="105"/>
      <c r="Q6" s="105"/>
      <c r="R6" s="105"/>
      <c r="S6" s="105"/>
      <c r="T6" s="105"/>
      <c r="U6" s="105"/>
      <c r="V6" s="105"/>
      <c r="W6" s="105"/>
      <c r="X6" s="105"/>
    </row>
    <row r="7" spans="1:24" ht="15.75" hidden="1" customHeight="1" x14ac:dyDescent="0.3">
      <c r="A7" s="144" t="str">
        <f t="shared" si="0"/>
        <v/>
      </c>
      <c r="B7" s="145"/>
      <c r="C7" s="110" t="s">
        <v>126</v>
      </c>
      <c r="D7" s="111" t="s">
        <v>127</v>
      </c>
      <c r="E7" s="111" t="s">
        <v>128</v>
      </c>
      <c r="F7" s="112"/>
      <c r="G7" s="112">
        <v>0</v>
      </c>
      <c r="H7" s="112">
        <v>47000</v>
      </c>
      <c r="I7" s="112">
        <f>IF(E7&lt;&gt;"",F7*G7,SUMIFS(I8:I$9909,$C8:$C$9909,"*"&amp;C7&amp;"*",$E8:$E$9909,"&lt;&gt;"))</f>
        <v>0</v>
      </c>
      <c r="J7" s="112">
        <f>IF($E7&lt;&gt;"",$F7*H7,SUMIFS(J8:J$9909,$C8:$C$9909,"*"&amp;$C7&amp;"*",$E8:$E$9909,"&lt;&gt;"))</f>
        <v>0</v>
      </c>
      <c r="K7" s="103">
        <f>IF(I7&gt;0,(I7-J7-I7*PARAMETROS!$C$19)/I7,0)</f>
        <v>0</v>
      </c>
      <c r="L7" s="104"/>
      <c r="M7" s="105"/>
      <c r="N7" s="112"/>
      <c r="O7" s="105"/>
      <c r="P7" s="105"/>
      <c r="Q7" s="105"/>
      <c r="R7" s="105"/>
      <c r="S7" s="105"/>
      <c r="T7" s="105"/>
      <c r="U7" s="105"/>
      <c r="V7" s="105"/>
      <c r="W7" s="105"/>
      <c r="X7" s="105">
        <v>0.5</v>
      </c>
    </row>
    <row r="8" spans="1:24" ht="15.75" customHeight="1" x14ac:dyDescent="0.3">
      <c r="A8" s="144" t="str">
        <f t="shared" si="0"/>
        <v/>
      </c>
      <c r="B8" s="145"/>
      <c r="C8" s="110" t="s">
        <v>129</v>
      </c>
      <c r="D8" s="111" t="s">
        <v>130</v>
      </c>
      <c r="E8" s="111" t="s">
        <v>128</v>
      </c>
      <c r="F8" s="112">
        <v>1</v>
      </c>
      <c r="G8" s="112">
        <v>0</v>
      </c>
      <c r="H8" s="112">
        <v>43000</v>
      </c>
      <c r="I8" s="112">
        <f>IF(E8&lt;&gt;"",F8*G8,SUMIFS(I9:I$9909,$C9:$C$9909,"*"&amp;C8&amp;"*",$E9:$E$9909,"&lt;&gt;"))</f>
        <v>0</v>
      </c>
      <c r="J8" s="112">
        <f>IF($E8&lt;&gt;"",$F8*H8,SUMIFS(J9:J$9909,$C9:$C$9909,"*"&amp;$C8&amp;"*",$E9:$E$9909,"&lt;&gt;"))</f>
        <v>43000</v>
      </c>
      <c r="K8" s="103">
        <f>IF(I8&gt;0,(I8-J8-I8*PARAMETROS!$C$19)/I8,0)</f>
        <v>0</v>
      </c>
      <c r="L8" s="104"/>
      <c r="M8" s="105"/>
      <c r="N8" s="112"/>
      <c r="O8" s="105"/>
      <c r="P8" s="105"/>
      <c r="Q8" s="105"/>
      <c r="R8" s="105"/>
      <c r="S8" s="105"/>
      <c r="T8" s="105"/>
      <c r="U8" s="105"/>
      <c r="V8" s="105"/>
      <c r="W8" s="105"/>
      <c r="X8" s="105">
        <v>1</v>
      </c>
    </row>
    <row r="9" spans="1:24" ht="15.75" hidden="1" customHeight="1" x14ac:dyDescent="0.3">
      <c r="A9" s="144" t="str">
        <f t="shared" si="0"/>
        <v/>
      </c>
      <c r="B9" s="145"/>
      <c r="C9" s="110" t="s">
        <v>131</v>
      </c>
      <c r="D9" s="111" t="s">
        <v>132</v>
      </c>
      <c r="E9" s="111" t="s">
        <v>128</v>
      </c>
      <c r="F9" s="112"/>
      <c r="G9" s="112">
        <v>0</v>
      </c>
      <c r="H9" s="112">
        <v>33400</v>
      </c>
      <c r="I9" s="112">
        <f>IF(E9&lt;&gt;"",F9*G9,SUMIFS(I10:I$9909,$C10:$C$9909,"*"&amp;C9&amp;"*",$E10:$E$9909,"&lt;&gt;"))</f>
        <v>0</v>
      </c>
      <c r="J9" s="112">
        <f>IF($E9&lt;&gt;"",$F9*H9,SUMIFS(J10:J$9909,$C10:$C$9909,"*"&amp;$C9&amp;"*",$E10:$E$9909,"&lt;&gt;"))</f>
        <v>0</v>
      </c>
      <c r="K9" s="103">
        <f>IF(I9&gt;0,(I9-J9-I9*PARAMETROS!$C$19)/I9,0)</f>
        <v>0</v>
      </c>
      <c r="L9" s="104"/>
      <c r="M9" s="105"/>
      <c r="N9" s="112"/>
      <c r="O9" s="105"/>
      <c r="P9" s="105"/>
      <c r="Q9" s="105"/>
      <c r="R9" s="105"/>
      <c r="S9" s="105"/>
      <c r="T9" s="105"/>
      <c r="U9" s="105"/>
      <c r="V9" s="105"/>
      <c r="W9" s="105"/>
      <c r="X9" s="105">
        <v>0</v>
      </c>
    </row>
    <row r="10" spans="1:24" ht="15.75" customHeight="1" x14ac:dyDescent="0.3">
      <c r="A10" s="144" t="str">
        <f t="shared" si="0"/>
        <v/>
      </c>
      <c r="B10" s="145"/>
      <c r="C10" s="110" t="s">
        <v>133</v>
      </c>
      <c r="D10" s="111" t="s">
        <v>134</v>
      </c>
      <c r="E10" s="111" t="s">
        <v>128</v>
      </c>
      <c r="F10" s="112">
        <v>1</v>
      </c>
      <c r="G10" s="112">
        <v>0</v>
      </c>
      <c r="H10" s="112">
        <v>21180</v>
      </c>
      <c r="I10" s="112">
        <f>IF(E10&lt;&gt;"",F10*G10,SUMIFS(I11:I$9909,$C11:$C$9909,"*"&amp;C10&amp;"*",$E11:$E$9909,"&lt;&gt;"))</f>
        <v>0</v>
      </c>
      <c r="J10" s="112">
        <f>IF($E10&lt;&gt;"",$F10*H10,SUMIFS(J11:J$9909,$C11:$C$9909,"*"&amp;$C10&amp;"*",$E11:$E$9909,"&lt;&gt;"))</f>
        <v>21180</v>
      </c>
      <c r="K10" s="103">
        <f>IF(I10&gt;0,(I10-J10-I10*PARAMETROS!$C$19)/I10,0)</f>
        <v>0</v>
      </c>
      <c r="L10" s="104"/>
      <c r="M10" s="105"/>
      <c r="N10" s="112"/>
      <c r="O10" s="105"/>
      <c r="P10" s="105"/>
      <c r="Q10" s="105"/>
      <c r="R10" s="105"/>
      <c r="S10" s="105"/>
      <c r="T10" s="105"/>
      <c r="U10" s="105"/>
      <c r="V10" s="105"/>
      <c r="W10" s="105"/>
      <c r="X10" s="105">
        <v>1</v>
      </c>
    </row>
    <row r="11" spans="1:24" ht="15.75" customHeight="1" x14ac:dyDescent="0.3">
      <c r="A11" s="144" t="str">
        <f t="shared" si="0"/>
        <v/>
      </c>
      <c r="B11" s="145"/>
      <c r="C11" s="110" t="s">
        <v>135</v>
      </c>
      <c r="D11" s="111" t="s">
        <v>136</v>
      </c>
      <c r="E11" s="111" t="s">
        <v>128</v>
      </c>
      <c r="F11" s="112">
        <v>1</v>
      </c>
      <c r="G11" s="112">
        <v>0</v>
      </c>
      <c r="H11" s="112">
        <v>18000</v>
      </c>
      <c r="I11" s="112">
        <f>IF(E11&lt;&gt;"",F11*G11,SUMIFS(I12:I$9909,$C12:$C$9909,"*"&amp;C11&amp;"*",$E12:$E$9909,"&lt;&gt;"))</f>
        <v>0</v>
      </c>
      <c r="J11" s="112">
        <f>IF($E11&lt;&gt;"",$F11*H11,SUMIFS(J12:J$9909,$C12:$C$9909,"*"&amp;$C11&amp;"*",$E12:$E$9909,"&lt;&gt;"))</f>
        <v>18000</v>
      </c>
      <c r="K11" s="103">
        <f>IF(I11&gt;0,(I11-J11-I11*PARAMETROS!$C$19)/I11,0)</f>
        <v>0</v>
      </c>
      <c r="L11" s="104"/>
      <c r="M11" s="105"/>
      <c r="N11" s="112"/>
      <c r="O11" s="105"/>
      <c r="P11" s="105"/>
      <c r="Q11" s="105"/>
      <c r="R11" s="105"/>
      <c r="S11" s="105"/>
      <c r="T11" s="105"/>
      <c r="U11" s="105"/>
      <c r="V11" s="105"/>
      <c r="W11" s="105"/>
      <c r="X11" s="105">
        <v>0</v>
      </c>
    </row>
    <row r="12" spans="1:24" ht="15.75" customHeight="1" x14ac:dyDescent="0.3">
      <c r="A12" s="144" t="str">
        <f t="shared" si="0"/>
        <v/>
      </c>
      <c r="B12" s="145"/>
      <c r="C12" s="110" t="s">
        <v>137</v>
      </c>
      <c r="D12" s="111" t="s">
        <v>138</v>
      </c>
      <c r="E12" s="111" t="s">
        <v>128</v>
      </c>
      <c r="F12" s="112">
        <v>1</v>
      </c>
      <c r="G12" s="112">
        <v>0</v>
      </c>
      <c r="H12" s="112">
        <v>19000</v>
      </c>
      <c r="I12" s="112">
        <f>IF(E12&lt;&gt;"",F12*G12,SUMIFS(I13:I$9909,$C13:$C$9909,"*"&amp;C12&amp;"*",$E13:$E$9909,"&lt;&gt;"))</f>
        <v>0</v>
      </c>
      <c r="J12" s="112">
        <f>IF($E12&lt;&gt;"",$F12*H12,SUMIFS(J13:J$9909,$C13:$C$9909,"*"&amp;$C12&amp;"*",$E13:$E$9909,"&lt;&gt;"))</f>
        <v>19000</v>
      </c>
      <c r="K12" s="103">
        <f>IF(I12&gt;0,(I12-J12-I12*PARAMETROS!$C$19)/I12,0)</f>
        <v>0</v>
      </c>
      <c r="L12" s="104"/>
      <c r="M12" s="105"/>
      <c r="N12" s="112"/>
      <c r="O12" s="105"/>
      <c r="P12" s="105"/>
      <c r="Q12" s="105"/>
      <c r="R12" s="105"/>
      <c r="S12" s="105"/>
      <c r="T12" s="105"/>
      <c r="U12" s="105"/>
      <c r="V12" s="105"/>
      <c r="W12" s="105"/>
      <c r="X12" s="105">
        <v>1</v>
      </c>
    </row>
    <row r="13" spans="1:24" ht="15.75" customHeight="1" x14ac:dyDescent="0.3">
      <c r="A13" s="144" t="str">
        <f t="shared" si="0"/>
        <v/>
      </c>
      <c r="B13" s="145"/>
      <c r="C13" s="110" t="s">
        <v>139</v>
      </c>
      <c r="D13" s="111" t="s">
        <v>140</v>
      </c>
      <c r="E13" s="111" t="s">
        <v>128</v>
      </c>
      <c r="F13" s="112">
        <v>1</v>
      </c>
      <c r="G13" s="112">
        <v>0</v>
      </c>
      <c r="H13" s="112">
        <v>21180</v>
      </c>
      <c r="I13" s="112">
        <f>IF(E13&lt;&gt;"",F13*G13,SUMIFS(I14:I$9909,$C14:$C$9909,"*"&amp;C13&amp;"*",$E14:$E$9909,"&lt;&gt;"))</f>
        <v>0</v>
      </c>
      <c r="J13" s="112">
        <f>IF($E13&lt;&gt;"",$F13*H13,SUMIFS(J14:J$9909,$C14:$C$9909,"*"&amp;$C13&amp;"*",$E14:$E$9909,"&lt;&gt;"))</f>
        <v>21180</v>
      </c>
      <c r="K13" s="103">
        <f>IF(I13&gt;0,(I13-J13-I13*PARAMETROS!$C$19)/I13,0)</f>
        <v>0</v>
      </c>
      <c r="L13" s="104"/>
      <c r="M13" s="105"/>
      <c r="N13" s="112"/>
      <c r="O13" s="105"/>
      <c r="P13" s="105"/>
      <c r="Q13" s="105"/>
      <c r="R13" s="105"/>
      <c r="S13" s="105"/>
      <c r="T13" s="105"/>
      <c r="U13" s="105"/>
      <c r="V13" s="105"/>
      <c r="W13" s="105"/>
      <c r="X13" s="105">
        <v>2</v>
      </c>
    </row>
    <row r="14" spans="1:24" ht="15.75" hidden="1" customHeight="1" x14ac:dyDescent="0.3">
      <c r="A14" s="144" t="str">
        <f t="shared" si="0"/>
        <v/>
      </c>
      <c r="B14" s="145"/>
      <c r="C14" s="110" t="s">
        <v>141</v>
      </c>
      <c r="D14" s="111" t="s">
        <v>142</v>
      </c>
      <c r="E14" s="111" t="s">
        <v>128</v>
      </c>
      <c r="F14" s="112"/>
      <c r="G14" s="112">
        <v>0</v>
      </c>
      <c r="H14" s="112">
        <v>20000</v>
      </c>
      <c r="I14" s="112">
        <f>IF(E14&lt;&gt;"",F14*G14,SUMIFS(I15:I$9909,$C15:$C$9909,"*"&amp;C14&amp;"*",$E15:$E$9909,"&lt;&gt;"))</f>
        <v>0</v>
      </c>
      <c r="J14" s="112">
        <f>IF($E14&lt;&gt;"",$F14*H14,SUMIFS(J15:J$9909,$C15:$C$9909,"*"&amp;$C14&amp;"*",$E15:$E$9909,"&lt;&gt;"))</f>
        <v>0</v>
      </c>
      <c r="K14" s="103">
        <f>IF(I14&gt;0,(I14-J14-I14*PARAMETROS!$C$19)/I14,0)</f>
        <v>0</v>
      </c>
      <c r="L14" s="104"/>
      <c r="M14" s="105"/>
      <c r="N14" s="112"/>
      <c r="O14" s="105"/>
      <c r="P14" s="105"/>
      <c r="Q14" s="105"/>
      <c r="R14" s="105"/>
      <c r="S14" s="105"/>
      <c r="T14" s="105"/>
      <c r="U14" s="105"/>
      <c r="V14" s="105"/>
      <c r="W14" s="105"/>
      <c r="X14" s="105">
        <v>0</v>
      </c>
    </row>
    <row r="15" spans="1:24" ht="15.75" customHeight="1" x14ac:dyDescent="0.3">
      <c r="A15" s="144" t="str">
        <f t="shared" si="0"/>
        <v/>
      </c>
      <c r="B15" s="145"/>
      <c r="C15" s="110" t="s">
        <v>143</v>
      </c>
      <c r="D15" s="111" t="s">
        <v>144</v>
      </c>
      <c r="E15" s="111" t="s">
        <v>128</v>
      </c>
      <c r="F15" s="112">
        <v>1</v>
      </c>
      <c r="G15" s="112">
        <v>0</v>
      </c>
      <c r="H15" s="112">
        <f>6500*1.4*1.8</f>
        <v>16380</v>
      </c>
      <c r="I15" s="112">
        <f>IF(E15&lt;&gt;"",F15*G15,SUMIFS(I24:I$9909,$C24:$C$9909,"*"&amp;C15&amp;"*",$E24:$E$9909,"&lt;&gt;"))</f>
        <v>0</v>
      </c>
      <c r="J15" s="112">
        <f>IF($E15&lt;&gt;"",$F15*H15,SUMIFS(J24:J$9909,$C24:$C$9909,"*"&amp;$C15&amp;"*",$E24:$E$9909,"&lt;&gt;"))</f>
        <v>16380</v>
      </c>
      <c r="K15" s="103">
        <f>IF(I15&gt;0,(I15-J15-I15*PARAMETROS!$C$19)/I15,0)</f>
        <v>0</v>
      </c>
      <c r="L15" s="104"/>
      <c r="M15" s="105"/>
      <c r="N15" s="109"/>
      <c r="O15" s="105"/>
      <c r="P15" s="105"/>
      <c r="Q15" s="105"/>
      <c r="R15" s="105"/>
      <c r="S15" s="105"/>
      <c r="T15" s="105"/>
      <c r="U15" s="105"/>
      <c r="V15" s="105"/>
      <c r="W15" s="105"/>
      <c r="X15" s="105">
        <v>2</v>
      </c>
    </row>
    <row r="16" spans="1:24" ht="15.75" customHeight="1" x14ac:dyDescent="0.3">
      <c r="A16" s="144" t="str">
        <f t="shared" si="0"/>
        <v/>
      </c>
      <c r="B16" s="145"/>
      <c r="C16" s="110" t="s">
        <v>145</v>
      </c>
      <c r="D16" s="111" t="s">
        <v>146</v>
      </c>
      <c r="E16" s="111" t="s">
        <v>128</v>
      </c>
      <c r="F16" s="112">
        <v>1</v>
      </c>
      <c r="G16" s="112">
        <v>0</v>
      </c>
      <c r="H16" s="112">
        <f>7000*1.4*1.8</f>
        <v>17640</v>
      </c>
      <c r="I16" s="112">
        <f>IF(E16&lt;&gt;"",F16*G16,SUMIFS(I26:I$9909,$C26:$C$9909,"*"&amp;C16&amp;"*",$E26:$E$9909,"&lt;&gt;"))</f>
        <v>0</v>
      </c>
      <c r="J16" s="112">
        <f>IF($E16&lt;&gt;"",$F16*H16,SUMIFS(J26:J$9909,$C26:$C$9909,"*"&amp;$C16&amp;"*",$E26:$E$9909,"&lt;&gt;"))</f>
        <v>17640</v>
      </c>
      <c r="K16" s="103">
        <f>IF(I16&gt;0,(I16-J16-I16*PARAMETROS!$C$19)/I16,0)</f>
        <v>0</v>
      </c>
      <c r="L16" s="104"/>
      <c r="M16" s="105"/>
      <c r="N16" s="109"/>
      <c r="O16" s="105"/>
      <c r="P16" s="105"/>
      <c r="Q16" s="105"/>
      <c r="R16" s="105"/>
      <c r="S16" s="105"/>
      <c r="T16" s="105"/>
      <c r="U16" s="105"/>
      <c r="V16" s="105"/>
      <c r="W16" s="105"/>
      <c r="X16" s="105"/>
    </row>
    <row r="17" spans="1:24" ht="15.75" customHeight="1" x14ac:dyDescent="0.3">
      <c r="A17" s="144" t="str">
        <f t="shared" si="0"/>
        <v/>
      </c>
      <c r="B17" s="145"/>
      <c r="C17" s="110" t="s">
        <v>147</v>
      </c>
      <c r="D17" s="111" t="s">
        <v>148</v>
      </c>
      <c r="E17" s="111" t="s">
        <v>128</v>
      </c>
      <c r="F17" s="112">
        <v>1</v>
      </c>
      <c r="G17" s="112">
        <v>0</v>
      </c>
      <c r="H17" s="112">
        <f>12000*1.8</f>
        <v>21600</v>
      </c>
      <c r="I17" s="112">
        <f>IF(E17&lt;&gt;"",F17*G17,SUMIFS(I26:I$9909,$C26:$C$9909,"*"&amp;C17&amp;"*",$E26:$E$9909,"&lt;&gt;"))</f>
        <v>0</v>
      </c>
      <c r="J17" s="112">
        <f>IF($E17&lt;&gt;"",$F17*H17,SUMIFS(J26:J$9909,$C26:$C$9909,"*"&amp;$C17&amp;"*",$E26:$E$9909,"&lt;&gt;"))</f>
        <v>21600</v>
      </c>
      <c r="K17" s="103">
        <f>IF(I17&gt;0,(I17-J17-I17*PARAMETROS!$C$19)/I17,0)</f>
        <v>0</v>
      </c>
      <c r="L17" s="104"/>
      <c r="M17" s="105"/>
      <c r="N17" s="109"/>
      <c r="O17" s="105"/>
      <c r="P17" s="105"/>
      <c r="Q17" s="105"/>
      <c r="R17" s="105"/>
      <c r="S17" s="105"/>
      <c r="T17" s="105"/>
      <c r="U17" s="105"/>
      <c r="V17" s="105"/>
      <c r="W17" s="105"/>
      <c r="X17" s="105"/>
    </row>
    <row r="18" spans="1:24" ht="15.75" hidden="1" customHeight="1" x14ac:dyDescent="0.3">
      <c r="B18" s="145"/>
      <c r="C18" s="110" t="s">
        <v>149</v>
      </c>
      <c r="D18" s="111" t="s">
        <v>150</v>
      </c>
      <c r="E18" s="111" t="s">
        <v>128</v>
      </c>
      <c r="F18" s="112"/>
      <c r="G18" s="112">
        <v>0</v>
      </c>
      <c r="H18" s="112">
        <f>6500*1.8*1.4</f>
        <v>16379.999999999998</v>
      </c>
      <c r="I18" s="112">
        <f>IF(E18&lt;&gt;"",F18*G18,SUMIFS(I27:I$9909,$C27:$C$9909,"*"&amp;C18&amp;"*",$E27:$E$9909,"&lt;&gt;"))</f>
        <v>0</v>
      </c>
      <c r="J18" s="112">
        <f>IF($E18&lt;&gt;"",$F18*H18,SUMIFS(J27:J$9909,$C27:$C$9909,"*"&amp;$C18&amp;"*",$E27:$E$9909,"&lt;&gt;"))</f>
        <v>0</v>
      </c>
      <c r="K18" s="103">
        <f>IF(I18&gt;0,(I18-J18-I18*PARAMETROS!$C$19)/I18,0)</f>
        <v>0</v>
      </c>
      <c r="L18" s="104"/>
      <c r="M18" s="105"/>
      <c r="N18" s="109"/>
      <c r="O18" s="105"/>
      <c r="P18" s="105"/>
      <c r="Q18" s="105"/>
      <c r="R18" s="105"/>
      <c r="S18" s="105"/>
      <c r="T18" s="105"/>
      <c r="U18" s="105"/>
      <c r="V18" s="105"/>
      <c r="W18" s="105"/>
      <c r="X18" s="105"/>
    </row>
    <row r="19" spans="1:24" ht="15.75" hidden="1" customHeight="1" x14ac:dyDescent="0.3">
      <c r="B19" s="145"/>
      <c r="C19" s="110" t="s">
        <v>151</v>
      </c>
      <c r="D19" s="111" t="s">
        <v>152</v>
      </c>
      <c r="E19" s="111" t="s">
        <v>128</v>
      </c>
      <c r="F19" s="112"/>
      <c r="G19" s="112">
        <v>0</v>
      </c>
      <c r="H19" s="112">
        <f>5300*1.4*1.8</f>
        <v>13355.999999999998</v>
      </c>
      <c r="I19" s="112">
        <f>IF(E19&lt;&gt;"",F19*G19,SUMIFS(I26:I$9909,$C26:$C$9909,"*"&amp;C19&amp;"*",$E26:$E$9909,"&lt;&gt;"))</f>
        <v>0</v>
      </c>
      <c r="J19" s="112">
        <f>IF($E19&lt;&gt;"",$F19*H19,SUMIFS(J26:J$9909,$C26:$C$9909,"*"&amp;$C19&amp;"*",$E26:$E$9909,"&lt;&gt;"))</f>
        <v>0</v>
      </c>
      <c r="K19" s="103"/>
      <c r="L19" s="104"/>
      <c r="M19" s="105"/>
      <c r="N19" s="109"/>
      <c r="O19" s="105"/>
      <c r="P19" s="105"/>
      <c r="Q19" s="105"/>
      <c r="R19" s="105"/>
      <c r="S19" s="105"/>
      <c r="T19" s="105"/>
      <c r="U19" s="105"/>
      <c r="V19" s="105"/>
      <c r="W19" s="105"/>
      <c r="X19" s="105"/>
    </row>
    <row r="20" spans="1:24" ht="15.75" customHeight="1" x14ac:dyDescent="0.3">
      <c r="B20" s="145"/>
      <c r="C20" s="110" t="s">
        <v>153</v>
      </c>
      <c r="D20" s="111" t="s">
        <v>154</v>
      </c>
      <c r="E20" s="111" t="s">
        <v>128</v>
      </c>
      <c r="F20" s="112">
        <v>2</v>
      </c>
      <c r="G20" s="112">
        <v>0</v>
      </c>
      <c r="H20" s="112">
        <f>2500*1.4*1.8</f>
        <v>6300</v>
      </c>
      <c r="I20" s="112">
        <f>IF(E20&lt;&gt;"",F20*G20,SUMIFS(I26:I$9909,$C26:$C$9909,"*"&amp;C20&amp;"*",$E26:$E$9909,"&lt;&gt;"))</f>
        <v>0</v>
      </c>
      <c r="J20" s="112">
        <f>IF($E20&lt;&gt;"",$F20*H20,SUMIFS(J26:J$9909,$C26:$C$9909,"*"&amp;$C20&amp;"*",$E26:$E$9909,"&lt;&gt;"))</f>
        <v>12600</v>
      </c>
      <c r="K20" s="103">
        <f>IF(I20&gt;0,(I20-J20-I20*PARAMETROS!$C$19)/I20,0)</f>
        <v>0</v>
      </c>
      <c r="L20" s="104"/>
      <c r="M20" s="105"/>
      <c r="N20" s="109"/>
      <c r="O20" s="105"/>
      <c r="P20" s="105"/>
      <c r="Q20" s="105"/>
      <c r="R20" s="105"/>
      <c r="S20" s="105"/>
      <c r="T20" s="105"/>
      <c r="U20" s="105"/>
      <c r="V20" s="105"/>
      <c r="W20" s="105"/>
      <c r="X20" s="105"/>
    </row>
    <row r="21" spans="1:24" ht="15.75" hidden="1" customHeight="1" x14ac:dyDescent="0.3">
      <c r="B21" s="145"/>
      <c r="C21" s="110" t="s">
        <v>155</v>
      </c>
      <c r="D21" s="111" t="s">
        <v>156</v>
      </c>
      <c r="E21" s="111" t="s">
        <v>128</v>
      </c>
      <c r="F21" s="112"/>
      <c r="G21" s="112">
        <v>0</v>
      </c>
      <c r="H21" s="112">
        <f>4000*1.4*1.8</f>
        <v>10080</v>
      </c>
      <c r="I21" s="112">
        <f>IF(E21&lt;&gt;"",F21*G21,SUMIFS(I27:I$9909,$C27:$C$9909,"*"&amp;C21&amp;"*",$E27:$E$9909,"&lt;&gt;"))</f>
        <v>0</v>
      </c>
      <c r="J21" s="112">
        <f>IF($E21&lt;&gt;"",$F21*H21,SUMIFS(J27:J$9909,$C27:$C$9909,"*"&amp;$C21&amp;"*",$E27:$E$9909,"&lt;&gt;"))</f>
        <v>0</v>
      </c>
      <c r="K21" s="103">
        <f>IF(I21&gt;0,(I21-J21-I21*PARAMETROS!$C$19)/I21,0)</f>
        <v>0</v>
      </c>
      <c r="L21" s="104"/>
      <c r="M21" s="105"/>
      <c r="N21" s="109"/>
      <c r="O21" s="105"/>
      <c r="P21" s="105"/>
      <c r="Q21" s="105"/>
      <c r="R21" s="105"/>
      <c r="S21" s="105"/>
      <c r="T21" s="105"/>
      <c r="U21" s="105"/>
      <c r="V21" s="105"/>
      <c r="W21" s="105"/>
      <c r="X21" s="105"/>
    </row>
    <row r="22" spans="1:24" ht="15.75" customHeight="1" x14ac:dyDescent="0.3">
      <c r="B22" s="145"/>
      <c r="C22" s="110" t="s">
        <v>157</v>
      </c>
      <c r="D22" s="111" t="s">
        <v>158</v>
      </c>
      <c r="E22" s="111" t="s">
        <v>128</v>
      </c>
      <c r="F22" s="112">
        <v>2</v>
      </c>
      <c r="G22" s="112">
        <v>0</v>
      </c>
      <c r="H22" s="112">
        <f>5300*1.4*1.8</f>
        <v>13355.999999999998</v>
      </c>
      <c r="I22" s="112">
        <f>IF(E22&lt;&gt;"",F22*G22,SUMIFS(I28:I$9909,$C28:$C$9909,"*"&amp;C22&amp;"*",$E28:$E$9909,"&lt;&gt;"))</f>
        <v>0</v>
      </c>
      <c r="J22" s="112">
        <f>IF($E22&lt;&gt;"",$F22*H22,SUMIFS(J28:J$9909,$C28:$C$9909,"*"&amp;$C22&amp;"*",$E28:$E$9909,"&lt;&gt;"))</f>
        <v>26711.999999999996</v>
      </c>
      <c r="K22" s="103">
        <f>IF(I22&gt;0,(I22-J22-I22*PARAMETROS!$C$19)/I22,0)</f>
        <v>0</v>
      </c>
      <c r="L22" s="104"/>
      <c r="M22" s="105"/>
      <c r="N22" s="109"/>
      <c r="O22" s="105"/>
      <c r="P22" s="105"/>
      <c r="Q22" s="105"/>
      <c r="R22" s="105"/>
      <c r="S22" s="105"/>
      <c r="T22" s="105"/>
      <c r="U22" s="105"/>
      <c r="V22" s="105"/>
      <c r="W22" s="105"/>
      <c r="X22" s="105"/>
    </row>
    <row r="23" spans="1:24" ht="15.75" hidden="1" customHeight="1" x14ac:dyDescent="0.3">
      <c r="B23" s="145"/>
      <c r="C23" s="110" t="s">
        <v>159</v>
      </c>
      <c r="D23" s="111" t="s">
        <v>160</v>
      </c>
      <c r="E23" s="111" t="s">
        <v>128</v>
      </c>
      <c r="F23" s="112"/>
      <c r="G23" s="112">
        <v>0</v>
      </c>
      <c r="H23" s="112">
        <f>6500*1.4*1.8</f>
        <v>16380</v>
      </c>
      <c r="I23" s="112">
        <f>IF(E23&lt;&gt;"",F23*G23,SUMIFS(I29:I$9909,$C29:$C$9909,"*"&amp;C23&amp;"*",$E29:$E$9909,"&lt;&gt;"))</f>
        <v>0</v>
      </c>
      <c r="J23" s="112">
        <f>IF($E23&lt;&gt;"",$F23*H23,SUMIFS(J29:J$9909,$C29:$C$9909,"*"&amp;$C23&amp;"*",$E29:$E$9909,"&lt;&gt;"))</f>
        <v>0</v>
      </c>
      <c r="K23" s="103">
        <f>IF(I23&gt;0,(I23-J23-I23*PARAMETROS!$C$19)/I23,0)</f>
        <v>0</v>
      </c>
      <c r="L23" s="104"/>
      <c r="M23" s="105"/>
      <c r="N23" s="109"/>
      <c r="O23" s="105"/>
      <c r="P23" s="105"/>
      <c r="Q23" s="105"/>
      <c r="R23" s="105"/>
      <c r="S23" s="105"/>
      <c r="T23" s="105"/>
      <c r="U23" s="105"/>
      <c r="V23" s="105"/>
      <c r="W23" s="105"/>
      <c r="X23" s="105"/>
    </row>
    <row r="24" spans="1:24" ht="15.75" hidden="1" customHeight="1" x14ac:dyDescent="0.3">
      <c r="A24" s="144" t="str">
        <f t="shared" si="0"/>
        <v/>
      </c>
      <c r="B24" s="145"/>
      <c r="C24" s="110" t="s">
        <v>161</v>
      </c>
      <c r="D24" s="111" t="s">
        <v>162</v>
      </c>
      <c r="E24" s="111" t="s">
        <v>128</v>
      </c>
      <c r="F24" s="112"/>
      <c r="G24" s="112">
        <v>0</v>
      </c>
      <c r="H24" s="112">
        <f>2074*1.4*1.8</f>
        <v>5226.4799999999996</v>
      </c>
      <c r="I24" s="112">
        <f>IF(E24&lt;&gt;"",F24*G24,SUMIFS(I29:I$9909,$C29:$C$9909,"*"&amp;C24&amp;"*",$E29:$E$9909,"&lt;&gt;"))</f>
        <v>0</v>
      </c>
      <c r="J24" s="112">
        <f>IF($E24&lt;&gt;"",$F24*H24,SUMIFS(J29:J$9909,$C29:$C$9909,"*"&amp;$C24&amp;"*",$E29:$E$9909,"&lt;&gt;"))</f>
        <v>0</v>
      </c>
      <c r="K24" s="103">
        <f>IF(I24&gt;0,(I24-J24-I24*PARAMETROS!$C$19)/I24,0)</f>
        <v>0</v>
      </c>
      <c r="L24" s="104"/>
      <c r="M24" s="105"/>
      <c r="N24" s="112"/>
      <c r="O24" s="105"/>
      <c r="P24" s="105"/>
      <c r="Q24" s="105"/>
      <c r="R24" s="105"/>
      <c r="S24" s="105"/>
      <c r="T24" s="105"/>
      <c r="U24" s="105"/>
      <c r="V24" s="105"/>
      <c r="W24" s="105"/>
      <c r="X24" s="105">
        <v>2</v>
      </c>
    </row>
    <row r="25" spans="1:24" ht="15.75" customHeight="1" x14ac:dyDescent="0.3">
      <c r="B25" s="145"/>
      <c r="C25" s="110" t="s">
        <v>163</v>
      </c>
      <c r="D25" s="111" t="s">
        <v>164</v>
      </c>
      <c r="E25" s="111" t="s">
        <v>128</v>
      </c>
      <c r="F25" s="112">
        <v>6</v>
      </c>
      <c r="G25" s="112">
        <v>0</v>
      </c>
      <c r="H25" s="112">
        <f>1623.6*1.4*1.8</f>
        <v>4091.4719999999993</v>
      </c>
      <c r="I25" s="112">
        <f>IF(E25&lt;&gt;"",F25*G25,SUMIFS(I29:I$9909,$C29:$C$9909,"*"&amp;C25&amp;"*",$E29:$E$9909,"&lt;&gt;"))</f>
        <v>0</v>
      </c>
      <c r="J25" s="112">
        <f>IF($E25&lt;&gt;"",$F25*H25,SUMIFS(J29:J$9909,$C29:$C$9909,"*"&amp;$C25&amp;"*",$E29:$E$9909,"&lt;&gt;"))</f>
        <v>24548.831999999995</v>
      </c>
      <c r="K25" s="103">
        <f>IF(I25&gt;0,(I25-J25-I25*PARAMETROS!$C$19)/I25,0)</f>
        <v>0</v>
      </c>
      <c r="L25" s="104"/>
      <c r="M25" s="105"/>
      <c r="N25" s="112"/>
      <c r="O25" s="105"/>
      <c r="P25" s="105"/>
      <c r="Q25" s="105"/>
      <c r="R25" s="105"/>
      <c r="S25" s="105"/>
      <c r="T25" s="105"/>
      <c r="U25" s="105"/>
      <c r="V25" s="105"/>
      <c r="W25" s="105"/>
      <c r="X25" s="105"/>
    </row>
    <row r="26" spans="1:24" ht="15.75" hidden="1" customHeight="1" x14ac:dyDescent="0.3">
      <c r="A26" s="144" t="str">
        <f t="shared" si="0"/>
        <v/>
      </c>
      <c r="B26" s="145"/>
      <c r="C26" s="110" t="s">
        <v>165</v>
      </c>
      <c r="D26" s="111" t="s">
        <v>166</v>
      </c>
      <c r="E26" s="111" t="s">
        <v>167</v>
      </c>
      <c r="F26" s="112"/>
      <c r="G26" s="112">
        <v>0</v>
      </c>
      <c r="H26" s="112">
        <f>1783.09*2*1.8</f>
        <v>6419.1239999999998</v>
      </c>
      <c r="I26" s="112">
        <f>IF(E26&lt;&gt;"",F26*G26,SUMIFS(I27:I$9909,$C27:$C$9909,"*"&amp;C26&amp;"*",$E27:$E$9909,"&lt;&gt;"))</f>
        <v>0</v>
      </c>
      <c r="J26" s="112">
        <f>IF($E26&lt;&gt;"",$F26*H26,SUMIFS(J27:J$9909,$C27:$C$9909,"*"&amp;$C26&amp;"*",$E27:$E$9909,"&lt;&gt;"))</f>
        <v>0</v>
      </c>
      <c r="K26" s="103">
        <f>IF(I26&gt;0,(I26-J26-I26*PARAMETROS!$C$19)/I26,0)</f>
        <v>0</v>
      </c>
      <c r="L26" s="104"/>
      <c r="M26" s="105"/>
      <c r="N26" s="112"/>
      <c r="O26" s="105"/>
      <c r="P26" s="105"/>
      <c r="Q26" s="105"/>
      <c r="R26" s="105"/>
      <c r="S26" s="105"/>
      <c r="T26" s="105"/>
      <c r="U26" s="105"/>
      <c r="V26" s="105"/>
      <c r="W26" s="105"/>
      <c r="X26" s="105">
        <v>0</v>
      </c>
    </row>
    <row r="27" spans="1:24" ht="15.75" customHeight="1" x14ac:dyDescent="0.3">
      <c r="A27" s="144" t="str">
        <f t="shared" si="0"/>
        <v/>
      </c>
      <c r="B27" s="145"/>
      <c r="C27" s="106" t="s">
        <v>168</v>
      </c>
      <c r="D27" s="107" t="s">
        <v>169</v>
      </c>
      <c r="E27" s="108"/>
      <c r="F27" s="109"/>
      <c r="G27" s="109"/>
      <c r="H27" s="109"/>
      <c r="I27" s="109">
        <f>IF(E27&lt;&gt;"",F27*G27,SUMIFS(I28:I$9909,$C28:$C$9909,"*"&amp;C27&amp;"*",$E28:$E$9909,"&lt;&gt;"))</f>
        <v>0</v>
      </c>
      <c r="J27" s="109">
        <f>IF($E27&lt;&gt;"",$F27*H27,SUMIFS(J28:J$9909,$C28:$C$9909,"*"&amp;$C27&amp;"*",$E28:$E$9909,"&lt;&gt;"))</f>
        <v>18050</v>
      </c>
      <c r="K27" s="103">
        <f>IF(I27&gt;0,(I27-J27-I27*PARAMETROS!$C$19)/I27,0)</f>
        <v>0</v>
      </c>
      <c r="L27" s="104"/>
      <c r="M27" s="105"/>
      <c r="N27" s="109"/>
      <c r="O27" s="105"/>
      <c r="P27" s="105"/>
      <c r="Q27" s="105"/>
      <c r="R27" s="105"/>
      <c r="S27" s="105"/>
      <c r="T27" s="105"/>
      <c r="U27" s="105"/>
      <c r="V27" s="105"/>
      <c r="W27" s="105"/>
      <c r="X27" s="105"/>
    </row>
    <row r="28" spans="1:24" ht="15.75" customHeight="1" x14ac:dyDescent="0.3">
      <c r="A28" s="144" t="str">
        <f t="shared" si="0"/>
        <v/>
      </c>
      <c r="B28" s="145"/>
      <c r="C28" s="110" t="s">
        <v>170</v>
      </c>
      <c r="D28" s="111" t="s">
        <v>171</v>
      </c>
      <c r="E28" s="111" t="s">
        <v>128</v>
      </c>
      <c r="F28" s="112">
        <v>5</v>
      </c>
      <c r="G28" s="112">
        <v>0</v>
      </c>
      <c r="H28" s="112">
        <f>3180+(1290*2)/6</f>
        <v>3610</v>
      </c>
      <c r="I28" s="112">
        <f>IF(E28&lt;&gt;"",F28*G28,SUMIFS(I29:I$9909,$C29:$C$9909,"*"&amp;C28&amp;"*",$E29:$E$9909,"&lt;&gt;"))</f>
        <v>0</v>
      </c>
      <c r="J28" s="112">
        <f>IF($E28&lt;&gt;"",$F28*H28,SUMIFS(J29:J$9909,$C29:$C$9909,"*"&amp;$C28&amp;"*",$E29:$E$9909,"&lt;&gt;"))</f>
        <v>18050</v>
      </c>
      <c r="K28" s="103">
        <f>IF(I28&gt;0,(I28-J28-I28*PARAMETROS!$C$19)/I28,0)</f>
        <v>0</v>
      </c>
      <c r="L28" s="104"/>
      <c r="M28" s="105"/>
      <c r="N28" s="112"/>
      <c r="O28" s="105"/>
      <c r="P28" s="105"/>
      <c r="Q28" s="105"/>
      <c r="R28" s="105"/>
      <c r="S28" s="105"/>
      <c r="T28" s="105"/>
      <c r="U28" s="105"/>
      <c r="V28" s="105"/>
      <c r="W28" s="105"/>
      <c r="X28" s="105">
        <v>0</v>
      </c>
    </row>
    <row r="29" spans="1:24" ht="15.75" customHeight="1" x14ac:dyDescent="0.3">
      <c r="A29" s="144" t="str">
        <f t="shared" si="0"/>
        <v/>
      </c>
      <c r="B29" s="145"/>
      <c r="C29" s="106" t="s">
        <v>172</v>
      </c>
      <c r="D29" s="107" t="s">
        <v>173</v>
      </c>
      <c r="E29" s="108"/>
      <c r="F29" s="109"/>
      <c r="G29" s="109"/>
      <c r="H29" s="109"/>
      <c r="I29" s="109">
        <f>IF(E29&lt;&gt;"",F29*G29,SUMIFS(I30:I$9909,$C30:$C$9909,"*"&amp;C29&amp;"*",$E30:$E$9909,"&lt;&gt;"))</f>
        <v>0</v>
      </c>
      <c r="J29" s="109">
        <f>IF($E29&lt;&gt;"",$F29*H29,SUMIFS(J30:J$9909,$C30:$C$9909,"*"&amp;$C29&amp;"*",$E30:$E$9909,"&lt;&gt;"))</f>
        <v>17500</v>
      </c>
      <c r="K29" s="103">
        <f>IF(I29&gt;0,(I29-J29-I29*PARAMETROS!$C$19)/I29,0)</f>
        <v>0</v>
      </c>
      <c r="L29" s="104"/>
      <c r="M29" s="105"/>
      <c r="N29" s="112"/>
      <c r="O29" s="105"/>
      <c r="P29" s="105"/>
      <c r="Q29" s="105"/>
      <c r="R29" s="105"/>
      <c r="S29" s="105"/>
      <c r="T29" s="105"/>
      <c r="U29" s="105"/>
      <c r="V29" s="105"/>
      <c r="W29" s="105"/>
      <c r="X29" s="105"/>
    </row>
    <row r="30" spans="1:24" ht="15.75" customHeight="1" x14ac:dyDescent="0.3">
      <c r="A30" s="144" t="str">
        <f t="shared" si="0"/>
        <v/>
      </c>
      <c r="B30" s="145"/>
      <c r="C30" s="110" t="s">
        <v>174</v>
      </c>
      <c r="D30" s="111" t="s">
        <v>175</v>
      </c>
      <c r="E30" s="111" t="s">
        <v>176</v>
      </c>
      <c r="F30" s="112">
        <f>5000*0.5</f>
        <v>2500</v>
      </c>
      <c r="G30" s="112">
        <v>0</v>
      </c>
      <c r="H30" s="112">
        <v>7</v>
      </c>
      <c r="I30" s="112">
        <f>IF(E30&lt;&gt;"",F30*G30,SUMIFS(I31:I$9909,$C31:$C$9909,"*"&amp;C30&amp;"*",$E31:$E$9909,"&lt;&gt;"))</f>
        <v>0</v>
      </c>
      <c r="J30" s="112">
        <f>IF($E30&lt;&gt;"",$F30*H30,SUMIFS(J31:J$9909,$C31:$C$9909,"*"&amp;$C30&amp;"*",$E31:$E$9909,"&lt;&gt;"))</f>
        <v>17500</v>
      </c>
      <c r="K30" s="103">
        <f>IF(I30&gt;0,(I30-J30-I30*PARAMETROS!$C$19)/I30,0)</f>
        <v>0</v>
      </c>
      <c r="L30" s="104"/>
      <c r="M30" s="105"/>
      <c r="N30" s="112"/>
      <c r="O30" s="105"/>
      <c r="P30" s="105"/>
      <c r="Q30" s="105"/>
      <c r="R30" s="105"/>
      <c r="S30" s="105"/>
      <c r="T30" s="105"/>
      <c r="U30" s="105"/>
      <c r="V30" s="105"/>
      <c r="W30" s="105"/>
      <c r="X30" s="105">
        <v>1500</v>
      </c>
    </row>
    <row r="31" spans="1:24" s="48" customFormat="1" ht="15.75" customHeight="1" x14ac:dyDescent="0.3">
      <c r="A31" s="361" t="str">
        <f t="shared" si="0"/>
        <v/>
      </c>
      <c r="B31" s="362"/>
      <c r="C31" s="357" t="s">
        <v>177</v>
      </c>
      <c r="D31" s="358" t="s">
        <v>178</v>
      </c>
      <c r="E31" s="359"/>
      <c r="F31" s="360"/>
      <c r="G31" s="360"/>
      <c r="H31" s="360"/>
      <c r="I31" s="360">
        <f>IF(E31&lt;&gt;"",F31*G31,SUMIFS(I32:I$9909,$C32:$C$9909,"*"&amp;C31&amp;"*",$E32:$E$9909,"&lt;&gt;"))</f>
        <v>0</v>
      </c>
      <c r="J31" s="360">
        <f>IF($E31&lt;&gt;"",$F31*H31,SUMIFS(J32:J$9909,$C32:$C$9909,"*"&amp;$C31&amp;"*",$E32:$E$9909,"&lt;&gt;"))</f>
        <v>124500.20239999999</v>
      </c>
      <c r="K31" s="128">
        <f>IF(I31&gt;0,(I31-J31-I31*PARAMETROS!$C$19)/I31,0)</f>
        <v>0</v>
      </c>
      <c r="L31" s="363" t="s">
        <v>122</v>
      </c>
      <c r="M31" s="364"/>
      <c r="N31" s="365"/>
      <c r="O31" s="364"/>
      <c r="P31" s="364"/>
      <c r="Q31" s="364"/>
      <c r="R31" s="364"/>
      <c r="S31" s="364"/>
      <c r="T31" s="364"/>
      <c r="U31" s="364"/>
      <c r="V31" s="364"/>
      <c r="W31" s="364"/>
      <c r="X31" s="364"/>
    </row>
    <row r="32" spans="1:24" s="48" customFormat="1" ht="15.75" customHeight="1" x14ac:dyDescent="0.3">
      <c r="A32" s="361" t="str">
        <f t="shared" si="0"/>
        <v/>
      </c>
      <c r="B32" s="362"/>
      <c r="C32" s="357" t="s">
        <v>47</v>
      </c>
      <c r="D32" s="358" t="s">
        <v>179</v>
      </c>
      <c r="E32" s="359"/>
      <c r="F32" s="360"/>
      <c r="G32" s="360"/>
      <c r="H32" s="360"/>
      <c r="I32" s="360">
        <f>IF(E32&lt;&gt;"",F32*G32,SUMIFS(I33:I$9909,$C33:$C$9909,"*"&amp;C32&amp;"*",$E33:$E$9909,"&lt;&gt;"))</f>
        <v>0</v>
      </c>
      <c r="J32" s="360">
        <f>IF($E32&lt;&gt;"",$F32*H32,SUMIFS(J33:J$9909,$C33:$C$9909,"*"&amp;$C32&amp;"*",$E33:$E$9909,"&lt;&gt;"))</f>
        <v>70477.024000000005</v>
      </c>
      <c r="K32" s="128">
        <f>IF(I32&gt;0,(I32-J32-I32*PARAMETROS!$C$19)/I32,0)</f>
        <v>0</v>
      </c>
      <c r="L32" s="363" t="s">
        <v>122</v>
      </c>
      <c r="M32" s="364"/>
      <c r="N32" s="360"/>
      <c r="O32" s="364"/>
      <c r="P32" s="364"/>
      <c r="Q32" s="364"/>
      <c r="R32" s="364"/>
      <c r="S32" s="364"/>
      <c r="T32" s="364"/>
      <c r="U32" s="364"/>
      <c r="V32" s="364"/>
      <c r="W32" s="364"/>
      <c r="X32" s="364"/>
    </row>
    <row r="33" spans="1:24" ht="15.75" customHeight="1" x14ac:dyDescent="0.3">
      <c r="A33" s="144" t="str">
        <f t="shared" si="0"/>
        <v/>
      </c>
      <c r="B33" s="145"/>
      <c r="C33" s="106" t="s">
        <v>180</v>
      </c>
      <c r="D33" s="107" t="s">
        <v>181</v>
      </c>
      <c r="E33" s="108"/>
      <c r="F33" s="109"/>
      <c r="G33" s="109"/>
      <c r="H33" s="109"/>
      <c r="I33" s="109">
        <f>IF(E33&lt;&gt;"",F33*G33,SUMIFS(I34:I$9909,$C34:$C$9909,"*"&amp;C33&amp;"*",$E34:$E$9909,"&lt;&gt;"))</f>
        <v>0</v>
      </c>
      <c r="J33" s="109">
        <f>IF($E33&lt;&gt;"",$F33*H33,SUMIFS(J34:J$9909,$C34:$C$9909,"*"&amp;$C33&amp;"*",$E34:$E$9909,"&lt;&gt;"))</f>
        <v>55323.024000000005</v>
      </c>
      <c r="K33" s="103">
        <f>IF(I33&gt;0,(I33-J33-I33*PARAMETROS!$C$19)/I33,0)</f>
        <v>0</v>
      </c>
      <c r="L33" s="104"/>
      <c r="M33" s="105"/>
      <c r="N33" s="112"/>
      <c r="O33" s="105"/>
      <c r="P33" s="105"/>
      <c r="Q33" s="105"/>
      <c r="R33" s="105"/>
      <c r="S33" s="105"/>
      <c r="T33" s="105"/>
      <c r="U33" s="105"/>
      <c r="V33" s="105"/>
      <c r="W33" s="105"/>
      <c r="X33" s="105"/>
    </row>
    <row r="34" spans="1:24" ht="15.75" customHeight="1" x14ac:dyDescent="0.3">
      <c r="A34" s="144" t="str">
        <f t="shared" si="0"/>
        <v/>
      </c>
      <c r="B34" s="145"/>
      <c r="C34" s="110" t="s">
        <v>182</v>
      </c>
      <c r="D34" s="111" t="s">
        <v>183</v>
      </c>
      <c r="E34" s="111" t="s">
        <v>128</v>
      </c>
      <c r="F34" s="112">
        <v>1</v>
      </c>
      <c r="G34" s="112">
        <v>0</v>
      </c>
      <c r="H34" s="112">
        <f>6390*1.4*1.8</f>
        <v>16102.800000000001</v>
      </c>
      <c r="I34" s="112">
        <f>IF(E34&lt;&gt;"",F34*G34,SUMIFS(I35:I$9909,$C35:$C$9909,"*"&amp;C34&amp;"*",$E35:$E$9909,"&lt;&gt;"))</f>
        <v>0</v>
      </c>
      <c r="J34" s="112">
        <f>IF($E34&lt;&gt;"",$F34*H34,SUMIFS(J35:J$9909,$C35:$C$9909,"*"&amp;$C34&amp;"*",$E35:$E$9909,"&lt;&gt;"))</f>
        <v>16102.800000000001</v>
      </c>
      <c r="K34" s="103">
        <f>IF(I34&gt;0,(I34-J34-I34*PARAMETROS!$C$19)/I34,0)</f>
        <v>0</v>
      </c>
      <c r="L34" s="104"/>
      <c r="M34" s="105"/>
      <c r="N34" s="112"/>
      <c r="O34" s="105"/>
      <c r="P34" s="105"/>
      <c r="Q34" s="105"/>
      <c r="R34" s="105"/>
      <c r="S34" s="105"/>
      <c r="T34" s="105"/>
      <c r="U34" s="105"/>
      <c r="V34" s="105"/>
      <c r="W34" s="105"/>
      <c r="X34" s="105">
        <v>1</v>
      </c>
    </row>
    <row r="35" spans="1:24" ht="15.75" customHeight="1" x14ac:dyDescent="0.3">
      <c r="A35" s="144" t="str">
        <f t="shared" si="0"/>
        <v/>
      </c>
      <c r="B35" s="145"/>
      <c r="C35" s="110" t="s">
        <v>184</v>
      </c>
      <c r="D35" s="111" t="s">
        <v>185</v>
      </c>
      <c r="E35" s="111" t="s">
        <v>128</v>
      </c>
      <c r="F35" s="112">
        <v>1</v>
      </c>
      <c r="G35" s="112">
        <v>0</v>
      </c>
      <c r="H35" s="112">
        <f>5000*1.4*1.8</f>
        <v>12600</v>
      </c>
      <c r="I35" s="112">
        <f>IF(E35&lt;&gt;"",F35*G35,SUMIFS(I36:I$9909,$C36:$C$9909,"*"&amp;C35&amp;"*",$E36:$E$9909,"&lt;&gt;"))</f>
        <v>0</v>
      </c>
      <c r="J35" s="112">
        <f>IF($E35&lt;&gt;"",$F35*H35,SUMIFS(J36:J$9909,$C36:$C$9909,"*"&amp;$C35&amp;"*",$E36:$E$9909,"&lt;&gt;"))</f>
        <v>12600</v>
      </c>
      <c r="K35" s="103">
        <f>IF(I35&gt;0,(I35-J35-I35*PARAMETROS!$C$19)/I35,0)</f>
        <v>0</v>
      </c>
      <c r="L35" s="104"/>
      <c r="M35" s="105"/>
      <c r="N35" s="109"/>
      <c r="O35" s="105"/>
      <c r="P35" s="105"/>
      <c r="Q35" s="105"/>
      <c r="R35" s="105"/>
      <c r="S35" s="105"/>
      <c r="T35" s="105"/>
      <c r="U35" s="105"/>
      <c r="V35" s="105"/>
      <c r="W35" s="105"/>
      <c r="X35" s="105">
        <v>0.5</v>
      </c>
    </row>
    <row r="36" spans="1:24" ht="15.75" customHeight="1" x14ac:dyDescent="0.3">
      <c r="A36" s="144" t="str">
        <f t="shared" si="0"/>
        <v/>
      </c>
      <c r="B36" s="145"/>
      <c r="C36" s="110" t="s">
        <v>186</v>
      </c>
      <c r="D36" s="111" t="s">
        <v>187</v>
      </c>
      <c r="E36" s="111" t="s">
        <v>167</v>
      </c>
      <c r="F36" s="112">
        <v>2</v>
      </c>
      <c r="G36" s="112">
        <v>0</v>
      </c>
      <c r="H36" s="112">
        <f>2305.6*1.4*1.8</f>
        <v>5810.1119999999992</v>
      </c>
      <c r="I36" s="112">
        <f>IF(E36&lt;&gt;"",F36*G36,SUMIFS(I37:I$9909,$C37:$C$9909,"*"&amp;C36&amp;"*",$E37:$E$9909,"&lt;&gt;"))</f>
        <v>0</v>
      </c>
      <c r="J36" s="112">
        <f>IF($E36&lt;&gt;"",$F36*H36,SUMIFS(J37:J$9909,$C37:$C$9909,"*"&amp;$C36&amp;"*",$E37:$E$9909,"&lt;&gt;"))</f>
        <v>11620.223999999998</v>
      </c>
      <c r="K36" s="103">
        <f>IF(I36&gt;0,(I36-J36-I36*PARAMETROS!$C$19)/I36,0)</f>
        <v>0</v>
      </c>
      <c r="L36" s="104"/>
      <c r="M36" s="105"/>
      <c r="N36" s="112"/>
      <c r="O36" s="105"/>
      <c r="P36" s="105"/>
      <c r="Q36" s="105"/>
      <c r="R36" s="105"/>
      <c r="S36" s="105"/>
      <c r="T36" s="105"/>
      <c r="U36" s="105"/>
      <c r="V36" s="105"/>
      <c r="W36" s="105"/>
      <c r="X36" s="105">
        <v>0</v>
      </c>
    </row>
    <row r="37" spans="1:24" ht="15.75" customHeight="1" x14ac:dyDescent="0.3">
      <c r="A37" s="144" t="str">
        <f t="shared" si="0"/>
        <v/>
      </c>
      <c r="B37" s="145"/>
      <c r="C37" s="110" t="s">
        <v>188</v>
      </c>
      <c r="D37" s="111" t="s">
        <v>189</v>
      </c>
      <c r="E37" s="111" t="s">
        <v>128</v>
      </c>
      <c r="F37" s="112">
        <v>1</v>
      </c>
      <c r="G37" s="112">
        <v>0</v>
      </c>
      <c r="H37" s="112">
        <v>15000</v>
      </c>
      <c r="I37" s="112">
        <f>IF(E37&lt;&gt;"",F37*G37,SUMIFS(I38:I$9909,$C38:$C$9909,"*"&amp;C37&amp;"*",$E38:$E$9909,"&lt;&gt;"))</f>
        <v>0</v>
      </c>
      <c r="J37" s="112">
        <f>IF($E37&lt;&gt;"",$F37*H37,SUMIFS(J38:J$9909,$C38:$C$9909,"*"&amp;$C37&amp;"*",$E38:$E$9909,"&lt;&gt;"))</f>
        <v>15000</v>
      </c>
      <c r="K37" s="103">
        <f>IF(I37&gt;0,(I37-J37-I37*PARAMETROS!$C$19)/I37,0)</f>
        <v>0</v>
      </c>
      <c r="L37" s="104"/>
      <c r="M37" s="105"/>
      <c r="N37" s="109"/>
      <c r="O37" s="105"/>
      <c r="P37" s="105"/>
      <c r="Q37" s="105"/>
      <c r="R37" s="105"/>
      <c r="S37" s="105"/>
      <c r="T37" s="105"/>
      <c r="U37" s="105"/>
      <c r="V37" s="105"/>
      <c r="W37" s="105"/>
      <c r="X37" s="105">
        <v>0</v>
      </c>
    </row>
    <row r="38" spans="1:24" ht="15.75" customHeight="1" x14ac:dyDescent="0.3">
      <c r="A38" s="144" t="str">
        <f t="shared" si="0"/>
        <v/>
      </c>
      <c r="B38" s="145"/>
      <c r="C38" s="106" t="s">
        <v>190</v>
      </c>
      <c r="D38" s="107" t="s">
        <v>191</v>
      </c>
      <c r="E38" s="108"/>
      <c r="F38" s="109"/>
      <c r="G38" s="109"/>
      <c r="H38" s="109"/>
      <c r="I38" s="109">
        <f>IF(E38&lt;&gt;"",F38*G38,SUMIFS(I39:I$9909,$C39:$C$9909,"*"&amp;C38&amp;"*",$E39:$E$9909,"&lt;&gt;"))</f>
        <v>0</v>
      </c>
      <c r="J38" s="109">
        <f>IF($E38&lt;&gt;"",$F38*H38,SUMIFS(J39:J$9909,$C39:$C$9909,"*"&amp;$C38&amp;"*",$E39:$E$9909,"&lt;&gt;"))</f>
        <v>2000</v>
      </c>
      <c r="K38" s="103">
        <f>IF(I38&gt;0,(I38-J38-I38*PARAMETROS!$C$19)/I38,0)</f>
        <v>0</v>
      </c>
      <c r="L38" s="104"/>
      <c r="M38" s="105"/>
      <c r="N38" s="112"/>
      <c r="O38" s="105"/>
      <c r="P38" s="105"/>
      <c r="Q38" s="105"/>
      <c r="R38" s="105"/>
      <c r="S38" s="105"/>
      <c r="T38" s="105"/>
      <c r="U38" s="105"/>
      <c r="V38" s="105"/>
      <c r="W38" s="105"/>
      <c r="X38" s="105"/>
    </row>
    <row r="39" spans="1:24" ht="15.75" customHeight="1" x14ac:dyDescent="0.3">
      <c r="A39" s="144" t="str">
        <f t="shared" si="0"/>
        <v/>
      </c>
      <c r="B39" s="145"/>
      <c r="C39" s="110" t="s">
        <v>192</v>
      </c>
      <c r="D39" s="111" t="s">
        <v>193</v>
      </c>
      <c r="E39" s="111" t="s">
        <v>194</v>
      </c>
      <c r="F39" s="112">
        <v>2000</v>
      </c>
      <c r="G39" s="112">
        <v>0</v>
      </c>
      <c r="H39" s="112">
        <v>1</v>
      </c>
      <c r="I39" s="112">
        <f>IF(E39&lt;&gt;"",F39*G39,SUMIFS(I40:I$9909,$C40:$C$9909,"*"&amp;C39&amp;"*",$E40:$E$9909,"&lt;&gt;"))</f>
        <v>0</v>
      </c>
      <c r="J39" s="112">
        <f>IF($E39&lt;&gt;"",$F39*H39,SUMIFS(J40:J$9909,$C40:$C$9909,"*"&amp;$C39&amp;"*",$E40:$E$9909,"&lt;&gt;"))</f>
        <v>2000</v>
      </c>
      <c r="K39" s="103">
        <f>IF(I39&gt;0,(I39-J39-I39*PARAMETROS!$C$19)/I39,0)</f>
        <v>0</v>
      </c>
      <c r="L39" s="104"/>
      <c r="M39" s="105"/>
      <c r="N39" s="112"/>
      <c r="O39" s="105"/>
      <c r="P39" s="105"/>
      <c r="Q39" s="105"/>
      <c r="R39" s="105"/>
      <c r="S39" s="105"/>
      <c r="T39" s="105"/>
      <c r="U39" s="105"/>
      <c r="V39" s="105"/>
      <c r="W39" s="105"/>
      <c r="X39" s="105">
        <v>1</v>
      </c>
    </row>
    <row r="40" spans="1:24" ht="15.75" hidden="1" customHeight="1" x14ac:dyDescent="0.3">
      <c r="A40" s="144" t="str">
        <f t="shared" si="0"/>
        <v/>
      </c>
      <c r="B40" s="145"/>
      <c r="C40" s="110" t="s">
        <v>195</v>
      </c>
      <c r="D40" s="111" t="s">
        <v>196</v>
      </c>
      <c r="E40" s="111" t="s">
        <v>194</v>
      </c>
      <c r="F40" s="112"/>
      <c r="G40" s="112">
        <v>0</v>
      </c>
      <c r="H40" s="112">
        <v>1</v>
      </c>
      <c r="I40" s="112">
        <f>IF(E40&lt;&gt;"",F40*G40,SUMIFS(I41:I$9909,$C41:$C$9909,"*"&amp;C40&amp;"*",$E41:$E$9909,"&lt;&gt;"))</f>
        <v>0</v>
      </c>
      <c r="J40" s="112">
        <f>IF($E40&lt;&gt;"",$F40*H40,SUMIFS(J41:J$9909,$C41:$C$9909,"*"&amp;$C40&amp;"*",$E41:$E$9909,"&lt;&gt;"))</f>
        <v>0</v>
      </c>
      <c r="K40" s="103">
        <f>IF(I40&gt;0,(I40-J40-I40*PARAMETROS!$C$19)/I40,0)</f>
        <v>0</v>
      </c>
      <c r="L40" s="104"/>
      <c r="M40" s="105"/>
      <c r="N40" s="109"/>
      <c r="O40" s="105"/>
      <c r="P40" s="105"/>
      <c r="Q40" s="105"/>
      <c r="R40" s="105"/>
      <c r="S40" s="105"/>
      <c r="T40" s="105"/>
      <c r="U40" s="105"/>
      <c r="V40" s="105"/>
      <c r="W40" s="105"/>
      <c r="X40" s="105">
        <v>1</v>
      </c>
    </row>
    <row r="41" spans="1:24" ht="15.75" customHeight="1" x14ac:dyDescent="0.3">
      <c r="A41" s="144" t="str">
        <f t="shared" si="0"/>
        <v/>
      </c>
      <c r="B41" s="145"/>
      <c r="C41" s="106" t="s">
        <v>197</v>
      </c>
      <c r="D41" s="107" t="s">
        <v>169</v>
      </c>
      <c r="E41" s="108"/>
      <c r="F41" s="109"/>
      <c r="G41" s="109"/>
      <c r="H41" s="109"/>
      <c r="I41" s="109">
        <f>IF(E41&lt;&gt;"",F41*G41,SUMIFS(I42:I$9909,$C42:$C$9909,"*"&amp;C41&amp;"*",$E42:$E$9909,"&lt;&gt;"))</f>
        <v>0</v>
      </c>
      <c r="J41" s="109">
        <f>IF($E41&lt;&gt;"",$F41*H41,SUMIFS(J42:J$9909,$C42:$C$9909,"*"&amp;$C41&amp;"*",$E42:$E$9909,"&lt;&gt;"))</f>
        <v>6154</v>
      </c>
      <c r="K41" s="103">
        <f>IF(I41&gt;0,(I41-J41-I41*PARAMETROS!$C$19)/I41,0)</f>
        <v>0</v>
      </c>
      <c r="L41" s="104"/>
      <c r="M41" s="105"/>
      <c r="N41" s="112"/>
      <c r="O41" s="105"/>
      <c r="P41" s="105"/>
      <c r="Q41" s="105"/>
      <c r="R41" s="105"/>
      <c r="S41" s="105"/>
      <c r="T41" s="105"/>
      <c r="U41" s="105"/>
      <c r="V41" s="105"/>
      <c r="W41" s="105"/>
      <c r="X41" s="105"/>
    </row>
    <row r="42" spans="1:24" ht="15.75" customHeight="1" x14ac:dyDescent="0.3">
      <c r="A42" s="144" t="str">
        <f t="shared" si="0"/>
        <v/>
      </c>
      <c r="B42" s="145"/>
      <c r="C42" s="110" t="s">
        <v>198</v>
      </c>
      <c r="D42" s="111" t="s">
        <v>171</v>
      </c>
      <c r="E42" s="111" t="s">
        <v>128</v>
      </c>
      <c r="F42" s="112">
        <v>1</v>
      </c>
      <c r="G42" s="112">
        <v>0</v>
      </c>
      <c r="H42" s="112">
        <f>3180*1.8+(1290*2)/6</f>
        <v>6154</v>
      </c>
      <c r="I42" s="112">
        <f>IF(E42&lt;&gt;"",F42*G42,SUMIFS(I43:I$9909,$C43:$C$9909,"*"&amp;C42&amp;"*",$E43:$E$9909,"&lt;&gt;"))</f>
        <v>0</v>
      </c>
      <c r="J42" s="112">
        <f>IF($E42&lt;&gt;"",$F42*H42,SUMIFS(J43:J$9909,$C43:$C$9909,"*"&amp;$C42&amp;"*",$E43:$E$9909,"&lt;&gt;"))</f>
        <v>6154</v>
      </c>
      <c r="K42" s="103">
        <f>IF(I42&gt;0,(I42-J42-I42*PARAMETROS!$C$19)/I42,0)</f>
        <v>0</v>
      </c>
      <c r="L42" s="104"/>
      <c r="M42" s="105"/>
      <c r="N42" s="109"/>
      <c r="O42" s="105"/>
      <c r="P42" s="105"/>
      <c r="Q42" s="105"/>
      <c r="R42" s="105"/>
      <c r="S42" s="105"/>
      <c r="T42" s="105"/>
      <c r="U42" s="105"/>
      <c r="V42" s="105"/>
      <c r="W42" s="105"/>
      <c r="X42" s="105">
        <v>0</v>
      </c>
    </row>
    <row r="43" spans="1:24" ht="15.75" customHeight="1" x14ac:dyDescent="0.3">
      <c r="A43" s="144" t="str">
        <f t="shared" si="0"/>
        <v/>
      </c>
      <c r="B43" s="145"/>
      <c r="C43" s="106" t="s">
        <v>199</v>
      </c>
      <c r="D43" s="107" t="s">
        <v>173</v>
      </c>
      <c r="E43" s="108"/>
      <c r="F43" s="109"/>
      <c r="G43" s="109"/>
      <c r="H43" s="109"/>
      <c r="I43" s="109">
        <f>IF(E43&lt;&gt;"",F43*G43,SUMIFS(I44:I$9909,$C44:$C$9909,"*"&amp;C43&amp;"*",$E44:$E$9909,"&lt;&gt;"))</f>
        <v>0</v>
      </c>
      <c r="J43" s="109">
        <f>IF($E43&lt;&gt;"",$F43*H43,SUMIFS(J44:J$9909,$C44:$C$9909,"*"&amp;$C43&amp;"*",$E44:$E$9909,"&lt;&gt;"))</f>
        <v>7000</v>
      </c>
      <c r="K43" s="103">
        <f>IF(I43&gt;0,(I43-J43-I43*PARAMETROS!$C$19)/I43,0)</f>
        <v>0</v>
      </c>
      <c r="L43" s="104"/>
      <c r="M43" s="105"/>
      <c r="N43" s="109"/>
      <c r="O43" s="105"/>
      <c r="P43" s="105"/>
      <c r="Q43" s="105"/>
      <c r="R43" s="105"/>
      <c r="S43" s="105"/>
      <c r="T43" s="105"/>
      <c r="U43" s="105"/>
      <c r="V43" s="105"/>
      <c r="W43" s="105"/>
      <c r="X43" s="105"/>
    </row>
    <row r="44" spans="1:24" ht="15.75" customHeight="1" x14ac:dyDescent="0.3">
      <c r="A44" s="144" t="str">
        <f t="shared" si="0"/>
        <v/>
      </c>
      <c r="B44" s="145"/>
      <c r="C44" s="110" t="s">
        <v>200</v>
      </c>
      <c r="D44" s="111" t="s">
        <v>175</v>
      </c>
      <c r="E44" s="111" t="s">
        <v>176</v>
      </c>
      <c r="F44" s="112">
        <v>1000</v>
      </c>
      <c r="G44" s="112">
        <v>0</v>
      </c>
      <c r="H44" s="112">
        <v>7</v>
      </c>
      <c r="I44" s="112">
        <f>IF(E44&lt;&gt;"",F44*G44,SUMIFS(I45:I$9909,$C45:$C$9909,"*"&amp;C44&amp;"*",$E45:$E$9909,"&lt;&gt;"))</f>
        <v>0</v>
      </c>
      <c r="J44" s="112">
        <f>IF($E44&lt;&gt;"",$F44*H44,SUMIFS(J45:J$9909,$C45:$C$9909,"*"&amp;$C44&amp;"*",$E45:$E$9909,"&lt;&gt;"))</f>
        <v>7000</v>
      </c>
      <c r="K44" s="103">
        <f>IF(I44&gt;0,(I44-J44-I44*PARAMETROS!$C$19)/I44,0)</f>
        <v>0</v>
      </c>
      <c r="L44" s="104"/>
      <c r="M44" s="105"/>
      <c r="N44" s="109"/>
      <c r="O44" s="105"/>
      <c r="P44" s="105"/>
      <c r="Q44" s="105"/>
      <c r="R44" s="105"/>
      <c r="S44" s="105"/>
      <c r="T44" s="105"/>
      <c r="U44" s="105"/>
      <c r="V44" s="105"/>
      <c r="W44" s="105"/>
      <c r="X44" s="105">
        <v>0</v>
      </c>
    </row>
    <row r="45" spans="1:24" s="48" customFormat="1" ht="15.75" customHeight="1" x14ac:dyDescent="0.3">
      <c r="A45" s="361" t="str">
        <f t="shared" si="0"/>
        <v/>
      </c>
      <c r="B45" s="362"/>
      <c r="C45" s="357" t="s">
        <v>201</v>
      </c>
      <c r="D45" s="358" t="s">
        <v>202</v>
      </c>
      <c r="E45" s="359"/>
      <c r="F45" s="360"/>
      <c r="G45" s="360"/>
      <c r="H45" s="360"/>
      <c r="I45" s="360">
        <f>IF(E45&lt;&gt;"",F45*G45,SUMIFS(I46:I$9909,$C46:$C$9909,"*"&amp;C45&amp;"*",$E46:$E$9909,"&lt;&gt;"))</f>
        <v>0</v>
      </c>
      <c r="J45" s="360">
        <f>IF($E45&lt;&gt;"",$F45*H45,SUMIFS(J46:J$9909,$C46:$C$9909,"*"&amp;$C45&amp;"*",$E46:$E$9909,"&lt;&gt;"))</f>
        <v>54023.178399999997</v>
      </c>
      <c r="K45" s="128">
        <f>IF(I45&gt;0,(I45-J45-I45*PARAMETROS!$C$19)/I45,0)</f>
        <v>0</v>
      </c>
      <c r="L45" s="363" t="s">
        <v>122</v>
      </c>
      <c r="M45" s="364"/>
      <c r="N45" s="365"/>
      <c r="O45" s="364"/>
      <c r="P45" s="364"/>
      <c r="Q45" s="364"/>
      <c r="R45" s="364"/>
      <c r="S45" s="364"/>
      <c r="T45" s="364"/>
      <c r="U45" s="364"/>
      <c r="V45" s="364"/>
      <c r="W45" s="364"/>
      <c r="X45" s="364"/>
    </row>
    <row r="46" spans="1:24" ht="15.75" customHeight="1" x14ac:dyDescent="0.3">
      <c r="A46" s="144" t="str">
        <f t="shared" si="0"/>
        <v/>
      </c>
      <c r="B46" s="145"/>
      <c r="C46" s="106" t="s">
        <v>203</v>
      </c>
      <c r="D46" s="107" t="s">
        <v>181</v>
      </c>
      <c r="E46" s="108"/>
      <c r="F46" s="109"/>
      <c r="G46" s="109"/>
      <c r="H46" s="109"/>
      <c r="I46" s="109">
        <f>IF(E46&lt;&gt;"",F46*G46,SUMIFS(I47:I$9909,$C47:$C$9909,"*"&amp;C46&amp;"*",$E47:$E$9909,"&lt;&gt;"))</f>
        <v>0</v>
      </c>
      <c r="J46" s="109">
        <f>IF($E46&lt;&gt;"",$F46*H46,SUMIFS(J47:J$9909,$C47:$C$9909,"*"&amp;$C46&amp;"*",$E47:$E$9909,"&lt;&gt;"))</f>
        <v>35869.178399999997</v>
      </c>
      <c r="K46" s="103">
        <f>IF(I46&gt;0,(I46-J46-I46*PARAMETROS!$C$19)/I46,0)</f>
        <v>0</v>
      </c>
      <c r="L46" s="104"/>
      <c r="M46" s="105"/>
      <c r="N46" s="109"/>
      <c r="O46" s="105"/>
      <c r="P46" s="105"/>
      <c r="Q46" s="105"/>
      <c r="R46" s="105"/>
      <c r="S46" s="105"/>
      <c r="T46" s="105"/>
      <c r="U46" s="105"/>
      <c r="V46" s="105"/>
      <c r="W46" s="105"/>
      <c r="X46" s="105"/>
    </row>
    <row r="47" spans="1:24" ht="15.75" customHeight="1" x14ac:dyDescent="0.3">
      <c r="A47" s="144" t="str">
        <f t="shared" si="0"/>
        <v/>
      </c>
      <c r="B47" s="145"/>
      <c r="C47" s="110" t="s">
        <v>204</v>
      </c>
      <c r="D47" s="111" t="s">
        <v>205</v>
      </c>
      <c r="E47" s="111" t="s">
        <v>128</v>
      </c>
      <c r="F47" s="112">
        <v>1</v>
      </c>
      <c r="G47" s="112">
        <v>0</v>
      </c>
      <c r="H47" s="112">
        <f>5975.82*1.4*1.8</f>
        <v>15059.0664</v>
      </c>
      <c r="I47" s="112">
        <f>IF(E47&lt;&gt;"",F47*G47,SUMIFS(I48:I$9909,$C48:$C$9909,"*"&amp;C47&amp;"*",$E48:$E$9909,"&lt;&gt;"))</f>
        <v>0</v>
      </c>
      <c r="J47" s="112">
        <f>IF($E47&lt;&gt;"",$F47*H47,SUMIFS(J48:J$9909,$C48:$C$9909,"*"&amp;$C47&amp;"*",$E48:$E$9909,"&lt;&gt;"))</f>
        <v>15059.0664</v>
      </c>
      <c r="K47" s="103">
        <f>IF(I47&gt;0,(I47-J47-I47*PARAMETROS!$C$19)/I47,0)</f>
        <v>0</v>
      </c>
      <c r="L47" s="104"/>
      <c r="M47" s="105"/>
      <c r="N47" s="112"/>
      <c r="O47" s="105"/>
      <c r="P47" s="105"/>
      <c r="Q47" s="105"/>
      <c r="R47" s="105"/>
      <c r="S47" s="105"/>
      <c r="T47" s="105"/>
      <c r="U47" s="105"/>
      <c r="V47" s="105"/>
      <c r="W47" s="105"/>
      <c r="X47" s="105">
        <v>0</v>
      </c>
    </row>
    <row r="48" spans="1:24" ht="15.75" hidden="1" customHeight="1" x14ac:dyDescent="0.3">
      <c r="A48" s="144" t="str">
        <f t="shared" si="0"/>
        <v/>
      </c>
      <c r="B48" s="145"/>
      <c r="C48" s="110" t="s">
        <v>206</v>
      </c>
      <c r="D48" s="111" t="s">
        <v>185</v>
      </c>
      <c r="E48" s="111" t="s">
        <v>128</v>
      </c>
      <c r="F48" s="112"/>
      <c r="G48" s="112">
        <v>0</v>
      </c>
      <c r="H48" s="112">
        <f>4643*1.4*1.8</f>
        <v>11700.36</v>
      </c>
      <c r="I48" s="112">
        <f>IF(E48&lt;&gt;"",F48*G48,SUMIFS(I49:I$9909,$C49:$C$9909,"*"&amp;C48&amp;"*",$E49:$E$9909,"&lt;&gt;"))</f>
        <v>0</v>
      </c>
      <c r="J48" s="112">
        <f>IF($E48&lt;&gt;"",$F48*H48,SUMIFS(J49:J$9909,$C49:$C$9909,"*"&amp;$C48&amp;"*",$E49:$E$9909,"&lt;&gt;"))</f>
        <v>0</v>
      </c>
      <c r="K48" s="103">
        <f>IF(I48&gt;0,(I48-J48-I48*PARAMETROS!$C$19)/I48,0)</f>
        <v>0</v>
      </c>
      <c r="L48" s="104"/>
      <c r="M48" s="105"/>
      <c r="N48" s="112"/>
      <c r="O48" s="105"/>
      <c r="P48" s="105"/>
      <c r="Q48" s="105"/>
      <c r="R48" s="105"/>
      <c r="S48" s="105"/>
      <c r="T48" s="105"/>
      <c r="U48" s="105"/>
      <c r="V48" s="105"/>
      <c r="W48" s="105"/>
      <c r="X48" s="105">
        <v>0</v>
      </c>
    </row>
    <row r="49" spans="1:24" ht="15.75" customHeight="1" x14ac:dyDescent="0.3">
      <c r="A49" s="144" t="str">
        <f t="shared" ref="A49:A104" si="1">IF(LEN(C49)=3,1,"")</f>
        <v/>
      </c>
      <c r="B49" s="145"/>
      <c r="C49" s="110" t="s">
        <v>207</v>
      </c>
      <c r="D49" s="111" t="s">
        <v>189</v>
      </c>
      <c r="E49" s="111" t="s">
        <v>128</v>
      </c>
      <c r="F49" s="112">
        <v>1</v>
      </c>
      <c r="G49" s="112">
        <v>0</v>
      </c>
      <c r="H49" s="112">
        <v>15000</v>
      </c>
      <c r="I49" s="112">
        <f>IF(E49&lt;&gt;"",F49*G49,SUMIFS(I50:I$9909,$C50:$C$9909,"*"&amp;C49&amp;"*",$E50:$E$9909,"&lt;&gt;"))</f>
        <v>0</v>
      </c>
      <c r="J49" s="112">
        <f>IF($E49&lt;&gt;"",$F49*H49,SUMIFS(J50:J$9909,$C50:$C$9909,"*"&amp;$C49&amp;"*",$E50:$E$9909,"&lt;&gt;"))</f>
        <v>15000</v>
      </c>
      <c r="K49" s="103">
        <f>IF(I49&gt;0,(I49-J49-I49*PARAMETROS!$C$19)/I49,0)</f>
        <v>0</v>
      </c>
      <c r="L49" s="104"/>
      <c r="M49" s="105"/>
      <c r="N49" s="112"/>
      <c r="O49" s="105"/>
      <c r="P49" s="105"/>
      <c r="Q49" s="105"/>
      <c r="R49" s="105"/>
      <c r="S49" s="105"/>
      <c r="T49" s="105"/>
      <c r="U49" s="105"/>
      <c r="V49" s="105"/>
      <c r="W49" s="105"/>
      <c r="X49" s="105">
        <v>0</v>
      </c>
    </row>
    <row r="50" spans="1:24" ht="15.75" customHeight="1" x14ac:dyDescent="0.3">
      <c r="A50" s="144" t="str">
        <f t="shared" si="1"/>
        <v/>
      </c>
      <c r="B50" s="145"/>
      <c r="C50" s="110" t="s">
        <v>208</v>
      </c>
      <c r="D50" s="111" t="s">
        <v>187</v>
      </c>
      <c r="E50" s="111" t="s">
        <v>167</v>
      </c>
      <c r="F50" s="112">
        <v>1</v>
      </c>
      <c r="G50" s="112">
        <v>0</v>
      </c>
      <c r="H50" s="112">
        <f>2305.6*1.4*1.8</f>
        <v>5810.1119999999992</v>
      </c>
      <c r="I50" s="112">
        <f>IF(E50&lt;&gt;"",F50*G50,SUMIFS(I51:I$9909,$C51:$C$9909,"*"&amp;C50&amp;"*",$E51:$E$9909,"&lt;&gt;"))</f>
        <v>0</v>
      </c>
      <c r="J50" s="112">
        <f>IF($E50&lt;&gt;"",$F50*H50,SUMIFS(J51:J$9909,$C51:$C$9909,"*"&amp;$C50&amp;"*",$E51:$E$9909,"&lt;&gt;"))</f>
        <v>5810.1119999999992</v>
      </c>
      <c r="K50" s="103">
        <f>IF(I50&gt;0,(I50-J50-I50*PARAMETROS!$C$19)/I50,0)</f>
        <v>0</v>
      </c>
      <c r="L50" s="104"/>
      <c r="M50" s="105"/>
      <c r="N50" s="112"/>
      <c r="O50" s="105"/>
      <c r="P50" s="105"/>
      <c r="Q50" s="105"/>
      <c r="R50" s="105"/>
      <c r="S50" s="105"/>
      <c r="T50" s="105"/>
      <c r="U50" s="105"/>
      <c r="V50" s="105"/>
      <c r="W50" s="105"/>
      <c r="X50" s="105">
        <v>0</v>
      </c>
    </row>
    <row r="51" spans="1:24" ht="15.75" customHeight="1" x14ac:dyDescent="0.3">
      <c r="A51" s="144" t="str">
        <f t="shared" si="1"/>
        <v/>
      </c>
      <c r="B51" s="145"/>
      <c r="C51" s="106" t="s">
        <v>209</v>
      </c>
      <c r="D51" s="107" t="s">
        <v>191</v>
      </c>
      <c r="E51" s="108"/>
      <c r="F51" s="109"/>
      <c r="G51" s="109"/>
      <c r="H51" s="109"/>
      <c r="I51" s="109">
        <f>IF(E51&lt;&gt;"",F51*G51,SUMIFS(I52:I$9909,$C52:$C$9909,"*"&amp;C51&amp;"*",$E52:$E$9909,"&lt;&gt;"))</f>
        <v>0</v>
      </c>
      <c r="J51" s="109">
        <f>IF($E51&lt;&gt;"",$F51*H51,SUMIFS(J52:J$9909,$C52:$C$9909,"*"&amp;$C51&amp;"*",$E52:$E$9909,"&lt;&gt;"))</f>
        <v>5000</v>
      </c>
      <c r="K51" s="103">
        <f>IF(I51&gt;0,(I51-J51-I51*PARAMETROS!$C$19)/I51,0)</f>
        <v>0</v>
      </c>
      <c r="L51" s="104"/>
      <c r="M51" s="105"/>
      <c r="N51" s="112"/>
      <c r="O51" s="105"/>
      <c r="P51" s="105"/>
      <c r="Q51" s="105"/>
      <c r="R51" s="105"/>
      <c r="S51" s="105"/>
      <c r="T51" s="105"/>
      <c r="U51" s="105"/>
      <c r="V51" s="105"/>
      <c r="W51" s="105"/>
      <c r="X51" s="105"/>
    </row>
    <row r="52" spans="1:24" ht="15.75" customHeight="1" x14ac:dyDescent="0.3">
      <c r="A52" s="144" t="str">
        <f t="shared" si="1"/>
        <v/>
      </c>
      <c r="B52" s="145"/>
      <c r="C52" s="110" t="s">
        <v>210</v>
      </c>
      <c r="D52" s="111" t="s">
        <v>193</v>
      </c>
      <c r="E52" s="111" t="s">
        <v>194</v>
      </c>
      <c r="F52" s="112">
        <v>5000</v>
      </c>
      <c r="G52" s="112">
        <v>0</v>
      </c>
      <c r="H52" s="112">
        <v>1</v>
      </c>
      <c r="I52" s="112">
        <f>IF(E52&lt;&gt;"",F52*G52,SUMIFS(I53:I$9909,$C53:$C$9909,"*"&amp;C52&amp;"*",$E53:$E$9909,"&lt;&gt;"))</f>
        <v>0</v>
      </c>
      <c r="J52" s="112">
        <f>IF($E52&lt;&gt;"",$F52*H52,SUMIFS(J53:J$9909,$C53:$C$9909,"*"&amp;$C52&amp;"*",$E53:$E$9909,"&lt;&gt;"))</f>
        <v>5000</v>
      </c>
      <c r="K52" s="103">
        <f>IF(I52&gt;0,(I52-J52-I52*PARAMETROS!$C$19)/I52,0)</f>
        <v>0</v>
      </c>
      <c r="L52" s="104"/>
      <c r="M52" s="105"/>
      <c r="N52" s="109"/>
      <c r="O52" s="105"/>
      <c r="P52" s="105"/>
      <c r="Q52" s="105"/>
      <c r="R52" s="105"/>
      <c r="S52" s="105"/>
      <c r="T52" s="105"/>
      <c r="U52" s="105"/>
      <c r="V52" s="105"/>
      <c r="W52" s="105"/>
      <c r="X52" s="105">
        <v>1</v>
      </c>
    </row>
    <row r="53" spans="1:24" ht="15.75" customHeight="1" x14ac:dyDescent="0.3">
      <c r="A53" s="144" t="str">
        <f t="shared" si="1"/>
        <v/>
      </c>
      <c r="B53" s="145"/>
      <c r="C53" s="106" t="s">
        <v>211</v>
      </c>
      <c r="D53" s="107" t="s">
        <v>169</v>
      </c>
      <c r="E53" s="108"/>
      <c r="F53" s="109"/>
      <c r="G53" s="109"/>
      <c r="H53" s="109"/>
      <c r="I53" s="109">
        <f>IF(E53&lt;&gt;"",F53*G53,SUMIFS(I54:I$9909,$C54:$C$9909,"*"&amp;C53&amp;"*",$E54:$E$9909,"&lt;&gt;"))</f>
        <v>0</v>
      </c>
      <c r="J53" s="109">
        <f>IF($E53&lt;&gt;"",$F53*H53,SUMIFS(J54:J$9909,$C54:$C$9909,"*"&amp;$C53&amp;"*",$E54:$E$9909,"&lt;&gt;"))</f>
        <v>6154</v>
      </c>
      <c r="K53" s="103">
        <f>IF(I53&gt;0,(I53-J53-I53*PARAMETROS!$C$19)/I53,0)</f>
        <v>0</v>
      </c>
      <c r="L53" s="104"/>
      <c r="M53" s="105"/>
      <c r="N53" s="109"/>
      <c r="O53" s="105"/>
      <c r="P53" s="105"/>
      <c r="Q53" s="105"/>
      <c r="R53" s="105"/>
      <c r="S53" s="105"/>
      <c r="T53" s="105"/>
      <c r="U53" s="105"/>
      <c r="V53" s="105"/>
      <c r="W53" s="105"/>
      <c r="X53" s="105"/>
    </row>
    <row r="54" spans="1:24" ht="15.75" customHeight="1" x14ac:dyDescent="0.3">
      <c r="A54" s="144" t="str">
        <f t="shared" si="1"/>
        <v/>
      </c>
      <c r="B54" s="145"/>
      <c r="C54" s="110" t="s">
        <v>212</v>
      </c>
      <c r="D54" s="111" t="s">
        <v>171</v>
      </c>
      <c r="E54" s="111" t="s">
        <v>128</v>
      </c>
      <c r="F54" s="112">
        <v>1</v>
      </c>
      <c r="G54" s="112">
        <v>0</v>
      </c>
      <c r="H54" s="112">
        <f>3180*1.8+(1290*2)/6</f>
        <v>6154</v>
      </c>
      <c r="I54" s="112">
        <f>IF(E54&lt;&gt;"",F54*G54,SUMIFS(I55:I$9909,$C55:$C$9909,"*"&amp;C54&amp;"*",$E55:$E$9909,"&lt;&gt;"))</f>
        <v>0</v>
      </c>
      <c r="J54" s="112">
        <f>IF($E54&lt;&gt;"",$F54*H54,SUMIFS(J55:J$9909,$C55:$C$9909,"*"&amp;$C54&amp;"*",$E55:$E$9909,"&lt;&gt;"))</f>
        <v>6154</v>
      </c>
      <c r="K54" s="103">
        <f>IF(I54&gt;0,(I54-J54-I54*PARAMETROS!$C$19)/I54,0)</f>
        <v>0</v>
      </c>
      <c r="L54" s="104"/>
      <c r="M54" s="105"/>
      <c r="N54" s="112"/>
      <c r="O54" s="105"/>
      <c r="P54" s="105"/>
      <c r="Q54" s="105"/>
      <c r="R54" s="105"/>
      <c r="S54" s="105"/>
      <c r="T54" s="105"/>
      <c r="U54" s="105"/>
      <c r="V54" s="105"/>
      <c r="W54" s="105"/>
      <c r="X54" s="105">
        <v>0</v>
      </c>
    </row>
    <row r="55" spans="1:24" ht="15.75" customHeight="1" x14ac:dyDescent="0.3">
      <c r="A55" s="144" t="str">
        <f t="shared" si="1"/>
        <v/>
      </c>
      <c r="B55" s="145"/>
      <c r="C55" s="106" t="s">
        <v>213</v>
      </c>
      <c r="D55" s="107" t="s">
        <v>173</v>
      </c>
      <c r="E55" s="108"/>
      <c r="F55" s="109"/>
      <c r="G55" s="109"/>
      <c r="H55" s="109"/>
      <c r="I55" s="109">
        <f>IF(E55&lt;&gt;"",F55*G55,SUMIFS(I56:I$9909,$C56:$C$9909,"*"&amp;C55&amp;"*",$E56:$E$9909,"&lt;&gt;"))</f>
        <v>0</v>
      </c>
      <c r="J55" s="109">
        <f>IF($E55&lt;&gt;"",$F55*H55,SUMIFS(J56:J$9909,$C56:$C$9909,"*"&amp;$C55&amp;"*",$E56:$E$9909,"&lt;&gt;"))</f>
        <v>7000</v>
      </c>
      <c r="K55" s="103">
        <f>IF(I55&gt;0,(I55-J55-I55*PARAMETROS!$C$19)/I55,0)</f>
        <v>0</v>
      </c>
      <c r="L55" s="104"/>
      <c r="M55" s="105"/>
      <c r="N55" s="109"/>
      <c r="O55" s="105"/>
      <c r="P55" s="105"/>
      <c r="Q55" s="105"/>
      <c r="R55" s="105"/>
      <c r="S55" s="105"/>
      <c r="T55" s="105"/>
      <c r="U55" s="105"/>
      <c r="V55" s="105"/>
      <c r="W55" s="105"/>
      <c r="X55" s="105"/>
    </row>
    <row r="56" spans="1:24" ht="15.75" customHeight="1" x14ac:dyDescent="0.3">
      <c r="A56" s="144" t="str">
        <f t="shared" si="1"/>
        <v/>
      </c>
      <c r="B56" s="145"/>
      <c r="C56" s="110" t="s">
        <v>214</v>
      </c>
      <c r="D56" s="111" t="s">
        <v>175</v>
      </c>
      <c r="E56" s="111" t="s">
        <v>176</v>
      </c>
      <c r="F56" s="112">
        <v>1000</v>
      </c>
      <c r="G56" s="112">
        <v>0</v>
      </c>
      <c r="H56" s="112">
        <v>7</v>
      </c>
      <c r="I56" s="112">
        <f>IF(E56&lt;&gt;"",F56*G56,SUMIFS(I68:I$9909,$C68:$C$9909,"*"&amp;C56&amp;"*",$E68:$E$9909,"&lt;&gt;"))</f>
        <v>0</v>
      </c>
      <c r="J56" s="112">
        <f>IF($E56&lt;&gt;"",$F56*H56,SUMIFS(J68:J$9909,$C68:$C$9909,"*"&amp;$C56&amp;"*",$E68:$E$9909,"&lt;&gt;"))</f>
        <v>7000</v>
      </c>
      <c r="K56" s="103">
        <f>IF(I56&gt;0,(I56-J56-I56*PARAMETROS!$C$19)/I56,0)</f>
        <v>0</v>
      </c>
      <c r="L56" s="104"/>
      <c r="M56" s="105"/>
      <c r="N56" s="112"/>
      <c r="O56" s="105"/>
      <c r="P56" s="105"/>
      <c r="Q56" s="105"/>
      <c r="R56" s="105"/>
      <c r="S56" s="105"/>
      <c r="T56" s="105"/>
      <c r="U56" s="105"/>
      <c r="V56" s="105"/>
      <c r="W56" s="105"/>
      <c r="X56" s="105">
        <v>0</v>
      </c>
    </row>
    <row r="57" spans="1:24" s="48" customFormat="1" ht="15.75" hidden="1" customHeight="1" x14ac:dyDescent="0.3">
      <c r="A57" s="361"/>
      <c r="B57" s="362"/>
      <c r="C57" s="357" t="s">
        <v>215</v>
      </c>
      <c r="D57" s="358" t="s">
        <v>216</v>
      </c>
      <c r="E57" s="359"/>
      <c r="F57" s="360"/>
      <c r="G57" s="360"/>
      <c r="H57" s="360"/>
      <c r="I57" s="360">
        <f>IF(E57&lt;&gt;"",F57*G57,SUMIFS(I58:I$9909,$C58:$C$9909,"*"&amp;C57&amp;"*",$E58:$E$9909,"&lt;&gt;"))</f>
        <v>0</v>
      </c>
      <c r="J57" s="360">
        <f>IF($E57&lt;&gt;"",$F57*H57,SUMIFS(J58:J$9909,$C58:$C$9909,"*"&amp;$C57&amp;"*",$E58:$E$9909,"&lt;&gt;"))</f>
        <v>0</v>
      </c>
      <c r="K57" s="128">
        <f>IF(I57&gt;0,(I57-J57-I57*PARAMETROS!$C$19)/I57,0)</f>
        <v>0</v>
      </c>
      <c r="L57" s="363"/>
      <c r="M57" s="364"/>
      <c r="N57" s="365"/>
      <c r="O57" s="364"/>
      <c r="P57" s="364"/>
      <c r="Q57" s="364"/>
      <c r="R57" s="364"/>
      <c r="S57" s="364"/>
      <c r="T57" s="364"/>
      <c r="U57" s="364"/>
      <c r="V57" s="364"/>
      <c r="W57" s="364"/>
      <c r="X57" s="364"/>
    </row>
    <row r="58" spans="1:24" ht="15.75" hidden="1" customHeight="1" x14ac:dyDescent="0.3">
      <c r="B58" s="145"/>
      <c r="C58" s="106" t="s">
        <v>217</v>
      </c>
      <c r="D58" s="107" t="s">
        <v>181</v>
      </c>
      <c r="E58" s="108"/>
      <c r="F58" s="109"/>
      <c r="G58" s="109"/>
      <c r="H58" s="109"/>
      <c r="I58" s="109">
        <f>IF(E58&lt;&gt;"",F58*G58,SUMIFS(I59:I$9909,$C59:$C$9909,"*"&amp;C58&amp;"*",$E59:$E$9909,"&lt;&gt;"))</f>
        <v>0</v>
      </c>
      <c r="J58" s="109">
        <f>IF($E58&lt;&gt;"",$F58*H58,SUMIFS(J59:J$9909,$C59:$C$9909,"*"&amp;$C58&amp;"*",$E59:$E$9909,"&lt;&gt;"))</f>
        <v>0</v>
      </c>
      <c r="K58" s="103">
        <f>IF(I58&gt;0,(I58-J58-I58*PARAMETROS!$C$19)/I58,0)</f>
        <v>0</v>
      </c>
      <c r="L58" s="104"/>
      <c r="M58" s="105"/>
      <c r="N58" s="112"/>
      <c r="O58" s="105"/>
      <c r="P58" s="105"/>
      <c r="Q58" s="105"/>
      <c r="R58" s="105"/>
      <c r="S58" s="105"/>
      <c r="T58" s="105"/>
      <c r="U58" s="105"/>
      <c r="V58" s="105"/>
      <c r="W58" s="105"/>
      <c r="X58" s="105"/>
    </row>
    <row r="59" spans="1:24" ht="15.75" hidden="1" customHeight="1" x14ac:dyDescent="0.3">
      <c r="B59" s="145"/>
      <c r="C59" s="110" t="s">
        <v>218</v>
      </c>
      <c r="D59" s="111" t="s">
        <v>219</v>
      </c>
      <c r="E59" s="111" t="s">
        <v>128</v>
      </c>
      <c r="F59" s="112"/>
      <c r="G59" s="112">
        <v>0</v>
      </c>
      <c r="H59" s="112">
        <f>5975.82*1.4*1.8</f>
        <v>15059.0664</v>
      </c>
      <c r="I59" s="112">
        <f>IF(E59&lt;&gt;"",F59*G59,SUMIFS(I60:I$9909,$C60:$C$9909,"*"&amp;C59&amp;"*",$E60:$E$9909,"&lt;&gt;"))</f>
        <v>0</v>
      </c>
      <c r="J59" s="112">
        <f>IF($E59&lt;&gt;"",$F59*H59,SUMIFS(J60:J$9909,$C60:$C$9909,"*"&amp;$C59&amp;"*",$E60:$E$9909,"&lt;&gt;"))</f>
        <v>0</v>
      </c>
      <c r="K59" s="103">
        <f>IF(I59&gt;0,(I59-J59-I59*PARAMETROS!$C$19)/I59,0)</f>
        <v>0</v>
      </c>
      <c r="L59" s="104"/>
      <c r="M59" s="105"/>
      <c r="N59" s="112"/>
      <c r="O59" s="105"/>
      <c r="P59" s="105"/>
      <c r="Q59" s="105"/>
      <c r="R59" s="105"/>
      <c r="S59" s="105"/>
      <c r="T59" s="105"/>
      <c r="U59" s="105"/>
      <c r="V59" s="105"/>
      <c r="W59" s="105"/>
      <c r="X59" s="105"/>
    </row>
    <row r="60" spans="1:24" ht="15.75" hidden="1" customHeight="1" x14ac:dyDescent="0.3">
      <c r="B60" s="145"/>
      <c r="C60" s="110" t="s">
        <v>220</v>
      </c>
      <c r="D60" s="111" t="s">
        <v>189</v>
      </c>
      <c r="E60" s="111" t="s">
        <v>128</v>
      </c>
      <c r="F60" s="112"/>
      <c r="G60" s="112">
        <v>0</v>
      </c>
      <c r="H60" s="112">
        <v>15000</v>
      </c>
      <c r="I60" s="112">
        <f>IF(E60&lt;&gt;"",F60*G60,SUMIFS(I61:I$9909,$C61:$C$9909,"*"&amp;C60&amp;"*",$E61:$E$9909,"&lt;&gt;"))</f>
        <v>0</v>
      </c>
      <c r="J60" s="112">
        <f>IF($E60&lt;&gt;"",$F60*H60,SUMIFS(J61:J$9909,$C61:$C$9909,"*"&amp;$C60&amp;"*",$E61:$E$9909,"&lt;&gt;"))</f>
        <v>0</v>
      </c>
      <c r="K60" s="103">
        <f>IF(I60&gt;0,(I60-J60-I60*PARAMETROS!$C$19)/I60,0)</f>
        <v>0</v>
      </c>
      <c r="L60" s="104"/>
      <c r="M60" s="105"/>
      <c r="N60" s="112"/>
      <c r="O60" s="105"/>
      <c r="P60" s="105"/>
      <c r="Q60" s="105"/>
      <c r="R60" s="105"/>
      <c r="S60" s="105"/>
      <c r="T60" s="105"/>
      <c r="U60" s="105"/>
      <c r="V60" s="105"/>
      <c r="W60" s="105"/>
      <c r="X60" s="105"/>
    </row>
    <row r="61" spans="1:24" ht="15.75" hidden="1" customHeight="1" x14ac:dyDescent="0.3">
      <c r="B61" s="145"/>
      <c r="C61" s="110" t="s">
        <v>221</v>
      </c>
      <c r="D61" s="111" t="s">
        <v>187</v>
      </c>
      <c r="E61" s="111" t="s">
        <v>167</v>
      </c>
      <c r="F61" s="112"/>
      <c r="G61" s="112">
        <v>0</v>
      </c>
      <c r="H61" s="112">
        <f>2305.6*1.4*1.8</f>
        <v>5810.1119999999992</v>
      </c>
      <c r="I61" s="112">
        <f>IF(E61&lt;&gt;"",F61*G61,SUMIFS(I62:I$9909,$C62:$C$9909,"*"&amp;C61&amp;"*",$E62:$E$9909,"&lt;&gt;"))</f>
        <v>0</v>
      </c>
      <c r="J61" s="112">
        <f>IF($E61&lt;&gt;"",$F61*H61,SUMIFS(J62:J$9909,$C62:$C$9909,"*"&amp;$C61&amp;"*",$E62:$E$9909,"&lt;&gt;"))</f>
        <v>0</v>
      </c>
      <c r="K61" s="103">
        <f>IF(I61&gt;0,(I61-J61-I61*PARAMETROS!$C$19)/I61,0)</f>
        <v>0</v>
      </c>
      <c r="L61" s="104"/>
      <c r="M61" s="105"/>
      <c r="N61" s="112"/>
      <c r="O61" s="105"/>
      <c r="P61" s="105"/>
      <c r="Q61" s="105"/>
      <c r="R61" s="105"/>
      <c r="S61" s="105"/>
      <c r="T61" s="105"/>
      <c r="U61" s="105"/>
      <c r="V61" s="105"/>
      <c r="W61" s="105"/>
      <c r="X61" s="105"/>
    </row>
    <row r="62" spans="1:24" ht="15.75" hidden="1" customHeight="1" x14ac:dyDescent="0.3">
      <c r="B62" s="145"/>
      <c r="C62" s="106" t="s">
        <v>222</v>
      </c>
      <c r="D62" s="107" t="s">
        <v>191</v>
      </c>
      <c r="E62" s="108"/>
      <c r="F62" s="109"/>
      <c r="G62" s="109"/>
      <c r="H62" s="109"/>
      <c r="I62" s="109">
        <f>IF(E62&lt;&gt;"",F62*G62,SUMIFS(I63:I$9909,$C63:$C$9909,"*"&amp;C62&amp;"*",$E63:$E$9909,"&lt;&gt;"))</f>
        <v>0</v>
      </c>
      <c r="J62" s="109">
        <f>IF($E62&lt;&gt;"",$F62*H62,SUMIFS(J63:J$9909,$C63:$C$9909,"*"&amp;$C62&amp;"*",$E63:$E$9909,"&lt;&gt;"))</f>
        <v>0</v>
      </c>
      <c r="K62" s="103">
        <f>IF(I62&gt;0,(I62-J62-I62*PARAMETROS!$C$19)/I62,0)</f>
        <v>0</v>
      </c>
      <c r="L62" s="104"/>
      <c r="M62" s="105"/>
      <c r="N62" s="112"/>
      <c r="O62" s="105"/>
      <c r="P62" s="105"/>
      <c r="Q62" s="105"/>
      <c r="R62" s="105"/>
      <c r="S62" s="105"/>
      <c r="T62" s="105"/>
      <c r="U62" s="105"/>
      <c r="V62" s="105"/>
      <c r="W62" s="105"/>
      <c r="X62" s="105"/>
    </row>
    <row r="63" spans="1:24" ht="15.75" hidden="1" customHeight="1" x14ac:dyDescent="0.3">
      <c r="B63" s="145"/>
      <c r="C63" s="110" t="s">
        <v>223</v>
      </c>
      <c r="D63" s="111" t="s">
        <v>224</v>
      </c>
      <c r="E63" s="111" t="s">
        <v>194</v>
      </c>
      <c r="F63" s="112"/>
      <c r="G63" s="112">
        <v>0</v>
      </c>
      <c r="H63" s="112">
        <v>1</v>
      </c>
      <c r="I63" s="112">
        <f>IF(E63&lt;&gt;"",F63*G63,SUMIFS(I64:I$9909,$C64:$C$9909,"*"&amp;C63&amp;"*",$E64:$E$9909,"&lt;&gt;"))</f>
        <v>0</v>
      </c>
      <c r="J63" s="112">
        <f>IF($E63&lt;&gt;"",$F63*H63,SUMIFS(J64:J$9909,$C64:$C$9909,"*"&amp;$C63&amp;"*",$E64:$E$9909,"&lt;&gt;"))</f>
        <v>0</v>
      </c>
      <c r="K63" s="103">
        <f>IF(I63&gt;0,(I63-J63-I63*PARAMETROS!$C$19)/I63,0)</f>
        <v>0</v>
      </c>
      <c r="L63" s="104"/>
      <c r="M63" s="105"/>
      <c r="N63" s="112"/>
      <c r="O63" s="105"/>
      <c r="P63" s="105"/>
      <c r="Q63" s="105"/>
      <c r="R63" s="105"/>
      <c r="S63" s="105"/>
      <c r="T63" s="105"/>
      <c r="U63" s="105"/>
      <c r="V63" s="105"/>
      <c r="W63" s="105"/>
      <c r="X63" s="105"/>
    </row>
    <row r="64" spans="1:24" ht="15.75" hidden="1" customHeight="1" x14ac:dyDescent="0.3">
      <c r="B64" s="145"/>
      <c r="C64" s="106" t="s">
        <v>225</v>
      </c>
      <c r="D64" s="107" t="s">
        <v>169</v>
      </c>
      <c r="E64" s="108"/>
      <c r="F64" s="109"/>
      <c r="G64" s="109"/>
      <c r="H64" s="109"/>
      <c r="I64" s="109">
        <f>IF(E64&lt;&gt;"",F64*G64,SUMIFS(I65:I$9909,$C65:$C$9909,"*"&amp;C64&amp;"*",$E65:$E$9909,"&lt;&gt;"))</f>
        <v>0</v>
      </c>
      <c r="J64" s="109">
        <f>IF($E64&lt;&gt;"",$F64*H64,SUMIFS(J65:J$9909,$C65:$C$9909,"*"&amp;$C64&amp;"*",$E65:$E$9909,"&lt;&gt;"))</f>
        <v>0</v>
      </c>
      <c r="K64" s="103">
        <f>IF(I64&gt;0,(I64-J64-I64*PARAMETROS!$C$19)/I64,0)</f>
        <v>0</v>
      </c>
      <c r="L64" s="104"/>
      <c r="M64" s="105"/>
      <c r="N64" s="112"/>
      <c r="O64" s="105"/>
      <c r="P64" s="105"/>
      <c r="Q64" s="105"/>
      <c r="R64" s="105"/>
      <c r="S64" s="105"/>
      <c r="T64" s="105"/>
      <c r="U64" s="105"/>
      <c r="V64" s="105"/>
      <c r="W64" s="105"/>
      <c r="X64" s="105"/>
    </row>
    <row r="65" spans="1:24" ht="15.75" hidden="1" customHeight="1" x14ac:dyDescent="0.3">
      <c r="B65" s="145"/>
      <c r="C65" s="110" t="s">
        <v>226</v>
      </c>
      <c r="D65" s="111" t="s">
        <v>171</v>
      </c>
      <c r="E65" s="111" t="s">
        <v>128</v>
      </c>
      <c r="F65" s="112"/>
      <c r="G65" s="112">
        <v>0</v>
      </c>
      <c r="H65" s="112">
        <f>3180*1.8+(1290*2)/6</f>
        <v>6154</v>
      </c>
      <c r="I65" s="112">
        <f>IF(E65&lt;&gt;"",F65*G65,SUMIFS(I66:I$9909,$C66:$C$9909,"*"&amp;C65&amp;"*",$E66:$E$9909,"&lt;&gt;"))</f>
        <v>0</v>
      </c>
      <c r="J65" s="112">
        <f>IF($E65&lt;&gt;"",$F65*H65,SUMIFS(J66:J$9909,$C66:$C$9909,"*"&amp;$C65&amp;"*",$E66:$E$9909,"&lt;&gt;"))</f>
        <v>0</v>
      </c>
      <c r="K65" s="103">
        <f>IF(I65&gt;0,(I65-J65-I65*PARAMETROS!$C$19)/I65,0)</f>
        <v>0</v>
      </c>
      <c r="L65" s="104"/>
      <c r="M65" s="105"/>
      <c r="N65" s="112"/>
      <c r="O65" s="105"/>
      <c r="P65" s="105"/>
      <c r="Q65" s="105"/>
      <c r="R65" s="105"/>
      <c r="S65" s="105"/>
      <c r="T65" s="105"/>
      <c r="U65" s="105"/>
      <c r="V65" s="105"/>
      <c r="W65" s="105"/>
      <c r="X65" s="105"/>
    </row>
    <row r="66" spans="1:24" ht="15.75" hidden="1" customHeight="1" x14ac:dyDescent="0.3">
      <c r="B66" s="145"/>
      <c r="C66" s="106" t="s">
        <v>227</v>
      </c>
      <c r="D66" s="107" t="s">
        <v>173</v>
      </c>
      <c r="E66" s="108"/>
      <c r="F66" s="109"/>
      <c r="G66" s="109"/>
      <c r="H66" s="109"/>
      <c r="I66" s="109">
        <f>IF(E66&lt;&gt;"",F66*G66,SUMIFS(I67:I$9909,$C67:$C$9909,"*"&amp;C66&amp;"*",$E67:$E$9909,"&lt;&gt;"))</f>
        <v>0</v>
      </c>
      <c r="J66" s="109">
        <f>IF($E66&lt;&gt;"",$F66*H66,SUMIFS(J67:J$9909,$C67:$C$9909,"*"&amp;$C66&amp;"*",$E67:$E$9909,"&lt;&gt;"))</f>
        <v>0</v>
      </c>
      <c r="K66" s="103">
        <f>IF(I66&gt;0,(I66-J66-I66*PARAMETROS!$C$19)/I66,0)</f>
        <v>0</v>
      </c>
      <c r="L66" s="104"/>
      <c r="M66" s="105"/>
      <c r="N66" s="112"/>
      <c r="O66" s="105"/>
      <c r="P66" s="105"/>
      <c r="Q66" s="105"/>
      <c r="R66" s="105"/>
      <c r="S66" s="105"/>
      <c r="T66" s="105"/>
      <c r="U66" s="105"/>
      <c r="V66" s="105"/>
      <c r="W66" s="105"/>
      <c r="X66" s="105"/>
    </row>
    <row r="67" spans="1:24" ht="15.75" hidden="1" customHeight="1" x14ac:dyDescent="0.3">
      <c r="B67" s="145"/>
      <c r="C67" s="110" t="s">
        <v>228</v>
      </c>
      <c r="D67" s="111" t="s">
        <v>175</v>
      </c>
      <c r="E67" s="111" t="s">
        <v>176</v>
      </c>
      <c r="F67" s="112"/>
      <c r="G67" s="112">
        <v>0</v>
      </c>
      <c r="H67" s="112">
        <v>4.9000000000000004</v>
      </c>
      <c r="I67" s="112">
        <f>IF(E67&lt;&gt;"",F67*G67,SUMIFS(I80:I$9909,$C80:$C$9909,"*"&amp;C67&amp;"*",$E80:$E$9909,"&lt;&gt;"))</f>
        <v>0</v>
      </c>
      <c r="J67" s="112">
        <f>IF($E67&lt;&gt;"",$F67*H67,SUMIFS(J80:J$9909,$C80:$C$9909,"*"&amp;$C67&amp;"*",$E80:$E$9909,"&lt;&gt;"))</f>
        <v>0</v>
      </c>
      <c r="K67" s="103">
        <f>IF(I67&gt;0,(I67-J67-I67*PARAMETROS!$C$19)/I67,0)</f>
        <v>0</v>
      </c>
      <c r="L67" s="104"/>
      <c r="M67" s="105"/>
      <c r="N67" s="112"/>
      <c r="O67" s="105"/>
      <c r="P67" s="105"/>
      <c r="Q67" s="105"/>
      <c r="R67" s="105"/>
      <c r="S67" s="105"/>
      <c r="T67" s="105"/>
      <c r="U67" s="105"/>
      <c r="V67" s="105"/>
      <c r="W67" s="105"/>
      <c r="X67" s="105"/>
    </row>
    <row r="68" spans="1:24" s="48" customFormat="1" ht="15.75" customHeight="1" x14ac:dyDescent="0.3">
      <c r="A68" s="361" t="str">
        <f t="shared" si="1"/>
        <v/>
      </c>
      <c r="B68" s="362"/>
      <c r="C68" s="357" t="s">
        <v>229</v>
      </c>
      <c r="D68" s="358" t="s">
        <v>230</v>
      </c>
      <c r="E68" s="359"/>
      <c r="F68" s="360"/>
      <c r="G68" s="360"/>
      <c r="H68" s="360"/>
      <c r="I68" s="360">
        <f>IF(E68&lt;&gt;"",F68*G68,SUMIFS(I69:I$9909,$C69:$C$9909,"*"&amp;C68&amp;"*",$E69:$E$9909,"&lt;&gt;"))</f>
        <v>0</v>
      </c>
      <c r="J68" s="360">
        <f>IF($E68&lt;&gt;"",$F68*H68,SUMIFS(J69:J$9909,$C69:$C$9909,"*"&amp;$C68&amp;"*",$E69:$E$9909,"&lt;&gt;"))</f>
        <v>34122.209600000002</v>
      </c>
      <c r="K68" s="128">
        <f>IF(I68&gt;0,(I68-J68-I68*PARAMETROS!$C$19)/I68,0)</f>
        <v>0</v>
      </c>
      <c r="L68" s="363" t="s">
        <v>122</v>
      </c>
      <c r="M68" s="364"/>
      <c r="N68" s="365"/>
      <c r="O68" s="364"/>
      <c r="P68" s="364"/>
      <c r="Q68" s="364"/>
      <c r="R68" s="364"/>
      <c r="S68" s="364"/>
      <c r="T68" s="364"/>
      <c r="U68" s="364"/>
      <c r="V68" s="364"/>
      <c r="W68" s="364"/>
      <c r="X68" s="364"/>
    </row>
    <row r="69" spans="1:24" ht="15.75" customHeight="1" x14ac:dyDescent="0.3">
      <c r="A69" s="144" t="str">
        <f t="shared" si="1"/>
        <v/>
      </c>
      <c r="B69" s="145"/>
      <c r="C69" s="106" t="s">
        <v>49</v>
      </c>
      <c r="D69" s="107" t="s">
        <v>231</v>
      </c>
      <c r="E69" s="108"/>
      <c r="F69" s="109"/>
      <c r="G69" s="109"/>
      <c r="H69" s="109"/>
      <c r="I69" s="109">
        <f>IF(E69&lt;&gt;"",F69*G69,SUMIFS(I70:I$9909,$C70:$C$9909,"*"&amp;C69&amp;"*",$E70:$E$9909,"&lt;&gt;"))</f>
        <v>0</v>
      </c>
      <c r="J69" s="109">
        <f>IF($E69&lt;&gt;"",$F69*H69,SUMIFS(J70:J$9909,$C70:$C$9909,"*"&amp;$C69&amp;"*",$E70:$E$9909,"&lt;&gt;"))</f>
        <v>21512.209600000002</v>
      </c>
      <c r="K69" s="103">
        <f>IF(I69&gt;0,(I69-J69-I69*PARAMETROS!$C$19)/I69,0)</f>
        <v>0</v>
      </c>
      <c r="L69" s="104"/>
      <c r="M69" s="105"/>
      <c r="N69" s="109"/>
      <c r="O69" s="105"/>
      <c r="P69" s="105"/>
      <c r="Q69" s="105"/>
      <c r="R69" s="105"/>
      <c r="S69" s="105"/>
      <c r="T69" s="105"/>
      <c r="U69" s="105"/>
      <c r="V69" s="105"/>
      <c r="W69" s="105"/>
      <c r="X69" s="105"/>
    </row>
    <row r="70" spans="1:24" ht="15.75" customHeight="1" x14ac:dyDescent="0.3">
      <c r="A70" s="144" t="str">
        <f t="shared" si="1"/>
        <v/>
      </c>
      <c r="B70" s="145"/>
      <c r="C70" s="110" t="s">
        <v>232</v>
      </c>
      <c r="D70" s="111" t="s">
        <v>233</v>
      </c>
      <c r="E70" s="111" t="s">
        <v>128</v>
      </c>
      <c r="F70" s="112">
        <v>1</v>
      </c>
      <c r="G70" s="112">
        <v>0</v>
      </c>
      <c r="H70" s="112">
        <f>4700*1.4*1.8</f>
        <v>11844</v>
      </c>
      <c r="I70" s="112">
        <f>IF(E70&lt;&gt;"",F70*G70,SUMIFS(I71:I$9909,$C71:$C$9909,"*"&amp;C70&amp;"*",$E71:$E$9909,"&lt;&gt;"))</f>
        <v>0</v>
      </c>
      <c r="J70" s="112">
        <f>IF($E70&lt;&gt;"",$F70*H70,SUMIFS(J71:J$9909,$C71:$C$9909,"*"&amp;$C70&amp;"*",$E71:$E$9909,"&lt;&gt;"))</f>
        <v>11844</v>
      </c>
      <c r="K70" s="103">
        <f>IF(I70&gt;0,(I70-J70-I70*PARAMETROS!$C$19)/I70,0)</f>
        <v>0</v>
      </c>
      <c r="L70" s="104"/>
      <c r="M70" s="105"/>
      <c r="N70" s="112"/>
      <c r="O70" s="105"/>
      <c r="P70" s="105"/>
      <c r="Q70" s="105"/>
      <c r="R70" s="105"/>
      <c r="S70" s="105"/>
      <c r="T70" s="105"/>
      <c r="U70" s="105"/>
      <c r="V70" s="105"/>
      <c r="W70" s="105"/>
      <c r="X70" s="105">
        <v>1</v>
      </c>
    </row>
    <row r="71" spans="1:24" ht="15.75" hidden="1" customHeight="1" x14ac:dyDescent="0.3">
      <c r="A71" s="144" t="str">
        <f t="shared" si="1"/>
        <v/>
      </c>
      <c r="B71" s="145"/>
      <c r="C71" s="110" t="s">
        <v>234</v>
      </c>
      <c r="D71" s="111" t="s">
        <v>235</v>
      </c>
      <c r="E71" s="111" t="s">
        <v>128</v>
      </c>
      <c r="F71" s="112"/>
      <c r="G71" s="112">
        <v>0</v>
      </c>
      <c r="H71" s="112">
        <v>6368.0973999999997</v>
      </c>
      <c r="I71" s="112">
        <f>IF(E71&lt;&gt;"",F71*G71,SUMIFS(I72:I$9909,$C72:$C$9909,"*"&amp;C71&amp;"*",$E72:$E$9909,"&lt;&gt;"))</f>
        <v>0</v>
      </c>
      <c r="J71" s="112">
        <f>IF($E71&lt;&gt;"",$F71*H71,SUMIFS(J72:J$9909,$C72:$C$9909,"*"&amp;$C71&amp;"*",$E72:$E$9909,"&lt;&gt;"))</f>
        <v>0</v>
      </c>
      <c r="K71" s="103">
        <f>IF(I71&gt;0,(I71-J71-I71*PARAMETROS!$C$19)/I71,0)</f>
        <v>0</v>
      </c>
      <c r="L71" s="104"/>
      <c r="M71" s="105">
        <v>2</v>
      </c>
      <c r="N71" s="109"/>
      <c r="O71" s="105"/>
      <c r="P71" s="105"/>
      <c r="Q71" s="105"/>
      <c r="R71" s="105"/>
      <c r="S71" s="105"/>
      <c r="T71" s="105"/>
      <c r="U71" s="105"/>
      <c r="V71" s="105"/>
      <c r="W71" s="105"/>
      <c r="X71" s="105">
        <v>0</v>
      </c>
    </row>
    <row r="72" spans="1:24" ht="15.75" hidden="1" customHeight="1" x14ac:dyDescent="0.3">
      <c r="A72" s="144" t="str">
        <f t="shared" si="1"/>
        <v/>
      </c>
      <c r="B72" s="145"/>
      <c r="C72" s="110" t="s">
        <v>236</v>
      </c>
      <c r="D72" s="111" t="s">
        <v>237</v>
      </c>
      <c r="E72" s="111" t="s">
        <v>128</v>
      </c>
      <c r="F72" s="112"/>
      <c r="G72" s="112">
        <v>0</v>
      </c>
      <c r="H72" s="112">
        <v>4601.8293000000003</v>
      </c>
      <c r="I72" s="112">
        <f>IF(E72&lt;&gt;"",F72*G72,SUMIFS(I73:I$9909,$C73:$C$9909,"*"&amp;C72&amp;"*",$E73:$E$9909,"&lt;&gt;"))</f>
        <v>0</v>
      </c>
      <c r="J72" s="112">
        <f>IF($E72&lt;&gt;"",$F72*H72,SUMIFS(J73:J$9909,$C73:$C$9909,"*"&amp;$C72&amp;"*",$E73:$E$9909,"&lt;&gt;"))</f>
        <v>0</v>
      </c>
      <c r="K72" s="103">
        <f>IF(I72&gt;0,(I72-J72-I72*PARAMETROS!$C$19)/I72,0)</f>
        <v>0</v>
      </c>
      <c r="L72" s="104"/>
      <c r="M72" s="105"/>
      <c r="N72" s="112"/>
      <c r="O72" s="105"/>
      <c r="P72" s="105"/>
      <c r="Q72" s="105"/>
      <c r="R72" s="105"/>
      <c r="S72" s="105"/>
      <c r="T72" s="105"/>
      <c r="U72" s="105"/>
      <c r="V72" s="105"/>
      <c r="W72" s="105"/>
      <c r="X72" s="105">
        <v>0</v>
      </c>
    </row>
    <row r="73" spans="1:24" ht="15.75" hidden="1" customHeight="1" x14ac:dyDescent="0.3">
      <c r="A73" s="144" t="str">
        <f t="shared" si="1"/>
        <v/>
      </c>
      <c r="B73" s="145"/>
      <c r="C73" s="110" t="s">
        <v>238</v>
      </c>
      <c r="D73" s="111" t="s">
        <v>239</v>
      </c>
      <c r="E73" s="111" t="s">
        <v>128</v>
      </c>
      <c r="F73" s="112"/>
      <c r="G73" s="112">
        <v>0</v>
      </c>
      <c r="H73" s="112">
        <v>4623.6728000000003</v>
      </c>
      <c r="I73" s="112">
        <f>IF(E73&lt;&gt;"",F73*G73,SUMIFS(I74:I$9909,$C74:$C$9909,"*"&amp;C73&amp;"*",$E74:$E$9909,"&lt;&gt;"))</f>
        <v>0</v>
      </c>
      <c r="J73" s="112">
        <f>IF($E73&lt;&gt;"",$F73*H73,SUMIFS(J74:J$9909,$C74:$C$9909,"*"&amp;$C73&amp;"*",$E74:$E$9909,"&lt;&gt;"))</f>
        <v>0</v>
      </c>
      <c r="K73" s="103">
        <f>IF(I73&gt;0,(I73-J73-I73*PARAMETROS!$C$19)/I73,0)</f>
        <v>0</v>
      </c>
      <c r="L73" s="104"/>
      <c r="M73" s="105"/>
      <c r="N73" s="112"/>
      <c r="O73" s="105"/>
      <c r="P73" s="105"/>
      <c r="Q73" s="105"/>
      <c r="R73" s="105"/>
      <c r="S73" s="105"/>
      <c r="T73" s="105"/>
      <c r="U73" s="105"/>
      <c r="V73" s="105"/>
      <c r="W73" s="105"/>
      <c r="X73" s="105">
        <v>0</v>
      </c>
    </row>
    <row r="74" spans="1:24" ht="15.75" customHeight="1" x14ac:dyDescent="0.3">
      <c r="A74" s="144" t="str">
        <f t="shared" si="1"/>
        <v/>
      </c>
      <c r="B74" s="145"/>
      <c r="C74" s="110" t="s">
        <v>240</v>
      </c>
      <c r="D74" s="111" t="s">
        <v>241</v>
      </c>
      <c r="E74" s="111" t="s">
        <v>128</v>
      </c>
      <c r="F74" s="112">
        <v>2</v>
      </c>
      <c r="G74" s="112">
        <v>0</v>
      </c>
      <c r="H74" s="112">
        <v>4834.1048000000001</v>
      </c>
      <c r="I74" s="112">
        <f>IF(E74&lt;&gt;"",F74*G74,SUMIFS(I75:I$9909,$C75:$C$9909,"*"&amp;C74&amp;"*",$E75:$E$9909,"&lt;&gt;"))</f>
        <v>0</v>
      </c>
      <c r="J74" s="112">
        <f>IF($E74&lt;&gt;"",$F74*H74,SUMIFS(J75:J$9909,$C75:$C$9909,"*"&amp;$C74&amp;"*",$E75:$E$9909,"&lt;&gt;"))</f>
        <v>9668.2096000000001</v>
      </c>
      <c r="K74" s="103">
        <f>IF(I74&gt;0,(I74-J74-I74*PARAMETROS!$C$19)/I74,0)</f>
        <v>0</v>
      </c>
      <c r="L74" s="104"/>
      <c r="M74" s="105"/>
      <c r="N74" s="109"/>
      <c r="O74" s="105"/>
      <c r="P74" s="105"/>
      <c r="Q74" s="105"/>
      <c r="R74" s="105"/>
      <c r="S74" s="105"/>
      <c r="T74" s="105"/>
      <c r="U74" s="105"/>
      <c r="V74" s="105"/>
      <c r="W74" s="105"/>
      <c r="X74" s="105">
        <v>3</v>
      </c>
    </row>
    <row r="75" spans="1:24" ht="15.75" hidden="1" customHeight="1" x14ac:dyDescent="0.3">
      <c r="A75" s="144" t="str">
        <f t="shared" si="1"/>
        <v/>
      </c>
      <c r="B75" s="145"/>
      <c r="C75" s="110" t="s">
        <v>242</v>
      </c>
      <c r="D75" s="111" t="s">
        <v>166</v>
      </c>
      <c r="E75" s="111" t="s">
        <v>167</v>
      </c>
      <c r="F75" s="112"/>
      <c r="G75" s="112">
        <v>0</v>
      </c>
      <c r="H75" s="112">
        <v>3528.2076000000002</v>
      </c>
      <c r="I75" s="112">
        <f>IF(E75&lt;&gt;"",F75*G75,SUMIFS(I76:I$9909,$C76:$C$9909,"*"&amp;C75&amp;"*",$E76:$E$9909,"&lt;&gt;"))</f>
        <v>0</v>
      </c>
      <c r="J75" s="112">
        <f>IF($E75&lt;&gt;"",$F75*H75,SUMIFS(J76:J$9909,$C76:$C$9909,"*"&amp;$C75&amp;"*",$E76:$E$9909,"&lt;&gt;"))</f>
        <v>0</v>
      </c>
      <c r="K75" s="103">
        <f>IF(I75&gt;0,(I75-J75-I75*PARAMETROS!$C$19)/I75,0)</f>
        <v>0</v>
      </c>
      <c r="L75" s="104"/>
      <c r="M75" s="105"/>
      <c r="N75" s="109"/>
      <c r="O75" s="105"/>
      <c r="P75" s="105"/>
      <c r="Q75" s="105"/>
      <c r="R75" s="105"/>
      <c r="S75" s="105"/>
      <c r="T75" s="105"/>
      <c r="U75" s="105"/>
      <c r="V75" s="105"/>
      <c r="W75" s="105"/>
      <c r="X75" s="105">
        <v>0</v>
      </c>
    </row>
    <row r="76" spans="1:24" ht="15.75" customHeight="1" x14ac:dyDescent="0.3">
      <c r="A76" s="144" t="str">
        <f t="shared" si="1"/>
        <v/>
      </c>
      <c r="B76" s="145"/>
      <c r="C76" s="106" t="s">
        <v>51</v>
      </c>
      <c r="D76" s="107" t="s">
        <v>243</v>
      </c>
      <c r="E76" s="108"/>
      <c r="F76" s="109"/>
      <c r="G76" s="109"/>
      <c r="H76" s="109"/>
      <c r="I76" s="109">
        <f>IF(E76&lt;&gt;"",F76*G76,SUMIFS(I77:I$9909,$C77:$C$9909,"*"&amp;C76&amp;"*",$E77:$E$9909,"&lt;&gt;"))</f>
        <v>0</v>
      </c>
      <c r="J76" s="109">
        <f>IF($E76&lt;&gt;"",$F76*H76,SUMIFS(J77:J$9909,$C77:$C$9909,"*"&amp;$C76&amp;"*",$E77:$E$9909,"&lt;&gt;"))</f>
        <v>2000</v>
      </c>
      <c r="K76" s="103">
        <f>IF(I76&gt;0,(I76-J76-I76*PARAMETROS!$C$19)/I76,0)</f>
        <v>0</v>
      </c>
      <c r="L76" s="104"/>
      <c r="M76" s="105"/>
      <c r="N76" s="112"/>
      <c r="O76" s="105"/>
      <c r="P76" s="105"/>
      <c r="Q76" s="105"/>
      <c r="R76" s="105"/>
      <c r="S76" s="105"/>
      <c r="T76" s="105"/>
      <c r="U76" s="105"/>
      <c r="V76" s="105"/>
      <c r="W76" s="105"/>
      <c r="X76" s="105"/>
    </row>
    <row r="77" spans="1:24" ht="15.75" customHeight="1" x14ac:dyDescent="0.3">
      <c r="A77" s="144" t="str">
        <f t="shared" si="1"/>
        <v/>
      </c>
      <c r="B77" s="145"/>
      <c r="C77" s="110" t="s">
        <v>244</v>
      </c>
      <c r="D77" s="111" t="s">
        <v>245</v>
      </c>
      <c r="E77" s="111" t="s">
        <v>194</v>
      </c>
      <c r="F77" s="112">
        <v>2000</v>
      </c>
      <c r="G77" s="112">
        <v>0</v>
      </c>
      <c r="H77" s="112">
        <v>1</v>
      </c>
      <c r="I77" s="112">
        <f>IF(E77&lt;&gt;"",F77*G77,SUMIFS(I78:I$9909,$C78:$C$9909,"*"&amp;C77&amp;"*",$E78:$E$9909,"&lt;&gt;"))</f>
        <v>0</v>
      </c>
      <c r="J77" s="112">
        <f>IF($E77&lt;&gt;"",$F77*H77,SUMIFS(J78:J$9909,$C78:$C$9909,"*"&amp;$C77&amp;"*",$E78:$E$9909,"&lt;&gt;"))</f>
        <v>2000</v>
      </c>
      <c r="K77" s="103">
        <f>IF(I77&gt;0,(I77-J77-I77*PARAMETROS!$C$19)/I77,0)</f>
        <v>0</v>
      </c>
      <c r="L77" s="104"/>
      <c r="M77" s="105"/>
      <c r="N77" s="109"/>
      <c r="O77" s="105"/>
      <c r="P77" s="105"/>
      <c r="Q77" s="105"/>
      <c r="R77" s="105"/>
      <c r="S77" s="105"/>
      <c r="T77" s="105"/>
      <c r="U77" s="105"/>
      <c r="V77" s="105"/>
      <c r="W77" s="105"/>
      <c r="X77" s="105">
        <v>500</v>
      </c>
    </row>
    <row r="78" spans="1:24" ht="15.75" customHeight="1" x14ac:dyDescent="0.3">
      <c r="A78" s="144" t="str">
        <f t="shared" si="1"/>
        <v/>
      </c>
      <c r="B78" s="145"/>
      <c r="C78" s="106" t="s">
        <v>246</v>
      </c>
      <c r="D78" s="107" t="s">
        <v>169</v>
      </c>
      <c r="E78" s="108"/>
      <c r="F78" s="109"/>
      <c r="G78" s="109"/>
      <c r="H78" s="109"/>
      <c r="I78" s="109">
        <f>IF(E78&lt;&gt;"",F78*G78,SUMIFS(I79:I$9909,$C79:$C$9909,"*"&amp;C78&amp;"*",$E79:$E$9909,"&lt;&gt;"))</f>
        <v>0</v>
      </c>
      <c r="J78" s="109">
        <f>IF($E78&lt;&gt;"",$F78*H78,SUMIFS(J79:J$9909,$C79:$C$9909,"*"&amp;$C78&amp;"*",$E79:$E$9909,"&lt;&gt;"))</f>
        <v>10610</v>
      </c>
      <c r="K78" s="103">
        <f>IF(I78&gt;0,(I78-J78-I78*PARAMETROS!$C$19)/I78,0)</f>
        <v>0</v>
      </c>
      <c r="L78" s="104"/>
      <c r="M78" s="105"/>
      <c r="N78" s="112"/>
      <c r="O78" s="105"/>
      <c r="P78" s="105"/>
      <c r="Q78" s="105"/>
      <c r="R78" s="105"/>
      <c r="S78" s="105"/>
      <c r="T78" s="105"/>
      <c r="U78" s="105"/>
      <c r="V78" s="105"/>
      <c r="W78" s="105"/>
      <c r="X78" s="105"/>
    </row>
    <row r="79" spans="1:24" ht="15.75" customHeight="1" x14ac:dyDescent="0.3">
      <c r="A79" s="144" t="str">
        <f t="shared" si="1"/>
        <v/>
      </c>
      <c r="B79" s="145"/>
      <c r="C79" s="110" t="s">
        <v>247</v>
      </c>
      <c r="D79" s="111" t="s">
        <v>171</v>
      </c>
      <c r="E79" s="111" t="s">
        <v>128</v>
      </c>
      <c r="F79" s="112">
        <v>1</v>
      </c>
      <c r="G79" s="112">
        <v>0</v>
      </c>
      <c r="H79" s="112">
        <f>3180+(1290*2)/6</f>
        <v>3610</v>
      </c>
      <c r="I79" s="112">
        <f>IF(E79&lt;&gt;"",F79*G79,SUMIFS(I80:I$9909,$C80:$C$9909,"*"&amp;C79&amp;"*",$E80:$E$9909,"&lt;&gt;"))</f>
        <v>0</v>
      </c>
      <c r="J79" s="112">
        <f>IF($E79&lt;&gt;"",$F79*H79,SUMIFS(J80:J$9909,$C80:$C$9909,"*"&amp;$C79&amp;"*",$E80:$E$9909,"&lt;&gt;"))</f>
        <v>3610</v>
      </c>
      <c r="K79" s="103">
        <f>IF(I79&gt;0,(I79-J79-I79*PARAMETROS!$C$19)/I79,0)</f>
        <v>0</v>
      </c>
      <c r="L79" s="104"/>
      <c r="M79" s="105"/>
      <c r="N79" s="112"/>
      <c r="O79" s="105"/>
      <c r="P79" s="105"/>
      <c r="Q79" s="105"/>
      <c r="R79" s="105"/>
      <c r="S79" s="105"/>
      <c r="T79" s="105"/>
      <c r="U79" s="105"/>
      <c r="V79" s="105"/>
      <c r="W79" s="105"/>
      <c r="X79" s="105">
        <v>0</v>
      </c>
    </row>
    <row r="80" spans="1:24" ht="15.75" customHeight="1" x14ac:dyDescent="0.3">
      <c r="A80" s="144" t="str">
        <f t="shared" si="1"/>
        <v/>
      </c>
      <c r="B80" s="145"/>
      <c r="C80" s="110" t="s">
        <v>248</v>
      </c>
      <c r="D80" s="111" t="s">
        <v>249</v>
      </c>
      <c r="E80" s="111" t="s">
        <v>167</v>
      </c>
      <c r="F80" s="112">
        <v>1000</v>
      </c>
      <c r="G80" s="112">
        <v>0</v>
      </c>
      <c r="H80" s="112">
        <v>7</v>
      </c>
      <c r="I80" s="112">
        <f>IF(E80&lt;&gt;"",F80*G80,SUMIFS(I81:I$9909,$C81:$C$9909,"*"&amp;C80&amp;"*",$E81:$E$9909,"&lt;&gt;"))</f>
        <v>0</v>
      </c>
      <c r="J80" s="112">
        <f>IF($E80&lt;&gt;"",$F80*H80,SUMIFS(J81:J$9909,$C81:$C$9909,"*"&amp;$C80&amp;"*",$E81:$E$9909,"&lt;&gt;"))</f>
        <v>7000</v>
      </c>
      <c r="K80" s="103">
        <f>IF(I80&gt;0,(I80-J80-I80*PARAMETROS!$C$19)/I80,0)</f>
        <v>0</v>
      </c>
      <c r="L80" s="104"/>
      <c r="M80" s="105"/>
      <c r="N80" s="109"/>
      <c r="O80" s="105"/>
      <c r="P80" s="105"/>
      <c r="Q80" s="105"/>
      <c r="R80" s="105"/>
      <c r="S80" s="105"/>
      <c r="T80" s="105"/>
      <c r="U80" s="105"/>
      <c r="V80" s="105"/>
      <c r="W80" s="105"/>
      <c r="X80" s="105">
        <v>1</v>
      </c>
    </row>
    <row r="81" spans="1:24" ht="15.75" hidden="1" customHeight="1" x14ac:dyDescent="0.3">
      <c r="A81" s="144" t="str">
        <f t="shared" si="1"/>
        <v/>
      </c>
      <c r="B81" s="145"/>
      <c r="C81" s="106" t="s">
        <v>250</v>
      </c>
      <c r="D81" s="107" t="s">
        <v>173</v>
      </c>
      <c r="E81" s="108"/>
      <c r="F81" s="109"/>
      <c r="G81" s="109"/>
      <c r="H81" s="109"/>
      <c r="I81" s="109">
        <f>IF(E81&lt;&gt;"",F81*G81,SUMIFS(I82:I$9909,$C82:$C$9909,"*"&amp;C81&amp;"*",$E82:$E$9909,"&lt;&gt;"))</f>
        <v>0</v>
      </c>
      <c r="J81" s="109">
        <f>IF($E81&lt;&gt;"",$F81*H81,SUMIFS(J82:J$9909,$C82:$C$9909,"*"&amp;$C81&amp;"*",$E82:$E$9909,"&lt;&gt;"))</f>
        <v>0</v>
      </c>
      <c r="K81" s="103">
        <f>IF(I81&gt;0,(I81-J81-I81*PARAMETROS!$C$19)/I81,0)</f>
        <v>0</v>
      </c>
      <c r="L81" s="104"/>
      <c r="M81" s="105"/>
      <c r="N81" s="112"/>
      <c r="O81" s="105"/>
      <c r="P81" s="105"/>
      <c r="Q81" s="105"/>
      <c r="R81" s="105"/>
      <c r="S81" s="105"/>
      <c r="T81" s="105"/>
      <c r="U81" s="105"/>
      <c r="V81" s="105"/>
      <c r="W81" s="105"/>
      <c r="X81" s="105"/>
    </row>
    <row r="82" spans="1:24" ht="15.75" hidden="1" customHeight="1" x14ac:dyDescent="0.3">
      <c r="A82" s="144" t="str">
        <f t="shared" si="1"/>
        <v/>
      </c>
      <c r="B82" s="145"/>
      <c r="C82" s="110" t="s">
        <v>251</v>
      </c>
      <c r="D82" s="111" t="s">
        <v>175</v>
      </c>
      <c r="E82" s="111" t="s">
        <v>176</v>
      </c>
      <c r="F82" s="112"/>
      <c r="G82" s="112">
        <v>0</v>
      </c>
      <c r="H82" s="112">
        <v>6</v>
      </c>
      <c r="I82" s="112">
        <f>IF(E82&lt;&gt;"",F82*G82,SUMIFS(I83:I$9909,$C83:$C$9909,"*"&amp;C82&amp;"*",$E83:$E$9909,"&lt;&gt;"))</f>
        <v>0</v>
      </c>
      <c r="J82" s="112">
        <f>IF($E82&lt;&gt;"",$F82*H82,SUMIFS(J83:J$9909,$C83:$C$9909,"*"&amp;$C82&amp;"*",$E83:$E$9909,"&lt;&gt;"))</f>
        <v>0</v>
      </c>
      <c r="K82" s="103">
        <f>IF(I82&gt;0,(I82-J82-I82*PARAMETROS!$C$19)/I82,0)</f>
        <v>0</v>
      </c>
      <c r="L82" s="104"/>
      <c r="M82" s="105"/>
      <c r="N82" s="109"/>
      <c r="O82" s="105"/>
      <c r="P82" s="105"/>
      <c r="Q82" s="105"/>
      <c r="R82" s="105"/>
      <c r="S82" s="105"/>
      <c r="T82" s="105"/>
      <c r="U82" s="105"/>
      <c r="V82" s="105"/>
      <c r="W82" s="105"/>
      <c r="X82" s="105">
        <v>500</v>
      </c>
    </row>
    <row r="83" spans="1:24" s="48" customFormat="1" ht="15.75" customHeight="1" x14ac:dyDescent="0.3">
      <c r="A83" s="361" t="str">
        <f t="shared" si="1"/>
        <v/>
      </c>
      <c r="B83" s="362"/>
      <c r="C83" s="357" t="s">
        <v>252</v>
      </c>
      <c r="D83" s="358" t="s">
        <v>253</v>
      </c>
      <c r="E83" s="359"/>
      <c r="F83" s="360"/>
      <c r="G83" s="360"/>
      <c r="H83" s="360"/>
      <c r="I83" s="360">
        <f>IF(E83&lt;&gt;"",F83*G83,SUMIFS(I84:I$9909,$C84:$C$9909,"*"&amp;C83&amp;"*",$E84:$E$9909,"&lt;&gt;"))</f>
        <v>0</v>
      </c>
      <c r="J83" s="360">
        <f>IF($E83&lt;&gt;"",$F83*H83,SUMIFS(J84:J$9909,$C84:$C$9909,"*"&amp;$C83&amp;"*",$E84:$E$9909,"&lt;&gt;"))</f>
        <v>55892.814700000003</v>
      </c>
      <c r="K83" s="128">
        <f>IF(I83&gt;0,(I83-J83-I83*PARAMETROS!$C$19)/I83,0)</f>
        <v>0</v>
      </c>
      <c r="L83" s="363" t="s">
        <v>122</v>
      </c>
      <c r="M83" s="364"/>
      <c r="N83" s="360"/>
      <c r="O83" s="364"/>
      <c r="P83" s="364"/>
      <c r="Q83" s="364"/>
      <c r="R83" s="364"/>
      <c r="S83" s="364"/>
      <c r="T83" s="364"/>
      <c r="U83" s="364"/>
      <c r="V83" s="364"/>
      <c r="W83" s="364"/>
      <c r="X83" s="364"/>
    </row>
    <row r="84" spans="1:24" ht="15.75" customHeight="1" x14ac:dyDescent="0.3">
      <c r="A84" s="144" t="str">
        <f t="shared" si="1"/>
        <v/>
      </c>
      <c r="B84" s="145"/>
      <c r="C84" s="106" t="s">
        <v>254</v>
      </c>
      <c r="D84" s="107" t="s">
        <v>255</v>
      </c>
      <c r="E84" s="108"/>
      <c r="F84" s="109"/>
      <c r="G84" s="109"/>
      <c r="H84" s="109"/>
      <c r="I84" s="109">
        <f>IF(E84&lt;&gt;"",F84*G84,SUMIFS(I85:I$9909,$C85:$C$9909,"*"&amp;C84&amp;"*",$E85:$E$9909,"&lt;&gt;"))</f>
        <v>0</v>
      </c>
      <c r="J84" s="109">
        <f>IF($E84&lt;&gt;"",$F84*H84,SUMIFS(J85:J$9909,$C85:$C$9909,"*"&amp;$C84&amp;"*",$E85:$E$9909,"&lt;&gt;"))</f>
        <v>26390.2647</v>
      </c>
      <c r="K84" s="103">
        <f>IF(I84&gt;0,(I84-J84-I84*PARAMETROS!$C$19)/I84,0)</f>
        <v>0</v>
      </c>
      <c r="L84" s="104"/>
      <c r="M84" s="105"/>
      <c r="N84" s="112"/>
      <c r="O84" s="105"/>
      <c r="P84" s="105"/>
      <c r="Q84" s="105"/>
      <c r="R84" s="105"/>
      <c r="S84" s="105"/>
      <c r="T84" s="105"/>
      <c r="U84" s="105"/>
      <c r="V84" s="105"/>
      <c r="W84" s="105"/>
      <c r="X84" s="105"/>
    </row>
    <row r="85" spans="1:24" ht="15.75" customHeight="1" x14ac:dyDescent="0.3">
      <c r="A85" s="144" t="str">
        <f t="shared" si="1"/>
        <v/>
      </c>
      <c r="B85" s="145"/>
      <c r="C85" s="110" t="s">
        <v>256</v>
      </c>
      <c r="D85" s="111" t="s">
        <v>257</v>
      </c>
      <c r="E85" s="111" t="s">
        <v>128</v>
      </c>
      <c r="F85" s="112">
        <v>1</v>
      </c>
      <c r="G85" s="112">
        <v>0</v>
      </c>
      <c r="H85" s="112">
        <v>7629.7372999999998</v>
      </c>
      <c r="I85" s="112">
        <f>IF(E85&lt;&gt;"",F85*G85,SUMIFS(I86:I$9909,$C86:$C$9909,"*"&amp;C85&amp;"*",$E86:$E$9909,"&lt;&gt;"))</f>
        <v>0</v>
      </c>
      <c r="J85" s="112">
        <f>IF($E85&lt;&gt;"",$F85*H85,SUMIFS(J86:J$9909,$C86:$C$9909,"*"&amp;$C85&amp;"*",$E86:$E$9909,"&lt;&gt;"))</f>
        <v>7629.7372999999998</v>
      </c>
      <c r="K85" s="103">
        <f>IF(I85&gt;0,(I85-J85-I85*PARAMETROS!$C$19)/I85,0)</f>
        <v>0</v>
      </c>
      <c r="L85" s="104"/>
      <c r="M85" s="105"/>
      <c r="N85" s="109"/>
      <c r="O85" s="105"/>
      <c r="P85" s="105"/>
      <c r="Q85" s="105"/>
      <c r="R85" s="105"/>
      <c r="S85" s="105"/>
      <c r="T85" s="105"/>
      <c r="U85" s="105"/>
      <c r="V85" s="105"/>
      <c r="W85" s="105"/>
      <c r="X85" s="105">
        <v>1</v>
      </c>
    </row>
    <row r="86" spans="1:24" ht="15.75" customHeight="1" x14ac:dyDescent="0.3">
      <c r="A86" s="144" t="str">
        <f t="shared" si="1"/>
        <v/>
      </c>
      <c r="B86" s="145"/>
      <c r="C86" s="110" t="s">
        <v>258</v>
      </c>
      <c r="D86" s="111" t="s">
        <v>259</v>
      </c>
      <c r="E86" s="111" t="s">
        <v>128</v>
      </c>
      <c r="F86" s="112">
        <v>2</v>
      </c>
      <c r="G86" s="112">
        <v>0</v>
      </c>
      <c r="H86" s="112">
        <v>5611.1144000000004</v>
      </c>
      <c r="I86" s="112">
        <f>IF(E86&lt;&gt;"",F86*G86,SUMIFS(I87:I$9909,$C87:$C$9909,"*"&amp;C86&amp;"*",$E87:$E$9909,"&lt;&gt;"))</f>
        <v>0</v>
      </c>
      <c r="J86" s="112">
        <f>IF($E86&lt;&gt;"",$F86*H86,SUMIFS(J87:J$9909,$C87:$C$9909,"*"&amp;$C86&amp;"*",$E87:$E$9909,"&lt;&gt;"))</f>
        <v>11222.228800000001</v>
      </c>
      <c r="K86" s="103">
        <f>IF(I86&gt;0,(I86-J86-I86*PARAMETROS!$C$19)/I86,0)</f>
        <v>0</v>
      </c>
      <c r="L86" s="104"/>
      <c r="M86" s="105">
        <v>2</v>
      </c>
      <c r="N86" s="109"/>
      <c r="O86" s="105"/>
      <c r="P86" s="105"/>
      <c r="Q86" s="105"/>
      <c r="R86" s="105"/>
      <c r="S86" s="105"/>
      <c r="T86" s="105"/>
      <c r="U86" s="105"/>
      <c r="V86" s="105"/>
      <c r="W86" s="105"/>
      <c r="X86" s="105">
        <v>0</v>
      </c>
    </row>
    <row r="87" spans="1:24" ht="15.75" customHeight="1" x14ac:dyDescent="0.3">
      <c r="A87" s="144" t="str">
        <f t="shared" si="1"/>
        <v/>
      </c>
      <c r="B87" s="145"/>
      <c r="C87" s="110" t="s">
        <v>260</v>
      </c>
      <c r="D87" s="111" t="s">
        <v>261</v>
      </c>
      <c r="E87" s="111" t="s">
        <v>128</v>
      </c>
      <c r="F87" s="112">
        <v>2</v>
      </c>
      <c r="G87" s="112">
        <v>0</v>
      </c>
      <c r="H87" s="112">
        <v>3769.1493</v>
      </c>
      <c r="I87" s="112">
        <f>IF(E87&lt;&gt;"",F87*G87,SUMIFS(I88:I$9909,$C88:$C$9909,"*"&amp;C87&amp;"*",$E88:$E$9909,"&lt;&gt;"))</f>
        <v>0</v>
      </c>
      <c r="J87" s="112">
        <f>IF($E87&lt;&gt;"",$F87*H87,SUMIFS(J88:J$9909,$C88:$C$9909,"*"&amp;$C87&amp;"*",$E88:$E$9909,"&lt;&gt;"))</f>
        <v>7538.2986000000001</v>
      </c>
      <c r="K87" s="103">
        <f>IF(I87&gt;0,(I87-J87-I87*PARAMETROS!$C$19)/I87,0)</f>
        <v>0</v>
      </c>
      <c r="L87" s="104"/>
      <c r="M87" s="105"/>
      <c r="N87" s="112"/>
      <c r="O87" s="105"/>
      <c r="P87" s="105"/>
      <c r="Q87" s="105"/>
      <c r="R87" s="105"/>
      <c r="S87" s="105"/>
      <c r="T87" s="105"/>
      <c r="U87" s="105"/>
      <c r="V87" s="105"/>
      <c r="W87" s="105"/>
      <c r="X87" s="105">
        <v>2</v>
      </c>
    </row>
    <row r="88" spans="1:24" ht="15.75" hidden="1" customHeight="1" x14ac:dyDescent="0.3">
      <c r="A88" s="144" t="str">
        <f t="shared" si="1"/>
        <v/>
      </c>
      <c r="B88" s="145"/>
      <c r="C88" s="110" t="s">
        <v>262</v>
      </c>
      <c r="D88" s="111" t="s">
        <v>166</v>
      </c>
      <c r="E88" s="111" t="s">
        <v>167</v>
      </c>
      <c r="F88" s="112"/>
      <c r="G88" s="112">
        <v>0</v>
      </c>
      <c r="H88" s="112">
        <v>3528.2076000000002</v>
      </c>
      <c r="I88" s="112">
        <f>IF(E88&lt;&gt;"",F88*G88,SUMIFS(I89:I$9909,$C89:$C$9909,"*"&amp;C88&amp;"*",$E89:$E$9909,"&lt;&gt;"))</f>
        <v>0</v>
      </c>
      <c r="J88" s="112">
        <f>IF($E88&lt;&gt;"",$F88*H88,SUMIFS(J89:J$9909,$C89:$C$9909,"*"&amp;$C88&amp;"*",$E89:$E$9909,"&lt;&gt;"))</f>
        <v>0</v>
      </c>
      <c r="K88" s="103">
        <f>IF(I88&gt;0,(I88-J88-I88*PARAMETROS!$C$19)/I88,0)</f>
        <v>0</v>
      </c>
      <c r="L88" s="104"/>
      <c r="M88" s="105"/>
      <c r="N88" s="112"/>
      <c r="O88" s="105"/>
      <c r="P88" s="105"/>
      <c r="Q88" s="105"/>
      <c r="R88" s="105"/>
      <c r="S88" s="105"/>
      <c r="T88" s="105"/>
      <c r="U88" s="105"/>
      <c r="V88" s="105"/>
      <c r="W88" s="105"/>
      <c r="X88" s="105">
        <v>0</v>
      </c>
    </row>
    <row r="89" spans="1:24" ht="15.75" customHeight="1" x14ac:dyDescent="0.3">
      <c r="A89" s="144" t="str">
        <f t="shared" si="1"/>
        <v/>
      </c>
      <c r="B89" s="145"/>
      <c r="C89" s="106" t="s">
        <v>263</v>
      </c>
      <c r="D89" s="107" t="s">
        <v>264</v>
      </c>
      <c r="E89" s="108"/>
      <c r="F89" s="109"/>
      <c r="G89" s="109"/>
      <c r="H89" s="109"/>
      <c r="I89" s="109">
        <f>IF(E89&lt;&gt;"",F89*G89,SUMIFS(I90:I$9909,$C90:$C$9909,"*"&amp;C89&amp;"*",$E90:$E$9909,"&lt;&gt;"))</f>
        <v>0</v>
      </c>
      <c r="J89" s="109">
        <f>IF($E89&lt;&gt;"",$F89*H89,SUMIFS(J90:J$9909,$C90:$C$9909,"*"&amp;$C89&amp;"*",$E90:$E$9909,"&lt;&gt;"))</f>
        <v>2000</v>
      </c>
      <c r="K89" s="103">
        <f>IF(I89&gt;0,(I89-J89-I89*PARAMETROS!$C$19)/I89,0)</f>
        <v>0</v>
      </c>
      <c r="L89" s="104"/>
      <c r="M89" s="105"/>
      <c r="N89" s="112"/>
      <c r="O89" s="105"/>
      <c r="P89" s="105"/>
      <c r="Q89" s="105"/>
      <c r="R89" s="105"/>
      <c r="S89" s="105"/>
      <c r="T89" s="105"/>
      <c r="U89" s="105"/>
      <c r="V89" s="105"/>
      <c r="W89" s="105"/>
      <c r="X89" s="105"/>
    </row>
    <row r="90" spans="1:24" ht="15.75" customHeight="1" x14ac:dyDescent="0.3">
      <c r="A90" s="144" t="str">
        <f t="shared" si="1"/>
        <v/>
      </c>
      <c r="B90" s="145"/>
      <c r="C90" s="110" t="s">
        <v>265</v>
      </c>
      <c r="D90" s="111" t="s">
        <v>266</v>
      </c>
      <c r="E90" s="111" t="s">
        <v>194</v>
      </c>
      <c r="F90" s="112">
        <v>2000</v>
      </c>
      <c r="G90" s="112">
        <v>0</v>
      </c>
      <c r="H90" s="112">
        <v>1</v>
      </c>
      <c r="I90" s="112">
        <f>IF(E90&lt;&gt;"",F90*G90,SUMIFS(I91:I$9909,$C91:$C$9909,"*"&amp;C90&amp;"*",$E91:$E$9909,"&lt;&gt;"))</f>
        <v>0</v>
      </c>
      <c r="J90" s="112">
        <f>IF($E90&lt;&gt;"",$F90*H90,SUMIFS(J91:J$9909,$C91:$C$9909,"*"&amp;$C90&amp;"*",$E91:$E$9909,"&lt;&gt;"))</f>
        <v>2000</v>
      </c>
      <c r="K90" s="103">
        <f>IF(I90&gt;0,(I90-J90-I90*PARAMETROS!$C$19)/I90,0)</f>
        <v>0</v>
      </c>
      <c r="L90" s="104"/>
      <c r="M90" s="105"/>
      <c r="N90" s="112"/>
      <c r="O90" s="105"/>
      <c r="P90" s="105"/>
      <c r="Q90" s="105"/>
      <c r="R90" s="105"/>
      <c r="S90" s="105"/>
      <c r="T90" s="105"/>
      <c r="U90" s="105"/>
      <c r="V90" s="105"/>
      <c r="W90" s="105"/>
      <c r="X90" s="105">
        <v>1</v>
      </c>
    </row>
    <row r="91" spans="1:24" ht="15.75" customHeight="1" x14ac:dyDescent="0.3">
      <c r="A91" s="144" t="str">
        <f t="shared" si="1"/>
        <v/>
      </c>
      <c r="B91" s="145"/>
      <c r="C91" s="106" t="s">
        <v>267</v>
      </c>
      <c r="D91" s="107" t="s">
        <v>169</v>
      </c>
      <c r="E91" s="108"/>
      <c r="F91" s="109"/>
      <c r="G91" s="109"/>
      <c r="H91" s="109"/>
      <c r="I91" s="109">
        <f>IF(E91&lt;&gt;"",F91*G91,SUMIFS(I92:I$9909,$C92:$C$9909,"*"&amp;C91&amp;"*",$E92:$E$9909,"&lt;&gt;"))</f>
        <v>0</v>
      </c>
      <c r="J91" s="109">
        <f>IF($E91&lt;&gt;"",$F91*H91,SUMIFS(J92:J$9909,$C92:$C$9909,"*"&amp;$C91&amp;"*",$E92:$E$9909,"&lt;&gt;"))</f>
        <v>6502.55</v>
      </c>
      <c r="K91" s="103">
        <f>IF(I91&gt;0,(I91-J91-I91*PARAMETROS!$C$19)/I91,0)</f>
        <v>0</v>
      </c>
      <c r="L91" s="104"/>
      <c r="M91" s="105"/>
      <c r="N91" s="109"/>
      <c r="O91" s="105"/>
      <c r="P91" s="105"/>
      <c r="Q91" s="105"/>
      <c r="R91" s="105"/>
      <c r="S91" s="105"/>
      <c r="T91" s="105"/>
      <c r="U91" s="105"/>
      <c r="V91" s="105"/>
      <c r="W91" s="105"/>
      <c r="X91" s="105"/>
    </row>
    <row r="92" spans="1:24" ht="15.6" hidden="1" customHeight="1" x14ac:dyDescent="0.3">
      <c r="A92" s="144" t="str">
        <f t="shared" si="1"/>
        <v/>
      </c>
      <c r="B92" s="145"/>
      <c r="C92" s="110" t="s">
        <v>268</v>
      </c>
      <c r="D92" s="111" t="s">
        <v>269</v>
      </c>
      <c r="E92" s="111" t="s">
        <v>270</v>
      </c>
      <c r="F92" s="112"/>
      <c r="G92" s="112">
        <v>0</v>
      </c>
      <c r="H92" s="112">
        <v>0.65</v>
      </c>
      <c r="I92" s="112">
        <f>IF(E92&lt;&gt;"",F92*G92,SUMIFS(I93:I$9909,$C93:$C$9909,"*"&amp;C92&amp;"*",$E93:$E$9909,"&lt;&gt;"))</f>
        <v>0</v>
      </c>
      <c r="J92" s="112">
        <f>IF($E92&lt;&gt;"",$F92*H92,SUMIFS(J93:J$9909,$C93:$C$9909,"*"&amp;$C92&amp;"*",$E93:$E$9909,"&lt;&gt;"))</f>
        <v>0</v>
      </c>
      <c r="K92" s="103">
        <f>IF(I92&gt;0,(I92-J92-I92*PARAMETROS!$C$19)/I92,0)</f>
        <v>0</v>
      </c>
      <c r="L92" s="104"/>
      <c r="M92" s="105"/>
      <c r="N92" s="112"/>
      <c r="O92" s="105"/>
      <c r="P92" s="105"/>
      <c r="Q92" s="105"/>
      <c r="R92" s="105"/>
      <c r="S92" s="105"/>
      <c r="T92" s="105"/>
      <c r="U92" s="105"/>
      <c r="V92" s="105"/>
      <c r="W92" s="105"/>
      <c r="X92" s="105">
        <v>0</v>
      </c>
    </row>
    <row r="93" spans="1:24" ht="15.75" customHeight="1" x14ac:dyDescent="0.3">
      <c r="A93" s="144" t="str">
        <f t="shared" si="1"/>
        <v/>
      </c>
      <c r="B93" s="145"/>
      <c r="C93" s="110" t="s">
        <v>271</v>
      </c>
      <c r="D93" s="111" t="s">
        <v>272</v>
      </c>
      <c r="E93" s="111" t="s">
        <v>270</v>
      </c>
      <c r="F93" s="112">
        <v>3</v>
      </c>
      <c r="G93" s="112">
        <v>0</v>
      </c>
      <c r="H93" s="112">
        <v>0.85</v>
      </c>
      <c r="I93" s="112">
        <f>IF(E93&lt;&gt;"",F93*G93,SUMIFS(I94:I$9909,$C94:$C$9909,"*"&amp;C93&amp;"*",$E94:$E$9909,"&lt;&gt;"))</f>
        <v>0</v>
      </c>
      <c r="J93" s="112">
        <f>IF($E93&lt;&gt;"",$F93*H93,SUMIFS(J94:J$9909,$C94:$C$9909,"*"&amp;$C93&amp;"*",$E94:$E$9909,"&lt;&gt;"))</f>
        <v>2.5499999999999998</v>
      </c>
      <c r="K93" s="103">
        <f>IF(I93&gt;0,(I93-J93-I93*PARAMETROS!$C$19)/I93,0)</f>
        <v>0</v>
      </c>
      <c r="L93" s="104"/>
      <c r="M93" s="105"/>
      <c r="N93" s="109"/>
      <c r="O93" s="105"/>
      <c r="P93" s="105"/>
      <c r="Q93" s="105"/>
      <c r="R93" s="105"/>
      <c r="S93" s="105"/>
      <c r="T93" s="105"/>
      <c r="U93" s="105"/>
      <c r="V93" s="105"/>
      <c r="W93" s="105"/>
      <c r="X93" s="105">
        <v>0</v>
      </c>
    </row>
    <row r="94" spans="1:24" ht="15.75" hidden="1" customHeight="1" x14ac:dyDescent="0.3">
      <c r="A94" s="144" t="str">
        <f t="shared" si="1"/>
        <v/>
      </c>
      <c r="B94" s="145"/>
      <c r="C94" s="110" t="s">
        <v>273</v>
      </c>
      <c r="D94" s="111" t="s">
        <v>274</v>
      </c>
      <c r="E94" s="111" t="s">
        <v>270</v>
      </c>
      <c r="F94" s="112"/>
      <c r="G94" s="112">
        <v>0</v>
      </c>
      <c r="H94" s="112">
        <v>0.6</v>
      </c>
      <c r="I94" s="112">
        <f>IF(E94&lt;&gt;"",F94*G94,SUMIFS(I95:I$9909,$C95:$C$9909,"*"&amp;C94&amp;"*",$E95:$E$9909,"&lt;&gt;"))</f>
        <v>0</v>
      </c>
      <c r="J94" s="112">
        <f>IF($E94&lt;&gt;"",$F94*H94,SUMIFS(J95:J$9909,$C95:$C$9909,"*"&amp;$C94&amp;"*",$E95:$E$9909,"&lt;&gt;"))</f>
        <v>0</v>
      </c>
      <c r="K94" s="103">
        <f>IF(I94&gt;0,(I94-J94-I94*PARAMETROS!$C$19)/I94,0)</f>
        <v>0</v>
      </c>
      <c r="L94" s="104"/>
      <c r="M94" s="105"/>
      <c r="N94" s="112"/>
      <c r="O94" s="105"/>
      <c r="P94" s="105"/>
      <c r="Q94" s="105"/>
      <c r="R94" s="105"/>
      <c r="S94" s="105"/>
      <c r="T94" s="105"/>
      <c r="U94" s="105"/>
      <c r="V94" s="105"/>
      <c r="W94" s="105"/>
      <c r="X94" s="105">
        <v>0</v>
      </c>
    </row>
    <row r="95" spans="1:24" ht="15.75" hidden="1" customHeight="1" x14ac:dyDescent="0.3">
      <c r="A95" s="144" t="str">
        <f t="shared" si="1"/>
        <v/>
      </c>
      <c r="B95" s="145"/>
      <c r="C95" s="110" t="s">
        <v>275</v>
      </c>
      <c r="D95" s="111" t="s">
        <v>276</v>
      </c>
      <c r="E95" s="111" t="s">
        <v>194</v>
      </c>
      <c r="F95" s="112"/>
      <c r="G95" s="112">
        <v>0</v>
      </c>
      <c r="H95" s="112">
        <v>1</v>
      </c>
      <c r="I95" s="112">
        <f>IF(E95&lt;&gt;"",F95*G95,SUMIFS(I96:I$9909,$C96:$C$9909,"*"&amp;C95&amp;"*",$E96:$E$9909,"&lt;&gt;"))</f>
        <v>0</v>
      </c>
      <c r="J95" s="112">
        <f>IF($E95&lt;&gt;"",$F95*H95,SUMIFS(J96:J$9909,$C96:$C$9909,"*"&amp;$C95&amp;"*",$E96:$E$9909,"&lt;&gt;"))</f>
        <v>0</v>
      </c>
      <c r="K95" s="103">
        <f>IF(I95&gt;0,(I95-J95-I95*PARAMETROS!$C$19)/I95,0)</f>
        <v>0</v>
      </c>
      <c r="L95" s="104"/>
      <c r="M95" s="105"/>
      <c r="N95" s="109"/>
      <c r="O95" s="105"/>
      <c r="P95" s="105"/>
      <c r="Q95" s="105"/>
      <c r="R95" s="105"/>
      <c r="S95" s="105"/>
      <c r="T95" s="105"/>
      <c r="U95" s="105"/>
      <c r="V95" s="105"/>
      <c r="W95" s="105"/>
      <c r="X95" s="105">
        <v>1000</v>
      </c>
    </row>
    <row r="96" spans="1:24" ht="15.75" customHeight="1" x14ac:dyDescent="0.3">
      <c r="A96" s="144" t="str">
        <f t="shared" si="1"/>
        <v/>
      </c>
      <c r="B96" s="145"/>
      <c r="C96" s="110" t="s">
        <v>277</v>
      </c>
      <c r="D96" s="111" t="s">
        <v>278</v>
      </c>
      <c r="E96" s="111" t="s">
        <v>167</v>
      </c>
      <c r="F96" s="112">
        <v>1</v>
      </c>
      <c r="G96" s="112">
        <v>0</v>
      </c>
      <c r="H96" s="112">
        <v>6500</v>
      </c>
      <c r="I96" s="112">
        <f>IF(E96&lt;&gt;"",F96*G96,SUMIFS(I97:I$9909,$C97:$C$9909,"*"&amp;C96&amp;"*",$E97:$E$9909,"&lt;&gt;"))</f>
        <v>0</v>
      </c>
      <c r="J96" s="112">
        <f>IF($E96&lt;&gt;"",$F96*H96,SUMIFS(J97:J$9909,$C97:$C$9909,"*"&amp;$C96&amp;"*",$E97:$E$9909,"&lt;&gt;"))</f>
        <v>6500</v>
      </c>
      <c r="K96" s="103">
        <f>IF(I96&gt;0,(I96-J96-I96*PARAMETROS!$C$19)/I96,0)</f>
        <v>0</v>
      </c>
      <c r="L96" s="104"/>
      <c r="M96" s="105"/>
      <c r="N96" s="112"/>
      <c r="O96" s="105"/>
      <c r="P96" s="105"/>
      <c r="Q96" s="105"/>
      <c r="R96" s="105"/>
      <c r="S96" s="105"/>
      <c r="T96" s="105"/>
      <c r="U96" s="105"/>
      <c r="V96" s="105"/>
      <c r="W96" s="105"/>
      <c r="X96" s="105">
        <v>1</v>
      </c>
    </row>
    <row r="97" spans="1:24" ht="15.75" hidden="1" customHeight="1" x14ac:dyDescent="0.3">
      <c r="A97" s="144" t="str">
        <f t="shared" si="1"/>
        <v/>
      </c>
      <c r="B97" s="145"/>
      <c r="C97" s="110" t="s">
        <v>279</v>
      </c>
      <c r="D97" s="111" t="s">
        <v>280</v>
      </c>
      <c r="E97" s="111" t="s">
        <v>167</v>
      </c>
      <c r="F97" s="112"/>
      <c r="G97" s="112">
        <v>0</v>
      </c>
      <c r="H97" s="112">
        <v>0</v>
      </c>
      <c r="I97" s="112">
        <f>IF(E97&lt;&gt;"",F97*G97,SUMIFS(I98:I$9909,$C98:$C$9909,"*"&amp;C97&amp;"*",$E98:$E$9909,"&lt;&gt;"))</f>
        <v>0</v>
      </c>
      <c r="J97" s="112">
        <f>IF($E97&lt;&gt;"",$F97*H97,SUMIFS(J98:J$9909,$C98:$C$9909,"*"&amp;$C97&amp;"*",$E98:$E$9909,"&lt;&gt;"))</f>
        <v>0</v>
      </c>
      <c r="K97" s="103">
        <f>IF(I97&gt;0,(I97-J97-I97*PARAMETROS!$C$19)/I97,0)</f>
        <v>0</v>
      </c>
      <c r="L97" s="104"/>
      <c r="M97" s="105"/>
      <c r="N97" s="112"/>
      <c r="O97" s="105"/>
      <c r="P97" s="105"/>
      <c r="Q97" s="105"/>
      <c r="R97" s="105"/>
      <c r="S97" s="105"/>
      <c r="T97" s="105"/>
      <c r="U97" s="105"/>
      <c r="V97" s="105"/>
      <c r="W97" s="105"/>
      <c r="X97" s="105">
        <v>0</v>
      </c>
    </row>
    <row r="98" spans="1:24" ht="15.75" hidden="1" customHeight="1" x14ac:dyDescent="0.3">
      <c r="A98" s="144" t="str">
        <f t="shared" si="1"/>
        <v/>
      </c>
      <c r="B98" s="145"/>
      <c r="C98" s="110" t="s">
        <v>281</v>
      </c>
      <c r="D98" s="111" t="s">
        <v>282</v>
      </c>
      <c r="E98" s="111" t="s">
        <v>167</v>
      </c>
      <c r="F98" s="112"/>
      <c r="G98" s="112">
        <v>0</v>
      </c>
      <c r="H98" s="112">
        <v>735</v>
      </c>
      <c r="I98" s="112">
        <f>IF(E98&lt;&gt;"",F98*G98,SUMIFS(I99:I$9909,$C99:$C$9909,"*"&amp;C98&amp;"*",$E99:$E$9909,"&lt;&gt;"))</f>
        <v>0</v>
      </c>
      <c r="J98" s="112">
        <f>IF($E98&lt;&gt;"",$F98*H98,SUMIFS(J99:J$9909,$C99:$C$9909,"*"&amp;$C98&amp;"*",$E99:$E$9909,"&lt;&gt;"))</f>
        <v>0</v>
      </c>
      <c r="K98" s="103">
        <f>IF(I98&gt;0,(I98-J98-I98*PARAMETROS!$C$19)/I98,0)</f>
        <v>0</v>
      </c>
      <c r="L98" s="104"/>
      <c r="M98" s="105"/>
      <c r="N98" s="109"/>
      <c r="O98" s="105"/>
      <c r="P98" s="105"/>
      <c r="Q98" s="105"/>
      <c r="R98" s="105"/>
      <c r="S98" s="105"/>
      <c r="T98" s="105"/>
      <c r="U98" s="105"/>
      <c r="V98" s="105"/>
      <c r="W98" s="105"/>
      <c r="X98" s="105">
        <v>0</v>
      </c>
    </row>
    <row r="99" spans="1:24" ht="15.75" customHeight="1" x14ac:dyDescent="0.3">
      <c r="A99" s="144" t="str">
        <f t="shared" si="1"/>
        <v/>
      </c>
      <c r="B99" s="145"/>
      <c r="C99" s="106" t="s">
        <v>283</v>
      </c>
      <c r="D99" s="107" t="s">
        <v>173</v>
      </c>
      <c r="E99" s="108"/>
      <c r="F99" s="109"/>
      <c r="G99" s="109"/>
      <c r="H99" s="109"/>
      <c r="I99" s="109">
        <f>IF(E99&lt;&gt;"",F99*G99,SUMIFS(I100:I$9909,$C100:$C$9909,"*"&amp;C99&amp;"*",$E100:$E$9909,"&lt;&gt;"))</f>
        <v>0</v>
      </c>
      <c r="J99" s="109">
        <f>IF($E99&lt;&gt;"",$F99*H99,SUMIFS(J100:J$9909,$C100:$C$9909,"*"&amp;$C99&amp;"*",$E100:$E$9909,"&lt;&gt;"))</f>
        <v>21000</v>
      </c>
      <c r="K99" s="103">
        <f>IF(I99&gt;0,(I99-J99-I99*PARAMETROS!$C$19)/I99,0)</f>
        <v>0</v>
      </c>
      <c r="L99" s="104"/>
      <c r="M99" s="105"/>
      <c r="N99" s="112"/>
      <c r="O99" s="105"/>
      <c r="P99" s="105"/>
      <c r="Q99" s="105"/>
      <c r="R99" s="105"/>
      <c r="S99" s="105"/>
      <c r="T99" s="105"/>
      <c r="U99" s="105"/>
      <c r="V99" s="105"/>
      <c r="W99" s="105"/>
      <c r="X99" s="105"/>
    </row>
    <row r="100" spans="1:24" ht="15.75" hidden="1" customHeight="1" x14ac:dyDescent="0.3">
      <c r="A100" s="144" t="str">
        <f t="shared" si="1"/>
        <v/>
      </c>
      <c r="B100" s="145"/>
      <c r="C100" s="110" t="s">
        <v>284</v>
      </c>
      <c r="D100" s="111" t="s">
        <v>285</v>
      </c>
      <c r="E100" s="111" t="s">
        <v>176</v>
      </c>
      <c r="F100" s="112"/>
      <c r="G100" s="112">
        <v>0</v>
      </c>
      <c r="H100" s="112">
        <v>3.25</v>
      </c>
      <c r="I100" s="112">
        <f>IF(E100&lt;&gt;"",F100*G100,SUMIFS(I101:I$9909,$C101:$C$9909,"*"&amp;C100&amp;"*",$E101:$E$9909,"&lt;&gt;"))</f>
        <v>0</v>
      </c>
      <c r="J100" s="112">
        <f>IF($E100&lt;&gt;"",$F100*H100,SUMIFS(J101:J$9909,$C101:$C$9909,"*"&amp;$C100&amp;"*",$E101:$E$9909,"&lt;&gt;"))</f>
        <v>0</v>
      </c>
      <c r="K100" s="103">
        <f>IF(I100&gt;0,(I100-J100-I100*PARAMETROS!$C$19)/I100,0)</f>
        <v>0</v>
      </c>
      <c r="L100" s="104"/>
      <c r="M100" s="105"/>
      <c r="N100" s="109"/>
      <c r="O100" s="105"/>
      <c r="P100" s="105"/>
      <c r="Q100" s="105"/>
      <c r="R100" s="105"/>
      <c r="S100" s="105"/>
      <c r="T100" s="105"/>
      <c r="U100" s="105"/>
      <c r="V100" s="105"/>
      <c r="W100" s="105"/>
      <c r="X100" s="105">
        <v>0</v>
      </c>
    </row>
    <row r="101" spans="1:24" ht="15.75" customHeight="1" x14ac:dyDescent="0.3">
      <c r="A101" s="144" t="str">
        <f t="shared" si="1"/>
        <v/>
      </c>
      <c r="B101" s="145"/>
      <c r="C101" s="110" t="s">
        <v>286</v>
      </c>
      <c r="D101" s="111" t="s">
        <v>175</v>
      </c>
      <c r="E101" s="111" t="s">
        <v>176</v>
      </c>
      <c r="F101" s="112">
        <v>3000</v>
      </c>
      <c r="G101" s="112">
        <v>0</v>
      </c>
      <c r="H101" s="112">
        <v>7</v>
      </c>
      <c r="I101" s="112">
        <f>IF(E101&lt;&gt;"",F101*G101,SUMIFS(I102:I$9909,$C102:$C$9909,"*"&amp;C101&amp;"*",$E102:$E$9909,"&lt;&gt;"))</f>
        <v>0</v>
      </c>
      <c r="J101" s="112">
        <f>IF($E101&lt;&gt;"",$F101*H101,SUMIFS(J102:J$9909,$C102:$C$9909,"*"&amp;$C101&amp;"*",$E102:$E$9909,"&lt;&gt;"))</f>
        <v>21000</v>
      </c>
      <c r="K101" s="103">
        <f>IF(I101&gt;0,(I101-J101-I101*PARAMETROS!$C$19)/I101,0)</f>
        <v>0</v>
      </c>
      <c r="L101" s="104"/>
      <c r="M101" s="105"/>
      <c r="N101" s="112"/>
      <c r="O101" s="105"/>
      <c r="P101" s="105"/>
      <c r="Q101" s="105"/>
      <c r="R101" s="105"/>
      <c r="S101" s="105"/>
      <c r="T101" s="105"/>
      <c r="U101" s="105"/>
      <c r="V101" s="105"/>
      <c r="W101" s="105"/>
      <c r="X101" s="105">
        <v>500</v>
      </c>
    </row>
    <row r="102" spans="1:24" ht="15.75" hidden="1" customHeight="1" x14ac:dyDescent="0.3">
      <c r="A102" s="144" t="str">
        <f t="shared" si="1"/>
        <v/>
      </c>
      <c r="B102" s="145"/>
      <c r="C102" s="110" t="s">
        <v>287</v>
      </c>
      <c r="D102" s="111" t="s">
        <v>288</v>
      </c>
      <c r="E102" s="111" t="s">
        <v>176</v>
      </c>
      <c r="F102" s="112"/>
      <c r="G102" s="112">
        <v>0</v>
      </c>
      <c r="H102" s="112">
        <v>6.4</v>
      </c>
      <c r="I102" s="112">
        <f>IF(E102&lt;&gt;"",F102*G102,SUMIFS(I103:I$9909,$C103:$C$9909,"*"&amp;C102&amp;"*",$E103:$E$9909,"&lt;&gt;"))</f>
        <v>0</v>
      </c>
      <c r="J102" s="112">
        <f>IF($E102&lt;&gt;"",$F102*H102,SUMIFS(J103:J$9909,$C103:$C$9909,"*"&amp;$C102&amp;"*",$E103:$E$9909,"&lt;&gt;"))</f>
        <v>0</v>
      </c>
      <c r="K102" s="103">
        <f>IF(I102&gt;0,(I102-J102-I102*PARAMETROS!$C$19)/I102,0)</f>
        <v>0</v>
      </c>
      <c r="L102" s="104"/>
      <c r="M102" s="105"/>
      <c r="N102" s="109"/>
      <c r="O102" s="105"/>
      <c r="P102" s="105"/>
      <c r="Q102" s="105"/>
      <c r="R102" s="105"/>
      <c r="S102" s="105"/>
      <c r="T102" s="105"/>
      <c r="U102" s="105"/>
      <c r="V102" s="105"/>
      <c r="W102" s="105"/>
      <c r="X102" s="105">
        <v>0</v>
      </c>
    </row>
    <row r="103" spans="1:24" s="48" customFormat="1" ht="15.75" customHeight="1" x14ac:dyDescent="0.3">
      <c r="A103" s="361" t="str">
        <f t="shared" si="1"/>
        <v/>
      </c>
      <c r="B103" s="362"/>
      <c r="C103" s="357" t="s">
        <v>289</v>
      </c>
      <c r="D103" s="358" t="s">
        <v>290</v>
      </c>
      <c r="E103" s="359"/>
      <c r="F103" s="360"/>
      <c r="G103" s="360"/>
      <c r="H103" s="360"/>
      <c r="I103" s="360">
        <f>IF(E103&lt;&gt;"",F103*G103,SUMIFS(I104:I$9909,$C104:$C$9909,"*"&amp;C103&amp;"*",$E104:$E$9909,"&lt;&gt;"))</f>
        <v>0</v>
      </c>
      <c r="J103" s="360">
        <f>IF($E103&lt;&gt;"",$F103*H103,SUMIFS(J104:J$9909,$C104:$C$9909,"*"&amp;$C103&amp;"*",$E104:$E$9909,"&lt;&gt;"))</f>
        <v>5770.8</v>
      </c>
      <c r="K103" s="128">
        <f>IF(I103&gt;0,(I103-J103-I103*PARAMETROS!$C$19)/I103,0)</f>
        <v>0</v>
      </c>
      <c r="L103" s="363" t="s">
        <v>122</v>
      </c>
      <c r="M103" s="364"/>
      <c r="N103" s="360"/>
      <c r="O103" s="364"/>
      <c r="P103" s="364"/>
      <c r="Q103" s="364"/>
      <c r="R103" s="364"/>
      <c r="S103" s="364"/>
      <c r="T103" s="364"/>
      <c r="U103" s="364"/>
      <c r="V103" s="364"/>
      <c r="W103" s="364"/>
      <c r="X103" s="364"/>
    </row>
    <row r="104" spans="1:24" ht="15.75" customHeight="1" x14ac:dyDescent="0.3">
      <c r="A104" s="144" t="str">
        <f t="shared" si="1"/>
        <v/>
      </c>
      <c r="B104" s="145"/>
      <c r="C104" s="106" t="s">
        <v>291</v>
      </c>
      <c r="D104" s="107" t="s">
        <v>292</v>
      </c>
      <c r="E104" s="108"/>
      <c r="F104" s="109"/>
      <c r="G104" s="109"/>
      <c r="H104" s="109"/>
      <c r="I104" s="109">
        <f>IF(E104&lt;&gt;"",F104*G104,SUMIFS(I105:I$9909,$C105:$C$9909,"*"&amp;C104&amp;"*",$E105:$E$9909,"&lt;&gt;"))</f>
        <v>0</v>
      </c>
      <c r="J104" s="109">
        <f>IF($E104&lt;&gt;"",$F104*H104,SUMIFS(J105:J$9909,$C105:$C$9909,"*"&amp;$C104&amp;"*",$E105:$E$9909,"&lt;&gt;"))</f>
        <v>5770.8</v>
      </c>
      <c r="K104" s="103">
        <f>IF(I104&gt;0,(I104-J104-I104*PARAMETROS!$C$19)/I104,0)</f>
        <v>0</v>
      </c>
      <c r="L104" s="104"/>
      <c r="M104" s="105"/>
      <c r="N104" s="112"/>
      <c r="O104" s="105"/>
      <c r="P104" s="105"/>
      <c r="Q104" s="105"/>
      <c r="R104" s="105"/>
      <c r="S104" s="105"/>
      <c r="T104" s="105"/>
      <c r="U104" s="105"/>
      <c r="V104" s="105"/>
      <c r="W104" s="105"/>
      <c r="X104" s="105"/>
    </row>
    <row r="105" spans="1:24" ht="15.75" customHeight="1" x14ac:dyDescent="0.3">
      <c r="A105" s="144" t="str">
        <f t="shared" ref="A105:A165" si="2">IF(LEN(C105)=3,1,"")</f>
        <v/>
      </c>
      <c r="B105" s="145"/>
      <c r="C105" s="110" t="s">
        <v>293</v>
      </c>
      <c r="D105" s="111" t="s">
        <v>294</v>
      </c>
      <c r="E105" s="111" t="s">
        <v>128</v>
      </c>
      <c r="F105" s="112">
        <v>1</v>
      </c>
      <c r="G105" s="112">
        <v>0</v>
      </c>
      <c r="H105" s="112">
        <f>2290*1.4*1.8</f>
        <v>5770.8</v>
      </c>
      <c r="I105" s="112">
        <f>IF(E105&lt;&gt;"",F105*G105,SUMIFS(I106:I$9909,$C106:$C$9909,"*"&amp;C105&amp;"*",$E106:$E$9909,"&lt;&gt;"))</f>
        <v>0</v>
      </c>
      <c r="J105" s="112">
        <f>IF($E105&lt;&gt;"",$F105*H105,SUMIFS(J106:J$9909,$C106:$C$9909,"*"&amp;$C105&amp;"*",$E106:$E$9909,"&lt;&gt;"))</f>
        <v>5770.8</v>
      </c>
      <c r="K105" s="103">
        <f>IF(I105&gt;0,(I105-J105-I105*PARAMETROS!$C$19)/I105,0)</f>
        <v>0</v>
      </c>
      <c r="L105" s="104"/>
      <c r="M105" s="105"/>
      <c r="N105" s="109"/>
      <c r="O105" s="105"/>
      <c r="P105" s="105"/>
      <c r="Q105" s="105"/>
      <c r="R105" s="105"/>
      <c r="S105" s="105"/>
      <c r="T105" s="105"/>
      <c r="U105" s="105"/>
      <c r="V105" s="105"/>
      <c r="W105" s="105"/>
      <c r="X105" s="105">
        <v>1</v>
      </c>
    </row>
    <row r="106" spans="1:24" ht="15.75" hidden="1" customHeight="1" x14ac:dyDescent="0.3">
      <c r="A106" s="144" t="str">
        <f t="shared" si="2"/>
        <v/>
      </c>
      <c r="B106" s="145"/>
      <c r="C106" s="106" t="s">
        <v>295</v>
      </c>
      <c r="D106" s="107" t="s">
        <v>296</v>
      </c>
      <c r="E106" s="108"/>
      <c r="F106" s="109"/>
      <c r="G106" s="109"/>
      <c r="H106" s="109"/>
      <c r="I106" s="109">
        <f>IF(E106&lt;&gt;"",F106*G106,SUMIFS(I107:I$9909,$C107:$C$9909,"*"&amp;C106&amp;"*",$E107:$E$9909,"&lt;&gt;"))</f>
        <v>0</v>
      </c>
      <c r="J106" s="109">
        <f>IF($E106&lt;&gt;"",$F106*H106,SUMIFS(J107:J$9909,$C107:$C$9909,"*"&amp;$C106&amp;"*",$E107:$E$9909,"&lt;&gt;"))</f>
        <v>0</v>
      </c>
      <c r="K106" s="103">
        <f>IF(I106&gt;0,(I106-J106-I106*PARAMETROS!$C$19)/I106,0)</f>
        <v>0</v>
      </c>
      <c r="L106" s="104"/>
      <c r="M106" s="105"/>
      <c r="N106" s="112"/>
      <c r="O106" s="105"/>
      <c r="P106" s="105"/>
      <c r="Q106" s="105"/>
      <c r="R106" s="105"/>
      <c r="S106" s="105"/>
      <c r="T106" s="105"/>
      <c r="U106" s="105"/>
      <c r="V106" s="105"/>
      <c r="W106" s="105"/>
      <c r="X106" s="105"/>
    </row>
    <row r="107" spans="1:24" ht="15.75" hidden="1" customHeight="1" x14ac:dyDescent="0.3">
      <c r="A107" s="144" t="str">
        <f t="shared" si="2"/>
        <v/>
      </c>
      <c r="B107" s="145"/>
      <c r="C107" s="106" t="s">
        <v>297</v>
      </c>
      <c r="D107" s="107" t="s">
        <v>169</v>
      </c>
      <c r="E107" s="108"/>
      <c r="F107" s="109"/>
      <c r="G107" s="109"/>
      <c r="H107" s="109"/>
      <c r="I107" s="109">
        <f>IF(E107&lt;&gt;"",F107*G107,SUMIFS(I108:I$9909,$C108:$C$9909,"*"&amp;C107&amp;"*",$E108:$E$9909,"&lt;&gt;"))</f>
        <v>0</v>
      </c>
      <c r="J107" s="109">
        <f>IF($E107&lt;&gt;"",$F107*H107,SUMIFS(J108:J$9909,$C108:$C$9909,"*"&amp;$C107&amp;"*",$E108:$E$9909,"&lt;&gt;"))</f>
        <v>0</v>
      </c>
      <c r="K107" s="103">
        <f>IF(I107&gt;0,(I107-J107-I107*PARAMETROS!$C$19)/I107,0)</f>
        <v>0</v>
      </c>
      <c r="L107" s="104"/>
      <c r="M107" s="105"/>
      <c r="N107" s="112"/>
      <c r="O107" s="105"/>
      <c r="P107" s="105"/>
      <c r="Q107" s="105"/>
      <c r="R107" s="105"/>
      <c r="S107" s="105"/>
      <c r="T107" s="105"/>
      <c r="U107" s="105"/>
      <c r="V107" s="105"/>
      <c r="W107" s="105"/>
      <c r="X107" s="105"/>
    </row>
    <row r="108" spans="1:24" ht="15.75" hidden="1" customHeight="1" x14ac:dyDescent="0.3">
      <c r="A108" s="144" t="str">
        <f t="shared" si="2"/>
        <v/>
      </c>
      <c r="B108" s="145"/>
      <c r="C108" s="110" t="s">
        <v>298</v>
      </c>
      <c r="D108" s="111" t="s">
        <v>269</v>
      </c>
      <c r="E108" s="111" t="s">
        <v>270</v>
      </c>
      <c r="F108" s="112"/>
      <c r="G108" s="112">
        <v>0</v>
      </c>
      <c r="H108" s="112">
        <v>0.65</v>
      </c>
      <c r="I108" s="112">
        <f>IF(E108&lt;&gt;"",F108*G108,SUMIFS(I109:I$9909,$C109:$C$9909,"*"&amp;C108&amp;"*",$E109:$E$9909,"&lt;&gt;"))</f>
        <v>0</v>
      </c>
      <c r="J108" s="112">
        <f>IF($E108&lt;&gt;"",$F108*H108,SUMIFS(J109:J$9909,$C109:$C$9909,"*"&amp;$C108&amp;"*",$E109:$E$9909,"&lt;&gt;"))</f>
        <v>0</v>
      </c>
      <c r="K108" s="103">
        <f>IF(I108&gt;0,(I108-J108-I108*PARAMETROS!$C$19)/I108,0)</f>
        <v>0</v>
      </c>
      <c r="L108" s="104"/>
      <c r="M108" s="105"/>
      <c r="N108" s="109"/>
      <c r="O108" s="105"/>
      <c r="P108" s="105"/>
      <c r="Q108" s="105"/>
      <c r="R108" s="105"/>
      <c r="S108" s="105"/>
      <c r="T108" s="105"/>
      <c r="U108" s="105"/>
      <c r="V108" s="105"/>
      <c r="W108" s="105"/>
      <c r="X108" s="105">
        <v>0</v>
      </c>
    </row>
    <row r="109" spans="1:24" ht="15.75" hidden="1" customHeight="1" x14ac:dyDescent="0.3">
      <c r="A109" s="144" t="str">
        <f t="shared" si="2"/>
        <v/>
      </c>
      <c r="B109" s="145"/>
      <c r="C109" s="110" t="s">
        <v>299</v>
      </c>
      <c r="D109" s="111" t="s">
        <v>272</v>
      </c>
      <c r="E109" s="111" t="s">
        <v>270</v>
      </c>
      <c r="F109" s="112"/>
      <c r="G109" s="112">
        <v>0</v>
      </c>
      <c r="H109" s="112">
        <v>0.85</v>
      </c>
      <c r="I109" s="112">
        <f>IF(E109&lt;&gt;"",F109*G109,SUMIFS(I110:I$9909,$C110:$C$9909,"*"&amp;C109&amp;"*",$E110:$E$9909,"&lt;&gt;"))</f>
        <v>0</v>
      </c>
      <c r="J109" s="112">
        <f>IF($E109&lt;&gt;"",$F109*H109,SUMIFS(J110:J$9909,$C110:$C$9909,"*"&amp;$C109&amp;"*",$E110:$E$9909,"&lt;&gt;"))</f>
        <v>0</v>
      </c>
      <c r="K109" s="103">
        <f>IF(I109&gt;0,(I109-J109-I109*PARAMETROS!$C$19)/I109,0)</f>
        <v>0</v>
      </c>
      <c r="L109" s="104"/>
      <c r="M109" s="105"/>
      <c r="N109" s="112"/>
      <c r="O109" s="105"/>
      <c r="P109" s="105"/>
      <c r="Q109" s="105"/>
      <c r="R109" s="105"/>
      <c r="S109" s="105"/>
      <c r="T109" s="105"/>
      <c r="U109" s="105"/>
      <c r="V109" s="105"/>
      <c r="W109" s="105"/>
      <c r="X109" s="105">
        <v>0</v>
      </c>
    </row>
    <row r="110" spans="1:24" ht="15.75" hidden="1" customHeight="1" x14ac:dyDescent="0.3">
      <c r="A110" s="144" t="str">
        <f t="shared" si="2"/>
        <v/>
      </c>
      <c r="B110" s="145"/>
      <c r="C110" s="110" t="s">
        <v>300</v>
      </c>
      <c r="D110" s="111" t="s">
        <v>282</v>
      </c>
      <c r="E110" s="111" t="s">
        <v>167</v>
      </c>
      <c r="F110" s="112"/>
      <c r="G110" s="112">
        <v>0</v>
      </c>
      <c r="H110" s="112">
        <v>735</v>
      </c>
      <c r="I110" s="112">
        <f>IF(E110&lt;&gt;"",F110*G110,SUMIFS(I111:I$9909,$C111:$C$9909,"*"&amp;C110&amp;"*",$E111:$E$9909,"&lt;&gt;"))</f>
        <v>0</v>
      </c>
      <c r="J110" s="112">
        <f>IF($E110&lt;&gt;"",$F110*H110,SUMIFS(J111:J$9909,$C111:$C$9909,"*"&amp;$C110&amp;"*",$E111:$E$9909,"&lt;&gt;"))</f>
        <v>0</v>
      </c>
      <c r="K110" s="103">
        <f>IF(I110&gt;0,(I110-J110-I110*PARAMETROS!$C$19)/I110,0)</f>
        <v>0</v>
      </c>
      <c r="L110" s="104"/>
      <c r="M110" s="105"/>
      <c r="N110" s="112"/>
      <c r="O110" s="105"/>
      <c r="P110" s="105"/>
      <c r="Q110" s="105"/>
      <c r="R110" s="105"/>
      <c r="S110" s="105"/>
      <c r="T110" s="105"/>
      <c r="U110" s="105"/>
      <c r="V110" s="105"/>
      <c r="W110" s="105"/>
      <c r="X110" s="105">
        <v>0</v>
      </c>
    </row>
    <row r="111" spans="1:24" ht="15.75" hidden="1" customHeight="1" x14ac:dyDescent="0.3">
      <c r="A111" s="144" t="str">
        <f t="shared" si="2"/>
        <v/>
      </c>
      <c r="B111" s="145"/>
      <c r="C111" s="106" t="s">
        <v>301</v>
      </c>
      <c r="D111" s="107" t="s">
        <v>173</v>
      </c>
      <c r="E111" s="108"/>
      <c r="F111" s="109"/>
      <c r="G111" s="109"/>
      <c r="H111" s="109"/>
      <c r="I111" s="109">
        <f>IF(E111&lt;&gt;"",F111*G111,SUMIFS(I112:I$9909,$C112:$C$9909,"*"&amp;C111&amp;"*",$E112:$E$9909,"&lt;&gt;"))</f>
        <v>0</v>
      </c>
      <c r="J111" s="109">
        <f>IF($E111&lt;&gt;"",$F111*H111,SUMIFS(J112:J$9909,$C112:$C$9909,"*"&amp;$C111&amp;"*",$E112:$E$9909,"&lt;&gt;"))</f>
        <v>0</v>
      </c>
      <c r="K111" s="103">
        <f>IF(I111&gt;0,(I111-J111-I111*PARAMETROS!$C$19)/I111,0)</f>
        <v>0</v>
      </c>
      <c r="L111" s="104"/>
      <c r="M111" s="105"/>
      <c r="N111" s="109"/>
      <c r="O111" s="105"/>
      <c r="P111" s="105"/>
      <c r="Q111" s="105"/>
      <c r="R111" s="105"/>
      <c r="S111" s="105"/>
      <c r="T111" s="105"/>
      <c r="U111" s="105"/>
      <c r="V111" s="105"/>
      <c r="W111" s="105"/>
      <c r="X111" s="105"/>
    </row>
    <row r="112" spans="1:24" ht="15.75" hidden="1" customHeight="1" x14ac:dyDescent="0.3">
      <c r="A112" s="144" t="str">
        <f t="shared" si="2"/>
        <v/>
      </c>
      <c r="B112" s="145"/>
      <c r="C112" s="110" t="s">
        <v>302</v>
      </c>
      <c r="D112" s="111" t="s">
        <v>285</v>
      </c>
      <c r="E112" s="111" t="s">
        <v>176</v>
      </c>
      <c r="F112" s="112"/>
      <c r="G112" s="112">
        <v>0</v>
      </c>
      <c r="H112" s="112">
        <v>3.25</v>
      </c>
      <c r="I112" s="112">
        <f>IF(E112&lt;&gt;"",F112*G112,SUMIFS(I113:I$9909,$C113:$C$9909,"*"&amp;C112&amp;"*",$E113:$E$9909,"&lt;&gt;"))</f>
        <v>0</v>
      </c>
      <c r="J112" s="112">
        <f>IF($E112&lt;&gt;"",$F112*H112,SUMIFS(J113:J$9909,$C113:$C$9909,"*"&amp;$C112&amp;"*",$E113:$E$9909,"&lt;&gt;"))</f>
        <v>0</v>
      </c>
      <c r="K112" s="103">
        <f>IF(I112&gt;0,(I112-J112-I112*PARAMETROS!$C$19)/I112,0)</f>
        <v>0</v>
      </c>
      <c r="L112" s="104"/>
      <c r="M112" s="105"/>
      <c r="N112" s="109"/>
      <c r="O112" s="105"/>
      <c r="P112" s="105"/>
      <c r="Q112" s="105"/>
      <c r="R112" s="105"/>
      <c r="S112" s="105"/>
      <c r="T112" s="105"/>
      <c r="U112" s="105"/>
      <c r="V112" s="105"/>
      <c r="W112" s="105"/>
      <c r="X112" s="105">
        <v>0</v>
      </c>
    </row>
    <row r="113" spans="1:24" ht="15.75" hidden="1" customHeight="1" x14ac:dyDescent="0.3">
      <c r="A113" s="144" t="str">
        <f t="shared" si="2"/>
        <v/>
      </c>
      <c r="B113" s="145"/>
      <c r="C113" s="110" t="s">
        <v>303</v>
      </c>
      <c r="D113" s="111" t="s">
        <v>175</v>
      </c>
      <c r="E113" s="111" t="s">
        <v>176</v>
      </c>
      <c r="F113" s="112"/>
      <c r="G113" s="112">
        <v>0</v>
      </c>
      <c r="H113" s="112">
        <v>4.9000000000000004</v>
      </c>
      <c r="I113" s="112">
        <f>IF(E113&lt;&gt;"",F113*G113,SUMIFS(I114:I$9909,$C114:$C$9909,"*"&amp;C113&amp;"*",$E114:$E$9909,"&lt;&gt;"))</f>
        <v>0</v>
      </c>
      <c r="J113" s="112">
        <f>IF($E113&lt;&gt;"",$F113*H113,SUMIFS(J114:J$9909,$C114:$C$9909,"*"&amp;$C113&amp;"*",$E114:$E$9909,"&lt;&gt;"))</f>
        <v>0</v>
      </c>
      <c r="K113" s="103">
        <f>IF(I113&gt;0,(I113-J113-I113*PARAMETROS!$C$19)/I113,0)</f>
        <v>0</v>
      </c>
      <c r="L113" s="104"/>
      <c r="M113" s="105"/>
      <c r="N113" s="112"/>
      <c r="O113" s="105"/>
      <c r="P113" s="105"/>
      <c r="Q113" s="105"/>
      <c r="R113" s="105"/>
      <c r="S113" s="105"/>
      <c r="T113" s="105"/>
      <c r="U113" s="105"/>
      <c r="V113" s="105"/>
      <c r="W113" s="105"/>
      <c r="X113" s="105">
        <v>0</v>
      </c>
    </row>
    <row r="114" spans="1:24" ht="15.75" hidden="1" customHeight="1" x14ac:dyDescent="0.3">
      <c r="A114" s="144" t="str">
        <f t="shared" si="2"/>
        <v/>
      </c>
      <c r="B114" s="145"/>
      <c r="C114" s="110" t="s">
        <v>304</v>
      </c>
      <c r="D114" s="111" t="s">
        <v>288</v>
      </c>
      <c r="E114" s="111" t="s">
        <v>176</v>
      </c>
      <c r="F114" s="112"/>
      <c r="G114" s="112">
        <v>0</v>
      </c>
      <c r="H114" s="112">
        <v>6.4</v>
      </c>
      <c r="I114" s="112">
        <f>IF(E114&lt;&gt;"",F114*G114,SUMIFS(I115:I$9909,$C115:$C$9909,"*"&amp;C114&amp;"*",$E115:$E$9909,"&lt;&gt;"))</f>
        <v>0</v>
      </c>
      <c r="J114" s="112">
        <f>IF($E114&lt;&gt;"",$F114*H114,SUMIFS(J115:J$9909,$C115:$C$9909,"*"&amp;$C114&amp;"*",$E115:$E$9909,"&lt;&gt;"))</f>
        <v>0</v>
      </c>
      <c r="K114" s="103">
        <f>IF(I114&gt;0,(I114-J114-I114*PARAMETROS!$C$19)/I114,0)</f>
        <v>0</v>
      </c>
      <c r="L114" s="104"/>
      <c r="M114" s="105"/>
      <c r="N114" s="109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>
        <v>0</v>
      </c>
    </row>
    <row r="115" spans="1:24" s="48" customFormat="1" ht="15.75" customHeight="1" x14ac:dyDescent="0.3">
      <c r="A115" s="361" t="str">
        <f t="shared" si="2"/>
        <v/>
      </c>
      <c r="B115" s="362"/>
      <c r="C115" s="357" t="s">
        <v>305</v>
      </c>
      <c r="D115" s="358" t="s">
        <v>306</v>
      </c>
      <c r="E115" s="359"/>
      <c r="F115" s="360"/>
      <c r="G115" s="360"/>
      <c r="H115" s="360"/>
      <c r="I115" s="360">
        <f>IF(E115&lt;&gt;"",F115*G115,SUMIFS(I116:I$9909,$C116:$C$9909,"*"&amp;C115&amp;"*",$E116:$E$9909,"&lt;&gt;"))</f>
        <v>0</v>
      </c>
      <c r="J115" s="360">
        <f>IF($E115&lt;&gt;"",$F115*H115,SUMIFS(J116:J$9909,$C116:$C$9909,"*"&amp;$C115&amp;"*",$E116:$E$9909,"&lt;&gt;"))</f>
        <v>80401.609100000001</v>
      </c>
      <c r="K115" s="128">
        <f>IF(I115&gt;0,(I115-J115-I115*PARAMETROS!$C$19)/I115,0)</f>
        <v>0</v>
      </c>
      <c r="L115" s="363" t="s">
        <v>122</v>
      </c>
      <c r="M115" s="364"/>
      <c r="N115" s="360"/>
      <c r="O115" s="364"/>
      <c r="P115" s="364"/>
      <c r="Q115" s="364"/>
      <c r="R115" s="364"/>
      <c r="S115" s="364"/>
      <c r="T115" s="364"/>
      <c r="U115" s="364"/>
      <c r="V115" s="364"/>
      <c r="W115" s="364"/>
      <c r="X115" s="364"/>
    </row>
    <row r="116" spans="1:24" ht="15.75" customHeight="1" x14ac:dyDescent="0.3">
      <c r="A116" s="144" t="str">
        <f t="shared" si="2"/>
        <v/>
      </c>
      <c r="B116" s="145"/>
      <c r="C116" s="106" t="s">
        <v>307</v>
      </c>
      <c r="D116" s="107" t="s">
        <v>308</v>
      </c>
      <c r="E116" s="108"/>
      <c r="F116" s="109"/>
      <c r="G116" s="109"/>
      <c r="H116" s="109"/>
      <c r="I116" s="109">
        <f>IF(E116&lt;&gt;"",F116*G116,SUMIFS(I117:I$9909,$C117:$C$9909,"*"&amp;C116&amp;"*",$E117:$E$9909,"&lt;&gt;"))</f>
        <v>0</v>
      </c>
      <c r="J116" s="109">
        <f>IF($E116&lt;&gt;"",$F116*H116,SUMIFS(J117:J$9909,$C117:$C$9909,"*"&amp;$C116&amp;"*",$E117:$E$9909,"&lt;&gt;"))</f>
        <v>41101.609100000001</v>
      </c>
      <c r="K116" s="103">
        <f>IF(I116&gt;0,(I116-J116-I116*PARAMETROS!$C$19)/I116,0)</f>
        <v>0</v>
      </c>
      <c r="L116" s="104"/>
      <c r="M116" s="105"/>
      <c r="N116" s="112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</row>
    <row r="117" spans="1:24" ht="15.75" customHeight="1" x14ac:dyDescent="0.3">
      <c r="A117" s="144" t="str">
        <f t="shared" si="2"/>
        <v/>
      </c>
      <c r="B117" s="145"/>
      <c r="C117" s="110" t="s">
        <v>309</v>
      </c>
      <c r="D117" s="111" t="s">
        <v>310</v>
      </c>
      <c r="E117" s="111" t="s">
        <v>128</v>
      </c>
      <c r="F117" s="112">
        <v>1</v>
      </c>
      <c r="G117" s="112">
        <v>0</v>
      </c>
      <c r="H117" s="112">
        <v>8815.6355000000003</v>
      </c>
      <c r="I117" s="112">
        <f>IF(E117&lt;&gt;"",F117*G117,SUMIFS(I118:I$9909,$C118:$C$9909,"*"&amp;C117&amp;"*",$E118:$E$9909,"&lt;&gt;"))</f>
        <v>0</v>
      </c>
      <c r="J117" s="112">
        <f>IF($E117&lt;&gt;"",$F117*H117,SUMIFS(J118:J$9909,$C118:$C$9909,"*"&amp;$C117&amp;"*",$E118:$E$9909,"&lt;&gt;"))</f>
        <v>8815.6355000000003</v>
      </c>
      <c r="K117" s="103">
        <f>IF(I117&gt;0,(I117-J117-I117*PARAMETROS!$C$19)/I117,0)</f>
        <v>0</v>
      </c>
      <c r="L117" s="104"/>
      <c r="M117" s="105"/>
      <c r="N117" s="112"/>
      <c r="O117" s="105"/>
      <c r="P117" s="105"/>
      <c r="Q117" s="105"/>
      <c r="R117" s="105"/>
      <c r="S117" s="105"/>
      <c r="T117" s="105"/>
      <c r="U117" s="105"/>
      <c r="V117" s="105"/>
      <c r="W117" s="105"/>
      <c r="X117" s="105">
        <v>1</v>
      </c>
    </row>
    <row r="118" spans="1:24" ht="15.75" customHeight="1" x14ac:dyDescent="0.3">
      <c r="A118" s="144" t="str">
        <f t="shared" si="2"/>
        <v/>
      </c>
      <c r="B118" s="145"/>
      <c r="C118" s="110" t="s">
        <v>311</v>
      </c>
      <c r="D118" s="111" t="s">
        <v>312</v>
      </c>
      <c r="E118" s="111" t="s">
        <v>128</v>
      </c>
      <c r="F118" s="112">
        <v>1</v>
      </c>
      <c r="G118" s="112">
        <v>0</v>
      </c>
      <c r="H118" s="112">
        <v>7391.1707999999999</v>
      </c>
      <c r="I118" s="112">
        <f>IF(E118&lt;&gt;"",F118*G118,SUMIFS(I119:I$9909,$C119:$C$9909,"*"&amp;C118&amp;"*",$E119:$E$9909,"&lt;&gt;"))</f>
        <v>0</v>
      </c>
      <c r="J118" s="112">
        <f>IF($E118&lt;&gt;"",$F118*H118,SUMIFS(J119:J$9909,$C119:$C$9909,"*"&amp;$C118&amp;"*",$E119:$E$9909,"&lt;&gt;"))</f>
        <v>7391.1707999999999</v>
      </c>
      <c r="K118" s="103">
        <f>IF(I118&gt;0,(I118-J118-I118*PARAMETROS!$C$19)/I118,0)</f>
        <v>0</v>
      </c>
      <c r="L118" s="104"/>
      <c r="M118" s="105"/>
      <c r="N118" s="109"/>
      <c r="O118" s="105"/>
      <c r="P118" s="105"/>
      <c r="Q118" s="105"/>
      <c r="R118" s="105"/>
      <c r="S118" s="105"/>
      <c r="T118" s="105"/>
      <c r="U118" s="105"/>
      <c r="V118" s="105"/>
      <c r="W118" s="105"/>
      <c r="X118" s="105">
        <v>1</v>
      </c>
    </row>
    <row r="119" spans="1:24" ht="15.75" customHeight="1" x14ac:dyDescent="0.3">
      <c r="A119" s="144" t="str">
        <f t="shared" si="2"/>
        <v/>
      </c>
      <c r="B119" s="145"/>
      <c r="C119" s="110" t="s">
        <v>313</v>
      </c>
      <c r="D119" s="111" t="s">
        <v>314</v>
      </c>
      <c r="E119" s="111" t="s">
        <v>128</v>
      </c>
      <c r="F119" s="112">
        <v>2</v>
      </c>
      <c r="G119" s="112">
        <v>0</v>
      </c>
      <c r="H119" s="112">
        <v>7486.0609000000004</v>
      </c>
      <c r="I119" s="112">
        <f>IF(E119&lt;&gt;"",F119*G119,SUMIFS(I120:I$9909,$C120:$C$9909,"*"&amp;C119&amp;"*",$E120:$E$9909,"&lt;&gt;"))</f>
        <v>0</v>
      </c>
      <c r="J119" s="112">
        <f>IF($E119&lt;&gt;"",$F119*H119,SUMIFS(J120:J$9909,$C120:$C$9909,"*"&amp;$C119&amp;"*",$E120:$E$9909,"&lt;&gt;"))</f>
        <v>14972.121800000001</v>
      </c>
      <c r="K119" s="103">
        <f>IF(I119&gt;0,(I119-J119-I119*PARAMETROS!$C$19)/I119,0)</f>
        <v>0</v>
      </c>
      <c r="L119" s="104"/>
      <c r="M119" s="105"/>
      <c r="N119" s="112"/>
      <c r="O119" s="105"/>
      <c r="P119" s="105"/>
      <c r="Q119" s="105"/>
      <c r="R119" s="105"/>
      <c r="S119" s="105"/>
      <c r="T119" s="105"/>
      <c r="U119" s="105"/>
      <c r="V119" s="105"/>
      <c r="W119" s="105"/>
      <c r="X119" s="105">
        <v>0</v>
      </c>
    </row>
    <row r="120" spans="1:24" ht="15.75" hidden="1" customHeight="1" x14ac:dyDescent="0.3">
      <c r="A120" s="144" t="str">
        <f t="shared" si="2"/>
        <v/>
      </c>
      <c r="B120" s="145"/>
      <c r="C120" s="110" t="s">
        <v>315</v>
      </c>
      <c r="D120" s="111" t="s">
        <v>316</v>
      </c>
      <c r="E120" s="111" t="s">
        <v>128</v>
      </c>
      <c r="F120" s="112"/>
      <c r="G120" s="112">
        <v>0</v>
      </c>
      <c r="H120" s="112">
        <v>5870.5843999999997</v>
      </c>
      <c r="I120" s="112">
        <f>IF(E120&lt;&gt;"",F120*G120,SUMIFS(I121:I$9909,$C121:$C$9909,"*"&amp;C120&amp;"*",$E121:$E$9909,"&lt;&gt;"))</f>
        <v>0</v>
      </c>
      <c r="J120" s="112">
        <f>IF($E120&lt;&gt;"",$F120*H120,SUMIFS(J121:J$9909,$C121:$C$9909,"*"&amp;$C120&amp;"*",$E121:$E$9909,"&lt;&gt;"))</f>
        <v>0</v>
      </c>
      <c r="K120" s="103">
        <f>IF(I120&gt;0,(I120-J120-I120*PARAMETROS!$C$19)/I120,0)</f>
        <v>0</v>
      </c>
      <c r="L120" s="104"/>
      <c r="M120" s="105"/>
      <c r="N120" s="112"/>
      <c r="O120" s="105"/>
      <c r="P120" s="105"/>
      <c r="Q120" s="105"/>
      <c r="R120" s="105"/>
      <c r="S120" s="105"/>
      <c r="T120" s="105"/>
      <c r="U120" s="105"/>
      <c r="V120" s="105"/>
      <c r="W120" s="105"/>
      <c r="X120" s="105">
        <v>0</v>
      </c>
    </row>
    <row r="121" spans="1:24" ht="15.75" customHeight="1" x14ac:dyDescent="0.3">
      <c r="A121" s="144" t="str">
        <f t="shared" si="2"/>
        <v/>
      </c>
      <c r="B121" s="145"/>
      <c r="C121" s="110" t="s">
        <v>317</v>
      </c>
      <c r="D121" s="111" t="s">
        <v>318</v>
      </c>
      <c r="E121" s="111" t="s">
        <v>128</v>
      </c>
      <c r="F121" s="112">
        <v>1</v>
      </c>
      <c r="G121" s="112">
        <v>0</v>
      </c>
      <c r="H121" s="112">
        <v>4112.5690000000004</v>
      </c>
      <c r="I121" s="112">
        <f>IF(E121&lt;&gt;"",F121*G121,SUMIFS(I122:I$9909,$C122:$C$9909,"*"&amp;C121&amp;"*",$E122:$E$9909,"&lt;&gt;"))</f>
        <v>0</v>
      </c>
      <c r="J121" s="112">
        <f>IF($E121&lt;&gt;"",$F121*H121,SUMIFS(J122:J$9909,$C122:$C$9909,"*"&amp;$C121&amp;"*",$E122:$E$9909,"&lt;&gt;"))</f>
        <v>4112.5690000000004</v>
      </c>
      <c r="K121" s="103">
        <f>IF(I121&gt;0,(I121-J121-I121*PARAMETROS!$C$19)/I121,0)</f>
        <v>0</v>
      </c>
      <c r="L121" s="104"/>
      <c r="M121" s="105"/>
      <c r="N121" s="109"/>
      <c r="O121" s="105"/>
      <c r="P121" s="105"/>
      <c r="Q121" s="105"/>
      <c r="R121" s="105"/>
      <c r="S121" s="105"/>
      <c r="T121" s="105"/>
      <c r="U121" s="105"/>
      <c r="V121" s="105"/>
      <c r="W121" s="105"/>
      <c r="X121" s="105">
        <v>1</v>
      </c>
    </row>
    <row r="122" spans="1:24" ht="15.75" hidden="1" customHeight="1" x14ac:dyDescent="0.3">
      <c r="A122" s="144" t="str">
        <f t="shared" si="2"/>
        <v/>
      </c>
      <c r="B122" s="145"/>
      <c r="C122" s="110" t="s">
        <v>319</v>
      </c>
      <c r="D122" s="111" t="s">
        <v>320</v>
      </c>
      <c r="E122" s="111" t="s">
        <v>128</v>
      </c>
      <c r="F122" s="112"/>
      <c r="G122" s="112">
        <v>0</v>
      </c>
      <c r="H122" s="112">
        <v>4574.4207999999999</v>
      </c>
      <c r="I122" s="112">
        <f>IF(E122&lt;&gt;"",F122*G122,SUMIFS(I123:I$9909,$C123:$C$9909,"*"&amp;C122&amp;"*",$E123:$E$9909,"&lt;&gt;"))</f>
        <v>0</v>
      </c>
      <c r="J122" s="112">
        <f>IF($E122&lt;&gt;"",$F122*H122,SUMIFS(J123:J$9909,$C123:$C$9909,"*"&amp;$C122&amp;"*",$E123:$E$9909,"&lt;&gt;"))</f>
        <v>0</v>
      </c>
      <c r="K122" s="103">
        <f>IF(I122&gt;0,(I122-J122-I122*PARAMETROS!$C$19)/I122,0)</f>
        <v>0</v>
      </c>
      <c r="L122" s="104"/>
      <c r="M122" s="105"/>
      <c r="N122" s="112"/>
      <c r="O122" s="105"/>
      <c r="P122" s="105"/>
      <c r="Q122" s="105"/>
      <c r="R122" s="105"/>
      <c r="S122" s="105"/>
      <c r="T122" s="105"/>
      <c r="U122" s="105"/>
      <c r="V122" s="105"/>
      <c r="W122" s="105"/>
      <c r="X122" s="105">
        <v>1</v>
      </c>
    </row>
    <row r="123" spans="1:24" ht="15.75" customHeight="1" x14ac:dyDescent="0.3">
      <c r="A123" s="144" t="str">
        <f t="shared" si="2"/>
        <v/>
      </c>
      <c r="B123" s="145"/>
      <c r="C123" s="110" t="s">
        <v>321</v>
      </c>
      <c r="D123" s="111" t="s">
        <v>322</v>
      </c>
      <c r="E123" s="111" t="s">
        <v>167</v>
      </c>
      <c r="F123" s="112">
        <v>1</v>
      </c>
      <c r="G123" s="112">
        <v>0</v>
      </c>
      <c r="H123" s="112">
        <f>2305.6*1.4*1.8</f>
        <v>5810.1119999999992</v>
      </c>
      <c r="I123" s="112">
        <f>IF(E123&lt;&gt;"",F123*G123,SUMIFS(I124:I$9909,$C124:$C$9909,"*"&amp;C123&amp;"*",$E124:$E$9909,"&lt;&gt;"))</f>
        <v>0</v>
      </c>
      <c r="J123" s="112">
        <f>IF($E123&lt;&gt;"",$F123*H123,SUMIFS(J124:J$9909,$C124:$C$9909,"*"&amp;$C123&amp;"*",$E124:$E$9909,"&lt;&gt;"))</f>
        <v>5810.1119999999992</v>
      </c>
      <c r="K123" s="103">
        <f>IF(I123&gt;0,(I123-J123-I123*PARAMETROS!$C$19)/I123,0)</f>
        <v>0</v>
      </c>
      <c r="L123" s="104"/>
      <c r="M123" s="105"/>
      <c r="N123" s="112"/>
      <c r="O123" s="105"/>
      <c r="P123" s="105"/>
      <c r="Q123" s="105"/>
      <c r="R123" s="105"/>
      <c r="S123" s="105"/>
      <c r="T123" s="105"/>
      <c r="U123" s="105"/>
      <c r="V123" s="105"/>
      <c r="W123" s="105"/>
      <c r="X123" s="105">
        <v>0</v>
      </c>
    </row>
    <row r="124" spans="1:24" ht="15.75" customHeight="1" x14ac:dyDescent="0.3">
      <c r="A124" s="144" t="str">
        <f t="shared" si="2"/>
        <v/>
      </c>
      <c r="B124" s="145"/>
      <c r="C124" s="106" t="s">
        <v>323</v>
      </c>
      <c r="D124" s="107" t="s">
        <v>324</v>
      </c>
      <c r="E124" s="108"/>
      <c r="F124" s="109"/>
      <c r="G124" s="109"/>
      <c r="H124" s="109"/>
      <c r="I124" s="109">
        <f>IF(E124&lt;&gt;"",F124*G124,SUMIFS(I125:I$9909,$C125:$C$9909,"*"&amp;C124&amp;"*",$E125:$E$9909,"&lt;&gt;"))</f>
        <v>0</v>
      </c>
      <c r="J124" s="109">
        <f>IF($E124&lt;&gt;"",$F124*H124,SUMIFS(J125:J$9909,$C125:$C$9909,"*"&amp;$C124&amp;"*",$E125:$E$9909,"&lt;&gt;"))</f>
        <v>4500</v>
      </c>
      <c r="K124" s="103">
        <f>IF(I124&gt;0,(I124-J124-I124*PARAMETROS!$C$19)/I124,0)</f>
        <v>0</v>
      </c>
      <c r="L124" s="104"/>
      <c r="M124" s="105"/>
      <c r="N124" s="112"/>
      <c r="O124" s="105"/>
      <c r="P124" s="105"/>
      <c r="Q124" s="105"/>
      <c r="R124" s="105"/>
      <c r="S124" s="105"/>
      <c r="T124" s="105"/>
      <c r="U124" s="105"/>
      <c r="V124" s="105"/>
      <c r="W124" s="105"/>
      <c r="X124" s="105"/>
    </row>
    <row r="125" spans="1:24" ht="15.75" customHeight="1" x14ac:dyDescent="0.3">
      <c r="A125" s="144" t="str">
        <f t="shared" si="2"/>
        <v/>
      </c>
      <c r="B125" s="145"/>
      <c r="C125" s="110" t="s">
        <v>325</v>
      </c>
      <c r="D125" s="111" t="s">
        <v>326</v>
      </c>
      <c r="E125" s="111" t="s">
        <v>194</v>
      </c>
      <c r="F125" s="112">
        <v>3000</v>
      </c>
      <c r="G125" s="112">
        <v>0</v>
      </c>
      <c r="H125" s="112">
        <v>1</v>
      </c>
      <c r="I125" s="112">
        <f>IF(E125&lt;&gt;"",F125*G125,SUMIFS(I126:I$9909,$C126:$C$9909,"*"&amp;C125&amp;"*",$E126:$E$9909,"&lt;&gt;"))</f>
        <v>0</v>
      </c>
      <c r="J125" s="112">
        <f>IF($E125&lt;&gt;"",$F125*H125,SUMIFS(J126:J$9909,$C126:$C$9909,"*"&amp;$C125&amp;"*",$E126:$E$9909,"&lt;&gt;"))</f>
        <v>3000</v>
      </c>
      <c r="K125" s="103">
        <f>IF(I125&gt;0,(I125-J125-I125*PARAMETROS!$C$19)/I125,0)</f>
        <v>0</v>
      </c>
      <c r="L125" s="104"/>
      <c r="M125" s="105"/>
      <c r="N125" s="112"/>
      <c r="O125" s="105"/>
      <c r="P125" s="105"/>
      <c r="Q125" s="105"/>
      <c r="R125" s="105"/>
      <c r="S125" s="105"/>
      <c r="T125" s="105"/>
      <c r="U125" s="105"/>
      <c r="V125" s="105"/>
      <c r="W125" s="105"/>
      <c r="X125" s="105">
        <v>1</v>
      </c>
    </row>
    <row r="126" spans="1:24" ht="15.75" hidden="1" customHeight="1" x14ac:dyDescent="0.3">
      <c r="A126" s="144" t="str">
        <f t="shared" si="2"/>
        <v/>
      </c>
      <c r="B126" s="145"/>
      <c r="C126" s="110" t="s">
        <v>327</v>
      </c>
      <c r="D126" s="111" t="s">
        <v>328</v>
      </c>
      <c r="E126" s="111" t="s">
        <v>194</v>
      </c>
      <c r="F126" s="112"/>
      <c r="G126" s="112">
        <v>0</v>
      </c>
      <c r="H126" s="112">
        <v>1</v>
      </c>
      <c r="I126" s="112">
        <f>IF(E126&lt;&gt;"",F126*G126,SUMIFS(I127:I$9909,$C127:$C$9909,"*"&amp;C126&amp;"*",$E127:$E$9909,"&lt;&gt;"))</f>
        <v>0</v>
      </c>
      <c r="J126" s="112">
        <f>IF($E126&lt;&gt;"",$F126*H126,SUMIFS(J127:J$9909,$C127:$C$9909,"*"&amp;$C126&amp;"*",$E127:$E$9909,"&lt;&gt;"))</f>
        <v>0</v>
      </c>
      <c r="K126" s="103">
        <f>IF(I126&gt;0,(I126-J126-I126*PARAMETROS!$C$19)/I126,0)</f>
        <v>0</v>
      </c>
      <c r="L126" s="104"/>
      <c r="M126" s="105"/>
      <c r="N126" s="109"/>
      <c r="O126" s="105"/>
      <c r="P126" s="105"/>
      <c r="Q126" s="105"/>
      <c r="R126" s="105"/>
      <c r="S126" s="105"/>
      <c r="T126" s="105"/>
      <c r="U126" s="105"/>
      <c r="V126" s="105"/>
      <c r="W126" s="105"/>
      <c r="X126" s="105">
        <v>1</v>
      </c>
    </row>
    <row r="127" spans="1:24" ht="15.75" customHeight="1" x14ac:dyDescent="0.3">
      <c r="A127" s="144" t="str">
        <f t="shared" si="2"/>
        <v/>
      </c>
      <c r="B127" s="145"/>
      <c r="C127" s="110" t="s">
        <v>329</v>
      </c>
      <c r="D127" s="111" t="s">
        <v>330</v>
      </c>
      <c r="E127" s="111" t="s">
        <v>194</v>
      </c>
      <c r="F127" s="112">
        <v>1500</v>
      </c>
      <c r="G127" s="112">
        <v>0</v>
      </c>
      <c r="H127" s="112">
        <v>1</v>
      </c>
      <c r="I127" s="112">
        <f>IF(E127&lt;&gt;"",F127*G127,SUMIFS(I128:I$9909,$C128:$C$9909,"*"&amp;C127&amp;"*",$E128:$E$9909,"&lt;&gt;"))</f>
        <v>0</v>
      </c>
      <c r="J127" s="112">
        <f>IF($E127&lt;&gt;"",$F127*H127,SUMIFS(J128:J$9909,$C128:$C$9909,"*"&amp;$C127&amp;"*",$E128:$E$9909,"&lt;&gt;"))</f>
        <v>1500</v>
      </c>
      <c r="K127" s="103">
        <f>IF(I127&gt;0,(I127-J127-I127*PARAMETROS!$C$19)/I127,0)</f>
        <v>0</v>
      </c>
      <c r="L127" s="104"/>
      <c r="M127" s="105"/>
      <c r="N127" s="112"/>
      <c r="O127" s="105"/>
      <c r="P127" s="105"/>
      <c r="Q127" s="105"/>
      <c r="R127" s="105"/>
      <c r="S127" s="105"/>
      <c r="T127" s="105"/>
      <c r="U127" s="105"/>
      <c r="V127" s="105"/>
      <c r="W127" s="105"/>
      <c r="X127" s="105">
        <v>1</v>
      </c>
    </row>
    <row r="128" spans="1:24" ht="15.75" customHeight="1" x14ac:dyDescent="0.3">
      <c r="A128" s="144" t="str">
        <f t="shared" si="2"/>
        <v/>
      </c>
      <c r="B128" s="145"/>
      <c r="C128" s="106" t="s">
        <v>331</v>
      </c>
      <c r="D128" s="107" t="s">
        <v>332</v>
      </c>
      <c r="E128" s="108"/>
      <c r="F128" s="109"/>
      <c r="G128" s="109"/>
      <c r="H128" s="109"/>
      <c r="I128" s="109">
        <f>IF(E128&lt;&gt;"",F128*G128,SUMIFS(I129:I$9909,$C129:$C$9909,"*"&amp;C128&amp;"*",$E129:$E$9909,"&lt;&gt;"))</f>
        <v>0</v>
      </c>
      <c r="J128" s="109">
        <f>IF($E128&lt;&gt;"",$F128*H128,SUMIFS(J129:J$9909,$C129:$C$9909,"*"&amp;$C128&amp;"*",$E129:$E$9909,"&lt;&gt;"))</f>
        <v>10000</v>
      </c>
      <c r="K128" s="103">
        <f>IF(I128&gt;0,(I128-J128-I128*PARAMETROS!$C$19)/I128,0)</f>
        <v>0</v>
      </c>
      <c r="L128" s="104"/>
      <c r="M128" s="105"/>
      <c r="N128" s="112"/>
      <c r="O128" s="105"/>
      <c r="P128" s="105"/>
      <c r="Q128" s="105"/>
      <c r="R128" s="105"/>
      <c r="S128" s="105"/>
      <c r="T128" s="105"/>
      <c r="U128" s="105"/>
      <c r="V128" s="105"/>
      <c r="W128" s="105"/>
      <c r="X128" s="105"/>
    </row>
    <row r="129" spans="1:24" ht="15.75" customHeight="1" x14ac:dyDescent="0.3">
      <c r="A129" s="144" t="str">
        <f t="shared" si="2"/>
        <v/>
      </c>
      <c r="B129" s="145"/>
      <c r="C129" s="110" t="s">
        <v>333</v>
      </c>
      <c r="D129" s="111" t="s">
        <v>334</v>
      </c>
      <c r="E129" s="111" t="s">
        <v>194</v>
      </c>
      <c r="F129" s="112">
        <v>10000</v>
      </c>
      <c r="G129" s="112">
        <v>0</v>
      </c>
      <c r="H129" s="112">
        <v>1</v>
      </c>
      <c r="I129" s="112">
        <f>IF(E129&lt;&gt;"",F129*G129,SUMIFS(I130:I$9909,$C130:$C$9909,"*"&amp;C129&amp;"*",$E130:$E$9909,"&lt;&gt;"))</f>
        <v>0</v>
      </c>
      <c r="J129" s="112">
        <f>IF($E129&lt;&gt;"",$F129*H129,SUMIFS(J130:J$9909,$C130:$C$9909,"*"&amp;$C129&amp;"*",$E130:$E$9909,"&lt;&gt;"))</f>
        <v>10000</v>
      </c>
      <c r="K129" s="103">
        <f>IF(I129&gt;0,(I129-J129-I129*PARAMETROS!$C$19)/I129,0)</f>
        <v>0</v>
      </c>
      <c r="L129" s="104"/>
      <c r="M129" s="105"/>
      <c r="N129" s="102"/>
      <c r="O129" s="105"/>
      <c r="P129" s="105"/>
      <c r="Q129" s="105"/>
      <c r="R129" s="105"/>
      <c r="S129" s="105"/>
      <c r="T129" s="105"/>
      <c r="U129" s="105"/>
      <c r="V129" s="105"/>
      <c r="W129" s="105"/>
      <c r="X129" s="105">
        <v>1000</v>
      </c>
    </row>
    <row r="130" spans="1:24" ht="15.75" hidden="1" customHeight="1" x14ac:dyDescent="0.3">
      <c r="A130" s="144" t="str">
        <f t="shared" si="2"/>
        <v/>
      </c>
      <c r="B130" s="145"/>
      <c r="C130" s="110" t="s">
        <v>335</v>
      </c>
      <c r="D130" s="111" t="s">
        <v>336</v>
      </c>
      <c r="E130" s="111" t="s">
        <v>194</v>
      </c>
      <c r="F130" s="112"/>
      <c r="G130" s="112">
        <v>0</v>
      </c>
      <c r="H130" s="112">
        <v>1</v>
      </c>
      <c r="I130" s="112">
        <f>IF(E130&lt;&gt;"",F130*G130,SUMIFS(I131:I$9909,$C131:$C$9909,"*"&amp;C130&amp;"*",$E131:$E$9909,"&lt;&gt;"))</f>
        <v>0</v>
      </c>
      <c r="J130" s="112">
        <f>IF($E130&lt;&gt;"",$F130*H130,SUMIFS(J131:J$9909,$C131:$C$9909,"*"&amp;$C130&amp;"*",$E131:$E$9909,"&lt;&gt;"))</f>
        <v>0</v>
      </c>
      <c r="K130" s="103">
        <f>IF(I130&gt;0,(I130-J130-I130*PARAMETROS!$C$19)/I130,0)</f>
        <v>0</v>
      </c>
      <c r="L130" s="104"/>
      <c r="M130" s="105"/>
      <c r="N130" s="109"/>
      <c r="O130" s="105"/>
      <c r="P130" s="105"/>
      <c r="Q130" s="105"/>
      <c r="R130" s="105"/>
      <c r="S130" s="105"/>
      <c r="T130" s="105"/>
      <c r="U130" s="105"/>
      <c r="V130" s="105"/>
      <c r="W130" s="105"/>
      <c r="X130" s="105">
        <v>1</v>
      </c>
    </row>
    <row r="131" spans="1:24" ht="15.75" customHeight="1" x14ac:dyDescent="0.3">
      <c r="A131" s="144" t="str">
        <f t="shared" si="2"/>
        <v/>
      </c>
      <c r="B131" s="145"/>
      <c r="C131" s="106" t="s">
        <v>337</v>
      </c>
      <c r="D131" s="107" t="s">
        <v>169</v>
      </c>
      <c r="E131" s="108"/>
      <c r="F131" s="109"/>
      <c r="G131" s="109"/>
      <c r="H131" s="109"/>
      <c r="I131" s="109">
        <f>IF(E131&lt;&gt;"",F131*G131,SUMIFS(I132:I$9909,$C132:$C$9909,"*"&amp;C131&amp;"*",$E132:$E$9909,"&lt;&gt;"))</f>
        <v>0</v>
      </c>
      <c r="J131" s="109">
        <f>IF($E131&lt;&gt;"",$F131*H131,SUMIFS(J132:J$9909,$C132:$C$9909,"*"&amp;$C131&amp;"*",$E132:$E$9909,"&lt;&gt;"))</f>
        <v>12000</v>
      </c>
      <c r="K131" s="103">
        <f>IF(I131&gt;0,(I131-J131-I131*PARAMETROS!$C$19)/I131,0)</f>
        <v>0</v>
      </c>
      <c r="L131" s="104"/>
      <c r="M131" s="105"/>
      <c r="N131" s="112"/>
      <c r="O131" s="105"/>
      <c r="P131" s="105"/>
      <c r="Q131" s="105"/>
      <c r="R131" s="105"/>
      <c r="S131" s="105"/>
      <c r="T131" s="105"/>
      <c r="U131" s="105"/>
      <c r="V131" s="105"/>
      <c r="W131" s="105"/>
      <c r="X131" s="105"/>
    </row>
    <row r="132" spans="1:24" ht="15.75" hidden="1" customHeight="1" x14ac:dyDescent="0.3">
      <c r="A132" s="144" t="str">
        <f t="shared" si="2"/>
        <v/>
      </c>
      <c r="B132" s="145"/>
      <c r="C132" s="110" t="s">
        <v>338</v>
      </c>
      <c r="D132" s="111" t="s">
        <v>269</v>
      </c>
      <c r="E132" s="111" t="s">
        <v>270</v>
      </c>
      <c r="F132" s="112"/>
      <c r="G132" s="112">
        <v>0</v>
      </c>
      <c r="H132" s="112">
        <v>0.65</v>
      </c>
      <c r="I132" s="112">
        <f>IF(E132&lt;&gt;"",F132*G132,SUMIFS(I133:I$9909,$C133:$C$9909,"*"&amp;C132&amp;"*",$E133:$E$9909,"&lt;&gt;"))</f>
        <v>0</v>
      </c>
      <c r="J132" s="112">
        <f>IF($E132&lt;&gt;"",$F132*H132,SUMIFS(J133:J$9909,$C133:$C$9909,"*"&amp;$C132&amp;"*",$E133:$E$9909,"&lt;&gt;"))</f>
        <v>0</v>
      </c>
      <c r="K132" s="103">
        <f>IF(I132&gt;0,(I132-J132-I132*PARAMETROS!$C$19)/I132,0)</f>
        <v>0</v>
      </c>
      <c r="L132" s="104"/>
      <c r="M132" s="105"/>
      <c r="N132" s="112"/>
      <c r="O132" s="105"/>
      <c r="P132" s="105"/>
      <c r="Q132" s="105"/>
      <c r="R132" s="105"/>
      <c r="S132" s="105"/>
      <c r="T132" s="105"/>
      <c r="U132" s="105"/>
      <c r="V132" s="105"/>
      <c r="W132" s="105"/>
      <c r="X132" s="105">
        <v>0</v>
      </c>
    </row>
    <row r="133" spans="1:24" ht="15.75" hidden="1" customHeight="1" x14ac:dyDescent="0.3">
      <c r="A133" s="144" t="str">
        <f t="shared" si="2"/>
        <v/>
      </c>
      <c r="B133" s="145"/>
      <c r="C133" s="110" t="s">
        <v>339</v>
      </c>
      <c r="D133" s="111" t="s">
        <v>272</v>
      </c>
      <c r="E133" s="111" t="s">
        <v>128</v>
      </c>
      <c r="F133" s="112"/>
      <c r="G133" s="112">
        <v>0</v>
      </c>
      <c r="H133" s="112">
        <v>7000</v>
      </c>
      <c r="I133" s="112">
        <f>IF(E133&lt;&gt;"",F133*G133,SUMIFS(I134:I$9909,$C134:$C$9909,"*"&amp;C133&amp;"*",$E134:$E$9909,"&lt;&gt;"))</f>
        <v>0</v>
      </c>
      <c r="J133" s="112">
        <f>IF($E133&lt;&gt;"",$F133*H133,SUMIFS(J134:J$9909,$C134:$C$9909,"*"&amp;$C133&amp;"*",$E134:$E$9909,"&lt;&gt;"))</f>
        <v>0</v>
      </c>
      <c r="K133" s="103">
        <f>IF(I133&gt;0,(I133-J133-I133*PARAMETROS!$C$19)/I133,0)</f>
        <v>0</v>
      </c>
      <c r="L133" s="104"/>
      <c r="M133" s="105"/>
      <c r="N133" s="112"/>
      <c r="O133" s="105"/>
      <c r="P133" s="105"/>
      <c r="Q133" s="105"/>
      <c r="R133" s="105"/>
      <c r="S133" s="105"/>
      <c r="T133" s="105"/>
      <c r="U133" s="105"/>
      <c r="V133" s="105"/>
      <c r="W133" s="105"/>
      <c r="X133" s="105">
        <v>0</v>
      </c>
    </row>
    <row r="134" spans="1:24" ht="15.75" hidden="1" customHeight="1" x14ac:dyDescent="0.3">
      <c r="A134" s="144" t="str">
        <f t="shared" si="2"/>
        <v/>
      </c>
      <c r="B134" s="145"/>
      <c r="C134" s="110" t="s">
        <v>340</v>
      </c>
      <c r="D134" s="111" t="s">
        <v>276</v>
      </c>
      <c r="E134" s="111" t="s">
        <v>194</v>
      </c>
      <c r="F134" s="112"/>
      <c r="G134" s="112">
        <v>0</v>
      </c>
      <c r="H134" s="112">
        <v>1</v>
      </c>
      <c r="I134" s="112">
        <f>IF(E134&lt;&gt;"",F134*G134,SUMIFS(I135:I$9909,$C135:$C$9909,"*"&amp;C134&amp;"*",$E135:$E$9909,"&lt;&gt;"))</f>
        <v>0</v>
      </c>
      <c r="J134" s="112">
        <f>IF($E134&lt;&gt;"",$F134*H134,SUMIFS(J135:J$9909,$C135:$C$9909,"*"&amp;$C134&amp;"*",$E135:$E$9909,"&lt;&gt;"))</f>
        <v>0</v>
      </c>
      <c r="K134" s="103">
        <f>IF(I134&gt;0,(I134-J134-I134*PARAMETROS!$C$19)/I134,0)</f>
        <v>0</v>
      </c>
      <c r="L134" s="104"/>
      <c r="M134" s="105"/>
      <c r="N134" s="112"/>
      <c r="O134" s="105"/>
      <c r="P134" s="105"/>
      <c r="Q134" s="105"/>
      <c r="R134" s="105"/>
      <c r="S134" s="105"/>
      <c r="T134" s="105"/>
      <c r="U134" s="105"/>
      <c r="V134" s="105"/>
      <c r="W134" s="105"/>
      <c r="X134" s="105">
        <v>0</v>
      </c>
    </row>
    <row r="135" spans="1:24" ht="15.75" customHeight="1" x14ac:dyDescent="0.3">
      <c r="A135" s="144" t="str">
        <f t="shared" si="2"/>
        <v/>
      </c>
      <c r="B135" s="145"/>
      <c r="C135" s="110" t="s">
        <v>341</v>
      </c>
      <c r="D135" s="111" t="s">
        <v>342</v>
      </c>
      <c r="E135" s="111" t="s">
        <v>270</v>
      </c>
      <c r="F135" s="112">
        <v>10000</v>
      </c>
      <c r="G135" s="112">
        <v>0</v>
      </c>
      <c r="H135" s="112">
        <v>1.2</v>
      </c>
      <c r="I135" s="112">
        <f>IF(E135&lt;&gt;"",F135*G135,SUMIFS(I136:I$9909,$C136:$C$9909,"*"&amp;C135&amp;"*",$E136:$E$9909,"&lt;&gt;"))</f>
        <v>0</v>
      </c>
      <c r="J135" s="112">
        <f>IF($E135&lt;&gt;"",$F135*H135,SUMIFS(J136:J$9909,$C136:$C$9909,"*"&amp;$C135&amp;"*",$E136:$E$9909,"&lt;&gt;"))</f>
        <v>12000</v>
      </c>
      <c r="K135" s="103">
        <f>IF(I135&gt;0,(I135-J135-I135*PARAMETROS!$C$19)/I135,0)</f>
        <v>0</v>
      </c>
      <c r="L135" s="104"/>
      <c r="M135" s="105"/>
      <c r="N135" s="112"/>
      <c r="O135" s="105"/>
      <c r="P135" s="105"/>
      <c r="Q135" s="105"/>
      <c r="R135" s="105"/>
      <c r="S135" s="105"/>
      <c r="T135" s="105"/>
      <c r="U135" s="105"/>
      <c r="V135" s="105"/>
      <c r="W135" s="105"/>
      <c r="X135" s="105">
        <v>3000</v>
      </c>
    </row>
    <row r="136" spans="1:24" ht="15.75" hidden="1" customHeight="1" x14ac:dyDescent="0.3">
      <c r="A136" s="144" t="str">
        <f t="shared" si="2"/>
        <v/>
      </c>
      <c r="B136" s="145"/>
      <c r="C136" s="110" t="s">
        <v>343</v>
      </c>
      <c r="D136" s="111" t="s">
        <v>344</v>
      </c>
      <c r="E136" s="111" t="s">
        <v>270</v>
      </c>
      <c r="F136" s="112"/>
      <c r="G136" s="112">
        <v>0</v>
      </c>
      <c r="H136" s="112">
        <v>1</v>
      </c>
      <c r="I136" s="112">
        <f>IF(E136&lt;&gt;"",F136*G136,SUMIFS(I137:I$9909,$C137:$C$9909,"*"&amp;C136&amp;"*",$E137:$E$9909,"&lt;&gt;"))</f>
        <v>0</v>
      </c>
      <c r="J136" s="112">
        <f>IF($E136&lt;&gt;"",$F136*H136,SUMIFS(J137:J$9909,$C137:$C$9909,"*"&amp;$C136&amp;"*",$E137:$E$9909,"&lt;&gt;"))</f>
        <v>0</v>
      </c>
      <c r="K136" s="103">
        <f>IF(I136&gt;0,(I136-J136-I136*PARAMETROS!$C$19)/I136,0)</f>
        <v>0</v>
      </c>
      <c r="L136" s="104"/>
      <c r="M136" s="105"/>
      <c r="N136" s="112"/>
      <c r="O136" s="105"/>
      <c r="P136" s="105"/>
      <c r="Q136" s="105"/>
      <c r="R136" s="105"/>
      <c r="S136" s="105"/>
      <c r="T136" s="105"/>
      <c r="U136" s="105"/>
      <c r="V136" s="105"/>
      <c r="W136" s="105"/>
      <c r="X136" s="105">
        <v>0</v>
      </c>
    </row>
    <row r="137" spans="1:24" ht="15.75" hidden="1" customHeight="1" x14ac:dyDescent="0.3">
      <c r="A137" s="144" t="str">
        <f t="shared" si="2"/>
        <v/>
      </c>
      <c r="B137" s="145"/>
      <c r="C137" s="110" t="s">
        <v>345</v>
      </c>
      <c r="D137" s="111" t="s">
        <v>346</v>
      </c>
      <c r="E137" s="111" t="s">
        <v>347</v>
      </c>
      <c r="F137" s="112"/>
      <c r="G137" s="112">
        <v>0</v>
      </c>
      <c r="H137" s="112">
        <f>22500/30</f>
        <v>750</v>
      </c>
      <c r="I137" s="112">
        <f>IF(E137&lt;&gt;"",F137*G137,SUMIFS(I138:I$9909,$C138:$C$9909,"*"&amp;C137&amp;"*",$E138:$E$9909,"&lt;&gt;"))</f>
        <v>0</v>
      </c>
      <c r="J137" s="112">
        <f>IF($E137&lt;&gt;"",$F137*H137,SUMIFS(J138:J$9909,$C138:$C$9909,"*"&amp;$C137&amp;"*",$E138:$E$9909,"&lt;&gt;"))</f>
        <v>0</v>
      </c>
      <c r="K137" s="103">
        <f>IF(I137&gt;0,(I137-J137-I137*PARAMETROS!$C$19)/I137,0)</f>
        <v>0</v>
      </c>
      <c r="L137" s="104"/>
      <c r="M137" s="105"/>
      <c r="N137" s="112"/>
      <c r="O137" s="105"/>
      <c r="P137" s="105"/>
      <c r="Q137" s="105"/>
      <c r="R137" s="105"/>
      <c r="S137" s="105"/>
      <c r="T137" s="105"/>
      <c r="U137" s="105"/>
      <c r="V137" s="105"/>
      <c r="W137" s="105"/>
      <c r="X137" s="105">
        <v>30</v>
      </c>
    </row>
    <row r="138" spans="1:24" ht="15.75" hidden="1" customHeight="1" x14ac:dyDescent="0.3">
      <c r="A138" s="144" t="str">
        <f t="shared" si="2"/>
        <v/>
      </c>
      <c r="B138" s="145"/>
      <c r="C138" s="110" t="s">
        <v>348</v>
      </c>
      <c r="D138" s="111" t="s">
        <v>282</v>
      </c>
      <c r="E138" s="111" t="s">
        <v>167</v>
      </c>
      <c r="F138" s="112"/>
      <c r="G138" s="112">
        <v>0</v>
      </c>
      <c r="H138" s="112">
        <v>735</v>
      </c>
      <c r="I138" s="112">
        <f>IF(E138&lt;&gt;"",F138*G138,SUMIFS(I139:I$9909,$C139:$C$9909,"*"&amp;C138&amp;"*",$E139:$E$9909,"&lt;&gt;"))</f>
        <v>0</v>
      </c>
      <c r="J138" s="112">
        <f>IF($E138&lt;&gt;"",$F138*H138,SUMIFS(J139:J$9909,$C139:$C$9909,"*"&amp;$C138&amp;"*",$E139:$E$9909,"&lt;&gt;"))</f>
        <v>0</v>
      </c>
      <c r="K138" s="103">
        <f>IF(I138&gt;0,(I138-J138-I138*PARAMETROS!$C$19)/I138,0)</f>
        <v>0</v>
      </c>
      <c r="L138" s="104"/>
      <c r="M138" s="105"/>
      <c r="N138" s="112"/>
      <c r="O138" s="105"/>
      <c r="P138" s="105"/>
      <c r="Q138" s="105"/>
      <c r="R138" s="105"/>
      <c r="S138" s="105"/>
      <c r="T138" s="105"/>
      <c r="U138" s="105"/>
      <c r="V138" s="105"/>
      <c r="W138" s="105"/>
      <c r="X138" s="105">
        <v>0</v>
      </c>
    </row>
    <row r="139" spans="1:24" ht="15.75" customHeight="1" x14ac:dyDescent="0.3">
      <c r="A139" s="144" t="str">
        <f t="shared" si="2"/>
        <v/>
      </c>
      <c r="B139" s="145"/>
      <c r="C139" s="106" t="s">
        <v>349</v>
      </c>
      <c r="D139" s="107" t="s">
        <v>173</v>
      </c>
      <c r="E139" s="108"/>
      <c r="F139" s="109"/>
      <c r="G139" s="109"/>
      <c r="H139" s="109"/>
      <c r="I139" s="109">
        <f>IF(E139&lt;&gt;"",F139*G139,SUMIFS(I140:I$9909,$C140:$C$9909,"*"&amp;C139&amp;"*",$E140:$E$9909,"&lt;&gt;"))</f>
        <v>0</v>
      </c>
      <c r="J139" s="109">
        <f>IF($E139&lt;&gt;"",$F139*H139,SUMIFS(J140:J$9909,$C140:$C$9909,"*"&amp;$C139&amp;"*",$E140:$E$9909,"&lt;&gt;"))</f>
        <v>12800</v>
      </c>
      <c r="K139" s="103">
        <f>IF(I139&gt;0,(I139-J139-I139*PARAMETROS!$C$19)/I139,0)</f>
        <v>0</v>
      </c>
      <c r="L139" s="104"/>
      <c r="M139" s="105"/>
      <c r="N139" s="112"/>
      <c r="O139" s="105"/>
      <c r="P139" s="105"/>
      <c r="Q139" s="105"/>
      <c r="R139" s="105"/>
      <c r="S139" s="105"/>
      <c r="T139" s="105"/>
      <c r="U139" s="105"/>
      <c r="V139" s="105"/>
      <c r="W139" s="105"/>
      <c r="X139" s="105"/>
    </row>
    <row r="140" spans="1:24" ht="15.75" hidden="1" customHeight="1" x14ac:dyDescent="0.3">
      <c r="A140" s="144" t="str">
        <f t="shared" si="2"/>
        <v/>
      </c>
      <c r="B140" s="145"/>
      <c r="C140" s="110" t="s">
        <v>350</v>
      </c>
      <c r="D140" s="111" t="s">
        <v>285</v>
      </c>
      <c r="E140" s="111" t="s">
        <v>176</v>
      </c>
      <c r="F140" s="112"/>
      <c r="G140" s="112">
        <v>0</v>
      </c>
      <c r="H140" s="112">
        <v>3.25</v>
      </c>
      <c r="I140" s="112">
        <f>IF(E140&lt;&gt;"",F140*G140,SUMIFS(I141:I$9909,$C141:$C$9909,"*"&amp;C140&amp;"*",$E141:$E$9909,"&lt;&gt;"))</f>
        <v>0</v>
      </c>
      <c r="J140" s="112">
        <f>IF($E140&lt;&gt;"",$F140*H140,SUMIFS(J141:J$9909,$C141:$C$9909,"*"&amp;$C140&amp;"*",$E141:$E$9909,"&lt;&gt;"))</f>
        <v>0</v>
      </c>
      <c r="K140" s="103">
        <f>IF(I140&gt;0,(I140-J140-I140*PARAMETROS!$C$19)/I140,0)</f>
        <v>0</v>
      </c>
      <c r="L140" s="104"/>
      <c r="M140" s="105"/>
      <c r="N140" s="112"/>
      <c r="O140" s="105"/>
      <c r="P140" s="105"/>
      <c r="Q140" s="105"/>
      <c r="R140" s="105"/>
      <c r="S140" s="105"/>
      <c r="T140" s="105"/>
      <c r="U140" s="105"/>
      <c r="V140" s="105"/>
      <c r="W140" s="105"/>
      <c r="X140" s="105">
        <v>0</v>
      </c>
    </row>
    <row r="141" spans="1:24" ht="15.75" hidden="1" customHeight="1" x14ac:dyDescent="0.3">
      <c r="A141" s="144" t="str">
        <f t="shared" si="2"/>
        <v/>
      </c>
      <c r="B141" s="145"/>
      <c r="C141" s="110" t="s">
        <v>351</v>
      </c>
      <c r="D141" s="111" t="s">
        <v>175</v>
      </c>
      <c r="E141" s="111" t="s">
        <v>176</v>
      </c>
      <c r="F141" s="112"/>
      <c r="G141" s="112">
        <v>0</v>
      </c>
      <c r="H141" s="112">
        <v>4.9000000000000004</v>
      </c>
      <c r="I141" s="112">
        <f>IF(E141&lt;&gt;"",F141*G141,SUMIFS(I142:I$9909,$C142:$C$9909,"*"&amp;C141&amp;"*",$E142:$E$9909,"&lt;&gt;"))</f>
        <v>0</v>
      </c>
      <c r="J141" s="112">
        <f>IF($E141&lt;&gt;"",$F141*H141,SUMIFS(J142:J$9909,$C142:$C$9909,"*"&amp;$C141&amp;"*",$E142:$E$9909,"&lt;&gt;"))</f>
        <v>0</v>
      </c>
      <c r="K141" s="103">
        <f>IF(I141&gt;0,(I141-J141-I141*PARAMETROS!$C$19)/I141,0)</f>
        <v>0</v>
      </c>
      <c r="L141" s="104"/>
      <c r="M141" s="105"/>
      <c r="N141" s="112"/>
      <c r="O141" s="105"/>
      <c r="P141" s="105"/>
      <c r="Q141" s="105"/>
      <c r="R141" s="105"/>
      <c r="S141" s="105"/>
      <c r="T141" s="105"/>
      <c r="U141" s="105"/>
      <c r="V141" s="105"/>
      <c r="W141" s="105"/>
      <c r="X141" s="105">
        <v>0</v>
      </c>
    </row>
    <row r="142" spans="1:24" ht="15.75" customHeight="1" x14ac:dyDescent="0.3">
      <c r="A142" s="144" t="str">
        <f t="shared" si="2"/>
        <v/>
      </c>
      <c r="B142" s="145"/>
      <c r="C142" s="110" t="s">
        <v>352</v>
      </c>
      <c r="D142" s="111" t="s">
        <v>288</v>
      </c>
      <c r="E142" s="111" t="s">
        <v>176</v>
      </c>
      <c r="F142" s="112">
        <v>2000</v>
      </c>
      <c r="G142" s="112">
        <v>0</v>
      </c>
      <c r="H142" s="112">
        <v>6.4</v>
      </c>
      <c r="I142" s="112">
        <f>IF(E142&lt;&gt;"",F142*G142,SUMIFS(I143:I$9909,$C143:$C$9909,"*"&amp;C142&amp;"*",$E143:$E$9909,"&lt;&gt;"))</f>
        <v>0</v>
      </c>
      <c r="J142" s="112">
        <f>IF($E142&lt;&gt;"",$F142*H142,SUMIFS(J143:J$9909,$C143:$C$9909,"*"&amp;$C142&amp;"*",$E143:$E$9909,"&lt;&gt;"))</f>
        <v>12800</v>
      </c>
      <c r="K142" s="103">
        <f>IF(I142&gt;0,(I142-J142-I142*PARAMETROS!$C$19)/I142,0)</f>
        <v>0</v>
      </c>
      <c r="L142" s="104"/>
      <c r="M142" s="105"/>
      <c r="N142" s="112"/>
      <c r="O142" s="105"/>
      <c r="P142" s="105"/>
      <c r="Q142" s="105"/>
      <c r="R142" s="105"/>
      <c r="S142" s="105"/>
      <c r="T142" s="105"/>
      <c r="U142" s="105"/>
      <c r="V142" s="105"/>
      <c r="W142" s="105"/>
      <c r="X142" s="105">
        <v>1000</v>
      </c>
    </row>
    <row r="143" spans="1:24" s="48" customFormat="1" ht="15.75" customHeight="1" x14ac:dyDescent="0.3">
      <c r="A143" s="361" t="str">
        <f t="shared" si="2"/>
        <v/>
      </c>
      <c r="B143" s="362"/>
      <c r="C143" s="357" t="s">
        <v>353</v>
      </c>
      <c r="D143" s="358" t="s">
        <v>354</v>
      </c>
      <c r="E143" s="359"/>
      <c r="F143" s="360"/>
      <c r="G143" s="360"/>
      <c r="H143" s="360"/>
      <c r="I143" s="360">
        <f>IF(E143&lt;&gt;"",F143*G143,SUMIFS(I144:I$9909,$C144:$C$9909,"*"&amp;C143&amp;"*",$E144:$E$9909,"&lt;&gt;"))</f>
        <v>0</v>
      </c>
      <c r="J143" s="360">
        <f>IF($E143&lt;&gt;"",$F143*H143,SUMIFS(J144:J$9909,$C144:$C$9909,"*"&amp;$C143&amp;"*",$E144:$E$9909,"&lt;&gt;"))</f>
        <v>139659.85680000001</v>
      </c>
      <c r="K143" s="128">
        <f>IF(I143&gt;0,(I143-J143-I143*PARAMETROS!$C$19)/I143,0)</f>
        <v>0</v>
      </c>
      <c r="L143" s="363" t="s">
        <v>122</v>
      </c>
      <c r="M143" s="364"/>
      <c r="N143" s="365"/>
      <c r="O143" s="364"/>
      <c r="P143" s="364"/>
      <c r="Q143" s="364"/>
      <c r="R143" s="364"/>
      <c r="S143" s="364"/>
      <c r="T143" s="364"/>
      <c r="U143" s="364"/>
      <c r="V143" s="364"/>
      <c r="W143" s="364"/>
      <c r="X143" s="364"/>
    </row>
    <row r="144" spans="1:24" ht="15.75" customHeight="1" x14ac:dyDescent="0.3">
      <c r="A144" s="144" t="str">
        <f t="shared" si="2"/>
        <v/>
      </c>
      <c r="B144" s="145"/>
      <c r="C144" s="106" t="s">
        <v>355</v>
      </c>
      <c r="D144" s="107" t="s">
        <v>356</v>
      </c>
      <c r="E144" s="108"/>
      <c r="F144" s="109"/>
      <c r="G144" s="109"/>
      <c r="H144" s="109"/>
      <c r="I144" s="109">
        <f>IF(E144&lt;&gt;"",F144*G144,SUMIFS(I145:I$9909,$C145:$C$9909,"*"&amp;C144&amp;"*",$E145:$E$9909,"&lt;&gt;"))</f>
        <v>0</v>
      </c>
      <c r="J144" s="109">
        <f>IF($E144&lt;&gt;"",$F144*H144,SUMIFS(J145:J$9909,$C145:$C$9909,"*"&amp;$C144&amp;"*",$E145:$E$9909,"&lt;&gt;"))</f>
        <v>67659.856799999994</v>
      </c>
      <c r="K144" s="103">
        <f>IF(I144&gt;0,(I144-J144-I144*PARAMETROS!$C$19)/I144,0)</f>
        <v>0</v>
      </c>
      <c r="L144" s="104"/>
      <c r="M144" s="105"/>
      <c r="N144" s="112"/>
      <c r="O144" s="105"/>
      <c r="P144" s="105"/>
      <c r="Q144" s="105"/>
      <c r="R144" s="105"/>
      <c r="S144" s="105"/>
      <c r="T144" s="105"/>
      <c r="U144" s="105"/>
      <c r="V144" s="105"/>
      <c r="W144" s="105"/>
      <c r="X144" s="105"/>
    </row>
    <row r="145" spans="1:24" ht="15.75" hidden="1" customHeight="1" x14ac:dyDescent="0.3">
      <c r="A145" s="144" t="str">
        <f t="shared" si="2"/>
        <v/>
      </c>
      <c r="B145" s="145"/>
      <c r="C145" s="110" t="s">
        <v>357</v>
      </c>
      <c r="D145" s="111" t="s">
        <v>140</v>
      </c>
      <c r="E145" s="111" t="s">
        <v>167</v>
      </c>
      <c r="F145" s="112"/>
      <c r="G145" s="112">
        <v>0</v>
      </c>
      <c r="H145" s="112">
        <v>18990</v>
      </c>
      <c r="I145" s="112">
        <f>IF(E145&lt;&gt;"",F145*G145,SUMIFS(I146:I$9909,$C146:$C$9909,"*"&amp;C145&amp;"*",$E146:$E$9909,"&lt;&gt;"))</f>
        <v>0</v>
      </c>
      <c r="J145" s="112">
        <f>IF($E145&lt;&gt;"",$F145*H145,SUMIFS(J146:J$9909,$C146:$C$9909,"*"&amp;$C145&amp;"*",$E146:$E$9909,"&lt;&gt;"))</f>
        <v>0</v>
      </c>
      <c r="K145" s="103">
        <f>IF(I145&gt;0,(I145-J145-I145*PARAMETROS!$C$19)/I145,0)</f>
        <v>0</v>
      </c>
      <c r="L145" s="104"/>
      <c r="M145" s="105"/>
      <c r="N145" s="112"/>
      <c r="O145" s="105"/>
      <c r="P145" s="105"/>
      <c r="Q145" s="105"/>
      <c r="R145" s="105"/>
      <c r="S145" s="105"/>
      <c r="T145" s="105"/>
      <c r="U145" s="105"/>
      <c r="V145" s="105"/>
      <c r="W145" s="105"/>
      <c r="X145" s="105">
        <v>0</v>
      </c>
    </row>
    <row r="146" spans="1:24" ht="15.75" customHeight="1" x14ac:dyDescent="0.3">
      <c r="A146" s="144" t="str">
        <f t="shared" si="2"/>
        <v/>
      </c>
      <c r="B146" s="145"/>
      <c r="C146" s="110" t="s">
        <v>358</v>
      </c>
      <c r="D146" s="111" t="s">
        <v>359</v>
      </c>
      <c r="E146" s="111" t="s">
        <v>128</v>
      </c>
      <c r="F146" s="112">
        <v>2</v>
      </c>
      <c r="G146" s="112">
        <v>0</v>
      </c>
      <c r="H146" s="112">
        <f>4000*1.4*1.8</f>
        <v>10080</v>
      </c>
      <c r="I146" s="112">
        <f>IF(E146&lt;&gt;"",F146*G146,SUMIFS(I147:I$9909,$C147:$C$9909,"*"&amp;C146&amp;"*",$E147:$E$9909,"&lt;&gt;"))</f>
        <v>0</v>
      </c>
      <c r="J146" s="112">
        <f>IF($E146&lt;&gt;"",$F146*H146,SUMIFS(J147:J$9909,$C147:$C$9909,"*"&amp;$C146&amp;"*",$E147:$E$9909,"&lt;&gt;"))</f>
        <v>20160</v>
      </c>
      <c r="K146" s="103">
        <f>IF(I146&gt;0,(I146-J146-I146*PARAMETROS!$C$19)/I146,0)</f>
        <v>0</v>
      </c>
      <c r="L146" s="104"/>
      <c r="M146" s="105"/>
      <c r="N146" s="112"/>
      <c r="O146" s="105"/>
      <c r="P146" s="105"/>
      <c r="Q146" s="105"/>
      <c r="R146" s="105"/>
      <c r="S146" s="105"/>
      <c r="T146" s="105"/>
      <c r="U146" s="105"/>
      <c r="V146" s="105"/>
      <c r="W146" s="105"/>
      <c r="X146" s="105">
        <v>1</v>
      </c>
    </row>
    <row r="147" spans="1:24" ht="15.75" customHeight="1" x14ac:dyDescent="0.3">
      <c r="A147" s="144" t="str">
        <f t="shared" si="2"/>
        <v/>
      </c>
      <c r="B147" s="145"/>
      <c r="C147" s="110" t="s">
        <v>360</v>
      </c>
      <c r="D147" s="111" t="s">
        <v>361</v>
      </c>
      <c r="E147" s="111" t="s">
        <v>167</v>
      </c>
      <c r="F147" s="112">
        <v>12</v>
      </c>
      <c r="G147" s="112">
        <v>0</v>
      </c>
      <c r="H147" s="112">
        <v>3370.2867999999999</v>
      </c>
      <c r="I147" s="112">
        <f>IF(E147&lt;&gt;"",F147*G147,SUMIFS(I149:I$9909,$C149:$C$9909,"*"&amp;C147&amp;"*",$E149:$E$9909,"&lt;&gt;"))</f>
        <v>0</v>
      </c>
      <c r="J147" s="112">
        <f>IF($E147&lt;&gt;"",$F147*H147,SUMIFS(J149:J$9909,$C149:$C$9909,"*"&amp;$C147&amp;"*",$E149:$E$9909,"&lt;&gt;"))</f>
        <v>40443.441599999998</v>
      </c>
      <c r="K147" s="103">
        <f>IF(I147&gt;0,(I147-J147-I147*PARAMETROS!$C$19)/I147,0)</f>
        <v>0</v>
      </c>
      <c r="L147" s="104"/>
      <c r="M147" s="105"/>
      <c r="N147" s="112"/>
      <c r="O147" s="105"/>
      <c r="P147" s="105"/>
      <c r="Q147" s="105"/>
      <c r="R147" s="105"/>
      <c r="S147" s="105"/>
      <c r="T147" s="105"/>
      <c r="U147" s="105"/>
      <c r="V147" s="105"/>
      <c r="W147" s="105"/>
      <c r="X147" s="105">
        <v>3</v>
      </c>
    </row>
    <row r="148" spans="1:24" ht="15.75" hidden="1" customHeight="1" x14ac:dyDescent="0.3">
      <c r="B148" s="145"/>
      <c r="C148" s="110" t="s">
        <v>362</v>
      </c>
      <c r="D148" s="111" t="s">
        <v>363</v>
      </c>
      <c r="E148" s="111" t="s">
        <v>167</v>
      </c>
      <c r="F148" s="112"/>
      <c r="G148" s="112">
        <v>0</v>
      </c>
      <c r="H148" s="112">
        <f>2744.96*1.4*1.8</f>
        <v>6917.2992000000004</v>
      </c>
      <c r="I148" s="112">
        <f>IF(E148&lt;&gt;"",F148*G148,SUMIFS(I150:I$9909,$C150:$C$9909,"*"&amp;C148&amp;"*",$E150:$E$9909,"&lt;&gt;"))</f>
        <v>0</v>
      </c>
      <c r="J148" s="112">
        <f>IF($E148&lt;&gt;"",$F148*H148,SUMIFS(J150:J$9909,$C150:$C$9909,"*"&amp;$C148&amp;"*",$E150:$E$9909,"&lt;&gt;"))</f>
        <v>0</v>
      </c>
      <c r="K148" s="103">
        <f>IF(I148&gt;0,(I148-J148-I148*PARAMETROS!$C$19)/I148,0)</f>
        <v>0</v>
      </c>
      <c r="L148" s="104"/>
      <c r="M148" s="105"/>
      <c r="N148" s="112"/>
      <c r="O148" s="105"/>
      <c r="P148" s="105"/>
      <c r="Q148" s="105"/>
      <c r="R148" s="105"/>
      <c r="S148" s="105"/>
      <c r="T148" s="105"/>
      <c r="U148" s="105"/>
      <c r="V148" s="105"/>
      <c r="W148" s="105"/>
      <c r="X148" s="105"/>
    </row>
    <row r="149" spans="1:24" ht="15.75" customHeight="1" x14ac:dyDescent="0.3">
      <c r="A149" s="144" t="str">
        <f t="shared" si="2"/>
        <v/>
      </c>
      <c r="B149" s="145"/>
      <c r="C149" s="110" t="s">
        <v>362</v>
      </c>
      <c r="D149" s="111" t="s">
        <v>364</v>
      </c>
      <c r="E149" s="111" t="s">
        <v>167</v>
      </c>
      <c r="F149" s="112">
        <v>2</v>
      </c>
      <c r="G149" s="112">
        <v>0</v>
      </c>
      <c r="H149" s="112">
        <v>3528.2076000000002</v>
      </c>
      <c r="I149" s="112">
        <f>IF(E149&lt;&gt;"",F149*G149,SUMIFS(I152:I$9909,$C152:$C$9909,"*"&amp;C149&amp;"*",$E152:$E$9909,"&lt;&gt;"))</f>
        <v>0</v>
      </c>
      <c r="J149" s="112">
        <f>IF($E149&lt;&gt;"",$F149*H149,SUMIFS(J152:J$9909,$C152:$C$9909,"*"&amp;$C149&amp;"*",$E152:$E$9909,"&lt;&gt;"))</f>
        <v>7056.4152000000004</v>
      </c>
      <c r="K149" s="103">
        <f>IF(I149&gt;0,(I149-J149-I149*PARAMETROS!$C$19)/I149,0)</f>
        <v>0</v>
      </c>
      <c r="L149" s="104"/>
      <c r="M149" s="105"/>
      <c r="N149" s="112"/>
      <c r="O149" s="105"/>
      <c r="P149" s="105"/>
      <c r="Q149" s="105"/>
      <c r="R149" s="105"/>
      <c r="S149" s="105"/>
      <c r="T149" s="105"/>
      <c r="U149" s="105"/>
      <c r="V149" s="105"/>
      <c r="W149" s="105"/>
      <c r="X149" s="105">
        <v>1</v>
      </c>
    </row>
    <row r="150" spans="1:24" ht="15.75" customHeight="1" x14ac:dyDescent="0.3">
      <c r="A150" s="144" t="str">
        <f t="shared" si="2"/>
        <v/>
      </c>
      <c r="B150" s="145"/>
      <c r="C150" s="106" t="s">
        <v>365</v>
      </c>
      <c r="D150" s="107" t="s">
        <v>169</v>
      </c>
      <c r="E150" s="108"/>
      <c r="F150" s="109"/>
      <c r="G150" s="109"/>
      <c r="H150" s="109"/>
      <c r="I150" s="109">
        <f>IF(E150&lt;&gt;"",F150*G150,SUMIFS(I151:I$9909,$C151:$C$9909,"*"&amp;C150&amp;"*",$E151:$E$9909,"&lt;&gt;"))</f>
        <v>0</v>
      </c>
      <c r="J150" s="109">
        <f>IF($E150&lt;&gt;"",$F150*H150,SUMIFS(J151:J$9909,$C151:$C$9909,"*"&amp;$C150&amp;"*",$E151:$E$9909,"&lt;&gt;"))</f>
        <v>20000</v>
      </c>
      <c r="K150" s="103">
        <f>IF(I150&gt;0,(I150-J150-I150*PARAMETROS!$C$19)/I150,0)</f>
        <v>0</v>
      </c>
      <c r="L150" s="104"/>
      <c r="M150" s="105"/>
      <c r="N150" s="112"/>
      <c r="O150" s="105"/>
      <c r="P150" s="105"/>
      <c r="Q150" s="105"/>
      <c r="R150" s="105"/>
      <c r="S150" s="105"/>
      <c r="T150" s="105"/>
      <c r="U150" s="105"/>
      <c r="V150" s="105"/>
      <c r="W150" s="105"/>
      <c r="X150" s="105"/>
    </row>
    <row r="151" spans="1:24" ht="15.75" hidden="1" customHeight="1" x14ac:dyDescent="0.3">
      <c r="A151" s="144" t="str">
        <f t="shared" si="2"/>
        <v/>
      </c>
      <c r="B151" s="145"/>
      <c r="C151" s="110" t="s">
        <v>366</v>
      </c>
      <c r="D151" s="111" t="s">
        <v>171</v>
      </c>
      <c r="E151" s="111" t="s">
        <v>128</v>
      </c>
      <c r="F151" s="112"/>
      <c r="G151" s="112">
        <v>0</v>
      </c>
      <c r="H151" s="112">
        <f>3180+(1290*2)/6</f>
        <v>3610</v>
      </c>
      <c r="I151" s="112">
        <f>IF(E151&lt;&gt;"",F151*G151,SUMIFS(I152:I$9909,$C152:$C$9909,"*"&amp;C151&amp;"*",$E152:$E$9909,"&lt;&gt;"))</f>
        <v>0</v>
      </c>
      <c r="J151" s="112">
        <f>IF($E151&lt;&gt;"",$F151*H151,SUMIFS(J152:J$9909,$C152:$C$9909,"*"&amp;$C151&amp;"*",$E152:$E$9909,"&lt;&gt;"))</f>
        <v>0</v>
      </c>
      <c r="K151" s="103">
        <f>IF(I151&gt;0,(I151-J151-I151*PARAMETROS!$C$19)/I151,0)</f>
        <v>0</v>
      </c>
      <c r="L151" s="104"/>
      <c r="M151" s="105"/>
      <c r="N151" s="112"/>
      <c r="O151" s="105"/>
      <c r="P151" s="105"/>
      <c r="Q151" s="105"/>
      <c r="R151" s="105"/>
      <c r="S151" s="105"/>
      <c r="T151" s="105"/>
      <c r="U151" s="105"/>
      <c r="V151" s="105"/>
      <c r="W151" s="105"/>
      <c r="X151" s="105">
        <v>0</v>
      </c>
    </row>
    <row r="152" spans="1:24" ht="15.75" customHeight="1" x14ac:dyDescent="0.3">
      <c r="A152" s="144" t="str">
        <f t="shared" si="2"/>
        <v/>
      </c>
      <c r="B152" s="145"/>
      <c r="C152" s="110" t="s">
        <v>367</v>
      </c>
      <c r="D152" s="111" t="s">
        <v>368</v>
      </c>
      <c r="E152" s="111" t="s">
        <v>128</v>
      </c>
      <c r="F152" s="112">
        <v>2</v>
      </c>
      <c r="G152" s="112">
        <v>0</v>
      </c>
      <c r="H152" s="112">
        <v>10000</v>
      </c>
      <c r="I152" s="112">
        <f>IF(E152&lt;&gt;"",F152*G152,SUMIFS(I153:I$9909,$C153:$C$9909,"*"&amp;C152&amp;"*",$E153:$E$9909,"&lt;&gt;"))</f>
        <v>0</v>
      </c>
      <c r="J152" s="112">
        <f>IF($E152&lt;&gt;"",$F152*H152,SUMIFS(J153:J$9909,$C153:$C$9909,"*"&amp;$C152&amp;"*",$E153:$E$9909,"&lt;&gt;"))</f>
        <v>20000</v>
      </c>
      <c r="K152" s="103">
        <f>IF(I152&gt;0,(I152-J152-I152*PARAMETROS!$C$19)/I152,0)</f>
        <v>0</v>
      </c>
      <c r="L152" s="104"/>
      <c r="M152" s="105"/>
      <c r="N152" s="112"/>
      <c r="O152" s="105"/>
      <c r="P152" s="105"/>
      <c r="Q152" s="105"/>
      <c r="R152" s="105"/>
      <c r="S152" s="105"/>
      <c r="T152" s="105"/>
      <c r="U152" s="105"/>
      <c r="V152" s="105"/>
      <c r="W152" s="105"/>
      <c r="X152" s="105">
        <v>3000</v>
      </c>
    </row>
    <row r="153" spans="1:24" ht="15.75" hidden="1" customHeight="1" x14ac:dyDescent="0.3">
      <c r="A153" s="144" t="str">
        <f t="shared" si="2"/>
        <v/>
      </c>
      <c r="B153" s="145"/>
      <c r="C153" s="106" t="s">
        <v>369</v>
      </c>
      <c r="D153" s="107" t="s">
        <v>173</v>
      </c>
      <c r="E153" s="108"/>
      <c r="F153" s="109"/>
      <c r="G153" s="109"/>
      <c r="H153" s="109"/>
      <c r="I153" s="109">
        <f>IF(E153&lt;&gt;"",F153*G153,SUMIFS(I154:I$9909,$C154:$C$9909,"*"&amp;C153&amp;"*",$E154:$E$9909,"&lt;&gt;"))</f>
        <v>0</v>
      </c>
      <c r="J153" s="109">
        <f>IF($E153&lt;&gt;"",$F153*H153,SUMIFS(J154:J$9909,$C154:$C$9909,"*"&amp;$C153&amp;"*",$E154:$E$9909,"&lt;&gt;"))</f>
        <v>0</v>
      </c>
      <c r="K153" s="103">
        <f>IF(I153&gt;0,(I153-J153-I153*PARAMETROS!$C$19)/I153,0)</f>
        <v>0</v>
      </c>
      <c r="L153" s="104"/>
      <c r="M153" s="105"/>
      <c r="N153" s="112"/>
      <c r="O153" s="105"/>
      <c r="P153" s="105"/>
      <c r="Q153" s="105"/>
      <c r="R153" s="105"/>
      <c r="S153" s="105"/>
      <c r="T153" s="105"/>
      <c r="U153" s="105"/>
      <c r="V153" s="105"/>
      <c r="W153" s="105"/>
      <c r="X153" s="105"/>
    </row>
    <row r="154" spans="1:24" ht="15.75" hidden="1" customHeight="1" x14ac:dyDescent="0.3">
      <c r="A154" s="144" t="str">
        <f t="shared" si="2"/>
        <v/>
      </c>
      <c r="B154" s="145"/>
      <c r="C154" s="110" t="s">
        <v>370</v>
      </c>
      <c r="D154" s="111" t="s">
        <v>175</v>
      </c>
      <c r="E154" s="111" t="s">
        <v>176</v>
      </c>
      <c r="F154" s="112"/>
      <c r="G154" s="112">
        <v>0</v>
      </c>
      <c r="H154" s="112">
        <v>6</v>
      </c>
      <c r="I154" s="112">
        <f>IF(E154&lt;&gt;"",F154*G154,SUMIFS(I155:I$9909,$C155:$C$9909,"*"&amp;C154&amp;"*",$E155:$E$9909,"&lt;&gt;"))</f>
        <v>0</v>
      </c>
      <c r="J154" s="112">
        <f>IF($E154&lt;&gt;"",$F154*H154,SUMIFS(J155:J$9909,$C155:$C$9909,"*"&amp;$C154&amp;"*",$E155:$E$9909,"&lt;&gt;"))</f>
        <v>0</v>
      </c>
      <c r="K154" s="103">
        <f>IF(I154&gt;0,(I154-J154-I154*PARAMETROS!$C$19)/I154,0)</f>
        <v>0</v>
      </c>
      <c r="L154" s="104"/>
      <c r="M154" s="105"/>
      <c r="N154" s="109"/>
      <c r="O154" s="105"/>
      <c r="P154" s="105"/>
      <c r="Q154" s="105"/>
      <c r="R154" s="105"/>
      <c r="S154" s="105"/>
      <c r="T154" s="105"/>
      <c r="U154" s="105"/>
      <c r="V154" s="105"/>
      <c r="W154" s="105"/>
      <c r="X154" s="105">
        <v>500</v>
      </c>
    </row>
    <row r="155" spans="1:24" ht="15.75" hidden="1" customHeight="1" x14ac:dyDescent="0.3">
      <c r="A155" s="144" t="str">
        <f t="shared" si="2"/>
        <v/>
      </c>
      <c r="B155" s="145"/>
      <c r="C155" s="110" t="s">
        <v>371</v>
      </c>
      <c r="D155" s="111" t="s">
        <v>288</v>
      </c>
      <c r="E155" s="111" t="s">
        <v>176</v>
      </c>
      <c r="F155" s="112"/>
      <c r="G155" s="112">
        <v>0</v>
      </c>
      <c r="H155" s="112">
        <v>6.4</v>
      </c>
      <c r="I155" s="112">
        <f>IF(E155&lt;&gt;"",F155*G155,SUMIFS(I156:I$9909,$C156:$C$9909,"*"&amp;C155&amp;"*",$E156:$E$9909,"&lt;&gt;"))</f>
        <v>0</v>
      </c>
      <c r="J155" s="112">
        <f>IF($E155&lt;&gt;"",$F155*H155,SUMIFS(J156:J$9909,$C156:$C$9909,"*"&amp;$C155&amp;"*",$E156:$E$9909,"&lt;&gt;"))</f>
        <v>0</v>
      </c>
      <c r="K155" s="103">
        <f>IF(I155&gt;0,(I155-J155-I155*PARAMETROS!$C$19)/I155,0)</f>
        <v>0</v>
      </c>
      <c r="L155" s="104"/>
      <c r="M155" s="105"/>
      <c r="N155" s="112"/>
      <c r="O155" s="105"/>
      <c r="P155" s="105"/>
      <c r="Q155" s="105"/>
      <c r="R155" s="105"/>
      <c r="S155" s="105"/>
      <c r="T155" s="105"/>
      <c r="U155" s="105"/>
      <c r="V155" s="105"/>
      <c r="W155" s="105"/>
      <c r="X155" s="105">
        <v>600</v>
      </c>
    </row>
    <row r="156" spans="1:24" ht="15.75" customHeight="1" x14ac:dyDescent="0.3">
      <c r="A156" s="144" t="str">
        <f t="shared" si="2"/>
        <v/>
      </c>
      <c r="B156" s="145"/>
      <c r="C156" s="106" t="s">
        <v>372</v>
      </c>
      <c r="D156" s="107" t="s">
        <v>373</v>
      </c>
      <c r="E156" s="108"/>
      <c r="F156" s="109"/>
      <c r="G156" s="109"/>
      <c r="H156" s="109"/>
      <c r="I156" s="109">
        <f>IF(E156&lt;&gt;"",F156*G156,SUMIFS(I157:I$9909,$C157:$C$9909,"*"&amp;C156&amp;"*",$E157:$E$9909,"&lt;&gt;"))</f>
        <v>0</v>
      </c>
      <c r="J156" s="109">
        <f>IF($E156&lt;&gt;"",$F156*H156,SUMIFS(J157:J$9909,$C157:$C$9909,"*"&amp;$C156&amp;"*",$E157:$E$9909,"&lt;&gt;"))</f>
        <v>35000</v>
      </c>
      <c r="K156" s="103">
        <f>IF(I156&gt;0,(I156-J156-I156*PARAMETROS!$C$19)/I156,0)</f>
        <v>0</v>
      </c>
      <c r="L156" s="104"/>
      <c r="M156" s="105"/>
      <c r="N156" s="112"/>
      <c r="O156" s="105"/>
      <c r="P156" s="105"/>
      <c r="Q156" s="105"/>
      <c r="R156" s="105"/>
      <c r="S156" s="105"/>
      <c r="T156" s="105"/>
      <c r="U156" s="105"/>
      <c r="V156" s="105"/>
      <c r="W156" s="105"/>
      <c r="X156" s="105"/>
    </row>
    <row r="157" spans="1:24" ht="15.75" customHeight="1" x14ac:dyDescent="0.3">
      <c r="A157" s="144" t="str">
        <f t="shared" si="2"/>
        <v/>
      </c>
      <c r="B157" s="145"/>
      <c r="C157" s="110" t="s">
        <v>374</v>
      </c>
      <c r="D157" s="111" t="s">
        <v>375</v>
      </c>
      <c r="E157" s="111" t="s">
        <v>167</v>
      </c>
      <c r="F157" s="112">
        <v>35000</v>
      </c>
      <c r="G157" s="112">
        <v>0</v>
      </c>
      <c r="H157" s="112">
        <v>1</v>
      </c>
      <c r="I157" s="112">
        <f>IF(E157&lt;&gt;"",F157*G157,SUMIFS(I158:I$9909,$C158:$C$9909,"*"&amp;C157&amp;"*",$E158:$E$9909,"&lt;&gt;"))</f>
        <v>0</v>
      </c>
      <c r="J157" s="112">
        <f>IF($E157&lt;&gt;"",$F157*H157,SUMIFS(J158:J$9909,$C158:$C$9909,"*"&amp;$C157&amp;"*",$E158:$E$9909,"&lt;&gt;"))</f>
        <v>35000</v>
      </c>
      <c r="K157" s="103">
        <f>IF(I157&gt;0,(I157-J157-I157*PARAMETROS!$C$19)/I157,0)</f>
        <v>0</v>
      </c>
      <c r="L157" s="104"/>
      <c r="M157" s="105"/>
      <c r="N157" s="112"/>
      <c r="O157" s="105"/>
      <c r="P157" s="105"/>
      <c r="Q157" s="105"/>
      <c r="R157" s="105"/>
      <c r="S157" s="105"/>
      <c r="T157" s="105"/>
      <c r="U157" s="105"/>
      <c r="V157" s="105"/>
      <c r="W157" s="105"/>
      <c r="X157" s="105">
        <v>0</v>
      </c>
    </row>
    <row r="158" spans="1:24" ht="15.75" hidden="1" customHeight="1" x14ac:dyDescent="0.3">
      <c r="A158" s="144" t="str">
        <f t="shared" si="2"/>
        <v/>
      </c>
      <c r="B158" s="145"/>
      <c r="C158" s="106" t="s">
        <v>376</v>
      </c>
      <c r="D158" s="107" t="s">
        <v>377</v>
      </c>
      <c r="E158" s="108"/>
      <c r="F158" s="109"/>
      <c r="G158" s="109"/>
      <c r="H158" s="109"/>
      <c r="I158" s="109">
        <f>IF(E158&lt;&gt;"",F158*G158,SUMIFS(I159:I$9909,$C159:$C$9909,"*"&amp;C158&amp;"*",$E159:$E$9909,"&lt;&gt;"))</f>
        <v>0</v>
      </c>
      <c r="J158" s="109">
        <f>IF($E158&lt;&gt;"",$F158*H158,SUMIFS(J159:J$9909,$C159:$C$9909,"*"&amp;$C158&amp;"*",$E159:$E$9909,"&lt;&gt;"))</f>
        <v>0</v>
      </c>
      <c r="K158" s="103">
        <f>IF(I158&gt;0,(I158-J158-I158*PARAMETROS!$C$19)/I158,0)</f>
        <v>0</v>
      </c>
      <c r="L158" s="104"/>
      <c r="M158" s="105"/>
      <c r="N158" s="112"/>
      <c r="O158" s="105"/>
      <c r="P158" s="105"/>
      <c r="Q158" s="105"/>
      <c r="R158" s="105"/>
      <c r="S158" s="105"/>
      <c r="T158" s="105"/>
      <c r="U158" s="105"/>
      <c r="V158" s="105"/>
      <c r="W158" s="105"/>
      <c r="X158" s="105"/>
    </row>
    <row r="159" spans="1:24" ht="15.75" hidden="1" customHeight="1" x14ac:dyDescent="0.3">
      <c r="A159" s="144" t="str">
        <f t="shared" si="2"/>
        <v/>
      </c>
      <c r="B159" s="145"/>
      <c r="C159" s="110" t="s">
        <v>378</v>
      </c>
      <c r="D159" s="111" t="s">
        <v>379</v>
      </c>
      <c r="E159" s="111" t="s">
        <v>194</v>
      </c>
      <c r="F159" s="112"/>
      <c r="G159" s="112">
        <v>0</v>
      </c>
      <c r="H159" s="112">
        <v>1</v>
      </c>
      <c r="I159" s="112">
        <f>IF(E159&lt;&gt;"",F159*G159,SUMIFS(I160:I$9909,$C160:$C$9909,"*"&amp;C159&amp;"*",$E160:$E$9909,"&lt;&gt;"))</f>
        <v>0</v>
      </c>
      <c r="J159" s="112">
        <f>IF($E159&lt;&gt;"",$F159*H159,SUMIFS(J160:J$9909,$C160:$C$9909,"*"&amp;$C159&amp;"*",$E160:$E$9909,"&lt;&gt;"))</f>
        <v>0</v>
      </c>
      <c r="K159" s="103">
        <f>IF(I159&gt;0,(I159-J159-I159*PARAMETROS!$C$19)/I159,0)</f>
        <v>0</v>
      </c>
      <c r="L159" s="104"/>
      <c r="M159" s="105"/>
      <c r="N159" s="112"/>
      <c r="O159" s="105"/>
      <c r="P159" s="105"/>
      <c r="Q159" s="105"/>
      <c r="R159" s="105"/>
      <c r="S159" s="105"/>
      <c r="T159" s="105"/>
      <c r="U159" s="105"/>
      <c r="V159" s="105"/>
      <c r="W159" s="105"/>
      <c r="X159" s="105">
        <v>0</v>
      </c>
    </row>
    <row r="160" spans="1:24" ht="15.75" customHeight="1" x14ac:dyDescent="0.3">
      <c r="A160" s="144" t="str">
        <f t="shared" si="2"/>
        <v/>
      </c>
      <c r="B160" s="145"/>
      <c r="C160" s="106" t="s">
        <v>380</v>
      </c>
      <c r="D160" s="107" t="s">
        <v>381</v>
      </c>
      <c r="E160" s="108"/>
      <c r="F160" s="109"/>
      <c r="G160" s="109"/>
      <c r="H160" s="109"/>
      <c r="I160" s="109">
        <f>IF(E160&lt;&gt;"",F160*G160,SUMIFS(I161:I$9909,$C161:$C$9909,"*"&amp;C160&amp;"*",$E161:$E$9909,"&lt;&gt;"))</f>
        <v>0</v>
      </c>
      <c r="J160" s="109">
        <f>IF($E160&lt;&gt;"",$F160*H160,SUMIFS(J161:J$9909,$C161:$C$9909,"*"&amp;$C160&amp;"*",$E161:$E$9909,"&lt;&gt;"))</f>
        <v>6000</v>
      </c>
      <c r="K160" s="103">
        <f>IF(I160&gt;0,(I160-J160-I160*PARAMETROS!$C$19)/I160,0)</f>
        <v>0</v>
      </c>
      <c r="L160" s="104"/>
      <c r="M160" s="105"/>
      <c r="N160" s="112"/>
      <c r="O160" s="105"/>
      <c r="P160" s="105"/>
      <c r="Q160" s="105"/>
      <c r="R160" s="105"/>
      <c r="S160" s="105"/>
      <c r="T160" s="105"/>
      <c r="U160" s="105"/>
      <c r="V160" s="105"/>
      <c r="W160" s="105"/>
      <c r="X160" s="105"/>
    </row>
    <row r="161" spans="1:24" ht="15.75" customHeight="1" x14ac:dyDescent="0.3">
      <c r="A161" s="144" t="str">
        <f t="shared" si="2"/>
        <v/>
      </c>
      <c r="B161" s="145"/>
      <c r="C161" s="110" t="s">
        <v>382</v>
      </c>
      <c r="D161" s="111" t="s">
        <v>383</v>
      </c>
      <c r="E161" s="111" t="s">
        <v>384</v>
      </c>
      <c r="F161" s="112">
        <v>3000</v>
      </c>
      <c r="G161" s="112">
        <v>0</v>
      </c>
      <c r="H161" s="112">
        <v>1</v>
      </c>
      <c r="I161" s="112">
        <f>IF(E161&lt;&gt;"",F161*G161,SUMIFS(I162:I$9909,$C162:$C$9909,"*"&amp;C161&amp;"*",$E162:$E$9909,"&lt;&gt;"))</f>
        <v>0</v>
      </c>
      <c r="J161" s="112">
        <f>IF($E161&lt;&gt;"",$F161*H161,SUMIFS(J162:J$9909,$C162:$C$9909,"*"&amp;$C161&amp;"*",$E162:$E$9909,"&lt;&gt;"))</f>
        <v>3000</v>
      </c>
      <c r="K161" s="103">
        <f>IF(I161&gt;0,(I161-J161-I161*PARAMETROS!$C$19)/I161,0)</f>
        <v>0</v>
      </c>
      <c r="L161" s="104"/>
      <c r="M161" s="105"/>
      <c r="N161" s="112"/>
      <c r="O161" s="105"/>
      <c r="P161" s="105"/>
      <c r="Q161" s="105"/>
      <c r="R161" s="105"/>
      <c r="S161" s="105"/>
      <c r="T161" s="105"/>
      <c r="U161" s="105"/>
      <c r="V161" s="105"/>
      <c r="W161" s="105"/>
      <c r="X161" s="105">
        <v>1000</v>
      </c>
    </row>
    <row r="162" spans="1:24" ht="15.75" customHeight="1" x14ac:dyDescent="0.3">
      <c r="A162" s="144" t="str">
        <f t="shared" si="2"/>
        <v/>
      </c>
      <c r="B162" s="145"/>
      <c r="C162" s="110" t="s">
        <v>385</v>
      </c>
      <c r="D162" s="111" t="s">
        <v>386</v>
      </c>
      <c r="E162" s="111" t="s">
        <v>384</v>
      </c>
      <c r="F162" s="112">
        <v>3000</v>
      </c>
      <c r="G162" s="112">
        <v>0</v>
      </c>
      <c r="H162" s="112">
        <v>1</v>
      </c>
      <c r="I162" s="112">
        <f>IF(E162&lt;&gt;"",F162*G162,SUMIFS(I163:I$9909,$C163:$C$9909,"*"&amp;C162&amp;"*",$E163:$E$9909,"&lt;&gt;"))</f>
        <v>0</v>
      </c>
      <c r="J162" s="112">
        <f>IF($E162&lt;&gt;"",$F162*H162,SUMIFS(J163:J$9909,$C163:$C$9909,"*"&amp;$C162&amp;"*",$E163:$E$9909,"&lt;&gt;"))</f>
        <v>3000</v>
      </c>
      <c r="K162" s="103">
        <f>IF(I162&gt;0,(I162-J162-I162*PARAMETROS!$C$19)/I162,0)</f>
        <v>0</v>
      </c>
      <c r="L162" s="104"/>
      <c r="M162" s="105"/>
      <c r="N162" s="112"/>
      <c r="O162" s="105"/>
      <c r="P162" s="105"/>
      <c r="Q162" s="105"/>
      <c r="R162" s="105"/>
      <c r="S162" s="105"/>
      <c r="T162" s="105"/>
      <c r="U162" s="105"/>
      <c r="V162" s="105"/>
      <c r="W162" s="105"/>
      <c r="X162" s="105">
        <v>1000</v>
      </c>
    </row>
    <row r="163" spans="1:24" ht="15.75" hidden="1" customHeight="1" x14ac:dyDescent="0.3">
      <c r="A163" s="144" t="str">
        <f t="shared" si="2"/>
        <v/>
      </c>
      <c r="B163" s="145"/>
      <c r="C163" s="110" t="s">
        <v>387</v>
      </c>
      <c r="D163" s="111" t="s">
        <v>388</v>
      </c>
      <c r="E163" s="111" t="s">
        <v>194</v>
      </c>
      <c r="F163" s="112"/>
      <c r="G163" s="112">
        <v>0</v>
      </c>
      <c r="H163" s="112">
        <v>1</v>
      </c>
      <c r="I163" s="112">
        <f>IF(E163&lt;&gt;"",F163*G163,SUMIFS(I164:I$9909,$C164:$C$9909,"*"&amp;C163&amp;"*",$E164:$E$9909,"&lt;&gt;"))</f>
        <v>0</v>
      </c>
      <c r="J163" s="112">
        <f>IF($E163&lt;&gt;"",$F163*H163,SUMIFS(J164:J$9909,$C164:$C$9909,"*"&amp;$C163&amp;"*",$E164:$E$9909,"&lt;&gt;"))</f>
        <v>0</v>
      </c>
      <c r="K163" s="103">
        <f>IF(I163&gt;0,(I163-J163-I163*PARAMETROS!$C$19)/I163,0)</f>
        <v>0</v>
      </c>
      <c r="L163" s="104"/>
      <c r="M163" s="105"/>
      <c r="N163" s="112"/>
      <c r="O163" s="105"/>
      <c r="P163" s="105"/>
      <c r="Q163" s="105"/>
      <c r="R163" s="105"/>
      <c r="S163" s="105"/>
      <c r="T163" s="105"/>
      <c r="U163" s="105"/>
      <c r="V163" s="105"/>
      <c r="W163" s="105"/>
      <c r="X163" s="105">
        <v>0</v>
      </c>
    </row>
    <row r="164" spans="1:24" ht="15.75" customHeight="1" x14ac:dyDescent="0.3">
      <c r="A164" s="144" t="str">
        <f t="shared" si="2"/>
        <v/>
      </c>
      <c r="B164" s="145"/>
      <c r="C164" s="106" t="s">
        <v>389</v>
      </c>
      <c r="D164" s="107" t="s">
        <v>390</v>
      </c>
      <c r="E164" s="108"/>
      <c r="F164" s="109"/>
      <c r="G164" s="109"/>
      <c r="H164" s="109"/>
      <c r="I164" s="109">
        <f>IF(E164&lt;&gt;"",F164*G164,SUMIFS(I165:I$9909,$C165:$C$9909,"*"&amp;C164&amp;"*",$E165:$E$9909,"&lt;&gt;"))</f>
        <v>0</v>
      </c>
      <c r="J164" s="109">
        <f>IF($E164&lt;&gt;"",$F164*H164,SUMIFS(J165:J$9909,$C165:$C$9909,"*"&amp;$C164&amp;"*",$E165:$E$9909,"&lt;&gt;"))</f>
        <v>11000</v>
      </c>
      <c r="K164" s="103">
        <f>IF(I164&gt;0,(I164-J164-I164*PARAMETROS!$C$19)/I164,0)</f>
        <v>0</v>
      </c>
      <c r="L164" s="104"/>
      <c r="M164" s="105"/>
      <c r="N164" s="112"/>
      <c r="O164" s="105"/>
      <c r="P164" s="105"/>
      <c r="Q164" s="105"/>
      <c r="R164" s="105"/>
      <c r="S164" s="105"/>
      <c r="T164" s="105"/>
      <c r="U164" s="105"/>
      <c r="V164" s="105"/>
      <c r="W164" s="105"/>
      <c r="X164" s="105"/>
    </row>
    <row r="165" spans="1:24" ht="15.75" customHeight="1" x14ac:dyDescent="0.3">
      <c r="A165" s="144" t="str">
        <f t="shared" si="2"/>
        <v/>
      </c>
      <c r="B165" s="145"/>
      <c r="C165" s="110" t="s">
        <v>391</v>
      </c>
      <c r="D165" s="111" t="s">
        <v>392</v>
      </c>
      <c r="E165" s="111" t="s">
        <v>73</v>
      </c>
      <c r="F165" s="112">
        <v>11000</v>
      </c>
      <c r="G165" s="112">
        <v>0</v>
      </c>
      <c r="H165" s="112">
        <v>1</v>
      </c>
      <c r="I165" s="112">
        <f>IF(E165&lt;&gt;"",F165*G165,SUMIFS(I166:I$9909,$C166:$C$9909,"*"&amp;C165&amp;"*",$E166:$E$9909,"&lt;&gt;"))</f>
        <v>0</v>
      </c>
      <c r="J165" s="112">
        <f>IF($E165&lt;&gt;"",$F165*H165,SUMIFS(J166:J$9909,$C166:$C$9909,"*"&amp;$C165&amp;"*",$E166:$E$9909,"&lt;&gt;"))</f>
        <v>11000</v>
      </c>
      <c r="K165" s="103">
        <f>IF(I165&gt;0,(I165-J165-I165*PARAMETROS!$C$19)/I165,0)</f>
        <v>0</v>
      </c>
      <c r="L165" s="104"/>
      <c r="M165" s="105"/>
      <c r="N165" s="112"/>
      <c r="O165" s="105"/>
      <c r="P165" s="105"/>
      <c r="Q165" s="105"/>
      <c r="R165" s="105"/>
      <c r="S165" s="105"/>
      <c r="T165" s="105"/>
      <c r="U165" s="105"/>
      <c r="V165" s="105"/>
      <c r="W165" s="105"/>
      <c r="X165" s="105">
        <v>0</v>
      </c>
    </row>
    <row r="166" spans="1:24" ht="15.75" hidden="1" customHeight="1" x14ac:dyDescent="0.3">
      <c r="A166" s="144" t="str">
        <f t="shared" ref="A166:A229" si="3">IF(LEN(C166)=3,1,"")</f>
        <v/>
      </c>
      <c r="B166" s="145"/>
      <c r="C166" s="110" t="s">
        <v>393</v>
      </c>
      <c r="D166" s="111" t="s">
        <v>394</v>
      </c>
      <c r="E166" s="111" t="s">
        <v>167</v>
      </c>
      <c r="F166" s="112"/>
      <c r="G166" s="112">
        <v>0</v>
      </c>
      <c r="H166" s="112">
        <v>300</v>
      </c>
      <c r="I166" s="112">
        <f>IF(E166&lt;&gt;"",F166*G166,SUMIFS(I167:I$9909,$C167:$C$9909,"*"&amp;C166&amp;"*",$E167:$E$9909,"&lt;&gt;"))</f>
        <v>0</v>
      </c>
      <c r="J166" s="112">
        <f>IF($E166&lt;&gt;"",$F166*H166,SUMIFS(J167:J$9909,$C167:$C$9909,"*"&amp;$C166&amp;"*",$E167:$E$9909,"&lt;&gt;"))</f>
        <v>0</v>
      </c>
      <c r="K166" s="103">
        <f>IF(I166&gt;0,(I166-J166-I166*PARAMETROS!$C$19)/I166,0)</f>
        <v>0</v>
      </c>
      <c r="L166" s="104"/>
      <c r="M166" s="105"/>
      <c r="N166" s="112"/>
      <c r="O166" s="105"/>
      <c r="P166" s="105"/>
      <c r="Q166" s="105"/>
      <c r="R166" s="105"/>
      <c r="S166" s="105"/>
      <c r="T166" s="105"/>
      <c r="U166" s="105"/>
      <c r="V166" s="105"/>
      <c r="W166" s="105"/>
      <c r="X166" s="105">
        <v>0</v>
      </c>
    </row>
    <row r="167" spans="1:24" s="48" customFormat="1" ht="15.75" customHeight="1" x14ac:dyDescent="0.3">
      <c r="A167" s="361" t="str">
        <f t="shared" si="3"/>
        <v/>
      </c>
      <c r="B167" s="362"/>
      <c r="C167" s="357" t="s">
        <v>395</v>
      </c>
      <c r="D167" s="358" t="s">
        <v>396</v>
      </c>
      <c r="E167" s="359"/>
      <c r="F167" s="360"/>
      <c r="G167" s="360"/>
      <c r="H167" s="360"/>
      <c r="I167" s="360">
        <f>IF(E167&lt;&gt;"",F167*G167,SUMIFS(I168:I$9909,$C168:$C$9909,"*"&amp;C167&amp;"*",$E168:$E$9909,"&lt;&gt;"))</f>
        <v>0</v>
      </c>
      <c r="J167" s="360">
        <f>IF($E167&lt;&gt;"",$F167*H167,SUMIFS(J168:J$9909,$C168:$C$9909,"*"&amp;$C167&amp;"*",$E168:$E$9909,"&lt;&gt;"))</f>
        <v>54000</v>
      </c>
      <c r="K167" s="128">
        <f>IF(I167&gt;0,(I167-J167-I167*PARAMETROS!$C$19)/I167,0)</f>
        <v>0</v>
      </c>
      <c r="L167" s="363" t="s">
        <v>122</v>
      </c>
      <c r="M167" s="364"/>
      <c r="N167" s="365"/>
      <c r="O167" s="364"/>
      <c r="P167" s="364"/>
      <c r="Q167" s="364"/>
      <c r="R167" s="364"/>
      <c r="S167" s="364"/>
      <c r="T167" s="364"/>
      <c r="U167" s="364"/>
      <c r="V167" s="364"/>
      <c r="W167" s="364"/>
      <c r="X167" s="364"/>
    </row>
    <row r="168" spans="1:24" ht="15.75" hidden="1" customHeight="1" x14ac:dyDescent="0.3">
      <c r="A168" s="144" t="str">
        <f t="shared" si="3"/>
        <v/>
      </c>
      <c r="B168" s="145"/>
      <c r="C168" s="110" t="s">
        <v>397</v>
      </c>
      <c r="D168" s="111" t="s">
        <v>398</v>
      </c>
      <c r="E168" s="111" t="s">
        <v>73</v>
      </c>
      <c r="F168" s="112"/>
      <c r="G168" s="112">
        <v>0</v>
      </c>
      <c r="H168" s="112">
        <v>0</v>
      </c>
      <c r="I168" s="112">
        <f>IF(E168&lt;&gt;"",F168*G168,SUMIFS(I169:I$9909,$C169:$C$9909,"*"&amp;C168&amp;"*",$E169:$E$9909,"&lt;&gt;"))</f>
        <v>0</v>
      </c>
      <c r="J168" s="112">
        <f>IF($E168&lt;&gt;"",$F168*H168,SUMIFS(J169:J$9909,$C169:$C$9909,"*"&amp;$C168&amp;"*",$E169:$E$9909,"&lt;&gt;"))</f>
        <v>0</v>
      </c>
      <c r="K168" s="103">
        <f>IF(I168&gt;0,(I168-J168-I168*PARAMETROS!$C$19)/I168,0)</f>
        <v>0</v>
      </c>
      <c r="L168" s="104"/>
      <c r="M168" s="105"/>
      <c r="N168" s="112"/>
      <c r="O168" s="105"/>
      <c r="P168" s="105"/>
      <c r="Q168" s="105"/>
      <c r="R168" s="105"/>
      <c r="S168" s="105"/>
      <c r="T168" s="105"/>
      <c r="U168" s="105"/>
      <c r="V168" s="105"/>
      <c r="W168" s="105"/>
      <c r="X168" s="105">
        <v>0</v>
      </c>
    </row>
    <row r="169" spans="1:24" ht="15.75" hidden="1" customHeight="1" x14ac:dyDescent="0.3">
      <c r="A169" s="144" t="str">
        <f t="shared" si="3"/>
        <v/>
      </c>
      <c r="B169" s="145"/>
      <c r="C169" s="110" t="s">
        <v>399</v>
      </c>
      <c r="D169" s="111" t="s">
        <v>400</v>
      </c>
      <c r="E169" s="111" t="s">
        <v>73</v>
      </c>
      <c r="F169" s="112"/>
      <c r="G169" s="112">
        <v>0</v>
      </c>
      <c r="H169" s="112">
        <v>0</v>
      </c>
      <c r="I169" s="112">
        <f>IF(E169&lt;&gt;"",F169*G169,SUMIFS(I170:I$9909,$C170:$C$9909,"*"&amp;C169&amp;"*",$E170:$E$9909,"&lt;&gt;"))</f>
        <v>0</v>
      </c>
      <c r="J169" s="112">
        <f>IF($E169&lt;&gt;"",$F169*H169,SUMIFS(J170:J$9909,$C170:$C$9909,"*"&amp;$C169&amp;"*",$E170:$E$9909,"&lt;&gt;"))</f>
        <v>0</v>
      </c>
      <c r="K169" s="103">
        <f>IF(I169&gt;0,(I169-J169-I169*PARAMETROS!$C$19)/I169,0)</f>
        <v>0</v>
      </c>
      <c r="L169" s="104"/>
      <c r="M169" s="105"/>
      <c r="N169" s="112"/>
      <c r="O169" s="105"/>
      <c r="P169" s="105"/>
      <c r="Q169" s="105"/>
      <c r="R169" s="105"/>
      <c r="S169" s="105"/>
      <c r="T169" s="105"/>
      <c r="U169" s="105"/>
      <c r="V169" s="105"/>
      <c r="W169" s="105"/>
      <c r="X169" s="105">
        <v>0</v>
      </c>
    </row>
    <row r="170" spans="1:24" ht="15.75" customHeight="1" x14ac:dyDescent="0.3">
      <c r="A170" s="144" t="str">
        <f t="shared" si="3"/>
        <v/>
      </c>
      <c r="B170" s="145"/>
      <c r="C170" s="110" t="s">
        <v>401</v>
      </c>
      <c r="D170" s="111" t="s">
        <v>402</v>
      </c>
      <c r="E170" s="111" t="s">
        <v>73</v>
      </c>
      <c r="F170" s="112">
        <f>30*30</f>
        <v>900</v>
      </c>
      <c r="G170" s="112">
        <v>0</v>
      </c>
      <c r="H170" s="112">
        <v>30</v>
      </c>
      <c r="I170" s="112">
        <f>IF(E170&lt;&gt;"",F170*G170,SUMIFS(I171:I$9909,$C171:$C$9909,"*"&amp;C170&amp;"*",$E171:$E$9909,"&lt;&gt;"))</f>
        <v>0</v>
      </c>
      <c r="J170" s="112">
        <f>IF($E170&lt;&gt;"",$F170*H170,SUMIFS(J171:J$9909,$C171:$C$9909,"*"&amp;$C170&amp;"*",$E171:$E$9909,"&lt;&gt;"))</f>
        <v>27000</v>
      </c>
      <c r="K170" s="103">
        <f>IF(I170&gt;0,(I170-J170-I170*PARAMETROS!$C$19)/I170,0)</f>
        <v>0</v>
      </c>
      <c r="L170" s="104"/>
      <c r="M170" s="105"/>
      <c r="N170" s="109"/>
      <c r="O170" s="105"/>
      <c r="P170" s="105"/>
      <c r="Q170" s="105"/>
      <c r="R170" s="105"/>
      <c r="S170" s="105"/>
      <c r="T170" s="105"/>
      <c r="U170" s="105"/>
      <c r="V170" s="105"/>
      <c r="W170" s="105"/>
      <c r="X170" s="105">
        <v>0</v>
      </c>
    </row>
    <row r="171" spans="1:24" ht="15.75" customHeight="1" x14ac:dyDescent="0.3">
      <c r="A171" s="144" t="str">
        <f t="shared" si="3"/>
        <v/>
      </c>
      <c r="B171" s="145"/>
      <c r="C171" s="110" t="s">
        <v>403</v>
      </c>
      <c r="D171" s="111" t="s">
        <v>404</v>
      </c>
      <c r="E171" s="111" t="s">
        <v>73</v>
      </c>
      <c r="F171" s="112">
        <f>30*30</f>
        <v>900</v>
      </c>
      <c r="G171" s="112">
        <v>0</v>
      </c>
      <c r="H171" s="112">
        <v>30</v>
      </c>
      <c r="I171" s="112">
        <f>IF(E171&lt;&gt;"",F171*G171,SUMIFS(I172:I$9909,$C172:$C$9909,"*"&amp;C171&amp;"*",$E172:$E$9909,"&lt;&gt;"))</f>
        <v>0</v>
      </c>
      <c r="J171" s="112">
        <f>IF($E171&lt;&gt;"",$F171*H171,SUMIFS(J172:J$9909,$C172:$C$9909,"*"&amp;$C171&amp;"*",$E172:$E$9909,"&lt;&gt;"))</f>
        <v>27000</v>
      </c>
      <c r="K171" s="103">
        <f>IF(I171&gt;0,(I171-J171-I171*PARAMETROS!$C$19)/I171,0)</f>
        <v>0</v>
      </c>
      <c r="L171" s="104"/>
      <c r="M171" s="105"/>
      <c r="N171" s="112"/>
      <c r="O171" s="105"/>
      <c r="P171" s="105"/>
      <c r="Q171" s="105"/>
      <c r="R171" s="105"/>
      <c r="S171" s="105"/>
      <c r="T171" s="105"/>
      <c r="U171" s="105"/>
      <c r="V171" s="105"/>
      <c r="W171" s="105"/>
      <c r="X171" s="105">
        <v>0</v>
      </c>
    </row>
    <row r="172" spans="1:24" s="48" customFormat="1" ht="15.75" customHeight="1" x14ac:dyDescent="0.3">
      <c r="A172" s="361" t="str">
        <f t="shared" si="3"/>
        <v/>
      </c>
      <c r="B172" s="362"/>
      <c r="C172" s="357" t="s">
        <v>405</v>
      </c>
      <c r="D172" s="358" t="s">
        <v>406</v>
      </c>
      <c r="E172" s="359"/>
      <c r="F172" s="360"/>
      <c r="G172" s="360"/>
      <c r="H172" s="360"/>
      <c r="I172" s="360">
        <f>IF(E172&lt;&gt;"",F172*G172,SUMIFS(I173:I$9909,$C173:$C$9909,"*"&amp;C172&amp;"*",$E173:$E$9909,"&lt;&gt;"))</f>
        <v>0</v>
      </c>
      <c r="J172" s="360">
        <f>IF($E172&lt;&gt;"",$F172*H172,SUMIFS(J173:J$9909,$C173:$C$9909,"*"&amp;$C172&amp;"*",$E173:$E$9909,"&lt;&gt;"))</f>
        <v>119000</v>
      </c>
      <c r="K172" s="128">
        <f>IF(I172&gt;0,(I172-J172-I172*PARAMETROS!$C$19)/I172,0)</f>
        <v>0</v>
      </c>
      <c r="L172" s="363" t="s">
        <v>122</v>
      </c>
      <c r="M172" s="364"/>
      <c r="N172" s="365"/>
      <c r="O172" s="364"/>
      <c r="P172" s="364"/>
      <c r="Q172" s="364"/>
      <c r="R172" s="364"/>
      <c r="S172" s="364"/>
      <c r="T172" s="364"/>
      <c r="U172" s="364"/>
      <c r="V172" s="364"/>
      <c r="W172" s="364"/>
      <c r="X172" s="364"/>
    </row>
    <row r="173" spans="1:24" ht="15.75" customHeight="1" x14ac:dyDescent="0.3">
      <c r="A173" s="144" t="str">
        <f t="shared" si="3"/>
        <v/>
      </c>
      <c r="B173" s="145"/>
      <c r="C173" s="106" t="s">
        <v>407</v>
      </c>
      <c r="D173" s="107" t="s">
        <v>408</v>
      </c>
      <c r="E173" s="108"/>
      <c r="F173" s="109"/>
      <c r="G173" s="109"/>
      <c r="H173" s="109"/>
      <c r="I173" s="109">
        <f>IF(E173&lt;&gt;"",F173*G173,SUMIFS(I174:I$9909,$C174:$C$9909,"*"&amp;C173&amp;"*",$E174:$E$9909,"&lt;&gt;"))</f>
        <v>0</v>
      </c>
      <c r="J173" s="109">
        <f>IF($E173&lt;&gt;"",$F173*H173,SUMIFS(J174:J$9909,$C174:$C$9909,"*"&amp;$C173&amp;"*",$E174:$E$9909,"&lt;&gt;"))</f>
        <v>119000</v>
      </c>
      <c r="K173" s="103">
        <f>IF(I173&gt;0,(I173-J173-I173*PARAMETROS!$C$19)/I173,0)</f>
        <v>0</v>
      </c>
      <c r="L173" s="104"/>
      <c r="M173" s="105"/>
      <c r="N173" s="112"/>
      <c r="O173" s="105"/>
      <c r="P173" s="105"/>
      <c r="Q173" s="105"/>
      <c r="R173" s="105"/>
      <c r="S173" s="105"/>
      <c r="T173" s="105"/>
      <c r="U173" s="105"/>
      <c r="V173" s="105"/>
      <c r="W173" s="105"/>
      <c r="X173" s="105"/>
    </row>
    <row r="174" spans="1:24" ht="15.75" customHeight="1" x14ac:dyDescent="0.3">
      <c r="A174" s="144" t="str">
        <f t="shared" si="3"/>
        <v/>
      </c>
      <c r="B174" s="145"/>
      <c r="C174" s="106" t="s">
        <v>409</v>
      </c>
      <c r="D174" s="107" t="s">
        <v>410</v>
      </c>
      <c r="E174" s="108"/>
      <c r="F174" s="109"/>
      <c r="G174" s="109"/>
      <c r="H174" s="109"/>
      <c r="I174" s="109">
        <f>IF(E174&lt;&gt;"",F174*G174,SUMIFS(I175:I$9909,$C175:$C$9909,"*"&amp;C174&amp;"*",$E175:$E$9909,"&lt;&gt;"))</f>
        <v>0</v>
      </c>
      <c r="J174" s="109">
        <f>IF($E174&lt;&gt;"",$F174*H174,SUMIFS(J175:J$9909,$C175:$C$9909,"*"&amp;$C174&amp;"*",$E175:$E$9909,"&lt;&gt;"))</f>
        <v>90000</v>
      </c>
      <c r="K174" s="103">
        <f>IF(I174&gt;0,(I174-J174-I174*PARAMETROS!$C$19)/I174,0)</f>
        <v>0</v>
      </c>
      <c r="L174" s="104"/>
      <c r="M174" s="105"/>
      <c r="N174" s="112"/>
      <c r="O174" s="105"/>
      <c r="P174" s="105"/>
      <c r="Q174" s="105"/>
      <c r="R174" s="105"/>
      <c r="S174" s="105"/>
      <c r="T174" s="105"/>
      <c r="U174" s="105"/>
      <c r="V174" s="105"/>
      <c r="W174" s="105"/>
      <c r="X174" s="105"/>
    </row>
    <row r="175" spans="1:24" ht="15.75" customHeight="1" x14ac:dyDescent="0.3">
      <c r="A175" s="144" t="str">
        <f t="shared" si="3"/>
        <v/>
      </c>
      <c r="B175" s="145"/>
      <c r="C175" s="110" t="s">
        <v>411</v>
      </c>
      <c r="D175" s="111" t="s">
        <v>412</v>
      </c>
      <c r="E175" s="111" t="s">
        <v>167</v>
      </c>
      <c r="F175" s="112">
        <v>24</v>
      </c>
      <c r="G175" s="112">
        <v>0</v>
      </c>
      <c r="H175" s="112">
        <v>3750</v>
      </c>
      <c r="I175" s="112">
        <f>IF(E175&lt;&gt;"",F175*G175,SUMIFS(I176:I$9909,$C176:$C$9909,"*"&amp;C175&amp;"*",$E176:$E$9909,"&lt;&gt;"))</f>
        <v>0</v>
      </c>
      <c r="J175" s="112">
        <f>IF($E175&lt;&gt;"",$F175*H175,SUMIFS(J176:J$9909,$C176:$C$9909,"*"&amp;$C175&amp;"*",$E176:$E$9909,"&lt;&gt;"))</f>
        <v>90000</v>
      </c>
      <c r="K175" s="103">
        <f>IF(I175&gt;0,(I175-J175-I175*PARAMETROS!$C$19)/I175,0)</f>
        <v>0</v>
      </c>
      <c r="L175" s="104"/>
      <c r="M175" s="105"/>
      <c r="N175" s="112"/>
      <c r="O175" s="105"/>
      <c r="P175" s="105"/>
      <c r="Q175" s="105"/>
      <c r="R175" s="105"/>
      <c r="S175" s="105"/>
      <c r="T175" s="105"/>
      <c r="U175" s="105"/>
      <c r="V175" s="105"/>
      <c r="W175" s="105"/>
      <c r="X175" s="105">
        <v>0</v>
      </c>
    </row>
    <row r="176" spans="1:24" ht="15.75" customHeight="1" x14ac:dyDescent="0.3">
      <c r="A176" s="144" t="str">
        <f t="shared" si="3"/>
        <v/>
      </c>
      <c r="B176" s="145"/>
      <c r="C176" s="106" t="s">
        <v>413</v>
      </c>
      <c r="D176" s="107" t="s">
        <v>414</v>
      </c>
      <c r="E176" s="108"/>
      <c r="F176" s="109"/>
      <c r="G176" s="109"/>
      <c r="H176" s="109"/>
      <c r="I176" s="109">
        <f>IF(E176&lt;&gt;"",F176*G176,SUMIFS(I177:I$9909,$C177:$C$9909,"*"&amp;C176&amp;"*",$E177:$E$9909,"&lt;&gt;"))</f>
        <v>0</v>
      </c>
      <c r="J176" s="109">
        <f>IF($E176&lt;&gt;"",$F176*H176,SUMIFS(J177:J$9909,$C177:$C$9909,"*"&amp;$C176&amp;"*",$E177:$E$9909,"&lt;&gt;"))</f>
        <v>14400</v>
      </c>
      <c r="K176" s="103">
        <f>IF(I176&gt;0,(I176-J176-I176*PARAMETROS!$C$19)/I176,0)</f>
        <v>0</v>
      </c>
      <c r="L176" s="104"/>
      <c r="M176" s="105"/>
      <c r="N176" s="112"/>
      <c r="O176" s="105"/>
      <c r="P176" s="105"/>
      <c r="Q176" s="105"/>
      <c r="R176" s="105"/>
      <c r="S176" s="105"/>
      <c r="T176" s="105"/>
      <c r="U176" s="105"/>
      <c r="V176" s="105"/>
      <c r="W176" s="105"/>
      <c r="X176" s="105"/>
    </row>
    <row r="177" spans="1:24" ht="15.75" customHeight="1" x14ac:dyDescent="0.3">
      <c r="A177" s="144" t="str">
        <f t="shared" si="3"/>
        <v/>
      </c>
      <c r="B177" s="145"/>
      <c r="C177" s="110" t="s">
        <v>415</v>
      </c>
      <c r="D177" s="111" t="s">
        <v>416</v>
      </c>
      <c r="E177" s="111" t="s">
        <v>167</v>
      </c>
      <c r="F177" s="112">
        <v>24</v>
      </c>
      <c r="G177" s="112">
        <v>0</v>
      </c>
      <c r="H177" s="112">
        <v>300</v>
      </c>
      <c r="I177" s="112">
        <f>IF(E177&lt;&gt;"",F177*G177,SUMIFS(I178:I$9909,$C178:$C$9909,"*"&amp;C177&amp;"*",$E178:$E$9909,"&lt;&gt;"))</f>
        <v>0</v>
      </c>
      <c r="J177" s="112">
        <f>IF($E177&lt;&gt;"",$F177*H177,SUMIFS(J178:J$9909,$C178:$C$9909,"*"&amp;$C177&amp;"*",$E178:$E$9909,"&lt;&gt;"))</f>
        <v>7200</v>
      </c>
      <c r="K177" s="103">
        <f>IF(I177&gt;0,(I177-J177-I177*PARAMETROS!$C$19)/I177,0)</f>
        <v>0</v>
      </c>
      <c r="L177" s="104"/>
      <c r="M177" s="105"/>
      <c r="N177" s="112"/>
      <c r="O177" s="105"/>
      <c r="P177" s="105"/>
      <c r="Q177" s="105"/>
      <c r="R177" s="105"/>
      <c r="S177" s="105"/>
      <c r="T177" s="105"/>
      <c r="U177" s="105"/>
      <c r="V177" s="105"/>
      <c r="W177" s="105"/>
      <c r="X177" s="105">
        <v>0</v>
      </c>
    </row>
    <row r="178" spans="1:24" ht="15.75" customHeight="1" x14ac:dyDescent="0.3">
      <c r="A178" s="144" t="str">
        <f t="shared" si="3"/>
        <v/>
      </c>
      <c r="B178" s="145"/>
      <c r="C178" s="110" t="s">
        <v>417</v>
      </c>
      <c r="D178" s="111" t="s">
        <v>418</v>
      </c>
      <c r="E178" s="111" t="s">
        <v>167</v>
      </c>
      <c r="F178" s="112">
        <v>24</v>
      </c>
      <c r="G178" s="112">
        <v>0</v>
      </c>
      <c r="H178" s="112">
        <v>300</v>
      </c>
      <c r="I178" s="112">
        <f>IF(E178&lt;&gt;"",F178*G178,SUMIFS(I179:I$9909,$C179:$C$9909,"*"&amp;C178&amp;"*",$E179:$E$9909,"&lt;&gt;"))</f>
        <v>0</v>
      </c>
      <c r="J178" s="112">
        <f>IF($E178&lt;&gt;"",$F178*H178,SUMIFS(J179:J$9909,$C179:$C$9909,"*"&amp;$C178&amp;"*",$E179:$E$9909,"&lt;&gt;"))</f>
        <v>7200</v>
      </c>
      <c r="K178" s="103">
        <f>IF(I178&gt;0,(I178-J178-I178*PARAMETROS!$C$19)/I178,0)</f>
        <v>0</v>
      </c>
      <c r="L178" s="104"/>
      <c r="M178" s="105"/>
      <c r="N178" s="112"/>
      <c r="O178" s="105"/>
      <c r="P178" s="105"/>
      <c r="Q178" s="105"/>
      <c r="R178" s="105"/>
      <c r="S178" s="105"/>
      <c r="T178" s="105"/>
      <c r="U178" s="105"/>
      <c r="V178" s="105"/>
      <c r="W178" s="105"/>
      <c r="X178" s="105">
        <v>0</v>
      </c>
    </row>
    <row r="179" spans="1:24" ht="15.75" hidden="1" customHeight="1" x14ac:dyDescent="0.3">
      <c r="A179" s="144" t="str">
        <f t="shared" si="3"/>
        <v/>
      </c>
      <c r="B179" s="145"/>
      <c r="C179" s="110" t="s">
        <v>419</v>
      </c>
      <c r="D179" s="111" t="s">
        <v>420</v>
      </c>
      <c r="E179" s="111" t="s">
        <v>194</v>
      </c>
      <c r="F179" s="112"/>
      <c r="G179" s="112">
        <v>0</v>
      </c>
      <c r="H179" s="112">
        <v>1</v>
      </c>
      <c r="I179" s="112">
        <f>IF(E179&lt;&gt;"",F179*G179,SUMIFS(I180:I$9909,$C180:$C$9909,"*"&amp;C179&amp;"*",$E180:$E$9909,"&lt;&gt;"))</f>
        <v>0</v>
      </c>
      <c r="J179" s="112">
        <f>IF($E179&lt;&gt;"",$F179*H179,SUMIFS(J180:J$9909,$C180:$C$9909,"*"&amp;$C179&amp;"*",$E180:$E$9909,"&lt;&gt;"))</f>
        <v>0</v>
      </c>
      <c r="K179" s="103">
        <f>IF(I179&gt;0,(I179-J179-I179*PARAMETROS!$C$19)/I179,0)</f>
        <v>0</v>
      </c>
      <c r="L179" s="104"/>
      <c r="M179" s="105"/>
      <c r="N179" s="112"/>
      <c r="O179" s="105"/>
      <c r="P179" s="105"/>
      <c r="Q179" s="105"/>
      <c r="R179" s="105"/>
      <c r="S179" s="105"/>
      <c r="T179" s="105"/>
      <c r="U179" s="105"/>
      <c r="V179" s="105"/>
      <c r="W179" s="105"/>
      <c r="X179" s="105">
        <v>0</v>
      </c>
    </row>
    <row r="180" spans="1:24" ht="15.75" hidden="1" customHeight="1" x14ac:dyDescent="0.3">
      <c r="A180" s="144" t="str">
        <f t="shared" si="3"/>
        <v/>
      </c>
      <c r="B180" s="145"/>
      <c r="C180" s="110" t="s">
        <v>421</v>
      </c>
      <c r="D180" s="111" t="s">
        <v>422</v>
      </c>
      <c r="E180" s="111" t="s">
        <v>194</v>
      </c>
      <c r="F180" s="112"/>
      <c r="G180" s="112">
        <v>0</v>
      </c>
      <c r="H180" s="112">
        <v>0</v>
      </c>
      <c r="I180" s="112">
        <f>IF(E180&lt;&gt;"",F180*G180,SUMIFS(I181:I$9909,$C181:$C$9909,"*"&amp;C180&amp;"*",$E181:$E$9909,"&lt;&gt;"))</f>
        <v>0</v>
      </c>
      <c r="J180" s="112">
        <f>IF($E180&lt;&gt;"",$F180*H180,SUMIFS(J181:J$9909,$C181:$C$9909,"*"&amp;$C180&amp;"*",$E181:$E$9909,"&lt;&gt;"))</f>
        <v>0</v>
      </c>
      <c r="K180" s="103">
        <f>IF(I180&gt;0,(I180-J180-I180*PARAMETROS!$C$19)/I180,0)</f>
        <v>0</v>
      </c>
      <c r="L180" s="104"/>
      <c r="M180" s="105"/>
      <c r="N180" s="109"/>
      <c r="O180" s="105"/>
      <c r="P180" s="105"/>
      <c r="Q180" s="105"/>
      <c r="R180" s="105"/>
      <c r="S180" s="105"/>
      <c r="T180" s="105"/>
      <c r="U180" s="105"/>
      <c r="V180" s="105"/>
      <c r="W180" s="105"/>
      <c r="X180" s="105">
        <v>0</v>
      </c>
    </row>
    <row r="181" spans="1:24" ht="15.75" customHeight="1" x14ac:dyDescent="0.3">
      <c r="A181" s="144" t="str">
        <f t="shared" si="3"/>
        <v/>
      </c>
      <c r="B181" s="145"/>
      <c r="C181" s="106" t="s">
        <v>423</v>
      </c>
      <c r="D181" s="107" t="s">
        <v>424</v>
      </c>
      <c r="E181" s="108"/>
      <c r="F181" s="109"/>
      <c r="G181" s="109"/>
      <c r="H181" s="109"/>
      <c r="I181" s="109">
        <f>IF(E181&lt;&gt;"",F181*G181,SUMIFS(I182:I$9909,$C182:$C$9909,"*"&amp;C181&amp;"*",$E182:$E$9909,"&lt;&gt;"))</f>
        <v>0</v>
      </c>
      <c r="J181" s="109">
        <f>IF($E181&lt;&gt;"",$F181*H181,SUMIFS(J182:J$9909,$C182:$C$9909,"*"&amp;$C181&amp;"*",$E182:$E$9909,"&lt;&gt;"))</f>
        <v>10000</v>
      </c>
      <c r="K181" s="103">
        <f>IF(I181&gt;0,(I181-J181-I181*PARAMETROS!$C$19)/I181,0)</f>
        <v>0</v>
      </c>
      <c r="L181" s="104"/>
      <c r="M181" s="105"/>
      <c r="N181" s="112"/>
      <c r="O181" s="105"/>
      <c r="P181" s="105"/>
      <c r="Q181" s="105"/>
      <c r="R181" s="105"/>
      <c r="S181" s="105"/>
      <c r="T181" s="105"/>
      <c r="U181" s="105"/>
      <c r="V181" s="105"/>
      <c r="W181" s="105"/>
      <c r="X181" s="105"/>
    </row>
    <row r="182" spans="1:24" ht="15.75" customHeight="1" x14ac:dyDescent="0.3">
      <c r="A182" s="144" t="str">
        <f t="shared" si="3"/>
        <v/>
      </c>
      <c r="B182" s="145"/>
      <c r="C182" s="110" t="s">
        <v>425</v>
      </c>
      <c r="D182" s="111" t="s">
        <v>426</v>
      </c>
      <c r="E182" s="111" t="s">
        <v>194</v>
      </c>
      <c r="F182" s="112">
        <v>5000</v>
      </c>
      <c r="G182" s="112">
        <v>0</v>
      </c>
      <c r="H182" s="112">
        <v>1</v>
      </c>
      <c r="I182" s="112">
        <f>IF(E182&lt;&gt;"",F182*G182,SUMIFS(I183:I$9909,$C183:$C$9909,"*"&amp;C182&amp;"*",$E183:$E$9909,"&lt;&gt;"))</f>
        <v>0</v>
      </c>
      <c r="J182" s="112">
        <f>IF($E182&lt;&gt;"",$F182*H182,SUMIFS(J183:J$9909,$C183:$C$9909,"*"&amp;$C182&amp;"*",$E183:$E$9909,"&lt;&gt;"))</f>
        <v>5000</v>
      </c>
      <c r="K182" s="103">
        <f>IF(I182&gt;0,(I182-J182-I182*PARAMETROS!$C$19)/I182,0)</f>
        <v>0</v>
      </c>
      <c r="L182" s="104"/>
      <c r="M182" s="105"/>
      <c r="N182" s="112"/>
      <c r="O182" s="105"/>
      <c r="P182" s="105"/>
      <c r="Q182" s="105"/>
      <c r="R182" s="105"/>
      <c r="S182" s="105"/>
      <c r="T182" s="105"/>
      <c r="U182" s="105"/>
      <c r="V182" s="105"/>
      <c r="W182" s="105"/>
      <c r="X182" s="105">
        <v>0</v>
      </c>
    </row>
    <row r="183" spans="1:24" ht="15.75" customHeight="1" x14ac:dyDescent="0.3">
      <c r="A183" s="144" t="str">
        <f t="shared" si="3"/>
        <v/>
      </c>
      <c r="B183" s="145"/>
      <c r="C183" s="110" t="s">
        <v>427</v>
      </c>
      <c r="D183" s="111" t="s">
        <v>428</v>
      </c>
      <c r="E183" s="111" t="s">
        <v>194</v>
      </c>
      <c r="F183" s="112">
        <v>5000</v>
      </c>
      <c r="G183" s="112">
        <v>0</v>
      </c>
      <c r="H183" s="112">
        <v>1</v>
      </c>
      <c r="I183" s="112">
        <f>IF(E183&lt;&gt;"",F183*G183,SUMIFS(I184:I$9909,$C184:$C$9909,"*"&amp;C183&amp;"*",$E184:$E$9909,"&lt;&gt;"))</f>
        <v>0</v>
      </c>
      <c r="J183" s="112">
        <f>IF($E183&lt;&gt;"",$F183*H183,SUMIFS(J184:J$9909,$C184:$C$9909,"*"&amp;$C183&amp;"*",$E184:$E$9909,"&lt;&gt;"))</f>
        <v>5000</v>
      </c>
      <c r="K183" s="103">
        <f>IF(I183&gt;0,(I183-J183-I183*PARAMETROS!$C$19)/I183,0)</f>
        <v>0</v>
      </c>
      <c r="L183" s="104"/>
      <c r="M183" s="105"/>
      <c r="N183" s="112"/>
      <c r="O183" s="105"/>
      <c r="P183" s="105"/>
      <c r="Q183" s="105"/>
      <c r="R183" s="105"/>
      <c r="S183" s="105"/>
      <c r="T183" s="105"/>
      <c r="U183" s="105"/>
      <c r="V183" s="105"/>
      <c r="W183" s="105"/>
      <c r="X183" s="105">
        <v>0</v>
      </c>
    </row>
    <row r="184" spans="1:24" ht="15.75" customHeight="1" x14ac:dyDescent="0.3">
      <c r="A184" s="144" t="str">
        <f t="shared" si="3"/>
        <v/>
      </c>
      <c r="B184" s="145"/>
      <c r="C184" s="106" t="s">
        <v>429</v>
      </c>
      <c r="D184" s="107" t="s">
        <v>430</v>
      </c>
      <c r="E184" s="108"/>
      <c r="F184" s="109"/>
      <c r="G184" s="109"/>
      <c r="H184" s="109"/>
      <c r="I184" s="109">
        <f>IF(E184&lt;&gt;"",F184*G184,SUMIFS(I185:I$9909,$C185:$C$9909,"*"&amp;C184&amp;"*",$E185:$E$9909,"&lt;&gt;"))</f>
        <v>0</v>
      </c>
      <c r="J184" s="109">
        <f>IF($E184&lt;&gt;"",$F184*H184,SUMIFS(J185:J$9909,$C185:$C$9909,"*"&amp;$C184&amp;"*",$E185:$E$9909,"&lt;&gt;"))</f>
        <v>2000</v>
      </c>
      <c r="K184" s="103">
        <f>IF(I184&gt;0,(I184-J184-I184*PARAMETROS!$C$19)/I184,0)</f>
        <v>0</v>
      </c>
      <c r="L184" s="104"/>
      <c r="M184" s="105"/>
      <c r="N184" s="112"/>
      <c r="O184" s="105"/>
      <c r="P184" s="105"/>
      <c r="Q184" s="105"/>
      <c r="R184" s="105"/>
      <c r="S184" s="105"/>
      <c r="T184" s="105"/>
      <c r="U184" s="105"/>
      <c r="V184" s="105"/>
      <c r="W184" s="105"/>
      <c r="X184" s="105"/>
    </row>
    <row r="185" spans="1:24" ht="15.75" customHeight="1" x14ac:dyDescent="0.3">
      <c r="A185" s="144" t="str">
        <f t="shared" si="3"/>
        <v/>
      </c>
      <c r="B185" s="145"/>
      <c r="C185" s="110" t="s">
        <v>431</v>
      </c>
      <c r="D185" s="111" t="s">
        <v>432</v>
      </c>
      <c r="E185" s="111" t="s">
        <v>167</v>
      </c>
      <c r="F185" s="112">
        <v>1</v>
      </c>
      <c r="G185" s="112">
        <v>0</v>
      </c>
      <c r="H185" s="112">
        <v>2000</v>
      </c>
      <c r="I185" s="112">
        <f>IF(E185&lt;&gt;"",F185*G185,SUMIFS(I186:I$9909,$C186:$C$9909,"*"&amp;C185&amp;"*",$E186:$E$9909,"&lt;&gt;"))</f>
        <v>0</v>
      </c>
      <c r="J185" s="112">
        <f>IF($E185&lt;&gt;"",$F185*H185,SUMIFS(J186:J$9909,$C186:$C$9909,"*"&amp;$C185&amp;"*",$E186:$E$9909,"&lt;&gt;"))</f>
        <v>2000</v>
      </c>
      <c r="K185" s="103">
        <f>IF(I185&gt;0,(I185-J185-I185*PARAMETROS!$C$19)/I185,0)</f>
        <v>0</v>
      </c>
      <c r="L185" s="104"/>
      <c r="M185" s="105"/>
      <c r="N185" s="112"/>
      <c r="O185" s="105"/>
      <c r="P185" s="105"/>
      <c r="Q185" s="105"/>
      <c r="R185" s="105"/>
      <c r="S185" s="105"/>
      <c r="T185" s="105"/>
      <c r="U185" s="105"/>
      <c r="V185" s="105"/>
      <c r="W185" s="105"/>
      <c r="X185" s="105">
        <v>0</v>
      </c>
    </row>
    <row r="186" spans="1:24" ht="15.75" hidden="1" customHeight="1" x14ac:dyDescent="0.3">
      <c r="A186" s="144" t="str">
        <f t="shared" si="3"/>
        <v/>
      </c>
      <c r="B186" s="145"/>
      <c r="C186" s="110" t="s">
        <v>433</v>
      </c>
      <c r="D186" s="111" t="s">
        <v>434</v>
      </c>
      <c r="E186" s="111" t="s">
        <v>194</v>
      </c>
      <c r="F186" s="112"/>
      <c r="G186" s="112">
        <v>0</v>
      </c>
      <c r="H186" s="112">
        <v>1</v>
      </c>
      <c r="I186" s="112">
        <f>IF(E186&lt;&gt;"",F186*G186,SUMIFS(I187:I$9909,$C187:$C$9909,"*"&amp;C186&amp;"*",$E187:$E$9909,"&lt;&gt;"))</f>
        <v>0</v>
      </c>
      <c r="J186" s="112">
        <f>IF($E186&lt;&gt;"",$F186*H186,SUMIFS(J187:J$9909,$C187:$C$9909,"*"&amp;$C186&amp;"*",$E187:$E$9909,"&lt;&gt;"))</f>
        <v>0</v>
      </c>
      <c r="K186" s="103">
        <f>IF(I186&gt;0,(I186-J186-I186*PARAMETROS!$C$19)/I186,0)</f>
        <v>0</v>
      </c>
      <c r="L186" s="104"/>
      <c r="M186" s="105"/>
      <c r="N186" s="112"/>
      <c r="O186" s="105"/>
      <c r="P186" s="105"/>
      <c r="Q186" s="105"/>
      <c r="R186" s="105"/>
      <c r="S186" s="105"/>
      <c r="T186" s="105"/>
      <c r="U186" s="105"/>
      <c r="V186" s="105"/>
      <c r="W186" s="105"/>
      <c r="X186" s="105">
        <v>0</v>
      </c>
    </row>
    <row r="187" spans="1:24" ht="15.75" customHeight="1" x14ac:dyDescent="0.3">
      <c r="A187" s="144" t="str">
        <f t="shared" si="3"/>
        <v/>
      </c>
      <c r="B187" s="145"/>
      <c r="C187" s="106" t="s">
        <v>435</v>
      </c>
      <c r="D187" s="107" t="s">
        <v>436</v>
      </c>
      <c r="E187" s="108"/>
      <c r="F187" s="109"/>
      <c r="G187" s="109"/>
      <c r="H187" s="109"/>
      <c r="I187" s="109">
        <f>IF(E187&lt;&gt;"",F187*G187,SUMIFS(I188:I$9909,$C188:$C$9909,"*"&amp;C187&amp;"*",$E188:$E$9909,"&lt;&gt;"))</f>
        <v>0</v>
      </c>
      <c r="J187" s="109">
        <f>IF($E187&lt;&gt;"",$F187*H187,SUMIFS(J188:J$9909,$C188:$C$9909,"*"&amp;$C187&amp;"*",$E188:$E$9909,"&lt;&gt;"))</f>
        <v>600</v>
      </c>
      <c r="K187" s="103">
        <f>IF(I187&gt;0,(I187-J187-I187*PARAMETROS!$C$19)/I187,0)</f>
        <v>0</v>
      </c>
      <c r="L187" s="104"/>
      <c r="M187" s="105"/>
      <c r="N187" s="102"/>
      <c r="O187" s="105"/>
      <c r="P187" s="105"/>
      <c r="Q187" s="105"/>
      <c r="R187" s="105"/>
      <c r="S187" s="105"/>
      <c r="T187" s="105"/>
      <c r="U187" s="105"/>
      <c r="V187" s="105"/>
      <c r="W187" s="105"/>
      <c r="X187" s="105"/>
    </row>
    <row r="188" spans="1:24" ht="15.75" customHeight="1" x14ac:dyDescent="0.3">
      <c r="A188" s="144" t="str">
        <f t="shared" si="3"/>
        <v/>
      </c>
      <c r="B188" s="145"/>
      <c r="C188" s="110" t="s">
        <v>437</v>
      </c>
      <c r="D188" s="111" t="s">
        <v>438</v>
      </c>
      <c r="E188" s="111" t="s">
        <v>194</v>
      </c>
      <c r="F188" s="112">
        <v>300</v>
      </c>
      <c r="G188" s="112">
        <v>0</v>
      </c>
      <c r="H188" s="112">
        <v>1</v>
      </c>
      <c r="I188" s="112">
        <f>IF(E188&lt;&gt;"",F188*G188,SUMIFS(I189:I$9909,$C189:$C$9909,"*"&amp;C188&amp;"*",$E189:$E$9909,"&lt;&gt;"))</f>
        <v>0</v>
      </c>
      <c r="J188" s="112">
        <f>IF($E188&lt;&gt;"",$F188*H188,SUMIFS(J189:J$9909,$C189:$C$9909,"*"&amp;$C188&amp;"*",$E189:$E$9909,"&lt;&gt;"))</f>
        <v>300</v>
      </c>
      <c r="K188" s="103">
        <f>IF(I188&gt;0,(I188-J188-I188*PARAMETROS!$C$19)/I188,0)</f>
        <v>0</v>
      </c>
      <c r="L188" s="104"/>
      <c r="M188" s="105"/>
      <c r="N188" s="109"/>
      <c r="O188" s="105"/>
      <c r="P188" s="105"/>
      <c r="Q188" s="105"/>
      <c r="R188" s="105"/>
      <c r="S188" s="105"/>
      <c r="T188" s="105"/>
      <c r="U188" s="105"/>
      <c r="V188" s="105"/>
      <c r="W188" s="105"/>
      <c r="X188" s="105">
        <v>0</v>
      </c>
    </row>
    <row r="189" spans="1:24" ht="15.75" customHeight="1" x14ac:dyDescent="0.3">
      <c r="A189" s="144" t="str">
        <f t="shared" si="3"/>
        <v/>
      </c>
      <c r="B189" s="145"/>
      <c r="C189" s="110" t="s">
        <v>439</v>
      </c>
      <c r="D189" s="111" t="s">
        <v>440</v>
      </c>
      <c r="E189" s="111" t="s">
        <v>194</v>
      </c>
      <c r="F189" s="112">
        <v>300</v>
      </c>
      <c r="G189" s="112">
        <v>0</v>
      </c>
      <c r="H189" s="112">
        <v>1</v>
      </c>
      <c r="I189" s="112">
        <f>IF(E189&lt;&gt;"",F189*G189,SUMIFS(I190:I$9909,$C190:$C$9909,"*"&amp;C189&amp;"*",$E190:$E$9909,"&lt;&gt;"))</f>
        <v>0</v>
      </c>
      <c r="J189" s="112">
        <f>IF($E189&lt;&gt;"",$F189*H189,SUMIFS(J190:J$9909,$C190:$C$9909,"*"&amp;$C189&amp;"*",$E190:$E$9909,"&lt;&gt;"))</f>
        <v>300</v>
      </c>
      <c r="K189" s="103">
        <f>IF(I189&gt;0,(I189-J189-I189*PARAMETROS!$C$19)/I189,0)</f>
        <v>0</v>
      </c>
      <c r="L189" s="104"/>
      <c r="M189" s="105"/>
      <c r="N189" s="112"/>
      <c r="O189" s="105"/>
      <c r="P189" s="105"/>
      <c r="Q189" s="105"/>
      <c r="R189" s="105"/>
      <c r="S189" s="105"/>
      <c r="T189" s="105"/>
      <c r="U189" s="105"/>
      <c r="V189" s="105"/>
      <c r="W189" s="105"/>
      <c r="X189" s="105">
        <v>0</v>
      </c>
    </row>
    <row r="190" spans="1:24" ht="15.75" hidden="1" customHeight="1" x14ac:dyDescent="0.3">
      <c r="A190" s="144" t="str">
        <f t="shared" si="3"/>
        <v/>
      </c>
      <c r="B190" s="145"/>
      <c r="C190" s="110" t="s">
        <v>441</v>
      </c>
      <c r="D190" s="111" t="s">
        <v>388</v>
      </c>
      <c r="E190" s="111" t="s">
        <v>194</v>
      </c>
      <c r="F190" s="112"/>
      <c r="G190" s="112">
        <v>0</v>
      </c>
      <c r="H190" s="112">
        <v>1</v>
      </c>
      <c r="I190" s="112">
        <f>IF(E190&lt;&gt;"",F190*G190,SUMIFS(I191:I$9909,$C191:$C$9909,"*"&amp;C190&amp;"*",$E191:$E$9909,"&lt;&gt;"))</f>
        <v>0</v>
      </c>
      <c r="J190" s="112">
        <f>IF($E190&lt;&gt;"",$F190*H190,SUMIFS(J191:J$9909,$C191:$C$9909,"*"&amp;$C190&amp;"*",$E191:$E$9909,"&lt;&gt;"))</f>
        <v>0</v>
      </c>
      <c r="K190" s="103">
        <f>IF(I190&gt;0,(I190-J190-I190*PARAMETROS!$C$19)/I190,0)</f>
        <v>0</v>
      </c>
      <c r="L190" s="104"/>
      <c r="M190" s="105"/>
      <c r="N190" s="112"/>
      <c r="O190" s="105"/>
      <c r="P190" s="105"/>
      <c r="Q190" s="105"/>
      <c r="R190" s="105"/>
      <c r="S190" s="105"/>
      <c r="T190" s="105"/>
      <c r="U190" s="105"/>
      <c r="V190" s="105"/>
      <c r="W190" s="105"/>
      <c r="X190" s="105">
        <v>0</v>
      </c>
    </row>
    <row r="191" spans="1:24" ht="15.75" hidden="1" customHeight="1" x14ac:dyDescent="0.3">
      <c r="A191" s="144" t="str">
        <f t="shared" si="3"/>
        <v/>
      </c>
      <c r="B191" s="145"/>
      <c r="C191" s="106" t="s">
        <v>442</v>
      </c>
      <c r="D191" s="107" t="s">
        <v>443</v>
      </c>
      <c r="E191" s="108"/>
      <c r="F191" s="109"/>
      <c r="G191" s="109"/>
      <c r="H191" s="109"/>
      <c r="I191" s="109">
        <f>IF(E191&lt;&gt;"",F191*G191,SUMIFS(I192:I$9909,$C192:$C$9909,"*"&amp;C191&amp;"*",$E192:$E$9909,"&lt;&gt;"))</f>
        <v>0</v>
      </c>
      <c r="J191" s="109">
        <f>IF($E191&lt;&gt;"",$F191*H191,SUMIFS(J192:J$9909,$C192:$C$9909,"*"&amp;$C191&amp;"*",$E192:$E$9909,"&lt;&gt;"))</f>
        <v>0</v>
      </c>
      <c r="K191" s="103">
        <f>IF(I191&gt;0,(I191-J191-I191*PARAMETROS!$C$19)/I191,0)</f>
        <v>0</v>
      </c>
      <c r="L191" s="104"/>
      <c r="M191" s="105"/>
      <c r="N191" s="112"/>
      <c r="O191" s="105"/>
      <c r="P191" s="105"/>
      <c r="Q191" s="105"/>
      <c r="R191" s="105"/>
      <c r="S191" s="105"/>
      <c r="T191" s="105"/>
      <c r="U191" s="105"/>
      <c r="V191" s="105"/>
      <c r="W191" s="105"/>
      <c r="X191" s="105"/>
    </row>
    <row r="192" spans="1:24" ht="15.75" hidden="1" customHeight="1" x14ac:dyDescent="0.3">
      <c r="A192" s="144" t="str">
        <f t="shared" si="3"/>
        <v/>
      </c>
      <c r="B192" s="145"/>
      <c r="C192" s="110" t="s">
        <v>444</v>
      </c>
      <c r="D192" s="111" t="s">
        <v>445</v>
      </c>
      <c r="E192" s="111" t="s">
        <v>194</v>
      </c>
      <c r="F192" s="112"/>
      <c r="G192" s="112">
        <v>0</v>
      </c>
      <c r="H192" s="112">
        <v>1</v>
      </c>
      <c r="I192" s="112">
        <f>IF(E192&lt;&gt;"",F192*G192,SUMIFS(I193:I$9909,$C193:$C$9909,"*"&amp;C192&amp;"*",$E193:$E$9909,"&lt;&gt;"))</f>
        <v>0</v>
      </c>
      <c r="J192" s="112">
        <f>IF($E192&lt;&gt;"",$F192*H192,SUMIFS(J193:J$9909,$C193:$C$9909,"*"&amp;$C192&amp;"*",$E193:$E$9909,"&lt;&gt;"))</f>
        <v>0</v>
      </c>
      <c r="K192" s="103">
        <f>IF(I192&gt;0,(I192-J192-I192*PARAMETROS!$C$19)/I192,0)</f>
        <v>0</v>
      </c>
      <c r="L192" s="104"/>
      <c r="M192" s="105"/>
      <c r="N192" s="112"/>
      <c r="O192" s="105"/>
      <c r="P192" s="105"/>
      <c r="Q192" s="105"/>
      <c r="R192" s="105"/>
      <c r="S192" s="105"/>
      <c r="T192" s="105"/>
      <c r="U192" s="105"/>
      <c r="V192" s="105"/>
      <c r="W192" s="105"/>
      <c r="X192" s="105">
        <v>0</v>
      </c>
    </row>
    <row r="193" spans="1:24" ht="15.75" customHeight="1" x14ac:dyDescent="0.3">
      <c r="A193" s="144" t="str">
        <f t="shared" si="3"/>
        <v/>
      </c>
      <c r="B193" s="145"/>
      <c r="C193" s="106" t="s">
        <v>446</v>
      </c>
      <c r="D193" s="107" t="s">
        <v>447</v>
      </c>
      <c r="E193" s="108"/>
      <c r="F193" s="109"/>
      <c r="G193" s="109"/>
      <c r="H193" s="109"/>
      <c r="I193" s="109">
        <f>IF(E193&lt;&gt;"",F193*G193,SUMIFS(I194:I$9909,$C194:$C$9909,"*"&amp;C193&amp;"*",$E194:$E$9909,"&lt;&gt;"))</f>
        <v>0</v>
      </c>
      <c r="J193" s="109">
        <f>IF($E193&lt;&gt;"",$F193*H193,SUMIFS(J194:J$9909,$C194:$C$9909,"*"&amp;$C193&amp;"*",$E194:$E$9909,"&lt;&gt;"))</f>
        <v>500</v>
      </c>
      <c r="K193" s="103">
        <f>IF(I193&gt;0,(I193-J193-I193*PARAMETROS!$C$19)/I193,0)</f>
        <v>0</v>
      </c>
      <c r="L193" s="104"/>
      <c r="M193" s="105"/>
      <c r="N193" s="112"/>
      <c r="O193" s="105"/>
      <c r="P193" s="105"/>
      <c r="Q193" s="105"/>
      <c r="R193" s="105"/>
      <c r="S193" s="105"/>
      <c r="T193" s="105"/>
      <c r="U193" s="105"/>
      <c r="V193" s="105"/>
      <c r="W193" s="105"/>
      <c r="X193" s="105"/>
    </row>
    <row r="194" spans="1:24" ht="15.75" customHeight="1" x14ac:dyDescent="0.3">
      <c r="A194" s="144" t="str">
        <f t="shared" si="3"/>
        <v/>
      </c>
      <c r="B194" s="145"/>
      <c r="C194" s="110" t="s">
        <v>448</v>
      </c>
      <c r="D194" s="111" t="s">
        <v>449</v>
      </c>
      <c r="E194" s="111" t="s">
        <v>194</v>
      </c>
      <c r="F194" s="112">
        <v>500</v>
      </c>
      <c r="G194" s="112">
        <v>0</v>
      </c>
      <c r="H194" s="112">
        <v>1</v>
      </c>
      <c r="I194" s="112">
        <f>IF(E194&lt;&gt;"",F194*G194,SUMIFS(I195:I$9909,$C195:$C$9909,"*"&amp;C194&amp;"*",$E195:$E$9909,"&lt;&gt;"))</f>
        <v>0</v>
      </c>
      <c r="J194" s="112">
        <f>IF($E194&lt;&gt;"",$F194*H194,SUMIFS(J195:J$9909,$C195:$C$9909,"*"&amp;$C194&amp;"*",$E195:$E$9909,"&lt;&gt;"))</f>
        <v>500</v>
      </c>
      <c r="K194" s="103">
        <f>IF(I194&gt;0,(I194-J194-I194*PARAMETROS!$C$19)/I194,0)</f>
        <v>0</v>
      </c>
      <c r="L194" s="104"/>
      <c r="M194" s="105"/>
      <c r="N194" s="112"/>
      <c r="O194" s="105"/>
      <c r="P194" s="105"/>
      <c r="Q194" s="105"/>
      <c r="R194" s="105"/>
      <c r="S194" s="105"/>
      <c r="T194" s="105"/>
      <c r="U194" s="105"/>
      <c r="V194" s="105"/>
      <c r="W194" s="105"/>
      <c r="X194" s="105">
        <v>0</v>
      </c>
    </row>
    <row r="195" spans="1:24" ht="15.75" hidden="1" customHeight="1" x14ac:dyDescent="0.3">
      <c r="A195" s="144" t="str">
        <f t="shared" si="3"/>
        <v/>
      </c>
      <c r="B195" s="145"/>
      <c r="C195" s="110" t="s">
        <v>450</v>
      </c>
      <c r="D195" s="111" t="s">
        <v>451</v>
      </c>
      <c r="E195" s="111" t="s">
        <v>194</v>
      </c>
      <c r="F195" s="112"/>
      <c r="G195" s="112">
        <v>0</v>
      </c>
      <c r="H195" s="112">
        <v>1</v>
      </c>
      <c r="I195" s="112">
        <f>IF(E195&lt;&gt;"",F195*G195,SUMIFS(I196:I$9909,$C196:$C$9909,"*"&amp;C195&amp;"*",$E196:$E$9909,"&lt;&gt;"))</f>
        <v>0</v>
      </c>
      <c r="J195" s="112">
        <f>IF($E195&lt;&gt;"",$F195*H195,SUMIFS(J196:J$9909,$C196:$C$9909,"*"&amp;$C195&amp;"*",$E196:$E$9909,"&lt;&gt;"))</f>
        <v>0</v>
      </c>
      <c r="K195" s="103">
        <f>IF(I195&gt;0,(I195-J195-I195*PARAMETROS!$C$19)/I195,0)</f>
        <v>0</v>
      </c>
      <c r="L195" s="104"/>
      <c r="M195" s="105"/>
      <c r="N195" s="112"/>
      <c r="O195" s="105"/>
      <c r="P195" s="105"/>
      <c r="Q195" s="105"/>
      <c r="R195" s="105"/>
      <c r="S195" s="105"/>
      <c r="T195" s="105"/>
      <c r="U195" s="105"/>
      <c r="V195" s="105"/>
      <c r="W195" s="105"/>
      <c r="X195" s="105">
        <v>0</v>
      </c>
    </row>
    <row r="196" spans="1:24" ht="15.75" hidden="1" customHeight="1" x14ac:dyDescent="0.3">
      <c r="A196" s="144" t="str">
        <f t="shared" si="3"/>
        <v/>
      </c>
      <c r="B196" s="145"/>
      <c r="C196" s="110" t="s">
        <v>452</v>
      </c>
      <c r="D196" s="111" t="s">
        <v>453</v>
      </c>
      <c r="E196" s="111" t="s">
        <v>194</v>
      </c>
      <c r="F196" s="112"/>
      <c r="G196" s="112">
        <v>0</v>
      </c>
      <c r="H196" s="112">
        <v>1</v>
      </c>
      <c r="I196" s="112">
        <f>IF(E196&lt;&gt;"",F196*G196,SUMIFS(I197:I$9909,$C197:$C$9909,"*"&amp;C196&amp;"*",$E197:$E$9909,"&lt;&gt;"))</f>
        <v>0</v>
      </c>
      <c r="J196" s="112">
        <f>IF($E196&lt;&gt;"",$F196*H196,SUMIFS(J197:J$9909,$C197:$C$9909,"*"&amp;$C196&amp;"*",$E197:$E$9909,"&lt;&gt;"))</f>
        <v>0</v>
      </c>
      <c r="K196" s="103">
        <f>IF(I196&gt;0,(I196-J196-I196*PARAMETROS!$C$19)/I196,0)</f>
        <v>0</v>
      </c>
      <c r="L196" s="104"/>
      <c r="M196" s="105"/>
      <c r="N196" s="112"/>
      <c r="O196" s="105"/>
      <c r="P196" s="105"/>
      <c r="Q196" s="105"/>
      <c r="R196" s="105"/>
      <c r="S196" s="105"/>
      <c r="T196" s="105"/>
      <c r="U196" s="105"/>
      <c r="V196" s="105"/>
      <c r="W196" s="105"/>
      <c r="X196" s="105">
        <v>0</v>
      </c>
    </row>
    <row r="197" spans="1:24" ht="15.75" customHeight="1" x14ac:dyDescent="0.3">
      <c r="A197" s="144" t="str">
        <f t="shared" si="3"/>
        <v/>
      </c>
      <c r="B197" s="145"/>
      <c r="C197" s="106" t="s">
        <v>454</v>
      </c>
      <c r="D197" s="107" t="s">
        <v>455</v>
      </c>
      <c r="E197" s="108"/>
      <c r="F197" s="109"/>
      <c r="G197" s="109"/>
      <c r="H197" s="109"/>
      <c r="I197" s="109">
        <f>IF(E197&lt;&gt;"",F197*G197,SUMIFS(I198:I$9909,$C198:$C$9909,"*"&amp;C197&amp;"*",$E198:$E$9909,"&lt;&gt;"))</f>
        <v>0</v>
      </c>
      <c r="J197" s="109">
        <f>IF($E197&lt;&gt;"",$F197*H197,SUMIFS(J198:J$9909,$C198:$C$9909,"*"&amp;$C197&amp;"*",$E198:$E$9909,"&lt;&gt;"))</f>
        <v>1500</v>
      </c>
      <c r="K197" s="103">
        <f>IF(I197&gt;0,(I197-J197-I197*PARAMETROS!$C$19)/I197,0)</f>
        <v>0</v>
      </c>
      <c r="L197" s="104"/>
      <c r="M197" s="105"/>
      <c r="N197" s="112"/>
      <c r="O197" s="105"/>
      <c r="P197" s="105"/>
      <c r="Q197" s="105"/>
      <c r="R197" s="105"/>
      <c r="S197" s="105"/>
      <c r="T197" s="105"/>
      <c r="U197" s="105"/>
      <c r="V197" s="105"/>
      <c r="W197" s="105"/>
      <c r="X197" s="105"/>
    </row>
    <row r="198" spans="1:24" ht="15.75" hidden="1" customHeight="1" x14ac:dyDescent="0.3">
      <c r="A198" s="144" t="str">
        <f t="shared" si="3"/>
        <v/>
      </c>
      <c r="B198" s="145"/>
      <c r="C198" s="110" t="s">
        <v>456</v>
      </c>
      <c r="D198" s="111" t="s">
        <v>457</v>
      </c>
      <c r="E198" s="111" t="s">
        <v>194</v>
      </c>
      <c r="F198" s="112"/>
      <c r="G198" s="112">
        <v>0</v>
      </c>
      <c r="H198" s="112">
        <v>1</v>
      </c>
      <c r="I198" s="112">
        <f>IF(E198&lt;&gt;"",F198*G198,SUMIFS(I199:I$9909,$C199:$C$9909,"*"&amp;C198&amp;"*",$E199:$E$9909,"&lt;&gt;"))</f>
        <v>0</v>
      </c>
      <c r="J198" s="112">
        <f>IF($E198&lt;&gt;"",$F198*H198,SUMIFS(J199:J$9909,$C199:$C$9909,"*"&amp;$C198&amp;"*",$E199:$E$9909,"&lt;&gt;"))</f>
        <v>0</v>
      </c>
      <c r="K198" s="103">
        <f>IF(I198&gt;0,(I198-J198-I198*PARAMETROS!$C$19)/I198,0)</f>
        <v>0</v>
      </c>
      <c r="L198" s="104"/>
      <c r="M198" s="105"/>
      <c r="N198" s="112"/>
      <c r="O198" s="105"/>
      <c r="P198" s="105"/>
      <c r="Q198" s="105"/>
      <c r="R198" s="105"/>
      <c r="S198" s="105"/>
      <c r="T198" s="105"/>
      <c r="U198" s="105"/>
      <c r="V198" s="105"/>
      <c r="W198" s="105"/>
      <c r="X198" s="105">
        <v>0</v>
      </c>
    </row>
    <row r="199" spans="1:24" ht="15.75" customHeight="1" x14ac:dyDescent="0.3">
      <c r="A199" s="144" t="str">
        <f t="shared" si="3"/>
        <v/>
      </c>
      <c r="B199" s="145"/>
      <c r="C199" s="110" t="s">
        <v>458</v>
      </c>
      <c r="D199" s="111" t="s">
        <v>459</v>
      </c>
      <c r="E199" s="111" t="s">
        <v>194</v>
      </c>
      <c r="F199" s="112">
        <v>1500</v>
      </c>
      <c r="G199" s="112">
        <v>0</v>
      </c>
      <c r="H199" s="112">
        <v>1</v>
      </c>
      <c r="I199" s="112">
        <f>IF(E199&lt;&gt;"",F199*G199,SUMIFS(I200:I$9909,$C200:$C$9909,"*"&amp;C199&amp;"*",$E200:$E$9909,"&lt;&gt;"))</f>
        <v>0</v>
      </c>
      <c r="J199" s="112">
        <f>IF($E199&lt;&gt;"",$F199*H199,SUMIFS(J200:J$9909,$C200:$C$9909,"*"&amp;$C199&amp;"*",$E200:$E$9909,"&lt;&gt;"))</f>
        <v>1500</v>
      </c>
      <c r="K199" s="103">
        <f>IF(I199&gt;0,(I199-J199-I199*PARAMETROS!$C$19)/I199,0)</f>
        <v>0</v>
      </c>
      <c r="L199" s="104"/>
      <c r="M199" s="105"/>
      <c r="N199" s="112"/>
      <c r="O199" s="105"/>
      <c r="P199" s="105"/>
      <c r="Q199" s="105"/>
      <c r="R199" s="105"/>
      <c r="S199" s="105"/>
      <c r="T199" s="105"/>
      <c r="U199" s="105"/>
      <c r="V199" s="105"/>
      <c r="W199" s="105"/>
      <c r="X199" s="105">
        <v>0</v>
      </c>
    </row>
    <row r="200" spans="1:24" ht="15.75" hidden="1" customHeight="1" x14ac:dyDescent="0.3">
      <c r="A200" s="144" t="str">
        <f t="shared" si="3"/>
        <v/>
      </c>
      <c r="B200" s="145"/>
      <c r="C200" s="106" t="s">
        <v>460</v>
      </c>
      <c r="D200" s="107" t="s">
        <v>461</v>
      </c>
      <c r="E200" s="108"/>
      <c r="F200" s="109"/>
      <c r="G200" s="109"/>
      <c r="H200" s="109"/>
      <c r="I200" s="109">
        <f>IF(E200&lt;&gt;"",F200*G200,SUMIFS(I201:I$9909,$C201:$C$9909,"*"&amp;C200&amp;"*",$E201:$E$9909,"&lt;&gt;"))</f>
        <v>0</v>
      </c>
      <c r="J200" s="109">
        <f>IF($E200&lt;&gt;"",$F200*H200,SUMIFS(J201:J$9909,$C201:$C$9909,"*"&amp;$C200&amp;"*",$E201:$E$9909,"&lt;&gt;"))</f>
        <v>0</v>
      </c>
      <c r="K200" s="103">
        <f>IF(I200&gt;0,(I200-J200-I200*PARAMETROS!$C$19)/I200,0)</f>
        <v>0</v>
      </c>
      <c r="L200" s="104"/>
      <c r="M200" s="105"/>
      <c r="N200" s="112"/>
      <c r="O200" s="105"/>
      <c r="P200" s="105"/>
      <c r="Q200" s="105"/>
      <c r="R200" s="105"/>
      <c r="S200" s="105"/>
      <c r="T200" s="105"/>
      <c r="U200" s="105"/>
      <c r="V200" s="105"/>
      <c r="W200" s="105"/>
      <c r="X200" s="105"/>
    </row>
    <row r="201" spans="1:24" ht="15.75" hidden="1" customHeight="1" x14ac:dyDescent="0.3">
      <c r="A201" s="144" t="str">
        <f t="shared" si="3"/>
        <v/>
      </c>
      <c r="B201" s="145"/>
      <c r="C201" s="106" t="s">
        <v>462</v>
      </c>
      <c r="D201" s="107" t="s">
        <v>410</v>
      </c>
      <c r="E201" s="108"/>
      <c r="F201" s="109"/>
      <c r="G201" s="109"/>
      <c r="H201" s="109"/>
      <c r="I201" s="109">
        <f>IF(E201&lt;&gt;"",F201*G201,SUMIFS(I202:I$9909,$C202:$C$9909,"*"&amp;C201&amp;"*",$E202:$E$9909,"&lt;&gt;"))</f>
        <v>0</v>
      </c>
      <c r="J201" s="109">
        <f>IF($E201&lt;&gt;"",$F201*H201,SUMIFS(J202:J$9909,$C202:$C$9909,"*"&amp;$C201&amp;"*",$E202:$E$9909,"&lt;&gt;"))</f>
        <v>0</v>
      </c>
      <c r="K201" s="103">
        <f>IF(I201&gt;0,(I201-J201-I201*PARAMETROS!$C$19)/I201,0)</f>
        <v>0</v>
      </c>
      <c r="L201" s="104"/>
      <c r="M201" s="105"/>
      <c r="N201" s="112"/>
      <c r="O201" s="105"/>
      <c r="P201" s="105"/>
      <c r="Q201" s="105"/>
      <c r="R201" s="105"/>
      <c r="S201" s="105"/>
      <c r="T201" s="105"/>
      <c r="U201" s="105"/>
      <c r="V201" s="105"/>
      <c r="W201" s="105"/>
      <c r="X201" s="105"/>
    </row>
    <row r="202" spans="1:24" ht="15.75" hidden="1" customHeight="1" x14ac:dyDescent="0.3">
      <c r="A202" s="144" t="str">
        <f t="shared" si="3"/>
        <v/>
      </c>
      <c r="B202" s="145"/>
      <c r="C202" s="110" t="s">
        <v>463</v>
      </c>
      <c r="D202" s="111" t="s">
        <v>464</v>
      </c>
      <c r="E202" s="111" t="s">
        <v>128</v>
      </c>
      <c r="F202" s="112"/>
      <c r="G202" s="112">
        <v>0</v>
      </c>
      <c r="H202" s="112">
        <v>3000</v>
      </c>
      <c r="I202" s="112">
        <f>IF(E202&lt;&gt;"",F202*G202,SUMIFS(I203:I$9909,$C203:$C$9909,"*"&amp;C202&amp;"*",$E203:$E$9909,"&lt;&gt;"))</f>
        <v>0</v>
      </c>
      <c r="J202" s="112">
        <f>IF($E202&lt;&gt;"",$F202*H202,SUMIFS(J203:J$9909,$C203:$C$9909,"*"&amp;$C202&amp;"*",$E203:$E$9909,"&lt;&gt;"))</f>
        <v>0</v>
      </c>
      <c r="K202" s="103">
        <f>IF(I202&gt;0,(I202-J202-I202*PARAMETROS!$C$19)/I202,0)</f>
        <v>0</v>
      </c>
      <c r="L202" s="104"/>
      <c r="M202" s="105"/>
      <c r="N202" s="112"/>
      <c r="O202" s="105"/>
      <c r="P202" s="105"/>
      <c r="Q202" s="105"/>
      <c r="R202" s="105"/>
      <c r="S202" s="105"/>
      <c r="T202" s="105"/>
      <c r="U202" s="105"/>
      <c r="V202" s="105"/>
      <c r="W202" s="105"/>
      <c r="X202" s="105">
        <v>0</v>
      </c>
    </row>
    <row r="203" spans="1:24" ht="15.75" hidden="1" customHeight="1" x14ac:dyDescent="0.3">
      <c r="A203" s="144" t="str">
        <f t="shared" si="3"/>
        <v/>
      </c>
      <c r="B203" s="145"/>
      <c r="C203" s="106" t="s">
        <v>465</v>
      </c>
      <c r="D203" s="107" t="s">
        <v>414</v>
      </c>
      <c r="E203" s="108"/>
      <c r="F203" s="109"/>
      <c r="G203" s="109"/>
      <c r="H203" s="109"/>
      <c r="I203" s="109">
        <f>IF(E203&lt;&gt;"",F203*G203,SUMIFS(I204:I$9909,$C204:$C$9909,"*"&amp;C203&amp;"*",$E204:$E$9909,"&lt;&gt;"))</f>
        <v>0</v>
      </c>
      <c r="J203" s="109">
        <f>IF($E203&lt;&gt;"",$F203*H203,SUMIFS(J204:J$9909,$C204:$C$9909,"*"&amp;$C203&amp;"*",$E204:$E$9909,"&lt;&gt;"))</f>
        <v>0</v>
      </c>
      <c r="K203" s="103">
        <f>IF(I203&gt;0,(I203-J203-I203*PARAMETROS!$C$19)/I203,0)</f>
        <v>0</v>
      </c>
      <c r="L203" s="104"/>
      <c r="M203" s="105"/>
      <c r="N203" s="112"/>
      <c r="O203" s="105"/>
      <c r="P203" s="105"/>
      <c r="Q203" s="105"/>
      <c r="R203" s="105"/>
      <c r="S203" s="105"/>
      <c r="T203" s="105"/>
      <c r="U203" s="105"/>
      <c r="V203" s="105"/>
      <c r="W203" s="105"/>
      <c r="X203" s="105"/>
    </row>
    <row r="204" spans="1:24" ht="15.75" hidden="1" customHeight="1" x14ac:dyDescent="0.3">
      <c r="A204" s="144" t="str">
        <f t="shared" si="3"/>
        <v/>
      </c>
      <c r="B204" s="145"/>
      <c r="C204" s="110" t="s">
        <v>466</v>
      </c>
      <c r="D204" s="111" t="s">
        <v>467</v>
      </c>
      <c r="E204" s="111" t="s">
        <v>167</v>
      </c>
      <c r="F204" s="112"/>
      <c r="G204" s="112">
        <v>0</v>
      </c>
      <c r="H204" s="112">
        <v>500</v>
      </c>
      <c r="I204" s="112">
        <f>IF(E204&lt;&gt;"",F204*G204,SUMIFS(I205:I$9909,$C205:$C$9909,"*"&amp;C204&amp;"*",$E205:$E$9909,"&lt;&gt;"))</f>
        <v>0</v>
      </c>
      <c r="J204" s="112">
        <f>IF($E204&lt;&gt;"",$F204*H204,SUMIFS(J205:J$9909,$C205:$C$9909,"*"&amp;$C204&amp;"*",$E205:$E$9909,"&lt;&gt;"))</f>
        <v>0</v>
      </c>
      <c r="K204" s="103">
        <f>IF(I204&gt;0,(I204-J204-I204*PARAMETROS!$C$19)/I204,0)</f>
        <v>0</v>
      </c>
      <c r="L204" s="104"/>
      <c r="M204" s="105"/>
      <c r="N204" s="112"/>
      <c r="O204" s="105"/>
      <c r="P204" s="105"/>
      <c r="Q204" s="105"/>
      <c r="R204" s="105"/>
      <c r="S204" s="105"/>
      <c r="T204" s="105"/>
      <c r="U204" s="105"/>
      <c r="V204" s="105"/>
      <c r="W204" s="105"/>
      <c r="X204" s="105">
        <v>0</v>
      </c>
    </row>
    <row r="205" spans="1:24" ht="15.75" hidden="1" customHeight="1" x14ac:dyDescent="0.3">
      <c r="A205" s="144" t="str">
        <f t="shared" si="3"/>
        <v/>
      </c>
      <c r="B205" s="145"/>
      <c r="C205" s="110" t="s">
        <v>468</v>
      </c>
      <c r="D205" s="111" t="s">
        <v>469</v>
      </c>
      <c r="E205" s="111" t="s">
        <v>167</v>
      </c>
      <c r="F205" s="112"/>
      <c r="G205" s="112">
        <v>0</v>
      </c>
      <c r="H205" s="112">
        <v>500</v>
      </c>
      <c r="I205" s="112">
        <f>IF(E205&lt;&gt;"",F205*G205,SUMIFS(I206:I$9909,$C206:$C$9909,"*"&amp;C205&amp;"*",$E206:$E$9909,"&lt;&gt;"))</f>
        <v>0</v>
      </c>
      <c r="J205" s="112">
        <f>IF($E205&lt;&gt;"",$F205*H205,SUMIFS(J206:J$9909,$C206:$C$9909,"*"&amp;$C205&amp;"*",$E206:$E$9909,"&lt;&gt;"))</f>
        <v>0</v>
      </c>
      <c r="K205" s="103">
        <f>IF(I205&gt;0,(I205-J205-I205*PARAMETROS!$C$19)/I205,0)</f>
        <v>0</v>
      </c>
      <c r="L205" s="104"/>
      <c r="M205" s="105"/>
      <c r="N205" s="112"/>
      <c r="O205" s="105"/>
      <c r="P205" s="105"/>
      <c r="Q205" s="105"/>
      <c r="R205" s="105"/>
      <c r="S205" s="105"/>
      <c r="T205" s="105"/>
      <c r="U205" s="105"/>
      <c r="V205" s="105"/>
      <c r="W205" s="105"/>
      <c r="X205" s="105">
        <v>0</v>
      </c>
    </row>
    <row r="206" spans="1:24" ht="15.75" hidden="1" customHeight="1" x14ac:dyDescent="0.3">
      <c r="A206" s="144" t="str">
        <f t="shared" si="3"/>
        <v/>
      </c>
      <c r="B206" s="145"/>
      <c r="C206" s="106" t="s">
        <v>470</v>
      </c>
      <c r="D206" s="107" t="s">
        <v>430</v>
      </c>
      <c r="E206" s="108"/>
      <c r="F206" s="109"/>
      <c r="G206" s="109"/>
      <c r="H206" s="109"/>
      <c r="I206" s="109">
        <f>IF(E206&lt;&gt;"",F206*G206,SUMIFS(I207:I$9909,$C207:$C$9909,"*"&amp;C206&amp;"*",$E207:$E$9909,"&lt;&gt;"))</f>
        <v>0</v>
      </c>
      <c r="J206" s="109">
        <f>IF($E206&lt;&gt;"",$F206*H206,SUMIFS(J207:J$9909,$C207:$C$9909,"*"&amp;$C206&amp;"*",$E207:$E$9909,"&lt;&gt;"))</f>
        <v>0</v>
      </c>
      <c r="K206" s="103">
        <f>IF(I206&gt;0,(I206-J206-I206*PARAMETROS!$C$19)/I206,0)</f>
        <v>0</v>
      </c>
      <c r="L206" s="104"/>
      <c r="M206" s="105"/>
      <c r="N206" s="112"/>
      <c r="O206" s="105"/>
      <c r="P206" s="105"/>
      <c r="Q206" s="105"/>
      <c r="R206" s="105"/>
      <c r="S206" s="105"/>
      <c r="T206" s="105"/>
      <c r="U206" s="105"/>
      <c r="V206" s="105"/>
      <c r="W206" s="105"/>
      <c r="X206" s="105"/>
    </row>
    <row r="207" spans="1:24" ht="15.75" hidden="1" customHeight="1" x14ac:dyDescent="0.3">
      <c r="A207" s="144" t="str">
        <f t="shared" si="3"/>
        <v/>
      </c>
      <c r="B207" s="145"/>
      <c r="C207" s="110" t="s">
        <v>471</v>
      </c>
      <c r="D207" s="111" t="s">
        <v>472</v>
      </c>
      <c r="E207" s="111" t="s">
        <v>167</v>
      </c>
      <c r="F207" s="112"/>
      <c r="G207" s="112">
        <v>0</v>
      </c>
      <c r="H207" s="112">
        <v>500</v>
      </c>
      <c r="I207" s="112">
        <f>IF(E207&lt;&gt;"",F207*G207,SUMIFS(I208:I$9909,$C208:$C$9909,"*"&amp;C207&amp;"*",$E208:$E$9909,"&lt;&gt;"))</f>
        <v>0</v>
      </c>
      <c r="J207" s="112">
        <f>IF($E207&lt;&gt;"",$F207*H207,SUMIFS(J208:J$9909,$C208:$C$9909,"*"&amp;$C207&amp;"*",$E208:$E$9909,"&lt;&gt;"))</f>
        <v>0</v>
      </c>
      <c r="K207" s="103">
        <f>IF(I207&gt;0,(I207-J207-I207*PARAMETROS!$C$19)/I207,0)</f>
        <v>0</v>
      </c>
      <c r="L207" s="104"/>
      <c r="M207" s="105"/>
      <c r="N207" s="112"/>
      <c r="O207" s="105"/>
      <c r="P207" s="105"/>
      <c r="Q207" s="105"/>
      <c r="R207" s="105"/>
      <c r="S207" s="105"/>
      <c r="T207" s="105"/>
      <c r="U207" s="105"/>
      <c r="V207" s="105"/>
      <c r="W207" s="105"/>
      <c r="X207" s="105">
        <v>0</v>
      </c>
    </row>
    <row r="208" spans="1:24" ht="15.75" hidden="1" customHeight="1" x14ac:dyDescent="0.3">
      <c r="A208" s="144" t="str">
        <f t="shared" si="3"/>
        <v/>
      </c>
      <c r="B208" s="145"/>
      <c r="C208" s="106" t="s">
        <v>473</v>
      </c>
      <c r="D208" s="107" t="s">
        <v>455</v>
      </c>
      <c r="E208" s="108"/>
      <c r="F208" s="109"/>
      <c r="G208" s="109"/>
      <c r="H208" s="109"/>
      <c r="I208" s="109">
        <f>IF(E208&lt;&gt;"",F208*G208,SUMIFS(I209:I$9909,$C209:$C$9909,"*"&amp;C208&amp;"*",$E209:$E$9909,"&lt;&gt;"))</f>
        <v>0</v>
      </c>
      <c r="J208" s="109">
        <f>IF($E208&lt;&gt;"",$F208*H208,SUMIFS(J209:J$9909,$C209:$C$9909,"*"&amp;$C208&amp;"*",$E209:$E$9909,"&lt;&gt;"))</f>
        <v>0</v>
      </c>
      <c r="K208" s="103">
        <f>IF(I208&gt;0,(I208-J208-I208*PARAMETROS!$C$19)/I208,0)</f>
        <v>0</v>
      </c>
      <c r="L208" s="104"/>
      <c r="M208" s="105"/>
      <c r="N208" s="112"/>
      <c r="O208" s="105"/>
      <c r="P208" s="105"/>
      <c r="Q208" s="105"/>
      <c r="R208" s="105"/>
      <c r="S208" s="105"/>
      <c r="T208" s="105"/>
      <c r="U208" s="105"/>
      <c r="V208" s="105"/>
      <c r="W208" s="105"/>
      <c r="X208" s="105"/>
    </row>
    <row r="209" spans="1:24" ht="15.75" hidden="1" customHeight="1" x14ac:dyDescent="0.3">
      <c r="A209" s="144" t="str">
        <f t="shared" si="3"/>
        <v/>
      </c>
      <c r="B209" s="145"/>
      <c r="C209" s="110" t="s">
        <v>474</v>
      </c>
      <c r="D209" s="111" t="s">
        <v>457</v>
      </c>
      <c r="E209" s="111" t="s">
        <v>194</v>
      </c>
      <c r="F209" s="112"/>
      <c r="G209" s="112">
        <v>0</v>
      </c>
      <c r="H209" s="112">
        <v>1</v>
      </c>
      <c r="I209" s="112">
        <f>IF(E209&lt;&gt;"",F209*G209,SUMIFS(I210:I$9909,$C210:$C$9909,"*"&amp;C209&amp;"*",$E210:$E$9909,"&lt;&gt;"))</f>
        <v>0</v>
      </c>
      <c r="J209" s="112">
        <f>IF($E209&lt;&gt;"",$F209*H209,SUMIFS(J210:J$9909,$C210:$C$9909,"*"&amp;$C209&amp;"*",$E210:$E$9909,"&lt;&gt;"))</f>
        <v>0</v>
      </c>
      <c r="K209" s="103">
        <f>IF(I209&gt;0,(I209-J209-I209*PARAMETROS!$C$19)/I209,0)</f>
        <v>0</v>
      </c>
      <c r="L209" s="104"/>
      <c r="M209" s="105"/>
      <c r="N209" s="112"/>
      <c r="O209" s="105"/>
      <c r="P209" s="105"/>
      <c r="Q209" s="105"/>
      <c r="R209" s="105"/>
      <c r="S209" s="105"/>
      <c r="T209" s="105"/>
      <c r="U209" s="105"/>
      <c r="V209" s="105"/>
      <c r="W209" s="105"/>
      <c r="X209" s="105">
        <v>0</v>
      </c>
    </row>
    <row r="210" spans="1:24" ht="15.75" hidden="1" customHeight="1" x14ac:dyDescent="0.3">
      <c r="A210" s="144" t="str">
        <f t="shared" si="3"/>
        <v/>
      </c>
      <c r="B210" s="145"/>
      <c r="C210" s="110" t="s">
        <v>475</v>
      </c>
      <c r="D210" s="111" t="s">
        <v>459</v>
      </c>
      <c r="E210" s="111" t="s">
        <v>194</v>
      </c>
      <c r="F210" s="112"/>
      <c r="G210" s="112">
        <v>0</v>
      </c>
      <c r="H210" s="112">
        <v>1</v>
      </c>
      <c r="I210" s="112">
        <f>IF(E210&lt;&gt;"",F210*G210,SUMIFS(I211:I$9909,$C211:$C$9909,"*"&amp;C210&amp;"*",$E211:$E$9909,"&lt;&gt;"))</f>
        <v>0</v>
      </c>
      <c r="J210" s="112">
        <f>IF($E210&lt;&gt;"",$F210*H210,SUMIFS(J211:J$9909,$C211:$C$9909,"*"&amp;$C210&amp;"*",$E211:$E$9909,"&lt;&gt;"))</f>
        <v>0</v>
      </c>
      <c r="K210" s="103">
        <f>IF(I210&gt;0,(I210-J210-I210*PARAMETROS!$C$19)/I210,0)</f>
        <v>0</v>
      </c>
      <c r="L210" s="104"/>
      <c r="M210" s="105"/>
      <c r="N210" s="112"/>
      <c r="O210" s="105"/>
      <c r="P210" s="105"/>
      <c r="Q210" s="105"/>
      <c r="R210" s="105"/>
      <c r="S210" s="105"/>
      <c r="T210" s="105"/>
      <c r="U210" s="105"/>
      <c r="V210" s="105"/>
      <c r="W210" s="105"/>
      <c r="X210" s="105">
        <v>0</v>
      </c>
    </row>
    <row r="211" spans="1:24" ht="15.75" hidden="1" customHeight="1" x14ac:dyDescent="0.3">
      <c r="A211" s="144" t="str">
        <f t="shared" si="3"/>
        <v/>
      </c>
      <c r="B211" s="145"/>
      <c r="C211" s="110" t="s">
        <v>476</v>
      </c>
      <c r="D211" s="111" t="s">
        <v>477</v>
      </c>
      <c r="E211" s="111" t="s">
        <v>194</v>
      </c>
      <c r="F211" s="112"/>
      <c r="G211" s="112">
        <v>0</v>
      </c>
      <c r="H211" s="112">
        <v>1</v>
      </c>
      <c r="I211" s="112">
        <f>IF(E211&lt;&gt;"",F211*G211,SUMIFS(I212:I$9909,$C212:$C$9909,"*"&amp;C211&amp;"*",$E212:$E$9909,"&lt;&gt;"))</f>
        <v>0</v>
      </c>
      <c r="J211" s="112">
        <f>IF($E211&lt;&gt;"",$F211*H211,SUMIFS(J212:J$9909,$C212:$C$9909,"*"&amp;$C211&amp;"*",$E212:$E$9909,"&lt;&gt;"))</f>
        <v>0</v>
      </c>
      <c r="K211" s="103">
        <f>IF(I211&gt;0,(I211-J211-I211*PARAMETROS!$C$19)/I211,0)</f>
        <v>0</v>
      </c>
      <c r="L211" s="104"/>
      <c r="M211" s="105"/>
      <c r="N211" s="112"/>
      <c r="O211" s="105"/>
      <c r="P211" s="105"/>
      <c r="Q211" s="105"/>
      <c r="R211" s="105"/>
      <c r="S211" s="105"/>
      <c r="T211" s="105"/>
      <c r="U211" s="105"/>
      <c r="V211" s="105"/>
      <c r="W211" s="105"/>
      <c r="X211" s="105">
        <v>0</v>
      </c>
    </row>
    <row r="212" spans="1:24" ht="15.75" hidden="1" customHeight="1" x14ac:dyDescent="0.3">
      <c r="A212" s="144" t="str">
        <f t="shared" si="3"/>
        <v/>
      </c>
      <c r="B212" s="145"/>
      <c r="C212" s="106" t="s">
        <v>478</v>
      </c>
      <c r="D212" s="107" t="s">
        <v>479</v>
      </c>
      <c r="E212" s="108"/>
      <c r="F212" s="109"/>
      <c r="G212" s="109"/>
      <c r="H212" s="109"/>
      <c r="I212" s="109">
        <f>IF(E212&lt;&gt;"",F212*G212,SUMIFS(I213:I$9909,$C213:$C$9909,"*"&amp;C212&amp;"*",$E213:$E$9909,"&lt;&gt;"))</f>
        <v>0</v>
      </c>
      <c r="J212" s="109">
        <f>IF($E212&lt;&gt;"",$F212*H212,SUMIFS(J213:J$9909,$C213:$C$9909,"*"&amp;$C212&amp;"*",$E213:$E$9909,"&lt;&gt;"))</f>
        <v>0</v>
      </c>
      <c r="K212" s="103">
        <f>IF(I212&gt;0,(I212-J212-I212*PARAMETROS!$C$19)/I212,0)</f>
        <v>0</v>
      </c>
      <c r="L212" s="104"/>
      <c r="M212" s="105"/>
      <c r="N212" s="112"/>
      <c r="O212" s="105"/>
      <c r="P212" s="105"/>
      <c r="Q212" s="105"/>
      <c r="R212" s="105"/>
      <c r="S212" s="105"/>
      <c r="T212" s="105"/>
      <c r="U212" s="105"/>
      <c r="V212" s="105"/>
      <c r="W212" s="105"/>
      <c r="X212" s="105"/>
    </row>
    <row r="213" spans="1:24" ht="15.75" hidden="1" customHeight="1" x14ac:dyDescent="0.3">
      <c r="A213" s="144" t="str">
        <f t="shared" si="3"/>
        <v/>
      </c>
      <c r="B213" s="145"/>
      <c r="C213" s="106" t="s">
        <v>480</v>
      </c>
      <c r="D213" s="107" t="s">
        <v>410</v>
      </c>
      <c r="E213" s="108"/>
      <c r="F213" s="109"/>
      <c r="G213" s="109"/>
      <c r="H213" s="109"/>
      <c r="I213" s="109">
        <f>IF(E213&lt;&gt;"",F213*G213,SUMIFS(I214:I$9909,$C214:$C$9909,"*"&amp;C213&amp;"*",$E214:$E$9909,"&lt;&gt;"))</f>
        <v>0</v>
      </c>
      <c r="J213" s="109">
        <f>IF($E213&lt;&gt;"",$F213*H213,SUMIFS(J214:J$9909,$C214:$C$9909,"*"&amp;$C213&amp;"*",$E214:$E$9909,"&lt;&gt;"))</f>
        <v>0</v>
      </c>
      <c r="K213" s="103">
        <f>IF(I213&gt;0,(I213-J213-I213*PARAMETROS!$C$19)/I213,0)</f>
        <v>0</v>
      </c>
      <c r="L213" s="104"/>
      <c r="M213" s="105"/>
      <c r="N213" s="112"/>
      <c r="O213" s="105"/>
      <c r="P213" s="105"/>
      <c r="Q213" s="105"/>
      <c r="R213" s="105"/>
      <c r="S213" s="105"/>
      <c r="T213" s="105"/>
      <c r="U213" s="105"/>
      <c r="V213" s="105"/>
      <c r="W213" s="105"/>
      <c r="X213" s="105"/>
    </row>
    <row r="214" spans="1:24" ht="15.75" hidden="1" customHeight="1" x14ac:dyDescent="0.3">
      <c r="A214" s="144" t="str">
        <f t="shared" si="3"/>
        <v/>
      </c>
      <c r="B214" s="145"/>
      <c r="C214" s="110" t="s">
        <v>481</v>
      </c>
      <c r="D214" s="111" t="s">
        <v>482</v>
      </c>
      <c r="E214" s="111" t="s">
        <v>194</v>
      </c>
      <c r="F214" s="112"/>
      <c r="G214" s="112">
        <v>0</v>
      </c>
      <c r="H214" s="112">
        <v>1</v>
      </c>
      <c r="I214" s="112">
        <f>IF(E214&lt;&gt;"",F214*G214,SUMIFS(I215:I$9909,$C215:$C$9909,"*"&amp;C214&amp;"*",$E215:$E$9909,"&lt;&gt;"))</f>
        <v>0</v>
      </c>
      <c r="J214" s="112">
        <f>IF($E214&lt;&gt;"",$F214*H214,SUMIFS(J215:J$9909,$C215:$C$9909,"*"&amp;$C214&amp;"*",$E215:$E$9909,"&lt;&gt;"))</f>
        <v>0</v>
      </c>
      <c r="K214" s="103">
        <f>IF(I214&gt;0,(I214-J214-I214*PARAMETROS!$C$19)/I214,0)</f>
        <v>0</v>
      </c>
      <c r="L214" s="104"/>
      <c r="M214" s="105"/>
      <c r="N214" s="112"/>
      <c r="O214" s="105"/>
      <c r="P214" s="105"/>
      <c r="Q214" s="105"/>
      <c r="R214" s="105"/>
      <c r="S214" s="105"/>
      <c r="T214" s="105"/>
      <c r="U214" s="105"/>
      <c r="V214" s="105"/>
      <c r="W214" s="105"/>
      <c r="X214" s="105">
        <v>0</v>
      </c>
    </row>
    <row r="215" spans="1:24" ht="15.75" hidden="1" customHeight="1" x14ac:dyDescent="0.3">
      <c r="A215" s="144" t="str">
        <f t="shared" si="3"/>
        <v/>
      </c>
      <c r="B215" s="145"/>
      <c r="C215" s="106" t="s">
        <v>483</v>
      </c>
      <c r="D215" s="107" t="s">
        <v>414</v>
      </c>
      <c r="E215" s="108"/>
      <c r="F215" s="109"/>
      <c r="G215" s="109"/>
      <c r="H215" s="109"/>
      <c r="I215" s="109">
        <f>IF(E215&lt;&gt;"",F215*G215,SUMIFS(I216:I$9909,$C216:$C$9909,"*"&amp;C215&amp;"*",$E216:$E$9909,"&lt;&gt;"))</f>
        <v>0</v>
      </c>
      <c r="J215" s="109">
        <f>IF($E215&lt;&gt;"",$F215*H215,SUMIFS(J216:J$9909,$C216:$C$9909,"*"&amp;$C215&amp;"*",$E216:$E$9909,"&lt;&gt;"))</f>
        <v>0</v>
      </c>
      <c r="K215" s="103">
        <f>IF(I215&gt;0,(I215-J215-I215*PARAMETROS!$C$19)/I215,0)</f>
        <v>0</v>
      </c>
      <c r="L215" s="104"/>
      <c r="M215" s="105"/>
      <c r="N215" s="112"/>
      <c r="O215" s="105"/>
      <c r="P215" s="105"/>
      <c r="Q215" s="105"/>
      <c r="R215" s="105"/>
      <c r="S215" s="105"/>
      <c r="T215" s="105"/>
      <c r="U215" s="105"/>
      <c r="V215" s="105"/>
      <c r="W215" s="105"/>
      <c r="X215" s="105"/>
    </row>
    <row r="216" spans="1:24" ht="15.75" hidden="1" customHeight="1" x14ac:dyDescent="0.3">
      <c r="A216" s="144" t="str">
        <f t="shared" si="3"/>
        <v/>
      </c>
      <c r="B216" s="145"/>
      <c r="C216" s="110" t="s">
        <v>484</v>
      </c>
      <c r="D216" s="111" t="s">
        <v>485</v>
      </c>
      <c r="E216" s="111" t="s">
        <v>194</v>
      </c>
      <c r="F216" s="112"/>
      <c r="G216" s="112">
        <v>0</v>
      </c>
      <c r="H216" s="112">
        <v>1</v>
      </c>
      <c r="I216" s="112">
        <f>IF(E216&lt;&gt;"",F216*G216,SUMIFS(I217:I$9909,$C217:$C$9909,"*"&amp;C216&amp;"*",$E217:$E$9909,"&lt;&gt;"))</f>
        <v>0</v>
      </c>
      <c r="J216" s="112">
        <f>IF($E216&lt;&gt;"",$F216*H216,SUMIFS(J217:J$9909,$C217:$C$9909,"*"&amp;$C216&amp;"*",$E217:$E$9909,"&lt;&gt;"))</f>
        <v>0</v>
      </c>
      <c r="K216" s="103">
        <f>IF(I216&gt;0,(I216-J216-I216*PARAMETROS!$C$19)/I216,0)</f>
        <v>0</v>
      </c>
      <c r="L216" s="104"/>
      <c r="M216" s="105"/>
      <c r="N216" s="112"/>
      <c r="O216" s="105"/>
      <c r="P216" s="105"/>
      <c r="Q216" s="105"/>
      <c r="R216" s="105"/>
      <c r="S216" s="105"/>
      <c r="T216" s="105"/>
      <c r="U216" s="105"/>
      <c r="V216" s="105"/>
      <c r="W216" s="105"/>
      <c r="X216" s="105">
        <v>0</v>
      </c>
    </row>
    <row r="217" spans="1:24" ht="15.75" hidden="1" customHeight="1" x14ac:dyDescent="0.3">
      <c r="A217" s="144" t="str">
        <f t="shared" si="3"/>
        <v/>
      </c>
      <c r="B217" s="145"/>
      <c r="C217" s="110" t="s">
        <v>486</v>
      </c>
      <c r="D217" s="111" t="s">
        <v>487</v>
      </c>
      <c r="E217" s="111" t="s">
        <v>194</v>
      </c>
      <c r="F217" s="112"/>
      <c r="G217" s="112">
        <v>0</v>
      </c>
      <c r="H217" s="112">
        <v>1</v>
      </c>
      <c r="I217" s="112">
        <f>IF(E217&lt;&gt;"",F217*G217,SUMIFS(I218:I$9909,$C218:$C$9909,"*"&amp;C217&amp;"*",$E218:$E$9909,"&lt;&gt;"))</f>
        <v>0</v>
      </c>
      <c r="J217" s="112">
        <f>IF($E217&lt;&gt;"",$F217*H217,SUMIFS(J218:J$9909,$C218:$C$9909,"*"&amp;$C217&amp;"*",$E218:$E$9909,"&lt;&gt;"))</f>
        <v>0</v>
      </c>
      <c r="K217" s="103">
        <f>IF(I217&gt;0,(I217-J217-I217*PARAMETROS!$C$19)/I217,0)</f>
        <v>0</v>
      </c>
      <c r="L217" s="104"/>
      <c r="M217" s="105"/>
      <c r="N217" s="112"/>
      <c r="O217" s="105"/>
      <c r="P217" s="105"/>
      <c r="Q217" s="105"/>
      <c r="R217" s="105"/>
      <c r="S217" s="105"/>
      <c r="T217" s="105"/>
      <c r="U217" s="105"/>
      <c r="V217" s="105"/>
      <c r="W217" s="105"/>
      <c r="X217" s="105">
        <v>0</v>
      </c>
    </row>
    <row r="218" spans="1:24" ht="15.75" hidden="1" customHeight="1" x14ac:dyDescent="0.3">
      <c r="A218" s="144" t="str">
        <f t="shared" si="3"/>
        <v/>
      </c>
      <c r="B218" s="145"/>
      <c r="C218" s="106" t="s">
        <v>488</v>
      </c>
      <c r="D218" s="107" t="s">
        <v>424</v>
      </c>
      <c r="E218" s="108"/>
      <c r="F218" s="109"/>
      <c r="G218" s="109"/>
      <c r="H218" s="109"/>
      <c r="I218" s="109">
        <f>IF(E218&lt;&gt;"",F218*G218,SUMIFS(I219:I$9909,$C219:$C$9909,"*"&amp;C218&amp;"*",$E219:$E$9909,"&lt;&gt;"))</f>
        <v>0</v>
      </c>
      <c r="J218" s="109">
        <f>IF($E218&lt;&gt;"",$F218*H218,SUMIFS(J219:J$9909,$C219:$C$9909,"*"&amp;$C218&amp;"*",$E219:$E$9909,"&lt;&gt;"))</f>
        <v>0</v>
      </c>
      <c r="K218" s="103">
        <f>IF(I218&gt;0,(I218-J218-I218*PARAMETROS!$C$19)/I218,0)</f>
        <v>0</v>
      </c>
      <c r="L218" s="104"/>
      <c r="M218" s="105"/>
      <c r="N218" s="112"/>
      <c r="O218" s="105"/>
      <c r="P218" s="105"/>
      <c r="Q218" s="105"/>
      <c r="R218" s="105"/>
      <c r="S218" s="105"/>
      <c r="T218" s="105"/>
      <c r="U218" s="105"/>
      <c r="V218" s="105"/>
      <c r="W218" s="105"/>
      <c r="X218" s="105"/>
    </row>
    <row r="219" spans="1:24" ht="15.75" hidden="1" customHeight="1" x14ac:dyDescent="0.3">
      <c r="A219" s="144" t="str">
        <f t="shared" si="3"/>
        <v/>
      </c>
      <c r="B219" s="145"/>
      <c r="C219" s="110" t="s">
        <v>489</v>
      </c>
      <c r="D219" s="111" t="s">
        <v>426</v>
      </c>
      <c r="E219" s="111" t="s">
        <v>194</v>
      </c>
      <c r="F219" s="112"/>
      <c r="G219" s="112">
        <v>0</v>
      </c>
      <c r="H219" s="112">
        <v>1</v>
      </c>
      <c r="I219" s="112">
        <f>IF(E219&lt;&gt;"",F219*G219,SUMIFS(I220:I$9909,$C220:$C$9909,"*"&amp;C219&amp;"*",$E220:$E$9909,"&lt;&gt;"))</f>
        <v>0</v>
      </c>
      <c r="J219" s="112">
        <f>IF($E219&lt;&gt;"",$F219*H219,SUMIFS(J220:J$9909,$C220:$C$9909,"*"&amp;$C219&amp;"*",$E220:$E$9909,"&lt;&gt;"))</f>
        <v>0</v>
      </c>
      <c r="K219" s="103">
        <f>IF(I219&gt;0,(I219-J219-I219*PARAMETROS!$C$19)/I219,0)</f>
        <v>0</v>
      </c>
      <c r="L219" s="104"/>
      <c r="M219" s="105"/>
      <c r="N219" s="112"/>
      <c r="O219" s="105"/>
      <c r="P219" s="105"/>
      <c r="Q219" s="105"/>
      <c r="R219" s="105"/>
      <c r="S219" s="105"/>
      <c r="T219" s="105"/>
      <c r="U219" s="105"/>
      <c r="V219" s="105"/>
      <c r="W219" s="105"/>
      <c r="X219" s="105">
        <v>0</v>
      </c>
    </row>
    <row r="220" spans="1:24" ht="15.75" hidden="1" customHeight="1" x14ac:dyDescent="0.3">
      <c r="A220" s="144" t="str">
        <f t="shared" si="3"/>
        <v/>
      </c>
      <c r="B220" s="145"/>
      <c r="C220" s="110" t="s">
        <v>490</v>
      </c>
      <c r="D220" s="111" t="s">
        <v>428</v>
      </c>
      <c r="E220" s="111" t="s">
        <v>194</v>
      </c>
      <c r="F220" s="112"/>
      <c r="G220" s="112">
        <v>0</v>
      </c>
      <c r="H220" s="112">
        <v>1</v>
      </c>
      <c r="I220" s="112">
        <f>IF(E220&lt;&gt;"",F220*G220,SUMIFS(I221:I$9909,$C221:$C$9909,"*"&amp;C220&amp;"*",$E221:$E$9909,"&lt;&gt;"))</f>
        <v>0</v>
      </c>
      <c r="J220" s="112">
        <f>IF($E220&lt;&gt;"",$F220*H220,SUMIFS(J221:J$9909,$C221:$C$9909,"*"&amp;$C220&amp;"*",$E221:$E$9909,"&lt;&gt;"))</f>
        <v>0</v>
      </c>
      <c r="K220" s="103">
        <f>IF(I220&gt;0,(I220-J220-I220*PARAMETROS!$C$19)/I220,0)</f>
        <v>0</v>
      </c>
      <c r="L220" s="104"/>
      <c r="M220" s="105"/>
      <c r="N220" s="112"/>
      <c r="O220" s="105"/>
      <c r="P220" s="105"/>
      <c r="Q220" s="105"/>
      <c r="R220" s="105"/>
      <c r="S220" s="105"/>
      <c r="T220" s="105"/>
      <c r="U220" s="105"/>
      <c r="V220" s="105"/>
      <c r="W220" s="105"/>
      <c r="X220" s="105">
        <v>0</v>
      </c>
    </row>
    <row r="221" spans="1:24" ht="15.75" hidden="1" customHeight="1" x14ac:dyDescent="0.3">
      <c r="A221" s="144" t="str">
        <f t="shared" si="3"/>
        <v/>
      </c>
      <c r="B221" s="145"/>
      <c r="C221" s="106" t="s">
        <v>491</v>
      </c>
      <c r="D221" s="107" t="s">
        <v>455</v>
      </c>
      <c r="E221" s="108"/>
      <c r="F221" s="109"/>
      <c r="G221" s="109"/>
      <c r="H221" s="109"/>
      <c r="I221" s="109">
        <f>IF(E221&lt;&gt;"",F221*G221,SUMIFS(I222:I$9909,$C222:$C$9909,"*"&amp;C221&amp;"*",$E222:$E$9909,"&lt;&gt;"))</f>
        <v>0</v>
      </c>
      <c r="J221" s="109">
        <f>IF($E221&lt;&gt;"",$F221*H221,SUMIFS(J222:J$9909,$C222:$C$9909,"*"&amp;$C221&amp;"*",$E222:$E$9909,"&lt;&gt;"))</f>
        <v>0</v>
      </c>
      <c r="K221" s="103">
        <f>IF(I221&gt;0,(I221-J221-I221*PARAMETROS!$C$19)/I221,0)</f>
        <v>0</v>
      </c>
      <c r="L221" s="104"/>
      <c r="M221" s="105"/>
      <c r="N221" s="112"/>
      <c r="O221" s="105"/>
      <c r="P221" s="105"/>
      <c r="Q221" s="105"/>
      <c r="R221" s="105"/>
      <c r="S221" s="105"/>
      <c r="T221" s="105"/>
      <c r="U221" s="105"/>
      <c r="V221" s="105"/>
      <c r="W221" s="105"/>
      <c r="X221" s="105"/>
    </row>
    <row r="222" spans="1:24" ht="15.75" hidden="1" customHeight="1" x14ac:dyDescent="0.3">
      <c r="A222" s="144" t="str">
        <f t="shared" si="3"/>
        <v/>
      </c>
      <c r="B222" s="145"/>
      <c r="C222" s="110" t="s">
        <v>492</v>
      </c>
      <c r="D222" s="111" t="s">
        <v>457</v>
      </c>
      <c r="E222" s="111" t="s">
        <v>194</v>
      </c>
      <c r="F222" s="112"/>
      <c r="G222" s="112">
        <v>0</v>
      </c>
      <c r="H222" s="112">
        <v>1</v>
      </c>
      <c r="I222" s="112">
        <f>IF(E222&lt;&gt;"",F222*G222,SUMIFS(I223:I$9909,$C223:$C$9909,"*"&amp;C222&amp;"*",$E223:$E$9909,"&lt;&gt;"))</f>
        <v>0</v>
      </c>
      <c r="J222" s="112">
        <f>IF($E222&lt;&gt;"",$F222*H222,SUMIFS(J223:J$9909,$C223:$C$9909,"*"&amp;$C222&amp;"*",$E223:$E$9909,"&lt;&gt;"))</f>
        <v>0</v>
      </c>
      <c r="K222" s="103">
        <f>IF(I222&gt;0,(I222-J222-I222*PARAMETROS!$C$19)/I222,0)</f>
        <v>0</v>
      </c>
      <c r="L222" s="104"/>
      <c r="M222" s="105"/>
      <c r="N222" s="112"/>
      <c r="O222" s="105"/>
      <c r="P222" s="105"/>
      <c r="Q222" s="105"/>
      <c r="R222" s="105"/>
      <c r="S222" s="105"/>
      <c r="T222" s="105"/>
      <c r="U222" s="105"/>
      <c r="V222" s="105"/>
      <c r="W222" s="105"/>
      <c r="X222" s="105">
        <v>0</v>
      </c>
    </row>
    <row r="223" spans="1:24" ht="15.75" hidden="1" customHeight="1" x14ac:dyDescent="0.3">
      <c r="A223" s="144" t="str">
        <f t="shared" si="3"/>
        <v/>
      </c>
      <c r="B223" s="145"/>
      <c r="C223" s="110" t="s">
        <v>493</v>
      </c>
      <c r="D223" s="111" t="s">
        <v>459</v>
      </c>
      <c r="E223" s="111" t="s">
        <v>194</v>
      </c>
      <c r="F223" s="112"/>
      <c r="G223" s="112">
        <v>0</v>
      </c>
      <c r="H223" s="112">
        <v>1</v>
      </c>
      <c r="I223" s="112">
        <f>IF(E223&lt;&gt;"",F223*G223,SUMIFS(I224:I$9909,$C224:$C$9909,"*"&amp;C223&amp;"*",$E224:$E$9909,"&lt;&gt;"))</f>
        <v>0</v>
      </c>
      <c r="J223" s="112">
        <f>IF($E223&lt;&gt;"",$F223*H223,SUMIFS(J224:J$9909,$C224:$C$9909,"*"&amp;$C223&amp;"*",$E224:$E$9909,"&lt;&gt;"))</f>
        <v>0</v>
      </c>
      <c r="K223" s="103">
        <f>IF(I223&gt;0,(I223-J223-I223*PARAMETROS!$C$19)/I223,0)</f>
        <v>0</v>
      </c>
      <c r="L223" s="104"/>
      <c r="M223" s="105"/>
      <c r="N223" s="112"/>
      <c r="O223" s="105"/>
      <c r="P223" s="105"/>
      <c r="Q223" s="105"/>
      <c r="R223" s="105"/>
      <c r="S223" s="105"/>
      <c r="T223" s="105"/>
      <c r="U223" s="105"/>
      <c r="V223" s="105"/>
      <c r="W223" s="105"/>
      <c r="X223" s="105">
        <v>0</v>
      </c>
    </row>
    <row r="224" spans="1:24" s="48" customFormat="1" ht="15.75" customHeight="1" x14ac:dyDescent="0.3">
      <c r="A224" s="361" t="str">
        <f t="shared" si="3"/>
        <v/>
      </c>
      <c r="B224" s="362"/>
      <c r="C224" s="357" t="s">
        <v>494</v>
      </c>
      <c r="D224" s="358" t="s">
        <v>495</v>
      </c>
      <c r="E224" s="359"/>
      <c r="F224" s="360"/>
      <c r="G224" s="360"/>
      <c r="H224" s="360"/>
      <c r="I224" s="360">
        <f>IF(E224&lt;&gt;"",F224*G224,SUMIFS(I225:I$9909,$C225:$C$9909,"*"&amp;C224&amp;"*",$E225:$E$9909,"&lt;&gt;"))</f>
        <v>0</v>
      </c>
      <c r="J224" s="360">
        <f>IF($E224&lt;&gt;"",$F224*H224,SUMIFS(J225:J$9909,$C225:$C$9909,"*"&amp;$C224&amp;"*",$E225:$E$9909,"&lt;&gt;"))</f>
        <v>54000</v>
      </c>
      <c r="K224" s="128">
        <f>IF(I224&gt;0,(I224-J224-I224*PARAMETROS!$C$19)/I224,0)</f>
        <v>0</v>
      </c>
      <c r="L224" s="363" t="s">
        <v>122</v>
      </c>
      <c r="M224" s="364"/>
      <c r="N224" s="365"/>
      <c r="O224" s="364"/>
      <c r="P224" s="364"/>
      <c r="Q224" s="364"/>
      <c r="R224" s="364"/>
      <c r="S224" s="364"/>
      <c r="T224" s="364"/>
      <c r="U224" s="364"/>
      <c r="V224" s="364"/>
      <c r="W224" s="364"/>
      <c r="X224" s="364"/>
    </row>
    <row r="225" spans="1:24" ht="15.75" hidden="1" customHeight="1" x14ac:dyDescent="0.3">
      <c r="A225" s="144" t="str">
        <f t="shared" si="3"/>
        <v/>
      </c>
      <c r="B225" s="145"/>
      <c r="C225" s="106" t="s">
        <v>496</v>
      </c>
      <c r="D225" s="107" t="s">
        <v>497</v>
      </c>
      <c r="E225" s="108"/>
      <c r="F225" s="109"/>
      <c r="G225" s="109"/>
      <c r="H225" s="109"/>
      <c r="I225" s="109">
        <f>IF(E225&lt;&gt;"",F225*G225,SUMIFS(I226:I$9909,$C226:$C$9909,"*"&amp;C225&amp;"*",$E226:$E$9909,"&lt;&gt;"))</f>
        <v>0</v>
      </c>
      <c r="J225" s="109">
        <f>IF($E225&lt;&gt;"",$F225*H225,SUMIFS(J226:J$9909,$C226:$C$9909,"*"&amp;$C225&amp;"*",$E226:$E$9909,"&lt;&gt;"))</f>
        <v>0</v>
      </c>
      <c r="K225" s="103">
        <f>IF(I225&gt;0,(I225-J225-I225*PARAMETROS!$C$19)/I225,0)</f>
        <v>0</v>
      </c>
      <c r="L225" s="104"/>
      <c r="M225" s="105"/>
      <c r="N225" s="112"/>
      <c r="O225" s="105"/>
      <c r="P225" s="105"/>
      <c r="Q225" s="105"/>
      <c r="R225" s="105"/>
      <c r="S225" s="105"/>
      <c r="T225" s="105"/>
      <c r="U225" s="105"/>
      <c r="V225" s="105"/>
      <c r="W225" s="105"/>
      <c r="X225" s="105"/>
    </row>
    <row r="226" spans="1:24" ht="15.75" hidden="1" customHeight="1" x14ac:dyDescent="0.3">
      <c r="A226" s="144" t="str">
        <f t="shared" si="3"/>
        <v/>
      </c>
      <c r="B226" s="145"/>
      <c r="C226" s="110" t="s">
        <v>498</v>
      </c>
      <c r="D226" s="111" t="s">
        <v>499</v>
      </c>
      <c r="E226" s="111" t="s">
        <v>194</v>
      </c>
      <c r="F226" s="112"/>
      <c r="G226" s="112">
        <v>0</v>
      </c>
      <c r="H226" s="112">
        <v>1</v>
      </c>
      <c r="I226" s="112">
        <f>IF(E226&lt;&gt;"",F226*G226,SUMIFS(I227:I$9909,$C227:$C$9909,"*"&amp;C226&amp;"*",$E227:$E$9909,"&lt;&gt;"))</f>
        <v>0</v>
      </c>
      <c r="J226" s="112">
        <f>IF($E226&lt;&gt;"",$F226*H226,SUMIFS(J227:J$9909,$C227:$C$9909,"*"&amp;$C226&amp;"*",$E227:$E$9909,"&lt;&gt;"))</f>
        <v>0</v>
      </c>
      <c r="K226" s="103">
        <f>IF(I226&gt;0,(I226-J226-I226*PARAMETROS!$C$19)/I226,0)</f>
        <v>0</v>
      </c>
      <c r="L226" s="104"/>
      <c r="M226" s="105"/>
      <c r="N226" s="112"/>
      <c r="O226" s="105"/>
      <c r="P226" s="105"/>
      <c r="Q226" s="105"/>
      <c r="R226" s="105"/>
      <c r="S226" s="105"/>
      <c r="T226" s="105"/>
      <c r="U226" s="105"/>
      <c r="V226" s="105"/>
      <c r="W226" s="105"/>
      <c r="X226" s="105">
        <v>0</v>
      </c>
    </row>
    <row r="227" spans="1:24" ht="15.75" customHeight="1" x14ac:dyDescent="0.3">
      <c r="A227" s="144" t="str">
        <f t="shared" si="3"/>
        <v/>
      </c>
      <c r="B227" s="145"/>
      <c r="C227" s="106" t="s">
        <v>500</v>
      </c>
      <c r="D227" s="107" t="s">
        <v>501</v>
      </c>
      <c r="E227" s="108"/>
      <c r="F227" s="109"/>
      <c r="G227" s="109"/>
      <c r="H227" s="109"/>
      <c r="I227" s="109">
        <f>IF(E227&lt;&gt;"",F227*G227,SUMIFS(I228:I$9909,$C228:$C$9909,"*"&amp;C227&amp;"*",$E228:$E$9909,"&lt;&gt;"))</f>
        <v>0</v>
      </c>
      <c r="J227" s="109">
        <f>IF($E227&lt;&gt;"",$F227*H227,SUMIFS(J228:J$9909,$C228:$C$9909,"*"&amp;$C227&amp;"*",$E228:$E$9909,"&lt;&gt;"))</f>
        <v>54000</v>
      </c>
      <c r="K227" s="103">
        <f>IF(I227&gt;0,(I227-J227-I227*PARAMETROS!$C$19)/I227,0)</f>
        <v>0</v>
      </c>
      <c r="L227" s="104"/>
      <c r="M227" s="105"/>
      <c r="N227" s="112"/>
      <c r="O227" s="105"/>
      <c r="P227" s="105"/>
      <c r="Q227" s="105"/>
      <c r="R227" s="105"/>
      <c r="S227" s="105"/>
      <c r="T227" s="105"/>
      <c r="U227" s="105"/>
      <c r="V227" s="105"/>
      <c r="W227" s="105"/>
      <c r="X227" s="105"/>
    </row>
    <row r="228" spans="1:24" ht="15.75" customHeight="1" x14ac:dyDescent="0.3">
      <c r="A228" s="144" t="str">
        <f t="shared" si="3"/>
        <v/>
      </c>
      <c r="B228" s="145"/>
      <c r="C228" s="110" t="s">
        <v>502</v>
      </c>
      <c r="D228" s="111" t="s">
        <v>503</v>
      </c>
      <c r="E228" s="111" t="s">
        <v>194</v>
      </c>
      <c r="F228" s="112">
        <v>54000</v>
      </c>
      <c r="G228" s="112">
        <v>0</v>
      </c>
      <c r="H228" s="112">
        <v>1</v>
      </c>
      <c r="I228" s="112">
        <f>IF(E228&lt;&gt;"",F228*G228,SUMIFS(I229:I$9909,$C229:$C$9909,"*"&amp;C228&amp;"*",$E229:$E$9909,"&lt;&gt;"))</f>
        <v>0</v>
      </c>
      <c r="J228" s="112">
        <f>IF($E228&lt;&gt;"",$F228*H228,SUMIFS(J229:J$9909,$C229:$C$9909,"*"&amp;$C228&amp;"*",$E229:$E$9909,"&lt;&gt;"))</f>
        <v>54000</v>
      </c>
      <c r="K228" s="103">
        <f>IF(I228&gt;0,(I228-J228-I228*PARAMETROS!$C$19)/I228,0)</f>
        <v>0</v>
      </c>
      <c r="L228" s="104"/>
      <c r="M228" s="105"/>
      <c r="N228" s="112"/>
      <c r="O228" s="105"/>
      <c r="P228" s="105"/>
      <c r="Q228" s="105"/>
      <c r="R228" s="105"/>
      <c r="S228" s="105"/>
      <c r="T228" s="105"/>
      <c r="U228" s="105"/>
      <c r="V228" s="105"/>
      <c r="W228" s="105"/>
      <c r="X228" s="105">
        <v>0</v>
      </c>
    </row>
    <row r="229" spans="1:24" ht="15.75" hidden="1" customHeight="1" x14ac:dyDescent="0.3">
      <c r="A229" s="144" t="str">
        <f t="shared" si="3"/>
        <v/>
      </c>
      <c r="B229" s="145"/>
      <c r="C229" s="110" t="s">
        <v>504</v>
      </c>
      <c r="D229" s="111" t="s">
        <v>505</v>
      </c>
      <c r="E229" s="111" t="s">
        <v>73</v>
      </c>
      <c r="F229" s="112"/>
      <c r="G229" s="112">
        <v>0</v>
      </c>
      <c r="H229" s="112">
        <v>3.7</v>
      </c>
      <c r="I229" s="112">
        <f>IF(E229&lt;&gt;"",F229*G229,SUMIFS(I230:I$9909,$C230:$C$9909,"*"&amp;C229&amp;"*",$E230:$E$9909,"&lt;&gt;"))</f>
        <v>0</v>
      </c>
      <c r="J229" s="112">
        <f>IF($E229&lt;&gt;"",$F229*H229,SUMIFS(J230:J$9909,$C230:$C$9909,"*"&amp;$C229&amp;"*",$E230:$E$9909,"&lt;&gt;"))</f>
        <v>0</v>
      </c>
      <c r="K229" s="103">
        <f>IF(I229&gt;0,(I229-J229-I229*PARAMETROS!$C$19)/I229,0)</f>
        <v>0</v>
      </c>
      <c r="L229" s="104"/>
      <c r="M229" s="105"/>
      <c r="N229" s="112"/>
      <c r="O229" s="105"/>
      <c r="P229" s="105"/>
      <c r="Q229" s="105"/>
      <c r="R229" s="105"/>
      <c r="S229" s="105"/>
      <c r="T229" s="105"/>
      <c r="U229" s="105"/>
      <c r="V229" s="105"/>
      <c r="W229" s="105"/>
      <c r="X229" s="105">
        <v>0</v>
      </c>
    </row>
    <row r="230" spans="1:24" ht="15.75" hidden="1" customHeight="1" x14ac:dyDescent="0.3">
      <c r="A230" s="144" t="str">
        <f t="shared" ref="A230:A313" si="4">IF(LEN(C230)=3,1,"")</f>
        <v/>
      </c>
      <c r="B230" s="145"/>
      <c r="C230" s="106" t="s">
        <v>506</v>
      </c>
      <c r="D230" s="107" t="s">
        <v>507</v>
      </c>
      <c r="E230" s="108"/>
      <c r="F230" s="109"/>
      <c r="G230" s="109"/>
      <c r="H230" s="109"/>
      <c r="I230" s="109">
        <f>IF(E230&lt;&gt;"",F230*G230,SUMIFS(I231:I$9909,$C231:$C$9909,"*"&amp;C230&amp;"*",$E231:$E$9909,"&lt;&gt;"))</f>
        <v>0</v>
      </c>
      <c r="J230" s="109">
        <f>IF($E230&lt;&gt;"",$F230*H230,SUMIFS(J231:J$9909,$C231:$C$9909,"*"&amp;$C230&amp;"*",$E231:$E$9909,"&lt;&gt;"))</f>
        <v>0</v>
      </c>
      <c r="K230" s="103">
        <f>IF(I230&gt;0,(I230-J230-I230*PARAMETROS!$C$19)/I230,0)</f>
        <v>0</v>
      </c>
      <c r="L230" s="104" t="s">
        <v>122</v>
      </c>
      <c r="M230" s="105"/>
      <c r="N230" s="112"/>
      <c r="O230" s="105"/>
      <c r="P230" s="105"/>
      <c r="Q230" s="105"/>
      <c r="R230" s="105"/>
      <c r="S230" s="105"/>
      <c r="T230" s="105"/>
      <c r="U230" s="105"/>
      <c r="V230" s="105"/>
      <c r="W230" s="105"/>
      <c r="X230" s="105"/>
    </row>
    <row r="231" spans="1:24" ht="15.75" hidden="1" customHeight="1" x14ac:dyDescent="0.3">
      <c r="A231" s="144" t="str">
        <f t="shared" si="4"/>
        <v/>
      </c>
      <c r="B231" s="145"/>
      <c r="C231" s="110" t="s">
        <v>508</v>
      </c>
      <c r="D231" s="111" t="s">
        <v>509</v>
      </c>
      <c r="E231" s="111" t="s">
        <v>194</v>
      </c>
      <c r="F231" s="112"/>
      <c r="G231" s="112">
        <v>0</v>
      </c>
      <c r="H231" s="112">
        <v>1</v>
      </c>
      <c r="I231" s="112">
        <f>IF(E231&lt;&gt;"",F231*G231,SUMIFS(I232:I$9909,$C232:$C$9909,"*"&amp;C231&amp;"*",$E232:$E$9909,"&lt;&gt;"))</f>
        <v>0</v>
      </c>
      <c r="J231" s="112">
        <f>IF($E231&lt;&gt;"",$F231*H231,SUMIFS(J232:J$9909,$C232:$C$9909,"*"&amp;$C231&amp;"*",$E232:$E$9909,"&lt;&gt;"))</f>
        <v>0</v>
      </c>
      <c r="K231" s="103">
        <f>IF(I231&gt;0,(I231-J231-I231*PARAMETROS!$C$19)/I231,0)</f>
        <v>0</v>
      </c>
      <c r="L231" s="104"/>
      <c r="M231" s="105"/>
      <c r="N231" s="112"/>
      <c r="O231" s="105"/>
      <c r="P231" s="105"/>
      <c r="Q231" s="105"/>
      <c r="R231" s="105"/>
      <c r="S231" s="105"/>
      <c r="T231" s="105"/>
      <c r="U231" s="105"/>
      <c r="V231" s="105"/>
      <c r="W231" s="105"/>
      <c r="X231" s="105">
        <v>0</v>
      </c>
    </row>
    <row r="232" spans="1:24" ht="15.75" hidden="1" customHeight="1" x14ac:dyDescent="0.3">
      <c r="A232" s="144" t="str">
        <f t="shared" si="4"/>
        <v/>
      </c>
      <c r="B232" s="145"/>
      <c r="C232" s="110" t="s">
        <v>510</v>
      </c>
      <c r="D232" s="111" t="s">
        <v>511</v>
      </c>
      <c r="E232" s="111" t="s">
        <v>194</v>
      </c>
      <c r="F232" s="112"/>
      <c r="G232" s="112">
        <v>0</v>
      </c>
      <c r="H232" s="112">
        <v>1</v>
      </c>
      <c r="I232" s="112">
        <f>IF(E232&lt;&gt;"",F232*G232,SUMIFS(I233:I$9909,$C233:$C$9909,"*"&amp;C232&amp;"*",$E233:$E$9909,"&lt;&gt;"))</f>
        <v>0</v>
      </c>
      <c r="J232" s="112">
        <f>IF($E232&lt;&gt;"",$F232*H232,SUMIFS(J233:J$9909,$C233:$C$9909,"*"&amp;$C232&amp;"*",$E233:$E$9909,"&lt;&gt;"))</f>
        <v>0</v>
      </c>
      <c r="K232" s="103">
        <f>IF(I232&gt;0,(I232-J232-I232*PARAMETROS!$C$19)/I232,0)</f>
        <v>0</v>
      </c>
      <c r="L232" s="104"/>
      <c r="M232" s="105"/>
      <c r="N232" s="112"/>
      <c r="O232" s="105"/>
      <c r="P232" s="105"/>
      <c r="Q232" s="105"/>
      <c r="R232" s="105"/>
      <c r="S232" s="105"/>
      <c r="T232" s="105"/>
      <c r="U232" s="105"/>
      <c r="V232" s="105"/>
      <c r="W232" s="105"/>
      <c r="X232" s="105">
        <v>0</v>
      </c>
    </row>
    <row r="233" spans="1:24" s="48" customFormat="1" ht="15.75" customHeight="1" x14ac:dyDescent="0.3">
      <c r="A233" s="361" t="str">
        <f t="shared" si="4"/>
        <v/>
      </c>
      <c r="B233" s="362"/>
      <c r="C233" s="357" t="s">
        <v>512</v>
      </c>
      <c r="D233" s="358" t="s">
        <v>513</v>
      </c>
      <c r="E233" s="359"/>
      <c r="F233" s="360"/>
      <c r="G233" s="360"/>
      <c r="H233" s="360"/>
      <c r="I233" s="360">
        <f>IF(E233&lt;&gt;"",F233*G233,SUMIFS(I234:I$9909,$C234:$C$9909,"*"&amp;C233&amp;"*",$E234:$E$9909,"&lt;&gt;"))</f>
        <v>0</v>
      </c>
      <c r="J233" s="360">
        <f>IF($E233&lt;&gt;"",$F233*H233,SUMIFS(J234:J$9909,$C234:$C$9909,"*"&amp;$C233&amp;"*",$E234:$E$9909,"&lt;&gt;"))</f>
        <v>106482.3376</v>
      </c>
      <c r="K233" s="128">
        <f>IF(I233&gt;0,(I233-J233-I233*PARAMETROS!$C$19)/I233,0)</f>
        <v>0</v>
      </c>
      <c r="L233" s="363" t="s">
        <v>122</v>
      </c>
      <c r="M233" s="364"/>
      <c r="N233" s="365"/>
      <c r="O233" s="364"/>
      <c r="P233" s="364"/>
      <c r="Q233" s="364"/>
      <c r="R233" s="364"/>
      <c r="S233" s="364"/>
      <c r="T233" s="364"/>
      <c r="U233" s="364"/>
      <c r="V233" s="364"/>
      <c r="W233" s="364"/>
      <c r="X233" s="364"/>
    </row>
    <row r="234" spans="1:24" ht="15.75" customHeight="1" x14ac:dyDescent="0.3">
      <c r="A234" s="144" t="str">
        <f t="shared" si="4"/>
        <v/>
      </c>
      <c r="B234" s="145"/>
      <c r="C234" s="106" t="s">
        <v>514</v>
      </c>
      <c r="D234" s="107" t="s">
        <v>515</v>
      </c>
      <c r="E234" s="108"/>
      <c r="F234" s="109"/>
      <c r="G234" s="109"/>
      <c r="H234" s="109"/>
      <c r="I234" s="109">
        <f>IF(E234&lt;&gt;"",F234*G234,SUMIFS(I235:I$9909,$C235:$C$9909,"*"&amp;C234&amp;"*",$E235:$E$9909,"&lt;&gt;"))</f>
        <v>0</v>
      </c>
      <c r="J234" s="109">
        <f>IF($E234&lt;&gt;"",$F234*H234,SUMIFS(J235:J$9909,$C235:$C$9909,"*"&amp;$C234&amp;"*",$E235:$E$9909,"&lt;&gt;"))</f>
        <v>55000</v>
      </c>
      <c r="K234" s="103">
        <f>IF(I234&gt;0,(I234-J234-I234*PARAMETROS!$C$19)/I234,0)</f>
        <v>0</v>
      </c>
      <c r="L234" s="104"/>
      <c r="M234" s="105"/>
      <c r="N234" s="112"/>
      <c r="O234" s="105"/>
      <c r="P234" s="105"/>
      <c r="Q234" s="105"/>
      <c r="R234" s="105"/>
      <c r="S234" s="105"/>
      <c r="T234" s="105"/>
      <c r="U234" s="105"/>
      <c r="V234" s="105"/>
      <c r="W234" s="105"/>
      <c r="X234" s="105"/>
    </row>
    <row r="235" spans="1:24" ht="15.75" hidden="1" customHeight="1" x14ac:dyDescent="0.3">
      <c r="A235" s="144" t="str">
        <f t="shared" si="4"/>
        <v/>
      </c>
      <c r="B235" s="145"/>
      <c r="C235" s="110" t="s">
        <v>516</v>
      </c>
      <c r="D235" s="111" t="s">
        <v>517</v>
      </c>
      <c r="E235" s="111" t="s">
        <v>167</v>
      </c>
      <c r="F235" s="112"/>
      <c r="G235" s="112">
        <v>0</v>
      </c>
      <c r="H235" s="112">
        <v>1800</v>
      </c>
      <c r="I235" s="112">
        <f>IF(E235&lt;&gt;"",F235*G235,SUMIFS(I236:I$9909,$C236:$C$9909,"*"&amp;C235&amp;"*",$E236:$E$9909,"&lt;&gt;"))</f>
        <v>0</v>
      </c>
      <c r="J235" s="112">
        <f>IF($E235&lt;&gt;"",$F235*H235,SUMIFS(J236:J$9909,$C236:$C$9909,"*"&amp;$C235&amp;"*",$E236:$E$9909,"&lt;&gt;"))</f>
        <v>0</v>
      </c>
      <c r="K235" s="103">
        <f>IF(I235&gt;0,(I235-J235-I235*PARAMETROS!$C$19)/I235,0)</f>
        <v>0</v>
      </c>
      <c r="L235" s="104"/>
      <c r="M235" s="105"/>
      <c r="N235" s="112"/>
      <c r="O235" s="105"/>
      <c r="P235" s="105"/>
      <c r="Q235" s="105"/>
      <c r="R235" s="105"/>
      <c r="S235" s="105"/>
      <c r="T235" s="105"/>
      <c r="U235" s="105"/>
      <c r="V235" s="105"/>
      <c r="W235" s="105"/>
      <c r="X235" s="105">
        <v>0</v>
      </c>
    </row>
    <row r="236" spans="1:24" ht="15.75" customHeight="1" x14ac:dyDescent="0.3">
      <c r="A236" s="144" t="str">
        <f t="shared" si="4"/>
        <v/>
      </c>
      <c r="B236" s="145"/>
      <c r="C236" s="110" t="s">
        <v>518</v>
      </c>
      <c r="D236" s="111" t="s">
        <v>519</v>
      </c>
      <c r="E236" s="111" t="s">
        <v>347</v>
      </c>
      <c r="F236" s="112">
        <v>1</v>
      </c>
      <c r="G236" s="112">
        <v>0</v>
      </c>
      <c r="H236" s="112">
        <v>28000</v>
      </c>
      <c r="I236" s="112">
        <f>IF(E236&lt;&gt;"",F236*G236,SUMIFS(I237:I$9909,$C237:$C$9909,"*"&amp;C236&amp;"*",$E237:$E$9909,"&lt;&gt;"))</f>
        <v>0</v>
      </c>
      <c r="J236" s="112">
        <f>IF($E236&lt;&gt;"",$F236*H236,SUMIFS(J237:J$9909,$C237:$C$9909,"*"&amp;$C236&amp;"*",$E237:$E$9909,"&lt;&gt;"))</f>
        <v>28000</v>
      </c>
      <c r="K236" s="103">
        <f>IF(I236&gt;0,(I236-J236-I236*PARAMETROS!$C$19)/I236,0)</f>
        <v>0</v>
      </c>
      <c r="L236" s="104"/>
      <c r="M236" s="105"/>
      <c r="N236" s="112"/>
      <c r="O236" s="105"/>
      <c r="P236" s="105"/>
      <c r="Q236" s="105"/>
      <c r="R236" s="105"/>
      <c r="S236" s="105"/>
      <c r="T236" s="105"/>
      <c r="U236" s="105"/>
      <c r="V236" s="105"/>
      <c r="W236" s="105"/>
      <c r="X236" s="105">
        <v>0</v>
      </c>
    </row>
    <row r="237" spans="1:24" ht="15.75" hidden="1" customHeight="1" x14ac:dyDescent="0.3">
      <c r="A237" s="144" t="str">
        <f t="shared" si="4"/>
        <v/>
      </c>
      <c r="B237" s="145"/>
      <c r="C237" s="110" t="s">
        <v>520</v>
      </c>
      <c r="D237" s="111" t="s">
        <v>521</v>
      </c>
      <c r="E237" s="111" t="s">
        <v>270</v>
      </c>
      <c r="F237" s="112"/>
      <c r="G237" s="112">
        <v>0</v>
      </c>
      <c r="H237" s="112">
        <v>1.7</v>
      </c>
      <c r="I237" s="112">
        <f>IF(E237&lt;&gt;"",F237*G237,SUMIFS(I238:I$9909,$C238:$C$9909,"*"&amp;C237&amp;"*",$E238:$E$9909,"&lt;&gt;"))</f>
        <v>0</v>
      </c>
      <c r="J237" s="112">
        <f>IF($E237&lt;&gt;"",$F237*H237,SUMIFS(J238:J$9909,$C238:$C$9909,"*"&amp;$C237&amp;"*",$E238:$E$9909,"&lt;&gt;"))</f>
        <v>0</v>
      </c>
      <c r="K237" s="103">
        <f>IF(I237&gt;0,(I237-J237-I237*PARAMETROS!$C$19)/I237,0)</f>
        <v>0</v>
      </c>
      <c r="L237" s="104"/>
      <c r="M237" s="105"/>
      <c r="N237" s="112"/>
      <c r="O237" s="105"/>
      <c r="P237" s="105"/>
      <c r="Q237" s="105"/>
      <c r="R237" s="105"/>
      <c r="S237" s="105"/>
      <c r="T237" s="105"/>
      <c r="U237" s="105"/>
      <c r="V237" s="105"/>
      <c r="W237" s="105"/>
      <c r="X237" s="105">
        <v>0</v>
      </c>
    </row>
    <row r="238" spans="1:24" ht="15.75" customHeight="1" x14ac:dyDescent="0.3">
      <c r="A238" s="144" t="str">
        <f t="shared" si="4"/>
        <v/>
      </c>
      <c r="B238" s="145"/>
      <c r="C238" s="110" t="s">
        <v>522</v>
      </c>
      <c r="D238" s="111" t="s">
        <v>523</v>
      </c>
      <c r="E238" s="111" t="s">
        <v>167</v>
      </c>
      <c r="F238" s="112">
        <v>3</v>
      </c>
      <c r="G238" s="112">
        <v>0</v>
      </c>
      <c r="H238" s="112">
        <v>9000</v>
      </c>
      <c r="I238" s="112">
        <f>IF(E238&lt;&gt;"",F238*G238,SUMIFS(I239:I$9909,$C239:$C$9909,"*"&amp;C238&amp;"*",$E239:$E$9909,"&lt;&gt;"))</f>
        <v>0</v>
      </c>
      <c r="J238" s="112">
        <f>IF($E238&lt;&gt;"",$F238*H238,SUMIFS(J239:J$9909,$C239:$C$9909,"*"&amp;$C238&amp;"*",$E239:$E$9909,"&lt;&gt;"))</f>
        <v>27000</v>
      </c>
      <c r="K238" s="103">
        <f>IF(I238&gt;0,(I238-J238-I238*PARAMETROS!$C$19)/I238,0)</f>
        <v>0</v>
      </c>
      <c r="L238" s="104"/>
      <c r="M238" s="105"/>
      <c r="N238" s="112"/>
      <c r="O238" s="105"/>
      <c r="P238" s="105"/>
      <c r="Q238" s="105"/>
      <c r="R238" s="105"/>
      <c r="S238" s="105"/>
      <c r="T238" s="105"/>
      <c r="U238" s="105"/>
      <c r="V238" s="105"/>
      <c r="W238" s="105"/>
      <c r="X238" s="105">
        <v>0</v>
      </c>
    </row>
    <row r="239" spans="1:24" ht="15.75" hidden="1" customHeight="1" x14ac:dyDescent="0.3">
      <c r="A239" s="144" t="str">
        <f t="shared" si="4"/>
        <v/>
      </c>
      <c r="B239" s="145"/>
      <c r="C239" s="110" t="s">
        <v>524</v>
      </c>
      <c r="D239" s="111" t="s">
        <v>525</v>
      </c>
      <c r="E239" s="111" t="s">
        <v>167</v>
      </c>
      <c r="F239" s="112"/>
      <c r="G239" s="112">
        <v>0</v>
      </c>
      <c r="H239" s="112">
        <v>5000</v>
      </c>
      <c r="I239" s="112">
        <f>IF(E239&lt;&gt;"",F239*G239,SUMIFS(I240:I$9909,$C240:$C$9909,"*"&amp;C239&amp;"*",$E240:$E$9909,"&lt;&gt;"))</f>
        <v>0</v>
      </c>
      <c r="J239" s="112">
        <f>IF($E239&lt;&gt;"",$F239*H239,SUMIFS(J240:J$9909,$C240:$C$9909,"*"&amp;$C239&amp;"*",$E240:$E$9909,"&lt;&gt;"))</f>
        <v>0</v>
      </c>
      <c r="K239" s="103">
        <f>IF(I239&gt;0,(I239-J239-I239*PARAMETROS!$C$19)/I239,0)</f>
        <v>0</v>
      </c>
      <c r="L239" s="104"/>
      <c r="M239" s="105"/>
      <c r="N239" s="112"/>
      <c r="O239" s="105"/>
      <c r="P239" s="105"/>
      <c r="Q239" s="105"/>
      <c r="R239" s="105"/>
      <c r="S239" s="105"/>
      <c r="T239" s="105"/>
      <c r="U239" s="105"/>
      <c r="V239" s="105"/>
      <c r="W239" s="105"/>
      <c r="X239" s="105">
        <v>0</v>
      </c>
    </row>
    <row r="240" spans="1:24" ht="15.75" hidden="1" customHeight="1" x14ac:dyDescent="0.3">
      <c r="A240" s="144" t="str">
        <f t="shared" si="4"/>
        <v/>
      </c>
      <c r="B240" s="145"/>
      <c r="C240" s="110" t="s">
        <v>526</v>
      </c>
      <c r="D240" s="111" t="s">
        <v>527</v>
      </c>
      <c r="E240" s="111" t="s">
        <v>167</v>
      </c>
      <c r="F240" s="112"/>
      <c r="G240" s="112">
        <v>0</v>
      </c>
      <c r="H240" s="112">
        <v>300</v>
      </c>
      <c r="I240" s="112">
        <f>IF(E240&lt;&gt;"",F240*G240,SUMIFS(I241:I$9909,$C241:$C$9909,"*"&amp;C240&amp;"*",$E241:$E$9909,"&lt;&gt;"))</f>
        <v>0</v>
      </c>
      <c r="J240" s="112">
        <f>IF($E240&lt;&gt;"",$F240*H240,SUMIFS(J241:J$9909,$C241:$C$9909,"*"&amp;$C240&amp;"*",$E241:$E$9909,"&lt;&gt;"))</f>
        <v>0</v>
      </c>
      <c r="K240" s="103">
        <f>IF(I240&gt;0,(I240-J240-I240*PARAMETROS!$C$19)/I240,0)</f>
        <v>0</v>
      </c>
      <c r="L240" s="104"/>
      <c r="M240" s="105"/>
      <c r="N240" s="112"/>
      <c r="O240" s="105"/>
      <c r="P240" s="105"/>
      <c r="Q240" s="105"/>
      <c r="R240" s="105"/>
      <c r="S240" s="105"/>
      <c r="T240" s="105"/>
      <c r="U240" s="105"/>
      <c r="V240" s="105"/>
      <c r="W240" s="105"/>
      <c r="X240" s="105">
        <v>0</v>
      </c>
    </row>
    <row r="241" spans="1:24" ht="15.75" hidden="1" customHeight="1" x14ac:dyDescent="0.3">
      <c r="A241" s="144" t="str">
        <f t="shared" si="4"/>
        <v/>
      </c>
      <c r="B241" s="145"/>
      <c r="C241" s="110" t="s">
        <v>528</v>
      </c>
      <c r="D241" s="111" t="s">
        <v>529</v>
      </c>
      <c r="E241" s="111" t="s">
        <v>167</v>
      </c>
      <c r="F241" s="112"/>
      <c r="G241" s="112">
        <v>0</v>
      </c>
      <c r="H241" s="112">
        <v>300</v>
      </c>
      <c r="I241" s="112">
        <f>IF(E241&lt;&gt;"",F241*G241,SUMIFS(I242:I$9909,$C242:$C$9909,"*"&amp;C241&amp;"*",$E242:$E$9909,"&lt;&gt;"))</f>
        <v>0</v>
      </c>
      <c r="J241" s="112">
        <f>IF($E241&lt;&gt;"",$F241*H241,SUMIFS(J242:J$9909,$C242:$C$9909,"*"&amp;$C241&amp;"*",$E242:$E$9909,"&lt;&gt;"))</f>
        <v>0</v>
      </c>
      <c r="K241" s="103">
        <f>IF(I241&gt;0,(I241-J241-I241*PARAMETROS!$C$19)/I241,0)</f>
        <v>0</v>
      </c>
      <c r="L241" s="104"/>
      <c r="M241" s="105"/>
      <c r="N241" s="112"/>
      <c r="O241" s="105"/>
      <c r="P241" s="105"/>
      <c r="Q241" s="105"/>
      <c r="R241" s="105"/>
      <c r="S241" s="105"/>
      <c r="T241" s="105"/>
      <c r="U241" s="105"/>
      <c r="V241" s="105"/>
      <c r="W241" s="105"/>
      <c r="X241" s="105">
        <v>0</v>
      </c>
    </row>
    <row r="242" spans="1:24" ht="15.75" hidden="1" customHeight="1" x14ac:dyDescent="0.3">
      <c r="A242" s="144" t="str">
        <f t="shared" si="4"/>
        <v/>
      </c>
      <c r="B242" s="145"/>
      <c r="C242" s="110" t="s">
        <v>530</v>
      </c>
      <c r="D242" s="111" t="s">
        <v>531</v>
      </c>
      <c r="E242" s="111" t="s">
        <v>167</v>
      </c>
      <c r="F242" s="112"/>
      <c r="G242" s="112">
        <v>0</v>
      </c>
      <c r="H242" s="112">
        <v>1500</v>
      </c>
      <c r="I242" s="112">
        <f>IF(E242&lt;&gt;"",F242*G242,SUMIFS(I243:I$9909,$C243:$C$9909,"*"&amp;C242&amp;"*",$E243:$E$9909,"&lt;&gt;"))</f>
        <v>0</v>
      </c>
      <c r="J242" s="112">
        <f>IF($E242&lt;&gt;"",$F242*H242,SUMIFS(J243:J$9909,$C243:$C$9909,"*"&amp;$C242&amp;"*",$E243:$E$9909,"&lt;&gt;"))</f>
        <v>0</v>
      </c>
      <c r="K242" s="103">
        <f>IF(I242&gt;0,(I242-J242-I242*PARAMETROS!$C$19)/I242,0)</f>
        <v>0</v>
      </c>
      <c r="L242" s="104"/>
      <c r="M242" s="105"/>
      <c r="N242" s="109"/>
      <c r="O242" s="105"/>
      <c r="P242" s="105"/>
      <c r="Q242" s="105"/>
      <c r="R242" s="105"/>
      <c r="S242" s="105"/>
      <c r="T242" s="105"/>
      <c r="U242" s="105"/>
      <c r="V242" s="105"/>
      <c r="W242" s="105"/>
      <c r="X242" s="105">
        <v>0</v>
      </c>
    </row>
    <row r="243" spans="1:24" ht="15.75" hidden="1" customHeight="1" x14ac:dyDescent="0.3">
      <c r="A243" s="144" t="str">
        <f t="shared" si="4"/>
        <v/>
      </c>
      <c r="B243" s="145"/>
      <c r="C243" s="110" t="s">
        <v>532</v>
      </c>
      <c r="D243" s="111" t="s">
        <v>533</v>
      </c>
      <c r="E243" s="111" t="s">
        <v>167</v>
      </c>
      <c r="F243" s="112"/>
      <c r="G243" s="112">
        <v>0</v>
      </c>
      <c r="H243" s="112">
        <v>200</v>
      </c>
      <c r="I243" s="112">
        <f>IF(E243&lt;&gt;"",F243*G243,SUMIFS(I244:I$9909,$C244:$C$9909,"*"&amp;C243&amp;"*",$E244:$E$9909,"&lt;&gt;"))</f>
        <v>0</v>
      </c>
      <c r="J243" s="112">
        <f>IF($E243&lt;&gt;"",$F243*H243,SUMIFS(J244:J$9909,$C244:$C$9909,"*"&amp;$C243&amp;"*",$E244:$E$9909,"&lt;&gt;"))</f>
        <v>0</v>
      </c>
      <c r="K243" s="103">
        <f>IF(I243&gt;0,(I243-J243-I243*PARAMETROS!$C$19)/I243,0)</f>
        <v>0</v>
      </c>
      <c r="L243" s="104"/>
      <c r="M243" s="105"/>
      <c r="N243" s="112"/>
      <c r="O243" s="105"/>
      <c r="P243" s="105"/>
      <c r="Q243" s="105"/>
      <c r="R243" s="105"/>
      <c r="S243" s="105"/>
      <c r="T243" s="105"/>
      <c r="U243" s="105"/>
      <c r="V243" s="105"/>
      <c r="W243" s="105"/>
      <c r="X243" s="105">
        <v>0</v>
      </c>
    </row>
    <row r="244" spans="1:24" ht="15.75" customHeight="1" x14ac:dyDescent="0.3">
      <c r="A244" s="144" t="str">
        <f t="shared" si="4"/>
        <v/>
      </c>
      <c r="B244" s="145"/>
      <c r="C244" s="106" t="s">
        <v>534</v>
      </c>
      <c r="D244" s="107" t="s">
        <v>535</v>
      </c>
      <c r="E244" s="108"/>
      <c r="F244" s="109"/>
      <c r="G244" s="109"/>
      <c r="H244" s="109"/>
      <c r="I244" s="109">
        <f>IF(E244&lt;&gt;"",F244*G244,SUMIFS(I245:I$9909,$C245:$C$9909,"*"&amp;C244&amp;"*",$E245:$E$9909,"&lt;&gt;"))</f>
        <v>0</v>
      </c>
      <c r="J244" s="109">
        <f>IF($E244&lt;&gt;"",$F244*H244,SUMIFS(J245:J$9909,$C245:$C$9909,"*"&amp;$C244&amp;"*",$E245:$E$9909,"&lt;&gt;"))</f>
        <v>28000</v>
      </c>
      <c r="K244" s="103">
        <f>IF(I244&gt;0,(I244-J244-I244*PARAMETROS!$C$19)/I244,0)</f>
        <v>0</v>
      </c>
      <c r="L244" s="104"/>
      <c r="M244" s="105"/>
      <c r="N244" s="112"/>
      <c r="O244" s="105"/>
      <c r="P244" s="105"/>
      <c r="Q244" s="105"/>
      <c r="R244" s="105"/>
      <c r="S244" s="105"/>
      <c r="T244" s="105"/>
      <c r="U244" s="105"/>
      <c r="V244" s="105"/>
      <c r="W244" s="105"/>
      <c r="X244" s="105"/>
    </row>
    <row r="245" spans="1:24" ht="15.75" hidden="1" customHeight="1" x14ac:dyDescent="0.3">
      <c r="A245" s="144" t="str">
        <f t="shared" si="4"/>
        <v/>
      </c>
      <c r="B245" s="145"/>
      <c r="C245" s="110" t="s">
        <v>536</v>
      </c>
      <c r="D245" s="111" t="s">
        <v>175</v>
      </c>
      <c r="E245" s="111" t="s">
        <v>176</v>
      </c>
      <c r="F245" s="112"/>
      <c r="G245" s="112">
        <v>0</v>
      </c>
      <c r="H245" s="112">
        <v>4.9000000000000004</v>
      </c>
      <c r="I245" s="112">
        <f>IF(E245&lt;&gt;"",F245*G245,SUMIFS(I246:I$9909,$C246:$C$9909,"*"&amp;C245&amp;"*",$E246:$E$9909,"&lt;&gt;"))</f>
        <v>0</v>
      </c>
      <c r="J245" s="112">
        <f>IF($E245&lt;&gt;"",$F245*H245,SUMIFS(J246:J$9909,$C246:$C$9909,"*"&amp;$C245&amp;"*",$E246:$E$9909,"&lt;&gt;"))</f>
        <v>0</v>
      </c>
      <c r="K245" s="103">
        <f>IF(I245&gt;0,(I245-J245-I245*PARAMETROS!$C$19)/I245,0)</f>
        <v>0</v>
      </c>
      <c r="L245" s="104"/>
      <c r="M245" s="105"/>
      <c r="N245" s="112"/>
      <c r="O245" s="105"/>
      <c r="P245" s="105"/>
      <c r="Q245" s="105"/>
      <c r="R245" s="105"/>
      <c r="S245" s="105"/>
      <c r="T245" s="105"/>
      <c r="U245" s="105"/>
      <c r="V245" s="105"/>
      <c r="W245" s="105"/>
      <c r="X245" s="105">
        <v>0</v>
      </c>
    </row>
    <row r="246" spans="1:24" ht="15.75" customHeight="1" x14ac:dyDescent="0.3">
      <c r="A246" s="144" t="str">
        <f t="shared" si="4"/>
        <v/>
      </c>
      <c r="B246" s="145"/>
      <c r="C246" s="110" t="s">
        <v>537</v>
      </c>
      <c r="D246" s="111" t="s">
        <v>288</v>
      </c>
      <c r="E246" s="111" t="s">
        <v>176</v>
      </c>
      <c r="F246" s="112">
        <v>4000</v>
      </c>
      <c r="G246" s="112">
        <v>0</v>
      </c>
      <c r="H246" s="112">
        <v>7</v>
      </c>
      <c r="I246" s="112">
        <f>IF(E246&lt;&gt;"",F246*G246,SUMIFS(I247:I$9909,$C247:$C$9909,"*"&amp;C246&amp;"*",$E247:$E$9909,"&lt;&gt;"))</f>
        <v>0</v>
      </c>
      <c r="J246" s="112">
        <f>IF($E246&lt;&gt;"",$F246*H246,SUMIFS(J247:J$9909,$C247:$C$9909,"*"&amp;$C246&amp;"*",$E247:$E$9909,"&lt;&gt;"))</f>
        <v>28000</v>
      </c>
      <c r="K246" s="103">
        <f>IF(I246&gt;0,(I246-J246-I246*PARAMETROS!$C$19)/I246,0)</f>
        <v>0</v>
      </c>
      <c r="L246" s="104"/>
      <c r="M246" s="105"/>
      <c r="N246" s="112"/>
      <c r="O246" s="105"/>
      <c r="P246" s="105"/>
      <c r="Q246" s="105"/>
      <c r="R246" s="105"/>
      <c r="S246" s="105"/>
      <c r="T246" s="105"/>
      <c r="U246" s="105"/>
      <c r="V246" s="105"/>
      <c r="W246" s="105"/>
      <c r="X246" s="105">
        <v>0</v>
      </c>
    </row>
    <row r="247" spans="1:24" ht="15.75" hidden="1" customHeight="1" x14ac:dyDescent="0.3">
      <c r="A247" s="144" t="str">
        <f t="shared" si="4"/>
        <v/>
      </c>
      <c r="B247" s="145"/>
      <c r="C247" s="106" t="s">
        <v>538</v>
      </c>
      <c r="D247" s="107" t="s">
        <v>539</v>
      </c>
      <c r="E247" s="108"/>
      <c r="F247" s="109"/>
      <c r="G247" s="109"/>
      <c r="H247" s="109"/>
      <c r="I247" s="109">
        <f>IF(E247&lt;&gt;"",F247*G247,SUMIFS(I248:I$9909,$C248:$C$9909,"*"&amp;C247&amp;"*",$E248:$E$9909,"&lt;&gt;"))</f>
        <v>0</v>
      </c>
      <c r="J247" s="109">
        <f>IF($E247&lt;&gt;"",$F247*H247,SUMIFS(J248:J$9909,$C248:$C$9909,"*"&amp;$C247&amp;"*",$E248:$E$9909,"&lt;&gt;"))</f>
        <v>0</v>
      </c>
      <c r="K247" s="103">
        <f>IF(I247&gt;0,(I247-J247-I247*PARAMETROS!$C$19)/I247,0)</f>
        <v>0</v>
      </c>
      <c r="L247" s="104"/>
      <c r="M247" s="105"/>
      <c r="N247" s="112"/>
      <c r="O247" s="105"/>
      <c r="P247" s="105"/>
      <c r="Q247" s="105"/>
      <c r="R247" s="105"/>
      <c r="S247" s="105"/>
      <c r="T247" s="105"/>
      <c r="U247" s="105"/>
      <c r="V247" s="105"/>
      <c r="W247" s="105"/>
      <c r="X247" s="105"/>
    </row>
    <row r="248" spans="1:24" ht="15.75" hidden="1" customHeight="1" x14ac:dyDescent="0.3">
      <c r="A248" s="144" t="str">
        <f t="shared" si="4"/>
        <v/>
      </c>
      <c r="B248" s="145"/>
      <c r="C248" s="110" t="s">
        <v>540</v>
      </c>
      <c r="D248" s="111" t="s">
        <v>541</v>
      </c>
      <c r="E248" s="111" t="s">
        <v>542</v>
      </c>
      <c r="F248" s="112"/>
      <c r="G248" s="112">
        <v>0</v>
      </c>
      <c r="H248" s="112">
        <v>1</v>
      </c>
      <c r="I248" s="112">
        <f>IF(E248&lt;&gt;"",F248*G248,SUMIFS(I249:I$9909,$C249:$C$9909,"*"&amp;C248&amp;"*",$E249:$E$9909,"&lt;&gt;"))</f>
        <v>0</v>
      </c>
      <c r="J248" s="112">
        <f>IF($E248&lt;&gt;"",$F248*H248,SUMIFS(J249:J$9909,$C249:$C$9909,"*"&amp;$C248&amp;"*",$E249:$E$9909,"&lt;&gt;"))</f>
        <v>0</v>
      </c>
      <c r="K248" s="103">
        <f>IF(I248&gt;0,(I248-J248-I248*PARAMETROS!$C$19)/I248,0)</f>
        <v>0</v>
      </c>
      <c r="L248" s="104"/>
      <c r="M248" s="105"/>
      <c r="N248" s="112"/>
      <c r="O248" s="105"/>
      <c r="P248" s="105"/>
      <c r="Q248" s="105"/>
      <c r="R248" s="105"/>
      <c r="S248" s="105"/>
      <c r="T248" s="105"/>
      <c r="U248" s="105"/>
      <c r="V248" s="105"/>
      <c r="W248" s="105"/>
      <c r="X248" s="105">
        <v>0</v>
      </c>
    </row>
    <row r="249" spans="1:24" ht="15.75" customHeight="1" x14ac:dyDescent="0.3">
      <c r="A249" s="144" t="str">
        <f t="shared" si="4"/>
        <v/>
      </c>
      <c r="B249" s="145"/>
      <c r="C249" s="106" t="s">
        <v>543</v>
      </c>
      <c r="D249" s="107" t="s">
        <v>181</v>
      </c>
      <c r="E249" s="108"/>
      <c r="F249" s="109"/>
      <c r="G249" s="109"/>
      <c r="H249" s="109"/>
      <c r="I249" s="109">
        <f>IF(E249&lt;&gt;"",F249*G249,SUMIFS(I250:I$9909,$C250:$C$9909,"*"&amp;C249&amp;"*",$E250:$E$9909,"&lt;&gt;"))</f>
        <v>0</v>
      </c>
      <c r="J249" s="109">
        <f>IF($E249&lt;&gt;"",$F249*H249,SUMIFS(J250:J$9909,$C250:$C$9909,"*"&amp;$C249&amp;"*",$E250:$E$9909,"&lt;&gt;"))</f>
        <v>23482.337599999999</v>
      </c>
      <c r="K249" s="103">
        <f>IF(I249&gt;0,(I249-J249-I249*PARAMETROS!$C$19)/I249,0)</f>
        <v>0</v>
      </c>
      <c r="L249" s="104"/>
      <c r="M249" s="105"/>
      <c r="N249" s="112"/>
      <c r="O249" s="105"/>
      <c r="P249" s="105"/>
      <c r="Q249" s="105"/>
      <c r="R249" s="105"/>
      <c r="S249" s="105"/>
      <c r="T249" s="105"/>
      <c r="U249" s="105"/>
      <c r="V249" s="105"/>
      <c r="W249" s="105"/>
      <c r="X249" s="105"/>
    </row>
    <row r="250" spans="1:24" ht="15.75" customHeight="1" x14ac:dyDescent="0.3">
      <c r="A250" s="144" t="str">
        <f t="shared" si="4"/>
        <v/>
      </c>
      <c r="B250" s="145"/>
      <c r="C250" s="110" t="s">
        <v>544</v>
      </c>
      <c r="D250" s="111" t="s">
        <v>545</v>
      </c>
      <c r="E250" s="111" t="s">
        <v>167</v>
      </c>
      <c r="F250" s="112">
        <v>3</v>
      </c>
      <c r="G250" s="112">
        <v>0</v>
      </c>
      <c r="H250" s="112">
        <v>5870.5843999999997</v>
      </c>
      <c r="I250" s="112">
        <f>IF(E250&lt;&gt;"",F250*G250,SUMIFS(I251:I$9909,$C251:$C$9909,"*"&amp;C250&amp;"*",$E251:$E$9909,"&lt;&gt;"))</f>
        <v>0</v>
      </c>
      <c r="J250" s="112">
        <f>IF($E250&lt;&gt;"",$F250*H250,SUMIFS(J251:J$9909,$C251:$C$9909,"*"&amp;$C250&amp;"*",$E251:$E$9909,"&lt;&gt;"))</f>
        <v>17611.753199999999</v>
      </c>
      <c r="K250" s="103">
        <f>IF(I250&gt;0,(I250-J250-I250*PARAMETROS!$C$19)/I250,0)</f>
        <v>0</v>
      </c>
      <c r="L250" s="104"/>
      <c r="M250" s="105"/>
      <c r="N250" s="112"/>
      <c r="O250" s="105"/>
      <c r="P250" s="105"/>
      <c r="Q250" s="105"/>
      <c r="R250" s="105"/>
      <c r="S250" s="105"/>
      <c r="T250" s="105"/>
      <c r="U250" s="105"/>
      <c r="V250" s="105"/>
      <c r="W250" s="105"/>
      <c r="X250" s="105">
        <v>0</v>
      </c>
    </row>
    <row r="251" spans="1:24" ht="15.75" hidden="1" customHeight="1" x14ac:dyDescent="0.3">
      <c r="A251" s="144" t="str">
        <f t="shared" si="4"/>
        <v/>
      </c>
      <c r="B251" s="145"/>
      <c r="C251" s="110" t="s">
        <v>546</v>
      </c>
      <c r="D251" s="111" t="s">
        <v>547</v>
      </c>
      <c r="E251" s="111" t="s">
        <v>128</v>
      </c>
      <c r="F251" s="112"/>
      <c r="G251" s="112">
        <v>0</v>
      </c>
      <c r="H251" s="112">
        <v>3949.65</v>
      </c>
      <c r="I251" s="112">
        <f>IF(E251&lt;&gt;"",F251*G251,SUMIFS(I252:I$9909,$C252:$C$9909,"*"&amp;C251&amp;"*",$E252:$E$9909,"&lt;&gt;"))</f>
        <v>0</v>
      </c>
      <c r="J251" s="112">
        <f>IF($E251&lt;&gt;"",$F251*H251,SUMIFS(J252:J$9909,$C252:$C$9909,"*"&amp;$C251&amp;"*",$E252:$E$9909,"&lt;&gt;"))</f>
        <v>0</v>
      </c>
      <c r="K251" s="103">
        <f>IF(I251&gt;0,(I251-J251-I251*PARAMETROS!$C$19)/I251,0)</f>
        <v>0</v>
      </c>
      <c r="L251" s="104"/>
      <c r="M251" s="105"/>
      <c r="N251" s="112"/>
      <c r="O251" s="105"/>
      <c r="P251" s="105"/>
      <c r="Q251" s="105"/>
      <c r="R251" s="105"/>
      <c r="S251" s="105"/>
      <c r="T251" s="105"/>
      <c r="U251" s="105"/>
      <c r="V251" s="105"/>
      <c r="W251" s="105"/>
      <c r="X251" s="105">
        <v>0</v>
      </c>
    </row>
    <row r="252" spans="1:24" ht="15.75" customHeight="1" x14ac:dyDescent="0.3">
      <c r="A252" s="144" t="str">
        <f t="shared" si="4"/>
        <v/>
      </c>
      <c r="B252" s="145"/>
      <c r="C252" s="110" t="s">
        <v>548</v>
      </c>
      <c r="D252" s="111" t="s">
        <v>549</v>
      </c>
      <c r="E252" s="111" t="s">
        <v>167</v>
      </c>
      <c r="F252" s="112">
        <v>1</v>
      </c>
      <c r="G252" s="112">
        <v>0</v>
      </c>
      <c r="H252" s="112">
        <v>5870.5843999999997</v>
      </c>
      <c r="I252" s="112">
        <f>IF(E252&lt;&gt;"",F252*G252,SUMIFS(I253:I$9909,$C253:$C$9909,"*"&amp;C252&amp;"*",$E253:$E$9909,"&lt;&gt;"))</f>
        <v>0</v>
      </c>
      <c r="J252" s="112">
        <f>IF($E252&lt;&gt;"",$F252*H252,SUMIFS(J253:J$9909,$C253:$C$9909,"*"&amp;$C252&amp;"*",$E253:$E$9909,"&lt;&gt;"))</f>
        <v>5870.5843999999997</v>
      </c>
      <c r="K252" s="103">
        <f>IF(I252&gt;0,(I252-J252-I252*PARAMETROS!$C$19)/I252,0)</f>
        <v>0</v>
      </c>
      <c r="L252" s="104"/>
      <c r="M252" s="105"/>
      <c r="N252" s="112"/>
      <c r="O252" s="105"/>
      <c r="P252" s="105"/>
      <c r="Q252" s="105"/>
      <c r="R252" s="105"/>
      <c r="S252" s="105"/>
      <c r="T252" s="105"/>
      <c r="U252" s="105"/>
      <c r="V252" s="105"/>
      <c r="W252" s="105"/>
      <c r="X252" s="105">
        <v>0</v>
      </c>
    </row>
    <row r="253" spans="1:24" s="48" customFormat="1" ht="15.75" customHeight="1" x14ac:dyDescent="0.3">
      <c r="A253" s="361" t="str">
        <f t="shared" si="4"/>
        <v/>
      </c>
      <c r="B253" s="362"/>
      <c r="C253" s="357" t="s">
        <v>550</v>
      </c>
      <c r="D253" s="358" t="s">
        <v>551</v>
      </c>
      <c r="E253" s="359"/>
      <c r="F253" s="360"/>
      <c r="G253" s="360"/>
      <c r="H253" s="360"/>
      <c r="I253" s="360">
        <f>IF(E253&lt;&gt;"",F253*G253,SUMIFS(I254:I$9909,$C254:$C$9909,"*"&amp;C253&amp;"*",$E254:$E$9909,"&lt;&gt;"))</f>
        <v>0</v>
      </c>
      <c r="J253" s="360">
        <f>IF($E253&lt;&gt;"",$F253*H253,SUMIFS(J254:J$9909,$C254:$C$9909,"*"&amp;$C253&amp;"*",$E254:$E$9909,"&lt;&gt;"))</f>
        <v>8400</v>
      </c>
      <c r="K253" s="128">
        <f>IF(I253&gt;0,(I253-J253-I253*PARAMETROS!$C$19)/I253,0)</f>
        <v>0</v>
      </c>
      <c r="L253" s="363" t="s">
        <v>122</v>
      </c>
      <c r="M253" s="364"/>
      <c r="N253" s="365"/>
      <c r="O253" s="364"/>
      <c r="P253" s="364"/>
      <c r="Q253" s="364"/>
      <c r="R253" s="364"/>
      <c r="S253" s="364"/>
      <c r="T253" s="364"/>
      <c r="U253" s="364"/>
      <c r="V253" s="364"/>
      <c r="W253" s="364"/>
      <c r="X253" s="364"/>
    </row>
    <row r="254" spans="1:24" ht="15.75" hidden="1" customHeight="1" x14ac:dyDescent="0.3">
      <c r="A254" s="144" t="str">
        <f t="shared" si="4"/>
        <v/>
      </c>
      <c r="B254" s="145"/>
      <c r="C254" s="110" t="s">
        <v>552</v>
      </c>
      <c r="D254" s="111" t="s">
        <v>428</v>
      </c>
      <c r="E254" s="111" t="s">
        <v>194</v>
      </c>
      <c r="F254" s="112"/>
      <c r="G254" s="112">
        <v>0</v>
      </c>
      <c r="H254" s="112">
        <v>1</v>
      </c>
      <c r="I254" s="112">
        <f>IF(E254&lt;&gt;"",F254*G254,SUMIFS(I255:I$9909,$C255:$C$9909,"*"&amp;C254&amp;"*",$E255:$E$9909,"&lt;&gt;"))</f>
        <v>0</v>
      </c>
      <c r="J254" s="112">
        <f>IF($E254&lt;&gt;"",$F254*H254,SUMIFS(J255:J$9909,$C255:$C$9909,"*"&amp;$C254&amp;"*",$E255:$E$9909,"&lt;&gt;"))</f>
        <v>0</v>
      </c>
      <c r="K254" s="103">
        <f>IF(I254&gt;0,(I254-J254-I254*PARAMETROS!$C$19)/I254,0)</f>
        <v>0</v>
      </c>
      <c r="L254" s="104"/>
      <c r="M254" s="105"/>
      <c r="N254" s="102"/>
      <c r="O254" s="105"/>
      <c r="P254" s="105"/>
      <c r="Q254" s="105"/>
      <c r="R254" s="105"/>
      <c r="S254" s="105"/>
      <c r="T254" s="105"/>
      <c r="U254" s="105"/>
      <c r="V254" s="105"/>
      <c r="W254" s="105"/>
      <c r="X254" s="105">
        <v>0</v>
      </c>
    </row>
    <row r="255" spans="1:24" ht="15.75" customHeight="1" x14ac:dyDescent="0.3">
      <c r="A255" s="144" t="str">
        <f t="shared" si="4"/>
        <v/>
      </c>
      <c r="B255" s="145"/>
      <c r="C255" s="110" t="s">
        <v>553</v>
      </c>
      <c r="D255" s="111" t="s">
        <v>477</v>
      </c>
      <c r="E255" s="111" t="s">
        <v>194</v>
      </c>
      <c r="F255" s="112">
        <v>1500</v>
      </c>
      <c r="G255" s="112">
        <v>0</v>
      </c>
      <c r="H255" s="112">
        <v>4</v>
      </c>
      <c r="I255" s="112">
        <f>IF(E255&lt;&gt;"",F255*G255,SUMIFS(I256:I$9909,$C256:$C$9909,"*"&amp;C255&amp;"*",$E256:$E$9909,"&lt;&gt;"))</f>
        <v>0</v>
      </c>
      <c r="J255" s="112">
        <f>IF($E255&lt;&gt;"",$F255*H255,SUMIFS(J256:J$9909,$C256:$C$9909,"*"&amp;$C255&amp;"*",$E256:$E$9909,"&lt;&gt;"))</f>
        <v>6000</v>
      </c>
      <c r="K255" s="103">
        <f>IF(I255&gt;0,(I255-J255-I255*PARAMETROS!$C$19)/I255,0)</f>
        <v>0</v>
      </c>
      <c r="L255" s="104"/>
      <c r="M255" s="105"/>
      <c r="N255" s="109"/>
      <c r="O255" s="105"/>
      <c r="P255" s="105"/>
      <c r="Q255" s="105"/>
      <c r="R255" s="105"/>
      <c r="S255" s="105"/>
      <c r="T255" s="105"/>
      <c r="U255" s="105"/>
      <c r="V255" s="105"/>
      <c r="W255" s="105"/>
      <c r="X255" s="105">
        <v>0</v>
      </c>
    </row>
    <row r="256" spans="1:24" ht="15.75" customHeight="1" x14ac:dyDescent="0.3">
      <c r="A256" s="144" t="str">
        <f t="shared" si="4"/>
        <v/>
      </c>
      <c r="B256" s="145"/>
      <c r="C256" s="110" t="s">
        <v>554</v>
      </c>
      <c r="D256" s="111" t="s">
        <v>555</v>
      </c>
      <c r="E256" s="111" t="s">
        <v>194</v>
      </c>
      <c r="F256" s="112">
        <v>1200</v>
      </c>
      <c r="G256" s="112">
        <v>0</v>
      </c>
      <c r="H256" s="112">
        <v>2</v>
      </c>
      <c r="I256" s="112">
        <f>IF(E256&lt;&gt;"",F256*G256,SUMIFS(I257:I$9909,$C257:$C$9909,"*"&amp;C256&amp;"*",$E257:$E$9909,"&lt;&gt;"))</f>
        <v>0</v>
      </c>
      <c r="J256" s="112">
        <f>IF($E256&lt;&gt;"",$F256*H256,SUMIFS(J257:J$9909,$C257:$C$9909,"*"&amp;$C256&amp;"*",$E257:$E$9909,"&lt;&gt;"))</f>
        <v>2400</v>
      </c>
      <c r="K256" s="103">
        <f>IF(I256&gt;0,(I256-J256-I256*PARAMETROS!$C$19)/I256,0)</f>
        <v>0</v>
      </c>
      <c r="L256" s="104"/>
      <c r="M256" s="105"/>
      <c r="N256" s="112"/>
      <c r="O256" s="105"/>
      <c r="P256" s="105"/>
      <c r="Q256" s="105"/>
      <c r="R256" s="105"/>
      <c r="S256" s="105"/>
      <c r="T256" s="105"/>
      <c r="U256" s="105"/>
      <c r="V256" s="105"/>
      <c r="W256" s="105"/>
      <c r="X256" s="105">
        <v>0</v>
      </c>
    </row>
    <row r="257" spans="1:24" s="48" customFormat="1" ht="15.75" hidden="1" customHeight="1" x14ac:dyDescent="0.3">
      <c r="A257" s="361" t="str">
        <f t="shared" si="4"/>
        <v/>
      </c>
      <c r="B257" s="362"/>
      <c r="C257" s="357" t="s">
        <v>556</v>
      </c>
      <c r="D257" s="358" t="s">
        <v>557</v>
      </c>
      <c r="E257" s="359"/>
      <c r="F257" s="360"/>
      <c r="G257" s="360"/>
      <c r="H257" s="360"/>
      <c r="I257" s="360">
        <f>IF(E257&lt;&gt;"",F257*G257,SUMIFS(I258:I$9909,$C258:$C$9909,"*"&amp;C257&amp;"*",$E258:$E$9909,"&lt;&gt;"))</f>
        <v>0</v>
      </c>
      <c r="J257" s="360">
        <f>IF($E257&lt;&gt;"",$F257*H257,SUMIFS(J258:J$9909,$C258:$C$9909,"*"&amp;$C257&amp;"*",$E258:$E$9909,"&lt;&gt;"))</f>
        <v>0</v>
      </c>
      <c r="K257" s="128">
        <f>IF(I257&gt;0,(I257-J257-I257*PARAMETROS!$C$19)/I257,0)</f>
        <v>0</v>
      </c>
      <c r="L257" s="363" t="s">
        <v>122</v>
      </c>
      <c r="M257" s="364"/>
      <c r="N257" s="365"/>
      <c r="O257" s="364"/>
      <c r="P257" s="364"/>
      <c r="Q257" s="364"/>
      <c r="R257" s="364"/>
      <c r="S257" s="364"/>
      <c r="T257" s="364"/>
      <c r="U257" s="364"/>
      <c r="V257" s="364"/>
      <c r="W257" s="364"/>
      <c r="X257" s="364"/>
    </row>
    <row r="258" spans="1:24" ht="15.75" hidden="1" customHeight="1" x14ac:dyDescent="0.3">
      <c r="A258" s="144" t="str">
        <f t="shared" si="4"/>
        <v/>
      </c>
      <c r="B258" s="145"/>
      <c r="C258" s="110" t="s">
        <v>558</v>
      </c>
      <c r="D258" s="111" t="s">
        <v>559</v>
      </c>
      <c r="E258" s="111" t="s">
        <v>194</v>
      </c>
      <c r="F258" s="112"/>
      <c r="G258" s="112">
        <v>0</v>
      </c>
      <c r="H258" s="112">
        <v>1</v>
      </c>
      <c r="I258" s="112">
        <f>IF(E258&lt;&gt;"",F258*G258,SUMIFS(I259:I$9909,$C259:$C$9909,"*"&amp;C258&amp;"*",$E259:$E$9909,"&lt;&gt;"))</f>
        <v>0</v>
      </c>
      <c r="J258" s="112">
        <f>IF($E258&lt;&gt;"",$F258*H258,SUMIFS(J259:J$9909,$C259:$C$9909,"*"&amp;$C258&amp;"*",$E259:$E$9909,"&lt;&gt;"))</f>
        <v>0</v>
      </c>
      <c r="K258" s="103">
        <f>IF(I258&gt;0,(I258-J258-I258*PARAMETROS!$C$19)/I258,0)</f>
        <v>0</v>
      </c>
      <c r="L258" s="104"/>
      <c r="M258" s="105"/>
      <c r="N258" s="112"/>
      <c r="O258" s="105"/>
      <c r="P258" s="105"/>
      <c r="Q258" s="105"/>
      <c r="R258" s="105"/>
      <c r="S258" s="105"/>
      <c r="T258" s="105"/>
      <c r="U258" s="105"/>
      <c r="V258" s="105"/>
      <c r="W258" s="105"/>
      <c r="X258" s="105">
        <v>1</v>
      </c>
    </row>
    <row r="259" spans="1:24" s="48" customFormat="1" ht="15.75" hidden="1" customHeight="1" x14ac:dyDescent="0.3">
      <c r="A259" s="361" t="str">
        <f t="shared" si="4"/>
        <v/>
      </c>
      <c r="B259" s="362"/>
      <c r="C259" s="357" t="s">
        <v>560</v>
      </c>
      <c r="D259" s="358" t="s">
        <v>561</v>
      </c>
      <c r="E259" s="359"/>
      <c r="F259" s="360"/>
      <c r="G259" s="360"/>
      <c r="H259" s="360"/>
      <c r="I259" s="360">
        <f>IF(E259&lt;&gt;"",F259*G259,SUMIFS(I260:I$9909,$C260:$C$9909,"*"&amp;C259&amp;"*",$E260:$E$9909,"&lt;&gt;"))</f>
        <v>0</v>
      </c>
      <c r="J259" s="360">
        <f>IF($E259&lt;&gt;"",$F259*H259,SUMIFS(J260:J$9909,$C260:$C$9909,"*"&amp;$C259&amp;"*",$E260:$E$9909,"&lt;&gt;"))</f>
        <v>0</v>
      </c>
      <c r="K259" s="128">
        <f>IF(I259&gt;0,(I259-J259-I259*PARAMETROS!$C$19)/I259,0)</f>
        <v>0</v>
      </c>
      <c r="L259" s="363" t="s">
        <v>122</v>
      </c>
      <c r="M259" s="364"/>
      <c r="N259" s="365"/>
      <c r="O259" s="364"/>
      <c r="P259" s="364"/>
      <c r="Q259" s="364"/>
      <c r="R259" s="364"/>
      <c r="S259" s="364"/>
      <c r="T259" s="364"/>
      <c r="U259" s="364"/>
      <c r="V259" s="364"/>
      <c r="W259" s="364"/>
      <c r="X259" s="364"/>
    </row>
    <row r="260" spans="1:24" ht="15.75" hidden="1" customHeight="1" x14ac:dyDescent="0.3">
      <c r="A260" s="144" t="str">
        <f t="shared" si="4"/>
        <v/>
      </c>
      <c r="B260" s="145"/>
      <c r="C260" s="106" t="s">
        <v>562</v>
      </c>
      <c r="D260" s="107" t="s">
        <v>563</v>
      </c>
      <c r="E260" s="108"/>
      <c r="F260" s="109"/>
      <c r="G260" s="109"/>
      <c r="H260" s="109"/>
      <c r="I260" s="109">
        <f>IF(E260&lt;&gt;"",F260*G260,SUMIFS(I261:I$9909,$C261:$C$9909,"*"&amp;C260&amp;"*",$E261:$E$9909,"&lt;&gt;"))</f>
        <v>0</v>
      </c>
      <c r="J260" s="109">
        <f>IF($E260&lt;&gt;"",$F260*H260,SUMIFS(J261:J$9909,$C261:$C$9909,"*"&amp;$C260&amp;"*",$E261:$E$9909,"&lt;&gt;"))</f>
        <v>0</v>
      </c>
      <c r="K260" s="103">
        <f>IF(I260&gt;0,(I260-J260-I260*PARAMETROS!$C$19)/I260,0)</f>
        <v>0</v>
      </c>
      <c r="L260" s="104"/>
      <c r="M260" s="105"/>
      <c r="N260" s="112"/>
      <c r="O260" s="105"/>
      <c r="P260" s="105"/>
      <c r="Q260" s="105"/>
      <c r="R260" s="105"/>
      <c r="S260" s="105"/>
      <c r="T260" s="105"/>
      <c r="U260" s="105"/>
      <c r="V260" s="105"/>
      <c r="W260" s="105"/>
      <c r="X260" s="105"/>
    </row>
    <row r="261" spans="1:24" ht="15.75" hidden="1" customHeight="1" x14ac:dyDescent="0.3">
      <c r="A261" s="144" t="str">
        <f t="shared" si="4"/>
        <v/>
      </c>
      <c r="B261" s="145"/>
      <c r="C261" s="110" t="s">
        <v>564</v>
      </c>
      <c r="D261" s="111" t="s">
        <v>565</v>
      </c>
      <c r="E261" s="111" t="s">
        <v>384</v>
      </c>
      <c r="F261" s="112"/>
      <c r="G261" s="112">
        <v>0</v>
      </c>
      <c r="H261" s="112">
        <v>1</v>
      </c>
      <c r="I261" s="112">
        <f>IF(E261&lt;&gt;"",F261*G261,SUMIFS(I262:I$9909,$C262:$C$9909,"*"&amp;C261&amp;"*",$E262:$E$9909,"&lt;&gt;"))</f>
        <v>0</v>
      </c>
      <c r="J261" s="112">
        <f>IF($E261&lt;&gt;"",$F261*H261,SUMIFS(J262:J$9909,$C262:$C$9909,"*"&amp;$C261&amp;"*",$E262:$E$9909,"&lt;&gt;"))</f>
        <v>0</v>
      </c>
      <c r="K261" s="103">
        <f>IF(I261&gt;0,(I261-J261-I261*PARAMETROS!$C$19)/I261,0)</f>
        <v>0</v>
      </c>
      <c r="L261" s="104"/>
      <c r="M261" s="105"/>
      <c r="N261" s="112"/>
      <c r="O261" s="105"/>
      <c r="P261" s="105"/>
      <c r="Q261" s="105"/>
      <c r="R261" s="105"/>
      <c r="S261" s="105"/>
      <c r="T261" s="105"/>
      <c r="U261" s="105"/>
      <c r="V261" s="105"/>
      <c r="W261" s="105"/>
      <c r="X261" s="105">
        <v>0</v>
      </c>
    </row>
    <row r="262" spans="1:24" ht="15.75" hidden="1" customHeight="1" x14ac:dyDescent="0.3">
      <c r="A262" s="144" t="str">
        <f t="shared" si="4"/>
        <v/>
      </c>
      <c r="B262" s="145"/>
      <c r="C262" s="110" t="s">
        <v>566</v>
      </c>
      <c r="D262" s="111" t="s">
        <v>567</v>
      </c>
      <c r="E262" s="111" t="s">
        <v>194</v>
      </c>
      <c r="F262" s="112"/>
      <c r="G262" s="112">
        <v>0</v>
      </c>
      <c r="H262" s="112">
        <v>1</v>
      </c>
      <c r="I262" s="112">
        <f>IF(E262&lt;&gt;"",F262*G262,SUMIFS(I263:I$9909,$C263:$C$9909,"*"&amp;C262&amp;"*",$E263:$E$9909,"&lt;&gt;"))</f>
        <v>0</v>
      </c>
      <c r="J262" s="112">
        <f>IF($E262&lt;&gt;"",$F262*H262,SUMIFS(J263:J$9909,$C263:$C$9909,"*"&amp;$C262&amp;"*",$E263:$E$9909,"&lt;&gt;"))</f>
        <v>0</v>
      </c>
      <c r="K262" s="103">
        <f>IF(I262&gt;0,(I262-J262-I262*PARAMETROS!$C$19)/I262,0)</f>
        <v>0</v>
      </c>
      <c r="L262" s="104"/>
      <c r="M262" s="105"/>
      <c r="N262" s="112"/>
      <c r="O262" s="105"/>
      <c r="P262" s="105"/>
      <c r="Q262" s="105"/>
      <c r="R262" s="105"/>
      <c r="S262" s="105"/>
      <c r="T262" s="105"/>
      <c r="U262" s="105"/>
      <c r="V262" s="105"/>
      <c r="W262" s="105"/>
      <c r="X262" s="105">
        <v>0</v>
      </c>
    </row>
    <row r="263" spans="1:24" ht="15.75" hidden="1" customHeight="1" x14ac:dyDescent="0.3">
      <c r="A263" s="144" t="str">
        <f t="shared" si="4"/>
        <v/>
      </c>
      <c r="B263" s="145"/>
      <c r="C263" s="106" t="s">
        <v>568</v>
      </c>
      <c r="D263" s="107" t="s">
        <v>569</v>
      </c>
      <c r="E263" s="108"/>
      <c r="F263" s="109"/>
      <c r="G263" s="109"/>
      <c r="H263" s="109"/>
      <c r="I263" s="109">
        <f>IF(E263&lt;&gt;"",F263*G263,SUMIFS(I264:I$9909,$C264:$C$9909,"*"&amp;C263&amp;"*",$E264:$E$9909,"&lt;&gt;"))</f>
        <v>0</v>
      </c>
      <c r="J263" s="109">
        <f>IF($E263&lt;&gt;"",$F263*H263,SUMIFS(J264:J$9909,$C264:$C$9909,"*"&amp;$C263&amp;"*",$E264:$E$9909,"&lt;&gt;"))</f>
        <v>0</v>
      </c>
      <c r="K263" s="103">
        <f>IF(I263&gt;0,(I263-J263-I263*PARAMETROS!$C$19)/I263,0)</f>
        <v>0</v>
      </c>
      <c r="L263" s="104"/>
      <c r="M263" s="105"/>
      <c r="N263" s="112"/>
      <c r="O263" s="105"/>
      <c r="P263" s="105"/>
      <c r="Q263" s="105"/>
      <c r="R263" s="105"/>
      <c r="S263" s="105"/>
      <c r="T263" s="105"/>
      <c r="U263" s="105"/>
      <c r="V263" s="105"/>
      <c r="W263" s="105"/>
      <c r="X263" s="105"/>
    </row>
    <row r="264" spans="1:24" ht="15.75" hidden="1" customHeight="1" x14ac:dyDescent="0.3">
      <c r="A264" s="144" t="str">
        <f t="shared" si="4"/>
        <v/>
      </c>
      <c r="B264" s="145"/>
      <c r="C264" s="110" t="s">
        <v>570</v>
      </c>
      <c r="D264" s="111" t="s">
        <v>571</v>
      </c>
      <c r="E264" s="111" t="s">
        <v>60</v>
      </c>
      <c r="F264" s="112"/>
      <c r="G264" s="112">
        <v>0</v>
      </c>
      <c r="H264" s="112">
        <v>0.9</v>
      </c>
      <c r="I264" s="112">
        <f>IF(E264&lt;&gt;"",F264*G264,SUMIFS(I265:I$9909,$C265:$C$9909,"*"&amp;C264&amp;"*",$E265:$E$9909,"&lt;&gt;"))</f>
        <v>0</v>
      </c>
      <c r="J264" s="112">
        <f>IF($E264&lt;&gt;"",$F264*H264,SUMIFS(J265:J$9909,$C265:$C$9909,"*"&amp;$C264&amp;"*",$E265:$E$9909,"&lt;&gt;"))</f>
        <v>0</v>
      </c>
      <c r="K264" s="103">
        <f>IF(I264&gt;0,(I264-J264-I264*PARAMETROS!$C$19)/I264,0)</f>
        <v>0</v>
      </c>
      <c r="L264" s="104"/>
      <c r="M264" s="105"/>
      <c r="N264" s="112"/>
      <c r="O264" s="105"/>
      <c r="P264" s="105"/>
      <c r="Q264" s="105"/>
      <c r="R264" s="105"/>
      <c r="S264" s="105"/>
      <c r="T264" s="105"/>
      <c r="U264" s="105"/>
      <c r="V264" s="105"/>
      <c r="W264" s="105"/>
      <c r="X264" s="105">
        <v>0</v>
      </c>
    </row>
    <row r="265" spans="1:24" ht="15.75" hidden="1" customHeight="1" x14ac:dyDescent="0.3">
      <c r="A265" s="144" t="str">
        <f t="shared" si="4"/>
        <v/>
      </c>
      <c r="B265" s="145"/>
      <c r="C265" s="110" t="s">
        <v>572</v>
      </c>
      <c r="D265" s="111" t="s">
        <v>573</v>
      </c>
      <c r="E265" s="111" t="s">
        <v>60</v>
      </c>
      <c r="F265" s="112"/>
      <c r="G265" s="112">
        <v>0</v>
      </c>
      <c r="H265" s="112">
        <v>1.1200000000000001</v>
      </c>
      <c r="I265" s="112">
        <f>IF(E265&lt;&gt;"",F265*G265,SUMIFS(I266:I$9909,$C266:$C$9909,"*"&amp;C265&amp;"*",$E266:$E$9909,"&lt;&gt;"))</f>
        <v>0</v>
      </c>
      <c r="J265" s="112">
        <f>IF($E265&lt;&gt;"",$F265*H265,SUMIFS(J266:J$9909,$C266:$C$9909,"*"&amp;$C265&amp;"*",$E266:$E$9909,"&lt;&gt;"))</f>
        <v>0</v>
      </c>
      <c r="K265" s="103">
        <f>IF(I265&gt;0,(I265-J265-I265*PARAMETROS!$C$19)/I265,0)</f>
        <v>0</v>
      </c>
      <c r="L265" s="104"/>
      <c r="M265" s="105"/>
      <c r="N265" s="112"/>
      <c r="O265" s="105"/>
      <c r="P265" s="105"/>
      <c r="Q265" s="105"/>
      <c r="R265" s="105"/>
      <c r="S265" s="105"/>
      <c r="T265" s="105"/>
      <c r="U265" s="105"/>
      <c r="V265" s="105"/>
      <c r="W265" s="105"/>
      <c r="X265" s="105">
        <v>0</v>
      </c>
    </row>
    <row r="266" spans="1:24" ht="15.75" hidden="1" customHeight="1" x14ac:dyDescent="0.3">
      <c r="A266" s="144" t="str">
        <f t="shared" si="4"/>
        <v/>
      </c>
      <c r="B266" s="145"/>
      <c r="C266" s="110" t="s">
        <v>574</v>
      </c>
      <c r="D266" s="111" t="s">
        <v>575</v>
      </c>
      <c r="E266" s="111" t="s">
        <v>384</v>
      </c>
      <c r="F266" s="112"/>
      <c r="G266" s="112">
        <v>0</v>
      </c>
      <c r="H266" s="112">
        <v>1</v>
      </c>
      <c r="I266" s="112">
        <f>IF(E266&lt;&gt;"",F266*G266,SUMIFS(I267:I$9909,$C267:$C$9909,"*"&amp;C266&amp;"*",$E267:$E$9909,"&lt;&gt;"))</f>
        <v>0</v>
      </c>
      <c r="J266" s="112">
        <f>IF($E266&lt;&gt;"",$F266*H266,SUMIFS(J267:J$9909,$C267:$C$9909,"*"&amp;$C266&amp;"*",$E267:$E$9909,"&lt;&gt;"))</f>
        <v>0</v>
      </c>
      <c r="K266" s="103">
        <f>IF(I266&gt;0,(I266-J266-I266*PARAMETROS!$C$19)/I266,0)</f>
        <v>0</v>
      </c>
      <c r="L266" s="104"/>
      <c r="M266" s="105"/>
      <c r="N266" s="102"/>
      <c r="O266" s="105"/>
      <c r="P266" s="105"/>
      <c r="Q266" s="105"/>
      <c r="R266" s="105"/>
      <c r="S266" s="105"/>
      <c r="T266" s="105"/>
      <c r="U266" s="105"/>
      <c r="V266" s="105"/>
      <c r="W266" s="105"/>
      <c r="X266" s="105">
        <v>0</v>
      </c>
    </row>
    <row r="267" spans="1:24" ht="15.75" hidden="1" customHeight="1" x14ac:dyDescent="0.3">
      <c r="A267" s="144" t="str">
        <f t="shared" si="4"/>
        <v/>
      </c>
      <c r="B267" s="145"/>
      <c r="C267" s="110" t="s">
        <v>576</v>
      </c>
      <c r="D267" s="111" t="s">
        <v>577</v>
      </c>
      <c r="E267" s="111" t="s">
        <v>384</v>
      </c>
      <c r="F267" s="112"/>
      <c r="G267" s="112">
        <v>0</v>
      </c>
      <c r="H267" s="112">
        <v>1</v>
      </c>
      <c r="I267" s="112">
        <f>IF(E267&lt;&gt;"",F267*G267,SUMIFS(I268:I$9909,$C268:$C$9909,"*"&amp;C267&amp;"*",$E268:$E$9909,"&lt;&gt;"))</f>
        <v>0</v>
      </c>
      <c r="J267" s="112">
        <f>IF($E267&lt;&gt;"",$F267*H267,SUMIFS(J268:J$9909,$C268:$C$9909,"*"&amp;$C267&amp;"*",$E268:$E$9909,"&lt;&gt;"))</f>
        <v>0</v>
      </c>
      <c r="K267" s="103">
        <f>IF(I267&gt;0,(I267-J267-I267*PARAMETROS!$C$19)/I267,0)</f>
        <v>0</v>
      </c>
      <c r="L267" s="104"/>
      <c r="M267" s="105"/>
      <c r="N267" s="109"/>
      <c r="O267" s="105"/>
      <c r="P267" s="105"/>
      <c r="Q267" s="105"/>
      <c r="R267" s="105"/>
      <c r="S267" s="105"/>
      <c r="T267" s="105"/>
      <c r="U267" s="105"/>
      <c r="V267" s="105"/>
      <c r="W267" s="105"/>
      <c r="X267" s="105">
        <v>0</v>
      </c>
    </row>
    <row r="268" spans="1:24" ht="15.75" hidden="1" customHeight="1" x14ac:dyDescent="0.3">
      <c r="A268" s="144" t="str">
        <f t="shared" si="4"/>
        <v/>
      </c>
      <c r="B268" s="145"/>
      <c r="C268" s="110" t="s">
        <v>578</v>
      </c>
      <c r="D268" s="111" t="s">
        <v>579</v>
      </c>
      <c r="E268" s="111" t="s">
        <v>384</v>
      </c>
      <c r="F268" s="112"/>
      <c r="G268" s="112">
        <v>0</v>
      </c>
      <c r="H268" s="112">
        <v>1</v>
      </c>
      <c r="I268" s="112">
        <f>IF(E268&lt;&gt;"",F268*G268,SUMIFS(I269:I$9909,$C269:$C$9909,"*"&amp;C268&amp;"*",$E269:$E$9909,"&lt;&gt;"))</f>
        <v>0</v>
      </c>
      <c r="J268" s="112">
        <f>IF($E268&lt;&gt;"",$F268*H268,SUMIFS(J269:J$9909,$C269:$C$9909,"*"&amp;$C268&amp;"*",$E269:$E$9909,"&lt;&gt;"))</f>
        <v>0</v>
      </c>
      <c r="K268" s="103">
        <f>IF(I268&gt;0,(I268-J268-I268*PARAMETROS!$C$19)/I268,0)</f>
        <v>0</v>
      </c>
      <c r="L268" s="104"/>
      <c r="M268" s="105"/>
      <c r="N268" s="112"/>
      <c r="O268" s="105"/>
      <c r="P268" s="105"/>
      <c r="Q268" s="105"/>
      <c r="R268" s="105"/>
      <c r="S268" s="105"/>
      <c r="T268" s="105"/>
      <c r="U268" s="105"/>
      <c r="V268" s="105"/>
      <c r="W268" s="105"/>
      <c r="X268" s="105">
        <v>0</v>
      </c>
    </row>
    <row r="269" spans="1:24" ht="15.75" hidden="1" customHeight="1" x14ac:dyDescent="0.3">
      <c r="A269" s="144" t="str">
        <f t="shared" si="4"/>
        <v/>
      </c>
      <c r="B269" s="145"/>
      <c r="C269" s="110" t="s">
        <v>580</v>
      </c>
      <c r="D269" s="111" t="s">
        <v>581</v>
      </c>
      <c r="E269" s="111" t="s">
        <v>384</v>
      </c>
      <c r="F269" s="112"/>
      <c r="G269" s="112">
        <v>0</v>
      </c>
      <c r="H269" s="112">
        <v>1</v>
      </c>
      <c r="I269" s="112">
        <f>IF(E269&lt;&gt;"",F269*G269,SUMIFS(I270:I$9909,$C270:$C$9909,"*"&amp;C269&amp;"*",$E270:$E$9909,"&lt;&gt;"))</f>
        <v>0</v>
      </c>
      <c r="J269" s="112">
        <f>IF($E269&lt;&gt;"",$F269*H269,SUMIFS(J270:J$9909,$C270:$C$9909,"*"&amp;$C269&amp;"*",$E270:$E$9909,"&lt;&gt;"))</f>
        <v>0</v>
      </c>
      <c r="K269" s="103">
        <f>IF(I269&gt;0,(I269-J269-I269*PARAMETROS!$C$19)/I269,0)</f>
        <v>0</v>
      </c>
      <c r="L269" s="104"/>
      <c r="M269" s="105"/>
      <c r="N269" s="112"/>
      <c r="O269" s="105"/>
      <c r="P269" s="105"/>
      <c r="Q269" s="105"/>
      <c r="R269" s="105"/>
      <c r="S269" s="105"/>
      <c r="T269" s="105"/>
      <c r="U269" s="105"/>
      <c r="V269" s="105"/>
      <c r="W269" s="105"/>
      <c r="X269" s="105">
        <v>0</v>
      </c>
    </row>
    <row r="270" spans="1:24" s="48" customFormat="1" ht="15.75" hidden="1" customHeight="1" x14ac:dyDescent="0.3">
      <c r="A270" s="361" t="str">
        <f t="shared" si="4"/>
        <v/>
      </c>
      <c r="B270" s="362"/>
      <c r="C270" s="357" t="s">
        <v>582</v>
      </c>
      <c r="D270" s="358" t="s">
        <v>583</v>
      </c>
      <c r="E270" s="359"/>
      <c r="F270" s="360"/>
      <c r="G270" s="360"/>
      <c r="H270" s="360"/>
      <c r="I270" s="360">
        <f>IF(E270&lt;&gt;"",F270*G270,SUMIFS(I271:I$9909,$C271:$C$9909,"*"&amp;C270&amp;"*",$E271:$E$9909,"&lt;&gt;"))</f>
        <v>0</v>
      </c>
      <c r="J270" s="360">
        <f>IF($E270&lt;&gt;"",$F270*H270,SUMIFS(J271:J$9909,$C271:$C$9909,"*"&amp;$C270&amp;"*",$E271:$E$9909,"&lt;&gt;"))</f>
        <v>0</v>
      </c>
      <c r="K270" s="128">
        <f>IF(I270&gt;0,(I270-J270-I270*PARAMETROS!$C$19)/I270,0)</f>
        <v>0</v>
      </c>
      <c r="L270" s="363" t="s">
        <v>122</v>
      </c>
      <c r="M270" s="364"/>
      <c r="N270" s="365"/>
      <c r="O270" s="364"/>
      <c r="P270" s="364"/>
      <c r="Q270" s="364"/>
      <c r="R270" s="364"/>
      <c r="S270" s="364"/>
      <c r="T270" s="364"/>
      <c r="U270" s="364"/>
      <c r="V270" s="364"/>
      <c r="W270" s="364"/>
      <c r="X270" s="364"/>
    </row>
    <row r="271" spans="1:24" ht="15.75" hidden="1" customHeight="1" x14ac:dyDescent="0.3">
      <c r="A271" s="144" t="str">
        <f t="shared" si="4"/>
        <v/>
      </c>
      <c r="B271" s="145"/>
      <c r="C271" s="106" t="s">
        <v>584</v>
      </c>
      <c r="D271" s="107" t="s">
        <v>585</v>
      </c>
      <c r="E271" s="108"/>
      <c r="F271" s="109"/>
      <c r="G271" s="109"/>
      <c r="H271" s="109"/>
      <c r="I271" s="109">
        <f>IF(E271&lt;&gt;"",F271*G271,SUMIFS(I272:I$9909,$C272:$C$9909,"*"&amp;C271&amp;"*",$E272:$E$9909,"&lt;&gt;"))</f>
        <v>0</v>
      </c>
      <c r="J271" s="109">
        <f>IF($E271&lt;&gt;"",$F271*H271,SUMIFS(J272:J$9909,$C272:$C$9909,"*"&amp;$C271&amp;"*",$E272:$E$9909,"&lt;&gt;"))</f>
        <v>0</v>
      </c>
      <c r="K271" s="103">
        <f>IF(I271&gt;0,(I271-J271-I271*PARAMETROS!$C$19)/I271,0)</f>
        <v>0</v>
      </c>
      <c r="L271" s="104"/>
      <c r="M271" s="105"/>
      <c r="N271" s="112"/>
      <c r="O271" s="105"/>
      <c r="P271" s="105"/>
      <c r="Q271" s="105"/>
      <c r="R271" s="105"/>
      <c r="S271" s="105"/>
      <c r="T271" s="105"/>
      <c r="U271" s="105"/>
      <c r="V271" s="105"/>
      <c r="W271" s="105"/>
      <c r="X271" s="105"/>
    </row>
    <row r="272" spans="1:24" ht="15.75" hidden="1" customHeight="1" x14ac:dyDescent="0.3">
      <c r="A272" s="144" t="str">
        <f t="shared" si="4"/>
        <v/>
      </c>
      <c r="B272" s="145"/>
      <c r="C272" s="110" t="s">
        <v>586</v>
      </c>
      <c r="D272" s="111" t="s">
        <v>587</v>
      </c>
      <c r="E272" s="111" t="s">
        <v>384</v>
      </c>
      <c r="F272" s="112"/>
      <c r="G272" s="112">
        <v>0</v>
      </c>
      <c r="H272" s="112">
        <v>1</v>
      </c>
      <c r="I272" s="112">
        <f>IF(E272&lt;&gt;"",F272*G272,SUMIFS(I273:I$9909,$C273:$C$9909,"*"&amp;C272&amp;"*",$E273:$E$9909,"&lt;&gt;"))</f>
        <v>0</v>
      </c>
      <c r="J272" s="112">
        <f>IF($E272&lt;&gt;"",$F272*H272,SUMIFS(J273:J$9909,$C273:$C$9909,"*"&amp;$C272&amp;"*",$E273:$E$9909,"&lt;&gt;"))</f>
        <v>0</v>
      </c>
      <c r="K272" s="103">
        <f>IF(I272&gt;0,(I272-J272-I272*PARAMETROS!$C$19)/I272,0)</f>
        <v>0</v>
      </c>
      <c r="L272" s="104"/>
      <c r="M272" s="105"/>
      <c r="N272" s="112"/>
      <c r="O272" s="105"/>
      <c r="P272" s="105"/>
      <c r="Q272" s="105"/>
      <c r="R272" s="105"/>
      <c r="S272" s="105"/>
      <c r="T272" s="105"/>
      <c r="U272" s="105"/>
      <c r="V272" s="105"/>
      <c r="W272" s="105"/>
      <c r="X272" s="105">
        <v>0</v>
      </c>
    </row>
    <row r="273" spans="1:24" ht="15.75" hidden="1" customHeight="1" x14ac:dyDescent="0.3">
      <c r="A273" s="144" t="str">
        <f t="shared" si="4"/>
        <v/>
      </c>
      <c r="B273" s="145"/>
      <c r="C273" s="110" t="s">
        <v>588</v>
      </c>
      <c r="D273" s="111" t="s">
        <v>589</v>
      </c>
      <c r="E273" s="111" t="s">
        <v>384</v>
      </c>
      <c r="F273" s="112"/>
      <c r="G273" s="112">
        <v>0</v>
      </c>
      <c r="H273" s="112">
        <v>1</v>
      </c>
      <c r="I273" s="112">
        <f>IF(E273&lt;&gt;"",F273*G273,SUMIFS(I274:I$9909,$C274:$C$9909,"*"&amp;C273&amp;"*",$E274:$E$9909,"&lt;&gt;"))</f>
        <v>0</v>
      </c>
      <c r="J273" s="112">
        <f>IF($E273&lt;&gt;"",$F273*H273,SUMIFS(J274:J$9909,$C274:$C$9909,"*"&amp;$C273&amp;"*",$E274:$E$9909,"&lt;&gt;"))</f>
        <v>0</v>
      </c>
      <c r="K273" s="103">
        <f>IF(I273&gt;0,(I273-J273-I273*PARAMETROS!$C$19)/I273,0)</f>
        <v>0</v>
      </c>
      <c r="L273" s="104"/>
      <c r="M273" s="105"/>
      <c r="N273" s="112"/>
      <c r="O273" s="105"/>
      <c r="P273" s="105"/>
      <c r="Q273" s="105"/>
      <c r="R273" s="105"/>
      <c r="S273" s="105"/>
      <c r="T273" s="105"/>
      <c r="U273" s="105"/>
      <c r="V273" s="105"/>
      <c r="W273" s="105"/>
      <c r="X273" s="105">
        <v>0</v>
      </c>
    </row>
    <row r="274" spans="1:24" ht="15.75" hidden="1" customHeight="1" x14ac:dyDescent="0.3">
      <c r="A274" s="144" t="str">
        <f t="shared" si="4"/>
        <v/>
      </c>
      <c r="B274" s="145"/>
      <c r="C274" s="116"/>
      <c r="D274" s="117"/>
      <c r="E274" s="117"/>
      <c r="F274" s="114"/>
      <c r="G274" s="114"/>
      <c r="H274" s="114"/>
      <c r="I274" s="114">
        <f>IF(E274&lt;&gt;"",F274*G274,SUMIFS(I275:I$9909,$C275:$C$9909,"*"&amp;C274&amp;"*",$E275:$E$9909,"&lt;&gt;"))</f>
        <v>0</v>
      </c>
      <c r="J274" s="114">
        <f>IF($E274&lt;&gt;"",$F274*H274,SUMIFS(J275:J$9909,$C275:$C$9909,"*"&amp;$C274&amp;"*",$E275:$E$9909,"&lt;&gt;"))</f>
        <v>0</v>
      </c>
      <c r="K274" s="103">
        <f>IF(I274&gt;0,(I274-J274-I274*PARAMETROS!$C$19)/I274,0)</f>
        <v>0</v>
      </c>
      <c r="L274" s="104"/>
      <c r="M274" s="105"/>
      <c r="N274" s="112"/>
      <c r="O274" s="105"/>
      <c r="P274" s="105"/>
      <c r="Q274" s="105"/>
      <c r="R274" s="105"/>
      <c r="S274" s="105"/>
      <c r="T274" s="105"/>
      <c r="U274" s="105"/>
      <c r="V274" s="105"/>
      <c r="W274" s="105"/>
      <c r="X274" s="105"/>
    </row>
    <row r="275" spans="1:24" ht="15.75" hidden="1" customHeight="1" x14ac:dyDescent="0.3">
      <c r="A275" s="144" t="str">
        <f t="shared" si="4"/>
        <v/>
      </c>
      <c r="B275" s="145"/>
      <c r="C275" s="116"/>
      <c r="D275" s="117"/>
      <c r="E275" s="117"/>
      <c r="F275" s="114"/>
      <c r="G275" s="114"/>
      <c r="H275" s="114"/>
      <c r="I275" s="114">
        <f>IF(E275&lt;&gt;"",F275*G275,SUMIFS(I276:I$9909,$C276:$C$9909,"*"&amp;C275&amp;"*",$E276:$E$9909,"&lt;&gt;"))</f>
        <v>0</v>
      </c>
      <c r="J275" s="114">
        <f>IF($E275&lt;&gt;"",$F275*H275,SUMIFS(J276:J$9909,$C276:$C$9909,"*"&amp;$C275&amp;"*",$E276:$E$9909,"&lt;&gt;"))</f>
        <v>0</v>
      </c>
      <c r="K275" s="103">
        <f>IF(I275&gt;0,(I275-J275-I275*PARAMETROS!$C$19)/I275,0)</f>
        <v>0</v>
      </c>
      <c r="L275" s="104"/>
      <c r="M275" s="105"/>
      <c r="N275" s="112"/>
      <c r="O275" s="105"/>
      <c r="P275" s="105"/>
      <c r="Q275" s="105"/>
      <c r="R275" s="105"/>
      <c r="S275" s="105"/>
      <c r="T275" s="105"/>
      <c r="U275" s="105"/>
      <c r="V275" s="105"/>
      <c r="W275" s="105"/>
      <c r="X275" s="105"/>
    </row>
    <row r="276" spans="1:24" ht="15.75" hidden="1" customHeight="1" x14ac:dyDescent="0.3">
      <c r="A276" s="144" t="str">
        <f t="shared" si="4"/>
        <v/>
      </c>
      <c r="B276" s="145"/>
      <c r="C276" s="116"/>
      <c r="D276" s="117"/>
      <c r="E276" s="117"/>
      <c r="F276" s="114"/>
      <c r="G276" s="114"/>
      <c r="H276" s="114"/>
      <c r="I276" s="114">
        <f>IF(E276&lt;&gt;"",F276*G276,SUMIFS(I277:I$9909,$C277:$C$9909,"*"&amp;C276&amp;"*",$E277:$E$9909,"&lt;&gt;"))</f>
        <v>0</v>
      </c>
      <c r="J276" s="114">
        <f>IF($E276&lt;&gt;"",$F276*H276,SUMIFS(J277:J$9909,$C277:$C$9909,"*"&amp;$C276&amp;"*",$E277:$E$9909,"&lt;&gt;"))</f>
        <v>0</v>
      </c>
      <c r="K276" s="103">
        <f>IF(I276&gt;0,(I276-J276-I276*PARAMETROS!$C$19)/I276,0)</f>
        <v>0</v>
      </c>
      <c r="L276" s="104"/>
      <c r="M276" s="105"/>
      <c r="N276" s="112"/>
      <c r="O276" s="105"/>
      <c r="P276" s="105"/>
      <c r="Q276" s="105"/>
      <c r="R276" s="105"/>
      <c r="S276" s="105"/>
      <c r="T276" s="105"/>
      <c r="U276" s="105"/>
      <c r="V276" s="105"/>
      <c r="W276" s="105"/>
      <c r="X276" s="105"/>
    </row>
    <row r="277" spans="1:24" ht="15.75" hidden="1" customHeight="1" x14ac:dyDescent="0.3">
      <c r="A277" s="144" t="str">
        <f t="shared" si="4"/>
        <v/>
      </c>
      <c r="B277" s="145"/>
      <c r="C277" s="116"/>
      <c r="D277" s="117"/>
      <c r="E277" s="117"/>
      <c r="F277" s="114"/>
      <c r="G277" s="114"/>
      <c r="H277" s="114"/>
      <c r="I277" s="114">
        <f>IF(E277&lt;&gt;"",F277*G277,SUMIFS(I278:I$9909,$C278:$C$9909,"*"&amp;C277&amp;"*",$E278:$E$9909,"&lt;&gt;"))</f>
        <v>0</v>
      </c>
      <c r="J277" s="114">
        <f>IF($E277&lt;&gt;"",$F277*H277,SUMIFS(J278:J$9909,$C278:$C$9909,"*"&amp;$C277&amp;"*",$E278:$E$9909,"&lt;&gt;"))</f>
        <v>0</v>
      </c>
      <c r="K277" s="103">
        <f>IF(I277&gt;0,(I277-J277-I277*PARAMETROS!$C$19)/I277,0)</f>
        <v>0</v>
      </c>
      <c r="L277" s="104"/>
      <c r="M277" s="105"/>
      <c r="N277" s="112"/>
      <c r="O277" s="105"/>
      <c r="P277" s="105"/>
      <c r="Q277" s="105"/>
      <c r="R277" s="105"/>
      <c r="S277" s="105"/>
      <c r="T277" s="105"/>
      <c r="U277" s="105"/>
      <c r="V277" s="105"/>
      <c r="W277" s="105"/>
      <c r="X277" s="105"/>
    </row>
    <row r="278" spans="1:24" ht="15.75" hidden="1" customHeight="1" x14ac:dyDescent="0.3">
      <c r="A278" s="144" t="str">
        <f t="shared" si="4"/>
        <v/>
      </c>
      <c r="B278" s="145"/>
      <c r="C278" s="116"/>
      <c r="D278" s="117"/>
      <c r="E278" s="117"/>
      <c r="F278" s="114"/>
      <c r="G278" s="114"/>
      <c r="H278" s="114"/>
      <c r="I278" s="114">
        <f>IF(E278&lt;&gt;"",F278*G278,SUMIFS(I279:I$9909,$C279:$C$9909,"*"&amp;C278&amp;"*",$E279:$E$9909,"&lt;&gt;"))</f>
        <v>0</v>
      </c>
      <c r="J278" s="114">
        <f>IF($E278&lt;&gt;"",$F278*H278,SUMIFS(J279:J$9909,$C279:$C$9909,"*"&amp;$C278&amp;"*",$E279:$E$9909,"&lt;&gt;"))</f>
        <v>0</v>
      </c>
      <c r="K278" s="103">
        <f>IF(I278&gt;0,(I278-J278-I278*PARAMETROS!$C$19)/I278,0)</f>
        <v>0</v>
      </c>
      <c r="L278" s="104"/>
      <c r="M278" s="105"/>
      <c r="N278" s="112"/>
      <c r="O278" s="105"/>
      <c r="P278" s="105"/>
      <c r="Q278" s="105"/>
      <c r="R278" s="105"/>
      <c r="S278" s="105"/>
      <c r="T278" s="105"/>
      <c r="U278" s="105"/>
      <c r="V278" s="105"/>
      <c r="W278" s="105"/>
      <c r="X278" s="105"/>
    </row>
    <row r="279" spans="1:24" ht="15.75" hidden="1" customHeight="1" x14ac:dyDescent="0.3">
      <c r="A279" s="144" t="str">
        <f t="shared" si="4"/>
        <v/>
      </c>
      <c r="B279" s="145"/>
      <c r="C279" s="116"/>
      <c r="D279" s="117"/>
      <c r="E279" s="117"/>
      <c r="F279" s="114"/>
      <c r="G279" s="114"/>
      <c r="H279" s="114"/>
      <c r="I279" s="114">
        <f>IF(E279&lt;&gt;"",F279*G279,SUMIFS(I280:I$9909,$C280:$C$9909,"*"&amp;C279&amp;"*",$E280:$E$9909,"&lt;&gt;"))</f>
        <v>0</v>
      </c>
      <c r="J279" s="114">
        <f>IF($E279&lt;&gt;"",$F279*H279,SUMIFS(J280:J$9909,$C280:$C$9909,"*"&amp;$C279&amp;"*",$E280:$E$9909,"&lt;&gt;"))</f>
        <v>0</v>
      </c>
      <c r="K279" s="103">
        <f>IF(I279&gt;0,(I279-J279-I279*PARAMETROS!$C$19)/I279,0)</f>
        <v>0</v>
      </c>
      <c r="L279" s="104"/>
      <c r="M279" s="105"/>
      <c r="N279" s="112"/>
      <c r="O279" s="105"/>
      <c r="P279" s="105"/>
      <c r="Q279" s="105"/>
      <c r="R279" s="105"/>
      <c r="S279" s="105"/>
      <c r="T279" s="105"/>
      <c r="U279" s="105"/>
      <c r="V279" s="105"/>
      <c r="W279" s="105"/>
      <c r="X279" s="105"/>
    </row>
    <row r="280" spans="1:24" ht="15.75" hidden="1" customHeight="1" x14ac:dyDescent="0.3">
      <c r="A280" s="144" t="str">
        <f t="shared" si="4"/>
        <v/>
      </c>
      <c r="B280" s="145"/>
      <c r="C280" s="116"/>
      <c r="D280" s="117"/>
      <c r="E280" s="117"/>
      <c r="F280" s="114"/>
      <c r="G280" s="114"/>
      <c r="H280" s="114"/>
      <c r="I280" s="114">
        <f>IF(E280&lt;&gt;"",F280*G280,SUMIFS(I281:I$9909,$C281:$C$9909,"*"&amp;C280&amp;"*",$E281:$E$9909,"&lt;&gt;"))</f>
        <v>0</v>
      </c>
      <c r="J280" s="114">
        <f>IF($E280&lt;&gt;"",$F280*H280,SUMIFS(J281:J$9909,$C281:$C$9909,"*"&amp;$C280&amp;"*",$E281:$E$9909,"&lt;&gt;"))</f>
        <v>0</v>
      </c>
      <c r="K280" s="103">
        <f>IF(I280&gt;0,(I280-J280-I280*PARAMETROS!$C$19)/I280,0)</f>
        <v>0</v>
      </c>
      <c r="L280" s="104"/>
      <c r="M280" s="105"/>
      <c r="N280" s="112"/>
      <c r="O280" s="105"/>
      <c r="P280" s="105"/>
      <c r="Q280" s="105"/>
      <c r="R280" s="105"/>
      <c r="S280" s="105"/>
      <c r="T280" s="105"/>
      <c r="U280" s="105"/>
      <c r="V280" s="105"/>
      <c r="W280" s="105"/>
      <c r="X280" s="105"/>
    </row>
    <row r="281" spans="1:24" ht="15.75" hidden="1" customHeight="1" x14ac:dyDescent="0.3">
      <c r="A281" s="144" t="str">
        <f t="shared" si="4"/>
        <v/>
      </c>
      <c r="B281" s="145"/>
      <c r="C281" s="118"/>
      <c r="D281" s="119"/>
      <c r="E281" s="120"/>
      <c r="F281" s="114"/>
      <c r="G281" s="113"/>
      <c r="H281" s="113"/>
      <c r="I281" s="113">
        <f>IF(E281&lt;&gt;"",F281*G281,SUMIFS(I282:I$9909,$C282:$C$9909,"*"&amp;C281&amp;"*",$E282:$E$9909,"&lt;&gt;"))</f>
        <v>0</v>
      </c>
      <c r="J281" s="113">
        <f>IF($E281&lt;&gt;"",$F281*H281,SUMIFS(J282:J$9909,$C282:$C$9909,"*"&amp;$C281&amp;"*",$E282:$E$9909,"&lt;&gt;"))</f>
        <v>0</v>
      </c>
      <c r="K281" s="103">
        <f>IF(I281&gt;0,(I281-J281-I281*PARAMETROS!$C$19)/I281,0)</f>
        <v>0</v>
      </c>
      <c r="L281" s="104"/>
      <c r="M281" s="105"/>
      <c r="N281" s="109"/>
      <c r="O281" s="105"/>
      <c r="P281" s="105"/>
      <c r="Q281" s="105"/>
      <c r="R281" s="105"/>
      <c r="S281" s="105"/>
      <c r="T281" s="105"/>
      <c r="U281" s="105"/>
      <c r="V281" s="105"/>
      <c r="W281" s="105"/>
      <c r="X281" s="105"/>
    </row>
    <row r="282" spans="1:24" ht="15.75" hidden="1" customHeight="1" x14ac:dyDescent="0.3">
      <c r="A282" s="144" t="str">
        <f t="shared" si="4"/>
        <v/>
      </c>
      <c r="B282" s="145"/>
      <c r="C282" s="116"/>
      <c r="D282" s="117"/>
      <c r="E282" s="117"/>
      <c r="F282" s="114"/>
      <c r="G282" s="114"/>
      <c r="H282" s="114"/>
      <c r="I282" s="114">
        <f>IF(E282&lt;&gt;"",F282*G282,SUMIFS(I283:I$9909,$C283:$C$9909,"*"&amp;C282&amp;"*",$E283:$E$9909,"&lt;&gt;"))</f>
        <v>0</v>
      </c>
      <c r="J282" s="114">
        <f>IF($E282&lt;&gt;"",$F282*H282,SUMIFS(J283:J$9909,$C283:$C$9909,"*"&amp;$C282&amp;"*",$E283:$E$9909,"&lt;&gt;"))</f>
        <v>0</v>
      </c>
      <c r="K282" s="103">
        <f>IF(I282&gt;0,(I282-J282-I282*PARAMETROS!$C$19)/I282,0)</f>
        <v>0</v>
      </c>
      <c r="L282" s="104"/>
      <c r="M282" s="105"/>
      <c r="N282" s="112"/>
      <c r="O282" s="105"/>
      <c r="P282" s="105"/>
      <c r="Q282" s="105"/>
      <c r="R282" s="105"/>
      <c r="S282" s="105"/>
      <c r="T282" s="105"/>
      <c r="U282" s="105"/>
      <c r="V282" s="105"/>
      <c r="W282" s="105"/>
      <c r="X282" s="105"/>
    </row>
    <row r="283" spans="1:24" ht="15.75" hidden="1" customHeight="1" x14ac:dyDescent="0.3">
      <c r="A283" s="144" t="str">
        <f t="shared" si="4"/>
        <v/>
      </c>
      <c r="B283" s="145"/>
      <c r="C283" s="116"/>
      <c r="D283" s="117"/>
      <c r="E283" s="117"/>
      <c r="F283" s="114"/>
      <c r="G283" s="114"/>
      <c r="H283" s="114"/>
      <c r="I283" s="114">
        <f>IF(E283&lt;&gt;"",F283*G283,SUMIFS(I284:I$9909,$C284:$C$9909,"*"&amp;C283&amp;"*",$E284:$E$9909,"&lt;&gt;"))</f>
        <v>0</v>
      </c>
      <c r="J283" s="114">
        <f>IF($E283&lt;&gt;"",$F283*H283,SUMIFS(J284:J$9909,$C284:$C$9909,"*"&amp;$C283&amp;"*",$E284:$E$9909,"&lt;&gt;"))</f>
        <v>0</v>
      </c>
      <c r="K283" s="103">
        <f>IF(I283&gt;0,(I283-J283-I283*PARAMETROS!$C$19)/I283,0)</f>
        <v>0</v>
      </c>
      <c r="L283" s="104"/>
      <c r="M283" s="105"/>
      <c r="N283" s="112"/>
      <c r="O283" s="105"/>
      <c r="P283" s="105"/>
      <c r="Q283" s="105"/>
      <c r="R283" s="105"/>
      <c r="S283" s="105"/>
      <c r="T283" s="105"/>
      <c r="U283" s="105"/>
      <c r="V283" s="105"/>
      <c r="W283" s="105"/>
      <c r="X283" s="105"/>
    </row>
    <row r="284" spans="1:24" ht="15.75" hidden="1" customHeight="1" x14ac:dyDescent="0.3">
      <c r="A284" s="144" t="str">
        <f t="shared" si="4"/>
        <v/>
      </c>
      <c r="B284" s="145"/>
      <c r="C284" s="116"/>
      <c r="D284" s="117"/>
      <c r="E284" s="117"/>
      <c r="F284" s="114"/>
      <c r="G284" s="114"/>
      <c r="H284" s="114"/>
      <c r="I284" s="114">
        <f>IF(E284&lt;&gt;"",F284*G284,SUMIFS(I285:I$9909,$C285:$C$9909,"*"&amp;C284&amp;"*",$E285:$E$9909,"&lt;&gt;"))</f>
        <v>0</v>
      </c>
      <c r="J284" s="114">
        <f>IF($E284&lt;&gt;"",$F284*H284,SUMIFS(J285:J$9909,$C285:$C$9909,"*"&amp;$C284&amp;"*",$E285:$E$9909,"&lt;&gt;"))</f>
        <v>0</v>
      </c>
      <c r="K284" s="103">
        <f>IF(I284&gt;0,(I284-J284-I284*PARAMETROS!$C$19)/I284,0)</f>
        <v>0</v>
      </c>
      <c r="L284" s="104"/>
      <c r="M284" s="105"/>
      <c r="N284" s="112"/>
      <c r="O284" s="105"/>
      <c r="P284" s="105"/>
      <c r="Q284" s="105"/>
      <c r="R284" s="105"/>
      <c r="S284" s="105"/>
      <c r="T284" s="105"/>
      <c r="U284" s="105"/>
      <c r="V284" s="105"/>
      <c r="W284" s="105"/>
      <c r="X284" s="105"/>
    </row>
    <row r="285" spans="1:24" ht="15.75" hidden="1" customHeight="1" x14ac:dyDescent="0.3">
      <c r="A285" s="144" t="str">
        <f t="shared" si="4"/>
        <v/>
      </c>
      <c r="B285" s="145"/>
      <c r="C285" s="116"/>
      <c r="D285" s="117"/>
      <c r="E285" s="117"/>
      <c r="F285" s="114"/>
      <c r="G285" s="114"/>
      <c r="H285" s="114"/>
      <c r="I285" s="114">
        <f>IF(E285&lt;&gt;"",F285*G285,SUMIFS(I286:I$9909,$C286:$C$9909,"*"&amp;C285&amp;"*",$E286:$E$9909,"&lt;&gt;"))</f>
        <v>0</v>
      </c>
      <c r="J285" s="114">
        <f>IF($E285&lt;&gt;"",$F285*H285,SUMIFS(J286:J$9909,$C286:$C$9909,"*"&amp;$C285&amp;"*",$E286:$E$9909,"&lt;&gt;"))</f>
        <v>0</v>
      </c>
      <c r="K285" s="103">
        <f>IF(I285&gt;0,(I285-J285-I285*PARAMETROS!$C$19)/I285,0)</f>
        <v>0</v>
      </c>
      <c r="L285" s="104"/>
      <c r="M285" s="105"/>
      <c r="N285" s="112"/>
      <c r="O285" s="105"/>
      <c r="P285" s="105"/>
      <c r="Q285" s="105"/>
      <c r="R285" s="105"/>
      <c r="S285" s="105"/>
      <c r="T285" s="105"/>
      <c r="U285" s="105"/>
      <c r="V285" s="105"/>
      <c r="W285" s="105"/>
      <c r="X285" s="105"/>
    </row>
    <row r="286" spans="1:24" ht="15.75" hidden="1" customHeight="1" x14ac:dyDescent="0.3">
      <c r="A286" s="144" t="str">
        <f t="shared" si="4"/>
        <v/>
      </c>
      <c r="B286" s="145"/>
      <c r="C286" s="118"/>
      <c r="D286" s="119"/>
      <c r="E286" s="120"/>
      <c r="F286" s="114"/>
      <c r="G286" s="113"/>
      <c r="H286" s="113"/>
      <c r="I286" s="113">
        <f>IF(E286&lt;&gt;"",F286*G286,SUMIFS(I287:I$9909,$C287:$C$9909,"*"&amp;C286&amp;"*",$E287:$E$9909,"&lt;&gt;"))</f>
        <v>0</v>
      </c>
      <c r="J286" s="113">
        <f>IF($E286&lt;&gt;"",$F286*H286,SUMIFS(J287:J$9909,$C287:$C$9909,"*"&amp;$C286&amp;"*",$E287:$E$9909,"&lt;&gt;"))</f>
        <v>0</v>
      </c>
      <c r="K286" s="103">
        <f>IF(I286&gt;0,(I286-J286-I286*PARAMETROS!$C$19)/I286,0)</f>
        <v>0</v>
      </c>
      <c r="L286" s="104"/>
      <c r="M286" s="105"/>
      <c r="N286" s="109"/>
      <c r="O286" s="105"/>
      <c r="P286" s="105"/>
      <c r="Q286" s="105"/>
      <c r="R286" s="105"/>
      <c r="S286" s="105"/>
      <c r="T286" s="105"/>
      <c r="U286" s="105"/>
      <c r="V286" s="105"/>
      <c r="W286" s="105"/>
      <c r="X286" s="105"/>
    </row>
    <row r="287" spans="1:24" ht="15.75" hidden="1" customHeight="1" x14ac:dyDescent="0.3">
      <c r="A287" s="144" t="str">
        <f t="shared" si="4"/>
        <v/>
      </c>
      <c r="B287" s="145"/>
      <c r="C287" s="116"/>
      <c r="D287" s="117"/>
      <c r="E287" s="117"/>
      <c r="F287" s="114"/>
      <c r="G287" s="114"/>
      <c r="H287" s="114"/>
      <c r="I287" s="114">
        <f>IF(E287&lt;&gt;"",F287*G287,SUMIFS(I288:I$9909,$C288:$C$9909,"*"&amp;C287&amp;"*",$E288:$E$9909,"&lt;&gt;"))</f>
        <v>0</v>
      </c>
      <c r="J287" s="114">
        <f>IF($E287&lt;&gt;"",$F287*H287,SUMIFS(J288:J$9909,$C288:$C$9909,"*"&amp;$C287&amp;"*",$E288:$E$9909,"&lt;&gt;"))</f>
        <v>0</v>
      </c>
      <c r="K287" s="103">
        <f>IF(I287&gt;0,(I287-J287-I287*PARAMETROS!$C$19)/I287,0)</f>
        <v>0</v>
      </c>
      <c r="L287" s="104"/>
      <c r="M287" s="105"/>
      <c r="N287" s="112"/>
      <c r="O287" s="105"/>
      <c r="P287" s="105"/>
      <c r="Q287" s="105"/>
      <c r="R287" s="105"/>
      <c r="S287" s="105"/>
      <c r="T287" s="105"/>
      <c r="U287" s="105"/>
      <c r="V287" s="105"/>
      <c r="W287" s="105"/>
      <c r="X287" s="105"/>
    </row>
    <row r="288" spans="1:24" ht="15.75" hidden="1" customHeight="1" x14ac:dyDescent="0.3">
      <c r="A288" s="144" t="str">
        <f t="shared" si="4"/>
        <v/>
      </c>
      <c r="B288" s="145"/>
      <c r="C288" s="116"/>
      <c r="D288" s="117"/>
      <c r="E288" s="117"/>
      <c r="F288" s="114"/>
      <c r="G288" s="114"/>
      <c r="H288" s="114"/>
      <c r="I288" s="114">
        <f>IF(E288&lt;&gt;"",F288*G288,SUMIFS(I289:I$9909,$C289:$C$9909,"*"&amp;C288&amp;"*",$E289:$E$9909,"&lt;&gt;"))</f>
        <v>0</v>
      </c>
      <c r="J288" s="114">
        <f>IF($E288&lt;&gt;"",$F288*H288,SUMIFS(J289:J$9909,$C289:$C$9909,"*"&amp;$C288&amp;"*",$E289:$E$9909,"&lt;&gt;"))</f>
        <v>0</v>
      </c>
      <c r="K288" s="103">
        <f>IF(I288&gt;0,(I288-J288-I288*PARAMETROS!$C$19)/I288,0)</f>
        <v>0</v>
      </c>
      <c r="L288" s="104"/>
      <c r="M288" s="105"/>
      <c r="N288" s="112"/>
      <c r="O288" s="105"/>
      <c r="P288" s="105"/>
      <c r="Q288" s="105"/>
      <c r="R288" s="105"/>
      <c r="S288" s="105"/>
      <c r="T288" s="105"/>
      <c r="U288" s="105"/>
      <c r="V288" s="105"/>
      <c r="W288" s="105"/>
      <c r="X288" s="105"/>
    </row>
    <row r="289" spans="1:24" ht="15.75" hidden="1" customHeight="1" x14ac:dyDescent="0.3">
      <c r="A289" s="144" t="str">
        <f t="shared" si="4"/>
        <v/>
      </c>
      <c r="B289" s="145"/>
      <c r="C289" s="116"/>
      <c r="D289" s="117"/>
      <c r="E289" s="117"/>
      <c r="F289" s="114"/>
      <c r="G289" s="114"/>
      <c r="H289" s="114"/>
      <c r="I289" s="114">
        <f>IF(E289&lt;&gt;"",F289*G289,SUMIFS(I290:I$9909,$C290:$C$9909,"*"&amp;C289&amp;"*",$E290:$E$9909,"&lt;&gt;"))</f>
        <v>0</v>
      </c>
      <c r="J289" s="114">
        <f>IF($E289&lt;&gt;"",$F289*H289,SUMIFS(J290:J$9909,$C290:$C$9909,"*"&amp;$C289&amp;"*",$E290:$E$9909,"&lt;&gt;"))</f>
        <v>0</v>
      </c>
      <c r="K289" s="103">
        <f>IF(I289&gt;0,(I289-J289-I289*PARAMETROS!$C$19)/I289,0)</f>
        <v>0</v>
      </c>
      <c r="L289" s="104"/>
      <c r="M289" s="105"/>
      <c r="N289" s="112"/>
      <c r="O289" s="105"/>
      <c r="P289" s="105"/>
      <c r="Q289" s="105"/>
      <c r="R289" s="105"/>
      <c r="S289" s="105"/>
      <c r="T289" s="105"/>
      <c r="U289" s="105"/>
      <c r="V289" s="105"/>
      <c r="W289" s="105"/>
      <c r="X289" s="105"/>
    </row>
    <row r="290" spans="1:24" ht="15.75" hidden="1" customHeight="1" x14ac:dyDescent="0.3">
      <c r="A290" s="144" t="str">
        <f t="shared" si="4"/>
        <v/>
      </c>
      <c r="B290" s="145"/>
      <c r="C290" s="116"/>
      <c r="D290" s="117"/>
      <c r="E290" s="117"/>
      <c r="F290" s="114"/>
      <c r="G290" s="114"/>
      <c r="H290" s="114"/>
      <c r="I290" s="114">
        <f>IF(E290&lt;&gt;"",F290*G290,SUMIFS(I291:I$9909,$C291:$C$9909,"*"&amp;C290&amp;"*",$E291:$E$9909,"&lt;&gt;"))</f>
        <v>0</v>
      </c>
      <c r="J290" s="114">
        <f>IF($E290&lt;&gt;"",$F290*H290,SUMIFS(J291:J$9909,$C291:$C$9909,"*"&amp;$C290&amp;"*",$E291:$E$9909,"&lt;&gt;"))</f>
        <v>0</v>
      </c>
      <c r="K290" s="103">
        <f>IF(I290&gt;0,(I290-J290-I290*PARAMETROS!$C$19)/I290,0)</f>
        <v>0</v>
      </c>
      <c r="L290" s="104"/>
      <c r="M290" s="105"/>
      <c r="N290" s="112"/>
      <c r="O290" s="105"/>
      <c r="P290" s="105"/>
      <c r="Q290" s="105"/>
      <c r="R290" s="105"/>
      <c r="S290" s="105"/>
      <c r="T290" s="105"/>
      <c r="U290" s="105"/>
      <c r="V290" s="105"/>
      <c r="W290" s="105"/>
      <c r="X290" s="105"/>
    </row>
    <row r="291" spans="1:24" ht="15.75" hidden="1" customHeight="1" x14ac:dyDescent="0.3">
      <c r="A291" s="144" t="str">
        <f t="shared" si="4"/>
        <v/>
      </c>
      <c r="B291" s="145"/>
      <c r="C291" s="118"/>
      <c r="D291" s="119"/>
      <c r="E291" s="120"/>
      <c r="F291" s="114"/>
      <c r="G291" s="113"/>
      <c r="H291" s="113"/>
      <c r="I291" s="113">
        <f>IF(E291&lt;&gt;"",F291*G291,SUMIFS(I292:I$9909,$C292:$C$9909,"*"&amp;C291&amp;"*",$E292:$E$9909,"&lt;&gt;"))</f>
        <v>0</v>
      </c>
      <c r="J291" s="113">
        <f>IF($E291&lt;&gt;"",$F291*H291,SUMIFS(J292:J$9909,$C292:$C$9909,"*"&amp;$C291&amp;"*",$E292:$E$9909,"&lt;&gt;"))</f>
        <v>0</v>
      </c>
      <c r="K291" s="103">
        <f>IF(I291&gt;0,(I291-J291-I291*PARAMETROS!$C$19)/I291,0)</f>
        <v>0</v>
      </c>
      <c r="L291" s="104"/>
      <c r="M291" s="105"/>
      <c r="N291" s="109"/>
      <c r="O291" s="105"/>
      <c r="P291" s="105"/>
      <c r="Q291" s="105"/>
      <c r="R291" s="105"/>
      <c r="S291" s="105"/>
      <c r="T291" s="105"/>
      <c r="U291" s="105"/>
      <c r="V291" s="105"/>
      <c r="W291" s="105"/>
      <c r="X291" s="105"/>
    </row>
    <row r="292" spans="1:24" ht="15.75" hidden="1" customHeight="1" x14ac:dyDescent="0.3">
      <c r="A292" s="144" t="str">
        <f t="shared" si="4"/>
        <v/>
      </c>
      <c r="B292" s="145"/>
      <c r="C292" s="116"/>
      <c r="D292" s="117"/>
      <c r="E292" s="117"/>
      <c r="F292" s="114"/>
      <c r="G292" s="114"/>
      <c r="H292" s="114"/>
      <c r="I292" s="114">
        <f>IF(E292&lt;&gt;"",F292*G292,SUMIFS(I293:I$9909,$C293:$C$9909,"*"&amp;C292&amp;"*",$E293:$E$9909,"&lt;&gt;"))</f>
        <v>0</v>
      </c>
      <c r="J292" s="114">
        <f>IF($E292&lt;&gt;"",$F292*H292,SUMIFS(J293:J$9909,$C293:$C$9909,"*"&amp;$C292&amp;"*",$E293:$E$9909,"&lt;&gt;"))</f>
        <v>0</v>
      </c>
      <c r="K292" s="103">
        <f>IF(I292&gt;0,(I292-J292-I292*PARAMETROS!$C$19)/I292,0)</f>
        <v>0</v>
      </c>
      <c r="L292" s="104"/>
      <c r="M292" s="105"/>
      <c r="N292" s="112"/>
      <c r="O292" s="105"/>
      <c r="P292" s="105"/>
      <c r="Q292" s="105"/>
      <c r="R292" s="105"/>
      <c r="S292" s="105"/>
      <c r="T292" s="105"/>
      <c r="U292" s="105"/>
      <c r="V292" s="105"/>
      <c r="W292" s="105"/>
      <c r="X292" s="105"/>
    </row>
    <row r="293" spans="1:24" ht="15.75" hidden="1" customHeight="1" x14ac:dyDescent="0.3">
      <c r="A293" s="144" t="str">
        <f t="shared" si="4"/>
        <v/>
      </c>
      <c r="B293" s="145"/>
      <c r="C293" s="116"/>
      <c r="D293" s="117"/>
      <c r="E293" s="117"/>
      <c r="F293" s="114"/>
      <c r="G293" s="114"/>
      <c r="H293" s="114"/>
      <c r="I293" s="114">
        <f>IF(E293&lt;&gt;"",F293*G293,SUMIFS(I294:I$9909,$C294:$C$9909,"*"&amp;C293&amp;"*",$E294:$E$9909,"&lt;&gt;"))</f>
        <v>0</v>
      </c>
      <c r="J293" s="114">
        <f>IF($E293&lt;&gt;"",$F293*H293,SUMIFS(J294:J$9909,$C294:$C$9909,"*"&amp;$C293&amp;"*",$E294:$E$9909,"&lt;&gt;"))</f>
        <v>0</v>
      </c>
      <c r="K293" s="103">
        <f>IF(I293&gt;0,(I293-J293-I293*PARAMETROS!$C$19)/I293,0)</f>
        <v>0</v>
      </c>
      <c r="L293" s="104"/>
      <c r="M293" s="105"/>
      <c r="N293" s="112"/>
      <c r="O293" s="105"/>
      <c r="P293" s="105"/>
      <c r="Q293" s="105"/>
      <c r="R293" s="105"/>
      <c r="S293" s="105"/>
      <c r="T293" s="105"/>
      <c r="U293" s="105"/>
      <c r="V293" s="105"/>
      <c r="W293" s="105"/>
      <c r="X293" s="105"/>
    </row>
    <row r="294" spans="1:24" ht="15.75" hidden="1" customHeight="1" x14ac:dyDescent="0.3">
      <c r="A294" s="144" t="str">
        <f t="shared" si="4"/>
        <v/>
      </c>
      <c r="B294" s="145"/>
      <c r="C294" s="116"/>
      <c r="D294" s="117"/>
      <c r="E294" s="117"/>
      <c r="F294" s="114"/>
      <c r="G294" s="114"/>
      <c r="H294" s="114"/>
      <c r="I294" s="114">
        <f>IF(E294&lt;&gt;"",F294*G294,SUMIFS(I295:I$9909,$C295:$C$9909,"*"&amp;C294&amp;"*",$E295:$E$9909,"&lt;&gt;"))</f>
        <v>0</v>
      </c>
      <c r="J294" s="114">
        <f>IF($E294&lt;&gt;"",$F294*H294,SUMIFS(J295:J$9909,$C295:$C$9909,"*"&amp;$C294&amp;"*",$E295:$E$9909,"&lt;&gt;"))</f>
        <v>0</v>
      </c>
      <c r="K294" s="103">
        <f>IF(I294&gt;0,(I294-J294-I294*PARAMETROS!$C$19)/I294,0)</f>
        <v>0</v>
      </c>
      <c r="L294" s="104"/>
      <c r="M294" s="105"/>
      <c r="N294" s="112"/>
      <c r="O294" s="105"/>
      <c r="P294" s="105"/>
      <c r="Q294" s="105"/>
      <c r="R294" s="105"/>
      <c r="S294" s="105"/>
      <c r="T294" s="105"/>
      <c r="U294" s="105"/>
      <c r="V294" s="105"/>
      <c r="W294" s="105"/>
      <c r="X294" s="105"/>
    </row>
    <row r="295" spans="1:24" ht="15.75" hidden="1" customHeight="1" x14ac:dyDescent="0.3">
      <c r="A295" s="144" t="str">
        <f t="shared" si="4"/>
        <v/>
      </c>
      <c r="B295" s="145"/>
      <c r="C295" s="116"/>
      <c r="D295" s="117"/>
      <c r="E295" s="117"/>
      <c r="F295" s="114"/>
      <c r="G295" s="114"/>
      <c r="H295" s="114"/>
      <c r="I295" s="114">
        <f>IF(E295&lt;&gt;"",F295*G295,SUMIFS(I296:I$9909,$C296:$C$9909,"*"&amp;C295&amp;"*",$E296:$E$9909,"&lt;&gt;"))</f>
        <v>0</v>
      </c>
      <c r="J295" s="114">
        <f>IF($E295&lt;&gt;"",$F295*H295,SUMIFS(J296:J$9909,$C296:$C$9909,"*"&amp;$C295&amp;"*",$E296:$E$9909,"&lt;&gt;"))</f>
        <v>0</v>
      </c>
      <c r="K295" s="103">
        <f>IF(I295&gt;0,(I295-J295-I295*PARAMETROS!$C$19)/I295,0)</f>
        <v>0</v>
      </c>
      <c r="L295" s="104"/>
      <c r="M295" s="105"/>
      <c r="N295" s="112"/>
      <c r="O295" s="105"/>
      <c r="P295" s="105"/>
      <c r="Q295" s="105"/>
      <c r="R295" s="105"/>
      <c r="S295" s="105"/>
      <c r="T295" s="105"/>
      <c r="U295" s="105"/>
      <c r="V295" s="105"/>
      <c r="W295" s="105"/>
      <c r="X295" s="105"/>
    </row>
    <row r="296" spans="1:24" ht="15.75" hidden="1" customHeight="1" x14ac:dyDescent="0.3">
      <c r="A296" s="144" t="str">
        <f t="shared" si="4"/>
        <v/>
      </c>
      <c r="B296" s="145"/>
      <c r="C296" s="116"/>
      <c r="D296" s="117"/>
      <c r="E296" s="117"/>
      <c r="F296" s="114"/>
      <c r="G296" s="114"/>
      <c r="H296" s="114"/>
      <c r="I296" s="114">
        <f>IF(E296&lt;&gt;"",F296*G296,SUMIFS(I297:I$9909,$C297:$C$9909,"*"&amp;C296&amp;"*",$E297:$E$9909,"&lt;&gt;"))</f>
        <v>0</v>
      </c>
      <c r="J296" s="114">
        <f>IF($E296&lt;&gt;"",$F296*H296,SUMIFS(J297:J$9909,$C297:$C$9909,"*"&amp;$C296&amp;"*",$E297:$E$9909,"&lt;&gt;"))</f>
        <v>0</v>
      </c>
      <c r="K296" s="103">
        <f>IF(I296&gt;0,(I296-J296-I296*PARAMETROS!$C$19)/I296,0)</f>
        <v>0</v>
      </c>
      <c r="L296" s="104"/>
      <c r="M296" s="105"/>
      <c r="N296" s="112"/>
      <c r="O296" s="105"/>
      <c r="P296" s="105"/>
      <c r="Q296" s="105"/>
      <c r="R296" s="105"/>
      <c r="S296" s="105"/>
      <c r="T296" s="105"/>
      <c r="U296" s="105"/>
      <c r="V296" s="105"/>
      <c r="W296" s="105"/>
      <c r="X296" s="105"/>
    </row>
    <row r="297" spans="1:24" ht="15.75" hidden="1" customHeight="1" x14ac:dyDescent="0.3">
      <c r="A297" s="144" t="str">
        <f t="shared" si="4"/>
        <v/>
      </c>
      <c r="B297" s="145"/>
      <c r="C297" s="118"/>
      <c r="D297" s="119"/>
      <c r="E297" s="120"/>
      <c r="F297" s="114"/>
      <c r="G297" s="113"/>
      <c r="H297" s="113"/>
      <c r="I297" s="113">
        <f>IF(E297&lt;&gt;"",F297*G297,SUMIFS(I298:I$9909,$C298:$C$9909,"*"&amp;C297&amp;"*",$E298:$E$9909,"&lt;&gt;"))</f>
        <v>0</v>
      </c>
      <c r="J297" s="113">
        <f>IF($E297&lt;&gt;"",$F297*H297,SUMIFS(J298:J$9909,$C298:$C$9909,"*"&amp;$C297&amp;"*",$E298:$E$9909,"&lt;&gt;"))</f>
        <v>0</v>
      </c>
      <c r="K297" s="103">
        <f>IF(I297&gt;0,(I297-J297-I297*PARAMETROS!$C$19)/I297,0)</f>
        <v>0</v>
      </c>
      <c r="L297" s="104"/>
      <c r="M297" s="105"/>
      <c r="N297" s="109"/>
      <c r="O297" s="105"/>
      <c r="P297" s="105"/>
      <c r="Q297" s="105"/>
      <c r="R297" s="105"/>
      <c r="S297" s="105"/>
      <c r="T297" s="105"/>
      <c r="U297" s="105"/>
      <c r="V297" s="105"/>
      <c r="W297" s="105"/>
      <c r="X297" s="105"/>
    </row>
    <row r="298" spans="1:24" ht="15.75" hidden="1" customHeight="1" x14ac:dyDescent="0.3">
      <c r="A298" s="144" t="str">
        <f t="shared" si="4"/>
        <v/>
      </c>
      <c r="B298" s="145"/>
      <c r="C298" s="116"/>
      <c r="D298" s="117"/>
      <c r="E298" s="117"/>
      <c r="F298" s="114"/>
      <c r="G298" s="114"/>
      <c r="H298" s="114"/>
      <c r="I298" s="114">
        <f>IF(E298&lt;&gt;"",F298*G298,SUMIFS(I299:I$9909,$C299:$C$9909,"*"&amp;C298&amp;"*",$E299:$E$9909,"&lt;&gt;"))</f>
        <v>0</v>
      </c>
      <c r="J298" s="114">
        <f>IF($E298&lt;&gt;"",$F298*H298,SUMIFS(J299:J$9909,$C299:$C$9909,"*"&amp;$C298&amp;"*",$E299:$E$9909,"&lt;&gt;"))</f>
        <v>0</v>
      </c>
      <c r="K298" s="103">
        <f>IF(I298&gt;0,(I298-J298-I298*PARAMETROS!$C$19)/I298,0)</f>
        <v>0</v>
      </c>
      <c r="L298" s="104"/>
      <c r="M298" s="105"/>
      <c r="N298" s="112"/>
      <c r="O298" s="105"/>
      <c r="P298" s="105"/>
      <c r="Q298" s="105"/>
      <c r="R298" s="105"/>
      <c r="S298" s="105"/>
      <c r="T298" s="105"/>
      <c r="U298" s="105"/>
      <c r="V298" s="105"/>
      <c r="W298" s="105"/>
      <c r="X298" s="105"/>
    </row>
    <row r="299" spans="1:24" ht="15.75" hidden="1" customHeight="1" x14ac:dyDescent="0.3">
      <c r="A299" s="144" t="str">
        <f t="shared" si="4"/>
        <v/>
      </c>
      <c r="B299" s="145"/>
      <c r="C299" s="116"/>
      <c r="D299" s="117"/>
      <c r="E299" s="117"/>
      <c r="F299" s="114" t="str">
        <f t="shared" ref="F299:F338" si="5">IF(E299&lt;&gt;"",SUM(M299:X299),"")</f>
        <v/>
      </c>
      <c r="G299" s="114"/>
      <c r="H299" s="114"/>
      <c r="I299" s="114">
        <f>IF(E299&lt;&gt;"",F299*G299,SUMIFS(I300:I$9909,$C300:$C$9909,"*"&amp;C299&amp;"*",$E300:$E$9909,"&lt;&gt;"))</f>
        <v>0</v>
      </c>
      <c r="J299" s="114">
        <f>IF($E299&lt;&gt;"",$F299*H299,SUMIFS(J300:J$9909,$C300:$C$9909,"*"&amp;$C299&amp;"*",$E300:$E$9909,"&lt;&gt;"))</f>
        <v>0</v>
      </c>
      <c r="K299" s="103">
        <f>IF(I299&gt;0,(I299-J299-I299*PARAMETROS!$C$19)/I299,0)</f>
        <v>0</v>
      </c>
      <c r="L299" s="104"/>
      <c r="M299" s="105"/>
      <c r="N299" s="112"/>
      <c r="O299" s="105"/>
      <c r="P299" s="105"/>
      <c r="Q299" s="105"/>
      <c r="R299" s="105"/>
      <c r="S299" s="105"/>
      <c r="T299" s="105"/>
      <c r="U299" s="105"/>
      <c r="V299" s="105"/>
      <c r="W299" s="105"/>
      <c r="X299" s="105"/>
    </row>
    <row r="300" spans="1:24" ht="15.75" hidden="1" customHeight="1" x14ac:dyDescent="0.3">
      <c r="A300" s="144" t="str">
        <f t="shared" si="4"/>
        <v/>
      </c>
      <c r="B300" s="145"/>
      <c r="C300" s="116"/>
      <c r="D300" s="117"/>
      <c r="E300" s="117"/>
      <c r="F300" s="114" t="str">
        <f t="shared" si="5"/>
        <v/>
      </c>
      <c r="G300" s="114"/>
      <c r="H300" s="114"/>
      <c r="I300" s="114">
        <f>IF(E300&lt;&gt;"",F300*G300,SUMIFS(I301:I$9909,$C301:$C$9909,"*"&amp;C300&amp;"*",$E301:$E$9909,"&lt;&gt;"))</f>
        <v>0</v>
      </c>
      <c r="J300" s="114">
        <f>IF($E300&lt;&gt;"",$F300*H300,SUMIFS(J301:J$9909,$C301:$C$9909,"*"&amp;$C300&amp;"*",$E301:$E$9909,"&lt;&gt;"))</f>
        <v>0</v>
      </c>
      <c r="K300" s="103">
        <f>IF(I300&gt;0,(I300-J300-I300*PARAMETROS!$C$19)/I300,0)</f>
        <v>0</v>
      </c>
      <c r="L300" s="104"/>
      <c r="M300" s="105"/>
      <c r="N300" s="112"/>
      <c r="O300" s="105"/>
      <c r="P300" s="105"/>
      <c r="Q300" s="105"/>
      <c r="R300" s="105"/>
      <c r="S300" s="105"/>
      <c r="T300" s="105"/>
      <c r="U300" s="105"/>
      <c r="V300" s="105"/>
      <c r="W300" s="105"/>
      <c r="X300" s="105"/>
    </row>
    <row r="301" spans="1:24" ht="15.75" hidden="1" customHeight="1" x14ac:dyDescent="0.3">
      <c r="A301" s="144" t="str">
        <f t="shared" si="4"/>
        <v/>
      </c>
      <c r="B301" s="145"/>
      <c r="C301" s="116"/>
      <c r="D301" s="117"/>
      <c r="E301" s="117"/>
      <c r="F301" s="114" t="str">
        <f t="shared" si="5"/>
        <v/>
      </c>
      <c r="G301" s="114"/>
      <c r="H301" s="114"/>
      <c r="I301" s="114">
        <f>IF(E301&lt;&gt;"",F301*G301,SUMIFS(I302:I$9909,$C302:$C$9909,"*"&amp;C301&amp;"*",$E302:$E$9909,"&lt;&gt;"))</f>
        <v>0</v>
      </c>
      <c r="J301" s="114">
        <f>IF($E301&lt;&gt;"",$F301*H301,SUMIFS(J302:J$9909,$C302:$C$9909,"*"&amp;$C301&amp;"*",$E302:$E$9909,"&lt;&gt;"))</f>
        <v>0</v>
      </c>
      <c r="K301" s="103">
        <f>IF(I301&gt;0,(I301-J301-I301*PARAMETROS!$C$19)/I301,0)</f>
        <v>0</v>
      </c>
      <c r="L301" s="104"/>
      <c r="M301" s="105"/>
      <c r="N301" s="112"/>
      <c r="O301" s="105"/>
      <c r="P301" s="105"/>
      <c r="Q301" s="105"/>
      <c r="R301" s="105"/>
      <c r="S301" s="105"/>
      <c r="T301" s="105"/>
      <c r="U301" s="105"/>
      <c r="V301" s="105"/>
      <c r="W301" s="105"/>
      <c r="X301" s="105"/>
    </row>
    <row r="302" spans="1:24" ht="15.75" hidden="1" customHeight="1" x14ac:dyDescent="0.3">
      <c r="A302" s="144" t="str">
        <f t="shared" si="4"/>
        <v/>
      </c>
      <c r="B302" s="145"/>
      <c r="C302" s="121"/>
      <c r="D302" s="122"/>
      <c r="E302" s="123"/>
      <c r="F302" s="114" t="str">
        <f t="shared" si="5"/>
        <v/>
      </c>
      <c r="G302" s="115"/>
      <c r="H302" s="115"/>
      <c r="I302" s="115">
        <f>IF(E302&lt;&gt;"",F302*G302,SUMIFS(I303:I$9909,$C303:$C$9909,"*"&amp;C302&amp;"*",$E303:$E$9909,"&lt;&gt;"))</f>
        <v>0</v>
      </c>
      <c r="J302" s="115">
        <f>IF($E302&lt;&gt;"",$F302*H302,SUMIFS(J303:J$9909,$C303:$C$9909,"*"&amp;$C302&amp;"*",$E303:$E$9909,"&lt;&gt;"))</f>
        <v>0</v>
      </c>
      <c r="K302" s="103">
        <f>IF(I302&gt;0,(I302-J302-I302*PARAMETROS!$C$19)/I302,0)</f>
        <v>0</v>
      </c>
      <c r="L302" s="104"/>
      <c r="M302" s="105"/>
      <c r="N302" s="102"/>
      <c r="O302" s="105"/>
      <c r="P302" s="105"/>
      <c r="Q302" s="105"/>
      <c r="R302" s="105"/>
      <c r="S302" s="105"/>
      <c r="T302" s="105"/>
      <c r="U302" s="105"/>
      <c r="V302" s="105"/>
      <c r="W302" s="105"/>
      <c r="X302" s="105"/>
    </row>
    <row r="303" spans="1:24" ht="15.75" hidden="1" customHeight="1" x14ac:dyDescent="0.3">
      <c r="A303" s="144" t="str">
        <f t="shared" si="4"/>
        <v/>
      </c>
      <c r="B303" s="145"/>
      <c r="C303" s="118"/>
      <c r="D303" s="119"/>
      <c r="E303" s="120"/>
      <c r="F303" s="114" t="str">
        <f t="shared" si="5"/>
        <v/>
      </c>
      <c r="G303" s="113"/>
      <c r="H303" s="113"/>
      <c r="I303" s="113">
        <f>IF(E303&lt;&gt;"",F303*G303,SUMIFS(I304:I$9909,$C304:$C$9909,"*"&amp;C303&amp;"*",$E304:$E$9909,"&lt;&gt;"))</f>
        <v>0</v>
      </c>
      <c r="J303" s="113">
        <f>IF($E303&lt;&gt;"",$F303*H303,SUMIFS(J304:J$9909,$C304:$C$9909,"*"&amp;$C303&amp;"*",$E304:$E$9909,"&lt;&gt;"))</f>
        <v>0</v>
      </c>
      <c r="K303" s="103">
        <f>IF(I303&gt;0,(I303-J303-I303*PARAMETROS!$C$19)/I303,0)</f>
        <v>0</v>
      </c>
      <c r="L303" s="104"/>
      <c r="M303" s="105"/>
      <c r="N303" s="109"/>
      <c r="O303" s="105"/>
      <c r="P303" s="105"/>
      <c r="Q303" s="105"/>
      <c r="R303" s="105"/>
      <c r="S303" s="105"/>
      <c r="T303" s="105"/>
      <c r="U303" s="105"/>
      <c r="V303" s="105"/>
      <c r="W303" s="105"/>
      <c r="X303" s="105"/>
    </row>
    <row r="304" spans="1:24" ht="15.75" hidden="1" customHeight="1" x14ac:dyDescent="0.3">
      <c r="A304" s="144" t="str">
        <f t="shared" si="4"/>
        <v/>
      </c>
      <c r="B304" s="145"/>
      <c r="C304" s="116"/>
      <c r="D304" s="117"/>
      <c r="E304" s="117"/>
      <c r="F304" s="114" t="str">
        <f t="shared" si="5"/>
        <v/>
      </c>
      <c r="G304" s="114"/>
      <c r="H304" s="114"/>
      <c r="I304" s="114">
        <f>IF(E304&lt;&gt;"",F304*G304,SUMIFS(I305:I$9909,$C305:$C$9909,"*"&amp;C304&amp;"*",$E305:$E$9909,"&lt;&gt;"))</f>
        <v>0</v>
      </c>
      <c r="J304" s="114">
        <f>IF($E304&lt;&gt;"",$F304*H304,SUMIFS(J305:J$9909,$C305:$C$9909,"*"&amp;$C304&amp;"*",$E305:$E$9909,"&lt;&gt;"))</f>
        <v>0</v>
      </c>
      <c r="K304" s="103">
        <f>IF(I304&gt;0,(I304-J304-I304*PARAMETROS!$C$19)/I304,0)</f>
        <v>0</v>
      </c>
      <c r="L304" s="104"/>
      <c r="M304" s="105"/>
      <c r="N304" s="112"/>
      <c r="O304" s="105"/>
      <c r="P304" s="105"/>
      <c r="Q304" s="105"/>
      <c r="R304" s="105"/>
      <c r="S304" s="105"/>
      <c r="T304" s="105"/>
      <c r="U304" s="105"/>
      <c r="V304" s="105"/>
      <c r="W304" s="105"/>
      <c r="X304" s="105"/>
    </row>
    <row r="305" spans="1:24" ht="15.75" hidden="1" customHeight="1" x14ac:dyDescent="0.3">
      <c r="A305" s="144" t="str">
        <f t="shared" si="4"/>
        <v/>
      </c>
      <c r="B305" s="145"/>
      <c r="C305" s="116"/>
      <c r="D305" s="117"/>
      <c r="E305" s="117"/>
      <c r="F305" s="114" t="str">
        <f t="shared" si="5"/>
        <v/>
      </c>
      <c r="G305" s="114"/>
      <c r="H305" s="114"/>
      <c r="I305" s="114">
        <f>IF(E305&lt;&gt;"",F305*G305,SUMIFS(I306:I$9909,$C306:$C$9909,"*"&amp;C305&amp;"*",$E306:$E$9909,"&lt;&gt;"))</f>
        <v>0</v>
      </c>
      <c r="J305" s="114">
        <f>IF($E305&lt;&gt;"",$F305*H305,SUMIFS(J306:J$9909,$C306:$C$9909,"*"&amp;$C305&amp;"*",$E306:$E$9909,"&lt;&gt;"))</f>
        <v>0</v>
      </c>
      <c r="K305" s="103">
        <f>IF(I305&gt;0,(I305-J305-I305*PARAMETROS!$C$19)/I305,0)</f>
        <v>0</v>
      </c>
      <c r="L305" s="104"/>
      <c r="M305" s="105"/>
      <c r="N305" s="112"/>
      <c r="O305" s="105"/>
      <c r="P305" s="105"/>
      <c r="Q305" s="105"/>
      <c r="R305" s="105"/>
      <c r="S305" s="105"/>
      <c r="T305" s="105"/>
      <c r="U305" s="105"/>
      <c r="V305" s="105"/>
      <c r="W305" s="105"/>
      <c r="X305" s="105"/>
    </row>
    <row r="306" spans="1:24" ht="15.75" hidden="1" customHeight="1" x14ac:dyDescent="0.3">
      <c r="A306" s="144" t="str">
        <f t="shared" si="4"/>
        <v/>
      </c>
      <c r="B306" s="145"/>
      <c r="C306" s="116"/>
      <c r="D306" s="117"/>
      <c r="E306" s="117"/>
      <c r="F306" s="114" t="str">
        <f t="shared" si="5"/>
        <v/>
      </c>
      <c r="G306" s="114"/>
      <c r="H306" s="114"/>
      <c r="I306" s="114">
        <f>IF(E306&lt;&gt;"",F306*G306,SUMIFS(I307:I$9909,$C307:$C$9909,"*"&amp;C306&amp;"*",$E307:$E$9909,"&lt;&gt;"))</f>
        <v>0</v>
      </c>
      <c r="J306" s="114">
        <f>IF($E306&lt;&gt;"",$F306*H306,SUMIFS(J307:J$9909,$C307:$C$9909,"*"&amp;$C306&amp;"*",$E307:$E$9909,"&lt;&gt;"))</f>
        <v>0</v>
      </c>
      <c r="K306" s="103">
        <f>IF(I306&gt;0,(I306-J306-I306*PARAMETROS!$C$19)/I306,0)</f>
        <v>0</v>
      </c>
      <c r="L306" s="104"/>
      <c r="M306" s="105"/>
      <c r="N306" s="112"/>
      <c r="O306" s="105"/>
      <c r="P306" s="105"/>
      <c r="Q306" s="105"/>
      <c r="R306" s="105"/>
      <c r="S306" s="105"/>
      <c r="T306" s="105"/>
      <c r="U306" s="105"/>
      <c r="V306" s="105"/>
      <c r="W306" s="105"/>
      <c r="X306" s="105"/>
    </row>
    <row r="307" spans="1:24" ht="15.75" hidden="1" customHeight="1" x14ac:dyDescent="0.3">
      <c r="A307" s="144" t="str">
        <f t="shared" si="4"/>
        <v/>
      </c>
      <c r="B307" s="145"/>
      <c r="C307" s="116"/>
      <c r="D307" s="117"/>
      <c r="E307" s="117"/>
      <c r="F307" s="114" t="str">
        <f t="shared" si="5"/>
        <v/>
      </c>
      <c r="G307" s="114"/>
      <c r="H307" s="114"/>
      <c r="I307" s="114">
        <f>IF(E307&lt;&gt;"",F307*G307,SUMIFS(I308:I$9909,$C308:$C$9909,"*"&amp;C307&amp;"*",$E308:$E$9909,"&lt;&gt;"))</f>
        <v>0</v>
      </c>
      <c r="J307" s="114">
        <f>IF($E307&lt;&gt;"",$F307*H307,SUMIFS(J308:J$9909,$C308:$C$9909,"*"&amp;$C307&amp;"*",$E308:$E$9909,"&lt;&gt;"))</f>
        <v>0</v>
      </c>
      <c r="K307" s="103">
        <f>IF(I307&gt;0,(I307-J307-I307*PARAMETROS!$C$19)/I307,0)</f>
        <v>0</v>
      </c>
      <c r="L307" s="104"/>
      <c r="M307" s="105"/>
      <c r="N307" s="112"/>
      <c r="O307" s="105"/>
      <c r="P307" s="105"/>
      <c r="Q307" s="105"/>
      <c r="R307" s="105"/>
      <c r="S307" s="105"/>
      <c r="T307" s="105"/>
      <c r="U307" s="105"/>
      <c r="V307" s="105"/>
      <c r="W307" s="105"/>
      <c r="X307" s="105"/>
    </row>
    <row r="308" spans="1:24" ht="15.75" hidden="1" customHeight="1" x14ac:dyDescent="0.3">
      <c r="A308" s="144" t="str">
        <f t="shared" si="4"/>
        <v/>
      </c>
      <c r="B308" s="145"/>
      <c r="C308" s="116"/>
      <c r="D308" s="117"/>
      <c r="E308" s="117"/>
      <c r="F308" s="114" t="str">
        <f t="shared" si="5"/>
        <v/>
      </c>
      <c r="G308" s="114"/>
      <c r="H308" s="114"/>
      <c r="I308" s="114">
        <f>IF(E308&lt;&gt;"",F308*G308,SUMIFS(I309:I$9909,$C309:$C$9909,"*"&amp;C308&amp;"*",$E309:$E$9909,"&lt;&gt;"))</f>
        <v>0</v>
      </c>
      <c r="J308" s="114">
        <f>IF($E308&lt;&gt;"",$F308*H308,SUMIFS(J309:J$9909,$C309:$C$9909,"*"&amp;$C308&amp;"*",$E309:$E$9909,"&lt;&gt;"))</f>
        <v>0</v>
      </c>
      <c r="K308" s="103">
        <f>IF(I308&gt;0,(I308-J308-I308*PARAMETROS!$C$19)/I308,0)</f>
        <v>0</v>
      </c>
      <c r="L308" s="104"/>
      <c r="M308" s="105"/>
      <c r="N308" s="112"/>
      <c r="O308" s="105"/>
      <c r="P308" s="105"/>
      <c r="Q308" s="105"/>
      <c r="R308" s="105"/>
      <c r="S308" s="105"/>
      <c r="T308" s="105"/>
      <c r="U308" s="105"/>
      <c r="V308" s="105"/>
      <c r="W308" s="105"/>
      <c r="X308" s="105"/>
    </row>
    <row r="309" spans="1:24" ht="15.75" hidden="1" customHeight="1" x14ac:dyDescent="0.3">
      <c r="A309" s="144" t="str">
        <f t="shared" si="4"/>
        <v/>
      </c>
      <c r="B309" s="145"/>
      <c r="C309" s="116"/>
      <c r="D309" s="117"/>
      <c r="E309" s="117"/>
      <c r="F309" s="114" t="str">
        <f t="shared" si="5"/>
        <v/>
      </c>
      <c r="G309" s="114"/>
      <c r="H309" s="114"/>
      <c r="I309" s="114">
        <f>IF(E309&lt;&gt;"",F309*G309,SUMIFS(I310:I$9909,$C310:$C$9909,"*"&amp;C309&amp;"*",$E310:$E$9909,"&lt;&gt;"))</f>
        <v>0</v>
      </c>
      <c r="J309" s="114">
        <f>IF($E309&lt;&gt;"",$F309*H309,SUMIFS(J310:J$9909,$C310:$C$9909,"*"&amp;$C309&amp;"*",$E310:$E$9909,"&lt;&gt;"))</f>
        <v>0</v>
      </c>
      <c r="K309" s="103">
        <f>IF(I309&gt;0,(I309-J309-I309*PARAMETROS!$C$19)/I309,0)</f>
        <v>0</v>
      </c>
      <c r="L309" s="104"/>
      <c r="M309" s="105"/>
      <c r="N309" s="112"/>
      <c r="O309" s="105"/>
      <c r="P309" s="105"/>
      <c r="Q309" s="105"/>
      <c r="R309" s="105"/>
      <c r="S309" s="105"/>
      <c r="T309" s="105"/>
      <c r="U309" s="105"/>
      <c r="V309" s="105"/>
      <c r="W309" s="105"/>
      <c r="X309" s="105"/>
    </row>
    <row r="310" spans="1:24" ht="15.75" hidden="1" customHeight="1" x14ac:dyDescent="0.3">
      <c r="A310" s="144" t="str">
        <f t="shared" si="4"/>
        <v/>
      </c>
      <c r="B310" s="145"/>
      <c r="C310" s="116"/>
      <c r="D310" s="117"/>
      <c r="E310" s="117"/>
      <c r="F310" s="114" t="str">
        <f t="shared" si="5"/>
        <v/>
      </c>
      <c r="G310" s="114"/>
      <c r="H310" s="114"/>
      <c r="I310" s="114">
        <f>IF(E310&lt;&gt;"",F310*G310,SUMIFS(I311:I$9909,$C311:$C$9909,"*"&amp;C310&amp;"*",$E311:$E$9909,"&lt;&gt;"))</f>
        <v>0</v>
      </c>
      <c r="J310" s="114">
        <f>IF($E310&lt;&gt;"",$F310*H310,SUMIFS(J311:J$9909,$C311:$C$9909,"*"&amp;$C310&amp;"*",$E311:$E$9909,"&lt;&gt;"))</f>
        <v>0</v>
      </c>
      <c r="K310" s="103">
        <f>IF(I310&gt;0,(I310-J310-I310*PARAMETROS!$C$19)/I310,0)</f>
        <v>0</v>
      </c>
      <c r="L310" s="104"/>
      <c r="M310" s="105"/>
      <c r="N310" s="112"/>
      <c r="O310" s="105"/>
      <c r="P310" s="105"/>
      <c r="Q310" s="105"/>
      <c r="R310" s="105"/>
      <c r="S310" s="105"/>
      <c r="T310" s="105"/>
      <c r="U310" s="105"/>
      <c r="V310" s="105"/>
      <c r="W310" s="105"/>
      <c r="X310" s="105"/>
    </row>
    <row r="311" spans="1:24" ht="15.75" hidden="1" customHeight="1" x14ac:dyDescent="0.3">
      <c r="A311" s="144" t="str">
        <f t="shared" si="4"/>
        <v/>
      </c>
      <c r="B311" s="145"/>
      <c r="C311" s="116"/>
      <c r="D311" s="117"/>
      <c r="E311" s="117"/>
      <c r="F311" s="114" t="str">
        <f t="shared" si="5"/>
        <v/>
      </c>
      <c r="G311" s="114"/>
      <c r="H311" s="114"/>
      <c r="I311" s="114">
        <f>IF(E311&lt;&gt;"",F311*G311,SUMIFS(I312:I$9909,$C312:$C$9909,"*"&amp;C311&amp;"*",$E312:$E$9909,"&lt;&gt;"))</f>
        <v>0</v>
      </c>
      <c r="J311" s="114">
        <f>IF($E311&lt;&gt;"",$F311*H311,SUMIFS(J312:J$9909,$C312:$C$9909,"*"&amp;$C311&amp;"*",$E312:$E$9909,"&lt;&gt;"))</f>
        <v>0</v>
      </c>
      <c r="K311" s="103">
        <f>IF(I311&gt;0,(I311-J311-I311*PARAMETROS!$C$19)/I311,0)</f>
        <v>0</v>
      </c>
      <c r="L311" s="104"/>
      <c r="M311" s="105"/>
      <c r="N311" s="112"/>
      <c r="O311" s="105"/>
      <c r="P311" s="105"/>
      <c r="Q311" s="105"/>
      <c r="R311" s="105"/>
      <c r="S311" s="105"/>
      <c r="T311" s="105"/>
      <c r="U311" s="105"/>
      <c r="V311" s="105"/>
      <c r="W311" s="105"/>
      <c r="X311" s="105"/>
    </row>
    <row r="312" spans="1:24" ht="15.75" hidden="1" customHeight="1" x14ac:dyDescent="0.3">
      <c r="A312" s="144" t="str">
        <f t="shared" si="4"/>
        <v/>
      </c>
      <c r="B312" s="145"/>
      <c r="C312" s="118"/>
      <c r="D312" s="119"/>
      <c r="E312" s="120"/>
      <c r="F312" s="114" t="str">
        <f t="shared" si="5"/>
        <v/>
      </c>
      <c r="G312" s="113"/>
      <c r="H312" s="113"/>
      <c r="I312" s="113">
        <f>IF(E312&lt;&gt;"",F312*G312,SUMIFS(I313:I$9909,$C313:$C$9909,"*"&amp;C312&amp;"*",$E313:$E$9909,"&lt;&gt;"))</f>
        <v>0</v>
      </c>
      <c r="J312" s="113">
        <f>IF($E312&lt;&gt;"",$F312*H312,SUMIFS(J313:J$9909,$C313:$C$9909,"*"&amp;$C312&amp;"*",$E313:$E$9909,"&lt;&gt;"))</f>
        <v>0</v>
      </c>
      <c r="K312" s="103">
        <f>IF(I312&gt;0,(I312-J312-I312*PARAMETROS!$C$19)/I312,0)</f>
        <v>0</v>
      </c>
      <c r="L312" s="104"/>
      <c r="M312" s="105"/>
      <c r="N312" s="109"/>
      <c r="O312" s="105"/>
      <c r="P312" s="105"/>
      <c r="Q312" s="105"/>
      <c r="R312" s="105"/>
      <c r="S312" s="105"/>
      <c r="T312" s="105"/>
      <c r="U312" s="105"/>
      <c r="V312" s="105"/>
      <c r="W312" s="105"/>
      <c r="X312" s="105"/>
    </row>
    <row r="313" spans="1:24" ht="15.75" hidden="1" customHeight="1" x14ac:dyDescent="0.3">
      <c r="A313" s="144" t="str">
        <f t="shared" si="4"/>
        <v/>
      </c>
      <c r="B313" s="145"/>
      <c r="C313" s="116"/>
      <c r="D313" s="117"/>
      <c r="E313" s="117"/>
      <c r="F313" s="114" t="str">
        <f t="shared" si="5"/>
        <v/>
      </c>
      <c r="G313" s="114"/>
      <c r="H313" s="114"/>
      <c r="I313" s="114">
        <f>IF(E313&lt;&gt;"",F313*G313,SUMIFS(I314:I$9909,$C314:$C$9909,"*"&amp;C313&amp;"*",$E314:$E$9909,"&lt;&gt;"))</f>
        <v>0</v>
      </c>
      <c r="J313" s="114">
        <f>IF($E313&lt;&gt;"",$F313*H313,SUMIFS(J314:J$9909,$C314:$C$9909,"*"&amp;$C313&amp;"*",$E314:$E$9909,"&lt;&gt;"))</f>
        <v>0</v>
      </c>
      <c r="K313" s="103">
        <f>IF(I313&gt;0,(I313-J313-I313*PARAMETROS!$C$19)/I313,0)</f>
        <v>0</v>
      </c>
      <c r="L313" s="104"/>
      <c r="M313" s="105"/>
      <c r="N313" s="112"/>
      <c r="O313" s="105"/>
      <c r="P313" s="105"/>
      <c r="Q313" s="105"/>
      <c r="R313" s="105"/>
      <c r="S313" s="105"/>
      <c r="T313" s="105"/>
      <c r="U313" s="105"/>
      <c r="V313" s="105"/>
      <c r="W313" s="105"/>
      <c r="X313" s="105"/>
    </row>
    <row r="314" spans="1:24" ht="15.75" hidden="1" customHeight="1" x14ac:dyDescent="0.3">
      <c r="A314" s="144" t="str">
        <f t="shared" ref="A314:A338" si="6">IF(LEN(C314)=3,1,"")</f>
        <v/>
      </c>
      <c r="B314" s="145"/>
      <c r="C314" s="116"/>
      <c r="D314" s="117"/>
      <c r="E314" s="117"/>
      <c r="F314" s="114" t="str">
        <f t="shared" si="5"/>
        <v/>
      </c>
      <c r="G314" s="114"/>
      <c r="H314" s="114"/>
      <c r="I314" s="114">
        <f>IF(E314&lt;&gt;"",F314*G314,SUMIFS(I315:I$9909,$C315:$C$9909,"*"&amp;C314&amp;"*",$E315:$E$9909,"&lt;&gt;"))</f>
        <v>0</v>
      </c>
      <c r="J314" s="114">
        <f>IF($E314&lt;&gt;"",$F314*H314,SUMIFS(J315:J$9909,$C315:$C$9909,"*"&amp;$C314&amp;"*",$E315:$E$9909,"&lt;&gt;"))</f>
        <v>0</v>
      </c>
      <c r="K314" s="103">
        <f>IF(I314&gt;0,(I314-J314-I314*PARAMETROS!$C$19)/I314,0)</f>
        <v>0</v>
      </c>
      <c r="L314" s="104"/>
      <c r="M314" s="105"/>
      <c r="N314" s="112"/>
      <c r="O314" s="105"/>
      <c r="P314" s="105"/>
      <c r="Q314" s="105"/>
      <c r="R314" s="105"/>
      <c r="S314" s="105"/>
      <c r="T314" s="105"/>
      <c r="U314" s="105"/>
      <c r="V314" s="105"/>
      <c r="W314" s="105"/>
      <c r="X314" s="105"/>
    </row>
    <row r="315" spans="1:24" ht="15.75" hidden="1" customHeight="1" x14ac:dyDescent="0.3">
      <c r="A315" s="144" t="str">
        <f t="shared" si="6"/>
        <v/>
      </c>
      <c r="B315" s="145"/>
      <c r="C315" s="116"/>
      <c r="D315" s="117"/>
      <c r="E315" s="117"/>
      <c r="F315" s="114" t="str">
        <f t="shared" si="5"/>
        <v/>
      </c>
      <c r="G315" s="114"/>
      <c r="H315" s="114"/>
      <c r="I315" s="114">
        <f>IF(E315&lt;&gt;"",F315*G315,SUMIFS(I316:I$9909,$C316:$C$9909,"*"&amp;C315&amp;"*",$E316:$E$9909,"&lt;&gt;"))</f>
        <v>0</v>
      </c>
      <c r="J315" s="114">
        <f>IF($E315&lt;&gt;"",$F315*H315,SUMIFS(J316:J$9909,$C316:$C$9909,"*"&amp;$C315&amp;"*",$E316:$E$9909,"&lt;&gt;"))</f>
        <v>0</v>
      </c>
      <c r="K315" s="103">
        <f>IF(I315&gt;0,(I315-J315-I315*PARAMETROS!$C$19)/I315,0)</f>
        <v>0</v>
      </c>
      <c r="L315" s="104"/>
      <c r="M315" s="105"/>
      <c r="N315" s="112"/>
      <c r="O315" s="105"/>
      <c r="P315" s="105"/>
      <c r="Q315" s="105"/>
      <c r="R315" s="105"/>
      <c r="S315" s="105"/>
      <c r="T315" s="105"/>
      <c r="U315" s="105"/>
      <c r="V315" s="105"/>
      <c r="W315" s="105"/>
      <c r="X315" s="105"/>
    </row>
    <row r="316" spans="1:24" ht="15.75" hidden="1" customHeight="1" x14ac:dyDescent="0.3">
      <c r="A316" s="144" t="str">
        <f t="shared" si="6"/>
        <v/>
      </c>
      <c r="B316" s="145"/>
      <c r="C316" s="116"/>
      <c r="D316" s="117"/>
      <c r="E316" s="117"/>
      <c r="F316" s="114" t="str">
        <f t="shared" si="5"/>
        <v/>
      </c>
      <c r="G316" s="114"/>
      <c r="H316" s="114"/>
      <c r="I316" s="114">
        <f>IF(E316&lt;&gt;"",F316*G316,SUMIFS(I317:I$9909,$C317:$C$9909,"*"&amp;C316&amp;"*",$E317:$E$9909,"&lt;&gt;"))</f>
        <v>0</v>
      </c>
      <c r="J316" s="114">
        <f>IF($E316&lt;&gt;"",$F316*H316,SUMIFS(J317:J$9909,$C317:$C$9909,"*"&amp;$C316&amp;"*",$E317:$E$9909,"&lt;&gt;"))</f>
        <v>0</v>
      </c>
      <c r="K316" s="103">
        <f>IF(I316&gt;0,(I316-J316-I316*PARAMETROS!$C$19)/I316,0)</f>
        <v>0</v>
      </c>
      <c r="L316" s="104"/>
      <c r="M316" s="105"/>
      <c r="N316" s="112"/>
      <c r="O316" s="105"/>
      <c r="P316" s="105"/>
      <c r="Q316" s="105"/>
      <c r="R316" s="105"/>
      <c r="S316" s="105"/>
      <c r="T316" s="105"/>
      <c r="U316" s="105"/>
      <c r="V316" s="105"/>
      <c r="W316" s="105"/>
      <c r="X316" s="105"/>
    </row>
    <row r="317" spans="1:24" ht="15.75" hidden="1" customHeight="1" x14ac:dyDescent="0.3">
      <c r="A317" s="144" t="str">
        <f t="shared" si="6"/>
        <v/>
      </c>
      <c r="B317" s="145"/>
      <c r="C317" s="116"/>
      <c r="D317" s="117"/>
      <c r="E317" s="117"/>
      <c r="F317" s="114" t="str">
        <f t="shared" si="5"/>
        <v/>
      </c>
      <c r="G317" s="114"/>
      <c r="H317" s="114"/>
      <c r="I317" s="114">
        <f>IF(E317&lt;&gt;"",F317*G317,SUMIFS(I318:I$9909,$C318:$C$9909,"*"&amp;C317&amp;"*",$E318:$E$9909,"&lt;&gt;"))</f>
        <v>0</v>
      </c>
      <c r="J317" s="114">
        <f>IF($E317&lt;&gt;"",$F317*H317,SUMIFS(J318:J$9909,$C318:$C$9909,"*"&amp;$C317&amp;"*",$E318:$E$9909,"&lt;&gt;"))</f>
        <v>0</v>
      </c>
      <c r="K317" s="103">
        <f>IF(I317&gt;0,(I317-J317-I317*PARAMETROS!$C$19)/I317,0)</f>
        <v>0</v>
      </c>
      <c r="L317" s="104"/>
      <c r="M317" s="105"/>
      <c r="N317" s="112"/>
      <c r="O317" s="105"/>
      <c r="P317" s="105"/>
      <c r="Q317" s="105"/>
      <c r="R317" s="105"/>
      <c r="S317" s="105"/>
      <c r="T317" s="105"/>
      <c r="U317" s="105"/>
      <c r="V317" s="105"/>
      <c r="W317" s="105"/>
      <c r="X317" s="105"/>
    </row>
    <row r="318" spans="1:24" ht="15.75" hidden="1" customHeight="1" x14ac:dyDescent="0.3">
      <c r="A318" s="144" t="str">
        <f t="shared" si="6"/>
        <v/>
      </c>
      <c r="B318" s="145"/>
      <c r="C318" s="116"/>
      <c r="D318" s="117"/>
      <c r="E318" s="117"/>
      <c r="F318" s="114" t="str">
        <f t="shared" si="5"/>
        <v/>
      </c>
      <c r="G318" s="114"/>
      <c r="H318" s="114"/>
      <c r="I318" s="114">
        <f>IF(E318&lt;&gt;"",F318*G318,SUMIFS(I319:I$9909,$C319:$C$9909,"*"&amp;C318&amp;"*",$E319:$E$9909,"&lt;&gt;"))</f>
        <v>0</v>
      </c>
      <c r="J318" s="114">
        <f>IF($E318&lt;&gt;"",$F318*H318,SUMIFS(J319:J$9909,$C319:$C$9909,"*"&amp;$C318&amp;"*",$E319:$E$9909,"&lt;&gt;"))</f>
        <v>0</v>
      </c>
      <c r="K318" s="103">
        <f>IF(I318&gt;0,(I318-J318-I318*PARAMETROS!$C$19)/I318,0)</f>
        <v>0</v>
      </c>
      <c r="L318" s="104"/>
      <c r="M318" s="105"/>
      <c r="N318" s="112"/>
      <c r="O318" s="105"/>
      <c r="P318" s="105"/>
      <c r="Q318" s="105"/>
      <c r="R318" s="105"/>
      <c r="S318" s="105"/>
      <c r="T318" s="105"/>
      <c r="U318" s="105"/>
      <c r="V318" s="105"/>
      <c r="W318" s="105"/>
      <c r="X318" s="105"/>
    </row>
    <row r="319" spans="1:24" ht="15.75" hidden="1" customHeight="1" x14ac:dyDescent="0.3">
      <c r="A319" s="144" t="str">
        <f t="shared" si="6"/>
        <v/>
      </c>
      <c r="B319" s="145"/>
      <c r="C319" s="116"/>
      <c r="D319" s="117"/>
      <c r="E319" s="117"/>
      <c r="F319" s="114" t="str">
        <f t="shared" si="5"/>
        <v/>
      </c>
      <c r="G319" s="114"/>
      <c r="H319" s="114"/>
      <c r="I319" s="114">
        <f>IF(E319&lt;&gt;"",F319*G319,SUMIFS(I320:I$9909,$C320:$C$9909,"*"&amp;C319&amp;"*",$E320:$E$9909,"&lt;&gt;"))</f>
        <v>0</v>
      </c>
      <c r="J319" s="114">
        <f>IF($E319&lt;&gt;"",$F319*H319,SUMIFS(J320:J$9909,$C320:$C$9909,"*"&amp;$C319&amp;"*",$E320:$E$9909,"&lt;&gt;"))</f>
        <v>0</v>
      </c>
      <c r="K319" s="103">
        <f>IF(I319&gt;0,(I319-J319-I319*PARAMETROS!$C$19)/I319,0)</f>
        <v>0</v>
      </c>
      <c r="L319" s="104"/>
      <c r="M319" s="105"/>
      <c r="N319" s="112"/>
      <c r="O319" s="105"/>
      <c r="P319" s="105"/>
      <c r="Q319" s="105"/>
      <c r="R319" s="105"/>
      <c r="S319" s="105"/>
      <c r="T319" s="105"/>
      <c r="U319" s="105"/>
      <c r="V319" s="105"/>
      <c r="W319" s="105"/>
      <c r="X319" s="105"/>
    </row>
    <row r="320" spans="1:24" ht="15.75" hidden="1" customHeight="1" x14ac:dyDescent="0.3">
      <c r="A320" s="144" t="str">
        <f t="shared" si="6"/>
        <v/>
      </c>
      <c r="B320" s="145"/>
      <c r="C320" s="116"/>
      <c r="D320" s="117"/>
      <c r="E320" s="117"/>
      <c r="F320" s="114" t="str">
        <f t="shared" si="5"/>
        <v/>
      </c>
      <c r="G320" s="114"/>
      <c r="H320" s="114"/>
      <c r="I320" s="114">
        <f>IF(E320&lt;&gt;"",F320*G320,SUMIFS(I321:I$9909,$C321:$C$9909,"*"&amp;C320&amp;"*",$E321:$E$9909,"&lt;&gt;"))</f>
        <v>0</v>
      </c>
      <c r="J320" s="114">
        <f>IF($E320&lt;&gt;"",$F320*H320,SUMIFS(J321:J$9909,$C321:$C$9909,"*"&amp;$C320&amp;"*",$E321:$E$9909,"&lt;&gt;"))</f>
        <v>0</v>
      </c>
      <c r="K320" s="103">
        <f>IF(I320&gt;0,(I320-J320-I320*PARAMETROS!$C$19)/I320,0)</f>
        <v>0</v>
      </c>
      <c r="L320" s="104"/>
      <c r="M320" s="105"/>
      <c r="N320" s="112"/>
      <c r="O320" s="105"/>
      <c r="P320" s="105"/>
      <c r="Q320" s="105"/>
      <c r="R320" s="105"/>
      <c r="S320" s="105"/>
      <c r="T320" s="105"/>
      <c r="U320" s="105"/>
      <c r="V320" s="105"/>
      <c r="W320" s="105"/>
      <c r="X320" s="105"/>
    </row>
    <row r="321" spans="1:24" ht="15.75" hidden="1" customHeight="1" x14ac:dyDescent="0.3">
      <c r="A321" s="144" t="str">
        <f t="shared" si="6"/>
        <v/>
      </c>
      <c r="B321" s="145"/>
      <c r="C321" s="118"/>
      <c r="D321" s="119"/>
      <c r="E321" s="120"/>
      <c r="F321" s="114" t="str">
        <f t="shared" si="5"/>
        <v/>
      </c>
      <c r="G321" s="113"/>
      <c r="H321" s="113"/>
      <c r="I321" s="113">
        <f>IF(E321&lt;&gt;"",F321*G321,SUMIFS(I322:I$9909,$C322:$C$9909,"*"&amp;C321&amp;"*",$E322:$E$9909,"&lt;&gt;"))</f>
        <v>0</v>
      </c>
      <c r="J321" s="113">
        <f>IF($E321&lt;&gt;"",$F321*H321,SUMIFS(J322:J$9909,$C322:$C$9909,"*"&amp;$C321&amp;"*",$E322:$E$9909,"&lt;&gt;"))</f>
        <v>0</v>
      </c>
      <c r="K321" s="103">
        <f>IF(I321&gt;0,(I321-J321-I321*PARAMETROS!$C$19)/I321,0)</f>
        <v>0</v>
      </c>
      <c r="L321" s="104"/>
      <c r="M321" s="105"/>
      <c r="N321" s="109"/>
      <c r="O321" s="105"/>
      <c r="P321" s="105"/>
      <c r="Q321" s="105"/>
      <c r="R321" s="105"/>
      <c r="S321" s="105"/>
      <c r="T321" s="105"/>
      <c r="U321" s="105"/>
      <c r="V321" s="105"/>
      <c r="W321" s="105"/>
      <c r="X321" s="105"/>
    </row>
    <row r="322" spans="1:24" ht="15.75" hidden="1" customHeight="1" x14ac:dyDescent="0.3">
      <c r="A322" s="144" t="str">
        <f t="shared" si="6"/>
        <v/>
      </c>
      <c r="B322" s="145"/>
      <c r="C322" s="116"/>
      <c r="D322" s="117"/>
      <c r="E322" s="117"/>
      <c r="F322" s="114" t="str">
        <f t="shared" si="5"/>
        <v/>
      </c>
      <c r="G322" s="114"/>
      <c r="H322" s="114"/>
      <c r="I322" s="114">
        <f>IF(E322&lt;&gt;"",F322*G322,SUMIFS(I323:I$9909,$C323:$C$9909,"*"&amp;C322&amp;"*",$E323:$E$9909,"&lt;&gt;"))</f>
        <v>0</v>
      </c>
      <c r="J322" s="114">
        <f>IF($E322&lt;&gt;"",$F322*H322,SUMIFS(J323:J$9909,$C323:$C$9909,"*"&amp;$C322&amp;"*",$E323:$E$9909,"&lt;&gt;"))</f>
        <v>0</v>
      </c>
      <c r="K322" s="103">
        <f>IF(I322&gt;0,(I322-J322-I322*PARAMETROS!$C$19)/I322,0)</f>
        <v>0</v>
      </c>
      <c r="L322" s="104"/>
      <c r="M322" s="105"/>
      <c r="N322" s="112"/>
      <c r="O322" s="105"/>
      <c r="P322" s="105"/>
      <c r="Q322" s="105"/>
      <c r="R322" s="105"/>
      <c r="S322" s="105"/>
      <c r="T322" s="105"/>
      <c r="U322" s="105"/>
      <c r="V322" s="105"/>
      <c r="W322" s="105"/>
      <c r="X322" s="105"/>
    </row>
    <row r="323" spans="1:24" ht="15.75" hidden="1" customHeight="1" x14ac:dyDescent="0.3">
      <c r="A323" s="144" t="str">
        <f t="shared" si="6"/>
        <v/>
      </c>
      <c r="B323" s="145"/>
      <c r="C323" s="116"/>
      <c r="D323" s="117"/>
      <c r="E323" s="117"/>
      <c r="F323" s="114" t="str">
        <f t="shared" si="5"/>
        <v/>
      </c>
      <c r="G323" s="114"/>
      <c r="H323" s="114"/>
      <c r="I323" s="114">
        <f>IF(E323&lt;&gt;"",F323*G323,SUMIFS(I324:I$9909,$C324:$C$9909,"*"&amp;C323&amp;"*",$E324:$E$9909,"&lt;&gt;"))</f>
        <v>0</v>
      </c>
      <c r="J323" s="114">
        <f>IF($E323&lt;&gt;"",$F323*H323,SUMIFS(J324:J$9909,$C324:$C$9909,"*"&amp;$C323&amp;"*",$E324:$E$9909,"&lt;&gt;"))</f>
        <v>0</v>
      </c>
      <c r="K323" s="103">
        <f>IF(I323&gt;0,(I323-J323-I323*PARAMETROS!$C$19)/I323,0)</f>
        <v>0</v>
      </c>
      <c r="L323" s="104"/>
      <c r="M323" s="105"/>
      <c r="N323" s="112"/>
      <c r="O323" s="105"/>
      <c r="P323" s="105"/>
      <c r="Q323" s="105"/>
      <c r="R323" s="105"/>
      <c r="S323" s="105"/>
      <c r="T323" s="105"/>
      <c r="U323" s="105"/>
      <c r="V323" s="105"/>
      <c r="W323" s="105"/>
      <c r="X323" s="105"/>
    </row>
    <row r="324" spans="1:24" ht="15.75" hidden="1" customHeight="1" x14ac:dyDescent="0.3">
      <c r="A324" s="144" t="str">
        <f t="shared" si="6"/>
        <v/>
      </c>
      <c r="B324" s="145"/>
      <c r="C324" s="116"/>
      <c r="D324" s="117"/>
      <c r="E324" s="117"/>
      <c r="F324" s="114" t="str">
        <f t="shared" si="5"/>
        <v/>
      </c>
      <c r="G324" s="114"/>
      <c r="H324" s="114"/>
      <c r="I324" s="114">
        <f>IF(E324&lt;&gt;"",F324*G324,SUMIFS(I325:I$9909,$C325:$C$9909,"*"&amp;C324&amp;"*",$E325:$E$9909,"&lt;&gt;"))</f>
        <v>0</v>
      </c>
      <c r="J324" s="114">
        <f>IF($E324&lt;&gt;"",$F324*H324,SUMIFS(J325:J$9909,$C325:$C$9909,"*"&amp;$C324&amp;"*",$E325:$E$9909,"&lt;&gt;"))</f>
        <v>0</v>
      </c>
      <c r="K324" s="103">
        <f>IF(I324&gt;0,(I324-J324-I324*PARAMETROS!$C$19)/I324,0)</f>
        <v>0</v>
      </c>
      <c r="L324" s="104"/>
      <c r="M324" s="105"/>
      <c r="N324" s="112"/>
      <c r="O324" s="105"/>
      <c r="P324" s="105"/>
      <c r="Q324" s="105"/>
      <c r="R324" s="105"/>
      <c r="S324" s="105"/>
      <c r="T324" s="105"/>
      <c r="U324" s="105"/>
      <c r="V324" s="105"/>
      <c r="W324" s="105"/>
      <c r="X324" s="105"/>
    </row>
    <row r="325" spans="1:24" ht="15.75" hidden="1" customHeight="1" x14ac:dyDescent="0.3">
      <c r="A325" s="144" t="str">
        <f t="shared" si="6"/>
        <v/>
      </c>
      <c r="B325" s="145"/>
      <c r="C325" s="116"/>
      <c r="D325" s="117"/>
      <c r="E325" s="117"/>
      <c r="F325" s="114" t="str">
        <f t="shared" si="5"/>
        <v/>
      </c>
      <c r="G325" s="114"/>
      <c r="H325" s="114"/>
      <c r="I325" s="114">
        <f>IF(E325&lt;&gt;"",F325*G325,SUMIFS(I326:I$9909,$C326:$C$9909,"*"&amp;C325&amp;"*",$E326:$E$9909,"&lt;&gt;"))</f>
        <v>0</v>
      </c>
      <c r="J325" s="114">
        <f>IF($E325&lt;&gt;"",$F325*H325,SUMIFS(J326:J$9909,$C326:$C$9909,"*"&amp;$C325&amp;"*",$E326:$E$9909,"&lt;&gt;"))</f>
        <v>0</v>
      </c>
      <c r="K325" s="103">
        <f>IF(I325&gt;0,(I325-J325-I325*PARAMETROS!$C$19)/I325,0)</f>
        <v>0</v>
      </c>
      <c r="L325" s="104"/>
      <c r="M325" s="105"/>
      <c r="N325" s="112"/>
      <c r="O325" s="105"/>
      <c r="P325" s="105"/>
      <c r="Q325" s="105"/>
      <c r="R325" s="105"/>
      <c r="S325" s="105"/>
      <c r="T325" s="105"/>
      <c r="U325" s="105"/>
      <c r="V325" s="105"/>
      <c r="W325" s="105"/>
      <c r="X325" s="105"/>
    </row>
    <row r="326" spans="1:24" ht="15.75" hidden="1" customHeight="1" x14ac:dyDescent="0.3">
      <c r="A326" s="144" t="str">
        <f t="shared" si="6"/>
        <v/>
      </c>
      <c r="B326" s="145"/>
      <c r="C326" s="116"/>
      <c r="D326" s="117"/>
      <c r="E326" s="117"/>
      <c r="F326" s="114" t="str">
        <f t="shared" si="5"/>
        <v/>
      </c>
      <c r="G326" s="114"/>
      <c r="H326" s="114"/>
      <c r="I326" s="114">
        <f>IF(E326&lt;&gt;"",F326*G326,SUMIFS(I327:I$9909,$C327:$C$9909,"*"&amp;C326&amp;"*",$E327:$E$9909,"&lt;&gt;"))</f>
        <v>0</v>
      </c>
      <c r="J326" s="114">
        <f>IF($E326&lt;&gt;"",$F326*H326,SUMIFS(J327:J$9909,$C327:$C$9909,"*"&amp;$C326&amp;"*",$E327:$E$9909,"&lt;&gt;"))</f>
        <v>0</v>
      </c>
      <c r="K326" s="103">
        <f>IF(I326&gt;0,(I326-J326-I326*PARAMETROS!$C$19)/I326,0)</f>
        <v>0</v>
      </c>
      <c r="L326" s="104"/>
      <c r="M326" s="105"/>
      <c r="N326" s="112"/>
      <c r="O326" s="105"/>
      <c r="P326" s="105"/>
      <c r="Q326" s="105"/>
      <c r="R326" s="105"/>
      <c r="S326" s="105"/>
      <c r="T326" s="105"/>
      <c r="U326" s="105"/>
      <c r="V326" s="105"/>
      <c r="W326" s="105"/>
      <c r="X326" s="105"/>
    </row>
    <row r="327" spans="1:24" ht="15.75" hidden="1" customHeight="1" x14ac:dyDescent="0.3">
      <c r="A327" s="144" t="str">
        <f t="shared" si="6"/>
        <v/>
      </c>
      <c r="B327" s="145"/>
      <c r="C327" s="118"/>
      <c r="D327" s="119"/>
      <c r="E327" s="120"/>
      <c r="F327" s="114" t="str">
        <f t="shared" si="5"/>
        <v/>
      </c>
      <c r="G327" s="113"/>
      <c r="H327" s="113"/>
      <c r="I327" s="113">
        <f>IF(E327&lt;&gt;"",F327*G327,SUMIFS(I328:I$9909,$C328:$C$9909,"*"&amp;C327&amp;"*",$E328:$E$9909,"&lt;&gt;"))</f>
        <v>0</v>
      </c>
      <c r="J327" s="113">
        <f>IF($E327&lt;&gt;"",$F327*H327,SUMIFS(J328:J$9909,$C328:$C$9909,"*"&amp;$C327&amp;"*",$E328:$E$9909,"&lt;&gt;"))</f>
        <v>0</v>
      </c>
      <c r="K327" s="103">
        <f>IF(I327&gt;0,(I327-J327-I327*PARAMETROS!$C$19)/I327,0)</f>
        <v>0</v>
      </c>
      <c r="L327" s="104"/>
      <c r="M327" s="105"/>
      <c r="N327" s="109"/>
      <c r="O327" s="105"/>
      <c r="P327" s="105"/>
      <c r="Q327" s="105"/>
      <c r="R327" s="105"/>
      <c r="S327" s="105"/>
      <c r="T327" s="105"/>
      <c r="U327" s="105"/>
      <c r="V327" s="105"/>
      <c r="W327" s="105"/>
      <c r="X327" s="105"/>
    </row>
    <row r="328" spans="1:24" ht="15.75" hidden="1" customHeight="1" x14ac:dyDescent="0.3">
      <c r="A328" s="144" t="str">
        <f t="shared" si="6"/>
        <v/>
      </c>
      <c r="B328" s="145"/>
      <c r="C328" s="116"/>
      <c r="D328" s="117"/>
      <c r="E328" s="117"/>
      <c r="F328" s="114" t="str">
        <f t="shared" si="5"/>
        <v/>
      </c>
      <c r="G328" s="114"/>
      <c r="H328" s="114"/>
      <c r="I328" s="114">
        <f>IF(E328&lt;&gt;"",F328*G328,SUMIFS(I329:I$9909,$C329:$C$9909,"*"&amp;C328&amp;"*",$E329:$E$9909,"&lt;&gt;"))</f>
        <v>0</v>
      </c>
      <c r="J328" s="114">
        <f>IF($E328&lt;&gt;"",$F328*H328,SUMIFS(J329:J$9909,$C329:$C$9909,"*"&amp;$C328&amp;"*",$E329:$E$9909,"&lt;&gt;"))</f>
        <v>0</v>
      </c>
      <c r="K328" s="103">
        <f>IF(I328&gt;0,(I328-J328-I328*PARAMETROS!$C$19)/I328,0)</f>
        <v>0</v>
      </c>
      <c r="L328" s="104"/>
      <c r="M328" s="105"/>
      <c r="N328" s="112"/>
      <c r="O328" s="105"/>
      <c r="P328" s="105"/>
      <c r="Q328" s="105"/>
      <c r="R328" s="105"/>
      <c r="S328" s="105"/>
      <c r="T328" s="105"/>
      <c r="U328" s="105"/>
      <c r="V328" s="105"/>
      <c r="W328" s="105"/>
      <c r="X328" s="105"/>
    </row>
    <row r="329" spans="1:24" ht="15.75" hidden="1" customHeight="1" x14ac:dyDescent="0.3">
      <c r="A329" s="144" t="str">
        <f t="shared" si="6"/>
        <v/>
      </c>
      <c r="B329" s="145"/>
      <c r="C329" s="116"/>
      <c r="D329" s="117"/>
      <c r="E329" s="117"/>
      <c r="F329" s="114" t="str">
        <f t="shared" si="5"/>
        <v/>
      </c>
      <c r="G329" s="114"/>
      <c r="H329" s="114"/>
      <c r="I329" s="114">
        <f>IF(E329&lt;&gt;"",F329*G329,SUMIFS(I330:I$9909,$C330:$C$9909,"*"&amp;C329&amp;"*",$E330:$E$9909,"&lt;&gt;"))</f>
        <v>0</v>
      </c>
      <c r="J329" s="114">
        <f>IF($E329&lt;&gt;"",$F329*H329,SUMIFS(J330:J$9909,$C330:$C$9909,"*"&amp;$C329&amp;"*",$E330:$E$9909,"&lt;&gt;"))</f>
        <v>0</v>
      </c>
      <c r="K329" s="103">
        <f>IF(I329&gt;0,(I329-J329-I329*PARAMETROS!$C$19)/I329,0)</f>
        <v>0</v>
      </c>
      <c r="L329" s="104"/>
      <c r="M329" s="105"/>
      <c r="N329" s="112"/>
      <c r="O329" s="105"/>
      <c r="P329" s="105"/>
      <c r="Q329" s="105"/>
      <c r="R329" s="105"/>
      <c r="S329" s="105"/>
      <c r="T329" s="105"/>
      <c r="U329" s="105"/>
      <c r="V329" s="105"/>
      <c r="W329" s="105"/>
      <c r="X329" s="105"/>
    </row>
    <row r="330" spans="1:24" ht="15.75" hidden="1" customHeight="1" x14ac:dyDescent="0.3">
      <c r="A330" s="144" t="str">
        <f t="shared" si="6"/>
        <v/>
      </c>
      <c r="B330" s="145"/>
      <c r="C330" s="116"/>
      <c r="D330" s="117"/>
      <c r="E330" s="117"/>
      <c r="F330" s="114" t="str">
        <f t="shared" si="5"/>
        <v/>
      </c>
      <c r="G330" s="114"/>
      <c r="H330" s="114"/>
      <c r="I330" s="114">
        <f>IF(E330&lt;&gt;"",F330*G330,SUMIFS(I331:I$9909,$C331:$C$9909,"*"&amp;C330&amp;"*",$E331:$E$9909,"&lt;&gt;"))</f>
        <v>0</v>
      </c>
      <c r="J330" s="114">
        <f>IF($E330&lt;&gt;"",$F330*H330,SUMIFS(J331:J$9909,$C331:$C$9909,"*"&amp;$C330&amp;"*",$E331:$E$9909,"&lt;&gt;"))</f>
        <v>0</v>
      </c>
      <c r="K330" s="103">
        <f>IF(I330&gt;0,(I330-J330-I330*PARAMETROS!$C$19)/I330,0)</f>
        <v>0</v>
      </c>
      <c r="L330" s="104"/>
      <c r="M330" s="105"/>
      <c r="N330" s="112"/>
      <c r="O330" s="105"/>
      <c r="P330" s="105"/>
      <c r="Q330" s="105"/>
      <c r="R330" s="105"/>
      <c r="S330" s="105"/>
      <c r="T330" s="105"/>
      <c r="U330" s="105"/>
      <c r="V330" s="105"/>
      <c r="W330" s="105"/>
      <c r="X330" s="105"/>
    </row>
    <row r="331" spans="1:24" ht="15.75" hidden="1" customHeight="1" x14ac:dyDescent="0.3">
      <c r="A331" s="144" t="str">
        <f t="shared" si="6"/>
        <v/>
      </c>
      <c r="B331" s="145"/>
      <c r="C331" s="116"/>
      <c r="D331" s="117"/>
      <c r="E331" s="117"/>
      <c r="F331" s="114" t="str">
        <f t="shared" si="5"/>
        <v/>
      </c>
      <c r="G331" s="114"/>
      <c r="H331" s="114"/>
      <c r="I331" s="114">
        <f>IF(E331&lt;&gt;"",F331*G331,SUMIFS(I332:I$9909,$C332:$C$9909,"*"&amp;C331&amp;"*",$E332:$E$9909,"&lt;&gt;"))</f>
        <v>0</v>
      </c>
      <c r="J331" s="114">
        <f>IF($E331&lt;&gt;"",$F331*H331,SUMIFS(J332:J$9909,$C332:$C$9909,"*"&amp;$C331&amp;"*",$E332:$E$9909,"&lt;&gt;"))</f>
        <v>0</v>
      </c>
      <c r="K331" s="103">
        <f>IF(I331&gt;0,(I331-J331-I331*PARAMETROS!$C$19)/I331,0)</f>
        <v>0</v>
      </c>
      <c r="L331" s="104"/>
      <c r="M331" s="105"/>
      <c r="N331" s="112"/>
      <c r="O331" s="105"/>
      <c r="P331" s="105"/>
      <c r="Q331" s="105"/>
      <c r="R331" s="105"/>
      <c r="S331" s="105"/>
      <c r="T331" s="105"/>
      <c r="U331" s="105"/>
      <c r="V331" s="105"/>
      <c r="W331" s="105"/>
      <c r="X331" s="105"/>
    </row>
    <row r="332" spans="1:24" ht="15.75" hidden="1" customHeight="1" x14ac:dyDescent="0.3">
      <c r="A332" s="144" t="str">
        <f t="shared" si="6"/>
        <v/>
      </c>
      <c r="B332" s="145"/>
      <c r="C332" s="118"/>
      <c r="D332" s="119"/>
      <c r="E332" s="120"/>
      <c r="F332" s="114" t="str">
        <f t="shared" si="5"/>
        <v/>
      </c>
      <c r="G332" s="113"/>
      <c r="H332" s="113"/>
      <c r="I332" s="113">
        <f>IF(E332&lt;&gt;"",F332*G332,SUMIFS(I333:I$9909,$C333:$C$9909,"*"&amp;C332&amp;"*",$E333:$E$9909,"&lt;&gt;"))</f>
        <v>0</v>
      </c>
      <c r="J332" s="113">
        <f>IF($E332&lt;&gt;"",$F332*H332,SUMIFS(J333:J$9909,$C333:$C$9909,"*"&amp;$C332&amp;"*",$E333:$E$9909,"&lt;&gt;"))</f>
        <v>0</v>
      </c>
      <c r="K332" s="103">
        <f>IF(I332&gt;0,(I332-J332-I332*PARAMETROS!$C$19)/I332,0)</f>
        <v>0</v>
      </c>
      <c r="L332" s="104"/>
      <c r="M332" s="105"/>
      <c r="N332" s="109"/>
      <c r="O332" s="105"/>
      <c r="P332" s="105"/>
      <c r="Q332" s="105"/>
      <c r="R332" s="105"/>
      <c r="S332" s="105"/>
      <c r="T332" s="105"/>
      <c r="U332" s="105"/>
      <c r="V332" s="105"/>
      <c r="W332" s="105"/>
      <c r="X332" s="105"/>
    </row>
    <row r="333" spans="1:24" ht="15.75" hidden="1" customHeight="1" x14ac:dyDescent="0.3">
      <c r="A333" s="144" t="str">
        <f t="shared" si="6"/>
        <v/>
      </c>
      <c r="B333" s="145"/>
      <c r="C333" s="116"/>
      <c r="D333" s="117"/>
      <c r="E333" s="117"/>
      <c r="F333" s="114" t="str">
        <f t="shared" si="5"/>
        <v/>
      </c>
      <c r="G333" s="114"/>
      <c r="H333" s="114"/>
      <c r="I333" s="114">
        <f>IF(E333&lt;&gt;"",F333*G333,SUMIFS(I334:I$9909,$C334:$C$9909,"*"&amp;C333&amp;"*",$E334:$E$9909,"&lt;&gt;"))</f>
        <v>0</v>
      </c>
      <c r="J333" s="114">
        <f>IF($E333&lt;&gt;"",$F333*H333,SUMIFS(J334:J$9909,$C334:$C$9909,"*"&amp;$C333&amp;"*",$E334:$E$9909,"&lt;&gt;"))</f>
        <v>0</v>
      </c>
      <c r="K333" s="103">
        <f>IF(I333&gt;0,(I333-J333-I333*PARAMETROS!$C$19)/I333,0)</f>
        <v>0</v>
      </c>
      <c r="L333" s="104"/>
      <c r="M333" s="105"/>
      <c r="N333" s="112"/>
      <c r="O333" s="105"/>
      <c r="P333" s="105"/>
      <c r="Q333" s="105"/>
      <c r="R333" s="105"/>
      <c r="S333" s="105"/>
      <c r="T333" s="105"/>
      <c r="U333" s="105"/>
      <c r="V333" s="105"/>
      <c r="W333" s="105"/>
      <c r="X333" s="105"/>
    </row>
    <row r="334" spans="1:24" ht="15.75" hidden="1" customHeight="1" x14ac:dyDescent="0.3">
      <c r="A334" s="144" t="str">
        <f t="shared" si="6"/>
        <v/>
      </c>
      <c r="B334" s="145"/>
      <c r="C334" s="116"/>
      <c r="D334" s="117"/>
      <c r="E334" s="117"/>
      <c r="F334" s="114" t="str">
        <f t="shared" si="5"/>
        <v/>
      </c>
      <c r="G334" s="114"/>
      <c r="H334" s="114"/>
      <c r="I334" s="114">
        <f>IF(E334&lt;&gt;"",F334*G334,SUMIFS(I335:I$9909,$C335:$C$9909,"*"&amp;C334&amp;"*",$E335:$E$9909,"&lt;&gt;"))</f>
        <v>0</v>
      </c>
      <c r="J334" s="114">
        <f>IF($E334&lt;&gt;"",$F334*H334,SUMIFS(J335:J$9909,$C335:$C$9909,"*"&amp;$C334&amp;"*",$E335:$E$9909,"&lt;&gt;"))</f>
        <v>0</v>
      </c>
      <c r="K334" s="103">
        <f>IF(I334&gt;0,(I334-J334-I334*PARAMETROS!$C$19)/I334,0)</f>
        <v>0</v>
      </c>
      <c r="L334" s="104"/>
      <c r="M334" s="105"/>
      <c r="N334" s="112"/>
      <c r="O334" s="105"/>
      <c r="P334" s="105"/>
      <c r="Q334" s="105"/>
      <c r="R334" s="105"/>
      <c r="S334" s="105"/>
      <c r="T334" s="105"/>
      <c r="U334" s="105"/>
      <c r="V334" s="105"/>
      <c r="W334" s="105"/>
      <c r="X334" s="105"/>
    </row>
    <row r="335" spans="1:24" ht="15.75" hidden="1" customHeight="1" x14ac:dyDescent="0.3">
      <c r="A335" s="144" t="str">
        <f t="shared" si="6"/>
        <v/>
      </c>
      <c r="B335" s="145"/>
      <c r="C335" s="116"/>
      <c r="D335" s="117"/>
      <c r="E335" s="117"/>
      <c r="F335" s="114" t="str">
        <f t="shared" si="5"/>
        <v/>
      </c>
      <c r="G335" s="114"/>
      <c r="H335" s="114"/>
      <c r="I335" s="114">
        <f>IF(E335&lt;&gt;"",F335*G335,SUMIFS(I336:I$9909,$C336:$C$9909,"*"&amp;C335&amp;"*",$E336:$E$9909,"&lt;&gt;"))</f>
        <v>0</v>
      </c>
      <c r="J335" s="114">
        <f>IF($E335&lt;&gt;"",$F335*H335,SUMIFS(J336:J$9909,$C336:$C$9909,"*"&amp;$C335&amp;"*",$E336:$E$9909,"&lt;&gt;"))</f>
        <v>0</v>
      </c>
      <c r="K335" s="103">
        <f>IF(I335&gt;0,(I335-J335-I335*PARAMETROS!$C$19)/I335,0)</f>
        <v>0</v>
      </c>
      <c r="L335" s="104"/>
      <c r="M335" s="105"/>
      <c r="N335" s="112"/>
      <c r="O335" s="105"/>
      <c r="P335" s="105"/>
      <c r="Q335" s="105"/>
      <c r="R335" s="105"/>
      <c r="S335" s="105"/>
      <c r="T335" s="105"/>
      <c r="U335" s="105"/>
      <c r="V335" s="105"/>
      <c r="W335" s="105"/>
      <c r="X335" s="105"/>
    </row>
    <row r="336" spans="1:24" ht="15.75" hidden="1" customHeight="1" x14ac:dyDescent="0.3">
      <c r="A336" s="144" t="str">
        <f t="shared" si="6"/>
        <v/>
      </c>
      <c r="B336" s="145"/>
      <c r="C336" s="116"/>
      <c r="D336" s="117"/>
      <c r="E336" s="117"/>
      <c r="F336" s="114" t="str">
        <f t="shared" si="5"/>
        <v/>
      </c>
      <c r="G336" s="114"/>
      <c r="H336" s="114"/>
      <c r="I336" s="114">
        <f>IF(E336&lt;&gt;"",F336*G336,SUMIFS(I337:I$9909,$C337:$C$9909,"*"&amp;C336&amp;"*",$E337:$E$9909,"&lt;&gt;"))</f>
        <v>0</v>
      </c>
      <c r="J336" s="114">
        <f>IF($E336&lt;&gt;"",$F336*H336,SUMIFS(J337:J$9909,$C337:$C$9909,"*"&amp;$C336&amp;"*",$E337:$E$9909,"&lt;&gt;"))</f>
        <v>0</v>
      </c>
      <c r="K336" s="103">
        <f>IF(I336&gt;0,(I336-J336-I336*PARAMETROS!$C$19)/I336,0)</f>
        <v>0</v>
      </c>
      <c r="L336" s="104"/>
      <c r="M336" s="105"/>
      <c r="N336" s="112"/>
      <c r="O336" s="105"/>
      <c r="P336" s="105"/>
      <c r="Q336" s="105"/>
      <c r="R336" s="105"/>
      <c r="S336" s="105"/>
      <c r="T336" s="105"/>
      <c r="U336" s="105"/>
      <c r="V336" s="105"/>
      <c r="W336" s="105"/>
      <c r="X336" s="105"/>
    </row>
    <row r="337" spans="1:24" ht="15.75" hidden="1" customHeight="1" x14ac:dyDescent="0.3">
      <c r="A337" s="144" t="str">
        <f t="shared" si="6"/>
        <v/>
      </c>
      <c r="B337" s="145"/>
      <c r="C337" s="116"/>
      <c r="D337" s="117"/>
      <c r="E337" s="117"/>
      <c r="F337" s="114" t="str">
        <f t="shared" si="5"/>
        <v/>
      </c>
      <c r="G337" s="114"/>
      <c r="H337" s="114"/>
      <c r="I337" s="114">
        <f>IF(E337&lt;&gt;"",F337*G337,SUMIFS(I338:I$9909,$C338:$C$9909,"*"&amp;C337&amp;"*",$E338:$E$9909,"&lt;&gt;"))</f>
        <v>0</v>
      </c>
      <c r="J337" s="114">
        <f>IF($E337&lt;&gt;"",$F337*H337,SUMIFS(J338:J$9909,$C338:$C$9909,"*"&amp;$C337&amp;"*",$E338:$E$9909,"&lt;&gt;"))</f>
        <v>0</v>
      </c>
      <c r="K337" s="103">
        <f>IF(I337&gt;0,(I337-J337-I337*PARAMETROS!$C$19)/I337,0)</f>
        <v>0</v>
      </c>
      <c r="L337" s="104"/>
      <c r="M337" s="105"/>
      <c r="N337" s="112"/>
      <c r="O337" s="105"/>
      <c r="P337" s="105"/>
      <c r="Q337" s="105"/>
      <c r="R337" s="105"/>
      <c r="S337" s="105"/>
      <c r="T337" s="105"/>
      <c r="U337" s="105"/>
      <c r="V337" s="105"/>
      <c r="W337" s="105"/>
      <c r="X337" s="105"/>
    </row>
    <row r="338" spans="1:24" ht="15.75" hidden="1" customHeight="1" x14ac:dyDescent="0.3">
      <c r="A338" s="144" t="str">
        <f t="shared" si="6"/>
        <v/>
      </c>
      <c r="B338" s="145"/>
      <c r="C338" s="116"/>
      <c r="D338" s="117"/>
      <c r="E338" s="117"/>
      <c r="F338" s="114" t="str">
        <f t="shared" si="5"/>
        <v/>
      </c>
      <c r="G338" s="114"/>
      <c r="H338" s="114"/>
      <c r="I338" s="114">
        <f>IF(E338&lt;&gt;"",F338*G338,SUMIFS(I339:I$9909,$C339:$C$9909,"*"&amp;C338&amp;"*",$E339:$E$9909,"&lt;&gt;"))</f>
        <v>0</v>
      </c>
      <c r="J338" s="114">
        <f>IF($E338&lt;&gt;"",$F338*H338,SUMIFS(J339:J$9909,$C339:$C$9909,"*"&amp;$C338&amp;"*",$E339:$E$9909,"&lt;&gt;"))</f>
        <v>0</v>
      </c>
      <c r="K338" s="103">
        <f>IF(I338&gt;0,(I338-J338-I338*PARAMETROS!$C$19)/I338,0)</f>
        <v>0</v>
      </c>
      <c r="L338" s="104"/>
      <c r="M338" s="105"/>
      <c r="N338" s="112"/>
      <c r="O338" s="105"/>
      <c r="P338" s="105"/>
      <c r="Q338" s="105"/>
      <c r="R338" s="105"/>
      <c r="S338" s="105"/>
      <c r="T338" s="105"/>
      <c r="U338" s="105"/>
      <c r="V338" s="105"/>
      <c r="W338" s="105"/>
      <c r="X338" s="105"/>
    </row>
    <row r="339" spans="1:24" ht="15.75" hidden="1" customHeight="1" x14ac:dyDescent="0.3">
      <c r="C339" s="124"/>
      <c r="D339" s="125" t="s">
        <v>590</v>
      </c>
      <c r="E339" s="124"/>
      <c r="F339" s="126"/>
      <c r="G339" s="127"/>
      <c r="H339" s="127"/>
      <c r="I339" s="127">
        <f>SUMIFS(I4:I338,$A4:$A338,1)</f>
        <v>0</v>
      </c>
      <c r="J339" s="127">
        <f>SUMIFS(J4:J338,$A4:$A338,1)</f>
        <v>0</v>
      </c>
      <c r="K339" s="128">
        <f>IF(I339&gt;0,(I339-J339-I339*PARAMETROS!$C$19)/I339,0)</f>
        <v>0</v>
      </c>
      <c r="L339" s="129" t="s">
        <v>591</v>
      </c>
      <c r="M339" s="130">
        <f>SUMPRODUCT(M$4:M338,$G$4:$G338)</f>
        <v>0</v>
      </c>
      <c r="N339" s="130">
        <f>SUMPRODUCT(N$4:N338,$G$4:$G338)</f>
        <v>0</v>
      </c>
      <c r="O339" s="130">
        <f>SUMPRODUCT(O$4:O338,$G$4:$G338)</f>
        <v>0</v>
      </c>
      <c r="P339" s="130">
        <f>SUMPRODUCT(P$4:P338,$G$4:$G338)</f>
        <v>0</v>
      </c>
      <c r="Q339" s="130">
        <f>SUMPRODUCT(Q$4:Q338,$G$4:$G338)</f>
        <v>0</v>
      </c>
      <c r="R339" s="130">
        <f>SUMPRODUCT(R$4:R338,$G$4:$G338)</f>
        <v>0</v>
      </c>
      <c r="S339" s="130">
        <f>SUMPRODUCT(S$4:S338,$G$4:$G338)</f>
        <v>0</v>
      </c>
      <c r="T339" s="130">
        <f>SUMPRODUCT(T$4:T338,$G$4:$G338)</f>
        <v>0</v>
      </c>
      <c r="U339" s="130">
        <f>SUMPRODUCT(U$4:U338,$G$4:$G338)</f>
        <v>0</v>
      </c>
      <c r="V339" s="130">
        <f>SUMPRODUCT(V$4:V338,$G$4:$G338)</f>
        <v>0</v>
      </c>
      <c r="W339" s="130">
        <f>SUMPRODUCT(W$4:W338,$G$4:$G338)</f>
        <v>0</v>
      </c>
      <c r="X339" s="130">
        <f>SUMPRODUCT(X$4:X338,$G$4:$G338)</f>
        <v>0</v>
      </c>
    </row>
    <row r="340" spans="1:24" x14ac:dyDescent="0.3">
      <c r="F340" s="132"/>
      <c r="L340" s="129" t="s">
        <v>592</v>
      </c>
      <c r="M340" s="130">
        <f>SUMPRODUCT(M$4:M338,$H$4:$H338)</f>
        <v>23958.423600000002</v>
      </c>
      <c r="N340" s="130">
        <f>SUMPRODUCT(N$4:N338,$H$4:$H338)</f>
        <v>0</v>
      </c>
      <c r="O340" s="130">
        <f>SUMPRODUCT(O$4:O338,$H$4:$H338)</f>
        <v>0</v>
      </c>
      <c r="P340" s="130">
        <f>SUMPRODUCT(P$4:P338,$H$4:$H338)</f>
        <v>0</v>
      </c>
      <c r="Q340" s="130">
        <f>SUMPRODUCT(Q$4:Q338,$H$4:$H338)</f>
        <v>0</v>
      </c>
      <c r="R340" s="130">
        <f>SUMPRODUCT(R$4:R338,$H$4:$H338)</f>
        <v>0</v>
      </c>
      <c r="S340" s="130">
        <f>SUMPRODUCT(S$4:S338,$H$4:$H338)</f>
        <v>0</v>
      </c>
      <c r="T340" s="130">
        <f>SUMPRODUCT(T$4:T338,$H$4:$H338)</f>
        <v>0</v>
      </c>
      <c r="U340" s="130">
        <f>SUMPRODUCT(U$4:U338,$H$4:$H338)</f>
        <v>0</v>
      </c>
      <c r="V340" s="130">
        <f>SUMPRODUCT(V$4:V338,$H$4:$H338)</f>
        <v>0</v>
      </c>
      <c r="W340" s="130">
        <f>SUMPRODUCT(W$4:W338,$H$4:$H338)</f>
        <v>0</v>
      </c>
      <c r="X340" s="130">
        <f>SUMPRODUCT(X$4:X338,$H$4:$H338)</f>
        <v>30377909.7744</v>
      </c>
    </row>
    <row r="341" spans="1:24" x14ac:dyDescent="0.3">
      <c r="F341" s="133"/>
      <c r="L341" s="129" t="s">
        <v>593</v>
      </c>
      <c r="M341" s="134" t="str">
        <f>IFERROR((M339-M340-M339*#REF!)/M339,"")</f>
        <v/>
      </c>
      <c r="N341" s="134" t="str">
        <f>IFERROR((N339-N340-N339*#REF!)/N339,"")</f>
        <v/>
      </c>
      <c r="O341" s="134" t="str">
        <f>IFERROR((O339-O340-O339*#REF!)/O339,"")</f>
        <v/>
      </c>
      <c r="P341" s="134" t="str">
        <f>IFERROR((P339-P340-P339*#REF!)/P339,"")</f>
        <v/>
      </c>
      <c r="Q341" s="134" t="str">
        <f>IFERROR((Q339-Q340-Q339*#REF!)/Q339,"")</f>
        <v/>
      </c>
      <c r="R341" s="134" t="str">
        <f>IFERROR((R339-R340-R339*#REF!)/R339,"")</f>
        <v/>
      </c>
      <c r="S341" s="134" t="str">
        <f>IFERROR((S339-S340-S339*#REF!)/S339,"")</f>
        <v/>
      </c>
      <c r="T341" s="134" t="str">
        <f>IFERROR((T339-T340-T339*#REF!)/T339,"")</f>
        <v/>
      </c>
      <c r="U341" s="134" t="str">
        <f>IFERROR((U339-U340-U339*#REF!)/U339,"")</f>
        <v/>
      </c>
      <c r="V341" s="134" t="str">
        <f>IFERROR((V339-V340-V339*#REF!)/V339,"")</f>
        <v/>
      </c>
      <c r="W341" s="134" t="str">
        <f>IFERROR((W339-W340-W339*#REF!)/W339,"")</f>
        <v/>
      </c>
      <c r="X341" s="134" t="str">
        <f>IFERROR((X339-X340-X339*#REF!)/X339,"")</f>
        <v/>
      </c>
    </row>
    <row r="342" spans="1:24" x14ac:dyDescent="0.3">
      <c r="F342" s="133"/>
    </row>
    <row r="343" spans="1:24" x14ac:dyDescent="0.3">
      <c r="F343" s="133"/>
    </row>
    <row r="344" spans="1:24" x14ac:dyDescent="0.3">
      <c r="F344" s="133"/>
    </row>
    <row r="345" spans="1:24" x14ac:dyDescent="0.3">
      <c r="F345" s="133"/>
    </row>
    <row r="346" spans="1:24" x14ac:dyDescent="0.3">
      <c r="F346" s="133"/>
    </row>
    <row r="347" spans="1:24" x14ac:dyDescent="0.3">
      <c r="F347" s="133"/>
    </row>
    <row r="348" spans="1:24" x14ac:dyDescent="0.3">
      <c r="F348" s="133"/>
    </row>
    <row r="349" spans="1:24" x14ac:dyDescent="0.3">
      <c r="F349" s="133"/>
    </row>
    <row r="350" spans="1:24" x14ac:dyDescent="0.3">
      <c r="F350" s="133"/>
    </row>
    <row r="351" spans="1:24" x14ac:dyDescent="0.3">
      <c r="F351" s="133"/>
    </row>
    <row r="352" spans="1:24" x14ac:dyDescent="0.3">
      <c r="F352" s="133"/>
    </row>
    <row r="353" spans="6:6" x14ac:dyDescent="0.3">
      <c r="F353" s="133"/>
    </row>
    <row r="354" spans="6:6" x14ac:dyDescent="0.3">
      <c r="F354" s="133"/>
    </row>
    <row r="355" spans="6:6" x14ac:dyDescent="0.3">
      <c r="F355" s="133"/>
    </row>
    <row r="356" spans="6:6" x14ac:dyDescent="0.3">
      <c r="F356" s="133"/>
    </row>
    <row r="357" spans="6:6" x14ac:dyDescent="0.3">
      <c r="F357" s="133"/>
    </row>
    <row r="358" spans="6:6" x14ac:dyDescent="0.3">
      <c r="F358" s="133"/>
    </row>
    <row r="359" spans="6:6" x14ac:dyDescent="0.3">
      <c r="F359" s="133"/>
    </row>
    <row r="360" spans="6:6" x14ac:dyDescent="0.3">
      <c r="F360" s="133"/>
    </row>
    <row r="361" spans="6:6" x14ac:dyDescent="0.3">
      <c r="F361" s="133"/>
    </row>
    <row r="362" spans="6:6" x14ac:dyDescent="0.3">
      <c r="F362" s="133"/>
    </row>
    <row r="363" spans="6:6" x14ac:dyDescent="0.3">
      <c r="F363" s="133"/>
    </row>
    <row r="364" spans="6:6" x14ac:dyDescent="0.3">
      <c r="F364" s="133"/>
    </row>
    <row r="365" spans="6:6" x14ac:dyDescent="0.3">
      <c r="F365" s="133"/>
    </row>
    <row r="366" spans="6:6" x14ac:dyDescent="0.3">
      <c r="F366" s="133"/>
    </row>
    <row r="367" spans="6:6" x14ac:dyDescent="0.3">
      <c r="F367" s="133"/>
    </row>
    <row r="368" spans="6:6" x14ac:dyDescent="0.3">
      <c r="F368" s="133"/>
    </row>
    <row r="369" spans="6:6" x14ac:dyDescent="0.3">
      <c r="F369" s="133"/>
    </row>
    <row r="370" spans="6:6" x14ac:dyDescent="0.3">
      <c r="F370" s="133"/>
    </row>
    <row r="371" spans="6:6" x14ac:dyDescent="0.3">
      <c r="F371" s="133"/>
    </row>
    <row r="372" spans="6:6" x14ac:dyDescent="0.3">
      <c r="F372" s="133"/>
    </row>
    <row r="373" spans="6:6" x14ac:dyDescent="0.3">
      <c r="F373" s="133"/>
    </row>
    <row r="374" spans="6:6" x14ac:dyDescent="0.3">
      <c r="F374" s="133"/>
    </row>
    <row r="375" spans="6:6" x14ac:dyDescent="0.3">
      <c r="F375" s="133"/>
    </row>
    <row r="376" spans="6:6" x14ac:dyDescent="0.3">
      <c r="F376" s="133"/>
    </row>
    <row r="377" spans="6:6" x14ac:dyDescent="0.3">
      <c r="F377" s="133"/>
    </row>
    <row r="378" spans="6:6" x14ac:dyDescent="0.3">
      <c r="F378" s="133"/>
    </row>
    <row r="379" spans="6:6" x14ac:dyDescent="0.3">
      <c r="F379" s="133"/>
    </row>
    <row r="380" spans="6:6" x14ac:dyDescent="0.3">
      <c r="F380" s="133"/>
    </row>
    <row r="381" spans="6:6" x14ac:dyDescent="0.3">
      <c r="F381" s="133"/>
    </row>
    <row r="382" spans="6:6" x14ac:dyDescent="0.3">
      <c r="F382" s="133"/>
    </row>
    <row r="383" spans="6:6" x14ac:dyDescent="0.3">
      <c r="F383" s="133"/>
    </row>
    <row r="384" spans="6:6" x14ac:dyDescent="0.3">
      <c r="F384" s="133"/>
    </row>
    <row r="385" spans="6:6" x14ac:dyDescent="0.3">
      <c r="F385" s="133"/>
    </row>
    <row r="386" spans="6:6" x14ac:dyDescent="0.3">
      <c r="F386" s="133"/>
    </row>
    <row r="387" spans="6:6" x14ac:dyDescent="0.3">
      <c r="F387" s="133"/>
    </row>
    <row r="388" spans="6:6" x14ac:dyDescent="0.3">
      <c r="F388" s="133"/>
    </row>
    <row r="389" spans="6:6" x14ac:dyDescent="0.3">
      <c r="F389" s="133"/>
    </row>
    <row r="390" spans="6:6" x14ac:dyDescent="0.3">
      <c r="F390" s="133"/>
    </row>
    <row r="391" spans="6:6" x14ac:dyDescent="0.3">
      <c r="F391" s="133"/>
    </row>
    <row r="392" spans="6:6" x14ac:dyDescent="0.3">
      <c r="F392" s="133"/>
    </row>
    <row r="393" spans="6:6" x14ac:dyDescent="0.3">
      <c r="F393" s="133"/>
    </row>
    <row r="394" spans="6:6" x14ac:dyDescent="0.3">
      <c r="F394" s="133"/>
    </row>
    <row r="395" spans="6:6" x14ac:dyDescent="0.3">
      <c r="F395" s="133"/>
    </row>
    <row r="396" spans="6:6" x14ac:dyDescent="0.3">
      <c r="F396" s="133"/>
    </row>
    <row r="397" spans="6:6" x14ac:dyDescent="0.3">
      <c r="F397" s="133"/>
    </row>
    <row r="398" spans="6:6" x14ac:dyDescent="0.3">
      <c r="F398" s="133"/>
    </row>
    <row r="399" spans="6:6" x14ac:dyDescent="0.3">
      <c r="F399" s="133"/>
    </row>
    <row r="400" spans="6:6" x14ac:dyDescent="0.3">
      <c r="F400" s="133"/>
    </row>
    <row r="401" spans="6:6" x14ac:dyDescent="0.3">
      <c r="F401" s="133"/>
    </row>
    <row r="402" spans="6:6" x14ac:dyDescent="0.3">
      <c r="F402" s="133"/>
    </row>
    <row r="403" spans="6:6" x14ac:dyDescent="0.3">
      <c r="F403" s="133"/>
    </row>
    <row r="404" spans="6:6" x14ac:dyDescent="0.3">
      <c r="F404" s="135"/>
    </row>
    <row r="405" spans="6:6" x14ac:dyDescent="0.3">
      <c r="F405" s="133"/>
    </row>
    <row r="406" spans="6:6" x14ac:dyDescent="0.3">
      <c r="F406" s="133"/>
    </row>
    <row r="407" spans="6:6" x14ac:dyDescent="0.3">
      <c r="F407" s="133"/>
    </row>
    <row r="408" spans="6:6" x14ac:dyDescent="0.3">
      <c r="F408" s="133"/>
    </row>
    <row r="409" spans="6:6" x14ac:dyDescent="0.3">
      <c r="F409" s="133"/>
    </row>
    <row r="410" spans="6:6" x14ac:dyDescent="0.3">
      <c r="F410" s="133"/>
    </row>
    <row r="411" spans="6:6" x14ac:dyDescent="0.3">
      <c r="F411" s="133"/>
    </row>
    <row r="412" spans="6:6" x14ac:dyDescent="0.3">
      <c r="F412" s="133"/>
    </row>
    <row r="413" spans="6:6" x14ac:dyDescent="0.3">
      <c r="F413" s="133"/>
    </row>
    <row r="414" spans="6:6" x14ac:dyDescent="0.3">
      <c r="F414" s="133"/>
    </row>
    <row r="415" spans="6:6" x14ac:dyDescent="0.3">
      <c r="F415" s="133"/>
    </row>
    <row r="416" spans="6:6" x14ac:dyDescent="0.3">
      <c r="F416" s="133"/>
    </row>
    <row r="417" spans="6:6" x14ac:dyDescent="0.3">
      <c r="F417" s="133"/>
    </row>
    <row r="418" spans="6:6" x14ac:dyDescent="0.3">
      <c r="F418" s="133"/>
    </row>
    <row r="419" spans="6:6" x14ac:dyDescent="0.3">
      <c r="F419" s="133"/>
    </row>
    <row r="420" spans="6:6" x14ac:dyDescent="0.3">
      <c r="F420" s="133"/>
    </row>
    <row r="421" spans="6:6" x14ac:dyDescent="0.3">
      <c r="F421" s="133"/>
    </row>
    <row r="422" spans="6:6" x14ac:dyDescent="0.3">
      <c r="F422" s="133"/>
    </row>
    <row r="423" spans="6:6" x14ac:dyDescent="0.3">
      <c r="F423" s="133"/>
    </row>
    <row r="424" spans="6:6" x14ac:dyDescent="0.3">
      <c r="F424" s="133"/>
    </row>
    <row r="425" spans="6:6" x14ac:dyDescent="0.3">
      <c r="F425" s="133"/>
    </row>
    <row r="426" spans="6:6" x14ac:dyDescent="0.3">
      <c r="F426" s="133"/>
    </row>
    <row r="427" spans="6:6" x14ac:dyDescent="0.3">
      <c r="F427" s="133"/>
    </row>
    <row r="428" spans="6:6" x14ac:dyDescent="0.3">
      <c r="F428" s="133"/>
    </row>
    <row r="429" spans="6:6" x14ac:dyDescent="0.3">
      <c r="F429" s="133"/>
    </row>
    <row r="430" spans="6:6" x14ac:dyDescent="0.3">
      <c r="F430" s="133"/>
    </row>
    <row r="431" spans="6:6" x14ac:dyDescent="0.3">
      <c r="F431" s="133"/>
    </row>
    <row r="432" spans="6:6" x14ac:dyDescent="0.3">
      <c r="F432" s="133"/>
    </row>
    <row r="433" spans="6:6" x14ac:dyDescent="0.3">
      <c r="F433" s="133"/>
    </row>
    <row r="434" spans="6:6" x14ac:dyDescent="0.3">
      <c r="F434" s="133"/>
    </row>
    <row r="435" spans="6:6" x14ac:dyDescent="0.3">
      <c r="F435" s="133"/>
    </row>
    <row r="436" spans="6:6" x14ac:dyDescent="0.3">
      <c r="F436" s="133"/>
    </row>
    <row r="437" spans="6:6" x14ac:dyDescent="0.3">
      <c r="F437" s="133"/>
    </row>
    <row r="438" spans="6:6" x14ac:dyDescent="0.3">
      <c r="F438" s="133"/>
    </row>
    <row r="439" spans="6:6" x14ac:dyDescent="0.3">
      <c r="F439" s="133"/>
    </row>
    <row r="440" spans="6:6" x14ac:dyDescent="0.3">
      <c r="F440" s="133"/>
    </row>
    <row r="441" spans="6:6" x14ac:dyDescent="0.3">
      <c r="F441" s="133"/>
    </row>
    <row r="442" spans="6:6" x14ac:dyDescent="0.3">
      <c r="F442" s="133"/>
    </row>
    <row r="443" spans="6:6" x14ac:dyDescent="0.3">
      <c r="F443" s="133"/>
    </row>
    <row r="444" spans="6:6" x14ac:dyDescent="0.3">
      <c r="F444" s="133"/>
    </row>
    <row r="445" spans="6:6" x14ac:dyDescent="0.3">
      <c r="F445" s="133"/>
    </row>
    <row r="446" spans="6:6" x14ac:dyDescent="0.3">
      <c r="F446" s="133"/>
    </row>
    <row r="447" spans="6:6" x14ac:dyDescent="0.3">
      <c r="F447" s="135"/>
    </row>
    <row r="448" spans="6:6" x14ac:dyDescent="0.3">
      <c r="F448" s="133"/>
    </row>
    <row r="449" spans="6:6" x14ac:dyDescent="0.3">
      <c r="F449" s="133"/>
    </row>
    <row r="450" spans="6:6" x14ac:dyDescent="0.3">
      <c r="F450" s="133"/>
    </row>
    <row r="451" spans="6:6" x14ac:dyDescent="0.3">
      <c r="F451" s="133"/>
    </row>
    <row r="452" spans="6:6" x14ac:dyDescent="0.3">
      <c r="F452" s="133"/>
    </row>
    <row r="453" spans="6:6" x14ac:dyDescent="0.3">
      <c r="F453" s="133"/>
    </row>
    <row r="454" spans="6:6" x14ac:dyDescent="0.3">
      <c r="F454" s="133"/>
    </row>
    <row r="455" spans="6:6" x14ac:dyDescent="0.3">
      <c r="F455" s="133"/>
    </row>
    <row r="456" spans="6:6" x14ac:dyDescent="0.3">
      <c r="F456" s="133"/>
    </row>
    <row r="457" spans="6:6" x14ac:dyDescent="0.3">
      <c r="F457" s="133"/>
    </row>
    <row r="458" spans="6:6" x14ac:dyDescent="0.3">
      <c r="F458" s="133"/>
    </row>
    <row r="459" spans="6:6" x14ac:dyDescent="0.3">
      <c r="F459" s="133"/>
    </row>
    <row r="460" spans="6:6" x14ac:dyDescent="0.3">
      <c r="F460" s="133"/>
    </row>
    <row r="461" spans="6:6" x14ac:dyDescent="0.3">
      <c r="F461" s="133"/>
    </row>
    <row r="462" spans="6:6" x14ac:dyDescent="0.3">
      <c r="F462" s="136"/>
    </row>
    <row r="463" spans="6:6" x14ac:dyDescent="0.3">
      <c r="F463" s="135"/>
    </row>
    <row r="464" spans="6:6" x14ac:dyDescent="0.3">
      <c r="F464" s="133"/>
    </row>
    <row r="465" spans="6:6" x14ac:dyDescent="0.3">
      <c r="F465" s="133"/>
    </row>
    <row r="466" spans="6:6" x14ac:dyDescent="0.3">
      <c r="F466" s="133"/>
    </row>
    <row r="467" spans="6:6" x14ac:dyDescent="0.3">
      <c r="F467" s="133"/>
    </row>
    <row r="468" spans="6:6" x14ac:dyDescent="0.3">
      <c r="F468" s="133"/>
    </row>
    <row r="469" spans="6:6" x14ac:dyDescent="0.3">
      <c r="F469" s="133"/>
    </row>
    <row r="470" spans="6:6" x14ac:dyDescent="0.3">
      <c r="F470" s="133"/>
    </row>
    <row r="471" spans="6:6" x14ac:dyDescent="0.3">
      <c r="F471" s="133"/>
    </row>
    <row r="472" spans="6:6" x14ac:dyDescent="0.3">
      <c r="F472" s="133"/>
    </row>
    <row r="473" spans="6:6" x14ac:dyDescent="0.3">
      <c r="F473" s="133"/>
    </row>
    <row r="474" spans="6:6" x14ac:dyDescent="0.3">
      <c r="F474" s="133"/>
    </row>
    <row r="475" spans="6:6" x14ac:dyDescent="0.3">
      <c r="F475" s="133"/>
    </row>
    <row r="476" spans="6:6" x14ac:dyDescent="0.3">
      <c r="F476" s="133"/>
    </row>
    <row r="477" spans="6:6" x14ac:dyDescent="0.3">
      <c r="F477" s="133"/>
    </row>
    <row r="478" spans="6:6" x14ac:dyDescent="0.3">
      <c r="F478" s="133"/>
    </row>
    <row r="479" spans="6:6" x14ac:dyDescent="0.3">
      <c r="F479" s="133"/>
    </row>
    <row r="480" spans="6:6" x14ac:dyDescent="0.3">
      <c r="F480" s="133"/>
    </row>
    <row r="481" spans="6:6" x14ac:dyDescent="0.3">
      <c r="F481" s="133"/>
    </row>
    <row r="482" spans="6:6" x14ac:dyDescent="0.3">
      <c r="F482" s="133"/>
    </row>
    <row r="483" spans="6:6" x14ac:dyDescent="0.3">
      <c r="F483" s="133"/>
    </row>
    <row r="484" spans="6:6" x14ac:dyDescent="0.3">
      <c r="F484" s="133"/>
    </row>
    <row r="485" spans="6:6" x14ac:dyDescent="0.3">
      <c r="F485" s="133"/>
    </row>
    <row r="486" spans="6:6" x14ac:dyDescent="0.3">
      <c r="F486" s="133"/>
    </row>
    <row r="487" spans="6:6" x14ac:dyDescent="0.3">
      <c r="F487" s="133"/>
    </row>
    <row r="488" spans="6:6" x14ac:dyDescent="0.3">
      <c r="F488" s="133"/>
    </row>
    <row r="489" spans="6:6" x14ac:dyDescent="0.3">
      <c r="F489" s="133"/>
    </row>
    <row r="490" spans="6:6" x14ac:dyDescent="0.3">
      <c r="F490" s="133"/>
    </row>
    <row r="491" spans="6:6" x14ac:dyDescent="0.3">
      <c r="F491" s="133"/>
    </row>
    <row r="492" spans="6:6" x14ac:dyDescent="0.3">
      <c r="F492" s="133"/>
    </row>
    <row r="493" spans="6:6" x14ac:dyDescent="0.3">
      <c r="F493" s="133"/>
    </row>
    <row r="494" spans="6:6" x14ac:dyDescent="0.3">
      <c r="F494" s="133"/>
    </row>
    <row r="495" spans="6:6" x14ac:dyDescent="0.3">
      <c r="F495" s="133"/>
    </row>
    <row r="496" spans="6:6" x14ac:dyDescent="0.3">
      <c r="F496" s="133"/>
    </row>
    <row r="497" spans="6:6" x14ac:dyDescent="0.3">
      <c r="F497" s="133"/>
    </row>
    <row r="498" spans="6:6" x14ac:dyDescent="0.3">
      <c r="F498" s="133"/>
    </row>
    <row r="499" spans="6:6" x14ac:dyDescent="0.3">
      <c r="F499" s="133"/>
    </row>
    <row r="500" spans="6:6" x14ac:dyDescent="0.3">
      <c r="F500" s="133"/>
    </row>
    <row r="501" spans="6:6" x14ac:dyDescent="0.3">
      <c r="F501" s="133"/>
    </row>
    <row r="502" spans="6:6" x14ac:dyDescent="0.3">
      <c r="F502" s="133"/>
    </row>
    <row r="503" spans="6:6" x14ac:dyDescent="0.3">
      <c r="F503" s="133"/>
    </row>
    <row r="504" spans="6:6" x14ac:dyDescent="0.3">
      <c r="F504" s="133"/>
    </row>
    <row r="505" spans="6:6" x14ac:dyDescent="0.3">
      <c r="F505" s="133"/>
    </row>
    <row r="506" spans="6:6" x14ac:dyDescent="0.3">
      <c r="F506" s="133"/>
    </row>
    <row r="507" spans="6:6" x14ac:dyDescent="0.3">
      <c r="F507" s="133"/>
    </row>
    <row r="508" spans="6:6" x14ac:dyDescent="0.3">
      <c r="F508" s="133"/>
    </row>
    <row r="509" spans="6:6" x14ac:dyDescent="0.3">
      <c r="F509" s="133"/>
    </row>
    <row r="510" spans="6:6" x14ac:dyDescent="0.3">
      <c r="F510" s="133"/>
    </row>
    <row r="511" spans="6:6" x14ac:dyDescent="0.3">
      <c r="F511" s="133"/>
    </row>
    <row r="512" spans="6:6" x14ac:dyDescent="0.3">
      <c r="F512" s="136"/>
    </row>
    <row r="513" spans="6:6" x14ac:dyDescent="0.3">
      <c r="F513" s="135"/>
    </row>
    <row r="514" spans="6:6" x14ac:dyDescent="0.3">
      <c r="F514" s="133"/>
    </row>
    <row r="515" spans="6:6" x14ac:dyDescent="0.3">
      <c r="F515" s="133"/>
    </row>
    <row r="516" spans="6:6" x14ac:dyDescent="0.3">
      <c r="F516" s="133"/>
    </row>
    <row r="517" spans="6:6" x14ac:dyDescent="0.3">
      <c r="F517" s="133"/>
    </row>
    <row r="518" spans="6:6" x14ac:dyDescent="0.3">
      <c r="F518" s="133"/>
    </row>
    <row r="519" spans="6:6" x14ac:dyDescent="0.3">
      <c r="F519" s="133"/>
    </row>
    <row r="520" spans="6:6" x14ac:dyDescent="0.3">
      <c r="F520" s="133"/>
    </row>
    <row r="521" spans="6:6" x14ac:dyDescent="0.3">
      <c r="F521" s="133"/>
    </row>
    <row r="522" spans="6:6" x14ac:dyDescent="0.3">
      <c r="F522" s="133"/>
    </row>
    <row r="523" spans="6:6" x14ac:dyDescent="0.3">
      <c r="F523" s="133"/>
    </row>
    <row r="524" spans="6:6" x14ac:dyDescent="0.3">
      <c r="F524" s="133"/>
    </row>
    <row r="525" spans="6:6" x14ac:dyDescent="0.3">
      <c r="F525" s="133"/>
    </row>
    <row r="526" spans="6:6" x14ac:dyDescent="0.3">
      <c r="F526" s="133"/>
    </row>
    <row r="527" spans="6:6" x14ac:dyDescent="0.3">
      <c r="F527" s="133"/>
    </row>
    <row r="528" spans="6:6" x14ac:dyDescent="0.3">
      <c r="F528" s="133"/>
    </row>
    <row r="529" spans="6:6" x14ac:dyDescent="0.3">
      <c r="F529" s="133"/>
    </row>
    <row r="530" spans="6:6" x14ac:dyDescent="0.3">
      <c r="F530" s="133"/>
    </row>
    <row r="531" spans="6:6" x14ac:dyDescent="0.3">
      <c r="F531" s="133"/>
    </row>
    <row r="532" spans="6:6" x14ac:dyDescent="0.3">
      <c r="F532" s="133"/>
    </row>
    <row r="533" spans="6:6" x14ac:dyDescent="0.3">
      <c r="F533" s="133"/>
    </row>
    <row r="534" spans="6:6" x14ac:dyDescent="0.3">
      <c r="F534" s="133"/>
    </row>
    <row r="535" spans="6:6" x14ac:dyDescent="0.3">
      <c r="F535" s="133"/>
    </row>
    <row r="536" spans="6:6" x14ac:dyDescent="0.3">
      <c r="F536" s="133"/>
    </row>
    <row r="537" spans="6:6" x14ac:dyDescent="0.3">
      <c r="F537" s="133"/>
    </row>
    <row r="538" spans="6:6" x14ac:dyDescent="0.3">
      <c r="F538" s="133"/>
    </row>
    <row r="539" spans="6:6" x14ac:dyDescent="0.3">
      <c r="F539" s="133"/>
    </row>
    <row r="540" spans="6:6" x14ac:dyDescent="0.3">
      <c r="F540" s="133"/>
    </row>
    <row r="541" spans="6:6" x14ac:dyDescent="0.3">
      <c r="F541" s="133"/>
    </row>
    <row r="542" spans="6:6" x14ac:dyDescent="0.3">
      <c r="F542" s="133"/>
    </row>
    <row r="543" spans="6:6" x14ac:dyDescent="0.3">
      <c r="F543" s="133"/>
    </row>
    <row r="544" spans="6:6" x14ac:dyDescent="0.3">
      <c r="F544" s="133"/>
    </row>
    <row r="545" spans="6:6" x14ac:dyDescent="0.3">
      <c r="F545" s="133"/>
    </row>
    <row r="546" spans="6:6" x14ac:dyDescent="0.3">
      <c r="F546" s="133"/>
    </row>
    <row r="547" spans="6:6" x14ac:dyDescent="0.3">
      <c r="F547" s="133"/>
    </row>
    <row r="548" spans="6:6" x14ac:dyDescent="0.3">
      <c r="F548" s="133"/>
    </row>
    <row r="549" spans="6:6" x14ac:dyDescent="0.3">
      <c r="F549" s="133"/>
    </row>
    <row r="550" spans="6:6" x14ac:dyDescent="0.3">
      <c r="F550" s="133"/>
    </row>
    <row r="551" spans="6:6" x14ac:dyDescent="0.3">
      <c r="F551" s="133"/>
    </row>
    <row r="552" spans="6:6" x14ac:dyDescent="0.3">
      <c r="F552" s="133"/>
    </row>
    <row r="553" spans="6:6" x14ac:dyDescent="0.3">
      <c r="F553" s="133"/>
    </row>
    <row r="554" spans="6:6" x14ac:dyDescent="0.3">
      <c r="F554" s="133"/>
    </row>
    <row r="555" spans="6:6" x14ac:dyDescent="0.3">
      <c r="F555" s="133"/>
    </row>
    <row r="556" spans="6:6" x14ac:dyDescent="0.3">
      <c r="F556" s="133"/>
    </row>
    <row r="557" spans="6:6" x14ac:dyDescent="0.3">
      <c r="F557" s="133"/>
    </row>
    <row r="558" spans="6:6" x14ac:dyDescent="0.3">
      <c r="F558" s="133"/>
    </row>
    <row r="559" spans="6:6" x14ac:dyDescent="0.3">
      <c r="F559" s="133"/>
    </row>
    <row r="560" spans="6:6" x14ac:dyDescent="0.3">
      <c r="F560" s="133"/>
    </row>
    <row r="561" spans="6:6" x14ac:dyDescent="0.3">
      <c r="F561" s="133"/>
    </row>
    <row r="562" spans="6:6" x14ac:dyDescent="0.3">
      <c r="F562" s="133"/>
    </row>
    <row r="563" spans="6:6" x14ac:dyDescent="0.3">
      <c r="F563" s="133"/>
    </row>
    <row r="564" spans="6:6" x14ac:dyDescent="0.3">
      <c r="F564" s="133"/>
    </row>
    <row r="565" spans="6:6" x14ac:dyDescent="0.3">
      <c r="F565" s="133"/>
    </row>
    <row r="566" spans="6:6" x14ac:dyDescent="0.3">
      <c r="F566" s="133"/>
    </row>
    <row r="567" spans="6:6" x14ac:dyDescent="0.3">
      <c r="F567" s="133"/>
    </row>
    <row r="568" spans="6:6" x14ac:dyDescent="0.3">
      <c r="F568" s="133"/>
    </row>
    <row r="569" spans="6:6" x14ac:dyDescent="0.3">
      <c r="F569" s="133"/>
    </row>
    <row r="570" spans="6:6" x14ac:dyDescent="0.3">
      <c r="F570" s="133"/>
    </row>
    <row r="571" spans="6:6" x14ac:dyDescent="0.3">
      <c r="F571" s="133"/>
    </row>
    <row r="572" spans="6:6" x14ac:dyDescent="0.3">
      <c r="F572" s="133"/>
    </row>
    <row r="573" spans="6:6" x14ac:dyDescent="0.3">
      <c r="F573" s="133"/>
    </row>
    <row r="574" spans="6:6" x14ac:dyDescent="0.3">
      <c r="F574" s="133"/>
    </row>
    <row r="575" spans="6:6" x14ac:dyDescent="0.3">
      <c r="F575" s="133"/>
    </row>
    <row r="576" spans="6:6" x14ac:dyDescent="0.3">
      <c r="F576" s="133"/>
    </row>
    <row r="577" spans="6:6" x14ac:dyDescent="0.3">
      <c r="F577" s="133"/>
    </row>
    <row r="578" spans="6:6" x14ac:dyDescent="0.3">
      <c r="F578" s="133"/>
    </row>
    <row r="579" spans="6:6" x14ac:dyDescent="0.3">
      <c r="F579" s="133"/>
    </row>
    <row r="580" spans="6:6" x14ac:dyDescent="0.3">
      <c r="F580" s="133"/>
    </row>
    <row r="581" spans="6:6" x14ac:dyDescent="0.3">
      <c r="F581" s="133"/>
    </row>
    <row r="582" spans="6:6" x14ac:dyDescent="0.3">
      <c r="F582" s="133"/>
    </row>
    <row r="583" spans="6:6" x14ac:dyDescent="0.3">
      <c r="F583" s="133"/>
    </row>
    <row r="584" spans="6:6" x14ac:dyDescent="0.3">
      <c r="F584" s="133"/>
    </row>
    <row r="585" spans="6:6" x14ac:dyDescent="0.3">
      <c r="F585" s="133"/>
    </row>
    <row r="586" spans="6:6" x14ac:dyDescent="0.3">
      <c r="F586" s="133"/>
    </row>
    <row r="587" spans="6:6" x14ac:dyDescent="0.3">
      <c r="F587" s="133"/>
    </row>
    <row r="588" spans="6:6" x14ac:dyDescent="0.3">
      <c r="F588" s="133"/>
    </row>
    <row r="589" spans="6:6" x14ac:dyDescent="0.3">
      <c r="F589" s="133"/>
    </row>
    <row r="590" spans="6:6" x14ac:dyDescent="0.3">
      <c r="F590" s="133"/>
    </row>
    <row r="591" spans="6:6" x14ac:dyDescent="0.3">
      <c r="F591" s="136"/>
    </row>
    <row r="592" spans="6:6" x14ac:dyDescent="0.3">
      <c r="F592" s="133"/>
    </row>
  </sheetData>
  <autoFilter ref="C3:X341" xr:uid="{00000000-0009-0000-0000-000005000000}">
    <filterColumn colId="7">
      <filters blank="1">
        <filter val="1.221.620,66"/>
        <filter val="1.500,00"/>
        <filter val="10.000,00"/>
        <filter val="10.610,00"/>
        <filter val="106.482,34"/>
        <filter val="108.000,00"/>
        <filter val="11.000,00"/>
        <filter val="11.222,23"/>
        <filter val="11.620,22"/>
        <filter val="11.844,00"/>
        <filter val="119.000,00"/>
        <filter val="12.000,00"/>
        <filter val="12.600,00"/>
        <filter val="12.800,00"/>
        <filter val="124.500,20"/>
        <filter val="139.659,86"/>
        <filter val="14.400,00"/>
        <filter val="14.972,12"/>
        <filter val="15.000,00"/>
        <filter val="15.059,07"/>
        <filter val="16.102,80"/>
        <filter val="16.380,00"/>
        <filter val="17.500,00"/>
        <filter val="17.611,75"/>
        <filter val="17.640,00"/>
        <filter val="18.000,00"/>
        <filter val="18.050,00"/>
        <filter val="19.000,00"/>
        <filter val="2,55"/>
        <filter val="2.000,00"/>
        <filter val="2.400,00"/>
        <filter val="20.000,00"/>
        <filter val="20.160,00"/>
        <filter val="21.000,00"/>
        <filter val="21.180,00"/>
        <filter val="21.512,21"/>
        <filter val="21.600,00"/>
        <filter val="216.000,00"/>
        <filter val="23.482,34"/>
        <filter val="24.548,83"/>
        <filter val="241.840,83"/>
        <filter val="26.390,26"/>
        <filter val="26.712,00"/>
        <filter val="27.000,00"/>
        <filter val="277.390,83"/>
        <filter val="28.000,00"/>
        <filter val="3.000,00"/>
        <filter val="3.610,00"/>
        <filter val="300,00"/>
        <filter val="34.122,21"/>
        <filter val="35.000,00"/>
        <filter val="35.869,18"/>
        <filter val="4.112,57"/>
        <filter val="4.500,00"/>
        <filter val="40.443,44"/>
        <filter val="41.101,61"/>
        <filter val="43.000,00"/>
        <filter val="5.000,00"/>
        <filter val="5.770,80"/>
        <filter val="5.810,11"/>
        <filter val="5.870,58"/>
        <filter val="500,00"/>
        <filter val="54.000,00"/>
        <filter val="54.023,18"/>
        <filter val="55.000,00"/>
        <filter val="55.323,02"/>
        <filter val="55.892,81"/>
        <filter val="6.000,00"/>
        <filter val="6.154,00"/>
        <filter val="6.500,00"/>
        <filter val="6.502,55"/>
        <filter val="600,00"/>
        <filter val="67.659,86"/>
        <filter val="7.000,00"/>
        <filter val="7.056,42"/>
        <filter val="7.200,00"/>
        <filter val="7.391,17"/>
        <filter val="7.538,30"/>
        <filter val="7.629,74"/>
        <filter val="70.477,02"/>
        <filter val="8.400,00"/>
        <filter val="8.815,64"/>
        <filter val="80.401,61"/>
        <filter val="9.668,21"/>
        <filter val="90.000,00"/>
      </filters>
    </filterColumn>
  </autoFilter>
  <phoneticPr fontId="58" type="noConversion"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47B2A3F0-0BAD-4A5E-88F3-D7C13C905671}">
            <x14:iconSet iconSet="3Triangles">
              <x14:cfvo type="percent">
                <xm:f>0</xm:f>
              </x14:cfvo>
              <x14:cfvo type="num">
                <xm:f>0</xm:f>
              </x14:cfvo>
              <x14:cfvo type="num">
                <xm:f>0.02</xm:f>
              </x14:cfvo>
            </x14:iconSet>
          </x14:cfRule>
          <xm:sqref>K4</xm:sqref>
        </x14:conditionalFormatting>
        <x14:conditionalFormatting xmlns:xm="http://schemas.microsoft.com/office/excel/2006/main">
          <x14:cfRule type="iconSet" priority="2" id="{72DC1E5A-13C2-4E8F-A1D3-008AA81619EE}">
            <x14:iconSet iconSet="3Triangles">
              <x14:cfvo type="percent">
                <xm:f>0</xm:f>
              </x14:cfvo>
              <x14:cfvo type="num">
                <xm:f>0</xm:f>
              </x14:cfvo>
              <x14:cfvo type="num">
                <xm:f>0.02</xm:f>
              </x14:cfvo>
            </x14:iconSet>
          </x14:cfRule>
          <xm:sqref>K339</xm:sqref>
        </x14:conditionalFormatting>
        <x14:conditionalFormatting xmlns:xm="http://schemas.microsoft.com/office/excel/2006/main">
          <x14:cfRule type="iconSet" priority="4" id="{C48FC331-AE35-4D47-9415-8BC23DB5D568}">
            <x14:iconSet iconSet="3Triangles">
              <x14:cfvo type="percent">
                <xm:f>0</xm:f>
              </x14:cfvo>
              <x14:cfvo type="num">
                <xm:f>0</xm:f>
              </x14:cfvo>
              <x14:cfvo type="num">
                <xm:f>0.02</xm:f>
              </x14:cfvo>
            </x14:iconSet>
          </x14:cfRule>
          <xm:sqref>K309:K338</xm:sqref>
        </x14:conditionalFormatting>
        <x14:conditionalFormatting xmlns:xm="http://schemas.microsoft.com/office/excel/2006/main">
          <x14:cfRule type="iconSet" priority="70" id="{C7EB0711-5B34-4DEF-ABF7-7D55EC98BA76}">
            <x14:iconSet iconSet="3Triangles">
              <x14:cfvo type="percent">
                <xm:f>0</xm:f>
              </x14:cfvo>
              <x14:cfvo type="num">
                <xm:f>0</xm:f>
              </x14:cfvo>
              <x14:cfvo type="num">
                <xm:f>0.02</xm:f>
              </x14:cfvo>
            </x14:iconSet>
          </x14:cfRule>
          <xm:sqref>K5:K308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A1:AE158"/>
  <sheetViews>
    <sheetView showGridLines="0" tabSelected="1" zoomScale="115" zoomScaleNormal="115" workbookViewId="0">
      <pane xSplit="14" ySplit="3" topLeftCell="Q5" activePane="bottomRight" state="frozen"/>
      <selection pane="topRight" activeCell="C28" activeCellId="1" sqref="E13 C28"/>
      <selection pane="bottomLeft" activeCell="C28" activeCellId="1" sqref="E13 C28"/>
      <selection pane="bottomRight" activeCell="J22" sqref="J22"/>
    </sheetView>
  </sheetViews>
  <sheetFormatPr defaultRowHeight="14.4" x14ac:dyDescent="0.3"/>
  <cols>
    <col min="1" max="1" width="2.33203125" customWidth="1"/>
    <col min="2" max="2" width="7.109375" style="28" customWidth="1"/>
    <col min="3" max="3" width="5.33203125" style="26" customWidth="1"/>
    <col min="4" max="4" width="27.33203125" hidden="1" customWidth="1"/>
    <col min="5" max="5" width="6.33203125" hidden="1" customWidth="1"/>
    <col min="6" max="6" width="18.109375" hidden="1" customWidth="1"/>
    <col min="7" max="7" width="29.109375" customWidth="1"/>
    <col min="8" max="10" width="12.88671875" bestFit="1" customWidth="1"/>
    <col min="11" max="12" width="12.6640625" customWidth="1"/>
    <col min="13" max="13" width="14" bestFit="1" customWidth="1"/>
    <col min="14" max="14" width="6.6640625" customWidth="1"/>
    <col min="15" max="15" width="0.88671875" customWidth="1"/>
    <col min="16" max="17" width="8.88671875" style="28"/>
    <col min="18" max="18" width="13.33203125" style="28" bestFit="1" customWidth="1"/>
    <col min="20" max="23" width="8.88671875" customWidth="1"/>
    <col min="24" max="24" width="9.88671875" bestFit="1" customWidth="1"/>
    <col min="25" max="25" width="8.88671875" customWidth="1"/>
    <col min="26" max="26" width="0.88671875" hidden="1" customWidth="1"/>
    <col min="27" max="30" width="11.6640625" hidden="1" customWidth="1"/>
    <col min="31" max="31" width="8.88671875" hidden="1" customWidth="1"/>
  </cols>
  <sheetData>
    <row r="1" spans="1:31" x14ac:dyDescent="0.3">
      <c r="A1" s="284" t="s">
        <v>594</v>
      </c>
      <c r="O1" s="208"/>
      <c r="T1" s="226">
        <f>125000*0.05*2.4</f>
        <v>15000</v>
      </c>
      <c r="Z1" s="208"/>
    </row>
    <row r="2" spans="1:31" ht="27" customHeight="1" x14ac:dyDescent="0.3">
      <c r="G2" s="78" t="s">
        <v>2</v>
      </c>
      <c r="H2" s="41"/>
      <c r="O2" s="208"/>
      <c r="Z2" s="208"/>
      <c r="AA2" s="209" t="s">
        <v>595</v>
      </c>
    </row>
    <row r="3" spans="1:31" x14ac:dyDescent="0.3">
      <c r="B3" s="62" t="s">
        <v>596</v>
      </c>
      <c r="C3" s="62" t="s">
        <v>597</v>
      </c>
      <c r="D3" s="62" t="s">
        <v>598</v>
      </c>
      <c r="E3" s="62" t="s">
        <v>599</v>
      </c>
      <c r="F3" s="62" t="s">
        <v>600</v>
      </c>
      <c r="G3" s="62" t="s">
        <v>93</v>
      </c>
      <c r="H3" s="62" t="s">
        <v>601</v>
      </c>
      <c r="I3" s="62" t="s">
        <v>602</v>
      </c>
      <c r="J3" s="62" t="s">
        <v>603</v>
      </c>
      <c r="K3" s="62" t="s">
        <v>604</v>
      </c>
      <c r="L3" s="62" t="s">
        <v>605</v>
      </c>
      <c r="M3" s="62" t="s">
        <v>606</v>
      </c>
      <c r="N3" s="62" t="s">
        <v>607</v>
      </c>
      <c r="O3" s="383" t="s">
        <v>608</v>
      </c>
      <c r="P3" s="237" t="s">
        <v>609</v>
      </c>
      <c r="Q3" s="62" t="s">
        <v>610</v>
      </c>
      <c r="R3" s="62" t="s">
        <v>611</v>
      </c>
      <c r="S3" s="62" t="s">
        <v>612</v>
      </c>
      <c r="T3" s="62" t="s">
        <v>613</v>
      </c>
      <c r="Z3" s="208"/>
      <c r="AA3" s="204" t="s">
        <v>601</v>
      </c>
      <c r="AB3" s="204" t="s">
        <v>614</v>
      </c>
      <c r="AC3" s="204" t="s">
        <v>615</v>
      </c>
      <c r="AD3" s="204" t="s">
        <v>616</v>
      </c>
      <c r="AE3" s="205" t="s">
        <v>607</v>
      </c>
    </row>
    <row r="4" spans="1:31" hidden="1" x14ac:dyDescent="0.3">
      <c r="B4" s="28">
        <f>IF(F4&lt;&gt;0,0,0)</f>
        <v>0</v>
      </c>
      <c r="C4" s="43" t="str">
        <f>IFERROR(HYPERLINK("#"&amp;"CPU_"&amp;LEFT(SUBSTITUTE(SUBSTITUTE(G4," ",""),"-",""),20)&amp;"!B3","..."),0)</f>
        <v>...</v>
      </c>
      <c r="D4" t="s">
        <v>617</v>
      </c>
      <c r="E4">
        <f>IFERROR(VLOOKUP(D4,Tabela1[[SERVICO]:[ETAPA/SERVICO]],4),"")</f>
        <v>1</v>
      </c>
      <c r="F4" t="str">
        <f>IFERROR(VLOOKUP(Tabela4[[#This Row],[Codigo]],Tabela1[[SERVICO]:[ETAPA/SERVICO]],3),0)</f>
        <v>01.01 Administracao local diversos</v>
      </c>
      <c r="G4" t="str">
        <f>IFERROR(VLOOKUP(D4,Tabela1[[SERVICO]:[NOME SERVIÇO]],2,0),"")</f>
        <v>inistracao local</v>
      </c>
      <c r="H4" s="157">
        <f>SUMIF(Resumo_Agrupamento!$B$4:$B$1000,D4,Resumo_Agrupamento!$C$4:$C$1000)</f>
        <v>0</v>
      </c>
      <c r="I4" s="158">
        <f ca="1">IF(AND(E4&gt;1,PARAMETROS!$C$17="RDC"),0,IFERROR(INDIRECT("CPU_"&amp;LEFT(SUBSTITUTE(SUBSTITUTE(G4," ",""),"-",""),20)&amp;"!k3"),0))</f>
        <v>0</v>
      </c>
      <c r="J4" s="158">
        <f>IF(AND(E4&gt;1,PARAMETROS!$C$17="RDC"),0,SUMIF(Resumo_Agrupamento!$B$4:$B$1000,D4,Resumo_Agrupamento!$D$4:$D$1000))</f>
        <v>0</v>
      </c>
      <c r="K4" s="157">
        <f ca="1">IF(AND(E4&gt;1,PARAMETROS!$C$17="RDC"),SUMIF(F5:$F$34,F4,K5:$K$34),H4*I4)</f>
        <v>0</v>
      </c>
      <c r="L4" s="157">
        <f>IF(AND(E4&gt;1,PARAMETROS!$C$17="RDC"),SUMIF(F5:$F$34,F4,L5:$L$34),SUMIF(Resumo_Agrupamento!$B$4:$B$1000,D4,Resumo_Agrupamento!$E$4:$E$1000))</f>
        <v>0</v>
      </c>
      <c r="M4" s="159">
        <f ca="1">L4-K4-L4*PARAMETROS!$C$19</f>
        <v>0</v>
      </c>
      <c r="N4" s="63">
        <f ca="1">IFERROR(M4/L4,0)</f>
        <v>0</v>
      </c>
      <c r="O4" s="208"/>
      <c r="P4" s="238" t="str">
        <f ca="1">IF(Tabela4[[#This Row],[TIPO]]&gt;1,"",IFERROR(INDIRECT("CPU_"&amp;LEFT(SUBSTITUTE(SUBSTITUTE($G4," ",""),"-",""),20)&amp;"!b6"),""))</f>
        <v/>
      </c>
      <c r="Q4" s="28" t="str">
        <f ca="1">IF(Tabela4[[#This Row],[TIPO]]&gt;1,"",IFERROR(INDIRECT("CPU_"&amp;LEFT(SUBSTITUTE(SUBSTITUTE($G4," ",""),"-",""),20)&amp;"!j3"),""))</f>
        <v/>
      </c>
      <c r="R4" s="238" t="str">
        <f ca="1">IF(Tabela4[[#This Row],[TIPO]]&gt;1,"",IFERROR(INDIRECT("CPU_"&amp;LEFT(SUBSTITUTE(SUBSTITUTE($G4," ",""),"-",""),20)&amp;"!g7"),""))</f>
        <v/>
      </c>
      <c r="Z4" s="208"/>
      <c r="AA4" s="206">
        <f>SUMPRODUCT(Plan_Orc[Acum. 2023]*Tabela2[K]*(Tabela2[AGRUPADOR]=Tabela4[[#This Row],[Codigo]]))</f>
        <v>0</v>
      </c>
      <c r="AB4" s="210">
        <f ca="1">IF(AND(Tabela4[[#This Row],[TIPO]]&gt;1,PARAMETROS!$C$17="RDC"),0,IFERROR(INDIRECT(LEFT(SUBSTITUTE(SUBSTITUTE(H4," ",""),"-",""),20)&amp;"!ae3"),0))</f>
        <v>0</v>
      </c>
      <c r="AC4" s="206">
        <f ca="1">IF(AND(Tabela4[[#This Row],[TIPO]]&gt;1,PARAMETROS!$C$17="RDC"),SUMIF($F5:G$95,G4,$AB5:AC$158),AA4*AB4)</f>
        <v>0</v>
      </c>
      <c r="AD4" s="206">
        <f ca="1">IF(AND(Tabela4[[#This Row],[TIPO]]&gt;1,PARAMETROS!$C$17="RDC"),SUMIF($F5:G$95,G4,$AC5:AD$158),(J4-AB4)*AA4)</f>
        <v>0</v>
      </c>
      <c r="AE4" s="207">
        <f ca="1">IFERROR(AD4/AC4,0)</f>
        <v>0</v>
      </c>
    </row>
    <row r="5" spans="1:31" x14ac:dyDescent="0.3">
      <c r="B5" s="28">
        <f t="shared" ref="B5:B32" si="0">IF(F5&lt;&gt;0,0,0)</f>
        <v>0</v>
      </c>
      <c r="C5" s="43" t="str">
        <f t="shared" ref="C5:C68" si="1">IFERROR(HYPERLINK("#"&amp;"CPU_"&amp;LEFT(SUBSTITUTE(SUBSTITUTE(G5," ",""),"-",""),20)&amp;"!B3","..."),0)</f>
        <v>...</v>
      </c>
      <c r="D5" t="s">
        <v>44</v>
      </c>
      <c r="E5">
        <f>IFERROR(VLOOKUP(D5,Tabela1[[SERVICO]:[ETAPA/SERVICO]],4),"")</f>
        <v>1</v>
      </c>
      <c r="F5" t="str">
        <f>IFERROR(VLOOKUP(Tabela4[[#This Row],[Codigo]],Tabela1[[SERVICO]:[ETAPA/SERVICO]],3),0)</f>
        <v>01.01 Administracao local diversos</v>
      </c>
      <c r="G5" t="str">
        <f>IFERROR(VLOOKUP(D5,Tabela1[[SERVICO]:[NOME SERVIÇO]],2,0),"")</f>
        <v>Administracao local diversos</v>
      </c>
      <c r="H5" s="158">
        <f>SUMIF(Resumo_Agrupamento!$B$4:$B$1000,Tabela4[[#This Row],[Codigo]],Resumo_Agrupamento!$C$4:$C$1000)</f>
        <v>4</v>
      </c>
      <c r="I5" s="157">
        <f ca="1">IF(AND(E5&gt;1,PARAMETROS!$C$17="RDC"),0,IFERROR(INDIRECT("CPU_"&amp;LEFT(SUBSTITUTE(SUBSTITUTE(G5," ",""),"-",""),20)&amp;"!k3"),0))</f>
        <v>1059620.6621999999</v>
      </c>
      <c r="J5" s="157">
        <f>IF(AND(E5&gt;1,PARAMETROS!$C$17="RDC"),0,SUMIF(Resumo_Agrupamento!$B$4:$B$1000,D5,Resumo_Agrupamento!$D$4:$D$1000))</f>
        <v>1507246.9749599998</v>
      </c>
      <c r="K5" s="157">
        <f ca="1">IF(AND(E5&gt;1,PARAMETROS!$C$17="RDC"),SUMIF(F6:$F$34,F5,K6:$K$34),H5*I5)</f>
        <v>4238482.6487999996</v>
      </c>
      <c r="L5" s="157">
        <f>IF(AND(E5&gt;1,PARAMETROS!$C$17="RDC"),SUMIF(F6:$F$34,F5,L6:$L$34),SUMIF(Resumo_Agrupamento!$B$4:$B$1000,D5,Resumo_Agrupamento!$E$4:$E$1000))</f>
        <v>6028987.8998399992</v>
      </c>
      <c r="M5" s="159">
        <f ca="1">L5-K5-L5*PARAMETROS!$C$19</f>
        <v>881333.87574412755</v>
      </c>
      <c r="N5" s="63">
        <f t="shared" ref="N5" ca="1" si="2">IFERROR(M5/L5,0)</f>
        <v>0.14618272426247811</v>
      </c>
      <c r="O5" s="208"/>
      <c r="P5" s="238">
        <f ca="1">IF(Tabela4[[#This Row],[TIPO]]&gt;1,"",IFERROR(INDIRECT("CPU_"&amp;LEFT(SUBSTITUTE(SUBSTITUTE($G5," ",""),"-",""),20)&amp;"!b6"),""))</f>
        <v>3</v>
      </c>
      <c r="Q5" s="28" t="str">
        <f ca="1">IF(Tabela4[[#This Row],[TIPO]]&gt;1,"",IFERROR(INDIRECT("CPU_"&amp;LEFT(SUBSTITUTE(SUBSTITUTE($G5," ",""),"-",""),20)&amp;"!j3"),""))</f>
        <v>VB</v>
      </c>
      <c r="R5" s="238">
        <f ca="1">IF(Tabela4[[#This Row],[TIPO]]&gt;1,"",IFERROR(INDIRECT("CPU_"&amp;LEFT(SUBSTITUTE(SUBSTITUTE($G5," ",""),"-",""),20)&amp;"!g7"),""))</f>
        <v>1.3333333333333333</v>
      </c>
      <c r="Z5" s="208"/>
      <c r="AA5" s="206">
        <f>SUMPRODUCT(Plan_Orc[Acum. 2023]*Tabela2[K]*(Tabela2[AGRUPADOR]=Tabela4[[#This Row],[Codigo]]))</f>
        <v>0</v>
      </c>
      <c r="AB5" s="210">
        <f ca="1">IF(AND(Tabela4[[#This Row],[TIPO]]&gt;1,PARAMETROS!$C$17="RDC"),0,IFERROR(INDIRECT(LEFT(SUBSTITUTE(SUBSTITUTE(H5," ",""),"-",""),20)&amp;"!ae3"),0))</f>
        <v>0</v>
      </c>
      <c r="AC5" s="206">
        <f ca="1">IF(AND(Tabela4[[#This Row],[TIPO]]&gt;1,PARAMETROS!$C$17="RDC"),SUMIF($F6:G$95,G5,$AB6:AC$158),AA5*AB5)</f>
        <v>0</v>
      </c>
      <c r="AD5" s="206">
        <f ca="1">IF(AND(Tabela4[[#This Row],[TIPO]]&gt;1,PARAMETROS!$C$17="RDC"),SUMIF($F6:G$95,G5,$AC6:AD$158),(J5-AB5)*AA5)</f>
        <v>0</v>
      </c>
      <c r="AE5" s="211">
        <f t="shared" ref="AE5:AE24" ca="1" si="3">IFERROR(AD5/AC5,0)</f>
        <v>0</v>
      </c>
    </row>
    <row r="6" spans="1:31" hidden="1" x14ac:dyDescent="0.3">
      <c r="B6" s="28">
        <f t="shared" si="0"/>
        <v>0</v>
      </c>
      <c r="C6" s="43" t="str">
        <f t="shared" si="1"/>
        <v>...</v>
      </c>
      <c r="D6" t="s">
        <v>618</v>
      </c>
      <c r="E6">
        <f>IFERROR(VLOOKUP(D6,Tabela1[[SERVICO]:[ETAPA/SERVICO]],4),"")</f>
        <v>2</v>
      </c>
      <c r="F6" t="str">
        <f>IFERROR(VLOOKUP(Tabela4[[#This Row],[Codigo]],Tabela1[[SERVICO]:[ETAPA/SERVICO]],3),0)</f>
        <v>02 Pavimentação Urbana / Rodoviaria</v>
      </c>
      <c r="G6" t="str">
        <f>IFERROR(VLOOKUP(D6,Tabela1[[SERVICO]:[NOME SERVIÇO]],2,0),"")</f>
        <v>02 Pavimentação Urbana / Rodoviaria</v>
      </c>
      <c r="H6" s="157">
        <f>SUMIF(Resumo_Agrupamento!$B$4:$B$1000,Tabela4[[#This Row],[Codigo]],Resumo_Agrupamento!$C$4:$C$1000)</f>
        <v>0</v>
      </c>
      <c r="I6" s="158">
        <f ca="1">IF(AND(E6&gt;1,PARAMETROS!$C$17="RDC"),0,IFERROR(INDIRECT("CPU_"&amp;LEFT(SUBSTITUTE(SUBSTITUTE(G6," ",""),"-",""),20)&amp;"!k3"),0))</f>
        <v>0</v>
      </c>
      <c r="J6" s="158">
        <f>IF(AND(E6&gt;1,PARAMETROS!$C$17="RDC"),0,SUMIF(Resumo_Agrupamento!$B$4:$B$1000,D6,Resumo_Agrupamento!$D$4:$D$1000))</f>
        <v>0</v>
      </c>
      <c r="K6" s="157">
        <f ca="1">IF(AND(E6&gt;1,PARAMETROS!$C$17="RDC"),SUMIF(F7:$F$34,F6,K7:$K$34),H6*I6)</f>
        <v>0</v>
      </c>
      <c r="L6" s="157">
        <f>IF(AND(E6&gt;1,PARAMETROS!$C$17="RDC"),SUMIF(F7:$F$34,F6,L7:$L$34),SUMIF(Resumo_Agrupamento!$B$4:$B$1000,D6,Resumo_Agrupamento!$E$4:$E$1000))</f>
        <v>0</v>
      </c>
      <c r="M6" s="159">
        <f ca="1">L6-K6-L6*PARAMETROS!$C$19</f>
        <v>0</v>
      </c>
      <c r="N6" s="63">
        <f t="shared" ref="N6:N69" ca="1" si="4">IFERROR(M6/L6,0)</f>
        <v>0</v>
      </c>
      <c r="O6" s="208"/>
      <c r="P6" s="238" t="str">
        <f ca="1">IF(Tabela4[[#This Row],[TIPO]]&gt;1,"",IFERROR(INDIRECT("CPU_"&amp;LEFT(SUBSTITUTE(SUBSTITUTE($G6," ",""),"-",""),20)&amp;"!b6"),""))</f>
        <v/>
      </c>
      <c r="Q6" s="28" t="str">
        <f ca="1">IF(Tabela4[[#This Row],[TIPO]]&gt;1,"",IFERROR(INDIRECT("CPU_"&amp;LEFT(SUBSTITUTE(SUBSTITUTE($G6," ",""),"-",""),20)&amp;"!j3"),""))</f>
        <v/>
      </c>
      <c r="R6" s="238" t="str">
        <f ca="1">IF(Tabela4[[#This Row],[TIPO]]&gt;1,"",IFERROR(INDIRECT("CPU_"&amp;LEFT(SUBSTITUTE(SUBSTITUTE($G6," ",""),"-",""),20)&amp;"!g7"),""))</f>
        <v/>
      </c>
      <c r="Z6" s="208"/>
      <c r="AA6" s="206">
        <f>SUMPRODUCT(Plan_Orc[Acum. 2023]*Tabela2[K]*(Tabela2[AGRUPADOR]=Tabela4[[#This Row],[Codigo]]))</f>
        <v>0</v>
      </c>
      <c r="AB6" s="210">
        <f ca="1">IF(AND(Tabela4[[#This Row],[TIPO]]&gt;1,PARAMETROS!$C$17="RDC"),0,IFERROR(INDIRECT(LEFT(SUBSTITUTE(SUBSTITUTE(#REF!," ",""),"-",""),20)&amp;"!ae3"),0))</f>
        <v>0</v>
      </c>
      <c r="AC6" s="206">
        <f ca="1">IF(AND(Tabela4[[#This Row],[TIPO]]&gt;1,PARAMETROS!$C$17="RDC"),SUMIF($F6:G$95,#REF!,$AB7:AC$158),AA6*AB6)</f>
        <v>0</v>
      </c>
      <c r="AD6" s="206" t="e">
        <f ca="1">IF(AND(Tabela4[[#This Row],[TIPO]]&gt;1,PARAMETROS!$C$17="RDC"),SUMIF($F6:G$95,#REF!,$AC7:AD$158),(#REF!-AB6)*AA6)</f>
        <v>#REF!</v>
      </c>
      <c r="AE6" s="207">
        <f t="shared" ca="1" si="3"/>
        <v>0</v>
      </c>
    </row>
    <row r="7" spans="1:31" hidden="1" x14ac:dyDescent="0.3">
      <c r="B7" s="28">
        <f t="shared" si="0"/>
        <v>0</v>
      </c>
      <c r="C7" s="43" t="str">
        <f t="shared" si="1"/>
        <v>...</v>
      </c>
      <c r="D7" t="s">
        <v>619</v>
      </c>
      <c r="E7">
        <f>IFERROR(VLOOKUP(D7,Tabela1[[SERVICO]:[ETAPA/SERVICO]],4),"")</f>
        <v>2</v>
      </c>
      <c r="F7" t="str">
        <f>IFERROR(VLOOKUP(Tabela4[[#This Row],[Codigo]],Tabela1[[SERVICO]:[ETAPA/SERVICO]],3),0)</f>
        <v>02.03 Restauração</v>
      </c>
      <c r="G7" t="str">
        <f>IFERROR(VLOOKUP(D7,Tabela1[[SERVICO]:[NOME SERVIÇO]],2,0),"")</f>
        <v>02.03 Restauração</v>
      </c>
      <c r="H7" s="157">
        <f>SUMIF(Resumo_Agrupamento!$B$4:$B$1000,Tabela4[[#This Row],[Codigo]],Resumo_Agrupamento!$C$4:$C$1000)</f>
        <v>0</v>
      </c>
      <c r="I7" s="158">
        <f ca="1">IF(AND(E7&gt;1,PARAMETROS!$C$17="RDC"),0,IFERROR(INDIRECT("CPU_"&amp;LEFT(SUBSTITUTE(SUBSTITUTE(G7," ",""),"-",""),20)&amp;"!k3"),0))</f>
        <v>0</v>
      </c>
      <c r="J7" s="158">
        <f>IF(AND(E7&gt;1,PARAMETROS!$C$17="RDC"),0,SUMIF(Resumo_Agrupamento!$B$4:$B$1000,D7,Resumo_Agrupamento!$D$4:$D$1000))</f>
        <v>0</v>
      </c>
      <c r="K7" s="157">
        <f ca="1">IF(AND(E7&gt;1,PARAMETROS!$C$17="RDC"),SUMIF(F8:$F$34,F7,K8:$K$34),H7*I7)</f>
        <v>0</v>
      </c>
      <c r="L7" s="157">
        <f>IF(AND(E7&gt;1,PARAMETROS!$C$17="RDC"),SUMIF(F8:$F$34,F7,L8:$L$34),SUMIF(Resumo_Agrupamento!$B$4:$B$1000,D7,Resumo_Agrupamento!$E$4:$E$1000))</f>
        <v>0</v>
      </c>
      <c r="M7" s="159">
        <f ca="1">L7-K7-L7*PARAMETROS!$C$19</f>
        <v>0</v>
      </c>
      <c r="N7" s="63">
        <f t="shared" ca="1" si="4"/>
        <v>0</v>
      </c>
      <c r="O7" s="208"/>
      <c r="P7" s="238" t="str">
        <f ca="1">IF(Tabela4[[#This Row],[TIPO]]&gt;1,"",IFERROR(INDIRECT("CPU_"&amp;LEFT(SUBSTITUTE(SUBSTITUTE($G7," ",""),"-",""),20)&amp;"!b6"),""))</f>
        <v/>
      </c>
      <c r="Q7" s="28" t="str">
        <f ca="1">IF(Tabela4[[#This Row],[TIPO]]&gt;1,"",IFERROR(INDIRECT("CPU_"&amp;LEFT(SUBSTITUTE(SUBSTITUTE($G7," ",""),"-",""),20)&amp;"!j3"),""))</f>
        <v/>
      </c>
      <c r="R7" s="238" t="str">
        <f ca="1">IF(Tabela4[[#This Row],[TIPO]]&gt;1,"",IFERROR(INDIRECT("CPU_"&amp;LEFT(SUBSTITUTE(SUBSTITUTE($G7," ",""),"-",""),20)&amp;"!g7"),""))</f>
        <v/>
      </c>
      <c r="Z7" s="212"/>
      <c r="AA7" s="206">
        <f>SUMPRODUCT(Plan_Orc[Acum. 2023]*Tabela2[K]*(Tabela2[AGRUPADOR]=Tabela4[[#This Row],[Codigo]]))</f>
        <v>0</v>
      </c>
      <c r="AB7" s="210">
        <f ca="1">IF(AND(Tabela4[[#This Row],[TIPO]]&gt;1,PARAMETROS!$C$17="RDC"),0,IFERROR(INDIRECT(LEFT(SUBSTITUTE(SUBSTITUTE(#REF!," ",""),"-",""),20)&amp;"!ae3"),0))</f>
        <v>0</v>
      </c>
      <c r="AC7" s="206">
        <f ca="1">IF(AND(Tabela4[[#This Row],[TIPO]]&gt;1,PARAMETROS!$C$17="RDC"),SUMIF($F6:G$95,#REF!,$AB8:AC$158),AA7*AB7)</f>
        <v>0</v>
      </c>
      <c r="AD7" s="206" t="e">
        <f ca="1">IF(AND(Tabela4[[#This Row],[TIPO]]&gt;1,PARAMETROS!$C$17="RDC"),SUMIF($F6:G$95,#REF!,$AC8:AD$158),(#REF!-AB7)*AA7)</f>
        <v>#REF!</v>
      </c>
      <c r="AE7" s="211">
        <f t="shared" ca="1" si="3"/>
        <v>0</v>
      </c>
    </row>
    <row r="8" spans="1:31" hidden="1" x14ac:dyDescent="0.3">
      <c r="B8" s="28">
        <f t="shared" si="0"/>
        <v>0</v>
      </c>
      <c r="C8" s="43" t="str">
        <f t="shared" si="1"/>
        <v>...</v>
      </c>
      <c r="D8" t="s">
        <v>620</v>
      </c>
      <c r="E8">
        <f>IFERROR(VLOOKUP(D8,Tabela1[[SERVICO]:[ETAPA/SERVICO]],4),"")</f>
        <v>1</v>
      </c>
      <c r="F8" t="str">
        <f>IFERROR(VLOOKUP(Tabela4[[#This Row],[Codigo]],Tabela1[[SERVICO]:[ETAPA/SERVICO]],3),0)</f>
        <v>02.03 Restauração</v>
      </c>
      <c r="G8" t="str">
        <f>IFERROR(VLOOKUP(D8,Tabela1[[SERVICO]:[NOME SERVIÇO]],2,0),"")</f>
        <v>Reparos localizados profundos</v>
      </c>
      <c r="H8" s="157">
        <f>SUMIF(Resumo_Agrupamento!$B$4:$B$1000,Tabela4[[#This Row],[Codigo]],Resumo_Agrupamento!$C$4:$C$1000)</f>
        <v>0</v>
      </c>
      <c r="I8" s="158">
        <f ca="1">IF(AND(E8&gt;1,PARAMETROS!$C$17="RDC"),0,IFERROR(INDIRECT("CPU_"&amp;LEFT(SUBSTITUTE(SUBSTITUTE(G8," ",""),"-",""),20)&amp;"!k3"),0))</f>
        <v>0</v>
      </c>
      <c r="J8" s="158">
        <f>IF(AND(E8&gt;1,PARAMETROS!$C$17="RDC"),0,SUMIF(Resumo_Agrupamento!$B$4:$B$1000,D8,Resumo_Agrupamento!$D$4:$D$1000))</f>
        <v>0</v>
      </c>
      <c r="K8" s="157">
        <f ca="1">IF(AND(E8&gt;1,PARAMETROS!$C$17="RDC"),SUMIF(F9:$F$34,F8,K9:$K$34),H8*I8)</f>
        <v>0</v>
      </c>
      <c r="L8" s="157">
        <f>IF(AND(E8&gt;1,PARAMETROS!$C$17="RDC"),SUMIF(F9:$F$34,F8,L9:$L$34),SUMIF(Resumo_Agrupamento!$B$4:$B$1000,D8,Resumo_Agrupamento!$E$4:$E$1000))</f>
        <v>0</v>
      </c>
      <c r="M8" s="159">
        <f ca="1">L8-K8-L8*PARAMETROS!$C$19</f>
        <v>0</v>
      </c>
      <c r="N8" s="63">
        <f t="shared" ca="1" si="4"/>
        <v>0</v>
      </c>
      <c r="O8" s="208"/>
      <c r="P8" s="238" t="str">
        <f ca="1">IF(Tabela4[[#This Row],[TIPO]]&gt;1,"",IFERROR(INDIRECT("CPU_"&amp;LEFT(SUBSTITUTE(SUBSTITUTE($G8," ",""),"-",""),20)&amp;"!b6"),""))</f>
        <v/>
      </c>
      <c r="Q8" s="28" t="str">
        <f ca="1">IF(Tabela4[[#This Row],[TIPO]]&gt;1,"",IFERROR(INDIRECT("CPU_"&amp;LEFT(SUBSTITUTE(SUBSTITUTE($G8," ",""),"-",""),20)&amp;"!j3"),""))</f>
        <v/>
      </c>
      <c r="R8" s="238" t="str">
        <f ca="1">IF(Tabela4[[#This Row],[TIPO]]&gt;1,"",IFERROR(INDIRECT("CPU_"&amp;LEFT(SUBSTITUTE(SUBSTITUTE($G8," ",""),"-",""),20)&amp;"!g7"),""))</f>
        <v/>
      </c>
      <c r="Z8" s="208"/>
      <c r="AA8" s="206">
        <f>SUMPRODUCT(Plan_Orc[Acum. 2023]*Tabela2[K]*(Tabela2[AGRUPADOR]=Tabela4[[#This Row],[Codigo]]))</f>
        <v>0</v>
      </c>
      <c r="AB8" s="210">
        <f ca="1">IF(AND(Tabela4[[#This Row],[TIPO]]&gt;1,PARAMETROS!$C$17="RDC"),0,IFERROR(INDIRECT(LEFT(SUBSTITUTE(SUBSTITUTE(#REF!," ",""),"-",""),20)&amp;"!ae3"),0))</f>
        <v>0</v>
      </c>
      <c r="AC8" s="206">
        <f ca="1">IF(AND(Tabela4[[#This Row],[TIPO]]&gt;1,PARAMETROS!$C$17="RDC"),SUMIF($F6:G$95,#REF!,$AB9:AC$158),AA8*AB8)</f>
        <v>0</v>
      </c>
      <c r="AD8" s="206" t="e">
        <f ca="1">IF(AND(Tabela4[[#This Row],[TIPO]]&gt;1,PARAMETROS!$C$17="RDC"),SUMIF($F6:G$95,#REF!,$AC9:AD$158),(#REF!-AB8)*AA8)</f>
        <v>#REF!</v>
      </c>
      <c r="AE8" s="207">
        <f t="shared" ca="1" si="3"/>
        <v>0</v>
      </c>
    </row>
    <row r="9" spans="1:31" hidden="1" x14ac:dyDescent="0.3">
      <c r="B9" s="28">
        <f t="shared" si="0"/>
        <v>0</v>
      </c>
      <c r="C9" s="43" t="str">
        <f t="shared" si="1"/>
        <v>...</v>
      </c>
      <c r="D9" t="s">
        <v>621</v>
      </c>
      <c r="E9">
        <f>IFERROR(VLOOKUP(D9,Tabela1[[SERVICO]:[ETAPA/SERVICO]],4),"")</f>
        <v>1</v>
      </c>
      <c r="F9" t="str">
        <f>IFERROR(VLOOKUP(Tabela4[[#This Row],[Codigo]],Tabela1[[SERVICO]:[ETAPA/SERVICO]],3),0)</f>
        <v>02.03 Restauração</v>
      </c>
      <c r="G9" t="str">
        <f>IFERROR(VLOOKUP(D9,Tabela1[[SERVICO]:[NOME SERVIÇO]],2,0),"")</f>
        <v xml:space="preserve">Reparos localizados superficiais </v>
      </c>
      <c r="H9" s="157">
        <f>SUMIF(Resumo_Agrupamento!$B$4:$B$1000,Tabela4[[#This Row],[Codigo]],Resumo_Agrupamento!$C$4:$C$1000)</f>
        <v>0</v>
      </c>
      <c r="I9" s="158">
        <f ca="1">IF(AND(E9&gt;1,PARAMETROS!$C$17="RDC"),0,IFERROR(INDIRECT("CPU_"&amp;LEFT(SUBSTITUTE(SUBSTITUTE(G9," ",""),"-",""),20)&amp;"!k3"),0))</f>
        <v>0</v>
      </c>
      <c r="J9" s="158">
        <f>IF(AND(E9&gt;1,PARAMETROS!$C$17="RDC"),0,SUMIF(Resumo_Agrupamento!$B$4:$B$1000,D9,Resumo_Agrupamento!$D$4:$D$1000))</f>
        <v>0</v>
      </c>
      <c r="K9" s="157">
        <f ca="1">IF(AND(E9&gt;1,PARAMETROS!$C$17="RDC"),SUMIF(F10:$F$34,F9,K10:$K$34),H9*I9)</f>
        <v>0</v>
      </c>
      <c r="L9" s="157">
        <f>IF(AND(E9&gt;1,PARAMETROS!$C$17="RDC"),SUMIF(F10:$F$34,F9,L10:$L$34),SUMIF(Resumo_Agrupamento!$B$4:$B$1000,D9,Resumo_Agrupamento!$E$4:$E$1000))</f>
        <v>0</v>
      </c>
      <c r="M9" s="159">
        <f ca="1">L9-K9-L9*PARAMETROS!$C$19</f>
        <v>0</v>
      </c>
      <c r="N9" s="63">
        <f t="shared" ca="1" si="4"/>
        <v>0</v>
      </c>
      <c r="O9" s="208"/>
      <c r="P9" s="238" t="str">
        <f ca="1">IF(Tabela4[[#This Row],[TIPO]]&gt;1,"",IFERROR(INDIRECT("CPU_"&amp;LEFT(SUBSTITUTE(SUBSTITUTE($G9," ",""),"-",""),20)&amp;"!b6"),""))</f>
        <v/>
      </c>
      <c r="Q9" s="28" t="str">
        <f ca="1">IF(Tabela4[[#This Row],[TIPO]]&gt;1,"",IFERROR(INDIRECT("CPU_"&amp;LEFT(SUBSTITUTE(SUBSTITUTE($G9," ",""),"-",""),20)&amp;"!j3"),""))</f>
        <v/>
      </c>
      <c r="R9" s="238" t="str">
        <f ca="1">IF(Tabela4[[#This Row],[TIPO]]&gt;1,"",IFERROR(INDIRECT("CPU_"&amp;LEFT(SUBSTITUTE(SUBSTITUTE($G9," ",""),"-",""),20)&amp;"!g7"),""))</f>
        <v/>
      </c>
      <c r="Z9" s="208"/>
      <c r="AA9" s="206">
        <f>SUMPRODUCT(Plan_Orc[Acum. 2023]*Tabela2[K]*(Tabela2[AGRUPADOR]=Tabela4[[#This Row],[Codigo]]))</f>
        <v>0</v>
      </c>
      <c r="AB9" s="210">
        <f ca="1">IF(AND(Tabela4[[#This Row],[TIPO]]&gt;1,PARAMETROS!$C$17="RDC"),0,IFERROR(INDIRECT(LEFT(SUBSTITUTE(SUBSTITUTE(#REF!," ",""),"-",""),20)&amp;"!ae3"),0))</f>
        <v>0</v>
      </c>
      <c r="AC9" s="206">
        <f ca="1">IF(AND(Tabela4[[#This Row],[TIPO]]&gt;1,PARAMETROS!$C$17="RDC"),SUMIF($F6:G$95,#REF!,$AB10:AC$158),AA9*AB9)</f>
        <v>0</v>
      </c>
      <c r="AD9" s="206" t="e">
        <f ca="1">IF(AND(Tabela4[[#This Row],[TIPO]]&gt;1,PARAMETROS!$C$17="RDC"),SUMIF($F6:G$95,#REF!,$AC10:AD$158),(#REF!-AB9)*AA9)</f>
        <v>#REF!</v>
      </c>
      <c r="AE9" s="207">
        <f t="shared" ca="1" si="3"/>
        <v>0</v>
      </c>
    </row>
    <row r="10" spans="1:31" hidden="1" x14ac:dyDescent="0.3">
      <c r="B10" s="28">
        <f t="shared" si="0"/>
        <v>0</v>
      </c>
      <c r="C10" s="43" t="str">
        <f t="shared" si="1"/>
        <v>...</v>
      </c>
      <c r="D10" t="s">
        <v>622</v>
      </c>
      <c r="E10">
        <f>IFERROR(VLOOKUP(D10,Tabela1[[SERVICO]:[ETAPA/SERVICO]],4),"")</f>
        <v>1</v>
      </c>
      <c r="F10" t="str">
        <f>IFERROR(VLOOKUP(Tabela4[[#This Row],[Codigo]],Tabela1[[SERVICO]:[ETAPA/SERVICO]],3),0)</f>
        <v>02.03 Restauração</v>
      </c>
      <c r="G10" t="str">
        <f>IFERROR(VLOOKUP(D10,Tabela1[[SERVICO]:[NOME SERVIÇO]],2,0),"")</f>
        <v>Fresagem Continua</v>
      </c>
      <c r="H10" s="157">
        <f>SUMIF(Resumo_Agrupamento!$B$4:$B$1000,Tabela4[[#This Row],[Codigo]],Resumo_Agrupamento!$C$4:$C$1000)</f>
        <v>0</v>
      </c>
      <c r="I10" s="158">
        <f ca="1">IF(AND(E10&gt;1,PARAMETROS!$C$17="RDC"),0,IFERROR(INDIRECT("CPU_"&amp;LEFT(SUBSTITUTE(SUBSTITUTE(G10," ",""),"-",""),20)&amp;"!k3"),0))</f>
        <v>0</v>
      </c>
      <c r="J10" s="158">
        <f>IF(AND(E10&gt;1,PARAMETROS!$C$17="RDC"),0,SUMIF(Resumo_Agrupamento!$B$4:$B$1000,D10,Resumo_Agrupamento!$D$4:$D$1000))</f>
        <v>0</v>
      </c>
      <c r="K10" s="157">
        <f ca="1">IF(AND(E10&gt;1,PARAMETROS!$C$17="RDC"),SUMIF(F11:$F$34,F10,K11:$K$34),H10*I10)</f>
        <v>0</v>
      </c>
      <c r="L10" s="157">
        <f>IF(AND(E10&gt;1,PARAMETROS!$C$17="RDC"),SUMIF(F11:$F$34,F10,L11:$L$34),SUMIF(Resumo_Agrupamento!$B$4:$B$1000,D10,Resumo_Agrupamento!$E$4:$E$1000))</f>
        <v>0</v>
      </c>
      <c r="M10" s="159">
        <f ca="1">L10-K10-L10*PARAMETROS!$C$19</f>
        <v>0</v>
      </c>
      <c r="N10" s="63">
        <f t="shared" ca="1" si="4"/>
        <v>0</v>
      </c>
      <c r="O10" s="208"/>
      <c r="P10" s="238" t="str">
        <f ca="1">IF(Tabela4[[#This Row],[TIPO]]&gt;1,"",IFERROR(INDIRECT("CPU_"&amp;LEFT(SUBSTITUTE(SUBSTITUTE($G10," ",""),"-",""),20)&amp;"!b6"),""))</f>
        <v/>
      </c>
      <c r="Q10" s="28" t="str">
        <f ca="1">IF(Tabela4[[#This Row],[TIPO]]&gt;1,"",IFERROR(INDIRECT("CPU_"&amp;LEFT(SUBSTITUTE(SUBSTITUTE($G10," ",""),"-",""),20)&amp;"!j3"),""))</f>
        <v/>
      </c>
      <c r="R10" s="238" t="str">
        <f ca="1">IF(Tabela4[[#This Row],[TIPO]]&gt;1,"",IFERROR(INDIRECT("CPU_"&amp;LEFT(SUBSTITUTE(SUBSTITUTE($G10," ",""),"-",""),20)&amp;"!g7"),""))</f>
        <v/>
      </c>
      <c r="Z10" s="208"/>
      <c r="AA10" s="206">
        <f>SUMPRODUCT(Plan_Orc[Acum. 2023]*Tabela2[K]*(Tabela2[AGRUPADOR]=Tabela4[[#This Row],[Codigo]]))</f>
        <v>0</v>
      </c>
      <c r="AB10" s="210">
        <f ca="1">IF(AND(Tabela4[[#This Row],[TIPO]]&gt;1,PARAMETROS!$C$17="RDC"),0,IFERROR(INDIRECT(LEFT(SUBSTITUTE(SUBSTITUTE(#REF!," ",""),"-",""),20)&amp;"!ae3"),0))</f>
        <v>0</v>
      </c>
      <c r="AC10" s="206">
        <f ca="1">IF(AND(Tabela4[[#This Row],[TIPO]]&gt;1,PARAMETROS!$C$17="RDC"),SUMIF($F6:G$95,#REF!,$AB11:AC$158),AA10*AB10)</f>
        <v>0</v>
      </c>
      <c r="AD10" s="206" t="e">
        <f ca="1">IF(AND(Tabela4[[#This Row],[TIPO]]&gt;1,PARAMETROS!$C$17="RDC"),SUMIF($F6:G$95,#REF!,$AC11:AD$158),(#REF!-AB10)*AA10)</f>
        <v>#REF!</v>
      </c>
      <c r="AE10" s="207">
        <f t="shared" ca="1" si="3"/>
        <v>0</v>
      </c>
    </row>
    <row r="11" spans="1:31" x14ac:dyDescent="0.3">
      <c r="B11" s="329">
        <f t="shared" si="0"/>
        <v>0</v>
      </c>
      <c r="C11" s="330" t="str">
        <f t="shared" si="1"/>
        <v>...</v>
      </c>
      <c r="D11" s="321" t="s">
        <v>76</v>
      </c>
      <c r="E11" s="321">
        <f>IFERROR(VLOOKUP(D11,Tabela1[[SERVICO]:[ETAPA/SERVICO]],4),"")</f>
        <v>1</v>
      </c>
      <c r="F11" s="321" t="str">
        <f>IFERROR(VLOOKUP(Tabela4[[#This Row],[Codigo]],Tabela1[[SERVICO]:[ETAPA/SERVICO]],3),0)</f>
        <v>02.03 Restauração</v>
      </c>
      <c r="G11" s="321" t="str">
        <f>IFERROR(VLOOKUP(D11,Tabela1[[SERVICO]:[NOME SERVIÇO]],2,0),"")</f>
        <v>Fresagem Descontinua</v>
      </c>
      <c r="H11" s="322">
        <f>SUMIF(Resumo_Agrupamento!$B$4:$B$1000,Tabela4[[#This Row],[Codigo]],Resumo_Agrupamento!$C$4:$C$1000)</f>
        <v>18416.669999999998</v>
      </c>
      <c r="I11" s="323">
        <f ca="1">IF(AND(E11&gt;1,PARAMETROS!$C$17="RDC"),0,IFERROR(INDIRECT("CPU_"&amp;LEFT(SUBSTITUTE(SUBSTITUTE(G11," ",""),"-",""),20)&amp;"!k3"),0))</f>
        <v>65.140206172989949</v>
      </c>
      <c r="J11" s="323">
        <f>IF(AND(E11&gt;1,PARAMETROS!$C$17="RDC"),0,SUMIF(Resumo_Agrupamento!$B$4:$B$1000,D11,Resumo_Agrupamento!$D$4:$D$1000))</f>
        <v>124.59999999999998</v>
      </c>
      <c r="K11" s="322">
        <f ca="1">IF(AND(E11&gt;1,PARAMETROS!$C$17="RDC"),SUMIF(F12:$F$34,F11,K12:$K$34),H11*I11)</f>
        <v>1199665.6808199186</v>
      </c>
      <c r="L11" s="322">
        <f>IF(AND(E11&gt;1,PARAMETROS!$C$17="RDC"),SUMIF(F12:$F$34,F11,L12:$L$34),SUMIF(Resumo_Agrupamento!$B$4:$B$1000,D11,Resumo_Agrupamento!$E$4:$E$1000))</f>
        <v>2294717.0819999995</v>
      </c>
      <c r="M11" s="331">
        <f ca="1">L11-K11-L11*PARAMETROS!$C$19</f>
        <v>749008.06521448086</v>
      </c>
      <c r="N11" s="63">
        <f t="shared" ca="1" si="4"/>
        <v>0.32640540792142891</v>
      </c>
      <c r="O11" s="208"/>
      <c r="P11" s="238">
        <f ca="1">IF(Tabela4[[#This Row],[TIPO]]&gt;1,"",IFERROR(INDIRECT("CPU_"&amp;LEFT(SUBSTITUTE(SUBSTITUTE($G11," ",""),"-",""),20)&amp;"!b6"),""))</f>
        <v>145.83333333333334</v>
      </c>
      <c r="Q11" s="28" t="str">
        <f ca="1">IF(Tabela4[[#This Row],[TIPO]]&gt;1,"",IFERROR(INDIRECT("CPU_"&amp;LEFT(SUBSTITUTE(SUBSTITUTE($G11," ",""),"-",""),20)&amp;"!j3"),""))</f>
        <v>M³</v>
      </c>
      <c r="R11" s="238">
        <f ca="1">IF(Tabela4[[#This Row],[TIPO]]&gt;1,"",IFERROR(INDIRECT("CPU_"&amp;LEFT(SUBSTITUTE(SUBSTITUTE($G11," ",""),"-",""),20)&amp;"!g7"),""))</f>
        <v>126.28573714285712</v>
      </c>
      <c r="V11" s="22"/>
      <c r="Z11" s="208"/>
      <c r="AA11" s="206">
        <f>SUMPRODUCT(Plan_Orc[Acum. 2023]*Tabela2[K]*(Tabela2[AGRUPADOR]=Tabela4[[#This Row],[Codigo]]))</f>
        <v>0</v>
      </c>
      <c r="AB11" s="210">
        <f ca="1">IF(AND(Tabela4[[#This Row],[TIPO]]&gt;1,PARAMETROS!$C$17="RDC"),0,IFERROR(INDIRECT(LEFT(SUBSTITUTE(SUBSTITUTE(#REF!," ",""),"-",""),20)&amp;"!ae3"),0))</f>
        <v>0</v>
      </c>
      <c r="AC11" s="206">
        <f ca="1">IF(AND(Tabela4[[#This Row],[TIPO]]&gt;1,PARAMETROS!$C$17="RDC"),SUMIF($F6:G$95,#REF!,$AB12:AC$158),AA11*AB11)</f>
        <v>0</v>
      </c>
      <c r="AD11" s="206" t="e">
        <f ca="1">IF(AND(Tabela4[[#This Row],[TIPO]]&gt;1,PARAMETROS!$C$17="RDC"),SUMIF($F6:G$95,#REF!,$AC12:AD$158),(#REF!-AB11)*AA11)</f>
        <v>#REF!</v>
      </c>
      <c r="AE11" s="207">
        <f t="shared" ca="1" si="3"/>
        <v>0</v>
      </c>
    </row>
    <row r="12" spans="1:31" hidden="1" x14ac:dyDescent="0.3">
      <c r="B12" s="28">
        <f t="shared" si="0"/>
        <v>0</v>
      </c>
      <c r="C12" s="43" t="str">
        <f t="shared" si="1"/>
        <v>...</v>
      </c>
      <c r="D12" t="s">
        <v>623</v>
      </c>
      <c r="E12">
        <f>IFERROR(VLOOKUP(D12,Tabela1[[SERVICO]:[ETAPA/SERVICO]],4),"")</f>
        <v>1</v>
      </c>
      <c r="F12" t="str">
        <f>IFERROR(VLOOKUP(Tabela4[[#This Row],[Codigo]],Tabela1[[SERVICO]:[ETAPA/SERVICO]],3),0)</f>
        <v>02.03 Restauração</v>
      </c>
      <c r="G12" t="str">
        <f>IFERROR(VLOOKUP(D12,Tabela1[[SERVICO]:[NOME SERVIÇO]],2,0),"")</f>
        <v>Reciclagem</v>
      </c>
      <c r="H12" s="157">
        <f>SUMIF(Resumo_Agrupamento!$B$4:$B$1000,Tabela4[[#This Row],[Codigo]],Resumo_Agrupamento!$C$4:$C$1000)</f>
        <v>0</v>
      </c>
      <c r="I12" s="158">
        <f ca="1">IF(AND(E12&gt;1,PARAMETROS!$C$17="RDC"),0,IFERROR(INDIRECT("CPU_"&amp;LEFT(SUBSTITUTE(SUBSTITUTE(G12," ",""),"-",""),20)&amp;"!k3"),0))</f>
        <v>0</v>
      </c>
      <c r="J12" s="158">
        <f>IF(AND(E12&gt;1,PARAMETROS!$C$17="RDC"),0,SUMIF(Resumo_Agrupamento!$B$4:$B$1000,D12,Resumo_Agrupamento!$D$4:$D$1000))</f>
        <v>0</v>
      </c>
      <c r="K12" s="157">
        <f ca="1">IF(AND(E12&gt;1,PARAMETROS!$C$17="RDC"),SUMIF(F13:$F$34,F12,K13:$K$34),H12*I12)</f>
        <v>0</v>
      </c>
      <c r="L12" s="157">
        <f>IF(AND(E12&gt;1,PARAMETROS!$C$17="RDC"),SUMIF(F13:$F$34,F12,L13:$L$34),SUMIF(Resumo_Agrupamento!$B$4:$B$1000,D12,Resumo_Agrupamento!$E$4:$E$1000))</f>
        <v>0</v>
      </c>
      <c r="M12" s="159">
        <f ca="1">L12-K12-L12*PARAMETROS!$C$19</f>
        <v>0</v>
      </c>
      <c r="N12" s="63">
        <f t="shared" ca="1" si="4"/>
        <v>0</v>
      </c>
      <c r="O12" s="208"/>
      <c r="P12" s="238" t="str">
        <f ca="1">IF(Tabela4[[#This Row],[TIPO]]&gt;1,"",IFERROR(INDIRECT("CPU_"&amp;LEFT(SUBSTITUTE(SUBSTITUTE($G12," ",""),"-",""),20)&amp;"!b6"),""))</f>
        <v/>
      </c>
      <c r="Q12" s="28" t="str">
        <f ca="1">IF(Tabela4[[#This Row],[TIPO]]&gt;1,"",IFERROR(INDIRECT("CPU_"&amp;LEFT(SUBSTITUTE(SUBSTITUTE($G12," ",""),"-",""),20)&amp;"!j3"),""))</f>
        <v/>
      </c>
      <c r="R12" s="238" t="str">
        <f ca="1">IF(Tabela4[[#This Row],[TIPO]]&gt;1,"",IFERROR(INDIRECT("CPU_"&amp;LEFT(SUBSTITUTE(SUBSTITUTE($G12," ",""),"-",""),20)&amp;"!g7"),""))</f>
        <v/>
      </c>
      <c r="Z12" s="208"/>
      <c r="AA12" s="206">
        <f>SUMPRODUCT(Plan_Orc[Acum. 2023]*Tabela2[K]*(Tabela2[AGRUPADOR]=Tabela4[[#This Row],[Codigo]]))</f>
        <v>0</v>
      </c>
      <c r="AB12" s="210">
        <f ca="1">IF(AND(Tabela4[[#This Row],[TIPO]]&gt;1,PARAMETROS!$C$17="RDC"),0,IFERROR(INDIRECT(LEFT(SUBSTITUTE(SUBSTITUTE(#REF!," ",""),"-",""),20)&amp;"!ae3"),0))</f>
        <v>0</v>
      </c>
      <c r="AC12" s="206">
        <f ca="1">IF(AND(Tabela4[[#This Row],[TIPO]]&gt;1,PARAMETROS!$C$17="RDC"),SUMIF($F6:G$95,#REF!,$AB13:AC$158),AA12*AB12)</f>
        <v>0</v>
      </c>
      <c r="AD12" s="206" t="e">
        <f ca="1">IF(AND(Tabela4[[#This Row],[TIPO]]&gt;1,PARAMETROS!$C$17="RDC"),SUMIF($F6:G$95,#REF!,$AC13:AD$158),(#REF!-AB12)*AA12)</f>
        <v>#REF!</v>
      </c>
      <c r="AE12" s="207">
        <f t="shared" ca="1" si="3"/>
        <v>0</v>
      </c>
    </row>
    <row r="13" spans="1:31" hidden="1" x14ac:dyDescent="0.3">
      <c r="B13" s="28">
        <f t="shared" si="0"/>
        <v>0</v>
      </c>
      <c r="C13" s="43" t="str">
        <f t="shared" si="1"/>
        <v>...</v>
      </c>
      <c r="D13" t="s">
        <v>624</v>
      </c>
      <c r="E13">
        <f>IFERROR(VLOOKUP(D13,Tabela1[[SERVICO]:[ETAPA/SERVICO]],4),"")</f>
        <v>1</v>
      </c>
      <c r="F13" t="str">
        <f>IFERROR(VLOOKUP(Tabela4[[#This Row],[Codigo]],Tabela1[[SERVICO]:[ETAPA/SERVICO]],3),0)</f>
        <v>02.03 Restauração</v>
      </c>
      <c r="G13" t="str">
        <f>IFERROR(VLOOKUP(D13,Tabela1[[SERVICO]:[NOME SERVIÇO]],2,0),"")</f>
        <v>Base</v>
      </c>
      <c r="H13" s="157">
        <f>SUMIF(Resumo_Agrupamento!$B$4:$B$1000,Tabela4[[#This Row],[Codigo]],Resumo_Agrupamento!$C$4:$C$1000)</f>
        <v>0</v>
      </c>
      <c r="I13" s="158">
        <f ca="1">IF(AND(E13&gt;1,PARAMETROS!$C$17="RDC"),0,IFERROR(INDIRECT("CPU_"&amp;LEFT(SUBSTITUTE(SUBSTITUTE(G13," ",""),"-",""),20)&amp;"!k3"),0))</f>
        <v>0</v>
      </c>
      <c r="J13" s="158">
        <f>IF(AND(E13&gt;1,PARAMETROS!$C$17="RDC"),0,SUMIF(Resumo_Agrupamento!$B$4:$B$1000,D13,Resumo_Agrupamento!$D$4:$D$1000))</f>
        <v>0</v>
      </c>
      <c r="K13" s="157">
        <f ca="1">IF(AND(E13&gt;1,PARAMETROS!$C$17="RDC"),SUMIF(F14:$F$34,F13,K14:$K$34),H13*I13)</f>
        <v>0</v>
      </c>
      <c r="L13" s="157">
        <f>IF(AND(E13&gt;1,PARAMETROS!$C$17="RDC"),SUMIF(F14:$F$34,F13,L14:$L$34),SUMIF(Resumo_Agrupamento!$B$4:$B$1000,D13,Resumo_Agrupamento!$E$4:$E$1000))</f>
        <v>0</v>
      </c>
      <c r="M13" s="159">
        <f ca="1">L13-K13-L13*PARAMETROS!$C$19</f>
        <v>0</v>
      </c>
      <c r="N13" s="63">
        <f t="shared" ca="1" si="4"/>
        <v>0</v>
      </c>
      <c r="O13" s="208"/>
      <c r="P13" s="238" t="str">
        <f ca="1">IF(Tabela4[[#This Row],[TIPO]]&gt;1,"",IFERROR(INDIRECT("CPU_"&amp;LEFT(SUBSTITUTE(SUBSTITUTE($G13," ",""),"-",""),20)&amp;"!b6"),""))</f>
        <v/>
      </c>
      <c r="Q13" s="28" t="str">
        <f ca="1">IF(Tabela4[[#This Row],[TIPO]]&gt;1,"",IFERROR(INDIRECT("CPU_"&amp;LEFT(SUBSTITUTE(SUBSTITUTE($G13," ",""),"-",""),20)&amp;"!j3"),""))</f>
        <v/>
      </c>
      <c r="R13" s="238" t="str">
        <f ca="1">IF(Tabela4[[#This Row],[TIPO]]&gt;1,"",IFERROR(INDIRECT("CPU_"&amp;LEFT(SUBSTITUTE(SUBSTITUTE($G13," ",""),"-",""),20)&amp;"!g7"),""))</f>
        <v/>
      </c>
      <c r="Z13" s="208"/>
      <c r="AA13" s="206">
        <f>SUMPRODUCT(Plan_Orc[Acum. 2023]*Tabela2[K]*(Tabela2[AGRUPADOR]=Tabela4[[#This Row],[Codigo]]))</f>
        <v>0</v>
      </c>
      <c r="AB13" s="210">
        <f ca="1">IF(AND(Tabela4[[#This Row],[TIPO]]&gt;1,PARAMETROS!$C$17="RDC"),0,IFERROR(INDIRECT(LEFT(SUBSTITUTE(SUBSTITUTE(#REF!," ",""),"-",""),20)&amp;"!ae3"),0))</f>
        <v>0</v>
      </c>
      <c r="AC13" s="206">
        <f ca="1">IF(AND(Tabela4[[#This Row],[TIPO]]&gt;1,PARAMETROS!$C$17="RDC"),SUMIF($F6:G$95,#REF!,$AB14:AC$158),AA13*AB13)</f>
        <v>0</v>
      </c>
      <c r="AD13" s="206" t="e">
        <f ca="1">IF(AND(Tabela4[[#This Row],[TIPO]]&gt;1,PARAMETROS!$C$17="RDC"),SUMIF($F6:G$95,#REF!,$AC14:AD$158),(#REF!-AB13)*AA13)</f>
        <v>#REF!</v>
      </c>
      <c r="AE13" s="207">
        <f t="shared" ca="1" si="3"/>
        <v>0</v>
      </c>
    </row>
    <row r="14" spans="1:31" hidden="1" x14ac:dyDescent="0.3">
      <c r="B14" s="28">
        <f t="shared" si="0"/>
        <v>0</v>
      </c>
      <c r="C14" s="43" t="str">
        <f t="shared" si="1"/>
        <v>...</v>
      </c>
      <c r="D14" t="s">
        <v>625</v>
      </c>
      <c r="E14">
        <f>IFERROR(VLOOKUP(D14,Tabela1[[SERVICO]:[ETAPA/SERVICO]],4),"")</f>
        <v>1</v>
      </c>
      <c r="F14" t="str">
        <f>IFERROR(VLOOKUP(Tabela4[[#This Row],[Codigo]],Tabela1[[SERVICO]:[ETAPA/SERVICO]],3),0)</f>
        <v>02.03 Restauração</v>
      </c>
      <c r="G14" t="str">
        <f>IFERROR(VLOOKUP(D14,Tabela1[[SERVICO]:[NOME SERVIÇO]],2,0),"")</f>
        <v>Pré misturado a Frio - PMF</v>
      </c>
      <c r="H14" s="157">
        <f>SUMIF(Resumo_Agrupamento!$B$4:$B$1000,Tabela4[[#This Row],[Codigo]],Resumo_Agrupamento!$C$4:$C$1000)</f>
        <v>0</v>
      </c>
      <c r="I14" s="158">
        <f ca="1">IF(AND(E14&gt;1,PARAMETROS!$C$17="RDC"),0,IFERROR(INDIRECT("CPU_"&amp;LEFT(SUBSTITUTE(SUBSTITUTE(G14," ",""),"-",""),20)&amp;"!k3"),0))</f>
        <v>0</v>
      </c>
      <c r="J14" s="158">
        <f>IF(AND(E14&gt;1,PARAMETROS!$C$17="RDC"),0,SUMIF(Resumo_Agrupamento!$B$4:$B$1000,D14,Resumo_Agrupamento!$D$4:$D$1000))</f>
        <v>0</v>
      </c>
      <c r="K14" s="157">
        <f ca="1">IF(AND(E14&gt;1,PARAMETROS!$C$17="RDC"),SUMIF(F15:$F$34,F14,K15:$K$34),H14*I14)</f>
        <v>0</v>
      </c>
      <c r="L14" s="157">
        <f>IF(AND(E14&gt;1,PARAMETROS!$C$17="RDC"),SUMIF(F15:$F$34,F14,L15:$L$34),SUMIF(Resumo_Agrupamento!$B$4:$B$1000,D14,Resumo_Agrupamento!$E$4:$E$1000))</f>
        <v>0</v>
      </c>
      <c r="M14" s="159">
        <f ca="1">L14-K14-L14*PARAMETROS!$C$19</f>
        <v>0</v>
      </c>
      <c r="N14" s="63">
        <f t="shared" ca="1" si="4"/>
        <v>0</v>
      </c>
      <c r="O14" s="208"/>
      <c r="P14" s="238" t="str">
        <f ca="1">IF(Tabela4[[#This Row],[TIPO]]&gt;1,"",IFERROR(INDIRECT("CPU_"&amp;LEFT(SUBSTITUTE(SUBSTITUTE($G14," ",""),"-",""),20)&amp;"!b6"),""))</f>
        <v/>
      </c>
      <c r="Q14" s="28" t="str">
        <f ca="1">IF(Tabela4[[#This Row],[TIPO]]&gt;1,"",IFERROR(INDIRECT("CPU_"&amp;LEFT(SUBSTITUTE(SUBSTITUTE($G14," ",""),"-",""),20)&amp;"!j3"),""))</f>
        <v/>
      </c>
      <c r="R14" s="238" t="str">
        <f ca="1">IF(Tabela4[[#This Row],[TIPO]]&gt;1,"",IFERROR(INDIRECT("CPU_"&amp;LEFT(SUBSTITUTE(SUBSTITUTE($G14," ",""),"-",""),20)&amp;"!g7"),""))</f>
        <v/>
      </c>
      <c r="Z14" s="208"/>
      <c r="AA14" s="206">
        <f>SUMPRODUCT(Plan_Orc[Acum. 2023]*Tabela2[K]*(Tabela2[AGRUPADOR]=Tabela4[[#This Row],[Codigo]]))</f>
        <v>0</v>
      </c>
      <c r="AB14" s="210">
        <f ca="1">IF(AND(Tabela4[[#This Row],[TIPO]]&gt;1,PARAMETROS!$C$17="RDC"),0,IFERROR(INDIRECT(LEFT(SUBSTITUTE(SUBSTITUTE(#REF!," ",""),"-",""),20)&amp;"!ae3"),0))</f>
        <v>0</v>
      </c>
      <c r="AC14" s="206">
        <f ca="1">IF(AND(Tabela4[[#This Row],[TIPO]]&gt;1,PARAMETROS!$C$17="RDC"),SUMIF($F6:G$95,#REF!,$AB15:AC$158),AA14*AB14)</f>
        <v>0</v>
      </c>
      <c r="AD14" s="206" t="e">
        <f ca="1">IF(AND(Tabela4[[#This Row],[TIPO]]&gt;1,PARAMETROS!$C$17="RDC"),SUMIF($F6:G$95,#REF!,$AC15:AD$158),(#REF!-AB14)*AA14)</f>
        <v>#REF!</v>
      </c>
      <c r="AE14" s="207">
        <f t="shared" ca="1" si="3"/>
        <v>0</v>
      </c>
    </row>
    <row r="15" spans="1:31" hidden="1" x14ac:dyDescent="0.3">
      <c r="B15" s="28">
        <f t="shared" si="0"/>
        <v>0</v>
      </c>
      <c r="C15" s="43" t="str">
        <f t="shared" si="1"/>
        <v>...</v>
      </c>
      <c r="D15" t="s">
        <v>626</v>
      </c>
      <c r="E15">
        <f>IFERROR(VLOOKUP(D15,Tabela1[[SERVICO]:[ETAPA/SERVICO]],4),"")</f>
        <v>1</v>
      </c>
      <c r="F15" t="str">
        <f>IFERROR(VLOOKUP(Tabela4[[#This Row],[Codigo]],Tabela1[[SERVICO]:[ETAPA/SERVICO]],3),0)</f>
        <v>02.03 Restauração</v>
      </c>
      <c r="G15" t="str">
        <f>IFERROR(VLOOKUP(D15,Tabela1[[SERVICO]:[NOME SERVIÇO]],2,0),"")</f>
        <v>Imprimação</v>
      </c>
      <c r="H15" s="157">
        <f>SUMIF(Resumo_Agrupamento!$B$4:$B$1000,Tabela4[[#This Row],[Codigo]],Resumo_Agrupamento!$C$4:$C$1000)</f>
        <v>0</v>
      </c>
      <c r="I15" s="158">
        <f ca="1">IF(AND(E15&gt;1,PARAMETROS!$C$17="RDC"),0,IFERROR(INDIRECT("CPU_"&amp;LEFT(SUBSTITUTE(SUBSTITUTE(G15," ",""),"-",""),20)&amp;"!k3"),0))</f>
        <v>0</v>
      </c>
      <c r="J15" s="158">
        <f>IF(AND(E15&gt;1,PARAMETROS!$C$17="RDC"),0,SUMIF(Resumo_Agrupamento!$B$4:$B$1000,D15,Resumo_Agrupamento!$D$4:$D$1000))</f>
        <v>0</v>
      </c>
      <c r="K15" s="157">
        <f ca="1">IF(AND(E15&gt;1,PARAMETROS!$C$17="RDC"),SUMIF(F16:$F$34,F15,K16:$K$34),H15*I15)</f>
        <v>0</v>
      </c>
      <c r="L15" s="157">
        <f>IF(AND(E15&gt;1,PARAMETROS!$C$17="RDC"),SUMIF(F16:$F$34,F15,L16:$L$34),SUMIF(Resumo_Agrupamento!$B$4:$B$1000,D15,Resumo_Agrupamento!$E$4:$E$1000))</f>
        <v>0</v>
      </c>
      <c r="M15" s="159">
        <f ca="1">L15-K15-L15*PARAMETROS!$C$19</f>
        <v>0</v>
      </c>
      <c r="N15" s="63">
        <f t="shared" ca="1" si="4"/>
        <v>0</v>
      </c>
      <c r="O15" s="208"/>
      <c r="P15" s="238" t="str">
        <f ca="1">IF(Tabela4[[#This Row],[TIPO]]&gt;1,"",IFERROR(INDIRECT("CPU_"&amp;LEFT(SUBSTITUTE(SUBSTITUTE($G15," ",""),"-",""),20)&amp;"!b6"),""))</f>
        <v/>
      </c>
      <c r="Q15" s="28" t="str">
        <f ca="1">IF(Tabela4[[#This Row],[TIPO]]&gt;1,"",IFERROR(INDIRECT("CPU_"&amp;LEFT(SUBSTITUTE(SUBSTITUTE($G15," ",""),"-",""),20)&amp;"!j3"),""))</f>
        <v/>
      </c>
      <c r="R15" s="238" t="str">
        <f ca="1">IF(Tabela4[[#This Row],[TIPO]]&gt;1,"",IFERROR(INDIRECT("CPU_"&amp;LEFT(SUBSTITUTE(SUBSTITUTE($G15," ",""),"-",""),20)&amp;"!g7"),""))</f>
        <v/>
      </c>
      <c r="Z15" s="212"/>
      <c r="AA15" s="206">
        <f>SUMPRODUCT(Plan_Orc[Acum. 2023]*Tabela2[K]*(Tabela2[AGRUPADOR]=Tabela4[[#This Row],[Codigo]]))</f>
        <v>0</v>
      </c>
      <c r="AB15" s="210">
        <f ca="1">IF(AND(Tabela4[[#This Row],[TIPO]]&gt;1,PARAMETROS!$C$17="RDC"),0,IFERROR(INDIRECT(LEFT(SUBSTITUTE(SUBSTITUTE(#REF!," ",""),"-",""),20)&amp;"!ae3"),0))</f>
        <v>0</v>
      </c>
      <c r="AC15" s="206">
        <f ca="1">IF(AND(Tabela4[[#This Row],[TIPO]]&gt;1,PARAMETROS!$C$17="RDC"),SUMIF($F6:G$95,#REF!,$AB16:AC$158),AA15*AB15)</f>
        <v>0</v>
      </c>
      <c r="AD15" s="206" t="e">
        <f ca="1">IF(AND(Tabela4[[#This Row],[TIPO]]&gt;1,PARAMETROS!$C$17="RDC"),SUMIF($F6:G$95,#REF!,$AC16:AD$158),(#REF!-AB15)*AA15)</f>
        <v>#REF!</v>
      </c>
      <c r="AE15" s="211">
        <f t="shared" ca="1" si="3"/>
        <v>0</v>
      </c>
    </row>
    <row r="16" spans="1:31" x14ac:dyDescent="0.3">
      <c r="B16" s="329">
        <f t="shared" si="0"/>
        <v>0</v>
      </c>
      <c r="C16" s="330" t="str">
        <f t="shared" si="1"/>
        <v>...</v>
      </c>
      <c r="D16" s="321" t="s">
        <v>83</v>
      </c>
      <c r="E16" s="321">
        <f>IFERROR(VLOOKUP(D16,Tabela1[[SERVICO]:[ETAPA/SERVICO]],4),"")</f>
        <v>1</v>
      </c>
      <c r="F16" s="321" t="str">
        <f>IFERROR(VLOOKUP(Tabela4[[#This Row],[Codigo]],Tabela1[[SERVICO]:[ETAPA/SERVICO]],3),0)</f>
        <v>02.03 Restauração</v>
      </c>
      <c r="G16" s="321" t="str">
        <f>IFERROR(VLOOKUP(D16,Tabela1[[SERVICO]:[NOME SERVIÇO]],2,0),"")</f>
        <v>Pintura de Ligação</v>
      </c>
      <c r="H16" s="322">
        <f>SUMIF(Resumo_Agrupamento!$B$4:$B$1000,Tabela4[[#This Row],[Codigo]],Resumo_Agrupamento!$C$4:$C$1000)</f>
        <v>368333.33</v>
      </c>
      <c r="I16" s="323">
        <f ca="1">IF(AND(E16&gt;1,PARAMETROS!$C$17="RDC"),0,IFERROR(INDIRECT("CPU_"&amp;LEFT(SUBSTITUTE(SUBSTITUTE(G16," ",""),"-",""),20)&amp;"!k3"),0))</f>
        <v>0.62954904849496107</v>
      </c>
      <c r="J16" s="323">
        <f>IF(AND(E16&gt;1,PARAMETROS!$C$17="RDC"),0,SUMIF(Resumo_Agrupamento!$B$4:$B$1000,D16,Resumo_Agrupamento!$D$4:$D$1000))</f>
        <v>0.39179999999999998</v>
      </c>
      <c r="K16" s="322">
        <f ca="1">IF(AND(E16&gt;1,PARAMETROS!$C$17="RDC"),SUMIF(F17:$F$34,F16,K17:$K$34),H16*I16)</f>
        <v>231883.89743048052</v>
      </c>
      <c r="L16" s="322">
        <f>IF(AND(E16&gt;1,PARAMETROS!$C$17="RDC"),SUMIF(F17:$F$34,F16,L17:$L$34),SUMIF(Resumo_Agrupamento!$B$4:$B$1000,D16,Resumo_Agrupamento!$E$4:$E$1000))</f>
        <v>144312.99869400001</v>
      </c>
      <c r="M16" s="331">
        <f ca="1">L16-K16-L16*PARAMETROS!$C$19</f>
        <v>-109333.29893953571</v>
      </c>
      <c r="N16" s="63">
        <f t="shared" ca="1" si="4"/>
        <v>-0.75761227283042643</v>
      </c>
      <c r="O16" s="208"/>
      <c r="P16" s="238">
        <f ca="1">IF(Tabela4[[#This Row],[TIPO]]&gt;1,"",IFERROR(INDIRECT("CPU_"&amp;LEFT(SUBSTITUTE(SUBSTITUTE($G16," ",""),"-",""),20)&amp;"!b6"),""))</f>
        <v>2917</v>
      </c>
      <c r="Q16" s="28" t="str">
        <f ca="1">IF(Tabela4[[#This Row],[TIPO]]&gt;1,"",IFERROR(INDIRECT("CPU_"&amp;LEFT(SUBSTITUTE(SUBSTITUTE($G16," ",""),"-",""),20)&amp;"!j3"),""))</f>
        <v>M²</v>
      </c>
      <c r="R16" s="238">
        <f ca="1">IF(Tabela4[[#This Row],[TIPO]]&gt;1,"",IFERROR(INDIRECT("CPU_"&amp;LEFT(SUBSTITUTE(SUBSTITUTE($G16," ",""),"-",""),20)&amp;"!g7"),""))</f>
        <v>126.27128213918409</v>
      </c>
      <c r="Z16" s="208"/>
      <c r="AA16" s="206">
        <f>SUMPRODUCT(Plan_Orc[Acum. 2023]*Tabela2[K]*(Tabela2[AGRUPADOR]=Tabela4[[#This Row],[Codigo]]))</f>
        <v>0</v>
      </c>
      <c r="AB16" s="210">
        <f ca="1">IF(AND(Tabela4[[#This Row],[TIPO]]&gt;1,PARAMETROS!$C$17="RDC"),0,IFERROR(INDIRECT(LEFT(SUBSTITUTE(SUBSTITUTE(#REF!," ",""),"-",""),20)&amp;"!ae3"),0))</f>
        <v>0</v>
      </c>
      <c r="AC16" s="206">
        <f ca="1">IF(AND(Tabela4[[#This Row],[TIPO]]&gt;1,PARAMETROS!$C$17="RDC"),SUMIF($F6:G$95,#REF!,$AB18:AC$158),AA16*AB16)</f>
        <v>0</v>
      </c>
      <c r="AD16" s="206" t="e">
        <f ca="1">IF(AND(Tabela4[[#This Row],[TIPO]]&gt;1,PARAMETROS!$C$17="RDC"),SUMIF($F6:G$95,#REF!,$AC18:AD$158),(#REF!-AB16)*AA16)</f>
        <v>#REF!</v>
      </c>
      <c r="AE16" s="207">
        <f t="shared" ca="1" si="3"/>
        <v>0</v>
      </c>
    </row>
    <row r="17" spans="2:31" hidden="1" x14ac:dyDescent="0.3">
      <c r="B17" s="329">
        <f t="shared" si="0"/>
        <v>0</v>
      </c>
      <c r="C17" s="330" t="str">
        <f t="shared" si="1"/>
        <v>...</v>
      </c>
      <c r="D17" s="321" t="s">
        <v>627</v>
      </c>
      <c r="E17" s="321">
        <f>IFERROR(VLOOKUP(D17,Tabela1[[SERVICO]:[ETAPA/SERVICO]],4),"")</f>
        <v>1</v>
      </c>
      <c r="F17" s="321" t="str">
        <f>IFERROR(VLOOKUP(Tabela4[[#This Row],[Codigo]],Tabela1[[SERVICO]:[ETAPA/SERVICO]],3),0)</f>
        <v>02.03 Restauração</v>
      </c>
      <c r="G17" s="321" t="str">
        <f>IFERROR(VLOOKUP(D17,Tabela1[[SERVICO]:[NOME SERVIÇO]],2,0),"")</f>
        <v>Capa - TSS</v>
      </c>
      <c r="H17" s="322">
        <f>SUMIF(Resumo_Agrupamento!$B$4:$B$1000,Tabela4[[#This Row],[Codigo]],Resumo_Agrupamento!$C$4:$C$1000)</f>
        <v>0</v>
      </c>
      <c r="I17" s="323">
        <f ca="1">IF(AND(E17&gt;1,PARAMETROS!$C$17="RDC"),0,IFERROR(INDIRECT("CPU_"&amp;LEFT(SUBSTITUTE(SUBSTITUTE(G17," ",""),"-",""),20)&amp;"!k3"),0))</f>
        <v>0</v>
      </c>
      <c r="J17" s="323">
        <f>IF(AND(E17&gt;1,PARAMETROS!$C$17="RDC"),0,SUMIF(Resumo_Agrupamento!$B$4:$B$1000,D17,Resumo_Agrupamento!$D$4:$D$1000))</f>
        <v>0</v>
      </c>
      <c r="K17" s="322">
        <f ca="1">IF(AND(E17&gt;1,PARAMETROS!$C$17="RDC"),SUMIF(F18:$F$34,F17,K18:$K$34),H17*I17)</f>
        <v>0</v>
      </c>
      <c r="L17" s="322">
        <f>IF(AND(E17&gt;1,PARAMETROS!$C$17="RDC"),SUMIF(F18:$F$34,F17,L18:$L$34),SUMIF(Resumo_Agrupamento!$B$4:$B$1000,D17,Resumo_Agrupamento!$E$4:$E$1000))</f>
        <v>0</v>
      </c>
      <c r="M17" s="331">
        <f ca="1">L17-K17-L17*PARAMETROS!$C$19</f>
        <v>0</v>
      </c>
      <c r="N17" s="63">
        <f t="shared" ca="1" si="4"/>
        <v>0</v>
      </c>
      <c r="O17" s="208"/>
      <c r="P17" s="238" t="str">
        <f ca="1">IF(Tabela4[[#This Row],[TIPO]]&gt;1,"",IFERROR(INDIRECT("CPU_"&amp;LEFT(SUBSTITUTE(SUBSTITUTE($G17," ",""),"-",""),20)&amp;"!b6"),""))</f>
        <v/>
      </c>
      <c r="Q17" s="28" t="str">
        <f ca="1">IF(Tabela4[[#This Row],[TIPO]]&gt;1,"",IFERROR(INDIRECT("CPU_"&amp;LEFT(SUBSTITUTE(SUBSTITUTE($G17," ",""),"-",""),20)&amp;"!j3"),""))</f>
        <v/>
      </c>
      <c r="R17" s="238" t="str">
        <f ca="1">IF(Tabela4[[#This Row],[TIPO]]&gt;1,"",IFERROR(INDIRECT("CPU_"&amp;LEFT(SUBSTITUTE(SUBSTITUTE($G17," ",""),"-",""),20)&amp;"!g7"),""))</f>
        <v/>
      </c>
      <c r="Z17" s="208"/>
      <c r="AA17" s="206"/>
      <c r="AB17" s="210"/>
      <c r="AC17" s="206"/>
      <c r="AD17" s="206"/>
      <c r="AE17" s="207"/>
    </row>
    <row r="18" spans="2:31" hidden="1" x14ac:dyDescent="0.3">
      <c r="B18" s="329">
        <f t="shared" si="0"/>
        <v>0</v>
      </c>
      <c r="C18" s="330" t="str">
        <f t="shared" si="1"/>
        <v>...</v>
      </c>
      <c r="D18" s="321" t="s">
        <v>628</v>
      </c>
      <c r="E18" s="321">
        <f>IFERROR(VLOOKUP(D18,Tabela1[[SERVICO]:[ETAPA/SERVICO]],4),"")</f>
        <v>1</v>
      </c>
      <c r="F18" s="321" t="str">
        <f>IFERROR(VLOOKUP(Tabela4[[#This Row],[Codigo]],Tabela1[[SERVICO]:[ETAPA/SERVICO]],3),0)</f>
        <v>02.03 Restauração</v>
      </c>
      <c r="G18" s="321" t="str">
        <f>IFERROR(VLOOKUP(D18,Tabela1[[SERVICO]:[NOME SERVIÇO]],2,0),"")</f>
        <v>Capa - TSD</v>
      </c>
      <c r="H18" s="322">
        <f>SUMIF(Resumo_Agrupamento!$B$4:$B$1000,Tabela4[[#This Row],[Codigo]],Resumo_Agrupamento!$C$4:$C$1000)</f>
        <v>0</v>
      </c>
      <c r="I18" s="323">
        <f ca="1">IF(AND(E18&gt;1,PARAMETROS!$C$17="RDC"),0,IFERROR(INDIRECT("CPU_"&amp;LEFT(SUBSTITUTE(SUBSTITUTE(G18," ",""),"-",""),20)&amp;"!k3"),0))</f>
        <v>0</v>
      </c>
      <c r="J18" s="323">
        <f>IF(AND(E18&gt;1,PARAMETROS!$C$17="RDC"),0,SUMIF(Resumo_Agrupamento!$B$4:$B$1000,D18,Resumo_Agrupamento!$D$4:$D$1000))</f>
        <v>0</v>
      </c>
      <c r="K18" s="322">
        <f ca="1">IF(AND(E18&gt;1,PARAMETROS!$C$17="RDC"),SUMIF(F19:$F$34,F18,K19:$K$34),H18*I18)</f>
        <v>0</v>
      </c>
      <c r="L18" s="322">
        <f>IF(AND(E18&gt;1,PARAMETROS!$C$17="RDC"),SUMIF(F19:$F$34,F18,L19:$L$34),SUMIF(Resumo_Agrupamento!$B$4:$B$1000,D18,Resumo_Agrupamento!$E$4:$E$1000))</f>
        <v>0</v>
      </c>
      <c r="M18" s="331">
        <f ca="1">L18-K18-L18*PARAMETROS!$C$19</f>
        <v>0</v>
      </c>
      <c r="N18" s="63">
        <f t="shared" ca="1" si="4"/>
        <v>0</v>
      </c>
      <c r="O18" s="208"/>
      <c r="P18" s="238" t="str">
        <f ca="1">IF(Tabela4[[#This Row],[TIPO]]&gt;1,"",IFERROR(INDIRECT("CPU_"&amp;LEFT(SUBSTITUTE(SUBSTITUTE($G18," ",""),"-",""),20)&amp;"!b6"),""))</f>
        <v/>
      </c>
      <c r="Q18" s="28" t="str">
        <f ca="1">IF(Tabela4[[#This Row],[TIPO]]&gt;1,"",IFERROR(INDIRECT("CPU_"&amp;LEFT(SUBSTITUTE(SUBSTITUTE($G18," ",""),"-",""),20)&amp;"!j3"),""))</f>
        <v/>
      </c>
      <c r="R18" s="238" t="str">
        <f ca="1">IF(Tabela4[[#This Row],[TIPO]]&gt;1,"",IFERROR(INDIRECT("CPU_"&amp;LEFT(SUBSTITUTE(SUBSTITUTE($G18," ",""),"-",""),20)&amp;"!g7"),""))</f>
        <v/>
      </c>
      <c r="Z18" s="208"/>
      <c r="AA18" s="206">
        <f>SUMPRODUCT(Plan_Orc[Acum. 2023]*Tabela2[K]*(Tabela2[AGRUPADOR]=Tabela4[[#This Row],[Codigo]]))</f>
        <v>0</v>
      </c>
      <c r="AB18" s="210">
        <f ca="1">IF(AND(Tabela4[[#This Row],[TIPO]]&gt;1,PARAMETROS!$C$17="RDC"),0,IFERROR(INDIRECT(LEFT(SUBSTITUTE(SUBSTITUTE(#REF!," ",""),"-",""),20)&amp;"!ae3"),0))</f>
        <v>0</v>
      </c>
      <c r="AC18" s="206">
        <f ca="1">IF(AND(Tabela4[[#This Row],[TIPO]]&gt;1,PARAMETROS!$C$17="RDC"),SUMIF($F6:G$95,#REF!,$AB19:AC$158),AA18*AB18)</f>
        <v>0</v>
      </c>
      <c r="AD18" s="206" t="e">
        <f ca="1">IF(AND(Tabela4[[#This Row],[TIPO]]&gt;1,PARAMETROS!$C$17="RDC"),SUMIF($F6:G$95,#REF!,$AC19:AD$158),(#REF!-AB18)*AA18)</f>
        <v>#REF!</v>
      </c>
      <c r="AE18" s="207">
        <f t="shared" ca="1" si="3"/>
        <v>0</v>
      </c>
    </row>
    <row r="19" spans="2:31" x14ac:dyDescent="0.3">
      <c r="B19" s="329">
        <f t="shared" si="0"/>
        <v>0</v>
      </c>
      <c r="C19" s="330" t="str">
        <f t="shared" si="1"/>
        <v>...</v>
      </c>
      <c r="D19" s="321" t="s">
        <v>86</v>
      </c>
      <c r="E19" s="321">
        <f>IFERROR(VLOOKUP(D19,Tabela1[[SERVICO]:[ETAPA/SERVICO]],4),"")</f>
        <v>1</v>
      </c>
      <c r="F19" s="321" t="str">
        <f>IFERROR(VLOOKUP(Tabela4[[#This Row],[Codigo]],Tabela1[[SERVICO]:[ETAPA/SERVICO]],3),0)</f>
        <v>02.03 Restauração</v>
      </c>
      <c r="G19" s="321" t="str">
        <f>IFERROR(VLOOKUP(D19,Tabela1[[SERVICO]:[NOME SERVIÇO]],2,0),"")</f>
        <v>Capa - CBUQ</v>
      </c>
      <c r="H19" s="322">
        <f>SUMIF(Resumo_Agrupamento!$B$4:$B$1000,Tabela4[[#This Row],[Codigo]],Resumo_Agrupamento!$C$4:$C$1000)</f>
        <v>44200</v>
      </c>
      <c r="I19" s="323">
        <f ca="1">IF(AND(E19&gt;1,PARAMETROS!$C$17="RDC"),0,IFERROR(INDIRECT("CPU_"&amp;LEFT(SUBSTITUTE(SUBSTITUTE(G19," ",""),"-",""),20)&amp;"!k3"),0))</f>
        <v>166.55715928766094</v>
      </c>
      <c r="J19" s="323">
        <f>IF(AND(E19&gt;1,PARAMETROS!$C$17="RDC"),0,SUMIF(Resumo_Agrupamento!$B$4:$B$1000,D19,Resumo_Agrupamento!$D$4:$D$1000))</f>
        <v>197.3914</v>
      </c>
      <c r="K19" s="322">
        <f ca="1">IF(AND(E19&gt;1,PARAMETROS!$C$17="RDC"),SUMIF(F20:$F$34,F19,K20:$K$34),H19*I19)</f>
        <v>7361826.4405146139</v>
      </c>
      <c r="L19" s="322">
        <f>IF(AND(E19&gt;1,PARAMETROS!$C$17="RDC"),SUMIF(F20:$F$34,F19,L20:$L$34),SUMIF(Resumo_Agrupamento!$B$4:$B$1000,D19,Resumo_Agrupamento!$E$4:$E$1000))</f>
        <v>8724699.8800000008</v>
      </c>
      <c r="M19" s="331">
        <f ca="1">L19-K19-L19*PARAMETROS!$C$19</f>
        <v>47188.697581386659</v>
      </c>
      <c r="N19" s="63">
        <f t="shared" ca="1" si="4"/>
        <v>5.4086327587679331E-3</v>
      </c>
      <c r="O19" s="208"/>
      <c r="P19" s="238">
        <f ca="1">IF(Tabela4[[#This Row],[TIPO]]&gt;1,"",IFERROR(INDIRECT("CPU_"&amp;LEFT(SUBSTITUTE(SUBSTITUTE($G19," ",""),"-",""),20)&amp;"!b6"),""))</f>
        <v>350</v>
      </c>
      <c r="Q19" s="28" t="str">
        <f ca="1">IF(Tabela4[[#This Row],[TIPO]]&gt;1,"",IFERROR(INDIRECT("CPU_"&amp;LEFT(SUBSTITUTE(SUBSTITUTE($G19," ",""),"-",""),20)&amp;"!j3"),""))</f>
        <v>T</v>
      </c>
      <c r="R19" s="238">
        <f ca="1">IF(Tabela4[[#This Row],[TIPO]]&gt;1,"",IFERROR(INDIRECT("CPU_"&amp;LEFT(SUBSTITUTE(SUBSTITUTE($G19," ",""),"-",""),20)&amp;"!g7"),""))</f>
        <v>126.28571428571429</v>
      </c>
      <c r="V19" s="22"/>
      <c r="W19">
        <f>Tabela4[[#This Row],[Qtde.]]/H16</f>
        <v>0.12000000108597285</v>
      </c>
      <c r="X19" s="22">
        <f ca="1">Tabela4[[#This Row],[Produção]]/W19</f>
        <v>2916.6666402714936</v>
      </c>
      <c r="Y19" s="154">
        <f ca="1">H16/Tabela4[[#This Row],[Prazo (dias)]]</f>
        <v>2916.6666402714932</v>
      </c>
      <c r="Z19" s="208"/>
      <c r="AA19" s="206">
        <f>SUMPRODUCT(Plan_Orc[Acum. 2023]*Tabela2[K]*(Tabela2[AGRUPADOR]=Tabela4[[#This Row],[Codigo]]))</f>
        <v>0</v>
      </c>
      <c r="AB19" s="210">
        <f ca="1">IF(AND(Tabela4[[#This Row],[TIPO]]&gt;1,PARAMETROS!$C$17="RDC"),0,IFERROR(INDIRECT(LEFT(SUBSTITUTE(SUBSTITUTE(#REF!," ",""),"-",""),20)&amp;"!ae3"),0))</f>
        <v>0</v>
      </c>
      <c r="AC19" s="206">
        <f ca="1">IF(AND(Tabela4[[#This Row],[TIPO]]&gt;1,PARAMETROS!$C$17="RDC"),SUMIF($F6:G$95,#REF!,$AB20:AC$158),AA19*AB19)</f>
        <v>0</v>
      </c>
      <c r="AD19" s="206" t="e">
        <f ca="1">IF(AND(Tabela4[[#This Row],[TIPO]]&gt;1,PARAMETROS!$C$17="RDC"),SUMIF($F6:G$95,#REF!,$AC20:AD$158),(#REF!-AB19)*AA19)</f>
        <v>#REF!</v>
      </c>
      <c r="AE19" s="207">
        <f t="shared" ca="1" si="3"/>
        <v>0</v>
      </c>
    </row>
    <row r="20" spans="2:31" hidden="1" x14ac:dyDescent="0.3">
      <c r="B20" s="329">
        <f t="shared" si="0"/>
        <v>0</v>
      </c>
      <c r="C20" s="330" t="str">
        <f t="shared" si="1"/>
        <v>...</v>
      </c>
      <c r="D20" s="321" t="s">
        <v>629</v>
      </c>
      <c r="E20" s="321">
        <f>IFERROR(VLOOKUP(D20,Tabela1[[SERVICO]:[ETAPA/SERVICO]],4),"")</f>
        <v>1</v>
      </c>
      <c r="F20" s="321" t="str">
        <f>IFERROR(VLOOKUP(Tabela4[[#This Row],[Codigo]],Tabela1[[SERVICO]:[ETAPA/SERVICO]],3),0)</f>
        <v>02.03 Restauração</v>
      </c>
      <c r="G20" s="321" t="str">
        <f>IFERROR(VLOOKUP(D20,Tabela1[[SERVICO]:[NOME SERVIÇO]],2,0),"")</f>
        <v>Capa - Concreto</v>
      </c>
      <c r="H20" s="322">
        <f>SUMIF(Resumo_Agrupamento!$B$4:$B$1000,Tabela4[[#This Row],[Codigo]],Resumo_Agrupamento!$C$4:$C$1000)</f>
        <v>0</v>
      </c>
      <c r="I20" s="323">
        <f ca="1">IF(AND(E20&gt;1,PARAMETROS!$C$17="RDC"),0,IFERROR(INDIRECT("CPU_"&amp;LEFT(SUBSTITUTE(SUBSTITUTE(G20," ",""),"-",""),20)&amp;"!k3"),0))</f>
        <v>35220.932072534873</v>
      </c>
      <c r="J20" s="323">
        <f>IF(AND(E20&gt;1,PARAMETROS!$C$17="RDC"),0,SUMIF(Resumo_Agrupamento!$B$4:$B$1000,D20,Resumo_Agrupamento!$D$4:$D$1000))</f>
        <v>0</v>
      </c>
      <c r="K20" s="322">
        <f ca="1">IF(AND(E20&gt;1,PARAMETROS!$C$17="RDC"),SUMIF(F21:$F$34,F20,K21:$K$34),H20*I20)</f>
        <v>0</v>
      </c>
      <c r="L20" s="322">
        <f>IF(AND(E20&gt;1,PARAMETROS!$C$17="RDC"),SUMIF(F21:$F$34,F20,L21:$L$34),SUMIF(Resumo_Agrupamento!$B$4:$B$1000,D20,Resumo_Agrupamento!$E$4:$E$1000))</f>
        <v>0</v>
      </c>
      <c r="M20" s="331">
        <f ca="1">L20-K20-L20*PARAMETROS!$C$19</f>
        <v>0</v>
      </c>
      <c r="N20" s="63">
        <f t="shared" ca="1" si="4"/>
        <v>0</v>
      </c>
      <c r="O20" s="208"/>
      <c r="P20" s="238">
        <f ca="1">IF(Tabela4[[#This Row],[TIPO]]&gt;1,"",IFERROR(INDIRECT("CPU_"&amp;LEFT(SUBSTITUTE(SUBSTITUTE($G20," ",""),"-",""),20)&amp;"!b6"),""))</f>
        <v>0.2</v>
      </c>
      <c r="Q20" s="28" t="str">
        <f ca="1">IF(Tabela4[[#This Row],[TIPO]]&gt;1,"",IFERROR(INDIRECT("CPU_"&amp;LEFT(SUBSTITUTE(SUBSTITUTE($G20," ",""),"-",""),20)&amp;"!j3"),""))</f>
        <v>UNID</v>
      </c>
      <c r="R20" s="238">
        <f ca="1">IF(Tabela4[[#This Row],[TIPO]]&gt;1,"",IFERROR(INDIRECT("CPU_"&amp;LEFT(SUBSTITUTE(SUBSTITUTE($G20," ",""),"-",""),20)&amp;"!g7"),""))</f>
        <v>0</v>
      </c>
      <c r="Z20" s="208"/>
      <c r="AA20" s="206">
        <f>SUMPRODUCT(Plan_Orc[Acum. 2023]*Tabela2[K]*(Tabela2[AGRUPADOR]=Tabela4[[#This Row],[Codigo]]))</f>
        <v>0</v>
      </c>
      <c r="AB20" s="210">
        <f ca="1">IF(AND(Tabela4[[#This Row],[TIPO]]&gt;1,PARAMETROS!$C$17="RDC"),0,IFERROR(INDIRECT(LEFT(SUBSTITUTE(SUBSTITUTE(#REF!," ",""),"-",""),20)&amp;"!ae3"),0))</f>
        <v>0</v>
      </c>
      <c r="AC20" s="206">
        <f ca="1">IF(AND(Tabela4[[#This Row],[TIPO]]&gt;1,PARAMETROS!$C$17="RDC"),SUMIF($F6:G$95,#REF!,$AB21:AC$158),AA20*AB20)</f>
        <v>0</v>
      </c>
      <c r="AD20" s="206" t="e">
        <f ca="1">IF(AND(Tabela4[[#This Row],[TIPO]]&gt;1,PARAMETROS!$C$17="RDC"),SUMIF($F6:G$95,#REF!,$AC21:AD$158),(#REF!-AB20)*AA20)</f>
        <v>#REF!</v>
      </c>
      <c r="AE20" s="207">
        <f t="shared" ca="1" si="3"/>
        <v>0</v>
      </c>
    </row>
    <row r="21" spans="2:31" x14ac:dyDescent="0.3">
      <c r="B21" s="329">
        <f t="shared" si="0"/>
        <v>0</v>
      </c>
      <c r="C21" s="330" t="str">
        <f t="shared" si="1"/>
        <v>...</v>
      </c>
      <c r="D21" s="321" t="s">
        <v>80</v>
      </c>
      <c r="E21" s="321">
        <f>IFERROR(VLOOKUP(D21,Tabela1[[SERVICO]:[ETAPA/SERVICO]],4),"")</f>
        <v>1</v>
      </c>
      <c r="F21" s="321" t="str">
        <f>IFERROR(VLOOKUP(Tabela4[[#This Row],[Codigo]],Tabela1[[SERVICO]:[ETAPA/SERVICO]],3),0)</f>
        <v>02.03 Restauração</v>
      </c>
      <c r="G21" s="321" t="str">
        <f>IFERROR(VLOOKUP(D21,Tabela1[[SERVICO]:[NOME SERVIÇO]],2,0),"")</f>
        <v>Micro Revestimento</v>
      </c>
      <c r="H21" s="322">
        <f>SUMIF(Resumo_Agrupamento!$B$4:$B$1000,Tabela4[[#This Row],[Codigo]],Resumo_Agrupamento!$C$4:$C$1000)</f>
        <v>453600</v>
      </c>
      <c r="I21" s="323">
        <f ca="1">IF(AND(E21&gt;1,PARAMETROS!$C$17="RDC"),0,IFERROR(INDIRECT("CPU_"&amp;LEFT(SUBSTITUTE(SUBSTITUTE(G21," ",""),"-",""),20)&amp;"!k3"),0))</f>
        <v>1.8363972622274674</v>
      </c>
      <c r="J21" s="323">
        <f>IF(AND(E21&gt;1,PARAMETROS!$C$17="RDC"),0,SUMIF(Resumo_Agrupamento!$B$4:$B$1000,D21,Resumo_Agrupamento!$D$4:$D$1000))</f>
        <v>2.5525000000000002</v>
      </c>
      <c r="K21" s="322">
        <f ca="1">IF(AND(E21&gt;1,PARAMETROS!$C$17="RDC"),SUMIF(F22:$F$34,F21,K22:$K$34),H21*I21)</f>
        <v>832989.79814637918</v>
      </c>
      <c r="L21" s="322">
        <f>IF(AND(E21&gt;1,PARAMETROS!$C$17="RDC"),SUMIF(F22:$F$34,F21,L22:$L$34),SUMIF(Resumo_Agrupamento!$B$4:$B$1000,D21,Resumo_Agrupamento!$E$4:$E$1000))</f>
        <v>1157814</v>
      </c>
      <c r="M21" s="331">
        <f ca="1">L21-K21-L21*PARAMETROS!$C$19</f>
        <v>150225.85065362079</v>
      </c>
      <c r="N21" s="63">
        <f t="shared" ca="1" si="4"/>
        <v>0.12974955446524294</v>
      </c>
      <c r="O21" s="208"/>
      <c r="P21" s="238">
        <f ca="1">IF(Tabela4[[#This Row],[TIPO]]&gt;1,"",IFERROR(INDIRECT("CPU_"&amp;LEFT(SUBSTITUTE(SUBSTITUTE($G21," ",""),"-",""),20)&amp;"!b6"),""))</f>
        <v>8000</v>
      </c>
      <c r="Q21" s="28" t="str">
        <f ca="1">IF(Tabela4[[#This Row],[TIPO]]&gt;1,"",IFERROR(INDIRECT("CPU_"&amp;LEFT(SUBSTITUTE(SUBSTITUTE($G21," ",""),"-",""),20)&amp;"!j3"),""))</f>
        <v>M²</v>
      </c>
      <c r="R21" s="238">
        <f ca="1">IF(Tabela4[[#This Row],[TIPO]]&gt;1,"",IFERROR(INDIRECT("CPU_"&amp;LEFT(SUBSTITUTE(SUBSTITUTE($G21," ",""),"-",""),20)&amp;"!g7"),""))</f>
        <v>56.7</v>
      </c>
      <c r="V21" s="22"/>
      <c r="Z21" s="208"/>
      <c r="AA21" s="206">
        <f>SUMPRODUCT(Plan_Orc[Acum. 2023]*Tabela2[K]*(Tabela2[AGRUPADOR]=Tabela4[[#This Row],[Codigo]]))</f>
        <v>0</v>
      </c>
      <c r="AB21" s="210">
        <f ca="1">IF(AND(Tabela4[[#This Row],[TIPO]]&gt;1,PARAMETROS!$C$17="RDC"),0,IFERROR(INDIRECT(LEFT(SUBSTITUTE(SUBSTITUTE(#REF!," ",""),"-",""),20)&amp;"!ae3"),0))</f>
        <v>0</v>
      </c>
      <c r="AC21" s="206">
        <f ca="1">IF(AND(Tabela4[[#This Row],[TIPO]]&gt;1,PARAMETROS!$C$17="RDC"),SUMIF($F6:G$95,#REF!,$AB22:AC$158),AA21*AB21)</f>
        <v>0</v>
      </c>
      <c r="AD21" s="206" t="e">
        <f ca="1">IF(AND(Tabela4[[#This Row],[TIPO]]&gt;1,PARAMETROS!$C$17="RDC"),SUMIF($F6:G$95,#REF!,$AC22:AD$158),(#REF!-AB21)*AA21)</f>
        <v>#REF!</v>
      </c>
      <c r="AE21" s="207">
        <f t="shared" ca="1" si="3"/>
        <v>0</v>
      </c>
    </row>
    <row r="22" spans="2:31" x14ac:dyDescent="0.3">
      <c r="B22" s="329">
        <f t="shared" si="0"/>
        <v>0</v>
      </c>
      <c r="C22" s="330" t="str">
        <f t="shared" si="1"/>
        <v>...</v>
      </c>
      <c r="D22" s="321" t="s">
        <v>89</v>
      </c>
      <c r="E22" s="321">
        <f>IFERROR(VLOOKUP(D22,Tabela1[[SERVICO]:[ETAPA/SERVICO]],4),"")</f>
        <v>1</v>
      </c>
      <c r="F22" s="321" t="str">
        <f>IFERROR(VLOOKUP(Tabela4[[#This Row],[Codigo]],Tabela1[[SERVICO]:[ETAPA/SERVICO]],3),0)</f>
        <v>02.03 Restauração</v>
      </c>
      <c r="G22" s="321" t="str">
        <f>IFERROR(VLOOKUP(D22,Tabela1[[SERVICO]:[NOME SERVIÇO]],2,0),"")</f>
        <v>Transporte cbuq</v>
      </c>
      <c r="H22" s="322">
        <f>SUMIF(Resumo_Agrupamento!$B$4:$B$1000,Tabela4[[#This Row],[Codigo]],Resumo_Agrupamento!$C$4:$C$1000)</f>
        <v>2210000</v>
      </c>
      <c r="I22" s="323">
        <f ca="1">IF(AND(E22&gt;1,PARAMETROS!$C$17="RDC"),0,IFERROR(INDIRECT("CPU_"&amp;LEFT(SUBSTITUTE(SUBSTITUTE(G22," ",""),"-",""),20)&amp;"!k3"),0))</f>
        <v>0</v>
      </c>
      <c r="J22" s="323">
        <f>IF(AND(E22&gt;1,PARAMETROS!$C$17="RDC"),0,SUMIF(Resumo_Agrupamento!$B$4:$B$1000,D22,Resumo_Agrupamento!$D$4:$D$1000))</f>
        <v>0</v>
      </c>
      <c r="K22" s="322">
        <f ca="1">IF(AND(E22&gt;1,PARAMETROS!$C$17="RDC"),SUMIF(F23:$F$34,F22,K23:$K$34),H22*I22)</f>
        <v>0</v>
      </c>
      <c r="L22" s="322">
        <f>IF(AND(E22&gt;1,PARAMETROS!$C$17="RDC"),SUMIF(F23:$F$34,F22,L23:$L$34),SUMIF(Resumo_Agrupamento!$B$4:$B$1000,D22,Resumo_Agrupamento!$E$4:$E$1000))</f>
        <v>0</v>
      </c>
      <c r="M22" s="331">
        <f ca="1">L22-K22-L22*PARAMETROS!$C$19</f>
        <v>0</v>
      </c>
      <c r="N22" s="63">
        <f t="shared" ca="1" si="4"/>
        <v>0</v>
      </c>
      <c r="O22" s="208"/>
      <c r="P22" s="238">
        <f ca="1">IF(Tabela4[[#This Row],[TIPO]]&gt;1,"",IFERROR(INDIRECT("CPU_"&amp;LEFT(SUBSTITUTE(SUBSTITUTE($G22," ",""),"-",""),20)&amp;"!b6"),""))</f>
        <v>1</v>
      </c>
      <c r="Q22" s="28" t="str">
        <f ca="1">IF(Tabela4[[#This Row],[TIPO]]&gt;1,"",IFERROR(INDIRECT("CPU_"&amp;LEFT(SUBSTITUTE(SUBSTITUTE($G22," ",""),"-",""),20)&amp;"!j3"),""))</f>
        <v>TXKM</v>
      </c>
      <c r="R22" s="238">
        <f ca="1">IF(Tabela4[[#This Row],[TIPO]]&gt;1,"",IFERROR(INDIRECT("CPU_"&amp;LEFT(SUBSTITUTE(SUBSTITUTE($G22," ",""),"-",""),20)&amp;"!g7"),""))</f>
        <v>2210000</v>
      </c>
      <c r="Z22" s="208"/>
      <c r="AA22" s="206">
        <f>SUMPRODUCT(Plan_Orc[Acum. 2023]*Tabela2[K]*(Tabela2[AGRUPADOR]=Tabela4[[#This Row],[Codigo]]))</f>
        <v>0</v>
      </c>
      <c r="AB22" s="210">
        <f ca="1">IF(AND(Tabela4[[#This Row],[TIPO]]&gt;1,PARAMETROS!$C$17="RDC"),0,IFERROR(INDIRECT(LEFT(SUBSTITUTE(SUBSTITUTE(#REF!," ",""),"-",""),20)&amp;"!ae3"),0))</f>
        <v>0</v>
      </c>
      <c r="AC22" s="206">
        <f ca="1">IF(AND(Tabela4[[#This Row],[TIPO]]&gt;1,PARAMETROS!$C$17="RDC"),SUMIF($F6:G$95,#REF!,$AB23:AC$158),AA22*AB22)</f>
        <v>0</v>
      </c>
      <c r="AD22" s="206" t="e">
        <f ca="1">IF(AND(Tabela4[[#This Row],[TIPO]]&gt;1,PARAMETROS!$C$17="RDC"),SUMIF($F6:G$95,#REF!,$AC23:AD$158),(#REF!-AB22)*AA22)</f>
        <v>#REF!</v>
      </c>
      <c r="AE22" s="207">
        <f t="shared" ca="1" si="3"/>
        <v>0</v>
      </c>
    </row>
    <row r="23" spans="2:31" hidden="1" x14ac:dyDescent="0.3">
      <c r="B23" s="28">
        <f t="shared" si="0"/>
        <v>0</v>
      </c>
      <c r="C23" s="43" t="str">
        <f t="shared" si="1"/>
        <v>...</v>
      </c>
      <c r="D23" t="s">
        <v>630</v>
      </c>
      <c r="E23">
        <f>IFERROR(VLOOKUP(D23,Tabela1[[SERVICO]:[ETAPA/SERVICO]],4),"")</f>
        <v>2</v>
      </c>
      <c r="F23" t="str">
        <f>IFERROR(VLOOKUP(Tabela4[[#This Row],[Codigo]],Tabela1[[SERVICO]:[ETAPA/SERVICO]],3),0)</f>
        <v>02.04 Sinalização</v>
      </c>
      <c r="G23" t="str">
        <f>IFERROR(VLOOKUP(D23,Tabela1[[SERVICO]:[NOME SERVIÇO]],2,0),"")</f>
        <v>02.04 Sinalização</v>
      </c>
      <c r="H23" s="157">
        <f>SUMIF(Resumo_Agrupamento!$B$4:$B$1000,Tabela4[[#This Row],[Codigo]],Resumo_Agrupamento!$C$4:$C$1000)</f>
        <v>0</v>
      </c>
      <c r="I23" s="158">
        <f ca="1">IF(AND(E23&gt;1,PARAMETROS!$C$17="RDC"),0,IFERROR(INDIRECT("CPU_"&amp;LEFT(SUBSTITUTE(SUBSTITUTE(G23," ",""),"-",""),20)&amp;"!k3"),0))</f>
        <v>0</v>
      </c>
      <c r="J23" s="158">
        <f>IF(AND(E23&gt;1,PARAMETROS!$C$17="RDC"),0,SUMIF(Resumo_Agrupamento!$B$4:$B$1000,D23,Resumo_Agrupamento!$D$4:$D$1000))</f>
        <v>0</v>
      </c>
      <c r="K23" s="157">
        <f ca="1">IF(AND(E23&gt;1,PARAMETROS!$C$17="RDC"),SUMIF(F24:$F$34,F23,K24:$K$34),H23*I23)</f>
        <v>0</v>
      </c>
      <c r="L23" s="157">
        <f>IF(AND(E23&gt;1,PARAMETROS!$C$17="RDC"),SUMIF(F24:$F$34,F23,L24:$L$34),SUMIF(Resumo_Agrupamento!$B$4:$B$1000,D23,Resumo_Agrupamento!$E$4:$E$1000))</f>
        <v>0</v>
      </c>
      <c r="M23" s="159">
        <f ca="1">L23-K23-L23*PARAMETROS!$C$19</f>
        <v>0</v>
      </c>
      <c r="N23" s="63">
        <f t="shared" ca="1" si="4"/>
        <v>0</v>
      </c>
      <c r="O23" s="208"/>
      <c r="P23" s="238" t="str">
        <f ca="1">IF(Tabela4[[#This Row],[TIPO]]&gt;1,"",IFERROR(INDIRECT("CPU_"&amp;LEFT(SUBSTITUTE(SUBSTITUTE($G23," ",""),"-",""),20)&amp;"!b6"),""))</f>
        <v/>
      </c>
      <c r="Q23" s="28" t="str">
        <f ca="1">IF(Tabela4[[#This Row],[TIPO]]&gt;1,"",IFERROR(INDIRECT("CPU_"&amp;LEFT(SUBSTITUTE(SUBSTITUTE($G23," ",""),"-",""),20)&amp;"!j3"),""))</f>
        <v/>
      </c>
      <c r="R23" s="238" t="str">
        <f ca="1">IF(Tabela4[[#This Row],[TIPO]]&gt;1,"",IFERROR(INDIRECT("CPU_"&amp;LEFT(SUBSTITUTE(SUBSTITUTE($G23," ",""),"-",""),20)&amp;"!g7"),""))</f>
        <v/>
      </c>
      <c r="Z23" s="208"/>
      <c r="AA23" s="206">
        <f>SUMPRODUCT(Plan_Orc[Acum. 2023]*Tabela2[K]*(Tabela2[AGRUPADOR]=Tabela4[[#This Row],[Codigo]]))</f>
        <v>0</v>
      </c>
      <c r="AB23" s="210">
        <f ca="1">IF(AND(Tabela4[[#This Row],[TIPO]]&gt;1,PARAMETROS!$C$17="RDC"),0,IFERROR(INDIRECT(LEFT(SUBSTITUTE(SUBSTITUTE(#REF!," ",""),"-",""),20)&amp;"!ae3"),0))</f>
        <v>0</v>
      </c>
      <c r="AC23" s="206">
        <f ca="1">IF(AND(Tabela4[[#This Row],[TIPO]]&gt;1,PARAMETROS!$C$17="RDC"),SUMIF($F6:G$95,#REF!,$AB24:AC$158),AA23*AB23)</f>
        <v>0</v>
      </c>
      <c r="AD23" s="206" t="e">
        <f ca="1">IF(AND(Tabela4[[#This Row],[TIPO]]&gt;1,PARAMETROS!$C$17="RDC"),SUMIF($F6:G$95,#REF!,$AC24:AD$158),(#REF!-AB23)*AA23)</f>
        <v>#REF!</v>
      </c>
      <c r="AE23" s="207">
        <f t="shared" ca="1" si="3"/>
        <v>0</v>
      </c>
    </row>
    <row r="24" spans="2:31" x14ac:dyDescent="0.3">
      <c r="B24" s="333">
        <f t="shared" si="0"/>
        <v>0</v>
      </c>
      <c r="C24" s="334" t="str">
        <f t="shared" si="1"/>
        <v>...</v>
      </c>
      <c r="D24" s="335" t="s">
        <v>66</v>
      </c>
      <c r="E24" s="335">
        <f>IFERROR(VLOOKUP(D24,Tabela1[[SERVICO]:[ETAPA/SERVICO]],4),"")</f>
        <v>1</v>
      </c>
      <c r="F24" s="335" t="str">
        <f>IFERROR(VLOOKUP(Tabela4[[#This Row],[Codigo]],Tabela1[[SERVICO]:[ETAPA/SERVICO]],3),0)</f>
        <v>02.04 Sinalização</v>
      </c>
      <c r="G24" s="335" t="str">
        <f>IFERROR(VLOOKUP(D24,Tabela1[[SERVICO]:[NOME SERVIÇO]],2,0),"")</f>
        <v>Sinalização Horizontal</v>
      </c>
      <c r="H24" s="336">
        <f>SUMIF(Resumo_Agrupamento!$B$4:$B$1000,Tabela4[[#This Row],[Codigo]],Resumo_Agrupamento!$C$4:$C$1000)</f>
        <v>87750</v>
      </c>
      <c r="I24" s="337">
        <f ca="1">IF(AND(E24&gt;1,PARAMETROS!$C$17="RDC"),0,IFERROR(INDIRECT("CPU_"&amp;LEFT(SUBSTITUTE(SUBSTITUTE(G24," ",""),"-",""),20)&amp;"!k3"),0))</f>
        <v>15.35</v>
      </c>
      <c r="J24" s="337">
        <f>IF(AND(E24&gt;1,PARAMETROS!$C$17="RDC"),0,SUMIF(Resumo_Agrupamento!$B$4:$B$1000,D24,Resumo_Agrupamento!$D$4:$D$1000))</f>
        <v>29.53</v>
      </c>
      <c r="K24" s="336">
        <f ca="1">IF(AND(E24&gt;1,PARAMETROS!$C$17="RDC"),SUMIF(F25:$F$34,F24,K25:$K$34),H24*I24)</f>
        <v>1346962.5</v>
      </c>
      <c r="L24" s="336">
        <f>IF(AND(E24&gt;1,PARAMETROS!$C$17="RDC"),SUMIF(F25:$F$34,F24,L25:$L$34),SUMIF(Resumo_Agrupamento!$B$4:$B$1000,D24,Resumo_Agrupamento!$E$4:$E$1000))</f>
        <v>2591257.5</v>
      </c>
      <c r="M24" s="338">
        <f ca="1">L24-K24-L24*PARAMETROS!$C$19</f>
        <v>853533.36899999995</v>
      </c>
      <c r="N24" s="63">
        <f t="shared" ca="1" si="4"/>
        <v>0.32938963765662038</v>
      </c>
      <c r="O24" s="208"/>
      <c r="P24" s="238">
        <f ca="1">IF(Tabela4[[#This Row],[TIPO]]&gt;1,"",IFERROR(INDIRECT("CPU_"&amp;LEFT(SUBSTITUTE(SUBSTITUTE($G24," ",""),"-",""),20)&amp;"!b6"),""))</f>
        <v>504</v>
      </c>
      <c r="Q24" s="28" t="str">
        <f ca="1">IF(Tabela4[[#This Row],[TIPO]]&gt;1,"",IFERROR(INDIRECT("CPU_"&amp;LEFT(SUBSTITUTE(SUBSTITUTE($G24," ",""),"-",""),20)&amp;"!j3"),""))</f>
        <v>M²</v>
      </c>
      <c r="R24" s="238">
        <f ca="1">IF(Tabela4[[#This Row],[TIPO]]&gt;1,"",IFERROR(INDIRECT("CPU_"&amp;LEFT(SUBSTITUTE(SUBSTITUTE($G24," ",""),"-",""),20)&amp;"!g7"),""))</f>
        <v>174.10714285714286</v>
      </c>
      <c r="Z24" s="208"/>
      <c r="AA24" s="206">
        <f>SUMPRODUCT(Plan_Orc[Acum. 2023]*Tabela2[K]*(Tabela2[AGRUPADOR]=Tabela4[[#This Row],[Codigo]]))</f>
        <v>0</v>
      </c>
      <c r="AB24" s="210">
        <f ca="1">IF(AND(Tabela4[[#This Row],[TIPO]]&gt;1,PARAMETROS!$C$17="RDC"),0,IFERROR(INDIRECT(LEFT(SUBSTITUTE(SUBSTITUTE(#REF!," ",""),"-",""),20)&amp;"!ae3"),0))</f>
        <v>0</v>
      </c>
      <c r="AC24" s="206">
        <f ca="1">IF(AND(Tabela4[[#This Row],[TIPO]]&gt;1,PARAMETROS!$C$17="RDC"),SUMIF($F6:G$95,#REF!,$AB25:AC$158),AA24*AB24)</f>
        <v>0</v>
      </c>
      <c r="AD24" s="206" t="e">
        <f ca="1">IF(AND(Tabela4[[#This Row],[TIPO]]&gt;1,PARAMETROS!$C$17="RDC"),SUMIF($F6:G$95,#REF!,$AC25:AD$158),(#REF!-AB24)*AA24)</f>
        <v>#REF!</v>
      </c>
      <c r="AE24" s="207">
        <f t="shared" ca="1" si="3"/>
        <v>0</v>
      </c>
    </row>
    <row r="25" spans="2:31" hidden="1" x14ac:dyDescent="0.3">
      <c r="B25" s="28">
        <f t="shared" si="0"/>
        <v>0</v>
      </c>
      <c r="C25" s="43" t="str">
        <f t="shared" si="1"/>
        <v>...</v>
      </c>
      <c r="D25" t="s">
        <v>631</v>
      </c>
      <c r="E25">
        <f>IFERROR(VLOOKUP(D25,Tabela1[[SERVICO]:[ETAPA/SERVICO]],4),"")</f>
        <v>1</v>
      </c>
      <c r="F25" t="str">
        <f>IFERROR(VLOOKUP(Tabela4[[#This Row],[Codigo]],Tabela1[[SERVICO]:[ETAPA/SERVICO]],3),0)</f>
        <v>02.04 Sinalização</v>
      </c>
      <c r="G25" t="str">
        <f>IFERROR(VLOOKUP(D25,Tabela1[[SERVICO]:[NOME SERVIÇO]],2,0),"")</f>
        <v>Sinalização Vertical</v>
      </c>
      <c r="H25" s="157">
        <f>SUMIF(Resumo_Agrupamento!$B$4:$B$1000,Tabela4[[#This Row],[Codigo]],Resumo_Agrupamento!$C$4:$C$1000)</f>
        <v>0</v>
      </c>
      <c r="I25" s="158">
        <f ca="1">IF(AND(E25&gt;1,PARAMETROS!$C$17="RDC"),0,IFERROR(INDIRECT("CPU_"&amp;LEFT(SUBSTITUTE(SUBSTITUTE(G25," ",""),"-",""),20)&amp;"!k3"),0))</f>
        <v>0</v>
      </c>
      <c r="J25" s="158">
        <f>IF(AND(E25&gt;1,PARAMETROS!$C$17="RDC"),0,SUMIF(Resumo_Agrupamento!$B$4:$B$1000,D25,Resumo_Agrupamento!$D$4:$D$1000))</f>
        <v>0</v>
      </c>
      <c r="K25" s="157">
        <f ca="1">IF(AND(E25&gt;1,PARAMETROS!$C$17="RDC"),SUMIF(F26:$F$34,F25,K26:$K$34),H25*I25)</f>
        <v>0</v>
      </c>
      <c r="L25" s="157">
        <f>IF(AND(E25&gt;1,PARAMETROS!$C$17="RDC"),SUMIF(F26:$F$34,F25,L26:$L$34),SUMIF(Resumo_Agrupamento!$B$4:$B$1000,D25,Resumo_Agrupamento!$E$4:$E$1000))</f>
        <v>0</v>
      </c>
      <c r="M25" s="159">
        <f ca="1">L25-K25-L25*PARAMETROS!$C$19</f>
        <v>0</v>
      </c>
      <c r="N25" s="63">
        <f t="shared" ca="1" si="4"/>
        <v>0</v>
      </c>
      <c r="O25" s="208"/>
      <c r="P25" s="238" t="str">
        <f ca="1">IF(Tabela4[[#This Row],[TIPO]]&gt;1,"",IFERROR(INDIRECT("CPU_"&amp;LEFT(SUBSTITUTE(SUBSTITUTE($G25," ",""),"-",""),20)&amp;"!b6"),""))</f>
        <v/>
      </c>
      <c r="Q25" s="28" t="str">
        <f ca="1">IF(Tabela4[[#This Row],[TIPO]]&gt;1,"",IFERROR(INDIRECT("CPU_"&amp;LEFT(SUBSTITUTE(SUBSTITUTE($G25," ",""),"-",""),20)&amp;"!j3"),""))</f>
        <v/>
      </c>
      <c r="R25" s="238" t="str">
        <f ca="1">IF(Tabela4[[#This Row],[TIPO]]&gt;1,"",IFERROR(INDIRECT("CPU_"&amp;LEFT(SUBSTITUTE(SUBSTITUTE($G25," ",""),"-",""),20)&amp;"!g7"),""))</f>
        <v/>
      </c>
      <c r="Z25" s="208"/>
      <c r="AA25" s="206">
        <f>SUMPRODUCT(Plan_Orc[Acum. 2023]*Tabela2[K]*(Tabela2[AGRUPADOR]=Tabela4[[#This Row],[Codigo]]))</f>
        <v>0</v>
      </c>
      <c r="AB25" s="210">
        <f ca="1">IF(AND(Tabela4[[#This Row],[TIPO]]&gt;1,PARAMETROS!$C$17="RDC"),0,IFERROR(INDIRECT(LEFT(SUBSTITUTE(SUBSTITUTE(#REF!," ",""),"-",""),20)&amp;"!ae3"),0))</f>
        <v>0</v>
      </c>
      <c r="AC25" s="206">
        <f ca="1">IF(AND(Tabela4[[#This Row],[TIPO]]&gt;1,PARAMETROS!$C$17="RDC"),SUMIF($F6:G$95,#REF!,$AB28:AC$158),AA25*AB25)</f>
        <v>0</v>
      </c>
      <c r="AD25" s="206" t="e">
        <f ca="1">IF(AND(Tabela4[[#This Row],[TIPO]]&gt;1,PARAMETROS!$C$17="RDC"),SUMIF($F6:G$95,#REF!,$AC28:AD$158),(#REF!-AB25)*AA25)</f>
        <v>#REF!</v>
      </c>
      <c r="AE25" s="207">
        <f t="shared" ref="AE25:AE90" ca="1" si="5">IFERROR(AD25/AC25,0)</f>
        <v>0</v>
      </c>
    </row>
    <row r="26" spans="2:31" x14ac:dyDescent="0.3">
      <c r="B26" s="333">
        <f t="shared" si="0"/>
        <v>0</v>
      </c>
      <c r="C26" s="334" t="str">
        <f t="shared" si="1"/>
        <v>...</v>
      </c>
      <c r="D26" s="335" t="s">
        <v>70</v>
      </c>
      <c r="E26" s="335">
        <f>IFERROR(VLOOKUP(D26,Tabela1[[SERVICO]:[ETAPA/SERVICO]],4),"")</f>
        <v>1</v>
      </c>
      <c r="F26" s="335" t="str">
        <f>IFERROR(VLOOKUP(Tabela4[[#This Row],[Codigo]],Tabela1[[SERVICO]:[ETAPA/SERVICO]],3),0)</f>
        <v>02.04 Sinalização</v>
      </c>
      <c r="G26" s="335" t="str">
        <f>IFERROR(VLOOKUP(D26,Tabela1[[SERVICO]:[NOME SERVIÇO]],2,0),"")</f>
        <v>Tacha Refletiva</v>
      </c>
      <c r="H26" s="336">
        <f>SUMIF(Resumo_Agrupamento!$B$4:$B$1000,Tabela4[[#This Row],[Codigo]],Resumo_Agrupamento!$C$4:$C$1000)</f>
        <v>94250</v>
      </c>
      <c r="I26" s="337">
        <f ca="1">IF(AND(E26&gt;1,PARAMETROS!$C$17="RDC"),0,IFERROR(INDIRECT("CPU_"&amp;LEFT(SUBSTITUTE(SUBSTITUTE(G26," ",""),"-",""),20)&amp;"!k3"),0))</f>
        <v>18.5</v>
      </c>
      <c r="J26" s="337">
        <f>IF(AND(E26&gt;1,PARAMETROS!$C$17="RDC"),0,SUMIF(Resumo_Agrupamento!$B$4:$B$1000,D26,Resumo_Agrupamento!$D$4:$D$1000))</f>
        <v>25.99</v>
      </c>
      <c r="K26" s="336">
        <f ca="1">IF(AND(E26&gt;1,PARAMETROS!$C$17="RDC"),SUMIF(F27:$F$34,F26,K27:$K$34),H26*I26)</f>
        <v>1743625</v>
      </c>
      <c r="L26" s="336">
        <f>IF(AND(E26&gt;1,PARAMETROS!$C$17="RDC"),SUMIF(F27:$F$34,F26,L27:$L$34),SUMIF(Resumo_Agrupamento!$B$4:$B$1000,D26,Resumo_Agrupamento!$E$4:$E$1000))</f>
        <v>2449557.5</v>
      </c>
      <c r="M26" s="338">
        <f ca="1">L26-K26-L26*PARAMETROS!$C$19</f>
        <v>336539.22899999993</v>
      </c>
      <c r="N26" s="63">
        <f t="shared" ca="1" si="4"/>
        <v>0.13738776452481721</v>
      </c>
      <c r="O26" s="208"/>
      <c r="P26" s="238">
        <f ca="1">IF(Tabela4[[#This Row],[TIPO]]&gt;1,"",IFERROR(INDIRECT("CPU_"&amp;LEFT(SUBSTITUTE(SUBSTITUTE($G26," ",""),"-",""),20)&amp;"!b6"),""))</f>
        <v>942.5</v>
      </c>
      <c r="Q26" s="28" t="str">
        <f ca="1">IF(Tabela4[[#This Row],[TIPO]]&gt;1,"",IFERROR(INDIRECT("CPU_"&amp;LEFT(SUBSTITUTE(SUBSTITUTE($G26," ",""),"-",""),20)&amp;"!j3"),""))</f>
        <v>UNID</v>
      </c>
      <c r="R26" s="238">
        <f ca="1">IF(Tabela4[[#This Row],[TIPO]]&gt;1,"",IFERROR(INDIRECT("CPU_"&amp;LEFT(SUBSTITUTE(SUBSTITUTE($G26," ",""),"-",""),20)&amp;"!g7"),""))</f>
        <v>100</v>
      </c>
      <c r="Z26" s="208"/>
      <c r="AA26" s="206">
        <f>SUMPRODUCT(Plan_Orc[Acum. 2023]*Tabela2[K]*(Tabela2[AGRUPADOR]=Tabela4[[#This Row],[Codigo]]))</f>
        <v>0</v>
      </c>
      <c r="AB26" s="210">
        <f ca="1">IF(AND(Tabela4[[#This Row],[TIPO]]&gt;1,PARAMETROS!$C$17="RDC"),0,IFERROR(INDIRECT(LEFT(SUBSTITUTE(SUBSTITUTE(#REF!," ",""),"-",""),20)&amp;"!ae3"),0))</f>
        <v>0</v>
      </c>
      <c r="AC26" s="206">
        <f ca="1">IF(AND(Tabela4[[#This Row],[TIPO]]&gt;1,PARAMETROS!$C$17="RDC"),SUMIF($F6:G$95,#REF!,$AB29:AC$158),AA26*AB26)</f>
        <v>0</v>
      </c>
      <c r="AD26" s="206" t="e">
        <f ca="1">IF(AND(Tabela4[[#This Row],[TIPO]]&gt;1,PARAMETROS!$C$17="RDC"),SUMIF($F6:G$95,#REF!,$AC29:AD$158),(#REF!-AB26)*AA26)</f>
        <v>#REF!</v>
      </c>
      <c r="AE26" s="207">
        <f t="shared" ca="1" si="5"/>
        <v>0</v>
      </c>
    </row>
    <row r="27" spans="2:31" hidden="1" x14ac:dyDescent="0.3">
      <c r="B27" s="28">
        <f t="shared" si="0"/>
        <v>0</v>
      </c>
      <c r="C27" s="43" t="str">
        <f t="shared" si="1"/>
        <v>...</v>
      </c>
      <c r="D27" t="s">
        <v>632</v>
      </c>
      <c r="E27">
        <f>IFERROR(VLOOKUP(D27,Tabela1[[SERVICO]:[ETAPA/SERVICO]],4),"")</f>
        <v>1</v>
      </c>
      <c r="F27" t="str">
        <f>IFERROR(VLOOKUP(Tabela4[[#This Row],[Codigo]],Tabela1[[SERVICO]:[ETAPA/SERVICO]],3),0)</f>
        <v>02.04 Sinalização</v>
      </c>
      <c r="G27" t="str">
        <f>IFERROR(VLOOKUP(D27,Tabela1[[SERVICO]:[NOME SERVIÇO]],2,0),"")</f>
        <v>Defensa Metalica</v>
      </c>
      <c r="H27" s="157">
        <f>SUMIF(Resumo_Agrupamento!$B$4:$B$1000,Tabela4[[#This Row],[Codigo]],Resumo_Agrupamento!$C$4:$C$1000)</f>
        <v>0</v>
      </c>
      <c r="I27" s="158">
        <f ca="1">IF(AND(E27&gt;1,PARAMETROS!$C$17="RDC"),0,IFERROR(INDIRECT("CPU_"&amp;LEFT(SUBSTITUTE(SUBSTITUTE(G27," ",""),"-",""),20)&amp;"!k3"),0))</f>
        <v>0</v>
      </c>
      <c r="J27" s="158">
        <f>IF(AND(E27&gt;1,PARAMETROS!$C$17="RDC"),0,SUMIF(Resumo_Agrupamento!$B$4:$B$1000,D27,Resumo_Agrupamento!$D$4:$D$1000))</f>
        <v>0</v>
      </c>
      <c r="K27" s="157">
        <f ca="1">IF(AND(E27&gt;1,PARAMETROS!$C$17="RDC"),SUMIF(F28:$F$34,F27,K28:$K$34),H27*I27)</f>
        <v>0</v>
      </c>
      <c r="L27" s="157">
        <f>IF(AND(E27&gt;1,PARAMETROS!$C$17="RDC"),SUMIF(F28:$F$34,F27,L28:$L$34),SUMIF(Resumo_Agrupamento!$B$4:$B$1000,D27,Resumo_Agrupamento!$E$4:$E$1000))</f>
        <v>0</v>
      </c>
      <c r="M27" s="159">
        <f ca="1">L27-K27-L27*PARAMETROS!$C$19</f>
        <v>0</v>
      </c>
      <c r="N27" s="63">
        <f t="shared" ca="1" si="4"/>
        <v>0</v>
      </c>
      <c r="O27" s="208"/>
      <c r="P27" s="238" t="str">
        <f ca="1">IF(Tabela4[[#This Row],[TIPO]]&gt;1,"",IFERROR(INDIRECT("CPU_"&amp;LEFT(SUBSTITUTE(SUBSTITUTE($G27," ",""),"-",""),20)&amp;"!b6"),""))</f>
        <v/>
      </c>
      <c r="Q27" s="28" t="str">
        <f ca="1">IF(Tabela4[[#This Row],[TIPO]]&gt;1,"",IFERROR(INDIRECT("CPU_"&amp;LEFT(SUBSTITUTE(SUBSTITUTE($G27," ",""),"-",""),20)&amp;"!j3"),""))</f>
        <v/>
      </c>
      <c r="R27" s="238" t="str">
        <f ca="1">IF(Tabela4[[#This Row],[TIPO]]&gt;1,"",IFERROR(INDIRECT("CPU_"&amp;LEFT(SUBSTITUTE(SUBSTITUTE($G27," ",""),"-",""),20)&amp;"!g7"),""))</f>
        <v/>
      </c>
      <c r="Z27" s="208"/>
      <c r="AA27" s="206">
        <f>SUMPRODUCT(Plan_Orc[Acum. 2023]*Tabela2[K]*(Tabela2[AGRUPADOR]=Tabela4[[#This Row],[Codigo]]))</f>
        <v>0</v>
      </c>
      <c r="AB27" s="210">
        <f ca="1">IF(AND(Tabela4[[#This Row],[TIPO]]&gt;1,PARAMETROS!$C$17="RDC"),0,IFERROR(INDIRECT(LEFT(SUBSTITUTE(SUBSTITUTE(#REF!," ",""),"-",""),20)&amp;"!ae3"),0))</f>
        <v>0</v>
      </c>
      <c r="AC27" s="206">
        <f ca="1">IF(AND(Tabela4[[#This Row],[TIPO]]&gt;1,PARAMETROS!$C$17="RDC"),SUMIF($F6:G$95,#REF!,$AB30:AC$158),AA27*AB27)</f>
        <v>0</v>
      </c>
      <c r="AD27" s="206" t="e">
        <f ca="1">IF(AND(Tabela4[[#This Row],[TIPO]]&gt;1,PARAMETROS!$C$17="RDC"),SUMIF($F6:G$95,#REF!,$AC30:AD$158),(#REF!-AB27)*AA27)</f>
        <v>#REF!</v>
      </c>
      <c r="AE27" s="207">
        <f t="shared" ca="1" si="5"/>
        <v>0</v>
      </c>
    </row>
    <row r="28" spans="2:31" hidden="1" x14ac:dyDescent="0.3">
      <c r="B28" s="28">
        <f t="shared" si="0"/>
        <v>0</v>
      </c>
      <c r="C28" s="43" t="str">
        <f t="shared" si="1"/>
        <v>...</v>
      </c>
      <c r="D28" t="s">
        <v>633</v>
      </c>
      <c r="E28">
        <f>IFERROR(VLOOKUP(D28,Tabela1[[SERVICO]:[ETAPA/SERVICO]],4),"")</f>
        <v>1</v>
      </c>
      <c r="F28" t="str">
        <f>IFERROR(VLOOKUP(Tabela4[[#This Row],[Codigo]],Tabela1[[SERVICO]:[ETAPA/SERVICO]],3),0)</f>
        <v>02.04 Sinalização</v>
      </c>
      <c r="G28" t="str">
        <f>IFERROR(VLOOKUP(D28,Tabela1[[SERVICO]:[NOME SERVIÇO]],2,0),"")</f>
        <v>Diversos SIN</v>
      </c>
      <c r="H28" s="157">
        <f>SUMIF(Resumo_Agrupamento!$B$4:$B$1000,Tabela4[[#This Row],[Codigo]],Resumo_Agrupamento!$C$4:$C$1000)</f>
        <v>0</v>
      </c>
      <c r="I28" s="158">
        <f ca="1">IF(AND(E28&gt;1,PARAMETROS!$C$17="RDC"),0,IFERROR(INDIRECT("CPU_"&amp;LEFT(SUBSTITUTE(SUBSTITUTE(G28," ",""),"-",""),20)&amp;"!k3"),0))</f>
        <v>0</v>
      </c>
      <c r="J28" s="158">
        <f>IF(AND(E28&gt;1,PARAMETROS!$C$17="RDC"),0,SUMIF(Resumo_Agrupamento!$B$4:$B$1000,D28,Resumo_Agrupamento!$D$4:$D$1000))</f>
        <v>0</v>
      </c>
      <c r="K28" s="157">
        <f ca="1">IF(AND(E28&gt;1,PARAMETROS!$C$17="RDC"),SUMIF(F29:$F$34,F28,K29:$K$34),H28*I28)</f>
        <v>0</v>
      </c>
      <c r="L28" s="157">
        <f>IF(AND(E28&gt;1,PARAMETROS!$C$17="RDC"),SUMIF(F29:$F$34,F28,L29:$L$34),SUMIF(Resumo_Agrupamento!$B$4:$B$1000,D28,Resumo_Agrupamento!$E$4:$E$1000))</f>
        <v>0</v>
      </c>
      <c r="M28" s="159">
        <f ca="1">L28-K28-L28*PARAMETROS!$C$19</f>
        <v>0</v>
      </c>
      <c r="N28" s="63">
        <f t="shared" ca="1" si="4"/>
        <v>0</v>
      </c>
      <c r="O28" s="208"/>
      <c r="P28" s="238" t="str">
        <f ca="1">IF(Tabela4[[#This Row],[TIPO]]&gt;1,"",IFERROR(INDIRECT("CPU_"&amp;LEFT(SUBSTITUTE(SUBSTITUTE($G28," ",""),"-",""),20)&amp;"!b6"),""))</f>
        <v/>
      </c>
      <c r="Q28" s="28" t="str">
        <f ca="1">IF(Tabela4[[#This Row],[TIPO]]&gt;1,"",IFERROR(INDIRECT("CPU_"&amp;LEFT(SUBSTITUTE(SUBSTITUTE($G28," ",""),"-",""),20)&amp;"!j3"),""))</f>
        <v/>
      </c>
      <c r="R28" s="238" t="str">
        <f ca="1">IF(Tabela4[[#This Row],[TIPO]]&gt;1,"",IFERROR(INDIRECT("CPU_"&amp;LEFT(SUBSTITUTE(SUBSTITUTE($G28," ",""),"-",""),20)&amp;"!g7"),""))</f>
        <v/>
      </c>
      <c r="Z28" s="208"/>
      <c r="AA28" s="206">
        <f>SUMPRODUCT(Plan_Orc[Acum. 2023]*Tabela2[K]*(Tabela2[AGRUPADOR]=Tabela4[[#This Row],[Codigo]]))</f>
        <v>0</v>
      </c>
      <c r="AB28" s="210">
        <f ca="1">IF(AND(Tabela4[[#This Row],[TIPO]]&gt;1,PARAMETROS!$C$17="RDC"),0,IFERROR(INDIRECT(LEFT(SUBSTITUTE(SUBSTITUTE(#REF!," ",""),"-",""),20)&amp;"!ae3"),0))</f>
        <v>0</v>
      </c>
      <c r="AC28" s="206">
        <f ca="1">IF(AND(Tabela4[[#This Row],[TIPO]]&gt;1,PARAMETROS!$C$17="RDC"),SUMIF($F6:G$95,#REF!,$AB31:AC$158),AA28*AB28)</f>
        <v>0</v>
      </c>
      <c r="AD28" s="206" t="e">
        <f ca="1">IF(AND(Tabela4[[#This Row],[TIPO]]&gt;1,PARAMETROS!$C$17="RDC"),SUMIF($F6:G$95,#REF!,$AC31:AD$158),(#REF!-AB28)*AA28)</f>
        <v>#REF!</v>
      </c>
      <c r="AE28" s="207">
        <f t="shared" ca="1" si="5"/>
        <v>0</v>
      </c>
    </row>
    <row r="29" spans="2:31" hidden="1" x14ac:dyDescent="0.3">
      <c r="B29" s="28">
        <f t="shared" si="0"/>
        <v>0</v>
      </c>
      <c r="C29" s="43" t="str">
        <f t="shared" si="1"/>
        <v>...</v>
      </c>
      <c r="D29" t="s">
        <v>634</v>
      </c>
      <c r="E29">
        <f>IFERROR(VLOOKUP(D29,Tabela1[[SERVICO]:[ETAPA/SERVICO]],4),"")</f>
        <v>2</v>
      </c>
      <c r="F29" t="str">
        <f>IFERROR(VLOOKUP(Tabela4[[#This Row],[Codigo]],Tabela1[[SERVICO]:[ETAPA/SERVICO]],3),0)</f>
        <v>02.05 Calçamento</v>
      </c>
      <c r="G29" t="str">
        <f>IFERROR(VLOOKUP(D29,Tabela1[[SERVICO]:[NOME SERVIÇO]],2,0),"")</f>
        <v>02.05 Calçamento</v>
      </c>
      <c r="H29" s="157">
        <f>SUMIF(Resumo_Agrupamento!$B$4:$B$1000,Tabela4[[#This Row],[Codigo]],Resumo_Agrupamento!$C$4:$C$1000)</f>
        <v>0</v>
      </c>
      <c r="I29" s="158">
        <f ca="1">IF(AND(E29&gt;1,PARAMETROS!$C$17="RDC"),0,IFERROR(INDIRECT("CPU_"&amp;LEFT(SUBSTITUTE(SUBSTITUTE(G29," ",""),"-",""),20)&amp;"!k3"),0))</f>
        <v>0</v>
      </c>
      <c r="J29" s="158">
        <f>IF(AND(E29&gt;1,PARAMETROS!$C$17="RDC"),0,SUMIF(Resumo_Agrupamento!$B$4:$B$1000,D29,Resumo_Agrupamento!$D$4:$D$1000))</f>
        <v>0</v>
      </c>
      <c r="K29" s="157">
        <f ca="1">IF(AND(E29&gt;1,PARAMETROS!$C$17="RDC"),SUMIF(F30:$F$34,F29,K30:$K$34),H29*I29)</f>
        <v>0</v>
      </c>
      <c r="L29" s="157">
        <f>IF(AND(E29&gt;1,PARAMETROS!$C$17="RDC"),SUMIF(F30:$F$34,F29,L30:$L$34),SUMIF(Resumo_Agrupamento!$B$4:$B$1000,D29,Resumo_Agrupamento!$E$4:$E$1000))</f>
        <v>0</v>
      </c>
      <c r="M29" s="159">
        <f ca="1">L29-K29-L29*PARAMETROS!$C$19</f>
        <v>0</v>
      </c>
      <c r="N29" s="63">
        <f t="shared" ca="1" si="4"/>
        <v>0</v>
      </c>
      <c r="O29" s="208"/>
      <c r="P29" s="238" t="str">
        <f ca="1">IF(Tabela4[[#This Row],[TIPO]]&gt;1,"",IFERROR(INDIRECT("CPU_"&amp;LEFT(SUBSTITUTE(SUBSTITUTE($G29," ",""),"-",""),20)&amp;"!b6"),""))</f>
        <v/>
      </c>
      <c r="Q29" s="28" t="str">
        <f ca="1">IF(Tabela4[[#This Row],[TIPO]]&gt;1,"",IFERROR(INDIRECT("CPU_"&amp;LEFT(SUBSTITUTE(SUBSTITUTE($G29," ",""),"-",""),20)&amp;"!j3"),""))</f>
        <v/>
      </c>
      <c r="R29" s="238" t="str">
        <f ca="1">IF(Tabela4[[#This Row],[TIPO]]&gt;1,"",IFERROR(INDIRECT("CPU_"&amp;LEFT(SUBSTITUTE(SUBSTITUTE($G29," ",""),"-",""),20)&amp;"!g7"),""))</f>
        <v/>
      </c>
      <c r="Z29" s="208"/>
      <c r="AA29" s="206">
        <f>SUMPRODUCT(Plan_Orc[Acum. 2023]*Tabela2[K]*(Tabela2[AGRUPADOR]=Tabela4[[#This Row],[Codigo]]))</f>
        <v>0</v>
      </c>
      <c r="AB29" s="210">
        <f ca="1">IF(AND(Tabela4[[#This Row],[TIPO]]&gt;1,PARAMETROS!$C$17="RDC"),0,IFERROR(INDIRECT(LEFT(SUBSTITUTE(SUBSTITUTE(#REF!," ",""),"-",""),20)&amp;"!ae3"),0))</f>
        <v>0</v>
      </c>
      <c r="AC29" s="206">
        <f ca="1">IF(AND(Tabela4[[#This Row],[TIPO]]&gt;1,PARAMETROS!$C$17="RDC"),SUMIF($F6:G$95,#REF!,$AB32:AC$158),AA29*AB29)</f>
        <v>0</v>
      </c>
      <c r="AD29" s="206" t="e">
        <f ca="1">IF(AND(Tabela4[[#This Row],[TIPO]]&gt;1,PARAMETROS!$C$17="RDC"),SUMIF($F6:G$95,#REF!,$AC32:AD$158),(#REF!-AB29)*AA29)</f>
        <v>#REF!</v>
      </c>
      <c r="AE29" s="207">
        <f t="shared" ca="1" si="5"/>
        <v>0</v>
      </c>
    </row>
    <row r="30" spans="2:31" hidden="1" x14ac:dyDescent="0.3">
      <c r="B30" s="28">
        <f t="shared" si="0"/>
        <v>0</v>
      </c>
      <c r="C30" s="43" t="str">
        <f t="shared" si="1"/>
        <v>...</v>
      </c>
      <c r="D30" t="s">
        <v>635</v>
      </c>
      <c r="E30">
        <f>IFERROR(VLOOKUP(D30,Tabela1[[SERVICO]:[ETAPA/SERVICO]],4),"")</f>
        <v>1</v>
      </c>
      <c r="F30" t="str">
        <f>IFERROR(VLOOKUP(Tabela4[[#This Row],[Codigo]],Tabela1[[SERVICO]:[ETAPA/SERVICO]],3),0)</f>
        <v>02.05 Calçamento</v>
      </c>
      <c r="G30" t="str">
        <f>IFERROR(VLOOKUP(D30,Tabela1[[SERVICO]:[NOME SERVIÇO]],2,0),"")</f>
        <v>Execução de calçada em concreto</v>
      </c>
      <c r="H30" s="157">
        <f>SUMIF(Resumo_Agrupamento!$B$4:$B$1000,Tabela4[[#This Row],[Codigo]],Resumo_Agrupamento!$C$4:$C$1000)</f>
        <v>0</v>
      </c>
      <c r="I30" s="158">
        <f ca="1">IF(AND(E30&gt;1,PARAMETROS!$C$17="RDC"),0,IFERROR(INDIRECT("CPU_"&amp;LEFT(SUBSTITUTE(SUBSTITUTE(G30," ",""),"-",""),20)&amp;"!k3"),0))</f>
        <v>0</v>
      </c>
      <c r="J30" s="158">
        <f>IF(AND(E30&gt;1,PARAMETROS!$C$17="RDC"),0,SUMIF(Resumo_Agrupamento!$B$4:$B$1000,D30,Resumo_Agrupamento!$D$4:$D$1000))</f>
        <v>0</v>
      </c>
      <c r="K30" s="157">
        <f ca="1">IF(AND(E30&gt;1,PARAMETROS!$C$17="RDC"),SUMIF(F31:$F$34,F30,K31:$K$34),H30*I30)</f>
        <v>0</v>
      </c>
      <c r="L30" s="157">
        <f>IF(AND(E30&gt;1,PARAMETROS!$C$17="RDC"),SUMIF(F31:$F$34,F30,L31:$L$34),SUMIF(Resumo_Agrupamento!$B$4:$B$1000,D30,Resumo_Agrupamento!$E$4:$E$1000))</f>
        <v>0</v>
      </c>
      <c r="M30" s="159">
        <f ca="1">L30-K30-L30*PARAMETROS!$C$19</f>
        <v>0</v>
      </c>
      <c r="N30" s="63">
        <f t="shared" ca="1" si="4"/>
        <v>0</v>
      </c>
      <c r="O30" s="208"/>
      <c r="P30" s="238" t="str">
        <f ca="1">IF(Tabela4[[#This Row],[TIPO]]&gt;1,"",IFERROR(INDIRECT("CPU_"&amp;LEFT(SUBSTITUTE(SUBSTITUTE($G30," ",""),"-",""),20)&amp;"!b6"),""))</f>
        <v/>
      </c>
      <c r="Q30" s="28" t="str">
        <f ca="1">IF(Tabela4[[#This Row],[TIPO]]&gt;1,"",IFERROR(INDIRECT("CPU_"&amp;LEFT(SUBSTITUTE(SUBSTITUTE($G30," ",""),"-",""),20)&amp;"!j3"),""))</f>
        <v/>
      </c>
      <c r="R30" s="238" t="str">
        <f ca="1">IF(Tabela4[[#This Row],[TIPO]]&gt;1,"",IFERROR(INDIRECT("CPU_"&amp;LEFT(SUBSTITUTE(SUBSTITUTE($G30," ",""),"-",""),20)&amp;"!g7"),""))</f>
        <v/>
      </c>
      <c r="Z30" s="208"/>
      <c r="AA30" s="206">
        <f>SUMPRODUCT(Plan_Orc[Acum. 2023]*Tabela2[K]*(Tabela2[AGRUPADOR]=Tabela4[[#This Row],[Codigo]]))</f>
        <v>0</v>
      </c>
      <c r="AB30" s="210">
        <f ca="1">IF(AND(Tabela4[[#This Row],[TIPO]]&gt;1,PARAMETROS!$C$17="RDC"),0,IFERROR(INDIRECT(LEFT(SUBSTITUTE(SUBSTITUTE(#REF!," ",""),"-",""),20)&amp;"!ae3"),0))</f>
        <v>0</v>
      </c>
      <c r="AC30" s="206">
        <f ca="1">IF(AND(Tabela4[[#This Row],[TIPO]]&gt;1,PARAMETROS!$C$17="RDC"),SUMIF($F7:G$95,#REF!,$AB34:AC$158),AA30*AB30)</f>
        <v>0</v>
      </c>
      <c r="AD30" s="206" t="e">
        <f ca="1">IF(AND(Tabela4[[#This Row],[TIPO]]&gt;1,PARAMETROS!$C$17="RDC"),SUMIF($F7:G$95,#REF!,$AC34:AD$158),(#REF!-AB30)*AA30)</f>
        <v>#REF!</v>
      </c>
      <c r="AE30" s="207">
        <f t="shared" ca="1" si="5"/>
        <v>0</v>
      </c>
    </row>
    <row r="31" spans="2:31" hidden="1" x14ac:dyDescent="0.3">
      <c r="B31" s="28">
        <f t="shared" si="0"/>
        <v>0</v>
      </c>
      <c r="C31" s="43" t="str">
        <f t="shared" si="1"/>
        <v>...</v>
      </c>
      <c r="D31" t="s">
        <v>636</v>
      </c>
      <c r="E31">
        <f>IFERROR(VLOOKUP(D31,Tabela1[[SERVICO]:[ETAPA/SERVICO]],4),"")</f>
        <v>1</v>
      </c>
      <c r="F31" t="str">
        <f>IFERROR(VLOOKUP(Tabela4[[#This Row],[Codigo]],Tabela1[[SERVICO]:[ETAPA/SERVICO]],3),0)</f>
        <v>02.05 Calçamento</v>
      </c>
      <c r="G31" t="str">
        <f>IFERROR(VLOOKUP(D31,Tabela1[[SERVICO]:[NOME SERVIÇO]],2,0),"")</f>
        <v>Piso Tátil</v>
      </c>
      <c r="H31" s="157">
        <f>SUMIF(Resumo_Agrupamento!$B$4:$B$1000,Tabela4[[#This Row],[Codigo]],Resumo_Agrupamento!$C$4:$C$1000)</f>
        <v>0</v>
      </c>
      <c r="I31" s="158">
        <f ca="1">IF(AND(E31&gt;1,PARAMETROS!$C$17="RDC"),0,IFERROR(INDIRECT("CPU_"&amp;LEFT(SUBSTITUTE(SUBSTITUTE(G31," ",""),"-",""),20)&amp;"!k3"),0))</f>
        <v>0</v>
      </c>
      <c r="J31" s="158">
        <f>IF(AND(E31&gt;1,PARAMETROS!$C$17="RDC"),0,SUMIF(Resumo_Agrupamento!$B$4:$B$1000,D31,Resumo_Agrupamento!$D$4:$D$1000))</f>
        <v>0</v>
      </c>
      <c r="K31" s="157">
        <f ca="1">IF(AND(E31&gt;1,PARAMETROS!$C$17="RDC"),SUMIF(F32:$F$34,F31,K32:$K$34),H31*I31)</f>
        <v>0</v>
      </c>
      <c r="L31" s="157">
        <f>IF(AND(E31&gt;1,PARAMETROS!$C$17="RDC"),SUMIF(F32:$F$34,F31,L32:$L$34),SUMIF(Resumo_Agrupamento!$B$4:$B$1000,D31,Resumo_Agrupamento!$E$4:$E$1000))</f>
        <v>0</v>
      </c>
      <c r="M31" s="159">
        <f ca="1">L31-K31-L31*PARAMETROS!$C$19</f>
        <v>0</v>
      </c>
      <c r="N31" s="63">
        <f t="shared" ca="1" si="4"/>
        <v>0</v>
      </c>
      <c r="O31" s="208"/>
      <c r="P31" s="238" t="str">
        <f ca="1">IF(Tabela4[[#This Row],[TIPO]]&gt;1,"",IFERROR(INDIRECT("CPU_"&amp;LEFT(SUBSTITUTE(SUBSTITUTE($G31," ",""),"-",""),20)&amp;"!b6"),""))</f>
        <v/>
      </c>
      <c r="Q31" s="28" t="str">
        <f ca="1">IF(Tabela4[[#This Row],[TIPO]]&gt;1,"",IFERROR(INDIRECT("CPU_"&amp;LEFT(SUBSTITUTE(SUBSTITUTE($G31," ",""),"-",""),20)&amp;"!j3"),""))</f>
        <v/>
      </c>
      <c r="R31" s="238" t="str">
        <f ca="1">IF(Tabela4[[#This Row],[TIPO]]&gt;1,"",IFERROR(INDIRECT("CPU_"&amp;LEFT(SUBSTITUTE(SUBSTITUTE($G31," ",""),"-",""),20)&amp;"!g7"),""))</f>
        <v/>
      </c>
      <c r="Z31" s="208"/>
      <c r="AA31" s="206">
        <f>SUMPRODUCT(Plan_Orc[Acum. 2023]*Tabela2[K]*(Tabela2[AGRUPADOR]=Tabela4[[#This Row],[Codigo]]))</f>
        <v>0</v>
      </c>
      <c r="AB31" s="210">
        <f ca="1">IF(AND(Tabela4[[#This Row],[TIPO]]&gt;1,PARAMETROS!$C$17="RDC"),0,IFERROR(INDIRECT(LEFT(SUBSTITUTE(SUBSTITUTE(#REF!," ",""),"-",""),20)&amp;"!ae3"),0))</f>
        <v>0</v>
      </c>
      <c r="AC31" s="206">
        <f ca="1">IF(AND(Tabela4[[#This Row],[TIPO]]&gt;1,PARAMETROS!$C$17="RDC"),SUMIF($F8:G$95,#REF!,$AB35:AC$158),AA31*AB31)</f>
        <v>0</v>
      </c>
      <c r="AD31" s="206" t="e">
        <f ca="1">IF(AND(Tabela4[[#This Row],[TIPO]]&gt;1,PARAMETROS!$C$17="RDC"),SUMIF($F8:G$95,#REF!,$AC35:AD$158),(#REF!-AB31)*AA31)</f>
        <v>#REF!</v>
      </c>
      <c r="AE31" s="207">
        <f t="shared" ca="1" si="5"/>
        <v>0</v>
      </c>
    </row>
    <row r="32" spans="2:31" hidden="1" x14ac:dyDescent="0.3">
      <c r="B32" s="28">
        <f t="shared" si="0"/>
        <v>0</v>
      </c>
      <c r="C32" s="43" t="str">
        <f t="shared" si="1"/>
        <v>...</v>
      </c>
      <c r="D32" t="s">
        <v>637</v>
      </c>
      <c r="E32">
        <f>IFERROR(VLOOKUP(D32,Tabela1[[SERVICO]:[ETAPA/SERVICO]],4),"")</f>
        <v>1</v>
      </c>
      <c r="F32" t="str">
        <f>IFERROR(VLOOKUP(Tabela4[[#This Row],[Codigo]],Tabela1[[SERVICO]:[ETAPA/SERVICO]],3),0)</f>
        <v>02.05 Calçamento</v>
      </c>
      <c r="G32" t="str">
        <f>IFERROR(VLOOKUP(D32,Tabela1[[SERVICO]:[NOME SERVIÇO]],2,0),"")</f>
        <v>Corte e demolição de calçada</v>
      </c>
      <c r="H32" s="157">
        <f>SUMIF(Resumo_Agrupamento!$B$4:$B$1000,Tabela4[[#This Row],[Codigo]],Resumo_Agrupamento!$C$4:$C$1000)</f>
        <v>0</v>
      </c>
      <c r="I32" s="158">
        <f ca="1">IF(AND(E32&gt;1,PARAMETROS!$C$17="RDC"),0,IFERROR(INDIRECT("CPU_"&amp;LEFT(SUBSTITUTE(SUBSTITUTE(G32," ",""),"-",""),20)&amp;"!k3"),0))</f>
        <v>0</v>
      </c>
      <c r="J32" s="158">
        <f>IF(AND(E32&gt;1,PARAMETROS!$C$17="RDC"),0,SUMIF(Resumo_Agrupamento!$B$4:$B$1000,D32,Resumo_Agrupamento!$D$4:$D$1000))</f>
        <v>0</v>
      </c>
      <c r="K32" s="157">
        <f ca="1">IF(AND(E32&gt;1,PARAMETROS!$C$17="RDC"),SUMIF(F33:$F$34,F32,K33:$K$34),H32*I32)</f>
        <v>0</v>
      </c>
      <c r="L32" s="157">
        <f>IF(AND(E32&gt;1,PARAMETROS!$C$17="RDC"),SUMIF(F33:$F$34,F32,L33:$L$34),SUMIF(Resumo_Agrupamento!$B$4:$B$1000,D32,Resumo_Agrupamento!$E$4:$E$1000))</f>
        <v>0</v>
      </c>
      <c r="M32" s="159">
        <f ca="1">L32-K32-L32*PARAMETROS!$C$19</f>
        <v>0</v>
      </c>
      <c r="N32" s="63">
        <f t="shared" ca="1" si="4"/>
        <v>0</v>
      </c>
      <c r="O32" s="208"/>
      <c r="P32" s="238" t="str">
        <f ca="1">IF(Tabela4[[#This Row],[TIPO]]&gt;1,"",IFERROR(INDIRECT("CPU_"&amp;LEFT(SUBSTITUTE(SUBSTITUTE($G32," ",""),"-",""),20)&amp;"!b6"),""))</f>
        <v/>
      </c>
      <c r="Q32" s="28" t="str">
        <f ca="1">IF(Tabela4[[#This Row],[TIPO]]&gt;1,"",IFERROR(INDIRECT("CPU_"&amp;LEFT(SUBSTITUTE(SUBSTITUTE($G32," ",""),"-",""),20)&amp;"!j3"),""))</f>
        <v/>
      </c>
      <c r="R32" s="238" t="str">
        <f ca="1">IF(Tabela4[[#This Row],[TIPO]]&gt;1,"",IFERROR(INDIRECT("CPU_"&amp;LEFT(SUBSTITUTE(SUBSTITUTE($G32," ",""),"-",""),20)&amp;"!g7"),""))</f>
        <v/>
      </c>
      <c r="Z32" s="208"/>
      <c r="AA32" s="206">
        <f>SUMPRODUCT(Plan_Orc[Acum. 2023]*Tabela2[K]*(Tabela2[AGRUPADOR]=Tabela4[[#This Row],[Codigo]]))</f>
        <v>0</v>
      </c>
      <c r="AB32" s="210">
        <f ca="1">IF(AND(Tabela4[[#This Row],[TIPO]]&gt;1,PARAMETROS!$C$17="RDC"),0,IFERROR(INDIRECT(LEFT(SUBSTITUTE(SUBSTITUTE(H6," ",""),"-",""),20)&amp;"!ae3"),0))</f>
        <v>0</v>
      </c>
      <c r="AC32" s="206">
        <f ca="1">IF(AND(Tabela4[[#This Row],[TIPO]]&gt;1,PARAMETROS!$C$17="RDC"),SUMIF($F9:G$95,G6,$AB36:AC$158),AA32*AB32)</f>
        <v>0</v>
      </c>
      <c r="AD32" s="206">
        <f ca="1">IF(AND(Tabela4[[#This Row],[TIPO]]&gt;1,PARAMETROS!$C$17="RDC"),SUMIF($F9:G$95,G6,$AC36:AD$158),(J6-AB32)*AA32)</f>
        <v>0</v>
      </c>
      <c r="AE32" s="207">
        <f t="shared" ca="1" si="5"/>
        <v>0</v>
      </c>
    </row>
    <row r="33" spans="2:31" hidden="1" x14ac:dyDescent="0.3">
      <c r="B33" s="28">
        <f t="shared" ref="B33:B35" si="6">IF(F33&lt;&gt;0,0,0)</f>
        <v>0</v>
      </c>
      <c r="C33" s="43" t="str">
        <f t="shared" si="1"/>
        <v>...</v>
      </c>
      <c r="D33" t="s">
        <v>638</v>
      </c>
      <c r="E33">
        <f>IFERROR(VLOOKUP(Tabela4[[#This Row],[Codigo]],Tabela1[[SERVICO]:[ETAPA/SERVICO]],4),0)</f>
        <v>1</v>
      </c>
      <c r="F33" t="str">
        <f>IFERROR(VLOOKUP(Tabela4[[#This Row],[Codigo]],Tabela1[[SERVICO]:[ETAPA/SERVICO]],3),0)</f>
        <v>02.05 Calçamento</v>
      </c>
      <c r="G33" t="str">
        <f>IFERROR(VLOOKUP(D33,Tabela1[[SERVICO]:[NOME SERVIÇO]],2,0),"")</f>
        <v>Diversos CAL</v>
      </c>
      <c r="H33" s="226">
        <f>SUMIF(Resumo_Agrupamento!$B$4:$B$1000,Tabela4[[#This Row],[Codigo]],Resumo_Agrupamento!$C$4:$C$1000)</f>
        <v>0</v>
      </c>
      <c r="I33" s="29">
        <f ca="1">IF(AND(E33&gt;1,PARAMETROS!$C$17="RDC"),0,IFERROR(INDIRECT("CPU_"&amp;LEFT(SUBSTITUTE(SUBSTITUTE(G33," ",""),"-",""),20)&amp;"!k3"),0))</f>
        <v>0</v>
      </c>
      <c r="J33" s="29">
        <f>IF(AND(E33&gt;1,PARAMETROS!$C$17="RDC"),0,SUMIF(Resumo_Agrupamento!$B$4:$B$1000,D33,Resumo_Agrupamento!$D$4:$D$1000))</f>
        <v>0</v>
      </c>
      <c r="K33" s="226">
        <f ca="1">IF(AND(E33&gt;1,PARAMETROS!$C$17="RDC"),SUMIF(F34:$F$34,F33,K34:$K$34),H33*I33)</f>
        <v>0</v>
      </c>
      <c r="L33" s="226">
        <f>IF(AND(E33&gt;1,PARAMETROS!$C$17="RDC"),SUMIF(F34:$F$34,F33,L34:$L$34),SUMIF(Resumo_Agrupamento!$B$4:$B$1000,D33,Resumo_Agrupamento!$E$4:$E$1000))</f>
        <v>0</v>
      </c>
      <c r="M33" s="317">
        <f ca="1">L33-K33-L33*PARAMETROS!$C$19</f>
        <v>0</v>
      </c>
      <c r="N33" s="63">
        <f t="shared" ca="1" si="4"/>
        <v>0</v>
      </c>
      <c r="O33" s="208"/>
      <c r="P33" s="238" t="str">
        <f ca="1">IF(Tabela4[[#This Row],[TIPO]]&gt;1,"",IFERROR(INDIRECT("CPU_"&amp;LEFT(SUBSTITUTE(SUBSTITUTE($G33," ",""),"-",""),20)&amp;"!b6"),""))</f>
        <v/>
      </c>
      <c r="Q33" s="28" t="str">
        <f ca="1">IF(Tabela4[[#This Row],[TIPO]]&gt;1,"",IFERROR(INDIRECT("CPU_"&amp;LEFT(SUBSTITUTE(SUBSTITUTE($G33," ",""),"-",""),20)&amp;"!j3"),""))</f>
        <v/>
      </c>
      <c r="R33" s="238" t="str">
        <f ca="1">IF(Tabela4[[#This Row],[TIPO]]&gt;1,"",IFERROR(INDIRECT("CPU_"&amp;LEFT(SUBSTITUTE(SUBSTITUTE($G33," ",""),"-",""),20)&amp;"!g7"),""))</f>
        <v/>
      </c>
      <c r="Z33" s="208"/>
      <c r="AA33" s="206"/>
      <c r="AB33" s="210"/>
      <c r="AC33" s="206"/>
      <c r="AD33" s="206"/>
      <c r="AE33" s="207"/>
    </row>
    <row r="34" spans="2:31" hidden="1" x14ac:dyDescent="0.3">
      <c r="B34" s="28">
        <f t="shared" si="6"/>
        <v>0</v>
      </c>
      <c r="C34" s="43" t="str">
        <f t="shared" si="1"/>
        <v>...</v>
      </c>
      <c r="D34" t="s">
        <v>639</v>
      </c>
      <c r="F34" t="str">
        <f>IFERROR(VLOOKUP(Tabela4[[#This Row],[Codigo]],Tabela1[[SERVICO]:[ETAPA/SERVICO]],3),0)</f>
        <v>02.06 Obras Complementares</v>
      </c>
      <c r="G34" t="str">
        <f>IFERROR(VLOOKUP(D34,Tabela1[[SERVICO]:[NOME SERVIÇO]],2,0),"")</f>
        <v>02.06 Obras Complementares</v>
      </c>
      <c r="H34" s="226">
        <f>SUMIF(Resumo_Agrupamento!$B$4:$B$1000,Tabela4[[#This Row],[Codigo]],Resumo_Agrupamento!$C$4:$C$1000)</f>
        <v>0</v>
      </c>
      <c r="I34" s="29">
        <f ca="1">IF(AND(E34&gt;1,PARAMETROS!$C$17="RDC"),0,IFERROR(INDIRECT("CPU_"&amp;LEFT(SUBSTITUTE(SUBSTITUTE(G34," ",""),"-",""),20)&amp;"!k3"),0))</f>
        <v>0</v>
      </c>
      <c r="J34" s="29">
        <f>IF(AND(E34&gt;1,PARAMETROS!$C$17="RDC"),0,SUMIF(Resumo_Agrupamento!$B$4:$B$1000,D34,Resumo_Agrupamento!$D$4:$D$1000))</f>
        <v>0</v>
      </c>
      <c r="K34" s="226">
        <f ca="1">IF(AND(E34&gt;1,PARAMETROS!$C$17="RDC"),SUMIF(F$34:$F35,F34,K$34:$K35),H34*I34)</f>
        <v>0</v>
      </c>
      <c r="L34" s="226">
        <f>IF(AND(E34&gt;1,PARAMETROS!$C$17="RDC"),SUMIF(F$34:$F35,F34,L$34:$L35),SUMIF(Resumo_Agrupamento!$B$4:$B$1000,D34,Resumo_Agrupamento!$E$4:$E$1000))</f>
        <v>0</v>
      </c>
      <c r="M34" s="317">
        <f ca="1">L34-K34-L34*PARAMETROS!$C$19</f>
        <v>0</v>
      </c>
      <c r="N34" s="63">
        <f t="shared" ca="1" si="4"/>
        <v>0</v>
      </c>
      <c r="O34" s="208"/>
      <c r="P34" s="238" t="str">
        <f ca="1">IF(Tabela4[[#This Row],[TIPO]]&gt;1,"",IFERROR(INDIRECT("CPU_"&amp;LEFT(SUBSTITUTE(SUBSTITUTE($G34," ",""),"-",""),20)&amp;"!b6"),""))</f>
        <v/>
      </c>
      <c r="Q34" s="28" t="str">
        <f ca="1">IF(Tabela4[[#This Row],[TIPO]]&gt;1,"",IFERROR(INDIRECT("CPU_"&amp;LEFT(SUBSTITUTE(SUBSTITUTE($G34," ",""),"-",""),20)&amp;"!j3"),""))</f>
        <v/>
      </c>
      <c r="R34" s="238" t="str">
        <f ca="1">IF(Tabela4[[#This Row],[TIPO]]&gt;1,"",IFERROR(INDIRECT("CPU_"&amp;LEFT(SUBSTITUTE(SUBSTITUTE($G34," ",""),"-",""),20)&amp;"!g7"),""))</f>
        <v/>
      </c>
      <c r="Z34" s="208"/>
      <c r="AA34" s="206">
        <f>SUMPRODUCT(Plan_Orc[Acum. 2023]*Tabela2[K]*(Tabela2[AGRUPADOR]=Tabela4[[#This Row],[Codigo]]))</f>
        <v>0</v>
      </c>
      <c r="AB34" s="210">
        <f ca="1">IF(AND(Tabela4[[#This Row],[TIPO]]&gt;1,PARAMETROS!$C$17="RDC"),0,IFERROR(INDIRECT(LEFT(SUBSTITUTE(SUBSTITUTE(H7," ",""),"-",""),20)&amp;"!ae3"),0))</f>
        <v>0</v>
      </c>
      <c r="AC34" s="206">
        <f ca="1">IF(AND(Tabela4[[#This Row],[TIPO]]&gt;1,PARAMETROS!$C$17="RDC"),SUMIF($F10:G$95,G7,$AB37:AC$158),AA34*AB34)</f>
        <v>0</v>
      </c>
      <c r="AD34" s="206">
        <f ca="1">IF(AND(Tabela4[[#This Row],[TIPO]]&gt;1,PARAMETROS!$C$17="RDC"),SUMIF($F10:G$95,G7,$AC37:AD$158),(J7-AB34)*AA34)</f>
        <v>0</v>
      </c>
      <c r="AE34" s="207">
        <f t="shared" ca="1" si="5"/>
        <v>0</v>
      </c>
    </row>
    <row r="35" spans="2:31" hidden="1" x14ac:dyDescent="0.3">
      <c r="B35" s="28">
        <f t="shared" si="6"/>
        <v>0</v>
      </c>
      <c r="C35" s="43" t="str">
        <f t="shared" si="1"/>
        <v>...</v>
      </c>
      <c r="D35" t="s">
        <v>640</v>
      </c>
      <c r="E35">
        <f>IFERROR(VLOOKUP(Tabela4[[#This Row],[Codigo]],Tabela1[[SERVICO]:[ETAPA/SERVICO]],4),0)</f>
        <v>1</v>
      </c>
      <c r="F35" t="str">
        <f>IFERROR(VLOOKUP(Tabela4[[#This Row],[Codigo]],Tabela1[[SERVICO]:[ETAPA/SERVICO]],3),0)</f>
        <v>02.06 Obras Complementares</v>
      </c>
      <c r="G35" t="str">
        <f>IFERROR(VLOOKUP(D35,Tabela1[[SERVICO]:[NOME SERVIÇO]],2,0),"")</f>
        <v>Gabião</v>
      </c>
      <c r="H35" s="226">
        <f>SUMIF(Resumo_Agrupamento!$B$4:$B$1000,Tabela4[[#This Row],[Codigo]],Resumo_Agrupamento!$C$4:$C$1000)</f>
        <v>0</v>
      </c>
      <c r="I35" s="29">
        <f ca="1">IF(AND(E35&gt;1,PARAMETROS!$C$17="RDC"),0,IFERROR(INDIRECT("CPU_"&amp;LEFT(SUBSTITUTE(SUBSTITUTE(G35," ",""),"-",""),20)&amp;"!k3"),0))</f>
        <v>0</v>
      </c>
      <c r="J35" s="29">
        <f>IF(AND(E35&gt;1,PARAMETROS!$C$17="RDC"),0,SUMIF(Resumo_Agrupamento!$B$4:$B$1000,D35,Resumo_Agrupamento!$D$4:$D$1000))</f>
        <v>0</v>
      </c>
      <c r="K35" s="226">
        <f ca="1">IF(AND(E35&gt;1,PARAMETROS!$C$17="RDC"),SUMIF(F$34:$F36,F35,K$34:$K36),H35*I35)</f>
        <v>0</v>
      </c>
      <c r="L35" s="226">
        <f>IF(AND(E35&gt;1,PARAMETROS!$C$17="RDC"),SUMIF(F$34:$F36,F35,L$34:$L36),SUMIF(Resumo_Agrupamento!$B$4:$B$1000,D35,Resumo_Agrupamento!$E$4:$E$1000))</f>
        <v>0</v>
      </c>
      <c r="M35" s="317">
        <f ca="1">L35-K35-L35*PARAMETROS!$C$19</f>
        <v>0</v>
      </c>
      <c r="N35" s="63">
        <f t="shared" ca="1" si="4"/>
        <v>0</v>
      </c>
      <c r="O35" s="208"/>
      <c r="P35" s="238" t="str">
        <f ca="1">IF(Tabela4[[#This Row],[TIPO]]&gt;1,"",IFERROR(INDIRECT("CPU_"&amp;LEFT(SUBSTITUTE(SUBSTITUTE($G35," ",""),"-",""),20)&amp;"!b6"),""))</f>
        <v/>
      </c>
      <c r="Q35" s="28" t="str">
        <f ca="1">IF(Tabela4[[#This Row],[TIPO]]&gt;1,"",IFERROR(INDIRECT("CPU_"&amp;LEFT(SUBSTITUTE(SUBSTITUTE($G35," ",""),"-",""),20)&amp;"!j3"),""))</f>
        <v/>
      </c>
      <c r="R35" s="238" t="str">
        <f ca="1">IF(Tabela4[[#This Row],[TIPO]]&gt;1,"",IFERROR(INDIRECT("CPU_"&amp;LEFT(SUBSTITUTE(SUBSTITUTE($G35," ",""),"-",""),20)&amp;"!g7"),""))</f>
        <v/>
      </c>
      <c r="Z35" s="208"/>
      <c r="AA35" s="206">
        <f>SUMPRODUCT(Plan_Orc[Acum. 2023]*Tabela2[K]*(Tabela2[AGRUPADOR]=Tabela4[[#This Row],[Codigo]]))</f>
        <v>0</v>
      </c>
      <c r="AB35" s="210">
        <f ca="1">IF(AND(Tabela4[[#This Row],[TIPO]]&gt;1,PARAMETROS!$C$17="RDC"),0,IFERROR(INDIRECT(LEFT(SUBSTITUTE(SUBSTITUTE(H8," ",""),"-",""),20)&amp;"!ae3"),0))</f>
        <v>0</v>
      </c>
      <c r="AC35" s="206">
        <f ca="1">IF(AND(Tabela4[[#This Row],[TIPO]]&gt;1,PARAMETROS!$C$17="RDC"),SUMIF($F11:G$95,G8,$AB38:AC$158),AA35*AB35)</f>
        <v>0</v>
      </c>
      <c r="AD35" s="206">
        <f ca="1">IF(AND(Tabela4[[#This Row],[TIPO]]&gt;1,PARAMETROS!$C$17="RDC"),SUMIF($F11:G$95,G8,$AC38:AD$158),(J8-AB35)*AA35)</f>
        <v>0</v>
      </c>
      <c r="AE35" s="207">
        <f t="shared" ca="1" si="5"/>
        <v>0</v>
      </c>
    </row>
    <row r="36" spans="2:31" x14ac:dyDescent="0.3">
      <c r="B36" s="28">
        <f>IF(Tabela4[[#This Row],[ETAPA]]&lt;&gt;0,0,0)</f>
        <v>0</v>
      </c>
      <c r="C36" s="318" t="str">
        <f t="shared" si="1"/>
        <v>...</v>
      </c>
      <c r="D36" t="s">
        <v>57</v>
      </c>
      <c r="E36">
        <f>IFERROR(VLOOKUP(Tabela4[[#This Row],[Codigo]],Tabela1[[SERVICO]:[ETAPA/SERVICO]],4),0)</f>
        <v>1</v>
      </c>
      <c r="F36" t="str">
        <f>IFERROR(VLOOKUP(Tabela4[[#This Row],[Codigo]],Tabela1[[SERVICO]:[ETAPA/SERVICO]],3),0)</f>
        <v>02.06 Obras Complementares</v>
      </c>
      <c r="G36" t="str">
        <f>IFERROR(VLOOKUP(D36,Tabela1[[SERVICO]:[NOME SERVIÇO]],2,0),"")</f>
        <v>Cerca</v>
      </c>
      <c r="H36" s="226">
        <f>SUMIF(Resumo_Agrupamento!$B$4:$B$1000,Tabela4[[#This Row],[Codigo]],Resumo_Agrupamento!$C$4:$C$1000)</f>
        <v>31875</v>
      </c>
      <c r="I36" s="29">
        <f ca="1">IF(AND(E36&gt;1,PARAMETROS!$C$17="RDC"),0,IFERROR(INDIRECT("CPU_"&amp;LEFT(SUBSTITUTE(SUBSTITUTE(G36," ",""),"-",""),20)&amp;"!k3"),0))</f>
        <v>26.683593874561996</v>
      </c>
      <c r="J36" s="29">
        <f>IF(AND(E36&gt;1,PARAMETROS!$C$17="RDC"),0,SUMIF(Resumo_Agrupamento!$B$4:$B$1000,D36,Resumo_Agrupamento!$D$4:$D$1000))</f>
        <v>52.627694999999996</v>
      </c>
      <c r="K36" s="226">
        <f ca="1">IF(AND(E36&gt;1,PARAMETROS!$C$17="RDC"),SUMIF(F$34:$F37,F36,K$34:$K37),H36*I36)</f>
        <v>850539.55475166359</v>
      </c>
      <c r="L36" s="226">
        <f>IF(AND(E36&gt;1,PARAMETROS!$C$17="RDC"),SUMIF(F$34:$F37,F36,L$34:$L37),SUMIF(Resumo_Agrupamento!$B$4:$B$1000,D36,Resumo_Agrupamento!$E$4:$E$1000))</f>
        <v>1677507.778125</v>
      </c>
      <c r="M36" s="317">
        <f ca="1">L36-K36-L36*PARAMETROS!$C$19</f>
        <v>574000.05043208634</v>
      </c>
      <c r="N36" s="63">
        <f t="shared" ca="1" si="4"/>
        <v>0.34217430042182168</v>
      </c>
      <c r="O36" s="208"/>
      <c r="P36" s="238">
        <f ca="1">IF(Tabela4[[#This Row],[TIPO]]&gt;1,"",IFERROR(INDIRECT("CPU_"&amp;LEFT(SUBSTITUTE(SUBSTITUTE($G36," ",""),"-",""),20)&amp;"!b6"),""))</f>
        <v>200</v>
      </c>
      <c r="Q36" s="28" t="str">
        <f ca="1">IF(Tabela4[[#This Row],[TIPO]]&gt;1,"",IFERROR(INDIRECT("CPU_"&amp;LEFT(SUBSTITUTE(SUBSTITUTE($G36," ",""),"-",""),20)&amp;"!j3"),""))</f>
        <v>M</v>
      </c>
      <c r="R36" s="238">
        <f ca="1">IF(Tabela4[[#This Row],[TIPO]]&gt;1,"",IFERROR(INDIRECT("CPU_"&amp;LEFT(SUBSTITUTE(SUBSTITUTE($G36," ",""),"-",""),20)&amp;"!g7"),""))</f>
        <v>159.375</v>
      </c>
      <c r="S36" s="28"/>
      <c r="T36" s="28"/>
      <c r="Z36" s="208"/>
      <c r="AA36" s="206">
        <f>SUMPRODUCT(Plan_Orc[Acum. 2023]*Tabela2[K]*(Tabela2[AGRUPADOR]=Tabela4[[#This Row],[Codigo]]))</f>
        <v>0</v>
      </c>
      <c r="AB36" s="210">
        <f ca="1">IF(AND(Tabela4[[#This Row],[TIPO]]&gt;1,PARAMETROS!$C$17="RDC"),0,IFERROR(INDIRECT(LEFT(SUBSTITUTE(SUBSTITUTE(H9," ",""),"-",""),20)&amp;"!ae3"),0))</f>
        <v>0</v>
      </c>
      <c r="AC36" s="206">
        <f ca="1">IF(AND(Tabela4[[#This Row],[TIPO]]&gt;1,PARAMETROS!$C$17="RDC"),SUMIF($F12:G$95,G9,$AB39:AC$158),AA36*AB36)</f>
        <v>0</v>
      </c>
      <c r="AD36" s="206">
        <f ca="1">IF(AND(Tabela4[[#This Row],[TIPO]]&gt;1,PARAMETROS!$C$17="RDC"),SUMIF($F12:G$95,G9,$AC39:AD$158),(J9-AB36)*AA36)</f>
        <v>0</v>
      </c>
      <c r="AE36" s="207">
        <f t="shared" ca="1" si="5"/>
        <v>0</v>
      </c>
    </row>
    <row r="37" spans="2:31" x14ac:dyDescent="0.3">
      <c r="B37" s="28">
        <f>IF(Tabela4[[#This Row],[ETAPA]]&lt;&gt;0,0,0)</f>
        <v>0</v>
      </c>
      <c r="C37" s="318" t="str">
        <f t="shared" si="1"/>
        <v>...</v>
      </c>
      <c r="D37" t="s">
        <v>61</v>
      </c>
      <c r="E37">
        <f>IFERROR(VLOOKUP(Tabela4[[#This Row],[Codigo]],Tabela1[[SERVICO]:[ETAPA/SERVICO]],4),0)</f>
        <v>1</v>
      </c>
      <c r="F37" t="str">
        <f>IFERROR(VLOOKUP(Tabela4[[#This Row],[Codigo]],Tabela1[[SERVICO]:[ETAPA/SERVICO]],3),0)</f>
        <v>02.06 Obras Complementares</v>
      </c>
      <c r="G37" t="str">
        <f>IFERROR(VLOOKUP(D37,Tabela1[[SERVICO]:[NOME SERVIÇO]],2,0),"")</f>
        <v>Recomposição cerca</v>
      </c>
      <c r="H37" s="226">
        <f>SUMIF(Resumo_Agrupamento!$B$4:$B$1000,Tabela4[[#This Row],[Codigo]],Resumo_Agrupamento!$C$4:$C$1000)</f>
        <v>55500</v>
      </c>
      <c r="I37" s="29">
        <f ca="1">IF(AND(E37&gt;1,PARAMETROS!$C$17="RDC"),0,IFERROR(INDIRECT("CPU_"&amp;LEFT(SUBSTITUTE(SUBSTITUTE(G37," ",""),"-",""),20)&amp;"!k3"),0))</f>
        <v>24.369125199299198</v>
      </c>
      <c r="J37" s="29">
        <f>IF(AND(E37&gt;1,PARAMETROS!$C$17="RDC"),0,SUMIF(Resumo_Agrupamento!$B$4:$B$1000,D37,Resumo_Agrupamento!$D$4:$D$1000))</f>
        <v>42.373075</v>
      </c>
      <c r="K37" s="226">
        <f ca="1">IF(AND(E37&gt;1,PARAMETROS!$C$17="RDC"),SUMIF(F$34:$F38,F37,K$34:$K38),H37*I37)</f>
        <v>1352486.4485611054</v>
      </c>
      <c r="L37" s="226">
        <f>IF(AND(E37&gt;1,PARAMETROS!$C$17="RDC"),SUMIF(F$34:$F38,F37,L$34:$L38),SUMIF(Resumo_Agrupamento!$B$4:$B$1000,D37,Resumo_Agrupamento!$E$4:$E$1000))</f>
        <v>2351705.6625000001</v>
      </c>
      <c r="M37" s="317">
        <f ca="1">L37-K37-L37*PARAMETROS!$C$19</f>
        <v>644582.00003389455</v>
      </c>
      <c r="N37" s="63">
        <f t="shared" ca="1" si="4"/>
        <v>0.27409127354341883</v>
      </c>
      <c r="O37" s="208"/>
      <c r="P37" s="238">
        <f ca="1">IF(Tabela4[[#This Row],[TIPO]]&gt;1,"",IFERROR(INDIRECT("CPU_"&amp;LEFT(SUBSTITUTE(SUBSTITUTE($G37," ",""),"-",""),20)&amp;"!b6"),""))</f>
        <v>125</v>
      </c>
      <c r="Q37" s="28" t="str">
        <f ca="1">IF(Tabela4[[#This Row],[TIPO]]&gt;1,"",IFERROR(INDIRECT("CPU_"&amp;LEFT(SUBSTITUTE(SUBSTITUTE($G37," ",""),"-",""),20)&amp;"!j3"),""))</f>
        <v>M</v>
      </c>
      <c r="R37" s="238">
        <f ca="1">IF(Tabela4[[#This Row],[TIPO]]&gt;1,"",IFERROR(INDIRECT("CPU_"&amp;LEFT(SUBSTITUTE(SUBSTITUTE($G37," ",""),"-",""),20)&amp;"!g7"),""))</f>
        <v>444</v>
      </c>
      <c r="S37" s="28"/>
      <c r="T37" s="28"/>
      <c r="Z37" s="208"/>
      <c r="AA37" s="206">
        <f>SUMPRODUCT(Plan_Orc[Acum. 2023]*Tabela2[K]*(Tabela2[AGRUPADOR]=Tabela4[[#This Row],[Codigo]]))</f>
        <v>0</v>
      </c>
      <c r="AB37" s="210">
        <f ca="1">IF(AND(Tabela4[[#This Row],[TIPO]]&gt;1,PARAMETROS!$C$17="RDC"),0,IFERROR(INDIRECT(LEFT(SUBSTITUTE(SUBSTITUTE(H10," ",""),"-",""),20)&amp;"!ae3"),0))</f>
        <v>0</v>
      </c>
      <c r="AC37" s="206">
        <f ca="1">IF(AND(Tabela4[[#This Row],[TIPO]]&gt;1,PARAMETROS!$C$17="RDC"),SUMIF($F13:G$95,G10,$AB40:AC$158),AA37*AB37)</f>
        <v>0</v>
      </c>
      <c r="AD37" s="206">
        <f ca="1">IF(AND(Tabela4[[#This Row],[TIPO]]&gt;1,PARAMETROS!$C$17="RDC"),SUMIF($F13:G$95,G10,$AC40:AD$158),(J10-AB37)*AA37)</f>
        <v>0</v>
      </c>
      <c r="AE37" s="207">
        <f t="shared" ca="1" si="5"/>
        <v>0</v>
      </c>
    </row>
    <row r="38" spans="2:31" hidden="1" x14ac:dyDescent="0.3">
      <c r="B38" s="28">
        <f>IF(Tabela4[[#This Row],[ETAPA]]&lt;&gt;0,0,0)</f>
        <v>0</v>
      </c>
      <c r="C38" s="318" t="str">
        <f t="shared" si="1"/>
        <v>...</v>
      </c>
      <c r="D38" t="s">
        <v>641</v>
      </c>
      <c r="E38">
        <f>IFERROR(VLOOKUP(Tabela4[[#This Row],[Codigo]],Tabela1[[SERVICO]:[ETAPA/SERVICO]],4),0)</f>
        <v>1</v>
      </c>
      <c r="F38" t="str">
        <f>IFERROR(VLOOKUP(Tabela4[[#This Row],[Codigo]],Tabela1[[SERVICO]:[ETAPA/SERVICO]],3),0)</f>
        <v>02.06 Obras Complementares</v>
      </c>
      <c r="G38" t="str">
        <f>IFERROR(VLOOKUP(D38,Tabela1[[SERVICO]:[NOME SERVIÇO]],2,0),"")</f>
        <v>Revestimento Vegetal</v>
      </c>
      <c r="H38" s="226">
        <f>SUMIF(Resumo_Agrupamento!$B$4:$B$1000,Tabela4[[#This Row],[Codigo]],Resumo_Agrupamento!$C$4:$C$1000)</f>
        <v>0</v>
      </c>
      <c r="I38" s="29">
        <f ca="1">IF(AND(E38&gt;1,PARAMETROS!$C$17="RDC"),0,IFERROR(INDIRECT("CPU_"&amp;LEFT(SUBSTITUTE(SUBSTITUTE(G38," ",""),"-",""),20)&amp;"!k3"),0))</f>
        <v>0</v>
      </c>
      <c r="J38" s="29">
        <f>IF(AND(E38&gt;1,PARAMETROS!$C$17="RDC"),0,SUMIF(Resumo_Agrupamento!$B$4:$B$1000,D38,Resumo_Agrupamento!$D$4:$D$1000))</f>
        <v>0</v>
      </c>
      <c r="K38" s="226">
        <f ca="1">IF(AND(E38&gt;1,PARAMETROS!$C$17="RDC"),SUMIF(F$34:$F39,F38,K$34:$K39),H38*I38)</f>
        <v>0</v>
      </c>
      <c r="L38" s="226">
        <f>IF(AND(E38&gt;1,PARAMETROS!$C$17="RDC"),SUMIF(F$34:$F39,F38,L$34:$L39),SUMIF(Resumo_Agrupamento!$B$4:$B$1000,D38,Resumo_Agrupamento!$E$4:$E$1000))</f>
        <v>0</v>
      </c>
      <c r="M38" s="317">
        <f ca="1">L38-K38-L38*PARAMETROS!$C$19</f>
        <v>0</v>
      </c>
      <c r="N38" s="63">
        <f t="shared" ca="1" si="4"/>
        <v>0</v>
      </c>
      <c r="O38" s="208"/>
      <c r="P38" s="238" t="str">
        <f ca="1">IF(Tabela4[[#This Row],[TIPO]]&gt;1,"",IFERROR(INDIRECT("CPU_"&amp;LEFT(SUBSTITUTE(SUBSTITUTE($G38," ",""),"-",""),20)&amp;"!b6"),""))</f>
        <v/>
      </c>
      <c r="Q38" s="28" t="str">
        <f ca="1">IF(Tabela4[[#This Row],[TIPO]]&gt;1,"",IFERROR(INDIRECT("CPU_"&amp;LEFT(SUBSTITUTE(SUBSTITUTE($G38," ",""),"-",""),20)&amp;"!j3"),""))</f>
        <v/>
      </c>
      <c r="R38" s="238" t="str">
        <f ca="1">IF(Tabela4[[#This Row],[TIPO]]&gt;1,"",IFERROR(INDIRECT("CPU_"&amp;LEFT(SUBSTITUTE(SUBSTITUTE($G38," ",""),"-",""),20)&amp;"!g7"),""))</f>
        <v/>
      </c>
      <c r="S38" s="28"/>
      <c r="T38" s="28"/>
      <c r="Z38" s="208"/>
      <c r="AA38" s="206">
        <f>SUMPRODUCT(Plan_Orc[Acum. 2023]*Tabela2[K]*(Tabela2[AGRUPADOR]=Tabela4[[#This Row],[Codigo]]))</f>
        <v>0</v>
      </c>
      <c r="AB38" s="210">
        <f ca="1">IF(AND(Tabela4[[#This Row],[TIPO]]&gt;1,PARAMETROS!$C$17="RDC"),0,IFERROR(INDIRECT(LEFT(SUBSTITUTE(SUBSTITUTE(H11," ",""),"-",""),20)&amp;"!ae3"),0))</f>
        <v>0</v>
      </c>
      <c r="AC38" s="206">
        <f ca="1">IF(AND(Tabela4[[#This Row],[TIPO]]&gt;1,PARAMETROS!$C$17="RDC"),SUMIF($F14:G$95,G11,$AB41:AC$158),AA38*AB38)</f>
        <v>0</v>
      </c>
      <c r="AD38" s="206">
        <f ca="1">IF(AND(Tabela4[[#This Row],[TIPO]]&gt;1,PARAMETROS!$C$17="RDC"),SUMIF($F14:G$95,G11,$AC41:AD$158),(J11-AB38)*AA38)</f>
        <v>0</v>
      </c>
      <c r="AE38" s="207">
        <f t="shared" ca="1" si="5"/>
        <v>0</v>
      </c>
    </row>
    <row r="39" spans="2:31" hidden="1" x14ac:dyDescent="0.3">
      <c r="B39" s="28">
        <f>IF(Tabela4[[#This Row],[ETAPA]]&lt;&gt;0,0,0)</f>
        <v>0</v>
      </c>
      <c r="C39" s="318" t="str">
        <f t="shared" si="1"/>
        <v>...</v>
      </c>
      <c r="D39" t="s">
        <v>642</v>
      </c>
      <c r="E39">
        <f>IFERROR(VLOOKUP(Tabela4[[#This Row],[Codigo]],Tabela1[[SERVICO]:[ETAPA/SERVICO]],4),0)</f>
        <v>1</v>
      </c>
      <c r="F39" t="str">
        <f>IFERROR(VLOOKUP(Tabela4[[#This Row],[Codigo]],Tabela1[[SERVICO]:[ETAPA/SERVICO]],3),0)</f>
        <v>02.06 Obras Complementares</v>
      </c>
      <c r="G39" t="str">
        <f>IFERROR(VLOOKUP(D39,Tabela1[[SERVICO]:[NOME SERVIÇO]],2,0),"")</f>
        <v>Conserva</v>
      </c>
      <c r="H39" s="226">
        <f>SUMIF(Resumo_Agrupamento!$B$4:$B$1000,Tabela4[[#This Row],[Codigo]],Resumo_Agrupamento!$C$4:$C$1000)</f>
        <v>0</v>
      </c>
      <c r="I39" s="29">
        <f ca="1">IF(AND(E39&gt;1,PARAMETROS!$C$17="RDC"),0,IFERROR(INDIRECT("CPU_"&amp;LEFT(SUBSTITUTE(SUBSTITUTE(G39," ",""),"-",""),20)&amp;"!k3"),0))</f>
        <v>2259.7864996593344</v>
      </c>
      <c r="J39" s="29">
        <f>IF(AND(E39&gt;1,PARAMETROS!$C$17="RDC"),0,SUMIF(Resumo_Agrupamento!$B$4:$B$1000,D39,Resumo_Agrupamento!$D$4:$D$1000))</f>
        <v>0</v>
      </c>
      <c r="K39" s="226">
        <f ca="1">IF(AND(E39&gt;1,PARAMETROS!$C$17="RDC"),SUMIF(F$34:$F40,F39,K$34:$K40),H39*I39)</f>
        <v>0</v>
      </c>
      <c r="L39" s="226">
        <f>IF(AND(E39&gt;1,PARAMETROS!$C$17="RDC"),SUMIF(F$34:$F40,F39,L$34:$L40),SUMIF(Resumo_Agrupamento!$B$4:$B$1000,D39,Resumo_Agrupamento!$E$4:$E$1000))</f>
        <v>0</v>
      </c>
      <c r="M39" s="317">
        <f ca="1">L39-K39-L39*PARAMETROS!$C$19</f>
        <v>0</v>
      </c>
      <c r="N39" s="63">
        <f t="shared" ca="1" si="4"/>
        <v>0</v>
      </c>
      <c r="O39" s="208"/>
      <c r="P39" s="238">
        <f ca="1">IF(Tabela4[[#This Row],[TIPO]]&gt;1,"",IFERROR(INDIRECT("CPU_"&amp;LEFT(SUBSTITUTE(SUBSTITUTE($G39," ",""),"-",""),20)&amp;"!b6"),""))</f>
        <v>3</v>
      </c>
      <c r="Q39" s="28" t="str">
        <f ca="1">IF(Tabela4[[#This Row],[TIPO]]&gt;1,"",IFERROR(INDIRECT("CPU_"&amp;LEFT(SUBSTITUTE(SUBSTITUTE($G39," ",""),"-",""),20)&amp;"!j3"),""))</f>
        <v>HÁ</v>
      </c>
      <c r="R39" s="238">
        <f ca="1">IF(Tabela4[[#This Row],[TIPO]]&gt;1,"",IFERROR(INDIRECT("CPU_"&amp;LEFT(SUBSTITUTE(SUBSTITUTE($G39," ",""),"-",""),20)&amp;"!g7"),""))</f>
        <v>0</v>
      </c>
      <c r="S39" s="28"/>
      <c r="T39" s="28"/>
      <c r="Z39" s="208"/>
      <c r="AA39" s="206">
        <f>SUMPRODUCT(Plan_Orc[Acum. 2023]*Tabela2[K]*(Tabela2[AGRUPADOR]=Tabela4[[#This Row],[Codigo]]))</f>
        <v>0</v>
      </c>
      <c r="AB39" s="210">
        <f ca="1">IF(AND(Tabela4[[#This Row],[TIPO]]&gt;1,PARAMETROS!$C$17="RDC"),0,IFERROR(INDIRECT(LEFT(SUBSTITUTE(SUBSTITUTE(H12," ",""),"-",""),20)&amp;"!ae3"),0))</f>
        <v>0</v>
      </c>
      <c r="AC39" s="206">
        <f ca="1">IF(AND(Tabela4[[#This Row],[TIPO]]&gt;1,PARAMETROS!$C$17="RDC"),SUMIF($F15:G$95,G12,$AB42:AC$158),AA39*AB39)</f>
        <v>0</v>
      </c>
      <c r="AD39" s="206">
        <f ca="1">IF(AND(Tabela4[[#This Row],[TIPO]]&gt;1,PARAMETROS!$C$17="RDC"),SUMIF($F15:G$95,G12,$AC42:AD$158),(J12-AB39)*AA39)</f>
        <v>0</v>
      </c>
      <c r="AE39" s="207">
        <f t="shared" ca="1" si="5"/>
        <v>0</v>
      </c>
    </row>
    <row r="40" spans="2:31" hidden="1" x14ac:dyDescent="0.3">
      <c r="B40" s="28">
        <f>IF(Tabela4[[#This Row],[ETAPA]]&lt;&gt;0,0,0)</f>
        <v>0</v>
      </c>
      <c r="C40" s="318" t="str">
        <f t="shared" si="1"/>
        <v>...</v>
      </c>
      <c r="D40" t="s">
        <v>643</v>
      </c>
      <c r="E40">
        <f>IFERROR(VLOOKUP(Tabela4[[#This Row],[Codigo]],Tabela1[[SERVICO]:[ETAPA/SERVICO]],4),0)</f>
        <v>2</v>
      </c>
      <c r="F40" t="str">
        <f>IFERROR(VLOOKUP(Tabela4[[#This Row],[Codigo]],Tabela1[[SERVICO]:[ETAPA/SERVICO]],3),0)</f>
        <v>02.09 Drenagem</v>
      </c>
      <c r="G40" t="str">
        <f>IFERROR(VLOOKUP(D40,Tabela1[[SERVICO]:[NOME SERVIÇO]],2,0),"")</f>
        <v>02.09 Drenagem</v>
      </c>
      <c r="H40" s="226">
        <f>SUMIF(Resumo_Agrupamento!$B$4:$B$1000,Tabela4[[#This Row],[Codigo]],Resumo_Agrupamento!$C$4:$C$1000)</f>
        <v>0</v>
      </c>
      <c r="I40" s="29">
        <f ca="1">IF(AND(E40&gt;1,PARAMETROS!$C$17="RDC"),0,IFERROR(INDIRECT("CPU_"&amp;LEFT(SUBSTITUTE(SUBSTITUTE(G40," ",""),"-",""),20)&amp;"!k3"),0))</f>
        <v>0</v>
      </c>
      <c r="J40" s="29">
        <f>IF(AND(E40&gt;1,PARAMETROS!$C$17="RDC"),0,SUMIF(Resumo_Agrupamento!$B$4:$B$1000,D40,Resumo_Agrupamento!$D$4:$D$1000))</f>
        <v>0</v>
      </c>
      <c r="K40" s="226">
        <f ca="1">IF(AND(E40&gt;1,PARAMETROS!$C$17="RDC"),SUMIF(F$34:$F41,F40,K$34:$K41),H40*I40)</f>
        <v>0</v>
      </c>
      <c r="L40" s="226">
        <f>IF(AND(E40&gt;1,PARAMETROS!$C$17="RDC"),SUMIF(F$34:$F41,F40,L$34:$L41),SUMIF(Resumo_Agrupamento!$B$4:$B$1000,D40,Resumo_Agrupamento!$E$4:$E$1000))</f>
        <v>0</v>
      </c>
      <c r="M40" s="317">
        <f ca="1">L40-K40-L40*PARAMETROS!$C$19</f>
        <v>0</v>
      </c>
      <c r="N40" s="63">
        <f t="shared" ca="1" si="4"/>
        <v>0</v>
      </c>
      <c r="O40" s="208"/>
      <c r="P40" s="238" t="str">
        <f ca="1">IF(Tabela4[[#This Row],[TIPO]]&gt;1,"",IFERROR(INDIRECT("CPU_"&amp;LEFT(SUBSTITUTE(SUBSTITUTE($G40," ",""),"-",""),20)&amp;"!b6"),""))</f>
        <v/>
      </c>
      <c r="Q40" s="28" t="str">
        <f ca="1">IF(Tabela4[[#This Row],[TIPO]]&gt;1,"",IFERROR(INDIRECT("CPU_"&amp;LEFT(SUBSTITUTE(SUBSTITUTE($G40," ",""),"-",""),20)&amp;"!j3"),""))</f>
        <v/>
      </c>
      <c r="R40" s="238" t="str">
        <f ca="1">IF(Tabela4[[#This Row],[TIPO]]&gt;1,"",IFERROR(INDIRECT("CPU_"&amp;LEFT(SUBSTITUTE(SUBSTITUTE($G40," ",""),"-",""),20)&amp;"!g7"),""))</f>
        <v/>
      </c>
      <c r="S40" s="28"/>
      <c r="T40" s="28"/>
      <c r="Z40" s="208"/>
      <c r="AA40" s="206">
        <f>SUMPRODUCT(Plan_Orc[Acum. 2023]*Tabela2[K]*(Tabela2[AGRUPADOR]=Tabela4[[#This Row],[Codigo]]))</f>
        <v>0</v>
      </c>
      <c r="AB40" s="210">
        <f ca="1">IF(AND(Tabela4[[#This Row],[TIPO]]&gt;1,PARAMETROS!$C$17="RDC"),0,IFERROR(INDIRECT(LEFT(SUBSTITUTE(SUBSTITUTE(H13," ",""),"-",""),20)&amp;"!ae3"),0))</f>
        <v>0</v>
      </c>
      <c r="AC40" s="206">
        <f ca="1">IF(AND(Tabela4[[#This Row],[TIPO]]&gt;1,PARAMETROS!$C$17="RDC"),SUMIF($F16:G$95,G13,$AB43:AC$158),AA40*AB40)</f>
        <v>0</v>
      </c>
      <c r="AD40" s="206">
        <f ca="1">IF(AND(Tabela4[[#This Row],[TIPO]]&gt;1,PARAMETROS!$C$17="RDC"),SUMIF($F16:G$95,G13,$AC43:AD$158),(J13-AB40)*AA40)</f>
        <v>0</v>
      </c>
      <c r="AE40" s="207">
        <f t="shared" ca="1" si="5"/>
        <v>0</v>
      </c>
    </row>
    <row r="41" spans="2:31" hidden="1" x14ac:dyDescent="0.3">
      <c r="B41" s="28">
        <f>IF(Tabela4[[#This Row],[ETAPA]]&lt;&gt;0,0,0)</f>
        <v>0</v>
      </c>
      <c r="C41" s="318" t="str">
        <f t="shared" si="1"/>
        <v>...</v>
      </c>
      <c r="D41" t="s">
        <v>644</v>
      </c>
      <c r="E41">
        <f>IFERROR(VLOOKUP(Tabela4[[#This Row],[Codigo]],Tabela1[[SERVICO]:[ETAPA/SERVICO]],4),0)</f>
        <v>1</v>
      </c>
      <c r="F41" t="str">
        <f>IFERROR(VLOOKUP(Tabela4[[#This Row],[Codigo]],Tabela1[[SERVICO]:[ETAPA/SERVICO]],3),0)</f>
        <v>02.09 Drenagem</v>
      </c>
      <c r="G41" t="str">
        <f>IFERROR(VLOOKUP(D41,Tabela1[[SERVICO]:[NOME SERVIÇO]],2,0),"")</f>
        <v>Dreno Profundo</v>
      </c>
      <c r="H41" s="226">
        <f>SUMIF(Resumo_Agrupamento!$B$4:$B$1000,Tabela4[[#This Row],[Codigo]],Resumo_Agrupamento!$C$4:$C$1000)</f>
        <v>0</v>
      </c>
      <c r="I41" s="29">
        <f ca="1">IF(AND(E41&gt;1,PARAMETROS!$C$17="RDC"),0,IFERROR(INDIRECT("CPU_"&amp;LEFT(SUBSTITUTE(SUBSTITUTE(G41," ",""),"-",""),20)&amp;"!k3"),0))</f>
        <v>0</v>
      </c>
      <c r="J41" s="29">
        <f>IF(AND(E41&gt;1,PARAMETROS!$C$17="RDC"),0,SUMIF(Resumo_Agrupamento!$B$4:$B$1000,D41,Resumo_Agrupamento!$D$4:$D$1000))</f>
        <v>0</v>
      </c>
      <c r="K41" s="226">
        <f ca="1">IF(AND(E41&gt;1,PARAMETROS!$C$17="RDC"),SUMIF(F$34:$F42,F41,K$34:$K42),H41*I41)</f>
        <v>0</v>
      </c>
      <c r="L41" s="226">
        <f>IF(AND(E41&gt;1,PARAMETROS!$C$17="RDC"),SUMIF(F$34:$F42,F41,L$34:$L42),SUMIF(Resumo_Agrupamento!$B$4:$B$1000,D41,Resumo_Agrupamento!$E$4:$E$1000))</f>
        <v>0</v>
      </c>
      <c r="M41" s="317">
        <f ca="1">L41-K41-L41*PARAMETROS!$C$19</f>
        <v>0</v>
      </c>
      <c r="N41" s="63">
        <f t="shared" ca="1" si="4"/>
        <v>0</v>
      </c>
      <c r="O41" s="208"/>
      <c r="P41" s="238" t="str">
        <f ca="1">IF(Tabela4[[#This Row],[TIPO]]&gt;1,"",IFERROR(INDIRECT("CPU_"&amp;LEFT(SUBSTITUTE(SUBSTITUTE($G41," ",""),"-",""),20)&amp;"!b6"),""))</f>
        <v/>
      </c>
      <c r="Q41" s="28" t="str">
        <f ca="1">IF(Tabela4[[#This Row],[TIPO]]&gt;1,"",IFERROR(INDIRECT("CPU_"&amp;LEFT(SUBSTITUTE(SUBSTITUTE($G41," ",""),"-",""),20)&amp;"!j3"),""))</f>
        <v/>
      </c>
      <c r="R41" s="238" t="str">
        <f ca="1">IF(Tabela4[[#This Row],[TIPO]]&gt;1,"",IFERROR(INDIRECT("CPU_"&amp;LEFT(SUBSTITUTE(SUBSTITUTE($G41," ",""),"-",""),20)&amp;"!g7"),""))</f>
        <v/>
      </c>
      <c r="S41" s="28"/>
      <c r="T41" s="28"/>
      <c r="Z41" s="208"/>
      <c r="AA41" s="206">
        <f>SUMPRODUCT(Plan_Orc[Acum. 2023]*Tabela2[K]*(Tabela2[AGRUPADOR]=Tabela4[[#This Row],[Codigo]]))</f>
        <v>0</v>
      </c>
      <c r="AB41" s="210">
        <f ca="1">IF(AND(Tabela4[[#This Row],[TIPO]]&gt;1,PARAMETROS!$C$17="RDC"),0,IFERROR(INDIRECT(LEFT(SUBSTITUTE(SUBSTITUTE(H14," ",""),"-",""),20)&amp;"!ae3"),0))</f>
        <v>0</v>
      </c>
      <c r="AC41" s="206">
        <f ca="1">IF(AND(Tabela4[[#This Row],[TIPO]]&gt;1,PARAMETROS!$C$17="RDC"),SUMIF($F17:G$95,G14,$AB44:AC$158),AA41*AB41)</f>
        <v>0</v>
      </c>
      <c r="AD41" s="206">
        <f ca="1">IF(AND(Tabela4[[#This Row],[TIPO]]&gt;1,PARAMETROS!$C$17="RDC"),SUMIF($F17:G$95,G14,$AC44:AD$158),(J14-AB41)*AA41)</f>
        <v>0</v>
      </c>
      <c r="AE41" s="207">
        <f t="shared" ca="1" si="5"/>
        <v>0</v>
      </c>
    </row>
    <row r="42" spans="2:31" hidden="1" x14ac:dyDescent="0.3">
      <c r="B42" s="28">
        <f>IF(Tabela4[[#This Row],[ETAPA]]&lt;&gt;0,0,0)</f>
        <v>0</v>
      </c>
      <c r="C42" s="318" t="str">
        <f t="shared" si="1"/>
        <v>...</v>
      </c>
      <c r="D42" t="s">
        <v>645</v>
      </c>
      <c r="E42">
        <f>IFERROR(VLOOKUP(Tabela4[[#This Row],[Codigo]],Tabela1[[SERVICO]:[ETAPA/SERVICO]],4),0)</f>
        <v>1</v>
      </c>
      <c r="F42" t="str">
        <f>IFERROR(VLOOKUP(Tabela4[[#This Row],[Codigo]],Tabela1[[SERVICO]:[ETAPA/SERVICO]],3),0)</f>
        <v>02.09 Drenagem</v>
      </c>
      <c r="G42" t="str">
        <f>IFERROR(VLOOKUP(D42,Tabela1[[SERVICO]:[NOME SERVIÇO]],2,0),"")</f>
        <v>Calha / Sarjeta</v>
      </c>
      <c r="H42" s="226">
        <f>SUMIF(Resumo_Agrupamento!$B$4:$B$1000,Tabela4[[#This Row],[Codigo]],Resumo_Agrupamento!$C$4:$C$1000)</f>
        <v>0</v>
      </c>
      <c r="I42" s="29">
        <f ca="1">IF(AND(E42&gt;1,PARAMETROS!$C$17="RDC"),0,IFERROR(INDIRECT("CPU_"&amp;LEFT(SUBSTITUTE(SUBSTITUTE(G42," ",""),"-",""),20)&amp;"!k3"),0))</f>
        <v>0</v>
      </c>
      <c r="J42" s="29">
        <f>IF(AND(E42&gt;1,PARAMETROS!$C$17="RDC"),0,SUMIF(Resumo_Agrupamento!$B$4:$B$1000,D42,Resumo_Agrupamento!$D$4:$D$1000))</f>
        <v>0</v>
      </c>
      <c r="K42" s="226">
        <f ca="1">IF(AND(E42&gt;1,PARAMETROS!$C$17="RDC"),SUMIF(F$34:$F43,F42,K$34:$K43),H42*I42)</f>
        <v>0</v>
      </c>
      <c r="L42" s="226">
        <f>IF(AND(E42&gt;1,PARAMETROS!$C$17="RDC"),SUMIF(F$34:$F43,F42,L$34:$L43),SUMIF(Resumo_Agrupamento!$B$4:$B$1000,D42,Resumo_Agrupamento!$E$4:$E$1000))</f>
        <v>0</v>
      </c>
      <c r="M42" s="317">
        <f ca="1">L42-K42-L42*PARAMETROS!$C$19</f>
        <v>0</v>
      </c>
      <c r="N42" s="63">
        <f t="shared" ca="1" si="4"/>
        <v>0</v>
      </c>
      <c r="O42" s="208"/>
      <c r="P42" s="238" t="str">
        <f ca="1">IF(Tabela4[[#This Row],[TIPO]]&gt;1,"",IFERROR(INDIRECT("CPU_"&amp;LEFT(SUBSTITUTE(SUBSTITUTE($G42," ",""),"-",""),20)&amp;"!b6"),""))</f>
        <v/>
      </c>
      <c r="Q42" s="28" t="str">
        <f ca="1">IF(Tabela4[[#This Row],[TIPO]]&gt;1,"",IFERROR(INDIRECT("CPU_"&amp;LEFT(SUBSTITUTE(SUBSTITUTE($G42," ",""),"-",""),20)&amp;"!j3"),""))</f>
        <v/>
      </c>
      <c r="R42" s="238" t="str">
        <f ca="1">IF(Tabela4[[#This Row],[TIPO]]&gt;1,"",IFERROR(INDIRECT("CPU_"&amp;LEFT(SUBSTITUTE(SUBSTITUTE($G42," ",""),"-",""),20)&amp;"!g7"),""))</f>
        <v/>
      </c>
      <c r="S42" s="28"/>
      <c r="T42" s="28"/>
      <c r="Z42" s="208"/>
      <c r="AA42" s="206">
        <f>SUMPRODUCT(Plan_Orc[Acum. 2023]*Tabela2[K]*(Tabela2[AGRUPADOR]=Tabela4[[#This Row],[Codigo]]))</f>
        <v>0</v>
      </c>
      <c r="AB42" s="210">
        <f ca="1">IF(AND(Tabela4[[#This Row],[TIPO]]&gt;1,PARAMETROS!$C$17="RDC"),0,IFERROR(INDIRECT(LEFT(SUBSTITUTE(SUBSTITUTE(H15," ",""),"-",""),20)&amp;"!ae3"),0))</f>
        <v>0</v>
      </c>
      <c r="AC42" s="206">
        <f ca="1">IF(AND(Tabela4[[#This Row],[TIPO]]&gt;1,PARAMETROS!$C$17="RDC"),SUMIF($F18:G$95,G15,$AB45:AC$158),AA42*AB42)</f>
        <v>0</v>
      </c>
      <c r="AD42" s="206">
        <f ca="1">IF(AND(Tabela4[[#This Row],[TIPO]]&gt;1,PARAMETROS!$C$17="RDC"),SUMIF($F18:G$95,G15,$AC45:AD$158),(J15-AB42)*AA42)</f>
        <v>0</v>
      </c>
      <c r="AE42" s="207">
        <f t="shared" ca="1" si="5"/>
        <v>0</v>
      </c>
    </row>
    <row r="43" spans="2:31" hidden="1" x14ac:dyDescent="0.3">
      <c r="B43" s="28">
        <f>IF(Tabela4[[#This Row],[ETAPA]]&lt;&gt;0,0,0)</f>
        <v>0</v>
      </c>
      <c r="C43" s="318" t="str">
        <f t="shared" si="1"/>
        <v>...</v>
      </c>
      <c r="D43" t="s">
        <v>646</v>
      </c>
      <c r="E43">
        <f>IFERROR(VLOOKUP(Tabela4[[#This Row],[Codigo]],Tabela1[[SERVICO]:[ETAPA/SERVICO]],4),0)</f>
        <v>1</v>
      </c>
      <c r="F43" t="str">
        <f>IFERROR(VLOOKUP(Tabela4[[#This Row],[Codigo]],Tabela1[[SERVICO]:[ETAPA/SERVICO]],3),0)</f>
        <v>02.09 Drenagem</v>
      </c>
      <c r="G43" t="str">
        <f>IFERROR(VLOOKUP(D43,Tabela1[[SERVICO]:[NOME SERVIÇO]],2,0),"")</f>
        <v>Meio Fio</v>
      </c>
      <c r="H43" s="226">
        <f>SUMIF(Resumo_Agrupamento!$B$4:$B$1000,Tabela4[[#This Row],[Codigo]],Resumo_Agrupamento!$C$4:$C$1000)</f>
        <v>0</v>
      </c>
      <c r="I43" s="29">
        <f ca="1">IF(AND(E43&gt;1,PARAMETROS!$C$17="RDC"),0,IFERROR(INDIRECT("CPU_"&amp;LEFT(SUBSTITUTE(SUBSTITUTE(G43," ",""),"-",""),20)&amp;"!k3"),0))</f>
        <v>0</v>
      </c>
      <c r="J43" s="29">
        <f>IF(AND(E43&gt;1,PARAMETROS!$C$17="RDC"),0,SUMIF(Resumo_Agrupamento!$B$4:$B$1000,D43,Resumo_Agrupamento!$D$4:$D$1000))</f>
        <v>0</v>
      </c>
      <c r="K43" s="226">
        <f ca="1">IF(AND(E43&gt;1,PARAMETROS!$C$17="RDC"),SUMIF(F$34:$F44,F43,K$34:$K44),H43*I43)</f>
        <v>0</v>
      </c>
      <c r="L43" s="226">
        <f>IF(AND(E43&gt;1,PARAMETROS!$C$17="RDC"),SUMIF(F$34:$F44,F43,L$34:$L44),SUMIF(Resumo_Agrupamento!$B$4:$B$1000,D43,Resumo_Agrupamento!$E$4:$E$1000))</f>
        <v>0</v>
      </c>
      <c r="M43" s="317">
        <f ca="1">L43-K43-L43*PARAMETROS!$C$19</f>
        <v>0</v>
      </c>
      <c r="N43" s="63">
        <f t="shared" ca="1" si="4"/>
        <v>0</v>
      </c>
      <c r="O43" s="208"/>
      <c r="P43" s="238" t="str">
        <f ca="1">IF(Tabela4[[#This Row],[TIPO]]&gt;1,"",IFERROR(INDIRECT("CPU_"&amp;LEFT(SUBSTITUTE(SUBSTITUTE($G43," ",""),"-",""),20)&amp;"!b6"),""))</f>
        <v/>
      </c>
      <c r="Q43" s="28" t="str">
        <f ca="1">IF(Tabela4[[#This Row],[TIPO]]&gt;1,"",IFERROR(INDIRECT("CPU_"&amp;LEFT(SUBSTITUTE(SUBSTITUTE($G43," ",""),"-",""),20)&amp;"!j3"),""))</f>
        <v/>
      </c>
      <c r="R43" s="238" t="str">
        <f ca="1">IF(Tabela4[[#This Row],[TIPO]]&gt;1,"",IFERROR(INDIRECT("CPU_"&amp;LEFT(SUBSTITUTE(SUBSTITUTE($G43," ",""),"-",""),20)&amp;"!g7"),""))</f>
        <v/>
      </c>
      <c r="S43" s="28"/>
      <c r="T43" s="28"/>
      <c r="Z43" s="208"/>
      <c r="AA43" s="206">
        <f>SUMPRODUCT(Plan_Orc[Acum. 2023]*Tabela2[K]*(Tabela2[AGRUPADOR]=Tabela4[[#This Row],[Codigo]]))</f>
        <v>0</v>
      </c>
      <c r="AB43" s="210">
        <f ca="1">IF(AND(Tabela4[[#This Row],[TIPO]]&gt;1,PARAMETROS!$C$17="RDC"),0,IFERROR(INDIRECT(LEFT(SUBSTITUTE(SUBSTITUTE(H16," ",""),"-",""),20)&amp;"!ae3"),0))</f>
        <v>0</v>
      </c>
      <c r="AC43" s="206">
        <f ca="1">IF(AND(Tabela4[[#This Row],[TIPO]]&gt;1,PARAMETROS!$C$17="RDC"),SUMIF($F19:G$95,G16,$AB46:AC$158),AA43*AB43)</f>
        <v>0</v>
      </c>
      <c r="AD43" s="206">
        <f ca="1">IF(AND(Tabela4[[#This Row],[TIPO]]&gt;1,PARAMETROS!$C$17="RDC"),SUMIF($F19:G$95,G16,$AC46:AD$158),(J16-AB43)*AA43)</f>
        <v>0</v>
      </c>
      <c r="AE43" s="207">
        <f t="shared" ca="1" si="5"/>
        <v>0</v>
      </c>
    </row>
    <row r="44" spans="2:31" hidden="1" x14ac:dyDescent="0.3">
      <c r="B44" s="28">
        <f>IF(Tabela4[[#This Row],[ETAPA]]&lt;&gt;0,0,0)</f>
        <v>0</v>
      </c>
      <c r="C44" s="318" t="str">
        <f t="shared" si="1"/>
        <v>...</v>
      </c>
      <c r="D44" t="s">
        <v>647</v>
      </c>
      <c r="E44">
        <f>IFERROR(VLOOKUP(Tabela4[[#This Row],[Codigo]],Tabela1[[SERVICO]:[ETAPA/SERVICO]],4),0)</f>
        <v>1</v>
      </c>
      <c r="F44" t="str">
        <f>IFERROR(VLOOKUP(Tabela4[[#This Row],[Codigo]],Tabela1[[SERVICO]:[ETAPA/SERVICO]],3),0)</f>
        <v>02.09 Drenagem</v>
      </c>
      <c r="G44" t="str">
        <f>IFERROR(VLOOKUP(D44,Tabela1[[SERVICO]:[NOME SERVIÇO]],2,0),"")</f>
        <v>Bueiro Tubular</v>
      </c>
      <c r="H44" s="226">
        <f>SUMIF(Resumo_Agrupamento!$B$4:$B$1000,Tabela4[[#This Row],[Codigo]],Resumo_Agrupamento!$C$4:$C$1000)</f>
        <v>0</v>
      </c>
      <c r="I44" s="29">
        <f ca="1">IF(AND(E44&gt;1,PARAMETROS!$C$17="RDC"),0,IFERROR(INDIRECT("CPU_"&amp;LEFT(SUBSTITUTE(SUBSTITUTE(G44," ",""),"-",""),20)&amp;"!k3"),0))</f>
        <v>0</v>
      </c>
      <c r="J44" s="29">
        <f>IF(AND(E44&gt;1,PARAMETROS!$C$17="RDC"),0,SUMIF(Resumo_Agrupamento!$B$4:$B$1000,D44,Resumo_Agrupamento!$D$4:$D$1000))</f>
        <v>0</v>
      </c>
      <c r="K44" s="226">
        <f ca="1">IF(AND(E44&gt;1,PARAMETROS!$C$17="RDC"),SUMIF(F$34:$F45,F44,K$34:$K45),H44*I44)</f>
        <v>0</v>
      </c>
      <c r="L44" s="226">
        <f>IF(AND(E44&gt;1,PARAMETROS!$C$17="RDC"),SUMIF(F$34:$F45,F44,L$34:$L45),SUMIF(Resumo_Agrupamento!$B$4:$B$1000,D44,Resumo_Agrupamento!$E$4:$E$1000))</f>
        <v>0</v>
      </c>
      <c r="M44" s="317">
        <f ca="1">L44-K44-L44*PARAMETROS!$C$19</f>
        <v>0</v>
      </c>
      <c r="N44" s="63">
        <f t="shared" ca="1" si="4"/>
        <v>0</v>
      </c>
      <c r="O44" s="208"/>
      <c r="P44" s="238" t="str">
        <f ca="1">IF(Tabela4[[#This Row],[TIPO]]&gt;1,"",IFERROR(INDIRECT("CPU_"&amp;LEFT(SUBSTITUTE(SUBSTITUTE($G44," ",""),"-",""),20)&amp;"!b6"),""))</f>
        <v/>
      </c>
      <c r="Q44" s="28" t="str">
        <f ca="1">IF(Tabela4[[#This Row],[TIPO]]&gt;1,"",IFERROR(INDIRECT("CPU_"&amp;LEFT(SUBSTITUTE(SUBSTITUTE($G44," ",""),"-",""),20)&amp;"!j3"),""))</f>
        <v/>
      </c>
      <c r="R44" s="238" t="str">
        <f ca="1">IF(Tabela4[[#This Row],[TIPO]]&gt;1,"",IFERROR(INDIRECT("CPU_"&amp;LEFT(SUBSTITUTE(SUBSTITUTE($G44," ",""),"-",""),20)&amp;"!g7"),""))</f>
        <v/>
      </c>
      <c r="S44" s="28"/>
      <c r="T44" s="28"/>
      <c r="Z44" s="208"/>
      <c r="AA44" s="206">
        <f>SUMPRODUCT(Plan_Orc[Acum. 2023]*Tabela2[K]*(Tabela2[AGRUPADOR]=Tabela4[[#This Row],[Codigo]]))</f>
        <v>0</v>
      </c>
      <c r="AB44" s="210">
        <f ca="1">IF(AND(Tabela4[[#This Row],[TIPO]]&gt;1,PARAMETROS!$C$17="RDC"),0,IFERROR(INDIRECT(LEFT(SUBSTITUTE(SUBSTITUTE(H17," ",""),"-",""),20)&amp;"!ae3"),0))</f>
        <v>0</v>
      </c>
      <c r="AC44" s="206">
        <f ca="1">IF(AND(Tabela4[[#This Row],[TIPO]]&gt;1,PARAMETROS!$C$17="RDC"),SUMIF($F20:G$95,G17,$AB47:AC$158),AA44*AB44)</f>
        <v>0</v>
      </c>
      <c r="AD44" s="206">
        <f ca="1">IF(AND(Tabela4[[#This Row],[TIPO]]&gt;1,PARAMETROS!$C$17="RDC"),SUMIF($F20:G$95,G17,$AC47:AD$158),(J17-AB44)*AA44)</f>
        <v>0</v>
      </c>
      <c r="AE44" s="207">
        <f t="shared" ca="1" si="5"/>
        <v>0</v>
      </c>
    </row>
    <row r="45" spans="2:31" hidden="1" x14ac:dyDescent="0.3">
      <c r="B45" s="28">
        <f>IF(Tabela4[[#This Row],[ETAPA]]&lt;&gt;0,0,0)</f>
        <v>0</v>
      </c>
      <c r="C45" s="318" t="str">
        <f t="shared" si="1"/>
        <v>...</v>
      </c>
      <c r="D45" t="s">
        <v>648</v>
      </c>
      <c r="E45">
        <f>IFERROR(VLOOKUP(Tabela4[[#This Row],[Codigo]],Tabela1[[SERVICO]:[ETAPA/SERVICO]],4),0)</f>
        <v>1</v>
      </c>
      <c r="F45" t="str">
        <f>IFERROR(VLOOKUP(Tabela4[[#This Row],[Codigo]],Tabela1[[SERVICO]:[ETAPA/SERVICO]],3),0)</f>
        <v>02.09 Drenagem</v>
      </c>
      <c r="G45" t="str">
        <f>IFERROR(VLOOKUP(D45,Tabela1[[SERVICO]:[NOME SERVIÇO]],2,0),"")</f>
        <v>Bueiro Celular</v>
      </c>
      <c r="H45" s="226">
        <f>SUMIF(Resumo_Agrupamento!$B$4:$B$1000,Tabela4[[#This Row],[Codigo]],Resumo_Agrupamento!$C$4:$C$1000)</f>
        <v>0</v>
      </c>
      <c r="I45" s="29">
        <f ca="1">IF(AND(E45&gt;1,PARAMETROS!$C$17="RDC"),0,IFERROR(INDIRECT("CPU_"&amp;LEFT(SUBSTITUTE(SUBSTITUTE(G45," ",""),"-",""),20)&amp;"!k3"),0))</f>
        <v>0</v>
      </c>
      <c r="J45" s="29">
        <f>IF(AND(E45&gt;1,PARAMETROS!$C$17="RDC"),0,SUMIF(Resumo_Agrupamento!$B$4:$B$1000,D45,Resumo_Agrupamento!$D$4:$D$1000))</f>
        <v>0</v>
      </c>
      <c r="K45" s="226">
        <f ca="1">IF(AND(E45&gt;1,PARAMETROS!$C$17="RDC"),SUMIF(F$34:$F46,F45,K$34:$K46),H45*I45)</f>
        <v>0</v>
      </c>
      <c r="L45" s="226">
        <f>IF(AND(E45&gt;1,PARAMETROS!$C$17="RDC"),SUMIF(F$34:$F46,F45,L$34:$L46),SUMIF(Resumo_Agrupamento!$B$4:$B$1000,D45,Resumo_Agrupamento!$E$4:$E$1000))</f>
        <v>0</v>
      </c>
      <c r="M45" s="317">
        <f ca="1">L45-K45-L45*PARAMETROS!$C$19</f>
        <v>0</v>
      </c>
      <c r="N45" s="63">
        <f t="shared" ca="1" si="4"/>
        <v>0</v>
      </c>
      <c r="O45" s="208"/>
      <c r="P45" s="238" t="str">
        <f ca="1">IF(Tabela4[[#This Row],[TIPO]]&gt;1,"",IFERROR(INDIRECT("CPU_"&amp;LEFT(SUBSTITUTE(SUBSTITUTE($G45," ",""),"-",""),20)&amp;"!b6"),""))</f>
        <v/>
      </c>
      <c r="Q45" s="28" t="str">
        <f ca="1">IF(Tabela4[[#This Row],[TIPO]]&gt;1,"",IFERROR(INDIRECT("CPU_"&amp;LEFT(SUBSTITUTE(SUBSTITUTE($G45," ",""),"-",""),20)&amp;"!j3"),""))</f>
        <v/>
      </c>
      <c r="R45" s="238" t="str">
        <f ca="1">IF(Tabela4[[#This Row],[TIPO]]&gt;1,"",IFERROR(INDIRECT("CPU_"&amp;LEFT(SUBSTITUTE(SUBSTITUTE($G45," ",""),"-",""),20)&amp;"!g7"),""))</f>
        <v/>
      </c>
      <c r="S45" s="28"/>
      <c r="T45" s="28"/>
      <c r="Z45" s="208"/>
      <c r="AA45" s="206">
        <f>SUMPRODUCT(Plan_Orc[Acum. 2023]*Tabela2[K]*(Tabela2[AGRUPADOR]=Tabela4[[#This Row],[Codigo]]))</f>
        <v>0</v>
      </c>
      <c r="AB45" s="210">
        <f ca="1">IF(AND(Tabela4[[#This Row],[TIPO]]&gt;1,PARAMETROS!$C$17="RDC"),0,IFERROR(INDIRECT(LEFT(SUBSTITUTE(SUBSTITUTE(H18," ",""),"-",""),20)&amp;"!ae3"),0))</f>
        <v>0</v>
      </c>
      <c r="AC45" s="206">
        <f ca="1">IF(AND(Tabela4[[#This Row],[TIPO]]&gt;1,PARAMETROS!$C$17="RDC"),SUMIF($F21:G$95,G18,$AB48:AC$158),AA45*AB45)</f>
        <v>0</v>
      </c>
      <c r="AD45" s="206">
        <f ca="1">IF(AND(Tabela4[[#This Row],[TIPO]]&gt;1,PARAMETROS!$C$17="RDC"),SUMIF($F21:G$95,G18,$AC48:AD$158),(J18-AB45)*AA45)</f>
        <v>0</v>
      </c>
      <c r="AE45" s="207">
        <f t="shared" ca="1" si="5"/>
        <v>0</v>
      </c>
    </row>
    <row r="46" spans="2:31" hidden="1" x14ac:dyDescent="0.3">
      <c r="B46" s="28">
        <f>IF(Tabela4[[#This Row],[ETAPA]]&lt;&gt;0,0,0)</f>
        <v>0</v>
      </c>
      <c r="C46" s="318" t="str">
        <f t="shared" si="1"/>
        <v>...</v>
      </c>
      <c r="D46" t="s">
        <v>649</v>
      </c>
      <c r="E46">
        <f>IFERROR(VLOOKUP(Tabela4[[#This Row],[Codigo]],Tabela1[[SERVICO]:[ETAPA/SERVICO]],4),0)</f>
        <v>1</v>
      </c>
      <c r="F46" t="str">
        <f>IFERROR(VLOOKUP(Tabela4[[#This Row],[Codigo]],Tabela1[[SERVICO]:[ETAPA/SERVICO]],3),0)</f>
        <v>02.09 Drenagem</v>
      </c>
      <c r="G46" t="str">
        <f>IFERROR(VLOOKUP(D46,Tabela1[[SERVICO]:[NOME SERVIÇO]],2,0),"")</f>
        <v>Forma DRE</v>
      </c>
      <c r="H46" s="226">
        <f>SUMIF(Resumo_Agrupamento!$B$4:$B$1000,Tabela4[[#This Row],[Codigo]],Resumo_Agrupamento!$C$4:$C$1000)</f>
        <v>0</v>
      </c>
      <c r="I46" s="29">
        <f ca="1">IF(AND(E46&gt;1,PARAMETROS!$C$17="RDC"),0,IFERROR(INDIRECT("CPU_"&amp;LEFT(SUBSTITUTE(SUBSTITUTE(G46," ",""),"-",""),20)&amp;"!k3"),0))</f>
        <v>0</v>
      </c>
      <c r="J46" s="29">
        <f>IF(AND(E46&gt;1,PARAMETROS!$C$17="RDC"),0,SUMIF(Resumo_Agrupamento!$B$4:$B$1000,D46,Resumo_Agrupamento!$D$4:$D$1000))</f>
        <v>0</v>
      </c>
      <c r="K46" s="226">
        <f ca="1">IF(AND(E46&gt;1,PARAMETROS!$C$17="RDC"),SUMIF(F$34:$F47,F46,K$34:$K47),H46*I46)</f>
        <v>0</v>
      </c>
      <c r="L46" s="226">
        <f>IF(AND(E46&gt;1,PARAMETROS!$C$17="RDC"),SUMIF(F$34:$F47,F46,L$34:$L47),SUMIF(Resumo_Agrupamento!$B$4:$B$1000,D46,Resumo_Agrupamento!$E$4:$E$1000))</f>
        <v>0</v>
      </c>
      <c r="M46" s="317">
        <f ca="1">L46-K46-L46*PARAMETROS!$C$19</f>
        <v>0</v>
      </c>
      <c r="N46" s="63">
        <f t="shared" ca="1" si="4"/>
        <v>0</v>
      </c>
      <c r="O46" s="208"/>
      <c r="P46" s="238" t="str">
        <f ca="1">IF(Tabela4[[#This Row],[TIPO]]&gt;1,"",IFERROR(INDIRECT("CPU_"&amp;LEFT(SUBSTITUTE(SUBSTITUTE($G46," ",""),"-",""),20)&amp;"!b6"),""))</f>
        <v/>
      </c>
      <c r="Q46" s="28" t="str">
        <f ca="1">IF(Tabela4[[#This Row],[TIPO]]&gt;1,"",IFERROR(INDIRECT("CPU_"&amp;LEFT(SUBSTITUTE(SUBSTITUTE($G46," ",""),"-",""),20)&amp;"!j3"),""))</f>
        <v/>
      </c>
      <c r="R46" s="238" t="str">
        <f ca="1">IF(Tabela4[[#This Row],[TIPO]]&gt;1,"",IFERROR(INDIRECT("CPU_"&amp;LEFT(SUBSTITUTE(SUBSTITUTE($G46," ",""),"-",""),20)&amp;"!g7"),""))</f>
        <v/>
      </c>
      <c r="S46" s="28"/>
      <c r="T46" s="28"/>
      <c r="Z46" s="208"/>
      <c r="AA46" s="206">
        <f>SUMPRODUCT(Plan_Orc[Acum. 2023]*Tabela2[K]*(Tabela2[AGRUPADOR]=Tabela4[[#This Row],[Codigo]]))</f>
        <v>0</v>
      </c>
      <c r="AB46" s="210">
        <f ca="1">IF(AND(Tabela4[[#This Row],[TIPO]]&gt;1,PARAMETROS!$C$17="RDC"),0,IFERROR(INDIRECT(LEFT(SUBSTITUTE(SUBSTITUTE(H19," ",""),"-",""),20)&amp;"!ae3"),0))</f>
        <v>0</v>
      </c>
      <c r="AC46" s="206">
        <f ca="1">IF(AND(Tabela4[[#This Row],[TIPO]]&gt;1,PARAMETROS!$C$17="RDC"),SUMIF($F22:G$95,G19,$AB49:AC$158),AA46*AB46)</f>
        <v>0</v>
      </c>
      <c r="AD46" s="206">
        <f ca="1">IF(AND(Tabela4[[#This Row],[TIPO]]&gt;1,PARAMETROS!$C$17="RDC"),SUMIF($F22:G$95,G19,$AC49:AD$158),(J19-AB46)*AA46)</f>
        <v>0</v>
      </c>
      <c r="AE46" s="207">
        <f t="shared" ca="1" si="5"/>
        <v>0</v>
      </c>
    </row>
    <row r="47" spans="2:31" hidden="1" x14ac:dyDescent="0.3">
      <c r="B47" s="28">
        <f>IF(Tabela4[[#This Row],[ETAPA]]&lt;&gt;0,0,0)</f>
        <v>0</v>
      </c>
      <c r="C47" s="318" t="str">
        <f t="shared" si="1"/>
        <v>...</v>
      </c>
      <c r="D47" t="s">
        <v>650</v>
      </c>
      <c r="E47">
        <f>IFERROR(VLOOKUP(Tabela4[[#This Row],[Codigo]],Tabela1[[SERVICO]:[ETAPA/SERVICO]],4),0)</f>
        <v>1</v>
      </c>
      <c r="F47" t="str">
        <f>IFERROR(VLOOKUP(Tabela4[[#This Row],[Codigo]],Tabela1[[SERVICO]:[ETAPA/SERVICO]],3),0)</f>
        <v>02.09 Drenagem</v>
      </c>
      <c r="G47" t="str">
        <f>IFERROR(VLOOKUP(D47,Tabela1[[SERVICO]:[NOME SERVIÇO]],2,0),"")</f>
        <v>Aço DRE</v>
      </c>
      <c r="H47" s="226">
        <f>SUMIF(Resumo_Agrupamento!$B$4:$B$1000,Tabela4[[#This Row],[Codigo]],Resumo_Agrupamento!$C$4:$C$1000)</f>
        <v>0</v>
      </c>
      <c r="I47" s="29">
        <f ca="1">IF(AND(E47&gt;1,PARAMETROS!$C$17="RDC"),0,IFERROR(INDIRECT("CPU_"&amp;LEFT(SUBSTITUTE(SUBSTITUTE(G47," ",""),"-",""),20)&amp;"!k3"),0))</f>
        <v>0</v>
      </c>
      <c r="J47" s="29">
        <f>IF(AND(E47&gt;1,PARAMETROS!$C$17="RDC"),0,SUMIF(Resumo_Agrupamento!$B$4:$B$1000,D47,Resumo_Agrupamento!$D$4:$D$1000))</f>
        <v>0</v>
      </c>
      <c r="K47" s="226">
        <f ca="1">IF(AND(E47&gt;1,PARAMETROS!$C$17="RDC"),SUMIF(F$34:$F48,F47,K$34:$K48),H47*I47)</f>
        <v>0</v>
      </c>
      <c r="L47" s="226">
        <f>IF(AND(E47&gt;1,PARAMETROS!$C$17="RDC"),SUMIF(F$34:$F48,F47,L$34:$L48),SUMIF(Resumo_Agrupamento!$B$4:$B$1000,D47,Resumo_Agrupamento!$E$4:$E$1000))</f>
        <v>0</v>
      </c>
      <c r="M47" s="317">
        <f ca="1">L47-K47-L47*PARAMETROS!$C$19</f>
        <v>0</v>
      </c>
      <c r="N47" s="63">
        <f t="shared" ca="1" si="4"/>
        <v>0</v>
      </c>
      <c r="O47" s="208"/>
      <c r="P47" s="238" t="str">
        <f ca="1">IF(Tabela4[[#This Row],[TIPO]]&gt;1,"",IFERROR(INDIRECT("CPU_"&amp;LEFT(SUBSTITUTE(SUBSTITUTE($G47," ",""),"-",""),20)&amp;"!b6"),""))</f>
        <v/>
      </c>
      <c r="Q47" s="28" t="str">
        <f ca="1">IF(Tabela4[[#This Row],[TIPO]]&gt;1,"",IFERROR(INDIRECT("CPU_"&amp;LEFT(SUBSTITUTE(SUBSTITUTE($G47," ",""),"-",""),20)&amp;"!j3"),""))</f>
        <v/>
      </c>
      <c r="R47" s="238" t="str">
        <f ca="1">IF(Tabela4[[#This Row],[TIPO]]&gt;1,"",IFERROR(INDIRECT("CPU_"&amp;LEFT(SUBSTITUTE(SUBSTITUTE($G47," ",""),"-",""),20)&amp;"!g7"),""))</f>
        <v/>
      </c>
      <c r="S47" s="28"/>
      <c r="T47" s="28"/>
      <c r="Z47" s="208"/>
      <c r="AA47" s="206">
        <f>SUMPRODUCT(Plan_Orc[Acum. 2023]*Tabela2[K]*(Tabela2[AGRUPADOR]=Tabela4[[#This Row],[Codigo]]))</f>
        <v>0</v>
      </c>
      <c r="AB47" s="210">
        <f ca="1">IF(AND(Tabela4[[#This Row],[TIPO]]&gt;1,PARAMETROS!$C$17="RDC"),0,IFERROR(INDIRECT(LEFT(SUBSTITUTE(SUBSTITUTE(H20," ",""),"-",""),20)&amp;"!ae3"),0))</f>
        <v>0</v>
      </c>
      <c r="AC47" s="206">
        <f ca="1">IF(AND(Tabela4[[#This Row],[TIPO]]&gt;1,PARAMETROS!$C$17="RDC"),SUMIF($F23:G$95,G20,$AB50:AC$158),AA47*AB47)</f>
        <v>0</v>
      </c>
      <c r="AD47" s="206">
        <f ca="1">IF(AND(Tabela4[[#This Row],[TIPO]]&gt;1,PARAMETROS!$C$17="RDC"),SUMIF($F23:G$95,G20,$AC50:AD$158),(J20-AB47)*AA47)</f>
        <v>0</v>
      </c>
      <c r="AE47" s="207">
        <f t="shared" ca="1" si="5"/>
        <v>0</v>
      </c>
    </row>
    <row r="48" spans="2:31" hidden="1" x14ac:dyDescent="0.3">
      <c r="B48" s="28">
        <f>IF(Tabela4[[#This Row],[ETAPA]]&lt;&gt;0,0,0)</f>
        <v>0</v>
      </c>
      <c r="C48" s="318" t="str">
        <f t="shared" si="1"/>
        <v>...</v>
      </c>
      <c r="D48" t="s">
        <v>651</v>
      </c>
      <c r="E48">
        <f>IFERROR(VLOOKUP(Tabela4[[#This Row],[Codigo]],Tabela1[[SERVICO]:[ETAPA/SERVICO]],4),0)</f>
        <v>1</v>
      </c>
      <c r="F48" t="str">
        <f>IFERROR(VLOOKUP(Tabela4[[#This Row],[Codigo]],Tabela1[[SERVICO]:[ETAPA/SERVICO]],3),0)</f>
        <v>02.09 Drenagem</v>
      </c>
      <c r="G48" t="str">
        <f>IFERROR(VLOOKUP(D48,Tabela1[[SERVICO]:[NOME SERVIÇO]],2,0),"")</f>
        <v>Concreto DRE</v>
      </c>
      <c r="H48" s="226">
        <f>SUMIF(Resumo_Agrupamento!$B$4:$B$1000,Tabela4[[#This Row],[Codigo]],Resumo_Agrupamento!$C$4:$C$1000)</f>
        <v>0</v>
      </c>
      <c r="I48" s="29">
        <f ca="1">IF(AND(E48&gt;1,PARAMETROS!$C$17="RDC"),0,IFERROR(INDIRECT("CPU_"&amp;LEFT(SUBSTITUTE(SUBSTITUTE(G48," ",""),"-",""),20)&amp;"!k3"),0))</f>
        <v>0</v>
      </c>
      <c r="J48" s="29">
        <f>IF(AND(E48&gt;1,PARAMETROS!$C$17="RDC"),0,SUMIF(Resumo_Agrupamento!$B$4:$B$1000,D48,Resumo_Agrupamento!$D$4:$D$1000))</f>
        <v>0</v>
      </c>
      <c r="K48" s="226">
        <f ca="1">IF(AND(E48&gt;1,PARAMETROS!$C$17="RDC"),SUMIF(F$34:$F49,F48,K$34:$K49),H48*I48)</f>
        <v>0</v>
      </c>
      <c r="L48" s="226">
        <f>IF(AND(E48&gt;1,PARAMETROS!$C$17="RDC"),SUMIF(F$34:$F49,F48,L$34:$L49),SUMIF(Resumo_Agrupamento!$B$4:$B$1000,D48,Resumo_Agrupamento!$E$4:$E$1000))</f>
        <v>0</v>
      </c>
      <c r="M48" s="317">
        <f ca="1">L48-K48-L48*PARAMETROS!$C$19</f>
        <v>0</v>
      </c>
      <c r="N48" s="63">
        <f t="shared" ca="1" si="4"/>
        <v>0</v>
      </c>
      <c r="O48" s="208"/>
      <c r="P48" s="238" t="str">
        <f ca="1">IF(Tabela4[[#This Row],[TIPO]]&gt;1,"",IFERROR(INDIRECT("CPU_"&amp;LEFT(SUBSTITUTE(SUBSTITUTE($G48," ",""),"-",""),20)&amp;"!b6"),""))</f>
        <v/>
      </c>
      <c r="Q48" s="28" t="str">
        <f ca="1">IF(Tabela4[[#This Row],[TIPO]]&gt;1,"",IFERROR(INDIRECT("CPU_"&amp;LEFT(SUBSTITUTE(SUBSTITUTE($G48," ",""),"-",""),20)&amp;"!j3"),""))</f>
        <v/>
      </c>
      <c r="R48" s="238" t="str">
        <f ca="1">IF(Tabela4[[#This Row],[TIPO]]&gt;1,"",IFERROR(INDIRECT("CPU_"&amp;LEFT(SUBSTITUTE(SUBSTITUTE($G48," ",""),"-",""),20)&amp;"!g7"),""))</f>
        <v/>
      </c>
      <c r="S48" s="28"/>
      <c r="T48" s="28"/>
      <c r="Z48" s="208"/>
      <c r="AA48" s="206">
        <f>SUMPRODUCT(Plan_Orc[Acum. 2023]*Tabela2[K]*(Tabela2[AGRUPADOR]=Tabela4[[#This Row],[Codigo]]))</f>
        <v>0</v>
      </c>
      <c r="AB48" s="210">
        <f ca="1">IF(AND(Tabela4[[#This Row],[TIPO]]&gt;1,PARAMETROS!$C$17="RDC"),0,IFERROR(INDIRECT(LEFT(SUBSTITUTE(SUBSTITUTE(H21," ",""),"-",""),20)&amp;"!ae3"),0))</f>
        <v>0</v>
      </c>
      <c r="AC48" s="206">
        <f ca="1">IF(AND(Tabela4[[#This Row],[TIPO]]&gt;1,PARAMETROS!$C$17="RDC"),SUMIF($F24:G$95,G21,$AB51:AC$158),AA48*AB48)</f>
        <v>0</v>
      </c>
      <c r="AD48" s="206">
        <f ca="1">IF(AND(Tabela4[[#This Row],[TIPO]]&gt;1,PARAMETROS!$C$17="RDC"),SUMIF($F24:G$95,G21,$AC51:AD$158),(J21-AB48)*AA48)</f>
        <v>0</v>
      </c>
      <c r="AE48" s="207">
        <f t="shared" ca="1" si="5"/>
        <v>0</v>
      </c>
    </row>
    <row r="49" spans="2:31" hidden="1" x14ac:dyDescent="0.3">
      <c r="B49" s="28">
        <f>IF(Tabela4[[#This Row],[ETAPA]]&lt;&gt;0,0,0)</f>
        <v>0</v>
      </c>
      <c r="C49" s="318" t="str">
        <f t="shared" si="1"/>
        <v>...</v>
      </c>
      <c r="D49" t="s">
        <v>652</v>
      </c>
      <c r="E49">
        <f>IFERROR(VLOOKUP(Tabela4[[#This Row],[Codigo]],Tabela1[[SERVICO]:[ETAPA/SERVICO]],4),0)</f>
        <v>1</v>
      </c>
      <c r="F49" t="str">
        <f>IFERROR(VLOOKUP(Tabela4[[#This Row],[Codigo]],Tabela1[[SERVICO]:[ETAPA/SERVICO]],3),0)</f>
        <v>02.09 Drenagem</v>
      </c>
      <c r="G49" t="str">
        <f>IFERROR(VLOOKUP(D49,Tabela1[[SERVICO]:[NOME SERVIÇO]],2,0),"")</f>
        <v>Diversos DRE</v>
      </c>
      <c r="H49" s="226">
        <f>SUMIF(Resumo_Agrupamento!$B$4:$B$1000,Tabela4[[#This Row],[Codigo]],Resumo_Agrupamento!$C$4:$C$1000)</f>
        <v>0</v>
      </c>
      <c r="I49" s="29">
        <f ca="1">IF(AND(E49&gt;1,PARAMETROS!$C$17="RDC"),0,IFERROR(INDIRECT("CPU_"&amp;LEFT(SUBSTITUTE(SUBSTITUTE(G49," ",""),"-",""),20)&amp;"!k3"),0))</f>
        <v>0</v>
      </c>
      <c r="J49" s="29">
        <f>IF(AND(E49&gt;1,PARAMETROS!$C$17="RDC"),0,SUMIF(Resumo_Agrupamento!$B$4:$B$1000,D49,Resumo_Agrupamento!$D$4:$D$1000))</f>
        <v>0</v>
      </c>
      <c r="K49" s="226">
        <f ca="1">IF(AND(E49&gt;1,PARAMETROS!$C$17="RDC"),SUMIF(F$34:$F50,F49,K$34:$K50),H49*I49)</f>
        <v>0</v>
      </c>
      <c r="L49" s="226">
        <f>IF(AND(E49&gt;1,PARAMETROS!$C$17="RDC"),SUMIF(F$34:$F50,F49,L$34:$L50),SUMIF(Resumo_Agrupamento!$B$4:$B$1000,D49,Resumo_Agrupamento!$E$4:$E$1000))</f>
        <v>0</v>
      </c>
      <c r="M49" s="317">
        <f ca="1">L49-K49-L49*PARAMETROS!$C$19</f>
        <v>0</v>
      </c>
      <c r="N49" s="63">
        <f t="shared" ca="1" si="4"/>
        <v>0</v>
      </c>
      <c r="O49" s="208"/>
      <c r="P49" s="238" t="str">
        <f ca="1">IF(Tabela4[[#This Row],[TIPO]]&gt;1,"",IFERROR(INDIRECT("CPU_"&amp;LEFT(SUBSTITUTE(SUBSTITUTE($G49," ",""),"-",""),20)&amp;"!b6"),""))</f>
        <v/>
      </c>
      <c r="Q49" s="28" t="str">
        <f ca="1">IF(Tabela4[[#This Row],[TIPO]]&gt;1,"",IFERROR(INDIRECT("CPU_"&amp;LEFT(SUBSTITUTE(SUBSTITUTE($G49," ",""),"-",""),20)&amp;"!j3"),""))</f>
        <v/>
      </c>
      <c r="R49" s="238" t="str">
        <f ca="1">IF(Tabela4[[#This Row],[TIPO]]&gt;1,"",IFERROR(INDIRECT("CPU_"&amp;LEFT(SUBSTITUTE(SUBSTITUTE($G49," ",""),"-",""),20)&amp;"!g7"),""))</f>
        <v/>
      </c>
      <c r="S49" s="28"/>
      <c r="T49" s="28"/>
      <c r="Z49" s="208"/>
      <c r="AA49" s="206">
        <f>SUMPRODUCT(Plan_Orc[Acum. 2023]*Tabela2[K]*(Tabela2[AGRUPADOR]=Tabela4[[#This Row],[Codigo]]))</f>
        <v>0</v>
      </c>
      <c r="AB49" s="210">
        <f ca="1">IF(AND(Tabela4[[#This Row],[TIPO]]&gt;1,PARAMETROS!$C$17="RDC"),0,IFERROR(INDIRECT(LEFT(SUBSTITUTE(SUBSTITUTE(H22," ",""),"-",""),20)&amp;"!ae3"),0))</f>
        <v>0</v>
      </c>
      <c r="AC49" s="206">
        <f ca="1">IF(AND(Tabela4[[#This Row],[TIPO]]&gt;1,PARAMETROS!$C$17="RDC"),SUMIF($F25:G$95,G22,$AB52:AC$158),AA49*AB49)</f>
        <v>0</v>
      </c>
      <c r="AD49" s="206">
        <f ca="1">IF(AND(Tabela4[[#This Row],[TIPO]]&gt;1,PARAMETROS!$C$17="RDC"),SUMIF($F25:G$95,G22,$AC52:AD$158),(J22-AB49)*AA49)</f>
        <v>0</v>
      </c>
      <c r="AE49" s="207">
        <f t="shared" ca="1" si="5"/>
        <v>0</v>
      </c>
    </row>
    <row r="50" spans="2:31" hidden="1" x14ac:dyDescent="0.3">
      <c r="B50" s="28">
        <f>IF(Tabela4[[#This Row],[ETAPA]]&lt;&gt;0,0,0)</f>
        <v>0</v>
      </c>
      <c r="C50" s="318" t="str">
        <f t="shared" si="1"/>
        <v>...</v>
      </c>
      <c r="D50" t="s">
        <v>653</v>
      </c>
      <c r="E50">
        <f>IFERROR(VLOOKUP(Tabela4[[#This Row],[Codigo]],Tabela1[[SERVICO]:[ETAPA/SERVICO]],4),0)</f>
        <v>1</v>
      </c>
      <c r="F50" t="str">
        <f>IFERROR(VLOOKUP(Tabela4[[#This Row],[Codigo]],Tabela1[[SERVICO]:[ETAPA/SERVICO]],3),0)</f>
        <v>02.09 Drenagem</v>
      </c>
      <c r="G50" t="str">
        <f>IFERROR(VLOOKUP(D50,Tabela1[[SERVICO]:[NOME SERVIÇO]],2,0),"")</f>
        <v>Colchão Drenante</v>
      </c>
      <c r="H50" s="226">
        <f>SUMIF(Resumo_Agrupamento!$B$4:$B$1000,Tabela4[[#This Row],[Codigo]],Resumo_Agrupamento!$C$4:$C$1000)</f>
        <v>0</v>
      </c>
      <c r="I50" s="29">
        <f ca="1">IF(AND(E50&gt;1,PARAMETROS!$C$17="RDC"),0,IFERROR(INDIRECT("CPU_"&amp;LEFT(SUBSTITUTE(SUBSTITUTE(G50," ",""),"-",""),20)&amp;"!k3"),0))</f>
        <v>0</v>
      </c>
      <c r="J50" s="29">
        <f>IF(AND(E50&gt;1,PARAMETROS!$C$17="RDC"),0,SUMIF(Resumo_Agrupamento!$B$4:$B$1000,D50,Resumo_Agrupamento!$D$4:$D$1000))</f>
        <v>0</v>
      </c>
      <c r="K50" s="226">
        <f ca="1">IF(AND(E50&gt;1,PARAMETROS!$C$17="RDC"),SUMIF(F$34:$F51,F50,K$34:$K51),H50*I50)</f>
        <v>0</v>
      </c>
      <c r="L50" s="226">
        <f>IF(AND(E50&gt;1,PARAMETROS!$C$17="RDC"),SUMIF(F$34:$F51,F50,L$34:$L51),SUMIF(Resumo_Agrupamento!$B$4:$B$1000,D50,Resumo_Agrupamento!$E$4:$E$1000))</f>
        <v>0</v>
      </c>
      <c r="M50" s="317">
        <f ca="1">L50-K50-L50*PARAMETROS!$C$19</f>
        <v>0</v>
      </c>
      <c r="N50" s="63">
        <f t="shared" ca="1" si="4"/>
        <v>0</v>
      </c>
      <c r="O50" s="208"/>
      <c r="P50" s="238" t="str">
        <f ca="1">IF(Tabela4[[#This Row],[TIPO]]&gt;1,"",IFERROR(INDIRECT("CPU_"&amp;LEFT(SUBSTITUTE(SUBSTITUTE($G50," ",""),"-",""),20)&amp;"!b6"),""))</f>
        <v/>
      </c>
      <c r="Q50" s="28" t="str">
        <f ca="1">IF(Tabela4[[#This Row],[TIPO]]&gt;1,"",IFERROR(INDIRECT("CPU_"&amp;LEFT(SUBSTITUTE(SUBSTITUTE($G50," ",""),"-",""),20)&amp;"!j3"),""))</f>
        <v/>
      </c>
      <c r="R50" s="238" t="str">
        <f ca="1">IF(Tabela4[[#This Row],[TIPO]]&gt;1,"",IFERROR(INDIRECT("CPU_"&amp;LEFT(SUBSTITUTE(SUBSTITUTE($G50," ",""),"-",""),20)&amp;"!g7"),""))</f>
        <v/>
      </c>
      <c r="S50" s="28"/>
      <c r="T50" s="28"/>
      <c r="Z50" s="208"/>
      <c r="AA50" s="206">
        <f>SUMPRODUCT(Plan_Orc[Acum. 2023]*Tabela2[K]*(Tabela2[AGRUPADOR]=Tabela4[[#This Row],[Codigo]]))</f>
        <v>0</v>
      </c>
      <c r="AB50" s="210">
        <f ca="1">IF(AND(Tabela4[[#This Row],[TIPO]]&gt;1,PARAMETROS!$C$17="RDC"),0,IFERROR(INDIRECT(LEFT(SUBSTITUTE(SUBSTITUTE(H23," ",""),"-",""),20)&amp;"!ae3"),0))</f>
        <v>0</v>
      </c>
      <c r="AC50" s="206">
        <f ca="1">IF(AND(Tabela4[[#This Row],[TIPO]]&gt;1,PARAMETROS!$C$17="RDC"),SUMIF($F26:G$95,G23,$AB53:AC$158),AA50*AB50)</f>
        <v>0</v>
      </c>
      <c r="AD50" s="206">
        <f ca="1">IF(AND(Tabela4[[#This Row],[TIPO]]&gt;1,PARAMETROS!$C$17="RDC"),SUMIF($F26:G$95,G23,$AC53:AD$158),(J23-AB50)*AA50)</f>
        <v>0</v>
      </c>
      <c r="AE50" s="207">
        <f t="shared" ca="1" si="5"/>
        <v>0</v>
      </c>
    </row>
    <row r="51" spans="2:31" hidden="1" x14ac:dyDescent="0.3">
      <c r="B51" s="28">
        <f>IF(Tabela4[[#This Row],[ETAPA]]&lt;&gt;0,0,0)</f>
        <v>0</v>
      </c>
      <c r="C51" s="318" t="str">
        <f t="shared" si="1"/>
        <v>...</v>
      </c>
      <c r="D51" t="s">
        <v>654</v>
      </c>
      <c r="E51">
        <f>IFERROR(VLOOKUP(Tabela4[[#This Row],[Codigo]],Tabela1[[SERVICO]:[ETAPA/SERVICO]],4),0)</f>
        <v>2</v>
      </c>
      <c r="F51" t="str">
        <f>IFERROR(VLOOKUP(Tabela4[[#This Row],[Codigo]],Tabela1[[SERVICO]:[ETAPA/SERVICO]],3),0)</f>
        <v>02.10 SAUS</v>
      </c>
      <c r="G51" t="str">
        <f>IFERROR(VLOOKUP(D51,Tabela1[[SERVICO]:[NOME SERVIÇO]],2,0),"")</f>
        <v>02.10 SAUS</v>
      </c>
      <c r="H51" s="226">
        <f>SUMIF(Resumo_Agrupamento!$B$4:$B$1000,Tabela4[[#This Row],[Codigo]],Resumo_Agrupamento!$C$4:$C$1000)</f>
        <v>0</v>
      </c>
      <c r="I51" s="29">
        <f ca="1">IF(AND(E51&gt;1,PARAMETROS!$C$17="RDC"),0,IFERROR(INDIRECT("CPU_"&amp;LEFT(SUBSTITUTE(SUBSTITUTE(G51," ",""),"-",""),20)&amp;"!k3"),0))</f>
        <v>0</v>
      </c>
      <c r="J51" s="29">
        <f>IF(AND(E51&gt;1,PARAMETROS!$C$17="RDC"),0,SUMIF(Resumo_Agrupamento!$B$4:$B$1000,D51,Resumo_Agrupamento!$D$4:$D$1000))</f>
        <v>0</v>
      </c>
      <c r="K51" s="226">
        <f ca="1">IF(AND(E51&gt;1,PARAMETROS!$C$17="RDC"),SUMIF(F$34:$F52,F51,K$34:$K52),H51*I51)</f>
        <v>0</v>
      </c>
      <c r="L51" s="226">
        <f>IF(AND(E51&gt;1,PARAMETROS!$C$17="RDC"),SUMIF(F$34:$F52,F51,L$34:$L52),SUMIF(Resumo_Agrupamento!$B$4:$B$1000,D51,Resumo_Agrupamento!$E$4:$E$1000))</f>
        <v>0</v>
      </c>
      <c r="M51" s="317">
        <f ca="1">L51-K51-L51*PARAMETROS!$C$19</f>
        <v>0</v>
      </c>
      <c r="N51" s="63">
        <f t="shared" ca="1" si="4"/>
        <v>0</v>
      </c>
      <c r="O51" s="208"/>
      <c r="P51" s="238" t="str">
        <f ca="1">IF(Tabela4[[#This Row],[TIPO]]&gt;1,"",IFERROR(INDIRECT("CPU_"&amp;LEFT(SUBSTITUTE(SUBSTITUTE($G51," ",""),"-",""),20)&amp;"!b6"),""))</f>
        <v/>
      </c>
      <c r="Q51" s="28" t="str">
        <f ca="1">IF(Tabela4[[#This Row],[TIPO]]&gt;1,"",IFERROR(INDIRECT("CPU_"&amp;LEFT(SUBSTITUTE(SUBSTITUTE($G51," ",""),"-",""),20)&amp;"!j3"),""))</f>
        <v/>
      </c>
      <c r="R51" s="238" t="str">
        <f ca="1">IF(Tabela4[[#This Row],[TIPO]]&gt;1,"",IFERROR(INDIRECT("CPU_"&amp;LEFT(SUBSTITUTE(SUBSTITUTE($G51," ",""),"-",""),20)&amp;"!g7"),""))</f>
        <v/>
      </c>
      <c r="S51" s="28"/>
      <c r="T51" s="28"/>
      <c r="Z51" s="208"/>
      <c r="AA51" s="206">
        <f>SUMPRODUCT(Plan_Orc[Acum. 2023]*Tabela2[K]*(Tabela2[AGRUPADOR]=Tabela4[[#This Row],[Codigo]]))</f>
        <v>0</v>
      </c>
      <c r="AB51" s="210">
        <f ca="1">IF(AND(Tabela4[[#This Row],[TIPO]]&gt;1,PARAMETROS!$C$17="RDC"),0,IFERROR(INDIRECT(LEFT(SUBSTITUTE(SUBSTITUTE(H24," ",""),"-",""),20)&amp;"!ae3"),0))</f>
        <v>0</v>
      </c>
      <c r="AC51" s="206">
        <f ca="1">IF(AND(Tabela4[[#This Row],[TIPO]]&gt;1,PARAMETROS!$C$17="RDC"),SUMIF($F27:G$95,G24,$AB54:AC$158),AA51*AB51)</f>
        <v>0</v>
      </c>
      <c r="AD51" s="206">
        <f ca="1">IF(AND(Tabela4[[#This Row],[TIPO]]&gt;1,PARAMETROS!$C$17="RDC"),SUMIF($F27:G$95,G24,$AC54:AD$158),(J24-AB51)*AA51)</f>
        <v>0</v>
      </c>
      <c r="AE51" s="207">
        <f t="shared" ca="1" si="5"/>
        <v>0</v>
      </c>
    </row>
    <row r="52" spans="2:31" hidden="1" x14ac:dyDescent="0.3">
      <c r="B52" s="28">
        <f>IF(Tabela4[[#This Row],[ETAPA]]&lt;&gt;0,0,0)</f>
        <v>0</v>
      </c>
      <c r="C52" s="318" t="str">
        <f t="shared" si="1"/>
        <v>...</v>
      </c>
      <c r="D52" t="s">
        <v>655</v>
      </c>
      <c r="E52">
        <f>IFERROR(VLOOKUP(Tabela4[[#This Row],[Codigo]],Tabela1[[SERVICO]:[ETAPA/SERVICO]],4),0)</f>
        <v>1</v>
      </c>
      <c r="F52" t="str">
        <f>IFERROR(VLOOKUP(Tabela4[[#This Row],[Codigo]],Tabela1[[SERVICO]:[ETAPA/SERVICO]],3),0)</f>
        <v>02.10 SAUS</v>
      </c>
      <c r="G52" t="str">
        <f>IFERROR(VLOOKUP(D52,Tabela1[[SERVICO]:[NOME SERVIÇO]],2,0),"")</f>
        <v>Limpeza</v>
      </c>
      <c r="H52" s="226">
        <f>SUMIF(Resumo_Agrupamento!$B$4:$B$1000,Tabela4[[#This Row],[Codigo]],Resumo_Agrupamento!$C$4:$C$1000)</f>
        <v>0</v>
      </c>
      <c r="I52" s="29">
        <f ca="1">IF(AND(E52&gt;1,PARAMETROS!$C$17="RDC"),0,IFERROR(INDIRECT("CPU_"&amp;LEFT(SUBSTITUTE(SUBSTITUTE(G52," ",""),"-",""),20)&amp;"!k3"),0))</f>
        <v>0</v>
      </c>
      <c r="J52" s="29">
        <f>IF(AND(E52&gt;1,PARAMETROS!$C$17="RDC"),0,SUMIF(Resumo_Agrupamento!$B$4:$B$1000,D52,Resumo_Agrupamento!$D$4:$D$1000))</f>
        <v>0</v>
      </c>
      <c r="K52" s="226">
        <f ca="1">IF(AND(E52&gt;1,PARAMETROS!$C$17="RDC"),SUMIF(F$34:$F53,F52,K$34:$K53),H52*I52)</f>
        <v>0</v>
      </c>
      <c r="L52" s="226">
        <f>IF(AND(E52&gt;1,PARAMETROS!$C$17="RDC"),SUMIF(F$34:$F53,F52,L$34:$L53),SUMIF(Resumo_Agrupamento!$B$4:$B$1000,D52,Resumo_Agrupamento!$E$4:$E$1000))</f>
        <v>0</v>
      </c>
      <c r="M52" s="317">
        <f ca="1">L52-K52-L52*PARAMETROS!$C$19</f>
        <v>0</v>
      </c>
      <c r="N52" s="63">
        <f t="shared" ca="1" si="4"/>
        <v>0</v>
      </c>
      <c r="O52" s="208"/>
      <c r="P52" s="238" t="str">
        <f ca="1">IF(Tabela4[[#This Row],[TIPO]]&gt;1,"",IFERROR(INDIRECT("CPU_"&amp;LEFT(SUBSTITUTE(SUBSTITUTE($G52," ",""),"-",""),20)&amp;"!b6"),""))</f>
        <v/>
      </c>
      <c r="Q52" s="28" t="str">
        <f ca="1">IF(Tabela4[[#This Row],[TIPO]]&gt;1,"",IFERROR(INDIRECT("CPU_"&amp;LEFT(SUBSTITUTE(SUBSTITUTE($G52," ",""),"-",""),20)&amp;"!j3"),""))</f>
        <v/>
      </c>
      <c r="R52" s="238" t="str">
        <f ca="1">IF(Tabela4[[#This Row],[TIPO]]&gt;1,"",IFERROR(INDIRECT("CPU_"&amp;LEFT(SUBSTITUTE(SUBSTITUTE($G52," ",""),"-",""),20)&amp;"!g7"),""))</f>
        <v/>
      </c>
      <c r="S52" s="28"/>
      <c r="T52" s="28"/>
      <c r="Z52" s="208"/>
      <c r="AA52" s="206">
        <f>SUMPRODUCT(Plan_Orc[Acum. 2023]*Tabela2[K]*(Tabela2[AGRUPADOR]=Tabela4[[#This Row],[Codigo]]))</f>
        <v>0</v>
      </c>
      <c r="AB52" s="210">
        <f ca="1">IF(AND(Tabela4[[#This Row],[TIPO]]&gt;1,PARAMETROS!$C$17="RDC"),0,IFERROR(INDIRECT(LEFT(SUBSTITUTE(SUBSTITUTE(H25," ",""),"-",""),20)&amp;"!ae3"),0))</f>
        <v>0</v>
      </c>
      <c r="AC52" s="206">
        <f ca="1">IF(AND(Tabela4[[#This Row],[TIPO]]&gt;1,PARAMETROS!$C$17="RDC"),SUMIF($F28:G$95,G25,$AB55:AC$158),AA52*AB52)</f>
        <v>0</v>
      </c>
      <c r="AD52" s="206">
        <f ca="1">IF(AND(Tabela4[[#This Row],[TIPO]]&gt;1,PARAMETROS!$C$17="RDC"),SUMIF($F28:G$95,G25,$AC55:AD$158),(J25-AB52)*AA52)</f>
        <v>0</v>
      </c>
      <c r="AE52" s="207">
        <f t="shared" ca="1" si="5"/>
        <v>0</v>
      </c>
    </row>
    <row r="53" spans="2:31" hidden="1" x14ac:dyDescent="0.3">
      <c r="B53" s="28">
        <f>IF(Tabela4[[#This Row],[ETAPA]]&lt;&gt;0,0,0)</f>
        <v>0</v>
      </c>
      <c r="C53" s="318" t="str">
        <f t="shared" si="1"/>
        <v>...</v>
      </c>
      <c r="D53" t="s">
        <v>656</v>
      </c>
      <c r="E53">
        <f>IFERROR(VLOOKUP(Tabela4[[#This Row],[Codigo]],Tabela1[[SERVICO]:[ETAPA/SERVICO]],4),0)</f>
        <v>1</v>
      </c>
      <c r="F53" t="str">
        <f>IFERROR(VLOOKUP(Tabela4[[#This Row],[Codigo]],Tabela1[[SERVICO]:[ETAPA/SERVICO]],3),0)</f>
        <v>02.10 SAUS</v>
      </c>
      <c r="G53" t="str">
        <f>IFERROR(VLOOKUP(D53,Tabela1[[SERVICO]:[NOME SERVIÇO]],2,0),"")</f>
        <v>Terraplenagem</v>
      </c>
      <c r="H53" s="226">
        <f>SUMIF(Resumo_Agrupamento!$B$4:$B$1000,Tabela4[[#This Row],[Codigo]],Resumo_Agrupamento!$C$4:$C$1000)</f>
        <v>0</v>
      </c>
      <c r="I53" s="29">
        <f ca="1">IF(AND(E53&gt;1,PARAMETROS!$C$17="RDC"),0,IFERROR(INDIRECT("CPU_"&amp;LEFT(SUBSTITUTE(SUBSTITUTE(G53," ",""),"-",""),20)&amp;"!k3"),0))</f>
        <v>0</v>
      </c>
      <c r="J53" s="29">
        <f>IF(AND(E53&gt;1,PARAMETROS!$C$17="RDC"),0,SUMIF(Resumo_Agrupamento!$B$4:$B$1000,D53,Resumo_Agrupamento!$D$4:$D$1000))</f>
        <v>0</v>
      </c>
      <c r="K53" s="226">
        <f ca="1">IF(AND(E53&gt;1,PARAMETROS!$C$17="RDC"),SUMIF(F$34:$F54,F53,K$34:$K54),H53*I53)</f>
        <v>0</v>
      </c>
      <c r="L53" s="226">
        <f>IF(AND(E53&gt;1,PARAMETROS!$C$17="RDC"),SUMIF(F$34:$F54,F53,L$34:$L54),SUMIF(Resumo_Agrupamento!$B$4:$B$1000,D53,Resumo_Agrupamento!$E$4:$E$1000))</f>
        <v>0</v>
      </c>
      <c r="M53" s="317">
        <f ca="1">L53-K53-L53*PARAMETROS!$C$19</f>
        <v>0</v>
      </c>
      <c r="N53" s="63">
        <f t="shared" ca="1" si="4"/>
        <v>0</v>
      </c>
      <c r="O53" s="208"/>
      <c r="P53" s="238" t="str">
        <f ca="1">IF(Tabela4[[#This Row],[TIPO]]&gt;1,"",IFERROR(INDIRECT("CPU_"&amp;LEFT(SUBSTITUTE(SUBSTITUTE($G53," ",""),"-",""),20)&amp;"!b6"),""))</f>
        <v/>
      </c>
      <c r="Q53" s="28" t="str">
        <f ca="1">IF(Tabela4[[#This Row],[TIPO]]&gt;1,"",IFERROR(INDIRECT("CPU_"&amp;LEFT(SUBSTITUTE(SUBSTITUTE($G53," ",""),"-",""),20)&amp;"!j3"),""))</f>
        <v/>
      </c>
      <c r="R53" s="238" t="str">
        <f ca="1">IF(Tabela4[[#This Row],[TIPO]]&gt;1,"",IFERROR(INDIRECT("CPU_"&amp;LEFT(SUBSTITUTE(SUBSTITUTE($G53," ",""),"-",""),20)&amp;"!g7"),""))</f>
        <v/>
      </c>
      <c r="S53" s="28"/>
      <c r="T53" s="28"/>
      <c r="Z53" s="208"/>
      <c r="AA53" s="206">
        <f>SUMPRODUCT(Plan_Orc[Acum. 2023]*Tabela2[K]*(Tabela2[AGRUPADOR]=Tabela4[[#This Row],[Codigo]]))</f>
        <v>0</v>
      </c>
      <c r="AB53" s="210">
        <f ca="1">IF(AND(Tabela4[[#This Row],[TIPO]]&gt;1,PARAMETROS!$C$17="RDC"),0,IFERROR(INDIRECT(LEFT(SUBSTITUTE(SUBSTITUTE(H26," ",""),"-",""),20)&amp;"!ae3"),0))</f>
        <v>0</v>
      </c>
      <c r="AC53" s="206">
        <f ca="1">IF(AND(Tabela4[[#This Row],[TIPO]]&gt;1,PARAMETROS!$C$17="RDC"),SUMIF($F28:G$95,G26,$AB56:AC$158),AA53*AB53)</f>
        <v>0</v>
      </c>
      <c r="AD53" s="206">
        <f ca="1">IF(AND(Tabela4[[#This Row],[TIPO]]&gt;1,PARAMETROS!$C$17="RDC"),SUMIF($F28:G$95,G26,$AC56:AD$158),(J26-AB53)*AA53)</f>
        <v>0</v>
      </c>
      <c r="AE53" s="207">
        <f t="shared" ca="1" si="5"/>
        <v>0</v>
      </c>
    </row>
    <row r="54" spans="2:31" hidden="1" x14ac:dyDescent="0.3">
      <c r="B54" s="28">
        <f>IF(Tabela4[[#This Row],[ETAPA]]&lt;&gt;0,0,0)</f>
        <v>0</v>
      </c>
      <c r="C54" s="318" t="str">
        <f t="shared" si="1"/>
        <v>...</v>
      </c>
      <c r="D54" t="s">
        <v>657</v>
      </c>
      <c r="E54">
        <f>IFERROR(VLOOKUP(Tabela4[[#This Row],[Codigo]],Tabela1[[SERVICO]:[ETAPA/SERVICO]],4),0)</f>
        <v>1</v>
      </c>
      <c r="F54" t="str">
        <f>IFERROR(VLOOKUP(Tabela4[[#This Row],[Codigo]],Tabela1[[SERVICO]:[ETAPA/SERVICO]],3),0)</f>
        <v>02.10 SAUS</v>
      </c>
      <c r="G54" t="str">
        <f>IFERROR(VLOOKUP(D54,Tabela1[[SERVICO]:[NOME SERVIÇO]],2,0),"")</f>
        <v>Base</v>
      </c>
      <c r="H54" s="226">
        <f>SUMIF(Resumo_Agrupamento!$B$4:$B$1000,Tabela4[[#This Row],[Codigo]],Resumo_Agrupamento!$C$4:$C$1000)</f>
        <v>0</v>
      </c>
      <c r="I54" s="29">
        <f ca="1">IF(AND(E54&gt;1,PARAMETROS!$C$17="RDC"),0,IFERROR(INDIRECT("CPU_"&amp;LEFT(SUBSTITUTE(SUBSTITUTE(G54," ",""),"-",""),20)&amp;"!k3"),0))</f>
        <v>0</v>
      </c>
      <c r="J54" s="29">
        <f>IF(AND(E54&gt;1,PARAMETROS!$C$17="RDC"),0,SUMIF(Resumo_Agrupamento!$B$4:$B$1000,D54,Resumo_Agrupamento!$D$4:$D$1000))</f>
        <v>0</v>
      </c>
      <c r="K54" s="226">
        <f ca="1">IF(AND(E54&gt;1,PARAMETROS!$C$17="RDC"),SUMIF(F$34:$F55,F54,K$34:$K55),H54*I54)</f>
        <v>0</v>
      </c>
      <c r="L54" s="226">
        <f>IF(AND(E54&gt;1,PARAMETROS!$C$17="RDC"),SUMIF(F$34:$F55,F54,L$34:$L55),SUMIF(Resumo_Agrupamento!$B$4:$B$1000,D54,Resumo_Agrupamento!$E$4:$E$1000))</f>
        <v>0</v>
      </c>
      <c r="M54" s="317">
        <f ca="1">L54-K54-L54*PARAMETROS!$C$19</f>
        <v>0</v>
      </c>
      <c r="N54" s="63">
        <f t="shared" ca="1" si="4"/>
        <v>0</v>
      </c>
      <c r="O54" s="208"/>
      <c r="P54" s="238" t="str">
        <f ca="1">IF(Tabela4[[#This Row],[TIPO]]&gt;1,"",IFERROR(INDIRECT("CPU_"&amp;LEFT(SUBSTITUTE(SUBSTITUTE($G54," ",""),"-",""),20)&amp;"!b6"),""))</f>
        <v/>
      </c>
      <c r="Q54" s="28" t="str">
        <f ca="1">IF(Tabela4[[#This Row],[TIPO]]&gt;1,"",IFERROR(INDIRECT("CPU_"&amp;LEFT(SUBSTITUTE(SUBSTITUTE($G54," ",""),"-",""),20)&amp;"!j3"),""))</f>
        <v/>
      </c>
      <c r="R54" s="238" t="str">
        <f ca="1">IF(Tabela4[[#This Row],[TIPO]]&gt;1,"",IFERROR(INDIRECT("CPU_"&amp;LEFT(SUBSTITUTE(SUBSTITUTE($G54," ",""),"-",""),20)&amp;"!g7"),""))</f>
        <v/>
      </c>
      <c r="S54" s="28"/>
      <c r="T54" s="28"/>
      <c r="Z54" s="208"/>
      <c r="AA54" s="206">
        <f>SUMPRODUCT(Plan_Orc[Acum. 2023]*Tabela2[K]*(Tabela2[AGRUPADOR]=Tabela4[[#This Row],[Codigo]]))</f>
        <v>0</v>
      </c>
      <c r="AB54" s="210">
        <f ca="1">IF(AND(Tabela4[[#This Row],[TIPO]]&gt;1,PARAMETROS!$C$17="RDC"),0,IFERROR(INDIRECT(LEFT(SUBSTITUTE(SUBSTITUTE(H27," ",""),"-",""),20)&amp;"!ae3"),0))</f>
        <v>0</v>
      </c>
      <c r="AC54" s="206">
        <f ca="1">IF(AND(Tabela4[[#This Row],[TIPO]]&gt;1,PARAMETROS!$C$17="RDC"),SUMIF($F28:G$95,G27,$AB57:AC$158),AA54*AB54)</f>
        <v>0</v>
      </c>
      <c r="AD54" s="206">
        <f ca="1">IF(AND(Tabela4[[#This Row],[TIPO]]&gt;1,PARAMETROS!$C$17="RDC"),SUMIF($F28:G$95,G27,$AC57:AD$158),(J27-AB54)*AA54)</f>
        <v>0</v>
      </c>
      <c r="AE54" s="207">
        <f t="shared" ca="1" si="5"/>
        <v>0</v>
      </c>
    </row>
    <row r="55" spans="2:31" hidden="1" x14ac:dyDescent="0.3">
      <c r="B55" s="327">
        <f>IF(Tabela4[[#This Row],[ETAPA]]&lt;&gt;0,0,0)</f>
        <v>0</v>
      </c>
      <c r="C55" s="328" t="str">
        <f t="shared" si="1"/>
        <v>...</v>
      </c>
      <c r="D55" s="324" t="s">
        <v>658</v>
      </c>
      <c r="E55" s="324">
        <f>IFERROR(VLOOKUP(Tabela4[[#This Row],[Codigo]],Tabela1[[SERVICO]:[ETAPA/SERVICO]],4),0)</f>
        <v>1</v>
      </c>
      <c r="F55" s="324" t="str">
        <f>IFERROR(VLOOKUP(Tabela4[[#This Row],[Codigo]],Tabela1[[SERVICO]:[ETAPA/SERVICO]],3),0)</f>
        <v>02.10 SAUS</v>
      </c>
      <c r="G55" s="324" t="str">
        <f>IFERROR(VLOOKUP(D55,Tabela1[[SERVICO]:[NOME SERVIÇO]],2,0),"")</f>
        <v>Capa SAUS</v>
      </c>
      <c r="H55" s="325">
        <f>SUMIF(Resumo_Agrupamento!$B$4:$B$1000,Tabela4[[#This Row],[Codigo]],Resumo_Agrupamento!$C$4:$C$1000)</f>
        <v>0</v>
      </c>
      <c r="I55" s="326">
        <f ca="1">IF(AND(E55&gt;1,PARAMETROS!$C$17="RDC"),0,IFERROR(INDIRECT("CPU_"&amp;LEFT(SUBSTITUTE(SUBSTITUTE(G55," ",""),"-",""),20)&amp;"!k3"),0))</f>
        <v>177184.31614017586</v>
      </c>
      <c r="J55" s="326">
        <f>IF(AND(E55&gt;1,PARAMETROS!$C$17="RDC"),0,SUMIF(Resumo_Agrupamento!$B$4:$B$1000,D55,Resumo_Agrupamento!$D$4:$D$1000))</f>
        <v>0</v>
      </c>
      <c r="K55" s="325">
        <f ca="1">IF(AND(E55&gt;1,PARAMETROS!$C$17="RDC"),SUMIF(F$34:$F56,F55,K$34:$K56),H55*I55)</f>
        <v>0</v>
      </c>
      <c r="L55" s="325">
        <f>IF(AND(E55&gt;1,PARAMETROS!$C$17="RDC"),SUMIF(F$34:$F56,F55,L$34:$L56),SUMIF(Resumo_Agrupamento!$B$4:$B$1000,D55,Resumo_Agrupamento!$E$4:$E$1000))</f>
        <v>0</v>
      </c>
      <c r="M55" s="332">
        <f ca="1">L55-K55-L55*PARAMETROS!$C$19</f>
        <v>0</v>
      </c>
      <c r="N55" s="63">
        <f t="shared" ca="1" si="4"/>
        <v>0</v>
      </c>
      <c r="O55" s="208"/>
      <c r="P55" s="346">
        <f ca="1">IF(Tabela4[[#This Row],[TIPO]]&gt;1,"",IFERROR(INDIRECT("CPU_"&amp;LEFT(SUBSTITUTE(SUBSTITUTE($G55," ",""),"-",""),20)&amp;"!b6"),""))</f>
        <v>0.2</v>
      </c>
      <c r="Q55" s="28" t="str">
        <f ca="1">IF(Tabela4[[#This Row],[TIPO]]&gt;1,"",IFERROR(INDIRECT("CPU_"&amp;LEFT(SUBSTITUTE(SUBSTITUTE($G55," ",""),"-",""),20)&amp;"!j3"),""))</f>
        <v>UNID</v>
      </c>
      <c r="R55" s="238">
        <f ca="1">IF(Tabela4[[#This Row],[TIPO]]&gt;1,"",IFERROR(INDIRECT("CPU_"&amp;LEFT(SUBSTITUTE(SUBSTITUTE($G55," ",""),"-",""),20)&amp;"!g7"),""))</f>
        <v>0</v>
      </c>
      <c r="S55" s="28"/>
      <c r="T55" s="28"/>
      <c r="Z55" s="208"/>
      <c r="AA55" s="206">
        <f>SUMPRODUCT(Plan_Orc[Acum. 2023]*Tabela2[K]*(Tabela2[AGRUPADOR]=Tabela4[[#This Row],[Codigo]]))</f>
        <v>0</v>
      </c>
      <c r="AB55" s="210">
        <f ca="1">IF(AND(Tabela4[[#This Row],[TIPO]]&gt;1,PARAMETROS!$C$17="RDC"),0,IFERROR(INDIRECT(LEFT(SUBSTITUTE(SUBSTITUTE(#REF!," ",""),"-",""),20)&amp;"!ae3"),0))</f>
        <v>0</v>
      </c>
      <c r="AC55" s="206">
        <f ca="1">IF(AND(Tabela4[[#This Row],[TIPO]]&gt;1,PARAMETROS!$C$17="RDC"),SUMIF($F28:G$95,#REF!,$AB58:AC$158),AA55*AB55)</f>
        <v>0</v>
      </c>
      <c r="AD55" s="206" t="e">
        <f ca="1">IF(AND(Tabela4[[#This Row],[TIPO]]&gt;1,PARAMETROS!$C$17="RDC"),SUMIF($F28:G$95,#REF!,$AC58:AD$158),(#REF!-AB55)*AA55)</f>
        <v>#REF!</v>
      </c>
      <c r="AE55" s="207">
        <f t="shared" ca="1" si="5"/>
        <v>0</v>
      </c>
    </row>
    <row r="56" spans="2:31" hidden="1" x14ac:dyDescent="0.3">
      <c r="B56" s="327">
        <f>IF(Tabela4[[#This Row],[ETAPA]]&lt;&gt;0,0,0)</f>
        <v>0</v>
      </c>
      <c r="C56" s="328" t="str">
        <f t="shared" si="1"/>
        <v>...</v>
      </c>
      <c r="D56" s="324" t="s">
        <v>659</v>
      </c>
      <c r="E56" s="324">
        <f>IFERROR(VLOOKUP(Tabela4[[#This Row],[Codigo]],Tabela1[[SERVICO]:[ETAPA/SERVICO]],4),0)</f>
        <v>1</v>
      </c>
      <c r="F56" s="324" t="str">
        <f>IFERROR(VLOOKUP(Tabela4[[#This Row],[Codigo]],Tabela1[[SERVICO]:[ETAPA/SERVICO]],3),0)</f>
        <v>02.10 SAUS</v>
      </c>
      <c r="G56" s="324" t="str">
        <f>IFERROR(VLOOKUP(D56,Tabela1[[SERVICO]:[NOME SERVIÇO]],2,0),"")</f>
        <v>Capa Concreto</v>
      </c>
      <c r="H56" s="325">
        <f>SUMIF(Resumo_Agrupamento!$B$4:$B$1000,Tabela4[[#This Row],[Codigo]],Resumo_Agrupamento!$C$4:$C$1000)</f>
        <v>0</v>
      </c>
      <c r="I56" s="326">
        <f ca="1">IF(AND(E56&gt;1,PARAMETROS!$C$17="RDC"),0,IFERROR(INDIRECT("CPU_"&amp;LEFT(SUBSTITUTE(SUBSTITUTE(G56," ",""),"-",""),20)&amp;"!k3"),0))</f>
        <v>35220.932072534873</v>
      </c>
      <c r="J56" s="326">
        <f>IF(AND(E56&gt;1,PARAMETROS!$C$17="RDC"),0,SUMIF(Resumo_Agrupamento!$B$4:$B$1000,D56,Resumo_Agrupamento!$D$4:$D$1000))</f>
        <v>0</v>
      </c>
      <c r="K56" s="325">
        <f ca="1">IF(AND(E56&gt;1,PARAMETROS!$C$17="RDC"),SUMIF(F$34:$F57,F56,K$34:$K57),H56*I56)</f>
        <v>0</v>
      </c>
      <c r="L56" s="325">
        <f>IF(AND(E56&gt;1,PARAMETROS!$C$17="RDC"),SUMIF(F$34:$F57,F56,L$34:$L57),SUMIF(Resumo_Agrupamento!$B$4:$B$1000,D56,Resumo_Agrupamento!$E$4:$E$1000))</f>
        <v>0</v>
      </c>
      <c r="M56" s="332">
        <f ca="1">L56-K56-L56*PARAMETROS!$C$19</f>
        <v>0</v>
      </c>
      <c r="N56" s="63">
        <f t="shared" ca="1" si="4"/>
        <v>0</v>
      </c>
      <c r="O56" s="208"/>
      <c r="P56" s="238">
        <f ca="1">IF(Tabela4[[#This Row],[TIPO]]&gt;1,"",IFERROR(INDIRECT("CPU_"&amp;LEFT(SUBSTITUTE(SUBSTITUTE($G56," ",""),"-",""),20)&amp;"!b6"),""))</f>
        <v>0.2</v>
      </c>
      <c r="Q56" s="28" t="str">
        <f ca="1">IF(Tabela4[[#This Row],[TIPO]]&gt;1,"",IFERROR(INDIRECT("CPU_"&amp;LEFT(SUBSTITUTE(SUBSTITUTE($G56," ",""),"-",""),20)&amp;"!j3"),""))</f>
        <v>UNID</v>
      </c>
      <c r="R56" s="238">
        <f ca="1">IF(Tabela4[[#This Row],[TIPO]]&gt;1,"",IFERROR(INDIRECT("CPU_"&amp;LEFT(SUBSTITUTE(SUBSTITUTE($G56," ",""),"-",""),20)&amp;"!g7"),""))</f>
        <v>0</v>
      </c>
      <c r="S56" s="28"/>
      <c r="T56" s="28"/>
      <c r="Z56" s="208"/>
      <c r="AA56" s="206">
        <f>SUMPRODUCT(Plan_Orc[Acum. 2023]*Tabela2[K]*(Tabela2[AGRUPADOR]=Tabela4[[#This Row],[Codigo]]))</f>
        <v>0</v>
      </c>
      <c r="AB56" s="210">
        <f ca="1">IF(AND(Tabela4[[#This Row],[TIPO]]&gt;1,PARAMETROS!$C$17="RDC"),0,IFERROR(INDIRECT(LEFT(SUBSTITUTE(SUBSTITUTE(#REF!," ",""),"-",""),20)&amp;"!ae3"),0))</f>
        <v>0</v>
      </c>
      <c r="AC56" s="206">
        <f ca="1">IF(AND(Tabela4[[#This Row],[TIPO]]&gt;1,PARAMETROS!$C$17="RDC"),SUMIF($F28:G$95,#REF!,$AB59:AC$158),AA56*AB56)</f>
        <v>0</v>
      </c>
      <c r="AD56" s="206" t="e">
        <f ca="1">IF(AND(Tabela4[[#This Row],[TIPO]]&gt;1,PARAMETROS!$C$17="RDC"),SUMIF($F28:G$95,#REF!,$AC59:AD$158),(#REF!-AB56)*AA56)</f>
        <v>#REF!</v>
      </c>
      <c r="AE56" s="207">
        <f t="shared" ca="1" si="5"/>
        <v>0</v>
      </c>
    </row>
    <row r="57" spans="2:31" hidden="1" x14ac:dyDescent="0.3">
      <c r="B57" s="327">
        <f>IF(Tabela4[[#This Row],[ETAPA]]&lt;&gt;0,0,0)</f>
        <v>0</v>
      </c>
      <c r="C57" s="328" t="str">
        <f t="shared" si="1"/>
        <v>...</v>
      </c>
      <c r="D57" s="324" t="s">
        <v>660</v>
      </c>
      <c r="E57" s="324">
        <f>IFERROR(VLOOKUP(Tabela4[[#This Row],[Codigo]],Tabela1[[SERVICO]:[ETAPA/SERVICO]],4),0)</f>
        <v>1</v>
      </c>
      <c r="F57" s="324" t="str">
        <f>IFERROR(VLOOKUP(Tabela4[[#This Row],[Codigo]],Tabela1[[SERVICO]:[ETAPA/SERVICO]],3),0)</f>
        <v>02.10 SAUS</v>
      </c>
      <c r="G57" s="324" t="str">
        <f>IFERROR(VLOOKUP(D57,Tabela1[[SERVICO]:[NOME SERVIÇO]],2,0),"")</f>
        <v>Sinalização horiz SAUS</v>
      </c>
      <c r="H57" s="325">
        <f>SUMIF(Resumo_Agrupamento!$B$4:$B$1000,Tabela4[[#This Row],[Codigo]],Resumo_Agrupamento!$C$4:$C$1000)</f>
        <v>0</v>
      </c>
      <c r="I57" s="326">
        <f ca="1">IF(AND(E57&gt;1,PARAMETROS!$C$17="RDC"),0,IFERROR(INDIRECT("CPU_"&amp;LEFT(SUBSTITUTE(SUBSTITUTE(G57," ",""),"-",""),20)&amp;"!k3"),0))</f>
        <v>26558.355555555558</v>
      </c>
      <c r="J57" s="326">
        <f>IF(AND(E57&gt;1,PARAMETROS!$C$17="RDC"),0,SUMIF(Resumo_Agrupamento!$B$4:$B$1000,D57,Resumo_Agrupamento!$D$4:$D$1000))</f>
        <v>0</v>
      </c>
      <c r="K57" s="325">
        <f ca="1">IF(AND(E57&gt;1,PARAMETROS!$C$17="RDC"),SUMIF(F$34:$F58,F57,K$34:$K58),H57*I57)</f>
        <v>0</v>
      </c>
      <c r="L57" s="325">
        <f>IF(AND(E57&gt;1,PARAMETROS!$C$17="RDC"),SUMIF(F$34:$F58,F57,L$34:$L58),SUMIF(Resumo_Agrupamento!$B$4:$B$1000,D57,Resumo_Agrupamento!$E$4:$E$1000))</f>
        <v>0</v>
      </c>
      <c r="M57" s="332">
        <f ca="1">L57-K57-L57*PARAMETROS!$C$19</f>
        <v>0</v>
      </c>
      <c r="N57" s="63">
        <f t="shared" ca="1" si="4"/>
        <v>0</v>
      </c>
      <c r="O57" s="208"/>
      <c r="P57" s="238">
        <f ca="1">IF(Tabela4[[#This Row],[TIPO]]&gt;1,"",IFERROR(INDIRECT("CPU_"&amp;LEFT(SUBSTITUTE(SUBSTITUTE($G57," ",""),"-",""),20)&amp;"!b6"),""))</f>
        <v>1</v>
      </c>
      <c r="Q57" s="28" t="str">
        <f ca="1">IF(Tabela4[[#This Row],[TIPO]]&gt;1,"",IFERROR(INDIRECT("CPU_"&amp;LEFT(SUBSTITUTE(SUBSTITUTE($G57," ",""),"-",""),20)&amp;"!j3"),""))</f>
        <v>UNID</v>
      </c>
      <c r="R57" s="238">
        <f ca="1">IF(Tabela4[[#This Row],[TIPO]]&gt;1,"",IFERROR(INDIRECT("CPU_"&amp;LEFT(SUBSTITUTE(SUBSTITUTE($G57," ",""),"-",""),20)&amp;"!g7"),""))</f>
        <v>0</v>
      </c>
      <c r="S57" s="28"/>
      <c r="T57" s="28"/>
      <c r="Z57" s="208"/>
      <c r="AA57" s="206">
        <f>SUMPRODUCT(Plan_Orc[Acum. 2023]*Tabela2[K]*(Tabela2[AGRUPADOR]=Tabela4[[#This Row],[Codigo]]))</f>
        <v>0</v>
      </c>
      <c r="AB57" s="210">
        <f ca="1">IF(AND(Tabela4[[#This Row],[TIPO]]&gt;1,PARAMETROS!$C$17="RDC"),0,IFERROR(INDIRECT(LEFT(SUBSTITUTE(SUBSTITUTE(#REF!," ",""),"-",""),20)&amp;"!ae3"),0))</f>
        <v>0</v>
      </c>
      <c r="AC57" s="206">
        <f ca="1">IF(AND(Tabela4[[#This Row],[TIPO]]&gt;1,PARAMETROS!$C$17="RDC"),SUMIF($F28:G$95,#REF!,$AB60:AC$158),AA57*AB57)</f>
        <v>0</v>
      </c>
      <c r="AD57" s="206" t="e">
        <f ca="1">IF(AND(Tabela4[[#This Row],[TIPO]]&gt;1,PARAMETROS!$C$17="RDC"),SUMIF($F28:G$95,#REF!,$AC60:AD$158),(#REF!-AB57)*AA57)</f>
        <v>#REF!</v>
      </c>
      <c r="AE57" s="207">
        <f t="shared" ca="1" si="5"/>
        <v>0</v>
      </c>
    </row>
    <row r="58" spans="2:31" hidden="1" x14ac:dyDescent="0.3">
      <c r="B58" s="327">
        <f>IF(Tabela4[[#This Row],[ETAPA]]&lt;&gt;0,0,0)</f>
        <v>0</v>
      </c>
      <c r="C58" s="328" t="str">
        <f t="shared" si="1"/>
        <v>...</v>
      </c>
      <c r="D58" s="324" t="s">
        <v>661</v>
      </c>
      <c r="E58" s="324">
        <f>IFERROR(VLOOKUP(Tabela4[[#This Row],[Codigo]],Tabela1[[SERVICO]:[ETAPA/SERVICO]],4),0)</f>
        <v>1</v>
      </c>
      <c r="F58" s="324" t="str">
        <f>IFERROR(VLOOKUP(Tabela4[[#This Row],[Codigo]],Tabela1[[SERVICO]:[ETAPA/SERVICO]],3),0)</f>
        <v>02.10 SAUS</v>
      </c>
      <c r="G58" s="324" t="str">
        <f>IFERROR(VLOOKUP(D58,Tabela1[[SERVICO]:[NOME SERVIÇO]],2,0),"")</f>
        <v>Sinalização vertical SAUS</v>
      </c>
      <c r="H58" s="325">
        <f>SUMIF(Resumo_Agrupamento!$B$4:$B$1000,Tabela4[[#This Row],[Codigo]],Resumo_Agrupamento!$C$4:$C$1000)</f>
        <v>0</v>
      </c>
      <c r="I58" s="326">
        <f ca="1">IF(AND(E58&gt;1,PARAMETROS!$C$17="RDC"),0,IFERROR(INDIRECT("CPU_"&amp;LEFT(SUBSTITUTE(SUBSTITUTE(G58," ",""),"-",""),20)&amp;"!k3"),0))</f>
        <v>22197.777777777777</v>
      </c>
      <c r="J58" s="326">
        <f>IF(AND(E58&gt;1,PARAMETROS!$C$17="RDC"),0,SUMIF(Resumo_Agrupamento!$B$4:$B$1000,D58,Resumo_Agrupamento!$D$4:$D$1000))</f>
        <v>0</v>
      </c>
      <c r="K58" s="325">
        <f ca="1">IF(AND(E58&gt;1,PARAMETROS!$C$17="RDC"),SUMIF(F$34:$F59,F58,K$34:$K59),H58*I58)</f>
        <v>0</v>
      </c>
      <c r="L58" s="325">
        <f>IF(AND(E58&gt;1,PARAMETROS!$C$17="RDC"),SUMIF(F$34:$F59,F58,L$34:$L59),SUMIF(Resumo_Agrupamento!$B$4:$B$1000,D58,Resumo_Agrupamento!$E$4:$E$1000))</f>
        <v>0</v>
      </c>
      <c r="M58" s="332">
        <f ca="1">L58-K58-L58*PARAMETROS!$C$19</f>
        <v>0</v>
      </c>
      <c r="N58" s="63">
        <f t="shared" ca="1" si="4"/>
        <v>0</v>
      </c>
      <c r="O58" s="208"/>
      <c r="P58" s="238">
        <f ca="1">IF(Tabela4[[#This Row],[TIPO]]&gt;1,"",IFERROR(INDIRECT("CPU_"&amp;LEFT(SUBSTITUTE(SUBSTITUTE($G58," ",""),"-",""),20)&amp;"!b6"),""))</f>
        <v>1</v>
      </c>
      <c r="Q58" s="28" t="str">
        <f ca="1">IF(Tabela4[[#This Row],[TIPO]]&gt;1,"",IFERROR(INDIRECT("CPU_"&amp;LEFT(SUBSTITUTE(SUBSTITUTE($G58," ",""),"-",""),20)&amp;"!j3"),""))</f>
        <v>UNID</v>
      </c>
      <c r="R58" s="238">
        <f ca="1">IF(Tabela4[[#This Row],[TIPO]]&gt;1,"",IFERROR(INDIRECT("CPU_"&amp;LEFT(SUBSTITUTE(SUBSTITUTE($G58," ",""),"-",""),20)&amp;"!g7"),""))</f>
        <v>0</v>
      </c>
      <c r="S58" s="28"/>
      <c r="T58" s="28"/>
      <c r="Z58" s="208"/>
      <c r="AA58" s="206">
        <f>SUMPRODUCT(Plan_Orc[Acum. 2023]*Tabela2[K]*(Tabela2[AGRUPADOR]=Tabela4[[#This Row],[Codigo]]))</f>
        <v>0</v>
      </c>
      <c r="AB58" s="210">
        <f ca="1">IF(AND(Tabela4[[#This Row],[TIPO]]&gt;1,PARAMETROS!$C$17="RDC"),0,IFERROR(INDIRECT(LEFT(SUBSTITUTE(SUBSTITUTE(#REF!," ",""),"-",""),20)&amp;"!ae3"),0))</f>
        <v>0</v>
      </c>
      <c r="AC58" s="206">
        <f ca="1">IF(AND(Tabela4[[#This Row],[TIPO]]&gt;1,PARAMETROS!$C$17="RDC"),SUMIF($F29:G$95,#REF!,$AB61:AC$158),AA58*AB58)</f>
        <v>0</v>
      </c>
      <c r="AD58" s="206" t="e">
        <f ca="1">IF(AND(Tabela4[[#This Row],[TIPO]]&gt;1,PARAMETROS!$C$17="RDC"),SUMIF($F29:G$95,#REF!,$AC61:AD$158),(#REF!-AB58)*AA58)</f>
        <v>#REF!</v>
      </c>
      <c r="AE58" s="207">
        <f t="shared" ca="1" si="5"/>
        <v>0</v>
      </c>
    </row>
    <row r="59" spans="2:31" hidden="1" x14ac:dyDescent="0.3">
      <c r="B59" s="327">
        <f>IF(Tabela4[[#This Row],[ETAPA]]&lt;&gt;0,0,0)</f>
        <v>0</v>
      </c>
      <c r="C59" s="328" t="str">
        <f t="shared" si="1"/>
        <v>...</v>
      </c>
      <c r="D59" s="324" t="s">
        <v>662</v>
      </c>
      <c r="E59" s="324">
        <f>IFERROR(VLOOKUP(Tabela4[[#This Row],[Codigo]],Tabela1[[SERVICO]:[ETAPA/SERVICO]],4),0)</f>
        <v>1</v>
      </c>
      <c r="F59" s="324" t="str">
        <f>IFERROR(VLOOKUP(Tabela4[[#This Row],[Codigo]],Tabela1[[SERVICO]:[ETAPA/SERVICO]],3),0)</f>
        <v>02.10 SAUS</v>
      </c>
      <c r="G59" s="324" t="str">
        <f>IFERROR(VLOOKUP(D59,Tabela1[[SERVICO]:[NOME SERVIÇO]],2,0),"")</f>
        <v>Defensa</v>
      </c>
      <c r="H59" s="325">
        <f>SUMIF(Resumo_Agrupamento!$B$4:$B$1000,Tabela4[[#This Row],[Codigo]],Resumo_Agrupamento!$C$4:$C$1000)</f>
        <v>0</v>
      </c>
      <c r="I59" s="326">
        <f ca="1">IF(AND(E59&gt;1,PARAMETROS!$C$17="RDC"),0,IFERROR(INDIRECT("CPU_"&amp;LEFT(SUBSTITUTE(SUBSTITUTE(G59," ",""),"-",""),20)&amp;"!k3"),0))</f>
        <v>0</v>
      </c>
      <c r="J59" s="326">
        <f>IF(AND(E59&gt;1,PARAMETROS!$C$17="RDC"),0,SUMIF(Resumo_Agrupamento!$B$4:$B$1000,D59,Resumo_Agrupamento!$D$4:$D$1000))</f>
        <v>0</v>
      </c>
      <c r="K59" s="325">
        <f ca="1">IF(AND(E59&gt;1,PARAMETROS!$C$17="RDC"),SUMIF(F$34:$F60,F59,K$34:$K60),H59*I59)</f>
        <v>0</v>
      </c>
      <c r="L59" s="325">
        <f>IF(AND(E59&gt;1,PARAMETROS!$C$17="RDC"),SUMIF(F$34:$F60,F59,L$34:$L60),SUMIF(Resumo_Agrupamento!$B$4:$B$1000,D59,Resumo_Agrupamento!$E$4:$E$1000))</f>
        <v>0</v>
      </c>
      <c r="M59" s="332">
        <f ca="1">L59-K59-L59*PARAMETROS!$C$19</f>
        <v>0</v>
      </c>
      <c r="N59" s="63">
        <f t="shared" ca="1" si="4"/>
        <v>0</v>
      </c>
      <c r="O59" s="208"/>
      <c r="P59" s="238" t="str">
        <f ca="1">IF(Tabela4[[#This Row],[TIPO]]&gt;1,"",IFERROR(INDIRECT("CPU_"&amp;LEFT(SUBSTITUTE(SUBSTITUTE($G59," ",""),"-",""),20)&amp;"!b6"),""))</f>
        <v/>
      </c>
      <c r="Q59" s="28" t="str">
        <f ca="1">IF(Tabela4[[#This Row],[TIPO]]&gt;1,"",IFERROR(INDIRECT("CPU_"&amp;LEFT(SUBSTITUTE(SUBSTITUTE($G59," ",""),"-",""),20)&amp;"!j3"),""))</f>
        <v/>
      </c>
      <c r="R59" s="238" t="str">
        <f ca="1">IF(Tabela4[[#This Row],[TIPO]]&gt;1,"",IFERROR(INDIRECT("CPU_"&amp;LEFT(SUBSTITUTE(SUBSTITUTE($G59," ",""),"-",""),20)&amp;"!g7"),""))</f>
        <v/>
      </c>
      <c r="S59" s="28"/>
      <c r="T59" s="28"/>
      <c r="Z59" s="208"/>
      <c r="AA59" s="206">
        <f>SUMPRODUCT(Plan_Orc[Acum. 2023]*Tabela2[K]*(Tabela2[AGRUPADOR]=Tabela4[[#This Row],[Codigo]]))</f>
        <v>0</v>
      </c>
      <c r="AB59" s="210">
        <f ca="1">IF(AND(Tabela4[[#This Row],[TIPO]]&gt;1,PARAMETROS!$C$17="RDC"),0,IFERROR(INDIRECT(LEFT(SUBSTITUTE(SUBSTITUTE(#REF!," ",""),"-",""),20)&amp;"!ae3"),0))</f>
        <v>0</v>
      </c>
      <c r="AC59" s="206">
        <f ca="1">IF(AND(Tabela4[[#This Row],[TIPO]]&gt;1,PARAMETROS!$C$17="RDC"),SUMIF($F30:G$95,#REF!,$AB62:AC$158),AA59*AB59)</f>
        <v>0</v>
      </c>
      <c r="AD59" s="206" t="e">
        <f ca="1">IF(AND(Tabela4[[#This Row],[TIPO]]&gt;1,PARAMETROS!$C$17="RDC"),SUMIF($F30:G$95,#REF!,$AC62:AD$158),(#REF!-AB59)*AA59)</f>
        <v>#REF!</v>
      </c>
      <c r="AE59" s="207">
        <f t="shared" ca="1" si="5"/>
        <v>0</v>
      </c>
    </row>
    <row r="60" spans="2:31" hidden="1" x14ac:dyDescent="0.3">
      <c r="B60" s="327">
        <f>IF(Tabela4[[#This Row],[ETAPA]]&lt;&gt;0,0,0)</f>
        <v>0</v>
      </c>
      <c r="C60" s="328" t="str">
        <f t="shared" si="1"/>
        <v>...</v>
      </c>
      <c r="D60" s="324" t="s">
        <v>663</v>
      </c>
      <c r="E60" s="324">
        <f>IFERROR(VLOOKUP(Tabela4[[#This Row],[Codigo]],Tabela1[[SERVICO]:[ETAPA/SERVICO]],4),0)</f>
        <v>1</v>
      </c>
      <c r="F60" s="324" t="str">
        <f>IFERROR(VLOOKUP(Tabela4[[#This Row],[Codigo]],Tabela1[[SERVICO]:[ETAPA/SERVICO]],3),0)</f>
        <v>02.10 SAUS</v>
      </c>
      <c r="G60" s="324" t="str">
        <f>IFERROR(VLOOKUP(D60,Tabela1[[SERVICO]:[NOME SERVIÇO]],2,0),"")</f>
        <v>Drenagem Superficial</v>
      </c>
      <c r="H60" s="325">
        <f>SUMIF(Resumo_Agrupamento!$B$4:$B$1000,Tabela4[[#This Row],[Codigo]],Resumo_Agrupamento!$C$4:$C$1000)</f>
        <v>0</v>
      </c>
      <c r="I60" s="326">
        <f ca="1">IF(AND(E60&gt;1,PARAMETROS!$C$17="RDC"),0,IFERROR(INDIRECT("CPU_"&amp;LEFT(SUBSTITUTE(SUBSTITUTE(G60," ",""),"-",""),20)&amp;"!k3"),0))</f>
        <v>0</v>
      </c>
      <c r="J60" s="326">
        <f>IF(AND(E60&gt;1,PARAMETROS!$C$17="RDC"),0,SUMIF(Resumo_Agrupamento!$B$4:$B$1000,D60,Resumo_Agrupamento!$D$4:$D$1000))</f>
        <v>0</v>
      </c>
      <c r="K60" s="325">
        <f ca="1">IF(AND(E60&gt;1,PARAMETROS!$C$17="RDC"),SUMIF(F$34:$F61,F60,K$34:$K61),H60*I60)</f>
        <v>0</v>
      </c>
      <c r="L60" s="325">
        <f>IF(AND(E60&gt;1,PARAMETROS!$C$17="RDC"),SUMIF(F$34:$F61,F60,L$34:$L61),SUMIF(Resumo_Agrupamento!$B$4:$B$1000,D60,Resumo_Agrupamento!$E$4:$E$1000))</f>
        <v>0</v>
      </c>
      <c r="M60" s="332">
        <f ca="1">L60-K60-L60*PARAMETROS!$C$19</f>
        <v>0</v>
      </c>
      <c r="N60" s="63">
        <f t="shared" ca="1" si="4"/>
        <v>0</v>
      </c>
      <c r="O60" s="208"/>
      <c r="P60" s="238">
        <f ca="1">IF(Tabela4[[#This Row],[TIPO]]&gt;1,"",IFERROR(INDIRECT("CPU_"&amp;LEFT(SUBSTITUTE(SUBSTITUTE($G60," ",""),"-",""),20)&amp;"!b6"),""))</f>
        <v>0</v>
      </c>
      <c r="Q60" s="28" t="str">
        <f ca="1">IF(Tabela4[[#This Row],[TIPO]]&gt;1,"",IFERROR(INDIRECT("CPU_"&amp;LEFT(SUBSTITUTE(SUBSTITUTE($G60," ",""),"-",""),20)&amp;"!j3"),""))</f>
        <v>UNID</v>
      </c>
      <c r="R60" s="238">
        <f ca="1">IF(Tabela4[[#This Row],[TIPO]]&gt;1,"",IFERROR(INDIRECT("CPU_"&amp;LEFT(SUBSTITUTE(SUBSTITUTE($G60," ",""),"-",""),20)&amp;"!g7"),""))</f>
        <v>0</v>
      </c>
      <c r="S60" s="28"/>
      <c r="T60" s="28"/>
      <c r="Z60" s="208"/>
      <c r="AA60" s="206">
        <f>SUMPRODUCT(Plan_Orc[Acum. 2023]*Tabela2[K]*(Tabela2[AGRUPADOR]=Tabela4[[#This Row],[Codigo]]))</f>
        <v>0</v>
      </c>
      <c r="AB60" s="210">
        <f ca="1">IF(AND(Tabela4[[#This Row],[TIPO]]&gt;1,PARAMETROS!$C$17="RDC"),0,IFERROR(INDIRECT(LEFT(SUBSTITUTE(SUBSTITUTE(H28," ",""),"-",""),20)&amp;"!ae3"),0))</f>
        <v>0</v>
      </c>
      <c r="AC60" s="206">
        <f ca="1">IF(AND(Tabela4[[#This Row],[TIPO]]&gt;1,PARAMETROS!$C$17="RDC"),SUMIF($F31:G$95,G28,$AB63:AC$158),AA60*AB60)</f>
        <v>0</v>
      </c>
      <c r="AD60" s="206">
        <f ca="1">IF(AND(Tabela4[[#This Row],[TIPO]]&gt;1,PARAMETROS!$C$17="RDC"),SUMIF($F31:G$95,G28,$AC63:AD$158),(J28-AB60)*AA60)</f>
        <v>0</v>
      </c>
      <c r="AE60" s="207">
        <f t="shared" ca="1" si="5"/>
        <v>0</v>
      </c>
    </row>
    <row r="61" spans="2:31" hidden="1" x14ac:dyDescent="0.3">
      <c r="B61" s="327">
        <f>IF(Tabela4[[#This Row],[ETAPA]]&lt;&gt;0,0,0)</f>
        <v>0</v>
      </c>
      <c r="C61" s="328" t="str">
        <f t="shared" si="1"/>
        <v>...</v>
      </c>
      <c r="D61" s="324" t="s">
        <v>664</v>
      </c>
      <c r="E61" s="324">
        <f>IFERROR(VLOOKUP(Tabela4[[#This Row],[Codigo]],Tabela1[[SERVICO]:[ETAPA/SERVICO]],4),0)</f>
        <v>1</v>
      </c>
      <c r="F61" s="324" t="str">
        <f>IFERROR(VLOOKUP(Tabela4[[#This Row],[Codigo]],Tabela1[[SERVICO]:[ETAPA/SERVICO]],3),0)</f>
        <v>02.10 SAUS</v>
      </c>
      <c r="G61" s="324" t="str">
        <f>IFERROR(VLOOKUP(D61,Tabela1[[SERVICO]:[NOME SERVIÇO]],2,0),"")</f>
        <v>Passeio de concreto</v>
      </c>
      <c r="H61" s="325">
        <f>SUMIF(Resumo_Agrupamento!$B$4:$B$1000,Tabela4[[#This Row],[Codigo]],Resumo_Agrupamento!$C$4:$C$1000)</f>
        <v>0</v>
      </c>
      <c r="I61" s="326">
        <f ca="1">IF(AND(E61&gt;1,PARAMETROS!$C$17="RDC"),0,IFERROR(INDIRECT("CPU_"&amp;LEFT(SUBSTITUTE(SUBSTITUTE(G61," ",""),"-",""),20)&amp;"!k3"),0))</f>
        <v>5593.2156537213687</v>
      </c>
      <c r="J61" s="326">
        <f>IF(AND(E61&gt;1,PARAMETROS!$C$17="RDC"),0,SUMIF(Resumo_Agrupamento!$B$4:$B$1000,D61,Resumo_Agrupamento!$D$4:$D$1000))</f>
        <v>0</v>
      </c>
      <c r="K61" s="325">
        <f ca="1">IF(AND(E61&gt;1,PARAMETROS!$C$17="RDC"),SUMIF(F$34:$F62,F61,K$34:$K62),H61*I61)</f>
        <v>0</v>
      </c>
      <c r="L61" s="325">
        <f>IF(AND(E61&gt;1,PARAMETROS!$C$17="RDC"),SUMIF(F$34:$F62,F61,L$34:$L62),SUMIF(Resumo_Agrupamento!$B$4:$B$1000,D61,Resumo_Agrupamento!$E$4:$E$1000))</f>
        <v>0</v>
      </c>
      <c r="M61" s="332">
        <f ca="1">L61-K61-L61*PARAMETROS!$C$19</f>
        <v>0</v>
      </c>
      <c r="N61" s="63">
        <f t="shared" ca="1" si="4"/>
        <v>0</v>
      </c>
      <c r="O61" s="208"/>
      <c r="P61" s="238">
        <f ca="1">IF(Tabela4[[#This Row],[TIPO]]&gt;1,"",IFERROR(INDIRECT("CPU_"&amp;LEFT(SUBSTITUTE(SUBSTITUTE($G61," ",""),"-",""),20)&amp;"!b6"),""))</f>
        <v>1</v>
      </c>
      <c r="Q61" s="28" t="str">
        <f ca="1">IF(Tabela4[[#This Row],[TIPO]]&gt;1,"",IFERROR(INDIRECT("CPU_"&amp;LEFT(SUBSTITUTE(SUBSTITUTE($G61," ",""),"-",""),20)&amp;"!j3"),""))</f>
        <v>UNID</v>
      </c>
      <c r="R61" s="238">
        <f ca="1">IF(Tabela4[[#This Row],[TIPO]]&gt;1,"",IFERROR(INDIRECT("CPU_"&amp;LEFT(SUBSTITUTE(SUBSTITUTE($G61," ",""),"-",""),20)&amp;"!g7"),""))</f>
        <v>0</v>
      </c>
      <c r="S61" s="28"/>
      <c r="T61" s="28"/>
      <c r="Z61" s="208"/>
      <c r="AA61" s="206">
        <f>SUMPRODUCT(Plan_Orc[Acum. 2023]*Tabela2[K]*(Tabela2[AGRUPADOR]=Tabela4[[#This Row],[Codigo]]))</f>
        <v>0</v>
      </c>
      <c r="AB61" s="210">
        <f ca="1">IF(AND(Tabela4[[#This Row],[TIPO]]&gt;1,PARAMETROS!$C$17="RDC"),0,IFERROR(INDIRECT(LEFT(SUBSTITUTE(SUBSTITUTE(H29," ",""),"-",""),20)&amp;"!ae3"),0))</f>
        <v>0</v>
      </c>
      <c r="AC61" s="206">
        <f ca="1">IF(AND(Tabela4[[#This Row],[TIPO]]&gt;1,PARAMETROS!$C$17="RDC"),SUMIF($F32:G$95,G29,$AB64:AC$158),AA61*AB61)</f>
        <v>0</v>
      </c>
      <c r="AD61" s="206">
        <f ca="1">IF(AND(Tabela4[[#This Row],[TIPO]]&gt;1,PARAMETROS!$C$17="RDC"),SUMIF($F32:G$95,G29,$AC64:AD$158),(J29-AB61)*AA61)</f>
        <v>0</v>
      </c>
      <c r="AE61" s="207">
        <f t="shared" ca="1" si="5"/>
        <v>0</v>
      </c>
    </row>
    <row r="62" spans="2:31" hidden="1" x14ac:dyDescent="0.3">
      <c r="B62" s="327">
        <f>IF(Tabela4[[#This Row],[ETAPA]]&lt;&gt;0,0,0)</f>
        <v>0</v>
      </c>
      <c r="C62" s="328" t="str">
        <f t="shared" si="1"/>
        <v>...</v>
      </c>
      <c r="D62" s="324" t="s">
        <v>665</v>
      </c>
      <c r="E62" s="324">
        <f>IFERROR(VLOOKUP(Tabela4[[#This Row],[Codigo]],Tabela1[[SERVICO]:[ETAPA/SERVICO]],4),0)</f>
        <v>1</v>
      </c>
      <c r="F62" s="324" t="str">
        <f>IFERROR(VLOOKUP(Tabela4[[#This Row],[Codigo]],Tabela1[[SERVICO]:[ETAPA/SERVICO]],3),0)</f>
        <v>02.10 SAUS</v>
      </c>
      <c r="G62" s="324" t="str">
        <f>IFERROR(VLOOKUP(D62,Tabela1[[SERVICO]:[NOME SERVIÇO]],2,0),"")</f>
        <v>Grama</v>
      </c>
      <c r="H62" s="325">
        <f>SUMIF(Resumo_Agrupamento!$B$4:$B$1000,Tabela4[[#This Row],[Codigo]],Resumo_Agrupamento!$C$4:$C$1000)</f>
        <v>0</v>
      </c>
      <c r="I62" s="326">
        <f ca="1">IF(AND(E62&gt;1,PARAMETROS!$C$17="RDC"),0,IFERROR(INDIRECT("CPU_"&amp;LEFT(SUBSTITUTE(SUBSTITUTE(G62," ",""),"-",""),20)&amp;"!k3"),0))</f>
        <v>19905.222222222223</v>
      </c>
      <c r="J62" s="326">
        <f>IF(AND(E62&gt;1,PARAMETROS!$C$17="RDC"),0,SUMIF(Resumo_Agrupamento!$B$4:$B$1000,D62,Resumo_Agrupamento!$D$4:$D$1000))</f>
        <v>0</v>
      </c>
      <c r="K62" s="325">
        <f ca="1">IF(AND(E62&gt;1,PARAMETROS!$C$17="RDC"),SUMIF(F$34:$F63,F62,K$34:$K63),H62*I62)</f>
        <v>0</v>
      </c>
      <c r="L62" s="325">
        <f>IF(AND(E62&gt;1,PARAMETROS!$C$17="RDC"),SUMIF(F$34:$F63,F62,L$34:$L63),SUMIF(Resumo_Agrupamento!$B$4:$B$1000,D62,Resumo_Agrupamento!$E$4:$E$1000))</f>
        <v>0</v>
      </c>
      <c r="M62" s="332">
        <f ca="1">L62-K62-L62*PARAMETROS!$C$19</f>
        <v>0</v>
      </c>
      <c r="N62" s="63">
        <f t="shared" ca="1" si="4"/>
        <v>0</v>
      </c>
      <c r="O62" s="208"/>
      <c r="P62" s="238">
        <f ca="1">IF(Tabela4[[#This Row],[TIPO]]&gt;1,"",IFERROR(INDIRECT("CPU_"&amp;LEFT(SUBSTITUTE(SUBSTITUTE($G62," ",""),"-",""),20)&amp;"!b6"),""))</f>
        <v>0.5</v>
      </c>
      <c r="Q62" s="28" t="str">
        <f ca="1">IF(Tabela4[[#This Row],[TIPO]]&gt;1,"",IFERROR(INDIRECT("CPU_"&amp;LEFT(SUBSTITUTE(SUBSTITUTE($G62," ",""),"-",""),20)&amp;"!j3"),""))</f>
        <v>UNID</v>
      </c>
      <c r="R62" s="238">
        <f ca="1">IF(Tabela4[[#This Row],[TIPO]]&gt;1,"",IFERROR(INDIRECT("CPU_"&amp;LEFT(SUBSTITUTE(SUBSTITUTE($G62," ",""),"-",""),20)&amp;"!g7"),""))</f>
        <v>0</v>
      </c>
      <c r="S62" s="28"/>
      <c r="T62" s="28"/>
      <c r="Z62" s="208"/>
      <c r="AA62" s="206">
        <f>SUMPRODUCT(Plan_Orc[Acum. 2023]*Tabela2[K]*(Tabela2[AGRUPADOR]=Tabela4[[#This Row],[Codigo]]))</f>
        <v>0</v>
      </c>
      <c r="AB62" s="210">
        <f ca="1">IF(AND(Tabela4[[#This Row],[TIPO]]&gt;1,PARAMETROS!$C$17="RDC"),0,IFERROR(INDIRECT(LEFT(SUBSTITUTE(SUBSTITUTE(H30," ",""),"-",""),20)&amp;"!ae3"),0))</f>
        <v>0</v>
      </c>
      <c r="AC62" s="206">
        <f ca="1">IF(AND(Tabela4[[#This Row],[TIPO]]&gt;1,PARAMETROS!$C$17="RDC"),SUMIF($F34:G$95,G30,$AB65:AC$158),AA62*AB62)</f>
        <v>0</v>
      </c>
      <c r="AD62" s="206">
        <f ca="1">IF(AND(Tabela4[[#This Row],[TIPO]]&gt;1,PARAMETROS!$C$17="RDC"),SUMIF($F34:G$95,G30,$AC65:AD$158),(J30-AB62)*AA62)</f>
        <v>0</v>
      </c>
      <c r="AE62" s="207">
        <f t="shared" ca="1" si="5"/>
        <v>0</v>
      </c>
    </row>
    <row r="63" spans="2:31" hidden="1" x14ac:dyDescent="0.3">
      <c r="B63" s="327">
        <f>IF(Tabela4[[#This Row],[ETAPA]]&lt;&gt;0,0,0)</f>
        <v>0</v>
      </c>
      <c r="C63" s="328" t="str">
        <f t="shared" si="1"/>
        <v>...</v>
      </c>
      <c r="D63" s="324" t="s">
        <v>666</v>
      </c>
      <c r="E63" s="324">
        <f>IFERROR(VLOOKUP(Tabela4[[#This Row],[Codigo]],Tabela1[[SERVICO]:[ETAPA/SERVICO]],4),0)</f>
        <v>1</v>
      </c>
      <c r="F63" s="324" t="str">
        <f>IFERROR(VLOOKUP(Tabela4[[#This Row],[Codigo]],Tabela1[[SERVICO]:[ETAPA/SERVICO]],3),0)</f>
        <v>02.10 SAUS</v>
      </c>
      <c r="G63" s="324" t="str">
        <f>IFERROR(VLOOKUP(D63,Tabela1[[SERVICO]:[NOME SERVIÇO]],2,0),"")</f>
        <v>Iluminação de aproximação</v>
      </c>
      <c r="H63" s="325">
        <f>SUMIF(Resumo_Agrupamento!$B$4:$B$1000,Tabela4[[#This Row],[Codigo]],Resumo_Agrupamento!$C$4:$C$1000)</f>
        <v>0</v>
      </c>
      <c r="I63" s="326">
        <f ca="1">IF(AND(E63&gt;1,PARAMETROS!$C$17="RDC"),0,IFERROR(INDIRECT("CPU_"&amp;LEFT(SUBSTITUTE(SUBSTITUTE(G63," ",""),"-",""),20)&amp;"!k3"),0))</f>
        <v>155555.55555555556</v>
      </c>
      <c r="J63" s="326">
        <f>IF(AND(E63&gt;1,PARAMETROS!$C$17="RDC"),0,SUMIF(Resumo_Agrupamento!$B$4:$B$1000,D63,Resumo_Agrupamento!$D$4:$D$1000))</f>
        <v>0</v>
      </c>
      <c r="K63" s="325">
        <f ca="1">IF(AND(E63&gt;1,PARAMETROS!$C$17="RDC"),SUMIF(F$34:$F64,F63,K$34:$K64),H63*I63)</f>
        <v>0</v>
      </c>
      <c r="L63" s="325">
        <f>IF(AND(E63&gt;1,PARAMETROS!$C$17="RDC"),SUMIF(F$34:$F64,F63,L$34:$L64),SUMIF(Resumo_Agrupamento!$B$4:$B$1000,D63,Resumo_Agrupamento!$E$4:$E$1000))</f>
        <v>0</v>
      </c>
      <c r="M63" s="332">
        <f ca="1">L63-K63-L63*PARAMETROS!$C$19</f>
        <v>0</v>
      </c>
      <c r="N63" s="63">
        <f t="shared" ca="1" si="4"/>
        <v>0</v>
      </c>
      <c r="O63" s="208"/>
      <c r="P63" s="238">
        <f ca="1">IF(Tabela4[[#This Row],[TIPO]]&gt;1,"",IFERROR(INDIRECT("CPU_"&amp;LEFT(SUBSTITUTE(SUBSTITUTE($G63," ",""),"-",""),20)&amp;"!b6"),""))</f>
        <v>1</v>
      </c>
      <c r="Q63" s="28" t="str">
        <f ca="1">IF(Tabela4[[#This Row],[TIPO]]&gt;1,"",IFERROR(INDIRECT("CPU_"&amp;LEFT(SUBSTITUTE(SUBSTITUTE($G63," ",""),"-",""),20)&amp;"!j3"),""))</f>
        <v>UNID</v>
      </c>
      <c r="R63" s="238">
        <f ca="1">IF(Tabela4[[#This Row],[TIPO]]&gt;1,"",IFERROR(INDIRECT("CPU_"&amp;LEFT(SUBSTITUTE(SUBSTITUTE($G63," ",""),"-",""),20)&amp;"!g7"),""))</f>
        <v>0</v>
      </c>
      <c r="S63" s="28"/>
      <c r="T63" s="28"/>
      <c r="Z63" s="208"/>
      <c r="AA63" s="206">
        <f>SUMPRODUCT(Plan_Orc[Acum. 2023]*Tabela2[K]*(Tabela2[AGRUPADOR]=Tabela4[[#This Row],[Codigo]]))</f>
        <v>0</v>
      </c>
      <c r="AB63" s="210">
        <f ca="1">IF(AND(Tabela4[[#This Row],[TIPO]]&gt;1,PARAMETROS!$C$17="RDC"),0,IFERROR(INDIRECT(LEFT(SUBSTITUTE(SUBSTITUTE(H31," ",""),"-",""),20)&amp;"!ae3"),0))</f>
        <v>0</v>
      </c>
      <c r="AC63" s="206">
        <f ca="1">IF(AND(Tabela4[[#This Row],[TIPO]]&gt;1,PARAMETROS!$C$17="RDC"),SUMIF($F34:G$95,G31,$AB66:AC$158),AA63*AB63)</f>
        <v>0</v>
      </c>
      <c r="AD63" s="206">
        <f ca="1">IF(AND(Tabela4[[#This Row],[TIPO]]&gt;1,PARAMETROS!$C$17="RDC"),SUMIF($F34:G$95,G31,$AC66:AD$158),(J31-AB63)*AA63)</f>
        <v>0</v>
      </c>
      <c r="AE63" s="207">
        <f t="shared" ca="1" si="5"/>
        <v>0</v>
      </c>
    </row>
    <row r="64" spans="2:31" hidden="1" x14ac:dyDescent="0.3">
      <c r="B64" s="327">
        <f>IF(Tabela4[[#This Row],[ETAPA]]&lt;&gt;0,0,0)</f>
        <v>0</v>
      </c>
      <c r="C64" s="328" t="str">
        <f t="shared" si="1"/>
        <v>...</v>
      </c>
      <c r="D64" s="324" t="s">
        <v>667</v>
      </c>
      <c r="E64" s="324">
        <f>IFERROR(VLOOKUP(Tabela4[[#This Row],[Codigo]],Tabela1[[SERVICO]:[ETAPA/SERVICO]],4),0)</f>
        <v>1</v>
      </c>
      <c r="F64" s="324" t="str">
        <f>IFERROR(VLOOKUP(Tabela4[[#This Row],[Codigo]],Tabela1[[SERVICO]:[ETAPA/SERVICO]],3),0)</f>
        <v>02.10 SAUS</v>
      </c>
      <c r="G64" s="324" t="str">
        <f>IFERROR(VLOOKUP(D64,Tabela1[[SERVICO]:[NOME SERVIÇO]],2,0),"")</f>
        <v>Iluminação BSO e SAL</v>
      </c>
      <c r="H64" s="325">
        <f>SUMIF(Resumo_Agrupamento!$B$4:$B$1000,Tabela4[[#This Row],[Codigo]],Resumo_Agrupamento!$C$4:$C$1000)</f>
        <v>0</v>
      </c>
      <c r="I64" s="326">
        <f ca="1">IF(AND(E64&gt;1,PARAMETROS!$C$17="RDC"),0,IFERROR(INDIRECT("CPU_"&amp;LEFT(SUBSTITUTE(SUBSTITUTE(G64," ",""),"-",""),20)&amp;"!k3"),0))</f>
        <v>166666.66666666666</v>
      </c>
      <c r="J64" s="326">
        <f>IF(AND(E64&gt;1,PARAMETROS!$C$17="RDC"),0,SUMIF(Resumo_Agrupamento!$B$4:$B$1000,D64,Resumo_Agrupamento!$D$4:$D$1000))</f>
        <v>0</v>
      </c>
      <c r="K64" s="325">
        <f ca="1">IF(AND(E64&gt;1,PARAMETROS!$C$17="RDC"),SUMIF(F$34:$F65,F64,K$34:$K65),H64*I64)</f>
        <v>0</v>
      </c>
      <c r="L64" s="325">
        <f>IF(AND(E64&gt;1,PARAMETROS!$C$17="RDC"),SUMIF(F$34:$F65,F64,L$34:$L65),SUMIF(Resumo_Agrupamento!$B$4:$B$1000,D64,Resumo_Agrupamento!$E$4:$E$1000))</f>
        <v>0</v>
      </c>
      <c r="M64" s="332">
        <f ca="1">L64-K64-L64*PARAMETROS!$C$19</f>
        <v>0</v>
      </c>
      <c r="N64" s="63">
        <f t="shared" ca="1" si="4"/>
        <v>0</v>
      </c>
      <c r="O64" s="208"/>
      <c r="P64" s="238">
        <f ca="1">IF(Tabela4[[#This Row],[TIPO]]&gt;1,"",IFERROR(INDIRECT("CPU_"&amp;LEFT(SUBSTITUTE(SUBSTITUTE($G64," ",""),"-",""),20)&amp;"!b6"),""))</f>
        <v>1</v>
      </c>
      <c r="Q64" s="28" t="str">
        <f ca="1">IF(Tabela4[[#This Row],[TIPO]]&gt;1,"",IFERROR(INDIRECT("CPU_"&amp;LEFT(SUBSTITUTE(SUBSTITUTE($G64," ",""),"-",""),20)&amp;"!j3"),""))</f>
        <v>UNID</v>
      </c>
      <c r="R64" s="238">
        <f ca="1">IF(Tabela4[[#This Row],[TIPO]]&gt;1,"",IFERROR(INDIRECT("CPU_"&amp;LEFT(SUBSTITUTE(SUBSTITUTE($G64," ",""),"-",""),20)&amp;"!g7"),""))</f>
        <v>0</v>
      </c>
      <c r="S64" s="28"/>
      <c r="T64" s="28"/>
      <c r="Z64" s="208"/>
      <c r="AA64" s="206">
        <f>SUMPRODUCT(Plan_Orc[Acum. 2023]*Tabela2[K]*(Tabela2[AGRUPADOR]=Tabela4[[#This Row],[Codigo]]))</f>
        <v>0</v>
      </c>
      <c r="AB64" s="210">
        <f ca="1">IF(AND(Tabela4[[#This Row],[TIPO]]&gt;1,PARAMETROS!$C$17="RDC"),0,IFERROR(INDIRECT(LEFT(SUBSTITUTE(SUBSTITUTE(H32," ",""),"-",""),20)&amp;"!ae3"),0))</f>
        <v>0</v>
      </c>
      <c r="AC64" s="206">
        <f ca="1">IF(AND(Tabela4[[#This Row],[TIPO]]&gt;1,PARAMETROS!$C$17="RDC"),SUMIF($F34:G$95,G32,$AB67:AC$158),AA64*AB64)</f>
        <v>0</v>
      </c>
      <c r="AD64" s="206">
        <f ca="1">IF(AND(Tabela4[[#This Row],[TIPO]]&gt;1,PARAMETROS!$C$17="RDC"),SUMIF($F34:G$95,G32,$AC67:AD$158),(J32-AB64)*AA64)</f>
        <v>0</v>
      </c>
      <c r="AE64" s="207">
        <f t="shared" ca="1" si="5"/>
        <v>0</v>
      </c>
    </row>
    <row r="65" spans="2:31" hidden="1" x14ac:dyDescent="0.3">
      <c r="B65" s="327">
        <f>IF(Tabela4[[#This Row],[ETAPA]]&lt;&gt;0,0,0)</f>
        <v>0</v>
      </c>
      <c r="C65" s="328" t="str">
        <f t="shared" si="1"/>
        <v>...</v>
      </c>
      <c r="D65" s="324" t="s">
        <v>668</v>
      </c>
      <c r="E65" s="324">
        <f>IFERROR(VLOOKUP(Tabela4[[#This Row],[Codigo]],Tabela1[[SERVICO]:[ETAPA/SERVICO]],4),0)</f>
        <v>1</v>
      </c>
      <c r="F65" s="324" t="str">
        <f>IFERROR(VLOOKUP(Tabela4[[#This Row],[Codigo]],Tabela1[[SERVICO]:[ETAPA/SERVICO]],3),0)</f>
        <v>02.10 SAUS</v>
      </c>
      <c r="G65" s="324" t="str">
        <f>IFERROR(VLOOKUP(D65,Tabela1[[SERVICO]:[NOME SERVIÇO]],2,0),"")</f>
        <v>Alambrado</v>
      </c>
      <c r="H65" s="325">
        <f>SUMIF(Resumo_Agrupamento!$B$4:$B$1000,Tabela4[[#This Row],[Codigo]],Resumo_Agrupamento!$C$4:$C$1000)</f>
        <v>0</v>
      </c>
      <c r="I65" s="326">
        <f ca="1">IF(AND(E65&gt;1,PARAMETROS!$C$17="RDC"),0,IFERROR(INDIRECT("CPU_"&amp;LEFT(SUBSTITUTE(SUBSTITUTE(G65," ",""),"-",""),20)&amp;"!k3"),0))</f>
        <v>54774.238732004414</v>
      </c>
      <c r="J65" s="326">
        <f>IF(AND(E65&gt;1,PARAMETROS!$C$17="RDC"),0,SUMIF(Resumo_Agrupamento!$B$4:$B$1000,D65,Resumo_Agrupamento!$D$4:$D$1000))</f>
        <v>0</v>
      </c>
      <c r="K65" s="325">
        <f ca="1">IF(AND(E65&gt;1,PARAMETROS!$C$17="RDC"),SUMIF(F$34:$F66,F65,K$34:$K66),H65*I65)</f>
        <v>0</v>
      </c>
      <c r="L65" s="325">
        <f>IF(AND(E65&gt;1,PARAMETROS!$C$17="RDC"),SUMIF(F$34:$F66,F65,L$34:$L66),SUMIF(Resumo_Agrupamento!$B$4:$B$1000,D65,Resumo_Agrupamento!$E$4:$E$1000))</f>
        <v>0</v>
      </c>
      <c r="M65" s="332">
        <f ca="1">L65-K65-L65*PARAMETROS!$C$19</f>
        <v>0</v>
      </c>
      <c r="N65" s="63">
        <f t="shared" ca="1" si="4"/>
        <v>0</v>
      </c>
      <c r="O65" s="208"/>
      <c r="P65" s="238">
        <f ca="1">IF(Tabela4[[#This Row],[TIPO]]&gt;1,"",IFERROR(INDIRECT("CPU_"&amp;LEFT(SUBSTITUTE(SUBSTITUTE($G65," ",""),"-",""),20)&amp;"!b6"),""))</f>
        <v>0.1</v>
      </c>
      <c r="Q65" s="28" t="str">
        <f ca="1">IF(Tabela4[[#This Row],[TIPO]]&gt;1,"",IFERROR(INDIRECT("CPU_"&amp;LEFT(SUBSTITUTE(SUBSTITUTE($G65," ",""),"-",""),20)&amp;"!j3"),""))</f>
        <v>UNID</v>
      </c>
      <c r="R65" s="238">
        <f ca="1">IF(Tabela4[[#This Row],[TIPO]]&gt;1,"",IFERROR(INDIRECT("CPU_"&amp;LEFT(SUBSTITUTE(SUBSTITUTE($G65," ",""),"-",""),20)&amp;"!g7"),""))</f>
        <v>0</v>
      </c>
      <c r="S65" s="28"/>
      <c r="T65" s="28"/>
      <c r="Z65" s="208"/>
      <c r="AA65" s="206">
        <f>SUMPRODUCT(Plan_Orc[Acum. 2023]*Tabela2[K]*(Tabela2[AGRUPADOR]=Tabela4[[#This Row],[Codigo]]))</f>
        <v>0</v>
      </c>
      <c r="AB65" s="210">
        <f ca="1">IF(AND(Tabela4[[#This Row],[TIPO]]&gt;1,PARAMETROS!$C$17="RDC"),0,IFERROR(INDIRECT(LEFT(SUBSTITUTE(SUBSTITUTE(#REF!," ",""),"-",""),20)&amp;"!ae3"),0))</f>
        <v>0</v>
      </c>
      <c r="AC65" s="206">
        <f ca="1">IF(AND(Tabela4[[#This Row],[TIPO]]&gt;1,PARAMETROS!$C$17="RDC"),SUMIF($F34:G$95,#REF!,$AB68:AC$158),AA65*AB65)</f>
        <v>0</v>
      </c>
      <c r="AD65" s="206" t="e">
        <f ca="1">IF(AND(Tabela4[[#This Row],[TIPO]]&gt;1,PARAMETROS!$C$17="RDC"),SUMIF($F34:G$95,#REF!,$AC68:AD$158),(#REF!-AB65)*AA65)</f>
        <v>#REF!</v>
      </c>
      <c r="AE65" s="207">
        <f t="shared" ca="1" si="5"/>
        <v>0</v>
      </c>
    </row>
    <row r="66" spans="2:31" hidden="1" x14ac:dyDescent="0.3">
      <c r="B66" s="327">
        <f>IF(Tabela4[[#This Row],[ETAPA]]&lt;&gt;0,0,0)</f>
        <v>0</v>
      </c>
      <c r="C66" s="328" t="str">
        <f t="shared" si="1"/>
        <v>...</v>
      </c>
      <c r="D66" s="324" t="s">
        <v>669</v>
      </c>
      <c r="E66" s="324">
        <f>IFERROR(VLOOKUP(Tabela4[[#This Row],[Codigo]],Tabela1[[SERVICO]:[ETAPA/SERVICO]],4),0)</f>
        <v>1</v>
      </c>
      <c r="F66" s="324" t="str">
        <f>IFERROR(VLOOKUP(Tabela4[[#This Row],[Codigo]],Tabela1[[SERVICO]:[ETAPA/SERVICO]],3),0)</f>
        <v>02.10 SAUS</v>
      </c>
      <c r="G66" s="324" t="str">
        <f>IFERROR(VLOOKUP(D66,Tabela1[[SERVICO]:[NOME SERVIÇO]],2,0),"")</f>
        <v>Reservatorio</v>
      </c>
      <c r="H66" s="325">
        <f>SUMIF(Resumo_Agrupamento!$B$4:$B$1000,Tabela4[[#This Row],[Codigo]],Resumo_Agrupamento!$C$4:$C$1000)</f>
        <v>0</v>
      </c>
      <c r="I66" s="326">
        <f ca="1">IF(AND(E66&gt;1,PARAMETROS!$C$17="RDC"),0,IFERROR(INDIRECT("CPU_"&amp;LEFT(SUBSTITUTE(SUBSTITUTE(G66," ",""),"-",""),20)&amp;"!k3"),0))</f>
        <v>24244.361672668874</v>
      </c>
      <c r="J66" s="326">
        <f>IF(AND(E66&gt;1,PARAMETROS!$C$17="RDC"),0,SUMIF(Resumo_Agrupamento!$B$4:$B$1000,D66,Resumo_Agrupamento!$D$4:$D$1000))</f>
        <v>0</v>
      </c>
      <c r="K66" s="325">
        <f ca="1">IF(AND(E66&gt;1,PARAMETROS!$C$17="RDC"),SUMIF(F$34:$F67,F66,K$34:$K67),H66*I66)</f>
        <v>0</v>
      </c>
      <c r="L66" s="325">
        <f>IF(AND(E66&gt;1,PARAMETROS!$C$17="RDC"),SUMIF(F$34:$F67,F66,L$34:$L67),SUMIF(Resumo_Agrupamento!$B$4:$B$1000,D66,Resumo_Agrupamento!$E$4:$E$1000))</f>
        <v>0</v>
      </c>
      <c r="M66" s="332">
        <f ca="1">L66-K66-L66*PARAMETROS!$C$19</f>
        <v>0</v>
      </c>
      <c r="N66" s="63">
        <f t="shared" ca="1" si="4"/>
        <v>0</v>
      </c>
      <c r="O66" s="208"/>
      <c r="P66" s="238">
        <f ca="1">IF(Tabela4[[#This Row],[TIPO]]&gt;1,"",IFERROR(INDIRECT("CPU_"&amp;LEFT(SUBSTITUTE(SUBSTITUTE($G66," ",""),"-",""),20)&amp;"!b6"),""))</f>
        <v>0.2</v>
      </c>
      <c r="Q66" s="28" t="str">
        <f ca="1">IF(Tabela4[[#This Row],[TIPO]]&gt;1,"",IFERROR(INDIRECT("CPU_"&amp;LEFT(SUBSTITUTE(SUBSTITUTE($G66," ",""),"-",""),20)&amp;"!j3"),""))</f>
        <v>UNID</v>
      </c>
      <c r="R66" s="238">
        <f ca="1">IF(Tabela4[[#This Row],[TIPO]]&gt;1,"",IFERROR(INDIRECT("CPU_"&amp;LEFT(SUBSTITUTE(SUBSTITUTE($G66," ",""),"-",""),20)&amp;"!g7"),""))</f>
        <v>0</v>
      </c>
      <c r="S66" s="28"/>
      <c r="T66" s="28"/>
      <c r="Z66" s="208"/>
      <c r="AA66" s="206">
        <f>SUMPRODUCT(Plan_Orc[Acum. 2023]*Tabela2[K]*(Tabela2[AGRUPADOR]=Tabela4[[#This Row],[Codigo]]))</f>
        <v>0</v>
      </c>
      <c r="AB66" s="210">
        <f ca="1">IF(AND(Tabela4[[#This Row],[TIPO]]&gt;1,PARAMETROS!$C$17="RDC"),0,IFERROR(INDIRECT(LEFT(SUBSTITUTE(SUBSTITUTE(#REF!," ",""),"-",""),20)&amp;"!ae3"),0))</f>
        <v>0</v>
      </c>
      <c r="AC66" s="206">
        <f ca="1">IF(AND(Tabela4[[#This Row],[TIPO]]&gt;1,PARAMETROS!$C$17="RDC"),SUMIF($F34:G$95,#REF!,$AB69:AC$158),AA66*AB66)</f>
        <v>0</v>
      </c>
      <c r="AD66" s="206" t="e">
        <f ca="1">IF(AND(Tabela4[[#This Row],[TIPO]]&gt;1,PARAMETROS!$C$17="RDC"),SUMIF($F34:G$95,#REF!,$AC69:AD$158),(#REF!-AB66)*AA66)</f>
        <v>#REF!</v>
      </c>
      <c r="AE66" s="207">
        <f t="shared" ca="1" si="5"/>
        <v>0</v>
      </c>
    </row>
    <row r="67" spans="2:31" hidden="1" x14ac:dyDescent="0.3">
      <c r="B67" s="327">
        <f>IF(Tabela4[[#This Row],[ETAPA]]&lt;&gt;0,0,0)</f>
        <v>0</v>
      </c>
      <c r="C67" s="328" t="str">
        <f t="shared" si="1"/>
        <v>...</v>
      </c>
      <c r="D67" s="324" t="s">
        <v>670</v>
      </c>
      <c r="E67" s="324">
        <f>IFERROR(VLOOKUP(Tabela4[[#This Row],[Codigo]],Tabela1[[SERVICO]:[ETAPA/SERVICO]],4),0)</f>
        <v>1</v>
      </c>
      <c r="F67" s="324" t="str">
        <f>IFERROR(VLOOKUP(Tabela4[[#This Row],[Codigo]],Tabela1[[SERVICO]:[ETAPA/SERVICO]],3),0)</f>
        <v>02.10 SAUS</v>
      </c>
      <c r="G67" s="324" t="str">
        <f>IFERROR(VLOOKUP(D67,Tabela1[[SERVICO]:[NOME SERVIÇO]],2,0),"")</f>
        <v>Fundação estrutura metalica</v>
      </c>
      <c r="H67" s="325">
        <f>SUMIF(Resumo_Agrupamento!$B$4:$B$1000,Tabela4[[#This Row],[Codigo]],Resumo_Agrupamento!$C$4:$C$1000)</f>
        <v>0</v>
      </c>
      <c r="I67" s="326">
        <f ca="1">IF(AND(E67&gt;1,PARAMETROS!$C$17="RDC"),0,IFERROR(INDIRECT("CPU_"&amp;LEFT(SUBSTITUTE(SUBSTITUTE(G67," ",""),"-",""),20)&amp;"!k3"),0))</f>
        <v>17451.83396875608</v>
      </c>
      <c r="J67" s="326">
        <f>IF(AND(E67&gt;1,PARAMETROS!$C$17="RDC"),0,SUMIF(Resumo_Agrupamento!$B$4:$B$1000,D67,Resumo_Agrupamento!$D$4:$D$1000))</f>
        <v>0</v>
      </c>
      <c r="K67" s="325">
        <f ca="1">IF(AND(E67&gt;1,PARAMETROS!$C$17="RDC"),SUMIF(F$34:$F68,F67,K$34:$K68),H67*I67)</f>
        <v>0</v>
      </c>
      <c r="L67" s="325">
        <f>IF(AND(E67&gt;1,PARAMETROS!$C$17="RDC"),SUMIF(F$34:$F68,F67,L$34:$L68),SUMIF(Resumo_Agrupamento!$B$4:$B$1000,D67,Resumo_Agrupamento!$E$4:$E$1000))</f>
        <v>0</v>
      </c>
      <c r="M67" s="332">
        <f ca="1">L67-K67-L67*PARAMETROS!$C$19</f>
        <v>0</v>
      </c>
      <c r="N67" s="63">
        <f t="shared" ca="1" si="4"/>
        <v>0</v>
      </c>
      <c r="O67" s="208"/>
      <c r="P67" s="238">
        <f ca="1">IF(Tabela4[[#This Row],[TIPO]]&gt;1,"",IFERROR(INDIRECT("CPU_"&amp;LEFT(SUBSTITUTE(SUBSTITUTE($G67," ",""),"-",""),20)&amp;"!b6"),""))</f>
        <v>0.2</v>
      </c>
      <c r="Q67" s="28" t="str">
        <f ca="1">IF(Tabela4[[#This Row],[TIPO]]&gt;1,"",IFERROR(INDIRECT("CPU_"&amp;LEFT(SUBSTITUTE(SUBSTITUTE($G67," ",""),"-",""),20)&amp;"!j3"),""))</f>
        <v>UNID</v>
      </c>
      <c r="R67" s="238">
        <f ca="1">IF(Tabela4[[#This Row],[TIPO]]&gt;1,"",IFERROR(INDIRECT("CPU_"&amp;LEFT(SUBSTITUTE(SUBSTITUTE($G67," ",""),"-",""),20)&amp;"!g7"),""))</f>
        <v>0</v>
      </c>
      <c r="S67" s="28"/>
      <c r="T67" s="28"/>
      <c r="Z67" s="208"/>
      <c r="AA67" s="206">
        <f>SUMPRODUCT(Plan_Orc[Acum. 2023]*Tabela2[K]*(Tabela2[AGRUPADOR]=Tabela4[[#This Row],[Codigo]]))</f>
        <v>0</v>
      </c>
      <c r="AB67" s="210">
        <f ca="1">IF(AND(Tabela4[[#This Row],[TIPO]]&gt;1,PARAMETROS!$C$17="RDC"),0,IFERROR(INDIRECT(LEFT(SUBSTITUTE(SUBSTITUTE(#REF!," ",""),"-",""),20)&amp;"!ae3"),0))</f>
        <v>0</v>
      </c>
      <c r="AC67" s="206">
        <f ca="1">IF(AND(Tabela4[[#This Row],[TIPO]]&gt;1,PARAMETROS!$C$17="RDC"),SUMIF($F34:G$95,#REF!,$AB70:AC$158),AA67*AB67)</f>
        <v>0</v>
      </c>
      <c r="AD67" s="206" t="e">
        <f ca="1">IF(AND(Tabela4[[#This Row],[TIPO]]&gt;1,PARAMETROS!$C$17="RDC"),SUMIF($F34:G$95,#REF!,$AC70:AD$158),(#REF!-AB67)*AA67)</f>
        <v>#REF!</v>
      </c>
      <c r="AE67" s="207">
        <f t="shared" ca="1" si="5"/>
        <v>0</v>
      </c>
    </row>
    <row r="68" spans="2:31" hidden="1" x14ac:dyDescent="0.3">
      <c r="B68" s="327">
        <f>IF(Tabela4[[#This Row],[ETAPA]]&lt;&gt;0,0,0)</f>
        <v>0</v>
      </c>
      <c r="C68" s="328" t="str">
        <f t="shared" si="1"/>
        <v>...</v>
      </c>
      <c r="D68" s="324" t="s">
        <v>671</v>
      </c>
      <c r="E68" s="324">
        <f>IFERROR(VLOOKUP(Tabela4[[#This Row],[Codigo]],Tabela1[[SERVICO]:[ETAPA/SERVICO]],4),0)</f>
        <v>1</v>
      </c>
      <c r="F68" s="324" t="str">
        <f>IFERROR(VLOOKUP(Tabela4[[#This Row],[Codigo]],Tabela1[[SERVICO]:[ETAPA/SERVICO]],3),0)</f>
        <v>02.10 SAUS</v>
      </c>
      <c r="G68" s="324" t="str">
        <f>IFERROR(VLOOKUP(D68,Tabela1[[SERVICO]:[NOME SERVIÇO]],2,0),"")</f>
        <v>Instalação estrutura metalica</v>
      </c>
      <c r="H68" s="325">
        <f>SUMIF(Resumo_Agrupamento!$B$4:$B$1000,Tabela4[[#This Row],[Codigo]],Resumo_Agrupamento!$C$4:$C$1000)</f>
        <v>0</v>
      </c>
      <c r="I68" s="326">
        <f ca="1">IF(AND(E68&gt;1,PARAMETROS!$C$17="RDC"),0,IFERROR(INDIRECT("CPU_"&amp;LEFT(SUBSTITUTE(SUBSTITUTE(G68," ",""),"-",""),20)&amp;"!k3"),0))</f>
        <v>0</v>
      </c>
      <c r="J68" s="326">
        <f>IF(AND(E68&gt;1,PARAMETROS!$C$17="RDC"),0,SUMIF(Resumo_Agrupamento!$B$4:$B$1000,D68,Resumo_Agrupamento!$D$4:$D$1000))</f>
        <v>0</v>
      </c>
      <c r="K68" s="325">
        <f ca="1">IF(AND(E68&gt;1,PARAMETROS!$C$17="RDC"),SUMIF(F$34:$F69,F68,K$34:$K69),H68*I68)</f>
        <v>0</v>
      </c>
      <c r="L68" s="325">
        <f>IF(AND(E68&gt;1,PARAMETROS!$C$17="RDC"),SUMIF(F$34:$F69,F68,L$34:$L69),SUMIF(Resumo_Agrupamento!$B$4:$B$1000,D68,Resumo_Agrupamento!$E$4:$E$1000))</f>
        <v>0</v>
      </c>
      <c r="M68" s="332">
        <f ca="1">L68-K68-L68*PARAMETROS!$C$19</f>
        <v>0</v>
      </c>
      <c r="N68" s="63">
        <f t="shared" ca="1" si="4"/>
        <v>0</v>
      </c>
      <c r="O68" s="208"/>
      <c r="P68" s="238">
        <f ca="1">IF(Tabela4[[#This Row],[TIPO]]&gt;1,"",IFERROR(INDIRECT("CPU_"&amp;LEFT(SUBSTITUTE(SUBSTITUTE($G68," ",""),"-",""),20)&amp;"!b6"),""))</f>
        <v>1</v>
      </c>
      <c r="Q68" s="28" t="str">
        <f ca="1">IF(Tabela4[[#This Row],[TIPO]]&gt;1,"",IFERROR(INDIRECT("CPU_"&amp;LEFT(SUBSTITUTE(SUBSTITUTE($G68," ",""),"-",""),20)&amp;"!j3"),""))</f>
        <v>UNID</v>
      </c>
      <c r="R68" s="238">
        <f ca="1">IF(Tabela4[[#This Row],[TIPO]]&gt;1,"",IFERROR(INDIRECT("CPU_"&amp;LEFT(SUBSTITUTE(SUBSTITUTE($G68," ",""),"-",""),20)&amp;"!g7"),""))</f>
        <v>0</v>
      </c>
      <c r="S68" s="28"/>
      <c r="T68" s="28"/>
      <c r="Z68" s="208"/>
      <c r="AA68" s="206">
        <f>SUMPRODUCT(Plan_Orc[Acum. 2023]*Tabela2[K]*(Tabela2[AGRUPADOR]=Tabela4[[#This Row],[Codigo]]))</f>
        <v>0</v>
      </c>
      <c r="AB68" s="210">
        <f ca="1">IF(AND(Tabela4[[#This Row],[TIPO]]&gt;1,PARAMETROS!$C$17="RDC"),0,IFERROR(INDIRECT(LEFT(SUBSTITUTE(SUBSTITUTE(#REF!," ",""),"-",""),20)&amp;"!ae3"),0))</f>
        <v>0</v>
      </c>
      <c r="AC68" s="206">
        <f ca="1">IF(AND(Tabela4[[#This Row],[TIPO]]&gt;1,PARAMETROS!$C$17="RDC"),SUMIF($F34:G$95,#REF!,$AB71:AC$158),AA68*AB68)</f>
        <v>0</v>
      </c>
      <c r="AD68" s="206" t="e">
        <f ca="1">IF(AND(Tabela4[[#This Row],[TIPO]]&gt;1,PARAMETROS!$C$17="RDC"),SUMIF($F34:G$95,#REF!,$AC71:AD$158),(#REF!-AB68)*AA68)</f>
        <v>#REF!</v>
      </c>
      <c r="AE68" s="207">
        <f t="shared" ca="1" si="5"/>
        <v>0</v>
      </c>
    </row>
    <row r="69" spans="2:31" hidden="1" x14ac:dyDescent="0.3">
      <c r="B69" s="28">
        <f>IF(Tabela4[[#This Row],[ETAPA]]&lt;&gt;0,0,0)</f>
        <v>0</v>
      </c>
      <c r="C69" s="318" t="str">
        <f t="shared" ref="C69:C94" si="7">IFERROR(HYPERLINK("#"&amp;"CPU_"&amp;LEFT(SUBSTITUTE(SUBSTITUTE(G69," ",""),"-",""),20)&amp;"!B3","..."),0)</f>
        <v>...</v>
      </c>
      <c r="D69" t="s">
        <v>672</v>
      </c>
      <c r="E69">
        <f>IFERROR(VLOOKUP(Tabela4[[#This Row],[Codigo]],Tabela1[[SERVICO]:[ETAPA/SERVICO]],4),0)</f>
        <v>2</v>
      </c>
      <c r="F69" t="str">
        <f>IFERROR(VLOOKUP(Tabela4[[#This Row],[Codigo]],Tabela1[[SERVICO]:[ETAPA/SERVICO]],3),0)</f>
        <v>99.01 Reajuste</v>
      </c>
      <c r="G69" t="str">
        <f>IFERROR(VLOOKUP(D69,Tabela1[[SERVICO]:[NOME SERVIÇO]],2,0),"")</f>
        <v>99.01 Reajuste</v>
      </c>
      <c r="H69" s="226">
        <f>SUMIF(Resumo_Agrupamento!$B$4:$B$1000,Tabela4[[#This Row],[Codigo]],Resumo_Agrupamento!$C$4:$C$1000)</f>
        <v>0</v>
      </c>
      <c r="I69" s="29">
        <f ca="1">IF(AND(E69&gt;1,PARAMETROS!$C$17="RDC"),0,IFERROR(INDIRECT("CPU_"&amp;LEFT(SUBSTITUTE(SUBSTITUTE(G69," ",""),"-",""),20)&amp;"!k3"),0))</f>
        <v>0</v>
      </c>
      <c r="J69" s="29">
        <f>IF(AND(E69&gt;1,PARAMETROS!$C$17="RDC"),0,SUMIF(Resumo_Agrupamento!$B$4:$B$1000,D69,Resumo_Agrupamento!$D$4:$D$1000))</f>
        <v>0</v>
      </c>
      <c r="K69" s="226">
        <f ca="1">IF(AND(E69&gt;1,PARAMETROS!$C$17="RDC"),SUMIF(F$34:$F70,F69,K$34:$K70),H69*I69)</f>
        <v>0</v>
      </c>
      <c r="L69" s="226">
        <f>IF(AND(E69&gt;1,PARAMETROS!$C$17="RDC"),SUMIF(F$34:$F70,F69,L$34:$L70),SUMIF(Resumo_Agrupamento!$B$4:$B$1000,D69,Resumo_Agrupamento!$E$4:$E$1000))</f>
        <v>0</v>
      </c>
      <c r="M69" s="317">
        <f ca="1">L69-K69-L69*PARAMETROS!$C$19</f>
        <v>0</v>
      </c>
      <c r="N69" s="63">
        <f t="shared" ca="1" si="4"/>
        <v>0</v>
      </c>
      <c r="O69" s="208"/>
      <c r="P69" s="238" t="str">
        <f ca="1">IF(Tabela4[[#This Row],[TIPO]]&gt;1,"",IFERROR(INDIRECT("CPU_"&amp;LEFT(SUBSTITUTE(SUBSTITUTE($G69," ",""),"-",""),20)&amp;"!b6"),""))</f>
        <v/>
      </c>
      <c r="Q69" s="28" t="str">
        <f ca="1">IF(Tabela4[[#This Row],[TIPO]]&gt;1,"",IFERROR(INDIRECT("CPU_"&amp;LEFT(SUBSTITUTE(SUBSTITUTE($G69," ",""),"-",""),20)&amp;"!j3"),""))</f>
        <v/>
      </c>
      <c r="R69" s="238" t="str">
        <f ca="1">IF(Tabela4[[#This Row],[TIPO]]&gt;1,"",IFERROR(INDIRECT("CPU_"&amp;LEFT(SUBSTITUTE(SUBSTITUTE($G69," ",""),"-",""),20)&amp;"!g7"),""))</f>
        <v/>
      </c>
      <c r="S69" s="28"/>
      <c r="T69" s="28"/>
      <c r="Z69" s="208"/>
      <c r="AA69" s="206">
        <f>SUMPRODUCT(Plan_Orc[Acum. 2023]*Tabela2[K]*(Tabela2[AGRUPADOR]=Tabela4[[#This Row],[Codigo]]))</f>
        <v>0</v>
      </c>
      <c r="AB69" s="210">
        <f ca="1">IF(AND(Tabela4[[#This Row],[TIPO]]&gt;1,PARAMETROS!$C$17="RDC"),0,IFERROR(INDIRECT(LEFT(SUBSTITUTE(SUBSTITUTE(#REF!," ",""),"-",""),20)&amp;"!ae3"),0))</f>
        <v>0</v>
      </c>
      <c r="AC69" s="206">
        <f ca="1">IF(AND(Tabela4[[#This Row],[TIPO]]&gt;1,PARAMETROS!$C$17="RDC"),SUMIF($F34:G$95,#REF!,$AB72:AC$158),AA69*AB69)</f>
        <v>0</v>
      </c>
      <c r="AD69" s="206" t="e">
        <f ca="1">IF(AND(Tabela4[[#This Row],[TIPO]]&gt;1,PARAMETROS!$C$17="RDC"),SUMIF($F34:G$95,#REF!,$AC72:AD$158),(#REF!-AB69)*AA69)</f>
        <v>#REF!</v>
      </c>
      <c r="AE69" s="207">
        <f t="shared" ca="1" si="5"/>
        <v>0</v>
      </c>
    </row>
    <row r="70" spans="2:31" hidden="1" x14ac:dyDescent="0.3">
      <c r="B70" s="28">
        <f>IF(Tabela4[[#This Row],[ETAPA]]&lt;&gt;0,0,0)</f>
        <v>0</v>
      </c>
      <c r="C70" s="318" t="str">
        <f t="shared" si="7"/>
        <v>...</v>
      </c>
      <c r="D70" t="s">
        <v>673</v>
      </c>
      <c r="E70">
        <f>IFERROR(VLOOKUP(Tabela4[[#This Row],[Codigo]],Tabela1[[SERVICO]:[ETAPA/SERVICO]],4),0)</f>
        <v>2</v>
      </c>
      <c r="F70" t="str">
        <f>IFERROR(VLOOKUP(Tabela4[[#This Row],[Codigo]],Tabela1[[SERVICO]:[ETAPA/SERVICO]],3),0)</f>
        <v>99.02 Riscos</v>
      </c>
      <c r="G70" t="str">
        <f>IFERROR(VLOOKUP(D70,Tabela1[[SERVICO]:[NOME SERVIÇO]],2,0),"")</f>
        <v>99.02 Riscos</v>
      </c>
      <c r="H70" s="226">
        <f>SUMIF(Resumo_Agrupamento!$B$4:$B$1000,Tabela4[[#This Row],[Codigo]],Resumo_Agrupamento!$C$4:$C$1000)</f>
        <v>0</v>
      </c>
      <c r="I70" s="29">
        <f ca="1">IF(AND(E70&gt;1,PARAMETROS!$C$17="RDC"),0,IFERROR(INDIRECT("CPU_"&amp;LEFT(SUBSTITUTE(SUBSTITUTE(G70," ",""),"-",""),20)&amp;"!k3"),0))</f>
        <v>0</v>
      </c>
      <c r="J70" s="29">
        <f>IF(AND(E70&gt;1,PARAMETROS!$C$17="RDC"),0,SUMIF(Resumo_Agrupamento!$B$4:$B$1000,D70,Resumo_Agrupamento!$D$4:$D$1000))</f>
        <v>0</v>
      </c>
      <c r="K70" s="226">
        <f ca="1">IF(AND(E70&gt;1,PARAMETROS!$C$17="RDC"),SUMIF(F$34:$F71,F70,K$34:$K71),H70*I70)</f>
        <v>0</v>
      </c>
      <c r="L70" s="226">
        <f>IF(AND(E70&gt;1,PARAMETROS!$C$17="RDC"),SUMIF(F$34:$F71,F70,L$34:$L71),SUMIF(Resumo_Agrupamento!$B$4:$B$1000,D70,Resumo_Agrupamento!$E$4:$E$1000))</f>
        <v>0</v>
      </c>
      <c r="M70" s="317">
        <f ca="1">L70-K70-L70*PARAMETROS!$C$19</f>
        <v>0</v>
      </c>
      <c r="N70" s="63">
        <f t="shared" ref="N70:N94" ca="1" si="8">IFERROR(M70/L70,0)</f>
        <v>0</v>
      </c>
      <c r="O70" s="208"/>
      <c r="P70" s="238" t="str">
        <f ca="1">IF(Tabela4[[#This Row],[TIPO]]&gt;1,"",IFERROR(INDIRECT("CPU_"&amp;LEFT(SUBSTITUTE(SUBSTITUTE($G70," ",""),"-",""),20)&amp;"!b6"),""))</f>
        <v/>
      </c>
      <c r="Q70" s="28" t="str">
        <f ca="1">IF(Tabela4[[#This Row],[TIPO]]&gt;1,"",IFERROR(INDIRECT("CPU_"&amp;LEFT(SUBSTITUTE(SUBSTITUTE($G70," ",""),"-",""),20)&amp;"!j3"),""))</f>
        <v/>
      </c>
      <c r="R70" s="238" t="str">
        <f ca="1">IF(Tabela4[[#This Row],[TIPO]]&gt;1,"",IFERROR(INDIRECT("CPU_"&amp;LEFT(SUBSTITUTE(SUBSTITUTE($G70," ",""),"-",""),20)&amp;"!g7"),""))</f>
        <v/>
      </c>
      <c r="S70" s="28"/>
      <c r="T70" s="28"/>
      <c r="Z70" s="208"/>
      <c r="AA70" s="206">
        <f>SUMPRODUCT(Plan_Orc[Acum. 2023]*Tabela2[K]*(Tabela2[AGRUPADOR]=Tabela4[[#This Row],[Codigo]]))</f>
        <v>0</v>
      </c>
      <c r="AB70" s="210">
        <f ca="1">IF(AND(Tabela4[[#This Row],[TIPO]]&gt;1,PARAMETROS!$C$17="RDC"),0,IFERROR(INDIRECT(LEFT(SUBSTITUTE(SUBSTITUTE(#REF!," ",""),"-",""),20)&amp;"!ae3"),0))</f>
        <v>0</v>
      </c>
      <c r="AC70" s="206">
        <f ca="1">IF(AND(Tabela4[[#This Row],[TIPO]]&gt;1,PARAMETROS!$C$17="RDC"),SUMIF($F34:G$95,#REF!,$AB73:AC$158),AA70*AB70)</f>
        <v>0</v>
      </c>
      <c r="AD70" s="206" t="e">
        <f ca="1">IF(AND(Tabela4[[#This Row],[TIPO]]&gt;1,PARAMETROS!$C$17="RDC"),SUMIF($F34:G$95,#REF!,$AC73:AD$158),(#REF!-AB70)*AA70)</f>
        <v>#REF!</v>
      </c>
      <c r="AE70" s="207">
        <f t="shared" ca="1" si="5"/>
        <v>0</v>
      </c>
    </row>
    <row r="71" spans="2:31" hidden="1" x14ac:dyDescent="0.3">
      <c r="B71" s="28">
        <f>IF(Tabela4[[#This Row],[ETAPA]]&lt;&gt;0,0,0)</f>
        <v>0</v>
      </c>
      <c r="C71" s="318" t="str">
        <f t="shared" si="7"/>
        <v>...</v>
      </c>
      <c r="D71" t="s">
        <v>674</v>
      </c>
      <c r="E71">
        <f>IFERROR(VLOOKUP(Tabela4[[#This Row],[Codigo]],Tabela1[[SERVICO]:[ETAPA/SERVICO]],4),0)</f>
        <v>1</v>
      </c>
      <c r="F71" t="str">
        <f>IFERROR(VLOOKUP(Tabela4[[#This Row],[Codigo]],Tabela1[[SERVICO]:[ETAPA/SERVICO]],3),0)</f>
        <v>99.02 Riscos</v>
      </c>
      <c r="G71" t="str">
        <f>IFERROR(VLOOKUP(D71,Tabela1[[SERVICO]:[NOME SERVIÇO]],2,0),"")</f>
        <v>Riscos Materiais</v>
      </c>
      <c r="H71" s="226">
        <f>SUMIF(Resumo_Agrupamento!$B$4:$B$1000,Tabela4[[#This Row],[Codigo]],Resumo_Agrupamento!$C$4:$C$1000)</f>
        <v>0</v>
      </c>
      <c r="I71" s="29">
        <f ca="1">IF(AND(E71&gt;1,PARAMETROS!$C$17="RDC"),0,IFERROR(INDIRECT("CPU_"&amp;LEFT(SUBSTITUTE(SUBSTITUTE(G71," ",""),"-",""),20)&amp;"!k3"),0))</f>
        <v>0</v>
      </c>
      <c r="J71" s="29">
        <f>IF(AND(E71&gt;1,PARAMETROS!$C$17="RDC"),0,SUMIF(Resumo_Agrupamento!$B$4:$B$1000,D71,Resumo_Agrupamento!$D$4:$D$1000))</f>
        <v>0</v>
      </c>
      <c r="K71" s="226">
        <f ca="1">IF(AND(E71&gt;1,PARAMETROS!$C$17="RDC"),SUMIF(F$34:$F72,F71,K$34:$K72),H71*I71)</f>
        <v>0</v>
      </c>
      <c r="L71" s="226">
        <f>IF(AND(E71&gt;1,PARAMETROS!$C$17="RDC"),SUMIF(F$34:$F72,F71,L$34:$L72),SUMIF(Resumo_Agrupamento!$B$4:$B$1000,D71,Resumo_Agrupamento!$E$4:$E$1000))</f>
        <v>0</v>
      </c>
      <c r="M71" s="317">
        <f ca="1">L71-K71-L71*PARAMETROS!$C$19</f>
        <v>0</v>
      </c>
      <c r="N71" s="63">
        <f t="shared" ca="1" si="8"/>
        <v>0</v>
      </c>
      <c r="O71" s="208"/>
      <c r="P71" s="238" t="str">
        <f ca="1">IF(Tabela4[[#This Row],[TIPO]]&gt;1,"",IFERROR(INDIRECT("CPU_"&amp;LEFT(SUBSTITUTE(SUBSTITUTE($G71," ",""),"-",""),20)&amp;"!b6"),""))</f>
        <v/>
      </c>
      <c r="Q71" s="28" t="str">
        <f ca="1">IF(Tabela4[[#This Row],[TIPO]]&gt;1,"",IFERROR(INDIRECT("CPU_"&amp;LEFT(SUBSTITUTE(SUBSTITUTE($G71," ",""),"-",""),20)&amp;"!j3"),""))</f>
        <v/>
      </c>
      <c r="R71" s="238" t="str">
        <f ca="1">IF(Tabela4[[#This Row],[TIPO]]&gt;1,"",IFERROR(INDIRECT("CPU_"&amp;LEFT(SUBSTITUTE(SUBSTITUTE($G71," ",""),"-",""),20)&amp;"!g7"),""))</f>
        <v/>
      </c>
      <c r="S71" s="28"/>
      <c r="T71" s="28"/>
      <c r="Z71" s="208"/>
      <c r="AA71" s="206">
        <f>SUMPRODUCT(Plan_Orc[Acum. 2023]*Tabela2[K]*(Tabela2[AGRUPADOR]=Tabela4[[#This Row],[Codigo]]))</f>
        <v>0</v>
      </c>
      <c r="AB71" s="210">
        <f ca="1">IF(AND(Tabela4[[#This Row],[TIPO]]&gt;1,PARAMETROS!$C$17="RDC"),0,IFERROR(INDIRECT(LEFT(SUBSTITUTE(SUBSTITUTE(#REF!," ",""),"-",""),20)&amp;"!ae3"),0))</f>
        <v>0</v>
      </c>
      <c r="AC71" s="206">
        <f ca="1">IF(AND(Tabela4[[#This Row],[TIPO]]&gt;1,PARAMETROS!$C$17="RDC"),SUMIF($F34:G$95,#REF!,$AB74:AC$158),AA71*AB71)</f>
        <v>0</v>
      </c>
      <c r="AD71" s="206" t="e">
        <f ca="1">IF(AND(Tabela4[[#This Row],[TIPO]]&gt;1,PARAMETROS!$C$17="RDC"),SUMIF($F34:G$95,#REF!,$AC74:AD$158),(#REF!-AB71)*AA71)</f>
        <v>#REF!</v>
      </c>
      <c r="AE71" s="207">
        <f t="shared" ca="1" si="5"/>
        <v>0</v>
      </c>
    </row>
    <row r="72" spans="2:31" hidden="1" x14ac:dyDescent="0.3">
      <c r="B72" s="28">
        <f>IF(Tabela4[[#This Row],[ETAPA]]&lt;&gt;0,0,0)</f>
        <v>0</v>
      </c>
      <c r="C72" s="318" t="str">
        <f t="shared" si="7"/>
        <v>...</v>
      </c>
      <c r="D72" t="s">
        <v>675</v>
      </c>
      <c r="E72">
        <f>IFERROR(VLOOKUP(Tabela4[[#This Row],[Codigo]],Tabela1[[SERVICO]:[ETAPA/SERVICO]],4),0)</f>
        <v>1</v>
      </c>
      <c r="F72" t="str">
        <f>IFERROR(VLOOKUP(Tabela4[[#This Row],[Codigo]],Tabela1[[SERVICO]:[ETAPA/SERVICO]],3),0)</f>
        <v>99.02 Riscos</v>
      </c>
      <c r="G72" t="str">
        <f>IFERROR(VLOOKUP(D72,Tabela1[[SERVICO]:[NOME SERVIÇO]],2,0),"")</f>
        <v>Riscos Mão de Obra</v>
      </c>
      <c r="H72" s="226">
        <f>SUMIF(Resumo_Agrupamento!$B$4:$B$1000,Tabela4[[#This Row],[Codigo]],Resumo_Agrupamento!$C$4:$C$1000)</f>
        <v>0</v>
      </c>
      <c r="I72" s="29">
        <f ca="1">IF(AND(E72&gt;1,PARAMETROS!$C$17="RDC"),0,IFERROR(INDIRECT("CPU_"&amp;LEFT(SUBSTITUTE(SUBSTITUTE(G72," ",""),"-",""),20)&amp;"!k3"),0))</f>
        <v>0</v>
      </c>
      <c r="J72" s="29">
        <f>IF(AND(E72&gt;1,PARAMETROS!$C$17="RDC"),0,SUMIF(Resumo_Agrupamento!$B$4:$B$1000,D72,Resumo_Agrupamento!$D$4:$D$1000))</f>
        <v>0</v>
      </c>
      <c r="K72" s="226">
        <f ca="1">IF(AND(E72&gt;1,PARAMETROS!$C$17="RDC"),SUMIF(F$34:$F73,F72,K$34:$K73),H72*I72)</f>
        <v>0</v>
      </c>
      <c r="L72" s="226">
        <f>IF(AND(E72&gt;1,PARAMETROS!$C$17="RDC"),SUMIF(F$34:$F73,F72,L$34:$L73),SUMIF(Resumo_Agrupamento!$B$4:$B$1000,D72,Resumo_Agrupamento!$E$4:$E$1000))</f>
        <v>0</v>
      </c>
      <c r="M72" s="317">
        <f ca="1">L72-K72-L72*PARAMETROS!$C$19</f>
        <v>0</v>
      </c>
      <c r="N72" s="63">
        <f t="shared" ca="1" si="8"/>
        <v>0</v>
      </c>
      <c r="O72" s="208"/>
      <c r="P72" s="238" t="str">
        <f ca="1">IF(Tabela4[[#This Row],[TIPO]]&gt;1,"",IFERROR(INDIRECT("CPU_"&amp;LEFT(SUBSTITUTE(SUBSTITUTE($G72," ",""),"-",""),20)&amp;"!b6"),""))</f>
        <v/>
      </c>
      <c r="Q72" s="28" t="str">
        <f ca="1">IF(Tabela4[[#This Row],[TIPO]]&gt;1,"",IFERROR(INDIRECT("CPU_"&amp;LEFT(SUBSTITUTE(SUBSTITUTE($G72," ",""),"-",""),20)&amp;"!j3"),""))</f>
        <v/>
      </c>
      <c r="R72" s="238" t="str">
        <f ca="1">IF(Tabela4[[#This Row],[TIPO]]&gt;1,"",IFERROR(INDIRECT("CPU_"&amp;LEFT(SUBSTITUTE(SUBSTITUTE($G72," ",""),"-",""),20)&amp;"!g7"),""))</f>
        <v/>
      </c>
      <c r="S72" s="28"/>
      <c r="T72" s="28"/>
      <c r="Z72" s="208"/>
      <c r="AA72" s="206">
        <f>SUMPRODUCT(Plan_Orc[Acum. 2023]*Tabela2[K]*(Tabela2[AGRUPADOR]=Tabela4[[#This Row],[Codigo]]))</f>
        <v>0</v>
      </c>
      <c r="AB72" s="210">
        <f ca="1">IF(AND(Tabela4[[#This Row],[TIPO]]&gt;1,PARAMETROS!$C$17="RDC"),0,IFERROR(INDIRECT(LEFT(SUBSTITUTE(SUBSTITUTE(#REF!," ",""),"-",""),20)&amp;"!ae3"),0))</f>
        <v>0</v>
      </c>
      <c r="AC72" s="206">
        <f ca="1">IF(AND(Tabela4[[#This Row],[TIPO]]&gt;1,PARAMETROS!$C$17="RDC"),SUMIF($F34:G$95,#REF!,$AB75:AC$158),AA72*AB72)</f>
        <v>0</v>
      </c>
      <c r="AD72" s="206" t="e">
        <f ca="1">IF(AND(Tabela4[[#This Row],[TIPO]]&gt;1,PARAMETROS!$C$17="RDC"),SUMIF($F34:G$95,#REF!,$AC75:AD$158),(#REF!-AB72)*AA72)</f>
        <v>#REF!</v>
      </c>
      <c r="AE72" s="207">
        <f t="shared" ca="1" si="5"/>
        <v>0</v>
      </c>
    </row>
    <row r="73" spans="2:31" hidden="1" x14ac:dyDescent="0.3">
      <c r="B73" s="28">
        <f>IF(Tabela4[[#This Row],[ETAPA]]&lt;&gt;0,0,0)</f>
        <v>0</v>
      </c>
      <c r="C73" s="318" t="str">
        <f t="shared" si="7"/>
        <v>...</v>
      </c>
      <c r="D73" t="s">
        <v>676</v>
      </c>
      <c r="E73">
        <f>IFERROR(VLOOKUP(Tabela4[[#This Row],[Codigo]],Tabela1[[SERVICO]:[ETAPA/SERVICO]],4),0)</f>
        <v>2</v>
      </c>
      <c r="F73" t="str">
        <f>IFERROR(VLOOKUP(Tabela4[[#This Row],[Codigo]],Tabela1[[SERVICO]:[ETAPA/SERVICO]],3),0)</f>
        <v>99.03 Reequilíbrio</v>
      </c>
      <c r="G73" t="str">
        <f>IFERROR(VLOOKUP(D73,Tabela1[[SERVICO]:[NOME SERVIÇO]],2,0),"")</f>
        <v>99.03 Reequilíbrio</v>
      </c>
      <c r="H73" s="226">
        <f>SUMIF(Resumo_Agrupamento!$B$4:$B$1000,Tabela4[[#This Row],[Codigo]],Resumo_Agrupamento!$C$4:$C$1000)</f>
        <v>0</v>
      </c>
      <c r="I73" s="29">
        <f ca="1">IF(AND(E73&gt;1,PARAMETROS!$C$17="RDC"),0,IFERROR(INDIRECT("CPU_"&amp;LEFT(SUBSTITUTE(SUBSTITUTE(G73," ",""),"-",""),20)&amp;"!k3"),0))</f>
        <v>0</v>
      </c>
      <c r="J73" s="29">
        <f>IF(AND(E73&gt;1,PARAMETROS!$C$17="RDC"),0,SUMIF(Resumo_Agrupamento!$B$4:$B$1000,D73,Resumo_Agrupamento!$D$4:$D$1000))</f>
        <v>0</v>
      </c>
      <c r="K73" s="226">
        <f ca="1">IF(AND(E73&gt;1,PARAMETROS!$C$17="RDC"),SUMIF(F$34:$F74,F73,K$34:$K74),H73*I73)</f>
        <v>0</v>
      </c>
      <c r="L73" s="226">
        <f>IF(AND(E73&gt;1,PARAMETROS!$C$17="RDC"),SUMIF(F$34:$F74,F73,L$34:$L74),SUMIF(Resumo_Agrupamento!$B$4:$B$1000,D73,Resumo_Agrupamento!$E$4:$E$1000))</f>
        <v>0</v>
      </c>
      <c r="M73" s="317">
        <f ca="1">L73-K73-L73*PARAMETROS!$C$19</f>
        <v>0</v>
      </c>
      <c r="N73" s="63">
        <f t="shared" ca="1" si="8"/>
        <v>0</v>
      </c>
      <c r="O73" s="208"/>
      <c r="P73" s="238" t="str">
        <f ca="1">IF(Tabela4[[#This Row],[TIPO]]&gt;1,"",IFERROR(INDIRECT("CPU_"&amp;LEFT(SUBSTITUTE(SUBSTITUTE($G73," ",""),"-",""),20)&amp;"!b6"),""))</f>
        <v/>
      </c>
      <c r="Q73" s="28" t="str">
        <f ca="1">IF(Tabela4[[#This Row],[TIPO]]&gt;1,"",IFERROR(INDIRECT("CPU_"&amp;LEFT(SUBSTITUTE(SUBSTITUTE($G73," ",""),"-",""),20)&amp;"!j3"),""))</f>
        <v/>
      </c>
      <c r="R73" s="238" t="str">
        <f ca="1">IF(Tabela4[[#This Row],[TIPO]]&gt;1,"",IFERROR(INDIRECT("CPU_"&amp;LEFT(SUBSTITUTE(SUBSTITUTE($G73," ",""),"-",""),20)&amp;"!g7"),""))</f>
        <v/>
      </c>
      <c r="S73" s="28"/>
      <c r="T73" s="28"/>
      <c r="Z73" s="208"/>
      <c r="AA73" s="206">
        <f>SUMPRODUCT(Plan_Orc[Acum. 2023]*Tabela2[K]*(Tabela2[AGRUPADOR]=Tabela4[[#This Row],[Codigo]]))</f>
        <v>0</v>
      </c>
      <c r="AB73" s="210">
        <f ca="1">IF(AND(Tabela4[[#This Row],[TIPO]]&gt;1,PARAMETROS!$C$17="RDC"),0,IFERROR(INDIRECT(LEFT(SUBSTITUTE(SUBSTITUTE(#REF!," ",""),"-",""),20)&amp;"!ae3"),0))</f>
        <v>0</v>
      </c>
      <c r="AC73" s="206">
        <f ca="1">IF(AND(Tabela4[[#This Row],[TIPO]]&gt;1,PARAMETROS!$C$17="RDC"),SUMIF($F34:G$95,#REF!,$AB76:AC$158),AA73*AB73)</f>
        <v>0</v>
      </c>
      <c r="AD73" s="206" t="e">
        <f ca="1">IF(AND(Tabela4[[#This Row],[TIPO]]&gt;1,PARAMETROS!$C$17="RDC"),SUMIF($F34:G$95,#REF!,$AC76:AD$158),(#REF!-AB73)*AA73)</f>
        <v>#REF!</v>
      </c>
      <c r="AE73" s="207">
        <f t="shared" ca="1" si="5"/>
        <v>0</v>
      </c>
    </row>
    <row r="74" spans="2:31" hidden="1" x14ac:dyDescent="0.3">
      <c r="B74" s="28">
        <f>IF(Tabela4[[#This Row],[ETAPA]]&lt;&gt;0,0,0)</f>
        <v>0</v>
      </c>
      <c r="C74" s="318" t="str">
        <f t="shared" si="7"/>
        <v>...</v>
      </c>
      <c r="E74">
        <f>IFERROR(VLOOKUP(Tabela4[[#This Row],[Codigo]],Tabela1[[SERVICO]:[ETAPA/SERVICO]],4),0)</f>
        <v>0</v>
      </c>
      <c r="F74">
        <f>IFERROR(VLOOKUP(Tabela4[[#This Row],[Codigo]],Tabela1[[SERVICO]:[ETAPA/SERVICO]],3),0)</f>
        <v>0</v>
      </c>
      <c r="G74" t="str">
        <f>IFERROR(VLOOKUP(D74,Tabela1[[SERVICO]:[NOME SERVIÇO]],2,0),"")</f>
        <v/>
      </c>
      <c r="H74" s="226">
        <f>SUMIF(Resumo_Agrupamento!$B$4:$B$1000,Tabela4[[#This Row],[Codigo]],Resumo_Agrupamento!$C$4:$C$1000)</f>
        <v>0</v>
      </c>
      <c r="I74" s="29">
        <f ca="1">IF(AND(E74&gt;1,PARAMETROS!$C$17="RDC"),0,IFERROR(INDIRECT("CPU_"&amp;LEFT(SUBSTITUTE(SUBSTITUTE(G74," ",""),"-",""),20)&amp;"!k3"),0))</f>
        <v>0</v>
      </c>
      <c r="J74" s="29">
        <f>IF(AND(E74&gt;1,PARAMETROS!$C$17="RDC"),0,SUMIF(Resumo_Agrupamento!$B$4:$B$1000,D74,Resumo_Agrupamento!$D$4:$D$1000))</f>
        <v>0</v>
      </c>
      <c r="K74" s="226">
        <f ca="1">IF(AND(E74&gt;1,PARAMETROS!$C$17="RDC"),SUMIF(F$34:$F75,F74,K$34:$K75),H74*I74)</f>
        <v>0</v>
      </c>
      <c r="L74" s="226">
        <f>IF(AND(E74&gt;1,PARAMETROS!$C$17="RDC"),SUMIF(F$34:$F75,F74,L$34:$L75),SUMIF(Resumo_Agrupamento!$B$4:$B$1000,D74,Resumo_Agrupamento!$E$4:$E$1000))</f>
        <v>0</v>
      </c>
      <c r="M74" s="317">
        <f ca="1">L74-K74-L74*PARAMETROS!$C$19</f>
        <v>0</v>
      </c>
      <c r="N74" s="63">
        <f t="shared" ca="1" si="8"/>
        <v>0</v>
      </c>
      <c r="O74" s="208"/>
      <c r="P74" s="238" t="str">
        <f ca="1">IF(Tabela4[[#This Row],[TIPO]]&gt;1,"",IFERROR(INDIRECT("CPU_"&amp;LEFT(SUBSTITUTE(SUBSTITUTE($G74," ",""),"-",""),20)&amp;"!b6"),""))</f>
        <v/>
      </c>
      <c r="Q74" s="28" t="str">
        <f ca="1">IF(Tabela4[[#This Row],[TIPO]]&gt;1,"",IFERROR(INDIRECT("CPU_"&amp;LEFT(SUBSTITUTE(SUBSTITUTE($G74," ",""),"-",""),20)&amp;"!j3"),""))</f>
        <v/>
      </c>
      <c r="R74" s="238" t="str">
        <f ca="1">IF(Tabela4[[#This Row],[TIPO]]&gt;1,"",IFERROR(INDIRECT("CPU_"&amp;LEFT(SUBSTITUTE(SUBSTITUTE($G74," ",""),"-",""),20)&amp;"!g7"),""))</f>
        <v/>
      </c>
      <c r="S74" s="28"/>
      <c r="T74" s="28"/>
      <c r="Z74" s="208"/>
      <c r="AA74" s="206">
        <f>SUMPRODUCT(Plan_Orc[Acum. 2023]*Tabela2[K]*(Tabela2[AGRUPADOR]=Tabela4[[#This Row],[Codigo]]))</f>
        <v>0</v>
      </c>
      <c r="AB74" s="210">
        <f ca="1">IF(AND(Tabela4[[#This Row],[TIPO]]&gt;1,PARAMETROS!$C$17="RDC"),0,IFERROR(INDIRECT(LEFT(SUBSTITUTE(SUBSTITUTE(#REF!," ",""),"-",""),20)&amp;"!ae3"),0))</f>
        <v>0</v>
      </c>
      <c r="AC74" s="206">
        <f ca="1">IF(AND(Tabela4[[#This Row],[TIPO]]&gt;1,PARAMETROS!$C$17="RDC"),SUMIF($F34:G$95,#REF!,$AB77:AC$158),AA74*AB74)</f>
        <v>0</v>
      </c>
      <c r="AD74" s="206" t="e">
        <f ca="1">IF(AND(Tabela4[[#This Row],[TIPO]]&gt;1,PARAMETROS!$C$17="RDC"),SUMIF($F34:G$95,#REF!,$AC77:AD$158),(#REF!-AB74)*AA74)</f>
        <v>#REF!</v>
      </c>
      <c r="AE74" s="207">
        <f t="shared" ca="1" si="5"/>
        <v>0</v>
      </c>
    </row>
    <row r="75" spans="2:31" hidden="1" x14ac:dyDescent="0.3">
      <c r="B75" s="28">
        <f>IF(Tabela4[[#This Row],[ETAPA]]&lt;&gt;0,0,0)</f>
        <v>0</v>
      </c>
      <c r="C75" s="318" t="str">
        <f t="shared" si="7"/>
        <v>...</v>
      </c>
      <c r="E75">
        <f>IFERROR(VLOOKUP(Tabela4[[#This Row],[Codigo]],Tabela1[[SERVICO]:[ETAPA/SERVICO]],4),0)</f>
        <v>0</v>
      </c>
      <c r="F75">
        <f>IFERROR(VLOOKUP(Tabela4[[#This Row],[Codigo]],Tabela1[[SERVICO]:[ETAPA/SERVICO]],3),0)</f>
        <v>0</v>
      </c>
      <c r="G75" t="str">
        <f>IFERROR(VLOOKUP(D75,Tabela1[[SERVICO]:[NOME SERVIÇO]],2,0),"")</f>
        <v/>
      </c>
      <c r="H75" s="226">
        <f>SUMIF(Resumo_Agrupamento!$B$4:$B$1000,Tabela4[[#This Row],[Codigo]],Resumo_Agrupamento!$C$4:$C$1000)</f>
        <v>0</v>
      </c>
      <c r="I75" s="29">
        <f ca="1">IF(AND(E75&gt;1,PARAMETROS!$C$17="RDC"),0,IFERROR(INDIRECT("CPU_"&amp;LEFT(SUBSTITUTE(SUBSTITUTE(G75," ",""),"-",""),20)&amp;"!k3"),0))</f>
        <v>0</v>
      </c>
      <c r="J75" s="29">
        <f>IF(AND(E75&gt;1,PARAMETROS!$C$17="RDC"),0,SUMIF(Resumo_Agrupamento!$B$4:$B$1000,D75,Resumo_Agrupamento!$D$4:$D$1000))</f>
        <v>0</v>
      </c>
      <c r="K75" s="226">
        <f ca="1">IF(AND(E75&gt;1,PARAMETROS!$C$17="RDC"),SUMIF(F$34:$F76,F75,K$34:$K76),H75*I75)</f>
        <v>0</v>
      </c>
      <c r="L75" s="226">
        <f>IF(AND(E75&gt;1,PARAMETROS!$C$17="RDC"),SUMIF(F$34:$F76,F75,L$34:$L76),SUMIF(Resumo_Agrupamento!$B$4:$B$1000,D75,Resumo_Agrupamento!$E$4:$E$1000))</f>
        <v>0</v>
      </c>
      <c r="M75" s="317">
        <f ca="1">L75-K75-L75*PARAMETROS!$C$19</f>
        <v>0</v>
      </c>
      <c r="N75" s="63">
        <f t="shared" ca="1" si="8"/>
        <v>0</v>
      </c>
      <c r="O75" s="208"/>
      <c r="P75" s="238" t="str">
        <f ca="1">IF(Tabela4[[#This Row],[TIPO]]&gt;1,"",IFERROR(INDIRECT("CPU_"&amp;LEFT(SUBSTITUTE(SUBSTITUTE($G75," ",""),"-",""),20)&amp;"!b6"),""))</f>
        <v/>
      </c>
      <c r="Q75" s="28" t="str">
        <f ca="1">IF(Tabela4[[#This Row],[TIPO]]&gt;1,"",IFERROR(INDIRECT("CPU_"&amp;LEFT(SUBSTITUTE(SUBSTITUTE($G75," ",""),"-",""),20)&amp;"!j3"),""))</f>
        <v/>
      </c>
      <c r="R75" s="238" t="str">
        <f ca="1">IF(Tabela4[[#This Row],[TIPO]]&gt;1,"",IFERROR(INDIRECT("CPU_"&amp;LEFT(SUBSTITUTE(SUBSTITUTE($G75," ",""),"-",""),20)&amp;"!g7"),""))</f>
        <v/>
      </c>
      <c r="S75" s="28"/>
      <c r="T75" s="28"/>
      <c r="Z75" s="208"/>
      <c r="AA75" s="206">
        <f>SUMPRODUCT(Plan_Orc[Acum. 2023]*Tabela2[K]*(Tabela2[AGRUPADOR]=Tabela4[[#This Row],[Codigo]]))</f>
        <v>0</v>
      </c>
      <c r="AB75" s="210">
        <f ca="1">IF(AND(Tabela4[[#This Row],[TIPO]]&gt;1,PARAMETROS!$C$17="RDC"),0,IFERROR(INDIRECT(LEFT(SUBSTITUTE(SUBSTITUTE(#REF!," ",""),"-",""),20)&amp;"!ae3"),0))</f>
        <v>0</v>
      </c>
      <c r="AC75" s="206">
        <f ca="1">IF(AND(Tabela4[[#This Row],[TIPO]]&gt;1,PARAMETROS!$C$17="RDC"),SUMIF($F34:G$95,#REF!,$AB79:AC$158),AA75*AB75)</f>
        <v>0</v>
      </c>
      <c r="AD75" s="206" t="e">
        <f ca="1">IF(AND(Tabela4[[#This Row],[TIPO]]&gt;1,PARAMETROS!$C$17="RDC"),SUMIF($F34:G$95,#REF!,$AC79:AD$158),(#REF!-AB75)*AA75)</f>
        <v>#REF!</v>
      </c>
      <c r="AE75" s="207">
        <f t="shared" ca="1" si="5"/>
        <v>0</v>
      </c>
    </row>
    <row r="76" spans="2:31" hidden="1" x14ac:dyDescent="0.3">
      <c r="B76" s="28">
        <f>IF(Tabela4[[#This Row],[ETAPA]]&lt;&gt;0,0,0)</f>
        <v>0</v>
      </c>
      <c r="C76" s="318" t="str">
        <f t="shared" si="7"/>
        <v>...</v>
      </c>
      <c r="E76">
        <f>IFERROR(VLOOKUP(Tabela4[[#This Row],[Codigo]],Tabela1[[SERVICO]:[ETAPA/SERVICO]],4),0)</f>
        <v>0</v>
      </c>
      <c r="F76">
        <f>IFERROR(VLOOKUP(Tabela4[[#This Row],[Codigo]],Tabela1[[SERVICO]:[ETAPA/SERVICO]],3),0)</f>
        <v>0</v>
      </c>
      <c r="G76" t="str">
        <f>IFERROR(VLOOKUP(D76,Tabela1[[SERVICO]:[NOME SERVIÇO]],2,0),"")</f>
        <v/>
      </c>
      <c r="H76" s="226">
        <f>SUMIF(Resumo_Agrupamento!$B$4:$B$1000,Tabela4[[#This Row],[Codigo]],Resumo_Agrupamento!$C$4:$C$1000)</f>
        <v>0</v>
      </c>
      <c r="I76" s="29">
        <f ca="1">IF(AND(E76&gt;1,PARAMETROS!$C$17="RDC"),0,IFERROR(INDIRECT("CPU_"&amp;LEFT(SUBSTITUTE(SUBSTITUTE(G76," ",""),"-",""),20)&amp;"!k3"),0))</f>
        <v>0</v>
      </c>
      <c r="J76" s="29">
        <f>IF(AND(E76&gt;1,PARAMETROS!$C$17="RDC"),0,SUMIF(Resumo_Agrupamento!$B$4:$B$1000,D76,Resumo_Agrupamento!$D$4:$D$1000))</f>
        <v>0</v>
      </c>
      <c r="K76" s="226">
        <f ca="1">IF(AND(E76&gt;1,PARAMETROS!$C$17="RDC"),SUMIF(F$34:$F77,F76,K$34:$K77),H76*I76)</f>
        <v>0</v>
      </c>
      <c r="L76" s="226">
        <f>IF(AND(E76&gt;1,PARAMETROS!$C$17="RDC"),SUMIF(F$34:$F77,F76,L$34:$L77),SUMIF(Resumo_Agrupamento!$B$4:$B$1000,D76,Resumo_Agrupamento!$E$4:$E$1000))</f>
        <v>0</v>
      </c>
      <c r="M76" s="317">
        <f ca="1">L76-K76-L76*PARAMETROS!$C$19</f>
        <v>0</v>
      </c>
      <c r="N76" s="63">
        <f t="shared" ca="1" si="8"/>
        <v>0</v>
      </c>
      <c r="O76" s="208"/>
      <c r="P76" s="238" t="str">
        <f ca="1">IF(Tabela4[[#This Row],[TIPO]]&gt;1,"",IFERROR(INDIRECT("CPU_"&amp;LEFT(SUBSTITUTE(SUBSTITUTE($G76," ",""),"-",""),20)&amp;"!b6"),""))</f>
        <v/>
      </c>
      <c r="Q76" s="28" t="str">
        <f ca="1">IF(Tabela4[[#This Row],[TIPO]]&gt;1,"",IFERROR(INDIRECT("CPU_"&amp;LEFT(SUBSTITUTE(SUBSTITUTE($G76," ",""),"-",""),20)&amp;"!j3"),""))</f>
        <v/>
      </c>
      <c r="R76" s="238" t="str">
        <f ca="1">IF(Tabela4[[#This Row],[TIPO]]&gt;1,"",IFERROR(INDIRECT("CPU_"&amp;LEFT(SUBSTITUTE(SUBSTITUTE($G76," ",""),"-",""),20)&amp;"!g7"),""))</f>
        <v/>
      </c>
      <c r="S76" s="28"/>
      <c r="T76" s="28"/>
      <c r="Z76" s="208"/>
      <c r="AA76" s="206">
        <f>SUMPRODUCT(Plan_Orc[Acum. 2023]*Tabela2[K]*(Tabela2[AGRUPADOR]=Tabela4[[#This Row],[Codigo]]))</f>
        <v>0</v>
      </c>
      <c r="AB76" s="210">
        <f ca="1">IF(AND(Tabela4[[#This Row],[TIPO]]&gt;1,PARAMETROS!$C$17="RDC"),0,IFERROR(INDIRECT(LEFT(SUBSTITUTE(SUBSTITUTE(#REF!," ",""),"-",""),20)&amp;"!ae3"),0))</f>
        <v>0</v>
      </c>
      <c r="AC76" s="206">
        <f ca="1">IF(AND(Tabela4[[#This Row],[TIPO]]&gt;1,PARAMETROS!$C$17="RDC"),SUMIF($F34:G$95,#REF!,$AB80:AC$158),AA76*AB76)</f>
        <v>0</v>
      </c>
      <c r="AD76" s="206" t="e">
        <f ca="1">IF(AND(Tabela4[[#This Row],[TIPO]]&gt;1,PARAMETROS!$C$17="RDC"),SUMIF($F34:G$95,#REF!,$AC80:AD$158),(#REF!-AB76)*AA76)</f>
        <v>#REF!</v>
      </c>
      <c r="AE76" s="207">
        <f t="shared" ca="1" si="5"/>
        <v>0</v>
      </c>
    </row>
    <row r="77" spans="2:31" hidden="1" x14ac:dyDescent="0.3">
      <c r="B77" s="28">
        <f>IF(Tabela4[[#This Row],[ETAPA]]&lt;&gt;0,0,0)</f>
        <v>0</v>
      </c>
      <c r="C77" s="318" t="str">
        <f t="shared" si="7"/>
        <v>...</v>
      </c>
      <c r="E77">
        <f>IFERROR(VLOOKUP(Tabela4[[#This Row],[Codigo]],Tabela1[[SERVICO]:[ETAPA/SERVICO]],4),0)</f>
        <v>0</v>
      </c>
      <c r="F77">
        <f>IFERROR(VLOOKUP(Tabela4[[#This Row],[Codigo]],Tabela1[[SERVICO]:[ETAPA/SERVICO]],3),0)</f>
        <v>0</v>
      </c>
      <c r="G77" t="str">
        <f>IFERROR(VLOOKUP(D77,Tabela1[[SERVICO]:[NOME SERVIÇO]],2,0),"")</f>
        <v/>
      </c>
      <c r="H77" s="226">
        <f>SUMIF(Resumo_Agrupamento!$B$4:$B$1000,Tabela4[[#This Row],[Codigo]],Resumo_Agrupamento!$C$4:$C$1000)</f>
        <v>0</v>
      </c>
      <c r="I77" s="29">
        <f ca="1">IF(AND(E77&gt;1,PARAMETROS!$C$17="RDC"),0,IFERROR(INDIRECT("CPU_"&amp;LEFT(SUBSTITUTE(SUBSTITUTE(G77," ",""),"-",""),20)&amp;"!k3"),0))</f>
        <v>0</v>
      </c>
      <c r="J77" s="29">
        <f>IF(AND(E77&gt;1,PARAMETROS!$C$17="RDC"),0,SUMIF(Resumo_Agrupamento!$B$4:$B$1000,D77,Resumo_Agrupamento!$D$4:$D$1000))</f>
        <v>0</v>
      </c>
      <c r="K77" s="226">
        <f ca="1">IF(AND(E77&gt;1,PARAMETROS!$C$17="RDC"),SUMIF(F$34:$F78,F77,K$34:$K78),H77*I77)</f>
        <v>0</v>
      </c>
      <c r="L77" s="226">
        <f>IF(AND(E77&gt;1,PARAMETROS!$C$17="RDC"),SUMIF(F$34:$F78,F77,L$34:$L78),SUMIF(Resumo_Agrupamento!$B$4:$B$1000,D77,Resumo_Agrupamento!$E$4:$E$1000))</f>
        <v>0</v>
      </c>
      <c r="M77" s="317">
        <f ca="1">L77-K77-L77*PARAMETROS!$C$19</f>
        <v>0</v>
      </c>
      <c r="N77" s="63">
        <f t="shared" ca="1" si="8"/>
        <v>0</v>
      </c>
      <c r="O77" s="208"/>
      <c r="P77" s="238" t="str">
        <f ca="1">IF(Tabela4[[#This Row],[TIPO]]&gt;1,"",IFERROR(INDIRECT("CPU_"&amp;LEFT(SUBSTITUTE(SUBSTITUTE($G77," ",""),"-",""),20)&amp;"!b6"),""))</f>
        <v/>
      </c>
      <c r="Q77" s="28" t="str">
        <f ca="1">IF(Tabela4[[#This Row],[TIPO]]&gt;1,"",IFERROR(INDIRECT("CPU_"&amp;LEFT(SUBSTITUTE(SUBSTITUTE($G77," ",""),"-",""),20)&amp;"!j3"),""))</f>
        <v/>
      </c>
      <c r="R77" s="238" t="str">
        <f ca="1">IF(Tabela4[[#This Row],[TIPO]]&gt;1,"",IFERROR(INDIRECT("CPU_"&amp;LEFT(SUBSTITUTE(SUBSTITUTE($G77," ",""),"-",""),20)&amp;"!g7"),""))</f>
        <v/>
      </c>
      <c r="S77" s="28"/>
      <c r="T77" s="28"/>
      <c r="Z77" s="208"/>
      <c r="AA77" s="206">
        <f>SUMPRODUCT(Plan_Orc[Acum. 2023]*Tabela2[K]*(Tabela2[AGRUPADOR]=Tabela4[[#This Row],[Codigo]]))</f>
        <v>0</v>
      </c>
      <c r="AB77" s="210">
        <f ca="1">IF(AND(Tabela4[[#This Row],[TIPO]]&gt;1,PARAMETROS!$C$17="RDC"),0,IFERROR(INDIRECT(LEFT(SUBSTITUTE(SUBSTITUTE(#REF!," ",""),"-",""),20)&amp;"!ae3"),0))</f>
        <v>0</v>
      </c>
      <c r="AC77" s="206">
        <f ca="1">IF(AND(Tabela4[[#This Row],[TIPO]]&gt;1,PARAMETROS!$C$17="RDC"),SUMIF($F34:G$95,#REF!,$AB81:AC$158),AA77*AB77)</f>
        <v>0</v>
      </c>
      <c r="AD77" s="206" t="e">
        <f ca="1">IF(AND(Tabela4[[#This Row],[TIPO]]&gt;1,PARAMETROS!$C$17="RDC"),SUMIF($F34:G$95,#REF!,$AC81:AD$158),(#REF!-AB77)*AA77)</f>
        <v>#REF!</v>
      </c>
      <c r="AE77" s="207">
        <f t="shared" ca="1" si="5"/>
        <v>0</v>
      </c>
    </row>
    <row r="78" spans="2:31" hidden="1" x14ac:dyDescent="0.3">
      <c r="B78" s="28">
        <f>IF(Tabela4[[#This Row],[ETAPA]]&lt;&gt;0,0,0)</f>
        <v>0</v>
      </c>
      <c r="C78" s="318" t="str">
        <f t="shared" si="7"/>
        <v>...</v>
      </c>
      <c r="E78">
        <f>IFERROR(VLOOKUP(Tabela4[[#This Row],[Codigo]],Tabela1[[SERVICO]:[ETAPA/SERVICO]],4),0)</f>
        <v>0</v>
      </c>
      <c r="F78">
        <f>IFERROR(VLOOKUP(Tabela4[[#This Row],[Codigo]],Tabela1[[SERVICO]:[ETAPA/SERVICO]],3),0)</f>
        <v>0</v>
      </c>
      <c r="G78" t="str">
        <f>IFERROR(VLOOKUP(D78,Tabela1[[SERVICO]:[NOME SERVIÇO]],2,0),"")</f>
        <v/>
      </c>
      <c r="H78" s="226">
        <f>SUMIF(Resumo_Agrupamento!$B$4:$B$1000,Tabela4[[#This Row],[Codigo]],Resumo_Agrupamento!$C$4:$C$1000)</f>
        <v>0</v>
      </c>
      <c r="I78" s="29">
        <f ca="1">IF(AND(E78&gt;1,PARAMETROS!$C$17="RDC"),0,IFERROR(INDIRECT("CPU_"&amp;LEFT(SUBSTITUTE(SUBSTITUTE(G78," ",""),"-",""),20)&amp;"!k3"),0))</f>
        <v>0</v>
      </c>
      <c r="J78" s="29">
        <f>IF(AND(E78&gt;1,PARAMETROS!$C$17="RDC"),0,SUMIF(Resumo_Agrupamento!$B$4:$B$1000,D78,Resumo_Agrupamento!$D$4:$D$1000))</f>
        <v>0</v>
      </c>
      <c r="K78" s="226">
        <f ca="1">IF(AND(E78&gt;1,PARAMETROS!$C$17="RDC"),SUMIF(F$34:$F79,F78,K$34:$K79),H78*I78)</f>
        <v>0</v>
      </c>
      <c r="L78" s="226">
        <f>IF(AND(E78&gt;1,PARAMETROS!$C$17="RDC"),SUMIF(F$34:$F79,F78,L$34:$L79),SUMIF(Resumo_Agrupamento!$B$4:$B$1000,D78,Resumo_Agrupamento!$E$4:$E$1000))</f>
        <v>0</v>
      </c>
      <c r="M78" s="317">
        <f ca="1">L78-K78-L78*PARAMETROS!$C$19</f>
        <v>0</v>
      </c>
      <c r="N78" s="63">
        <f t="shared" ca="1" si="8"/>
        <v>0</v>
      </c>
      <c r="O78" s="208"/>
      <c r="P78" s="238" t="str">
        <f ca="1">IF(Tabela4[[#This Row],[TIPO]]&gt;1,"",IFERROR(INDIRECT("CPU_"&amp;LEFT(SUBSTITUTE(SUBSTITUTE($G78," ",""),"-",""),20)&amp;"!b6"),""))</f>
        <v/>
      </c>
      <c r="Q78" s="28" t="str">
        <f ca="1">IF(Tabela4[[#This Row],[TIPO]]&gt;1,"",IFERROR(INDIRECT("CPU_"&amp;LEFT(SUBSTITUTE(SUBSTITUTE($G78," ",""),"-",""),20)&amp;"!j3"),""))</f>
        <v/>
      </c>
      <c r="R78" s="238" t="str">
        <f ca="1">IF(Tabela4[[#This Row],[TIPO]]&gt;1,"",IFERROR(INDIRECT("CPU_"&amp;LEFT(SUBSTITUTE(SUBSTITUTE($G78," ",""),"-",""),20)&amp;"!g7"),""))</f>
        <v/>
      </c>
      <c r="S78" s="28"/>
      <c r="T78" s="28"/>
      <c r="Z78" s="208"/>
      <c r="AA78" s="206"/>
      <c r="AB78" s="210"/>
      <c r="AC78" s="206"/>
      <c r="AD78" s="206"/>
      <c r="AE78" s="207"/>
    </row>
    <row r="79" spans="2:31" hidden="1" x14ac:dyDescent="0.3">
      <c r="B79" s="28">
        <f>IF(Tabela4[[#This Row],[ETAPA]]&lt;&gt;0,0,0)</f>
        <v>0</v>
      </c>
      <c r="C79" s="318" t="str">
        <f t="shared" si="7"/>
        <v>...</v>
      </c>
      <c r="E79">
        <f>IFERROR(VLOOKUP(Tabela4[[#This Row],[Codigo]],Tabela1[[SERVICO]:[ETAPA/SERVICO]],4),0)</f>
        <v>0</v>
      </c>
      <c r="F79">
        <f>IFERROR(VLOOKUP(Tabela4[[#This Row],[Codigo]],Tabela1[[SERVICO]:[ETAPA/SERVICO]],3),0)</f>
        <v>0</v>
      </c>
      <c r="G79" t="str">
        <f>IFERROR(VLOOKUP(D79,Tabela1[[SERVICO]:[NOME SERVIÇO]],2,0),"")</f>
        <v/>
      </c>
      <c r="H79" s="226">
        <f>SUMIF(Resumo_Agrupamento!$B$4:$B$1000,Tabela4[[#This Row],[Codigo]],Resumo_Agrupamento!$C$4:$C$1000)</f>
        <v>0</v>
      </c>
      <c r="I79" s="29">
        <f ca="1">IF(AND(E79&gt;1,PARAMETROS!$C$17="RDC"),0,IFERROR(INDIRECT("CPU_"&amp;LEFT(SUBSTITUTE(SUBSTITUTE(G79," ",""),"-",""),20)&amp;"!k3"),0))</f>
        <v>0</v>
      </c>
      <c r="J79" s="29">
        <f>IF(AND(E79&gt;1,PARAMETROS!$C$17="RDC"),0,SUMIF(Resumo_Agrupamento!$B$4:$B$1000,D79,Resumo_Agrupamento!$D$4:$D$1000))</f>
        <v>0</v>
      </c>
      <c r="K79" s="226">
        <f ca="1">IF(AND(E79&gt;1,PARAMETROS!$C$17="RDC"),SUMIF(F$34:$F80,F79,K$34:$K80),H79*I79)</f>
        <v>0</v>
      </c>
      <c r="L79" s="226">
        <f>IF(AND(E79&gt;1,PARAMETROS!$C$17="RDC"),SUMIF(F$34:$F80,F79,L$34:$L80),SUMIF(Resumo_Agrupamento!$B$4:$B$1000,D79,Resumo_Agrupamento!$E$4:$E$1000))</f>
        <v>0</v>
      </c>
      <c r="M79" s="317">
        <f ca="1">L79-K79-L79*PARAMETROS!$C$19</f>
        <v>0</v>
      </c>
      <c r="N79" s="63">
        <f t="shared" ca="1" si="8"/>
        <v>0</v>
      </c>
      <c r="O79" s="208"/>
      <c r="P79" s="238" t="str">
        <f ca="1">IF(Tabela4[[#This Row],[TIPO]]&gt;1,"",IFERROR(INDIRECT("CPU_"&amp;LEFT(SUBSTITUTE(SUBSTITUTE($G79," ",""),"-",""),20)&amp;"!b6"),""))</f>
        <v/>
      </c>
      <c r="Q79" s="28" t="str">
        <f ca="1">IF(Tabela4[[#This Row],[TIPO]]&gt;1,"",IFERROR(INDIRECT("CPU_"&amp;LEFT(SUBSTITUTE(SUBSTITUTE($G79," ",""),"-",""),20)&amp;"!j3"),""))</f>
        <v/>
      </c>
      <c r="R79" s="238" t="str">
        <f ca="1">IF(Tabela4[[#This Row],[TIPO]]&gt;1,"",IFERROR(INDIRECT("CPU_"&amp;LEFT(SUBSTITUTE(SUBSTITUTE($G79," ",""),"-",""),20)&amp;"!g7"),""))</f>
        <v/>
      </c>
      <c r="S79" s="28"/>
      <c r="T79" s="28"/>
      <c r="Z79" s="208"/>
      <c r="AA79" s="206">
        <f>SUMPRODUCT(Plan_Orc[Acum. 2023]*Tabela2[K]*(Tabela2[AGRUPADOR]=Tabela4[[#This Row],[Codigo]]))</f>
        <v>0</v>
      </c>
      <c r="AB79" s="210">
        <f ca="1">IF(AND(Tabela4[[#This Row],[TIPO]]&gt;1,PARAMETROS!$C$17="RDC"),0,IFERROR(INDIRECT(LEFT(SUBSTITUTE(SUBSTITUTE(#REF!," ",""),"-",""),20)&amp;"!ae3"),0))</f>
        <v>0</v>
      </c>
      <c r="AC79" s="206">
        <f ca="1">IF(AND(Tabela4[[#This Row],[TIPO]]&gt;1,PARAMETROS!$C$17="RDC"),SUMIF($F34:G$95,#REF!,$AB82:AC$158),AA79*AB79)</f>
        <v>0</v>
      </c>
      <c r="AD79" s="206" t="e">
        <f ca="1">IF(AND(Tabela4[[#This Row],[TIPO]]&gt;1,PARAMETROS!$C$17="RDC"),SUMIF($F34:G$95,#REF!,$AC82:AD$158),(#REF!-AB79)*AA79)</f>
        <v>#REF!</v>
      </c>
      <c r="AE79" s="207">
        <f t="shared" ca="1" si="5"/>
        <v>0</v>
      </c>
    </row>
    <row r="80" spans="2:31" hidden="1" x14ac:dyDescent="0.3">
      <c r="B80" s="28">
        <f>IF(Tabela4[[#This Row],[ETAPA]]&lt;&gt;0,0,0)</f>
        <v>0</v>
      </c>
      <c r="C80" s="318" t="str">
        <f t="shared" si="7"/>
        <v>...</v>
      </c>
      <c r="E80">
        <f>IFERROR(VLOOKUP(Tabela4[[#This Row],[Codigo]],Tabela1[[SERVICO]:[ETAPA/SERVICO]],4),0)</f>
        <v>0</v>
      </c>
      <c r="F80">
        <f>IFERROR(VLOOKUP(Tabela4[[#This Row],[Codigo]],Tabela1[[SERVICO]:[ETAPA/SERVICO]],3),0)</f>
        <v>0</v>
      </c>
      <c r="G80" t="str">
        <f>IFERROR(VLOOKUP(D80,Tabela1[[SERVICO]:[NOME SERVIÇO]],2,0),"")</f>
        <v/>
      </c>
      <c r="H80" s="226">
        <f>SUMIF(Resumo_Agrupamento!$B$4:$B$1000,Tabela4[[#This Row],[Codigo]],Resumo_Agrupamento!$C$4:$C$1000)</f>
        <v>0</v>
      </c>
      <c r="I80" s="29">
        <f ca="1">IF(AND(E80&gt;1,PARAMETROS!$C$17="RDC"),0,IFERROR(INDIRECT("CPU_"&amp;LEFT(SUBSTITUTE(SUBSTITUTE(G80," ",""),"-",""),20)&amp;"!k3"),0))</f>
        <v>0</v>
      </c>
      <c r="J80" s="29">
        <f>IF(AND(E80&gt;1,PARAMETROS!$C$17="RDC"),0,SUMIF(Resumo_Agrupamento!$B$4:$B$1000,D80,Resumo_Agrupamento!$D$4:$D$1000))</f>
        <v>0</v>
      </c>
      <c r="K80" s="226">
        <f ca="1">IF(AND(E80&gt;1,PARAMETROS!$C$17="RDC"),SUMIF(F$34:$F81,F80,K$34:$K81),H80*I80)</f>
        <v>0</v>
      </c>
      <c r="L80" s="226">
        <f>IF(AND(E80&gt;1,PARAMETROS!$C$17="RDC"),SUMIF(F$34:$F81,F80,L$34:$L81),SUMIF(Resumo_Agrupamento!$B$4:$B$1000,D80,Resumo_Agrupamento!$E$4:$E$1000))</f>
        <v>0</v>
      </c>
      <c r="M80" s="317">
        <f ca="1">L80-K80-L80*PARAMETROS!$C$19</f>
        <v>0</v>
      </c>
      <c r="N80" s="63">
        <f t="shared" ca="1" si="8"/>
        <v>0</v>
      </c>
      <c r="O80" s="208"/>
      <c r="P80" s="238" t="str">
        <f ca="1">IF(Tabela4[[#This Row],[TIPO]]&gt;1,"",IFERROR(INDIRECT("CPU_"&amp;LEFT(SUBSTITUTE(SUBSTITUTE($G80," ",""),"-",""),20)&amp;"!b6"),""))</f>
        <v/>
      </c>
      <c r="Q80" s="28" t="str">
        <f ca="1">IF(Tabela4[[#This Row],[TIPO]]&gt;1,"",IFERROR(INDIRECT("CPU_"&amp;LEFT(SUBSTITUTE(SUBSTITUTE($G80," ",""),"-",""),20)&amp;"!j3"),""))</f>
        <v/>
      </c>
      <c r="R80" s="238" t="str">
        <f ca="1">IF(Tabela4[[#This Row],[TIPO]]&gt;1,"",IFERROR(INDIRECT("CPU_"&amp;LEFT(SUBSTITUTE(SUBSTITUTE($G80," ",""),"-",""),20)&amp;"!g7"),""))</f>
        <v/>
      </c>
      <c r="S80" s="28"/>
      <c r="T80" s="28"/>
      <c r="Z80" s="208"/>
      <c r="AA80" s="206">
        <f>SUMPRODUCT(Plan_Orc[Acum. 2023]*Tabela2[K]*(Tabela2[AGRUPADOR]=Tabela4[[#This Row],[Codigo]]))</f>
        <v>0</v>
      </c>
      <c r="AB80" s="210">
        <f ca="1">IF(AND(Tabela4[[#This Row],[TIPO]]&gt;1,PARAMETROS!$C$17="RDC"),0,IFERROR(INDIRECT(LEFT(SUBSTITUTE(SUBSTITUTE(#REF!," ",""),"-",""),20)&amp;"!ae3"),0))</f>
        <v>0</v>
      </c>
      <c r="AC80" s="206">
        <f ca="1">IF(AND(Tabela4[[#This Row],[TIPO]]&gt;1,PARAMETROS!$C$17="RDC"),SUMIF($F34:G$95,#REF!,$AB83:AC$158),AA80*AB80)</f>
        <v>0</v>
      </c>
      <c r="AD80" s="206" t="e">
        <f ca="1">IF(AND(Tabela4[[#This Row],[TIPO]]&gt;1,PARAMETROS!$C$17="RDC"),SUMIF($F34:G$95,#REF!,$AC83:AD$158),(#REF!-AB80)*AA80)</f>
        <v>#REF!</v>
      </c>
      <c r="AE80" s="207">
        <f t="shared" ca="1" si="5"/>
        <v>0</v>
      </c>
    </row>
    <row r="81" spans="2:31" hidden="1" x14ac:dyDescent="0.3">
      <c r="B81" s="28">
        <f>IF(Tabela4[[#This Row],[ETAPA]]&lt;&gt;0,0,0)</f>
        <v>0</v>
      </c>
      <c r="C81" s="318" t="str">
        <f t="shared" si="7"/>
        <v>...</v>
      </c>
      <c r="E81">
        <f>IFERROR(VLOOKUP(Tabela4[[#This Row],[Codigo]],Tabela1[[SERVICO]:[ETAPA/SERVICO]],4),0)</f>
        <v>0</v>
      </c>
      <c r="F81">
        <f>IFERROR(VLOOKUP(Tabela4[[#This Row],[Codigo]],Tabela1[[SERVICO]:[ETAPA/SERVICO]],3),0)</f>
        <v>0</v>
      </c>
      <c r="G81" t="str">
        <f>IFERROR(VLOOKUP(D81,Tabela1[[SERVICO]:[NOME SERVIÇO]],2,0),"")</f>
        <v/>
      </c>
      <c r="H81" s="226">
        <f>SUMIF(Resumo_Agrupamento!$B$4:$B$1000,Tabela4[[#This Row],[Codigo]],Resumo_Agrupamento!$C$4:$C$1000)</f>
        <v>0</v>
      </c>
      <c r="I81" s="29">
        <f ca="1">IF(AND(E81&gt;1,PARAMETROS!$C$17="RDC"),0,IFERROR(INDIRECT("CPU_"&amp;LEFT(SUBSTITUTE(SUBSTITUTE(G81," ",""),"-",""),20)&amp;"!k3"),0))</f>
        <v>0</v>
      </c>
      <c r="J81" s="29">
        <f>IF(AND(E81&gt;1,PARAMETROS!$C$17="RDC"),0,SUMIF(Resumo_Agrupamento!$B$4:$B$1000,D81,Resumo_Agrupamento!$D$4:$D$1000))</f>
        <v>0</v>
      </c>
      <c r="K81" s="226">
        <f ca="1">IF(AND(E81&gt;1,PARAMETROS!$C$17="RDC"),SUMIF(F$34:$F82,F81,K$34:$K82),H81*I81)</f>
        <v>0</v>
      </c>
      <c r="L81" s="226">
        <f>IF(AND(E81&gt;1,PARAMETROS!$C$17="RDC"),SUMIF(F$34:$F82,F81,L$34:$L82),SUMIF(Resumo_Agrupamento!$B$4:$B$1000,D81,Resumo_Agrupamento!$E$4:$E$1000))</f>
        <v>0</v>
      </c>
      <c r="M81" s="317">
        <f ca="1">L81-K81-L81*PARAMETROS!$C$19</f>
        <v>0</v>
      </c>
      <c r="N81" s="63">
        <f t="shared" ca="1" si="8"/>
        <v>0</v>
      </c>
      <c r="O81" s="208"/>
      <c r="P81" s="238" t="str">
        <f ca="1">IF(Tabela4[[#This Row],[TIPO]]&gt;1,"",IFERROR(INDIRECT("CPU_"&amp;LEFT(SUBSTITUTE(SUBSTITUTE($G81," ",""),"-",""),20)&amp;"!b6"),""))</f>
        <v/>
      </c>
      <c r="Q81" s="28" t="str">
        <f ca="1">IF(Tabela4[[#This Row],[TIPO]]&gt;1,"",IFERROR(INDIRECT("CPU_"&amp;LEFT(SUBSTITUTE(SUBSTITUTE($G81," ",""),"-",""),20)&amp;"!j3"),""))</f>
        <v/>
      </c>
      <c r="R81" s="238" t="str">
        <f ca="1">IF(Tabela4[[#This Row],[TIPO]]&gt;1,"",IFERROR(INDIRECT("CPU_"&amp;LEFT(SUBSTITUTE(SUBSTITUTE($G81," ",""),"-",""),20)&amp;"!g7"),""))</f>
        <v/>
      </c>
      <c r="S81" s="28"/>
      <c r="T81" s="28"/>
      <c r="Z81" s="208"/>
      <c r="AA81" s="206">
        <f>SUMPRODUCT(Plan_Orc[Acum. 2023]*Tabela2[K]*(Tabela2[AGRUPADOR]=Tabela4[[#This Row],[Codigo]]))</f>
        <v>0</v>
      </c>
      <c r="AB81" s="210">
        <f ca="1">IF(AND(Tabela4[[#This Row],[TIPO]]&gt;1,PARAMETROS!$C$17="RDC"),0,IFERROR(INDIRECT(LEFT(SUBSTITUTE(SUBSTITUTE(#REF!," ",""),"-",""),20)&amp;"!ae3"),0))</f>
        <v>0</v>
      </c>
      <c r="AC81" s="206">
        <f ca="1">IF(AND(Tabela4[[#This Row],[TIPO]]&gt;1,PARAMETROS!$C$17="RDC"),SUMIF($F34:G$95,#REF!,$AB84:AC$158),AA81*AB81)</f>
        <v>0</v>
      </c>
      <c r="AD81" s="206" t="e">
        <f ca="1">IF(AND(Tabela4[[#This Row],[TIPO]]&gt;1,PARAMETROS!$C$17="RDC"),SUMIF($F34:G$95,#REF!,$AC84:AD$158),(#REF!-AB81)*AA81)</f>
        <v>#REF!</v>
      </c>
      <c r="AE81" s="207">
        <f t="shared" ca="1" si="5"/>
        <v>0</v>
      </c>
    </row>
    <row r="82" spans="2:31" hidden="1" x14ac:dyDescent="0.3">
      <c r="B82" s="28">
        <f>IF(Tabela4[[#This Row],[ETAPA]]&lt;&gt;0,0,0)</f>
        <v>0</v>
      </c>
      <c r="C82" s="318" t="str">
        <f t="shared" si="7"/>
        <v>...</v>
      </c>
      <c r="E82">
        <f>IFERROR(VLOOKUP(Tabela4[[#This Row],[Codigo]],Tabela1[[SERVICO]:[ETAPA/SERVICO]],4),0)</f>
        <v>0</v>
      </c>
      <c r="F82">
        <f>IFERROR(VLOOKUP(Tabela4[[#This Row],[Codigo]],Tabela1[[SERVICO]:[ETAPA/SERVICO]],3),0)</f>
        <v>0</v>
      </c>
      <c r="G82" t="str">
        <f>IFERROR(VLOOKUP(D82,Tabela1[[SERVICO]:[NOME SERVIÇO]],2,0),"")</f>
        <v/>
      </c>
      <c r="H82" s="226">
        <f>SUMIF(Resumo_Agrupamento!$B$4:$B$1000,Tabela4[[#This Row],[Codigo]],Resumo_Agrupamento!$C$4:$C$1000)</f>
        <v>0</v>
      </c>
      <c r="I82" s="29">
        <f ca="1">IF(AND(E82&gt;1,PARAMETROS!$C$17="RDC"),0,IFERROR(INDIRECT("CPU_"&amp;LEFT(SUBSTITUTE(SUBSTITUTE(G82," ",""),"-",""),20)&amp;"!k3"),0))</f>
        <v>0</v>
      </c>
      <c r="J82" s="29">
        <f>IF(AND(E82&gt;1,PARAMETROS!$C$17="RDC"),0,SUMIF(Resumo_Agrupamento!$B$4:$B$1000,D82,Resumo_Agrupamento!$D$4:$D$1000))</f>
        <v>0</v>
      </c>
      <c r="K82" s="226">
        <f ca="1">IF(AND(E82&gt;1,PARAMETROS!$C$17="RDC"),SUMIF(F$34:$F83,F82,K$34:$K83),H82*I82)</f>
        <v>0</v>
      </c>
      <c r="L82" s="226">
        <f>IF(AND(E82&gt;1,PARAMETROS!$C$17="RDC"),SUMIF(F$34:$F83,F82,L$34:$L83),SUMIF(Resumo_Agrupamento!$B$4:$B$1000,D82,Resumo_Agrupamento!$E$4:$E$1000))</f>
        <v>0</v>
      </c>
      <c r="M82" s="317">
        <f ca="1">L82-K82-L82*PARAMETROS!$C$19</f>
        <v>0</v>
      </c>
      <c r="N82" s="63">
        <f t="shared" ca="1" si="8"/>
        <v>0</v>
      </c>
      <c r="O82" s="208"/>
      <c r="P82" s="238" t="str">
        <f ca="1">IF(Tabela4[[#This Row],[TIPO]]&gt;1,"",IFERROR(INDIRECT("CPU_"&amp;LEFT(SUBSTITUTE(SUBSTITUTE($G82," ",""),"-",""),20)&amp;"!b6"),""))</f>
        <v/>
      </c>
      <c r="Q82" s="28" t="str">
        <f ca="1">IF(Tabela4[[#This Row],[TIPO]]&gt;1,"",IFERROR(INDIRECT("CPU_"&amp;LEFT(SUBSTITUTE(SUBSTITUTE($G82," ",""),"-",""),20)&amp;"!j3"),""))</f>
        <v/>
      </c>
      <c r="R82" s="238" t="str">
        <f ca="1">IF(Tabela4[[#This Row],[TIPO]]&gt;1,"",IFERROR(INDIRECT("CPU_"&amp;LEFT(SUBSTITUTE(SUBSTITUTE($G82," ",""),"-",""),20)&amp;"!g7"),""))</f>
        <v/>
      </c>
      <c r="S82" s="28"/>
      <c r="T82" s="28"/>
      <c r="Z82" s="208"/>
      <c r="AA82" s="206">
        <f>SUMPRODUCT(Plan_Orc[Acum. 2023]*Tabela2[K]*(Tabela2[AGRUPADOR]=Tabela4[[#This Row],[Codigo]]))</f>
        <v>0</v>
      </c>
      <c r="AB82" s="210">
        <f ca="1">IF(AND(Tabela4[[#This Row],[TIPO]]&gt;1,PARAMETROS!$C$17="RDC"),0,IFERROR(INDIRECT(LEFT(SUBSTITUTE(SUBSTITUTE(#REF!," ",""),"-",""),20)&amp;"!ae3"),0))</f>
        <v>0</v>
      </c>
      <c r="AC82" s="206">
        <f ca="1">IF(AND(Tabela4[[#This Row],[TIPO]]&gt;1,PARAMETROS!$C$17="RDC"),SUMIF($F34:G$95,#REF!,$AB85:AC$158),AA82*AB82)</f>
        <v>0</v>
      </c>
      <c r="AD82" s="206" t="e">
        <f ca="1">IF(AND(Tabela4[[#This Row],[TIPO]]&gt;1,PARAMETROS!$C$17="RDC"),SUMIF($F34:G$95,#REF!,$AC85:AD$158),(#REF!-AB82)*AA82)</f>
        <v>#REF!</v>
      </c>
      <c r="AE82" s="207">
        <f t="shared" ca="1" si="5"/>
        <v>0</v>
      </c>
    </row>
    <row r="83" spans="2:31" hidden="1" x14ac:dyDescent="0.3">
      <c r="B83" s="28">
        <f>IF(Tabela4[[#This Row],[ETAPA]]&lt;&gt;0,0,0)</f>
        <v>0</v>
      </c>
      <c r="C83" s="318" t="str">
        <f t="shared" si="7"/>
        <v>...</v>
      </c>
      <c r="E83">
        <f>IFERROR(VLOOKUP(Tabela4[[#This Row],[Codigo]],Tabela1[[SERVICO]:[ETAPA/SERVICO]],4),0)</f>
        <v>0</v>
      </c>
      <c r="F83">
        <f>IFERROR(VLOOKUP(Tabela4[[#This Row],[Codigo]],Tabela1[[SERVICO]:[ETAPA/SERVICO]],3),0)</f>
        <v>0</v>
      </c>
      <c r="G83" t="str">
        <f>IFERROR(VLOOKUP(D83,Tabela1[[SERVICO]:[NOME SERVIÇO]],2,0),"")</f>
        <v/>
      </c>
      <c r="H83" s="226">
        <f>SUMIF(Resumo_Agrupamento!$B$4:$B$1000,Tabela4[[#This Row],[Codigo]],Resumo_Agrupamento!$C$4:$C$1000)</f>
        <v>0</v>
      </c>
      <c r="I83" s="29">
        <f ca="1">IF(AND(E83&gt;1,PARAMETROS!$C$17="RDC"),0,IFERROR(INDIRECT("CPU_"&amp;LEFT(SUBSTITUTE(SUBSTITUTE(G83," ",""),"-",""),20)&amp;"!k3"),0))</f>
        <v>0</v>
      </c>
      <c r="J83" s="29">
        <f>IF(AND(E83&gt;1,PARAMETROS!$C$17="RDC"),0,SUMIF(Resumo_Agrupamento!$B$4:$B$1000,D83,Resumo_Agrupamento!$D$4:$D$1000))</f>
        <v>0</v>
      </c>
      <c r="K83" s="226">
        <f ca="1">IF(AND(E83&gt;1,PARAMETROS!$C$17="RDC"),SUMIF(F$34:$F84,F83,K$34:$K84),H83*I83)</f>
        <v>0</v>
      </c>
      <c r="L83" s="226">
        <f>IF(AND(E83&gt;1,PARAMETROS!$C$17="RDC"),SUMIF(F$34:$F84,F83,L$34:$L84),SUMIF(Resumo_Agrupamento!$B$4:$B$1000,D83,Resumo_Agrupamento!$E$4:$E$1000))</f>
        <v>0</v>
      </c>
      <c r="M83" s="317">
        <f ca="1">L83-K83-L83*PARAMETROS!$C$19</f>
        <v>0</v>
      </c>
      <c r="N83" s="63">
        <f t="shared" ca="1" si="8"/>
        <v>0</v>
      </c>
      <c r="O83" s="208"/>
      <c r="P83" s="238" t="str">
        <f ca="1">IF(Tabela4[[#This Row],[TIPO]]&gt;1,"",IFERROR(INDIRECT("CPU_"&amp;LEFT(SUBSTITUTE(SUBSTITUTE($G83," ",""),"-",""),20)&amp;"!b6"),""))</f>
        <v/>
      </c>
      <c r="Q83" s="28" t="str">
        <f ca="1">IF(Tabela4[[#This Row],[TIPO]]&gt;1,"",IFERROR(INDIRECT("CPU_"&amp;LEFT(SUBSTITUTE(SUBSTITUTE($G83," ",""),"-",""),20)&amp;"!j3"),""))</f>
        <v/>
      </c>
      <c r="R83" s="238" t="str">
        <f ca="1">IF(Tabela4[[#This Row],[TIPO]]&gt;1,"",IFERROR(INDIRECT("CPU_"&amp;LEFT(SUBSTITUTE(SUBSTITUTE($G83," ",""),"-",""),20)&amp;"!g7"),""))</f>
        <v/>
      </c>
      <c r="S83" s="28"/>
      <c r="T83" s="28"/>
      <c r="Z83" s="208"/>
      <c r="AA83" s="206">
        <f>SUMPRODUCT(Plan_Orc[Acum. 2023]*Tabela2[K]*(Tabela2[AGRUPADOR]=Tabela4[[#This Row],[Codigo]]))</f>
        <v>0</v>
      </c>
      <c r="AB83" s="210">
        <f ca="1">IF(AND(Tabela4[[#This Row],[TIPO]]&gt;1,PARAMETROS!$C$17="RDC"),0,IFERROR(INDIRECT(LEFT(SUBSTITUTE(SUBSTITUTE(#REF!," ",""),"-",""),20)&amp;"!ae3"),0))</f>
        <v>0</v>
      </c>
      <c r="AC83" s="206">
        <f ca="1">IF(AND(Tabela4[[#This Row],[TIPO]]&gt;1,PARAMETROS!$C$17="RDC"),SUMIF($F34:G$95,#REF!,$AB86:AC$158),AA83*AB83)</f>
        <v>0</v>
      </c>
      <c r="AD83" s="206" t="e">
        <f ca="1">IF(AND(Tabela4[[#This Row],[TIPO]]&gt;1,PARAMETROS!$C$17="RDC"),SUMIF($F34:G$95,#REF!,$AC86:AD$158),(#REF!-AB83)*AA83)</f>
        <v>#REF!</v>
      </c>
      <c r="AE83" s="207">
        <f t="shared" ca="1" si="5"/>
        <v>0</v>
      </c>
    </row>
    <row r="84" spans="2:31" hidden="1" x14ac:dyDescent="0.3">
      <c r="B84" s="28">
        <f>IF(Tabela4[[#This Row],[ETAPA]]&lt;&gt;0,0,0)</f>
        <v>0</v>
      </c>
      <c r="C84" s="318" t="str">
        <f t="shared" si="7"/>
        <v>...</v>
      </c>
      <c r="E84">
        <f>IFERROR(VLOOKUP(Tabela4[[#This Row],[Codigo]],Tabela1[[SERVICO]:[ETAPA/SERVICO]],4),0)</f>
        <v>0</v>
      </c>
      <c r="F84">
        <f>IFERROR(VLOOKUP(Tabela4[[#This Row],[Codigo]],Tabela1[[SERVICO]:[ETAPA/SERVICO]],3),0)</f>
        <v>0</v>
      </c>
      <c r="G84" t="str">
        <f>IFERROR(VLOOKUP(D84,Tabela1[[SERVICO]:[NOME SERVIÇO]],2,0),"")</f>
        <v/>
      </c>
      <c r="H84" s="226">
        <f>SUMIF(Resumo_Agrupamento!$B$4:$B$1000,Tabela4[[#This Row],[Codigo]],Resumo_Agrupamento!$C$4:$C$1000)</f>
        <v>0</v>
      </c>
      <c r="I84" s="29">
        <f ca="1">IF(AND(E84&gt;1,PARAMETROS!$C$17="RDC"),0,IFERROR(INDIRECT("CPU_"&amp;LEFT(SUBSTITUTE(SUBSTITUTE(G84," ",""),"-",""),20)&amp;"!k3"),0))</f>
        <v>0</v>
      </c>
      <c r="J84" s="29">
        <f>IF(AND(E84&gt;1,PARAMETROS!$C$17="RDC"),0,SUMIF(Resumo_Agrupamento!$B$4:$B$1000,D84,Resumo_Agrupamento!$D$4:$D$1000))</f>
        <v>0</v>
      </c>
      <c r="K84" s="226">
        <f ca="1">IF(AND(E84&gt;1,PARAMETROS!$C$17="RDC"),SUMIF(F$34:$F85,F84,K$34:$K85),H84*I84)</f>
        <v>0</v>
      </c>
      <c r="L84" s="226">
        <f>IF(AND(E84&gt;1,PARAMETROS!$C$17="RDC"),SUMIF(F$34:$F85,F84,L$34:$L85),SUMIF(Resumo_Agrupamento!$B$4:$B$1000,D84,Resumo_Agrupamento!$E$4:$E$1000))</f>
        <v>0</v>
      </c>
      <c r="M84" s="317">
        <f ca="1">L84-K84-L84*PARAMETROS!$C$19</f>
        <v>0</v>
      </c>
      <c r="N84" s="63">
        <f t="shared" ca="1" si="8"/>
        <v>0</v>
      </c>
      <c r="O84" s="208"/>
      <c r="P84" s="238" t="str">
        <f ca="1">IF(Tabela4[[#This Row],[TIPO]]&gt;1,"",IFERROR(INDIRECT("CPU_"&amp;LEFT(SUBSTITUTE(SUBSTITUTE($G84," ",""),"-",""),20)&amp;"!b6"),""))</f>
        <v/>
      </c>
      <c r="Q84" s="28" t="str">
        <f ca="1">IF(Tabela4[[#This Row],[TIPO]]&gt;1,"",IFERROR(INDIRECT("CPU_"&amp;LEFT(SUBSTITUTE(SUBSTITUTE($G84," ",""),"-",""),20)&amp;"!j3"),""))</f>
        <v/>
      </c>
      <c r="R84" s="238" t="str">
        <f ca="1">IF(Tabela4[[#This Row],[TIPO]]&gt;1,"",IFERROR(INDIRECT("CPU_"&amp;LEFT(SUBSTITUTE(SUBSTITUTE($G84," ",""),"-",""),20)&amp;"!g7"),""))</f>
        <v/>
      </c>
      <c r="S84" s="28"/>
      <c r="T84" s="28"/>
      <c r="Z84" s="208"/>
      <c r="AA84" s="206">
        <f>SUMPRODUCT(Plan_Orc[Acum. 2023]*Tabela2[K]*(Tabela2[AGRUPADOR]=Tabela4[[#This Row],[Codigo]]))</f>
        <v>0</v>
      </c>
      <c r="AB84" s="210">
        <f ca="1">IF(AND(Tabela4[[#This Row],[TIPO]]&gt;1,PARAMETROS!$C$17="RDC"),0,IFERROR(INDIRECT(LEFT(SUBSTITUTE(SUBSTITUTE(#REF!," ",""),"-",""),20)&amp;"!ae3"),0))</f>
        <v>0</v>
      </c>
      <c r="AC84" s="206">
        <f ca="1">IF(AND(Tabela4[[#This Row],[TIPO]]&gt;1,PARAMETROS!$C$17="RDC"),SUMIF($F34:G$95,#REF!,$AB87:AC$158),AA84*AB84)</f>
        <v>0</v>
      </c>
      <c r="AD84" s="206" t="e">
        <f ca="1">IF(AND(Tabela4[[#This Row],[TIPO]]&gt;1,PARAMETROS!$C$17="RDC"),SUMIF($F34:G$95,#REF!,$AC87:AD$158),(#REF!-AB84)*AA84)</f>
        <v>#REF!</v>
      </c>
      <c r="AE84" s="207">
        <f t="shared" ca="1" si="5"/>
        <v>0</v>
      </c>
    </row>
    <row r="85" spans="2:31" hidden="1" x14ac:dyDescent="0.3">
      <c r="B85" s="28">
        <f>IF(Tabela4[[#This Row],[ETAPA]]&lt;&gt;0,0,0)</f>
        <v>0</v>
      </c>
      <c r="C85" s="318" t="str">
        <f t="shared" si="7"/>
        <v>...</v>
      </c>
      <c r="E85">
        <f>IFERROR(VLOOKUP(Tabela4[[#This Row],[Codigo]],Tabela1[[SERVICO]:[ETAPA/SERVICO]],4),0)</f>
        <v>0</v>
      </c>
      <c r="F85">
        <f>IFERROR(VLOOKUP(Tabela4[[#This Row],[Codigo]],Tabela1[[SERVICO]:[ETAPA/SERVICO]],3),0)</f>
        <v>0</v>
      </c>
      <c r="G85" t="str">
        <f>IFERROR(VLOOKUP(D85,Tabela1[[SERVICO]:[NOME SERVIÇO]],2,0),"")</f>
        <v/>
      </c>
      <c r="H85" s="226">
        <f>SUMIF(Resumo_Agrupamento!$B$4:$B$1000,Tabela4[[#This Row],[Codigo]],Resumo_Agrupamento!$C$4:$C$1000)</f>
        <v>0</v>
      </c>
      <c r="I85" s="29">
        <f ca="1">IF(AND(E85&gt;1,PARAMETROS!$C$17="RDC"),0,IFERROR(INDIRECT("CPU_"&amp;LEFT(SUBSTITUTE(SUBSTITUTE(G85," ",""),"-",""),20)&amp;"!k3"),0))</f>
        <v>0</v>
      </c>
      <c r="J85" s="29">
        <f>IF(AND(E85&gt;1,PARAMETROS!$C$17="RDC"),0,SUMIF(Resumo_Agrupamento!$B$4:$B$1000,D85,Resumo_Agrupamento!$D$4:$D$1000))</f>
        <v>0</v>
      </c>
      <c r="K85" s="226">
        <f ca="1">IF(AND(E85&gt;1,PARAMETROS!$C$17="RDC"),SUMIF(F$34:$F86,F85,K$34:$K86),H85*I85)</f>
        <v>0</v>
      </c>
      <c r="L85" s="226">
        <f>IF(AND(E85&gt;1,PARAMETROS!$C$17="RDC"),SUMIF(F$34:$F86,F85,L$34:$L86),SUMIF(Resumo_Agrupamento!$B$4:$B$1000,D85,Resumo_Agrupamento!$E$4:$E$1000))</f>
        <v>0</v>
      </c>
      <c r="M85" s="317">
        <f ca="1">L85-K85-L85*PARAMETROS!$C$19</f>
        <v>0</v>
      </c>
      <c r="N85" s="63">
        <f t="shared" ca="1" si="8"/>
        <v>0</v>
      </c>
      <c r="O85" s="208"/>
      <c r="P85" s="238" t="str">
        <f ca="1">IF(Tabela4[[#This Row],[TIPO]]&gt;1,"",IFERROR(INDIRECT("CPU_"&amp;LEFT(SUBSTITUTE(SUBSTITUTE($G85," ",""),"-",""),20)&amp;"!b6"),""))</f>
        <v/>
      </c>
      <c r="Q85" s="28" t="str">
        <f ca="1">IF(Tabela4[[#This Row],[TIPO]]&gt;1,"",IFERROR(INDIRECT("CPU_"&amp;LEFT(SUBSTITUTE(SUBSTITUTE($G85," ",""),"-",""),20)&amp;"!j3"),""))</f>
        <v/>
      </c>
      <c r="R85" s="238" t="str">
        <f ca="1">IF(Tabela4[[#This Row],[TIPO]]&gt;1,"",IFERROR(INDIRECT("CPU_"&amp;LEFT(SUBSTITUTE(SUBSTITUTE($G85," ",""),"-",""),20)&amp;"!g7"),""))</f>
        <v/>
      </c>
      <c r="S85" s="28"/>
      <c r="T85" s="28"/>
      <c r="Z85" s="208"/>
      <c r="AA85" s="206">
        <f>SUMPRODUCT(Plan_Orc[Acum. 2023]*Tabela2[K]*(Tabela2[AGRUPADOR]=Tabela4[[#This Row],[Codigo]]))</f>
        <v>0</v>
      </c>
      <c r="AB85" s="210">
        <f ca="1">IF(AND(Tabela4[[#This Row],[TIPO]]&gt;1,PARAMETROS!$C$17="RDC"),0,IFERROR(INDIRECT(LEFT(SUBSTITUTE(SUBSTITUTE(#REF!," ",""),"-",""),20)&amp;"!ae3"),0))</f>
        <v>0</v>
      </c>
      <c r="AC85" s="206">
        <f ca="1">IF(AND(Tabela4[[#This Row],[TIPO]]&gt;1,PARAMETROS!$C$17="RDC"),SUMIF($F34:G$95,#REF!,$AB88:AC$158),AA85*AB85)</f>
        <v>0</v>
      </c>
      <c r="AD85" s="206" t="e">
        <f ca="1">IF(AND(Tabela4[[#This Row],[TIPO]]&gt;1,PARAMETROS!$C$17="RDC"),SUMIF($F34:G$95,#REF!,$AC88:AD$158),(#REF!-AB85)*AA85)</f>
        <v>#REF!</v>
      </c>
      <c r="AE85" s="207">
        <f t="shared" ca="1" si="5"/>
        <v>0</v>
      </c>
    </row>
    <row r="86" spans="2:31" hidden="1" x14ac:dyDescent="0.3">
      <c r="B86" s="28">
        <f>IF(Tabela4[[#This Row],[ETAPA]]&lt;&gt;0,0,0)</f>
        <v>0</v>
      </c>
      <c r="C86" s="318" t="str">
        <f t="shared" si="7"/>
        <v>...</v>
      </c>
      <c r="E86">
        <f>IFERROR(VLOOKUP(Tabela4[[#This Row],[Codigo]],Tabela1[[SERVICO]:[ETAPA/SERVICO]],4),0)</f>
        <v>0</v>
      </c>
      <c r="F86">
        <f>IFERROR(VLOOKUP(Tabela4[[#This Row],[Codigo]],Tabela1[[SERVICO]:[ETAPA/SERVICO]],3),0)</f>
        <v>0</v>
      </c>
      <c r="G86" t="str">
        <f>IFERROR(VLOOKUP(D86,Tabela1[[SERVICO]:[NOME SERVIÇO]],2,0),"")</f>
        <v/>
      </c>
      <c r="H86" s="226">
        <f>SUMIF(Resumo_Agrupamento!$B$4:$B$1000,Tabela4[[#This Row],[Codigo]],Resumo_Agrupamento!$C$4:$C$1000)</f>
        <v>0</v>
      </c>
      <c r="I86" s="29">
        <f ca="1">IF(AND(E86&gt;1,PARAMETROS!$C$17="RDC"),0,IFERROR(INDIRECT("CPU_"&amp;LEFT(SUBSTITUTE(SUBSTITUTE(G86," ",""),"-",""),20)&amp;"!k3"),0))</f>
        <v>0</v>
      </c>
      <c r="J86" s="29">
        <f>IF(AND(E86&gt;1,PARAMETROS!$C$17="RDC"),0,SUMIF(Resumo_Agrupamento!$B$4:$B$1000,D86,Resumo_Agrupamento!$D$4:$D$1000))</f>
        <v>0</v>
      </c>
      <c r="K86" s="226">
        <f ca="1">IF(AND(E86&gt;1,PARAMETROS!$C$17="RDC"),SUMIF(F$34:$F87,F86,K$34:$K87),H86*I86)</f>
        <v>0</v>
      </c>
      <c r="L86" s="226">
        <f>IF(AND(E86&gt;1,PARAMETROS!$C$17="RDC"),SUMIF(F$34:$F87,F86,L$34:$L87),SUMIF(Resumo_Agrupamento!$B$4:$B$1000,D86,Resumo_Agrupamento!$E$4:$E$1000))</f>
        <v>0</v>
      </c>
      <c r="M86" s="317">
        <f ca="1">L86-K86-L86*PARAMETROS!$C$19</f>
        <v>0</v>
      </c>
      <c r="N86" s="63">
        <f t="shared" ca="1" si="8"/>
        <v>0</v>
      </c>
      <c r="O86" s="208"/>
      <c r="P86" s="238" t="str">
        <f ca="1">IF(Tabela4[[#This Row],[TIPO]]&gt;1,"",IFERROR(INDIRECT("CPU_"&amp;LEFT(SUBSTITUTE(SUBSTITUTE($G86," ",""),"-",""),20)&amp;"!b6"),""))</f>
        <v/>
      </c>
      <c r="Q86" s="28" t="str">
        <f ca="1">IF(Tabela4[[#This Row],[TIPO]]&gt;1,"",IFERROR(INDIRECT("CPU_"&amp;LEFT(SUBSTITUTE(SUBSTITUTE($G86," ",""),"-",""),20)&amp;"!j3"),""))</f>
        <v/>
      </c>
      <c r="R86" s="238" t="str">
        <f ca="1">IF(Tabela4[[#This Row],[TIPO]]&gt;1,"",IFERROR(INDIRECT("CPU_"&amp;LEFT(SUBSTITUTE(SUBSTITUTE($G86," ",""),"-",""),20)&amp;"!g7"),""))</f>
        <v/>
      </c>
      <c r="S86" s="28"/>
      <c r="T86" s="28"/>
      <c r="Z86" s="208"/>
      <c r="AA86" s="206">
        <f>SUMPRODUCT(Plan_Orc[Acum. 2023]*Tabela2[K]*(Tabela2[AGRUPADOR]=Tabela4[[#This Row],[Codigo]]))</f>
        <v>0</v>
      </c>
      <c r="AB86" s="210">
        <f ca="1">IF(AND(Tabela4[[#This Row],[TIPO]]&gt;1,PARAMETROS!$C$17="RDC"),0,IFERROR(INDIRECT(LEFT(SUBSTITUTE(SUBSTITUTE(#REF!," ",""),"-",""),20)&amp;"!ae3"),0))</f>
        <v>0</v>
      </c>
      <c r="AC86" s="206">
        <f ca="1">IF(AND(Tabela4[[#This Row],[TIPO]]&gt;1,PARAMETROS!$C$17="RDC"),SUMIF($F34:G$95,#REF!,$AB89:AC$158),AA86*AB86)</f>
        <v>0</v>
      </c>
      <c r="AD86" s="206" t="e">
        <f ca="1">IF(AND(Tabela4[[#This Row],[TIPO]]&gt;1,PARAMETROS!$C$17="RDC"),SUMIF($F34:G$95,#REF!,$AC89:AD$158),(#REF!-AB86)*AA86)</f>
        <v>#REF!</v>
      </c>
      <c r="AE86" s="207">
        <f t="shared" ca="1" si="5"/>
        <v>0</v>
      </c>
    </row>
    <row r="87" spans="2:31" hidden="1" x14ac:dyDescent="0.3">
      <c r="B87" s="28">
        <f>IF(Tabela4[[#This Row],[ETAPA]]&lt;&gt;0,0,0)</f>
        <v>0</v>
      </c>
      <c r="C87" s="318" t="str">
        <f t="shared" si="7"/>
        <v>...</v>
      </c>
      <c r="E87">
        <f>IFERROR(VLOOKUP(Tabela4[[#This Row],[Codigo]],Tabela1[[SERVICO]:[ETAPA/SERVICO]],4),0)</f>
        <v>0</v>
      </c>
      <c r="F87">
        <f>IFERROR(VLOOKUP(Tabela4[[#This Row],[Codigo]],Tabela1[[SERVICO]:[ETAPA/SERVICO]],3),0)</f>
        <v>0</v>
      </c>
      <c r="G87" t="str">
        <f>IFERROR(VLOOKUP(D87,Tabela1[[SERVICO]:[NOME SERVIÇO]],2,0),"")</f>
        <v/>
      </c>
      <c r="H87" s="226">
        <f>SUMIF(Resumo_Agrupamento!$B$4:$B$1000,Tabela4[[#This Row],[Codigo]],Resumo_Agrupamento!$C$4:$C$1000)</f>
        <v>0</v>
      </c>
      <c r="I87" s="29">
        <f ca="1">IF(AND(E87&gt;1,PARAMETROS!$C$17="RDC"),0,IFERROR(INDIRECT("CPU_"&amp;LEFT(SUBSTITUTE(SUBSTITUTE(G87," ",""),"-",""),20)&amp;"!k3"),0))</f>
        <v>0</v>
      </c>
      <c r="J87" s="29">
        <f>IF(AND(E87&gt;1,PARAMETROS!$C$17="RDC"),0,SUMIF(Resumo_Agrupamento!$B$4:$B$1000,D87,Resumo_Agrupamento!$D$4:$D$1000))</f>
        <v>0</v>
      </c>
      <c r="K87" s="226">
        <f ca="1">IF(AND(E87&gt;1,PARAMETROS!$C$17="RDC"),SUMIF(F$34:$F88,F87,K$34:$K88),H87*I87)</f>
        <v>0</v>
      </c>
      <c r="L87" s="226">
        <f>IF(AND(E87&gt;1,PARAMETROS!$C$17="RDC"),SUMIF(F$34:$F88,F87,L$34:$L88),SUMIF(Resumo_Agrupamento!$B$4:$B$1000,D87,Resumo_Agrupamento!$E$4:$E$1000))</f>
        <v>0</v>
      </c>
      <c r="M87" s="317">
        <f ca="1">L87-K87-L87*PARAMETROS!$C$19</f>
        <v>0</v>
      </c>
      <c r="N87" s="63">
        <f t="shared" ca="1" si="8"/>
        <v>0</v>
      </c>
      <c r="O87" s="208"/>
      <c r="P87" s="238" t="str">
        <f ca="1">IF(Tabela4[[#This Row],[TIPO]]&gt;1,"",IFERROR(INDIRECT("CPU_"&amp;LEFT(SUBSTITUTE(SUBSTITUTE($G87," ",""),"-",""),20)&amp;"!b6"),""))</f>
        <v/>
      </c>
      <c r="Q87" s="28" t="str">
        <f ca="1">IF(Tabela4[[#This Row],[TIPO]]&gt;1,"",IFERROR(INDIRECT("CPU_"&amp;LEFT(SUBSTITUTE(SUBSTITUTE($G87," ",""),"-",""),20)&amp;"!j3"),""))</f>
        <v/>
      </c>
      <c r="R87" s="238" t="str">
        <f ca="1">IF(Tabela4[[#This Row],[TIPO]]&gt;1,"",IFERROR(INDIRECT("CPU_"&amp;LEFT(SUBSTITUTE(SUBSTITUTE($G87," ",""),"-",""),20)&amp;"!g7"),""))</f>
        <v/>
      </c>
      <c r="S87" s="28"/>
      <c r="T87" s="28"/>
      <c r="Z87" s="208"/>
      <c r="AA87" s="206">
        <f>SUMPRODUCT(Plan_Orc[Acum. 2023]*Tabela2[K]*(Tabela2[AGRUPADOR]=Tabela4[[#This Row],[Codigo]]))</f>
        <v>0</v>
      </c>
      <c r="AB87" s="210">
        <f ca="1">IF(AND(Tabela4[[#This Row],[TIPO]]&gt;1,PARAMETROS!$C$17="RDC"),0,IFERROR(INDIRECT(LEFT(SUBSTITUTE(SUBSTITUTE(#REF!," ",""),"-",""),20)&amp;"!ae3"),0))</f>
        <v>0</v>
      </c>
      <c r="AC87" s="206">
        <f ca="1">IF(AND(Tabela4[[#This Row],[TIPO]]&gt;1,PARAMETROS!$C$17="RDC"),SUMIF($F34:G$95,#REF!,$AB90:AC$158),AA87*AB87)</f>
        <v>0</v>
      </c>
      <c r="AD87" s="206" t="e">
        <f ca="1">IF(AND(Tabela4[[#This Row],[TIPO]]&gt;1,PARAMETROS!$C$17="RDC"),SUMIF($F34:G$95,#REF!,$AC90:AD$158),(#REF!-AB87)*AA87)</f>
        <v>#REF!</v>
      </c>
      <c r="AE87" s="207">
        <f t="shared" ca="1" si="5"/>
        <v>0</v>
      </c>
    </row>
    <row r="88" spans="2:31" hidden="1" x14ac:dyDescent="0.3">
      <c r="B88" s="28">
        <f>IF(Tabela4[[#This Row],[ETAPA]]&lt;&gt;0,0,0)</f>
        <v>0</v>
      </c>
      <c r="C88" s="318" t="str">
        <f t="shared" si="7"/>
        <v>...</v>
      </c>
      <c r="E88">
        <f>IFERROR(VLOOKUP(Tabela4[[#This Row],[Codigo]],Tabela1[[SERVICO]:[ETAPA/SERVICO]],4),0)</f>
        <v>0</v>
      </c>
      <c r="F88">
        <f>IFERROR(VLOOKUP(Tabela4[[#This Row],[Codigo]],Tabela1[[SERVICO]:[ETAPA/SERVICO]],3),0)</f>
        <v>0</v>
      </c>
      <c r="G88" t="str">
        <f>IFERROR(VLOOKUP(D88,Tabela1[[SERVICO]:[NOME SERVIÇO]],2,0),"")</f>
        <v/>
      </c>
      <c r="H88" s="226">
        <f>SUMIF(Resumo_Agrupamento!$B$4:$B$1000,Tabela4[[#This Row],[Codigo]],Resumo_Agrupamento!$C$4:$C$1000)</f>
        <v>0</v>
      </c>
      <c r="I88" s="29">
        <f ca="1">IF(AND(E88&gt;1,PARAMETROS!$C$17="RDC"),0,IFERROR(INDIRECT("CPU_"&amp;LEFT(SUBSTITUTE(SUBSTITUTE(G88," ",""),"-",""),20)&amp;"!k3"),0))</f>
        <v>0</v>
      </c>
      <c r="J88" s="29">
        <f>IF(AND(E88&gt;1,PARAMETROS!$C$17="RDC"),0,SUMIF(Resumo_Agrupamento!$B$4:$B$1000,D88,Resumo_Agrupamento!$D$4:$D$1000))</f>
        <v>0</v>
      </c>
      <c r="K88" s="226">
        <f ca="1">IF(AND(E88&gt;1,PARAMETROS!$C$17="RDC"),SUMIF(F$34:$F89,F88,K$34:$K89),H88*I88)</f>
        <v>0</v>
      </c>
      <c r="L88" s="226">
        <f>IF(AND(E88&gt;1,PARAMETROS!$C$17="RDC"),SUMIF(F$34:$F89,F88,L$34:$L89),SUMIF(Resumo_Agrupamento!$B$4:$B$1000,D88,Resumo_Agrupamento!$E$4:$E$1000))</f>
        <v>0</v>
      </c>
      <c r="M88" s="317">
        <f ca="1">L88-K88-L88*PARAMETROS!$C$19</f>
        <v>0</v>
      </c>
      <c r="N88" s="63">
        <f t="shared" ca="1" si="8"/>
        <v>0</v>
      </c>
      <c r="O88" s="208"/>
      <c r="P88" s="238" t="str">
        <f ca="1">IF(Tabela4[[#This Row],[TIPO]]&gt;1,"",IFERROR(INDIRECT("CPU_"&amp;LEFT(SUBSTITUTE(SUBSTITUTE($G88," ",""),"-",""),20)&amp;"!b6"),""))</f>
        <v/>
      </c>
      <c r="Q88" s="28" t="str">
        <f ca="1">IF(Tabela4[[#This Row],[TIPO]]&gt;1,"",IFERROR(INDIRECT("CPU_"&amp;LEFT(SUBSTITUTE(SUBSTITUTE($G88," ",""),"-",""),20)&amp;"!j3"),""))</f>
        <v/>
      </c>
      <c r="R88" s="238" t="str">
        <f ca="1">IF(Tabela4[[#This Row],[TIPO]]&gt;1,"",IFERROR(INDIRECT("CPU_"&amp;LEFT(SUBSTITUTE(SUBSTITUTE($G88," ",""),"-",""),20)&amp;"!g7"),""))</f>
        <v/>
      </c>
      <c r="S88" s="28"/>
      <c r="T88" s="28"/>
      <c r="Z88" s="208"/>
      <c r="AA88" s="206">
        <f>SUMPRODUCT(Plan_Orc[Acum. 2023]*Tabela2[K]*(Tabela2[AGRUPADOR]=Tabela4[[#This Row],[Codigo]]))</f>
        <v>0</v>
      </c>
      <c r="AB88" s="210">
        <f ca="1">IF(AND(Tabela4[[#This Row],[TIPO]]&gt;1,PARAMETROS!$C$17="RDC"),0,IFERROR(INDIRECT(LEFT(SUBSTITUTE(SUBSTITUTE(#REF!," ",""),"-",""),20)&amp;"!ae3"),0))</f>
        <v>0</v>
      </c>
      <c r="AC88" s="206">
        <f ca="1">IF(AND(Tabela4[[#This Row],[TIPO]]&gt;1,PARAMETROS!$C$17="RDC"),SUMIF($F34:G$95,#REF!,$AB91:AC$158),AA88*AB88)</f>
        <v>0</v>
      </c>
      <c r="AD88" s="206" t="e">
        <f ca="1">IF(AND(Tabela4[[#This Row],[TIPO]]&gt;1,PARAMETROS!$C$17="RDC"),SUMIF($F34:G$95,#REF!,$AC91:AD$158),(#REF!-AB88)*AA88)</f>
        <v>#REF!</v>
      </c>
      <c r="AE88" s="207">
        <f t="shared" ca="1" si="5"/>
        <v>0</v>
      </c>
    </row>
    <row r="89" spans="2:31" hidden="1" x14ac:dyDescent="0.3">
      <c r="B89" s="28">
        <f>IF(Tabela4[[#This Row],[ETAPA]]&lt;&gt;0,0,0)</f>
        <v>0</v>
      </c>
      <c r="C89" s="318" t="str">
        <f t="shared" si="7"/>
        <v>...</v>
      </c>
      <c r="E89">
        <f>IFERROR(VLOOKUP(Tabela4[[#This Row],[Codigo]],Tabela1[[SERVICO]:[ETAPA/SERVICO]],4),0)</f>
        <v>0</v>
      </c>
      <c r="F89">
        <f>IFERROR(VLOOKUP(Tabela4[[#This Row],[Codigo]],Tabela1[[SERVICO]:[ETAPA/SERVICO]],3),0)</f>
        <v>0</v>
      </c>
      <c r="G89" t="str">
        <f>IFERROR(VLOOKUP(D89,Tabela1[[SERVICO]:[NOME SERVIÇO]],2,0),"")</f>
        <v/>
      </c>
      <c r="H89" s="226">
        <f>SUMIF(Resumo_Agrupamento!$B$4:$B$1000,Tabela4[[#This Row],[Codigo]],Resumo_Agrupamento!$C$4:$C$1000)</f>
        <v>0</v>
      </c>
      <c r="I89" s="29">
        <f ca="1">IF(AND(E89&gt;1,PARAMETROS!$C$17="RDC"),0,IFERROR(INDIRECT("CPU_"&amp;LEFT(SUBSTITUTE(SUBSTITUTE(G89," ",""),"-",""),20)&amp;"!k3"),0))</f>
        <v>0</v>
      </c>
      <c r="J89" s="29">
        <f>IF(AND(E89&gt;1,PARAMETROS!$C$17="RDC"),0,SUMIF(Resumo_Agrupamento!$B$4:$B$1000,D89,Resumo_Agrupamento!$D$4:$D$1000))</f>
        <v>0</v>
      </c>
      <c r="K89" s="226">
        <f ca="1">IF(AND(E89&gt;1,PARAMETROS!$C$17="RDC"),SUMIF(F$34:$F90,F89,K$34:$K90),H89*I89)</f>
        <v>0</v>
      </c>
      <c r="L89" s="226">
        <f>IF(AND(E89&gt;1,PARAMETROS!$C$17="RDC"),SUMIF(F$34:$F90,F89,L$34:$L90),SUMIF(Resumo_Agrupamento!$B$4:$B$1000,D89,Resumo_Agrupamento!$E$4:$E$1000))</f>
        <v>0</v>
      </c>
      <c r="M89" s="317">
        <f ca="1">L89-K89-L89*PARAMETROS!$C$19</f>
        <v>0</v>
      </c>
      <c r="N89" s="63">
        <f t="shared" ca="1" si="8"/>
        <v>0</v>
      </c>
      <c r="O89" s="208"/>
      <c r="P89" s="238" t="str">
        <f ca="1">IF(Tabela4[[#This Row],[TIPO]]&gt;1,"",IFERROR(INDIRECT("CPU_"&amp;LEFT(SUBSTITUTE(SUBSTITUTE($G89," ",""),"-",""),20)&amp;"!b6"),""))</f>
        <v/>
      </c>
      <c r="Q89" s="28" t="str">
        <f ca="1">IF(Tabela4[[#This Row],[TIPO]]&gt;1,"",IFERROR(INDIRECT("CPU_"&amp;LEFT(SUBSTITUTE(SUBSTITUTE($G89," ",""),"-",""),20)&amp;"!j3"),""))</f>
        <v/>
      </c>
      <c r="R89" s="238" t="str">
        <f ca="1">IF(Tabela4[[#This Row],[TIPO]]&gt;1,"",IFERROR(INDIRECT("CPU_"&amp;LEFT(SUBSTITUTE(SUBSTITUTE($G89," ",""),"-",""),20)&amp;"!g7"),""))</f>
        <v/>
      </c>
      <c r="S89" s="28"/>
      <c r="T89" s="28"/>
      <c r="Z89" s="208"/>
      <c r="AA89" s="206">
        <f>SUMPRODUCT(Plan_Orc[Acum. 2023]*Tabela2[K]*(Tabela2[AGRUPADOR]=Tabela4[[#This Row],[Codigo]]))</f>
        <v>0</v>
      </c>
      <c r="AB89" s="210">
        <f ca="1">IF(AND(Tabela4[[#This Row],[TIPO]]&gt;1,PARAMETROS!$C$17="RDC"),0,IFERROR(INDIRECT(LEFT(SUBSTITUTE(SUBSTITUTE(#REF!," ",""),"-",""),20)&amp;"!ae3"),0))</f>
        <v>0</v>
      </c>
      <c r="AC89" s="206">
        <f ca="1">IF(AND(Tabela4[[#This Row],[TIPO]]&gt;1,PARAMETROS!$C$17="RDC"),SUMIF($F34:G$95,#REF!,$AB92:AC$158),AA89*AB89)</f>
        <v>0</v>
      </c>
      <c r="AD89" s="206" t="e">
        <f ca="1">IF(AND(Tabela4[[#This Row],[TIPO]]&gt;1,PARAMETROS!$C$17="RDC"),SUMIF($F34:G$95,#REF!,$AC92:AD$158),(#REF!-AB89)*AA89)</f>
        <v>#REF!</v>
      </c>
      <c r="AE89" s="207">
        <f t="shared" ca="1" si="5"/>
        <v>0</v>
      </c>
    </row>
    <row r="90" spans="2:31" hidden="1" x14ac:dyDescent="0.3">
      <c r="B90" s="28">
        <f>IF(Tabela4[[#This Row],[ETAPA]]&lt;&gt;0,0,0)</f>
        <v>0</v>
      </c>
      <c r="C90" s="318" t="str">
        <f t="shared" si="7"/>
        <v>...</v>
      </c>
      <c r="E90">
        <f>IFERROR(VLOOKUP(Tabela4[[#This Row],[Codigo]],Tabela1[[SERVICO]:[ETAPA/SERVICO]],4),0)</f>
        <v>0</v>
      </c>
      <c r="F90">
        <f>IFERROR(VLOOKUP(Tabela4[[#This Row],[Codigo]],Tabela1[[SERVICO]:[ETAPA/SERVICO]],3),0)</f>
        <v>0</v>
      </c>
      <c r="G90" t="str">
        <f>IFERROR(VLOOKUP(D90,Tabela1[[SERVICO]:[NOME SERVIÇO]],2,0),"")</f>
        <v/>
      </c>
      <c r="H90" s="226">
        <f>SUMIF(Resumo_Agrupamento!$B$4:$B$1000,Tabela4[[#This Row],[Codigo]],Resumo_Agrupamento!$C$4:$C$1000)</f>
        <v>0</v>
      </c>
      <c r="I90" s="29">
        <f ca="1">IF(AND(E90&gt;1,PARAMETROS!$C$17="RDC"),0,IFERROR(INDIRECT("CPU_"&amp;LEFT(SUBSTITUTE(SUBSTITUTE(G90," ",""),"-",""),20)&amp;"!k3"),0))</f>
        <v>0</v>
      </c>
      <c r="J90" s="29">
        <f>IF(AND(E90&gt;1,PARAMETROS!$C$17="RDC"),0,SUMIF(Resumo_Agrupamento!$B$4:$B$1000,D90,Resumo_Agrupamento!$D$4:$D$1000))</f>
        <v>0</v>
      </c>
      <c r="K90" s="226">
        <f ca="1">IF(AND(E90&gt;1,PARAMETROS!$C$17="RDC"),SUMIF(F$34:$F91,F90,K$34:$K91),H90*I90)</f>
        <v>0</v>
      </c>
      <c r="L90" s="226">
        <f>IF(AND(E90&gt;1,PARAMETROS!$C$17="RDC"),SUMIF(F$34:$F91,F90,L$34:$L91),SUMIF(Resumo_Agrupamento!$B$4:$B$1000,D90,Resumo_Agrupamento!$E$4:$E$1000))</f>
        <v>0</v>
      </c>
      <c r="M90" s="317">
        <f ca="1">L90-K90-L90*PARAMETROS!$C$19</f>
        <v>0</v>
      </c>
      <c r="N90" s="63">
        <f t="shared" ca="1" si="8"/>
        <v>0</v>
      </c>
      <c r="O90" s="208"/>
      <c r="P90" s="238" t="str">
        <f ca="1">IF(Tabela4[[#This Row],[TIPO]]&gt;1,"",IFERROR(INDIRECT("CPU_"&amp;LEFT(SUBSTITUTE(SUBSTITUTE($G90," ",""),"-",""),20)&amp;"!b6"),""))</f>
        <v/>
      </c>
      <c r="Q90" s="28" t="str">
        <f ca="1">IF(Tabela4[[#This Row],[TIPO]]&gt;1,"",IFERROR(INDIRECT("CPU_"&amp;LEFT(SUBSTITUTE(SUBSTITUTE($G90," ",""),"-",""),20)&amp;"!j3"),""))</f>
        <v/>
      </c>
      <c r="R90" s="238" t="str">
        <f ca="1">IF(Tabela4[[#This Row],[TIPO]]&gt;1,"",IFERROR(INDIRECT("CPU_"&amp;LEFT(SUBSTITUTE(SUBSTITUTE($G90," ",""),"-",""),20)&amp;"!g7"),""))</f>
        <v/>
      </c>
      <c r="S90" s="28"/>
      <c r="T90" s="28"/>
      <c r="Z90" s="208"/>
      <c r="AA90" s="206">
        <f>SUMPRODUCT(Plan_Orc[Acum. 2023]*Tabela2[K]*(Tabela2[AGRUPADOR]=Tabela4[[#This Row],[Codigo]]))</f>
        <v>0</v>
      </c>
      <c r="AB90" s="210">
        <f ca="1">IF(AND(Tabela4[[#This Row],[TIPO]]&gt;1,PARAMETROS!$C$17="RDC"),0,IFERROR(INDIRECT(LEFT(SUBSTITUTE(SUBSTITUTE(#REF!," ",""),"-",""),20)&amp;"!ae3"),0))</f>
        <v>0</v>
      </c>
      <c r="AC90" s="206">
        <f ca="1">IF(AND(Tabela4[[#This Row],[TIPO]]&gt;1,PARAMETROS!$C$17="RDC"),SUMIF($F34:G$95,#REF!,$AB93:AC$158),AA90*AB90)</f>
        <v>0</v>
      </c>
      <c r="AD90" s="206" t="e">
        <f ca="1">IF(AND(Tabela4[[#This Row],[TIPO]]&gt;1,PARAMETROS!$C$17="RDC"),SUMIF($F34:G$95,#REF!,$AC93:AD$158),(#REF!-AB90)*AA90)</f>
        <v>#REF!</v>
      </c>
      <c r="AE90" s="207">
        <f t="shared" ca="1" si="5"/>
        <v>0</v>
      </c>
    </row>
    <row r="91" spans="2:31" hidden="1" x14ac:dyDescent="0.3">
      <c r="B91" s="28">
        <f>IF(Tabela4[[#This Row],[ETAPA]]&lt;&gt;0,0,0)</f>
        <v>0</v>
      </c>
      <c r="C91" s="318" t="str">
        <f t="shared" si="7"/>
        <v>...</v>
      </c>
      <c r="E91">
        <f>IFERROR(VLOOKUP(Tabela4[[#This Row],[Codigo]],Tabela1[[SERVICO]:[ETAPA/SERVICO]],4),0)</f>
        <v>0</v>
      </c>
      <c r="F91">
        <f>IFERROR(VLOOKUP(Tabela4[[#This Row],[Codigo]],Tabela1[[SERVICO]:[ETAPA/SERVICO]],3),0)</f>
        <v>0</v>
      </c>
      <c r="G91" t="str">
        <f>IFERROR(VLOOKUP(D91,Tabela1[[SERVICO]:[NOME SERVIÇO]],2,0),"")</f>
        <v/>
      </c>
      <c r="H91" s="226">
        <f>SUMIF(Resumo_Agrupamento!$B$4:$B$1000,Tabela4[[#This Row],[Codigo]],Resumo_Agrupamento!$C$4:$C$1000)</f>
        <v>0</v>
      </c>
      <c r="I91" s="29">
        <f ca="1">IF(AND(E91&gt;1,PARAMETROS!$C$17="RDC"),0,IFERROR(INDIRECT("CPU_"&amp;LEFT(SUBSTITUTE(SUBSTITUTE(G91," ",""),"-",""),20)&amp;"!k3"),0))</f>
        <v>0</v>
      </c>
      <c r="J91" s="29">
        <f>IF(AND(E91&gt;1,PARAMETROS!$C$17="RDC"),0,SUMIF(Resumo_Agrupamento!$B$4:$B$1000,D91,Resumo_Agrupamento!$D$4:$D$1000))</f>
        <v>0</v>
      </c>
      <c r="K91" s="226">
        <f ca="1">IF(AND(E91&gt;1,PARAMETROS!$C$17="RDC"),SUMIF(F$34:$F92,F91,K$34:$K92),H91*I91)</f>
        <v>0</v>
      </c>
      <c r="L91" s="226">
        <f>IF(AND(E91&gt;1,PARAMETROS!$C$17="RDC"),SUMIF(F$34:$F92,F91,L$34:$L92),SUMIF(Resumo_Agrupamento!$B$4:$B$1000,D91,Resumo_Agrupamento!$E$4:$E$1000))</f>
        <v>0</v>
      </c>
      <c r="M91" s="317">
        <f ca="1">L91-K91-L91*PARAMETROS!$C$19</f>
        <v>0</v>
      </c>
      <c r="N91" s="63">
        <f t="shared" ca="1" si="8"/>
        <v>0</v>
      </c>
      <c r="O91" s="208"/>
      <c r="P91" s="238" t="str">
        <f ca="1">IF(Tabela4[[#This Row],[TIPO]]&gt;1,"",IFERROR(INDIRECT("CPU_"&amp;LEFT(SUBSTITUTE(SUBSTITUTE($G91," ",""),"-",""),20)&amp;"!b6"),""))</f>
        <v/>
      </c>
      <c r="Q91" s="28" t="str">
        <f ca="1">IF(Tabela4[[#This Row],[TIPO]]&gt;1,"",IFERROR(INDIRECT("CPU_"&amp;LEFT(SUBSTITUTE(SUBSTITUTE($G91," ",""),"-",""),20)&amp;"!j3"),""))</f>
        <v/>
      </c>
      <c r="R91" s="238" t="str">
        <f ca="1">IF(Tabela4[[#This Row],[TIPO]]&gt;1,"",IFERROR(INDIRECT("CPU_"&amp;LEFT(SUBSTITUTE(SUBSTITUTE($G91," ",""),"-",""),20)&amp;"!g7"),""))</f>
        <v/>
      </c>
      <c r="S91" s="28"/>
      <c r="T91" s="28"/>
      <c r="Z91" s="208"/>
      <c r="AA91" s="206">
        <f>SUMPRODUCT(Plan_Orc[Acum. 2023]*Tabela2[K]*(Tabela2[AGRUPADOR]=Tabela4[[#This Row],[Codigo]]))</f>
        <v>0</v>
      </c>
      <c r="AB91" s="210">
        <f ca="1">IF(AND(Tabela4[[#This Row],[TIPO]]&gt;1,PARAMETROS!$C$17="RDC"),0,IFERROR(INDIRECT(LEFT(SUBSTITUTE(SUBSTITUTE(#REF!," ",""),"-",""),20)&amp;"!ae3"),0))</f>
        <v>0</v>
      </c>
      <c r="AC91" s="206">
        <f ca="1">IF(AND(Tabela4[[#This Row],[TIPO]]&gt;1,PARAMETROS!$C$17="RDC"),SUMIF($F34:G$95,#REF!,$AB94:AC$158),AA91*AB91)</f>
        <v>0</v>
      </c>
      <c r="AD91" s="206" t="e">
        <f ca="1">IF(AND(Tabela4[[#This Row],[TIPO]]&gt;1,PARAMETROS!$C$17="RDC"),SUMIF($F34:G$95,#REF!,$AC94:AD$158),(#REF!-AB91)*AA91)</f>
        <v>#REF!</v>
      </c>
      <c r="AE91" s="207">
        <f t="shared" ref="AE91:AE150" ca="1" si="9">IFERROR(AD91/AC91,0)</f>
        <v>0</v>
      </c>
    </row>
    <row r="92" spans="2:31" hidden="1" x14ac:dyDescent="0.3">
      <c r="B92" s="28">
        <f>IF(Tabela4[[#This Row],[ETAPA]]&lt;&gt;0,0,0)</f>
        <v>0</v>
      </c>
      <c r="C92" s="318" t="str">
        <f t="shared" si="7"/>
        <v>...</v>
      </c>
      <c r="E92">
        <f>IFERROR(VLOOKUP(Tabela4[[#This Row],[Codigo]],Tabela1[[SERVICO]:[ETAPA/SERVICO]],4),0)</f>
        <v>0</v>
      </c>
      <c r="F92">
        <f>IFERROR(VLOOKUP(Tabela4[[#This Row],[Codigo]],Tabela1[[SERVICO]:[ETAPA/SERVICO]],3),0)</f>
        <v>0</v>
      </c>
      <c r="G92" t="str">
        <f>IFERROR(VLOOKUP(D92,Tabela1[[SERVICO]:[NOME SERVIÇO]],2,0),"")</f>
        <v/>
      </c>
      <c r="H92" s="226">
        <f>SUMIF(Resumo_Agrupamento!$B$4:$B$1000,Tabela4[[#This Row],[Codigo]],Resumo_Agrupamento!$C$4:$C$1000)</f>
        <v>0</v>
      </c>
      <c r="I92" s="29">
        <f ca="1">IF(AND(E92&gt;1,PARAMETROS!$C$17="RDC"),0,IFERROR(INDIRECT("CPU_"&amp;LEFT(SUBSTITUTE(SUBSTITUTE(G92," ",""),"-",""),20)&amp;"!k3"),0))</f>
        <v>0</v>
      </c>
      <c r="J92" s="29">
        <f>IF(AND(E92&gt;1,PARAMETROS!$C$17="RDC"),0,SUMIF(Resumo_Agrupamento!$B$4:$B$1000,D92,Resumo_Agrupamento!$D$4:$D$1000))</f>
        <v>0</v>
      </c>
      <c r="K92" s="226">
        <f ca="1">IF(AND(E92&gt;1,PARAMETROS!$C$17="RDC"),SUMIF(F$34:$F93,F92,K$34:$K93),H92*I92)</f>
        <v>0</v>
      </c>
      <c r="L92" s="226">
        <f>IF(AND(E92&gt;1,PARAMETROS!$C$17="RDC"),SUMIF(F$34:$F93,F92,L$34:$L93),SUMIF(Resumo_Agrupamento!$B$4:$B$1000,D92,Resumo_Agrupamento!$E$4:$E$1000))</f>
        <v>0</v>
      </c>
      <c r="M92" s="317">
        <f ca="1">L92-K92-L92*PARAMETROS!$C$19</f>
        <v>0</v>
      </c>
      <c r="N92" s="63">
        <f t="shared" ca="1" si="8"/>
        <v>0</v>
      </c>
      <c r="O92" s="208"/>
      <c r="P92" s="238" t="str">
        <f ca="1">IF(Tabela4[[#This Row],[TIPO]]&gt;1,"",IFERROR(INDIRECT("CPU_"&amp;LEFT(SUBSTITUTE(SUBSTITUTE($G92," ",""),"-",""),20)&amp;"!b6"),""))</f>
        <v/>
      </c>
      <c r="Q92" s="28" t="str">
        <f ca="1">IF(Tabela4[[#This Row],[TIPO]]&gt;1,"",IFERROR(INDIRECT("CPU_"&amp;LEFT(SUBSTITUTE(SUBSTITUTE($G92," ",""),"-",""),20)&amp;"!j3"),""))</f>
        <v/>
      </c>
      <c r="R92" s="238" t="str">
        <f ca="1">IF(Tabela4[[#This Row],[TIPO]]&gt;1,"",IFERROR(INDIRECT("CPU_"&amp;LEFT(SUBSTITUTE(SUBSTITUTE($G92," ",""),"-",""),20)&amp;"!g7"),""))</f>
        <v/>
      </c>
      <c r="S92" s="28"/>
      <c r="T92" s="28"/>
      <c r="Z92" s="208"/>
      <c r="AA92" s="206">
        <f>SUMPRODUCT(Plan_Orc[Acum. 2023]*Tabela2[K]*(Tabela2[AGRUPADOR]=Tabela4[[#This Row],[Codigo]]))</f>
        <v>0</v>
      </c>
      <c r="AB92" s="210">
        <f ca="1">IF(AND(Tabela4[[#This Row],[TIPO]]&gt;1,PARAMETROS!$C$17="RDC"),0,IFERROR(INDIRECT(LEFT(SUBSTITUTE(SUBSTITUTE(#REF!," ",""),"-",""),20)&amp;"!ae3"),0))</f>
        <v>0</v>
      </c>
      <c r="AC92" s="206">
        <f ca="1">IF(AND(Tabela4[[#This Row],[TIPO]]&gt;1,PARAMETROS!$C$17="RDC"),SUMIF($F34:G$95,#REF!,$AB95:AC$158),AA92*AB92)</f>
        <v>0</v>
      </c>
      <c r="AD92" s="206" t="e">
        <f ca="1">IF(AND(Tabela4[[#This Row],[TIPO]]&gt;1,PARAMETROS!$C$17="RDC"),SUMIF($F34:G$95,#REF!,$AC95:AD$158),(#REF!-AB92)*AA92)</f>
        <v>#REF!</v>
      </c>
      <c r="AE92" s="207">
        <f t="shared" ca="1" si="9"/>
        <v>0</v>
      </c>
    </row>
    <row r="93" spans="2:31" hidden="1" x14ac:dyDescent="0.3">
      <c r="B93" s="28">
        <f>IF(Tabela4[[#This Row],[ETAPA]]&lt;&gt;0,0,0)</f>
        <v>0</v>
      </c>
      <c r="C93" s="318" t="str">
        <f t="shared" si="7"/>
        <v>...</v>
      </c>
      <c r="E93">
        <f>IFERROR(VLOOKUP(Tabela4[[#This Row],[Codigo]],Tabela1[[SERVICO]:[ETAPA/SERVICO]],4),0)</f>
        <v>0</v>
      </c>
      <c r="F93">
        <f>IFERROR(VLOOKUP(Tabela4[[#This Row],[Codigo]],Tabela1[[SERVICO]:[ETAPA/SERVICO]],3),0)</f>
        <v>0</v>
      </c>
      <c r="G93" t="str">
        <f>IFERROR(VLOOKUP(D93,Tabela1[[SERVICO]:[NOME SERVIÇO]],2,0),"")</f>
        <v/>
      </c>
      <c r="H93" s="226">
        <f>SUMIF(Resumo_Agrupamento!$B$4:$B$1000,Tabela4[[#This Row],[Codigo]],Resumo_Agrupamento!$C$4:$C$1000)</f>
        <v>0</v>
      </c>
      <c r="I93" s="29">
        <f ca="1">IF(AND(E93&gt;1,PARAMETROS!$C$17="RDC"),0,IFERROR(INDIRECT("CPU_"&amp;LEFT(SUBSTITUTE(SUBSTITUTE(G93," ",""),"-",""),20)&amp;"!k3"),0))</f>
        <v>0</v>
      </c>
      <c r="J93" s="29">
        <f>IF(AND(E93&gt;1,PARAMETROS!$C$17="RDC"),0,SUMIF(Resumo_Agrupamento!$B$4:$B$1000,D93,Resumo_Agrupamento!$D$4:$D$1000))</f>
        <v>0</v>
      </c>
      <c r="K93" s="226">
        <f ca="1">IF(AND(E93&gt;1,PARAMETROS!$C$17="RDC"),SUMIF(F$34:$F94,F93,K$34:$K94),H93*I93)</f>
        <v>0</v>
      </c>
      <c r="L93" s="226">
        <f>IF(AND(E93&gt;1,PARAMETROS!$C$17="RDC"),SUMIF(F$34:$F94,F93,L$34:$L94),SUMIF(Resumo_Agrupamento!$B$4:$B$1000,D93,Resumo_Agrupamento!$E$4:$E$1000))</f>
        <v>0</v>
      </c>
      <c r="M93" s="317">
        <f ca="1">L93-K93-L93*PARAMETROS!$C$19</f>
        <v>0</v>
      </c>
      <c r="N93" s="63">
        <f t="shared" ca="1" si="8"/>
        <v>0</v>
      </c>
      <c r="O93" s="208"/>
      <c r="P93" s="238" t="str">
        <f ca="1">IF(Tabela4[[#This Row],[TIPO]]&gt;1,"",IFERROR(INDIRECT("CPU_"&amp;LEFT(SUBSTITUTE(SUBSTITUTE($G93," ",""),"-",""),20)&amp;"!b6"),""))</f>
        <v/>
      </c>
      <c r="Q93" s="28" t="str">
        <f ca="1">IF(Tabela4[[#This Row],[TIPO]]&gt;1,"",IFERROR(INDIRECT("CPU_"&amp;LEFT(SUBSTITUTE(SUBSTITUTE($G93," ",""),"-",""),20)&amp;"!j3"),""))</f>
        <v/>
      </c>
      <c r="R93" s="238" t="str">
        <f ca="1">IF(Tabela4[[#This Row],[TIPO]]&gt;1,"",IFERROR(INDIRECT("CPU_"&amp;LEFT(SUBSTITUTE(SUBSTITUTE($G93," ",""),"-",""),20)&amp;"!g7"),""))</f>
        <v/>
      </c>
      <c r="S93" s="28"/>
      <c r="T93" s="28"/>
      <c r="Z93" s="208"/>
      <c r="AA93" s="206">
        <f>SUMPRODUCT(Plan_Orc[Acum. 2023]*Tabela2[K]*(Tabela2[AGRUPADOR]=Tabela4[[#This Row],[Codigo]]))</f>
        <v>0</v>
      </c>
      <c r="AB93" s="210">
        <f ca="1">IF(AND(Tabela4[[#This Row],[TIPO]]&gt;1,PARAMETROS!$C$17="RDC"),0,IFERROR(INDIRECT(LEFT(SUBSTITUTE(SUBSTITUTE(#REF!," ",""),"-",""),20)&amp;"!ae3"),0))</f>
        <v>0</v>
      </c>
      <c r="AC93" s="206">
        <f ca="1">IF(AND(Tabela4[[#This Row],[TIPO]]&gt;1,PARAMETROS!$C$17="RDC"),SUMIF($F34:G$95,#REF!,$AB96:AC$158),AA93*AB93)</f>
        <v>0</v>
      </c>
      <c r="AD93" s="206" t="e">
        <f ca="1">IF(AND(Tabela4[[#This Row],[TIPO]]&gt;1,PARAMETROS!$C$17="RDC"),SUMIF($F34:G$95,#REF!,$AC96:AD$158),(#REF!-AB93)*AA93)</f>
        <v>#REF!</v>
      </c>
      <c r="AE93" s="207">
        <f t="shared" ca="1" si="9"/>
        <v>0</v>
      </c>
    </row>
    <row r="94" spans="2:31" hidden="1" x14ac:dyDescent="0.3">
      <c r="B94" s="28">
        <f>IF(Tabela4[[#This Row],[ETAPA]]&lt;&gt;0,0,0)</f>
        <v>0</v>
      </c>
      <c r="C94" s="318" t="str">
        <f t="shared" si="7"/>
        <v>...</v>
      </c>
      <c r="E94">
        <f>IFERROR(VLOOKUP(Tabela4[[#This Row],[Codigo]],Tabela1[[SERVICO]:[ETAPA/SERVICO]],4),0)</f>
        <v>0</v>
      </c>
      <c r="F94">
        <f>IFERROR(VLOOKUP(Tabela4[[#This Row],[Codigo]],Tabela1[[SERVICO]:[ETAPA/SERVICO]],3),0)</f>
        <v>0</v>
      </c>
      <c r="G94" t="str">
        <f>IFERROR(VLOOKUP(D94,Tabela1[[SERVICO]:[NOME SERVIÇO]],2,0),"")</f>
        <v/>
      </c>
      <c r="H94" s="226">
        <f>SUMIF(Resumo_Agrupamento!$B$4:$B$1000,Tabela4[[#This Row],[Codigo]],Resumo_Agrupamento!$C$4:$C$1000)</f>
        <v>0</v>
      </c>
      <c r="I94" s="29">
        <f ca="1">IF(AND(E94&gt;1,PARAMETROS!$C$17="RDC"),0,IFERROR(INDIRECT("CPU_"&amp;LEFT(SUBSTITUTE(SUBSTITUTE(G94," ",""),"-",""),20)&amp;"!k3"),0))</f>
        <v>0</v>
      </c>
      <c r="J94" s="29">
        <f>IF(AND(E94&gt;1,PARAMETROS!$C$17="RDC"),0,SUMIF(Resumo_Agrupamento!$B$4:$B$1000,D94,Resumo_Agrupamento!$D$4:$D$1000))</f>
        <v>0</v>
      </c>
      <c r="K94" s="226">
        <f ca="1">IF(AND(E94&gt;1,PARAMETROS!$C$17="RDC"),SUMIF(F$34:$F95,F94,K$34:$K95),H94*I94)</f>
        <v>0</v>
      </c>
      <c r="L94" s="226">
        <f>IF(AND(E94&gt;1,PARAMETROS!$C$17="RDC"),SUMIF(F$34:$F95,F94,L$34:$L95),SUMIF(Resumo_Agrupamento!$B$4:$B$1000,D94,Resumo_Agrupamento!$E$4:$E$1000))</f>
        <v>0</v>
      </c>
      <c r="M94" s="317">
        <f ca="1">L94-K94-L94*PARAMETROS!$C$19</f>
        <v>0</v>
      </c>
      <c r="N94" s="63">
        <f t="shared" ca="1" si="8"/>
        <v>0</v>
      </c>
      <c r="O94" s="208"/>
      <c r="P94" s="238" t="str">
        <f ca="1">IF(Tabela4[[#This Row],[TIPO]]&gt;1,"",IFERROR(INDIRECT("CPU_"&amp;LEFT(SUBSTITUTE(SUBSTITUTE($G94," ",""),"-",""),20)&amp;"!b6"),""))</f>
        <v/>
      </c>
      <c r="Q94" s="28" t="str">
        <f ca="1">IF(Tabela4[[#This Row],[TIPO]]&gt;1,"",IFERROR(INDIRECT("CPU_"&amp;LEFT(SUBSTITUTE(SUBSTITUTE($G94," ",""),"-",""),20)&amp;"!j3"),""))</f>
        <v/>
      </c>
      <c r="R94" s="238" t="str">
        <f ca="1">IF(Tabela4[[#This Row],[TIPO]]&gt;1,"",IFERROR(INDIRECT("CPU_"&amp;LEFT(SUBSTITUTE(SUBSTITUTE($G94," ",""),"-",""),20)&amp;"!g7"),""))</f>
        <v/>
      </c>
      <c r="S94" s="28"/>
      <c r="T94" s="28"/>
      <c r="Z94" s="208"/>
      <c r="AA94" s="206">
        <f>SUMPRODUCT(Plan_Orc[Acum. 2023]*Tabela2[K]*(Tabela2[AGRUPADOR]=Tabela4[[#This Row],[Codigo]]))</f>
        <v>0</v>
      </c>
      <c r="AB94" s="210">
        <f ca="1">IF(AND(Tabela4[[#This Row],[TIPO]]&gt;1,PARAMETROS!$C$17="RDC"),0,IFERROR(INDIRECT(LEFT(SUBSTITUTE(SUBSTITUTE(#REF!," ",""),"-",""),20)&amp;"!ae3"),0))</f>
        <v>0</v>
      </c>
      <c r="AC94" s="206">
        <f ca="1">IF(AND(Tabela4[[#This Row],[TIPO]]&gt;1,PARAMETROS!$C$17="RDC"),SUMIF($F34:G$95,#REF!,$AB97:AC$158),AA94*AB94)</f>
        <v>0</v>
      </c>
      <c r="AD94" s="206" t="e">
        <f ca="1">IF(AND(Tabela4[[#This Row],[TIPO]]&gt;1,PARAMETROS!$C$17="RDC"),SUMIF($F34:G$95,#REF!,$AC97:AD$158),(#REF!-AB94)*AA94)</f>
        <v>#REF!</v>
      </c>
      <c r="AE94" s="207">
        <f t="shared" ca="1" si="9"/>
        <v>0</v>
      </c>
    </row>
    <row r="95" spans="2:31" x14ac:dyDescent="0.3">
      <c r="B95" s="28" t="s">
        <v>677</v>
      </c>
      <c r="C95" s="233"/>
      <c r="K95" s="154">
        <f ca="1">IF(PARAMETROS!C17="RDC",SUBTOTAL(109,Tabela4[C. Total])/2,SUBTOTAL(109,Tabela4[C. Total]))</f>
        <v>19158461.969024163</v>
      </c>
      <c r="L95" s="154">
        <f>IF(PARAMETROS!C17="RDC",SUBTOTAL(109,Tabela4[V. Total])/2,SUBTOTAL(109,Tabela4[V. Total]))</f>
        <v>27420560.301158998</v>
      </c>
      <c r="M95" s="155">
        <f ca="1">IF(PARAMETROS!C17="RDC",SUBTOTAL(109,Tabela4[Lucro])/2,SUBTOTAL(109,Tabela4[Lucro]))</f>
        <v>4127077.8387200609</v>
      </c>
      <c r="N95" s="375">
        <f ca="1">IFERROR(Tabela4[[#Totals],[Lucro]]/Tabela4[[#Totals],[V. Total]],0)</f>
        <v>0.15051033944574865</v>
      </c>
      <c r="O95" s="208"/>
      <c r="S95" s="28"/>
      <c r="T95" s="28"/>
      <c r="Z95" s="208"/>
      <c r="AA95" s="206" t="e">
        <f>SUMPRODUCT(Plan_Orc[Acum. 2023]*Tabela2[K]*(Tabela2[AGRUPADOR]=Tabela4[[#This Row],[Codigo]]))</f>
        <v>#VALUE!</v>
      </c>
      <c r="AB95" s="210" t="e">
        <f ca="1">IF(AND(Tabela4[[#This Row],[TIPO]]&gt;1,PARAMETROS!$C$17="RDC"),0,IFERROR(INDIRECT(LEFT(SUBSTITUTE(SUBSTITUTE(#REF!," ",""),"-",""),20)&amp;"!ae3"),0))</f>
        <v>#VALUE!</v>
      </c>
      <c r="AC95" s="206" t="e">
        <f>IF(AND(Tabela4[[#This Row],[TIPO]]&gt;1,PARAMETROS!$C$17="RDC"),SUMIF($F34:G$95,#REF!,$AB98:AC$158),AA95*AB95)</f>
        <v>#VALUE!</v>
      </c>
      <c r="AD95" s="206" t="e">
        <f>IF(AND(Tabela4[[#This Row],[TIPO]]&gt;1,PARAMETROS!$C$17="RDC"),SUMIF($F34:G$95,#REF!,$AC98:AD$158),(#REF!-AB95)*AA95)</f>
        <v>#VALUE!</v>
      </c>
      <c r="AE95" s="207">
        <f t="shared" si="9"/>
        <v>0</v>
      </c>
    </row>
    <row r="96" spans="2:31" x14ac:dyDescent="0.3">
      <c r="G96" s="156"/>
      <c r="Z96" s="208"/>
      <c r="AA96" s="206" t="e">
        <f>SUMPRODUCT(Plan_Orc[Acum. 2023]*Tabela2[K]*(Tabela2[AGRUPADOR]=Tabela4[[#This Row],[Codigo]]))</f>
        <v>#VALUE!</v>
      </c>
      <c r="AB96" s="210" t="e">
        <f ca="1">IF(AND(Tabela4[[#This Row],[TIPO]]&gt;1,PARAMETROS!$C$17="RDC"),0,IFERROR(INDIRECT(LEFT(SUBSTITUTE(SUBSTITUTE(#REF!," ",""),"-",""),20)&amp;"!ae3"),0))</f>
        <v>#VALUE!</v>
      </c>
      <c r="AC96" s="206" t="e">
        <f>IF(AND(Tabela4[[#This Row],[TIPO]]&gt;1,PARAMETROS!$C$17="RDC"),SUMIF($F34:G$95,#REF!,$AB99:AC$158),AA96*AB96)</f>
        <v>#VALUE!</v>
      </c>
      <c r="AD96" s="206" t="e">
        <f>IF(AND(Tabela4[[#This Row],[TIPO]]&gt;1,PARAMETROS!$C$17="RDC"),SUMIF($F34:G$95,#REF!,$AC99:AD$158),(#REF!-AB96)*AA96)</f>
        <v>#VALUE!</v>
      </c>
      <c r="AE96" s="207">
        <f t="shared" si="9"/>
        <v>0</v>
      </c>
    </row>
    <row r="97" spans="2:31" x14ac:dyDescent="0.3">
      <c r="G97" s="156"/>
      <c r="K97" s="154"/>
      <c r="L97" s="154"/>
      <c r="M97" s="154"/>
      <c r="Z97" s="208"/>
      <c r="AA97" s="206" t="e">
        <f>SUMPRODUCT(Plan_Orc[Acum. 2023]*Tabela2[K]*(Tabela2[AGRUPADOR]=Tabela4[[#This Row],[Codigo]]))</f>
        <v>#VALUE!</v>
      </c>
      <c r="AB97" s="210" t="e">
        <f ca="1">IF(AND(Tabela4[[#This Row],[TIPO]]&gt;1,PARAMETROS!$C$17="RDC"),0,IFERROR(INDIRECT(LEFT(SUBSTITUTE(SUBSTITUTE(#REF!," ",""),"-",""),20)&amp;"!ae3"),0))</f>
        <v>#VALUE!</v>
      </c>
      <c r="AC97" s="206" t="e">
        <f>IF(AND(Tabela4[[#This Row],[TIPO]]&gt;1,PARAMETROS!$C$17="RDC"),SUMIF($F34:G$95,#REF!,$AB100:AC$158),AA97*AB97)</f>
        <v>#VALUE!</v>
      </c>
      <c r="AD97" s="206" t="e">
        <f>IF(AND(Tabela4[[#This Row],[TIPO]]&gt;1,PARAMETROS!$C$17="RDC"),SUMIF($F34:G$95,#REF!,$AC100:AD$158),(#REF!-AB97)*AA97)</f>
        <v>#VALUE!</v>
      </c>
      <c r="AE97" s="207">
        <f t="shared" si="9"/>
        <v>0</v>
      </c>
    </row>
    <row r="98" spans="2:31" x14ac:dyDescent="0.3">
      <c r="B98" s="355"/>
      <c r="G98" s="29"/>
      <c r="Z98" s="208"/>
      <c r="AA98" s="206" t="e">
        <f>SUMPRODUCT(Plan_Orc[Acum. 2023]*Tabela2[K]*(Tabela2[AGRUPADOR]=Tabela4[[#This Row],[Codigo]]))</f>
        <v>#VALUE!</v>
      </c>
      <c r="AB98" s="210" t="e">
        <f ca="1">IF(AND(Tabela4[[#This Row],[TIPO]]&gt;1,PARAMETROS!$C$17="RDC"),0,IFERROR(INDIRECT(LEFT(SUBSTITUTE(SUBSTITUTE(#REF!," ",""),"-",""),20)&amp;"!ae3"),0))</f>
        <v>#VALUE!</v>
      </c>
      <c r="AC98" s="206" t="e">
        <f>IF(AND(Tabela4[[#This Row],[TIPO]]&gt;1,PARAMETROS!$C$17="RDC"),SUMIF($F34:G$95,#REF!,$AB101:AC$158),AA98*AB98)</f>
        <v>#VALUE!</v>
      </c>
      <c r="AD98" s="206" t="e">
        <f>IF(AND(Tabela4[[#This Row],[TIPO]]&gt;1,PARAMETROS!$C$17="RDC"),SUMIF($F34:G$95,#REF!,$AC101:AD$158),(#REF!-AB98)*AA98)</f>
        <v>#VALUE!</v>
      </c>
      <c r="AE98" s="207">
        <f t="shared" si="9"/>
        <v>0</v>
      </c>
    </row>
    <row r="99" spans="2:31" x14ac:dyDescent="0.3">
      <c r="B99" s="21"/>
      <c r="I99" s="154"/>
      <c r="K99" s="154"/>
      <c r="L99" s="154"/>
      <c r="M99" s="154"/>
      <c r="Z99" s="208"/>
      <c r="AA99" s="206" t="e">
        <f>SUMPRODUCT(Plan_Orc[Acum. 2023]*Tabela2[K]*(Tabela2[AGRUPADOR]=Tabela4[[#This Row],[Codigo]]))</f>
        <v>#VALUE!</v>
      </c>
      <c r="AB99" s="210" t="e">
        <f ca="1">IF(AND(Tabela4[[#This Row],[TIPO]]&gt;1,PARAMETROS!$C$17="RDC"),0,IFERROR(INDIRECT(LEFT(SUBSTITUTE(SUBSTITUTE(#REF!," ",""),"-",""),20)&amp;"!ae3"),0))</f>
        <v>#VALUE!</v>
      </c>
      <c r="AC99" s="206" t="e">
        <f>IF(AND(Tabela4[[#This Row],[TIPO]]&gt;1,PARAMETROS!$C$17="RDC"),SUMIF($F34:G$95,#REF!,$AB102:AC$158),AA99*AB99)</f>
        <v>#VALUE!</v>
      </c>
      <c r="AD99" s="206" t="e">
        <f>IF(AND(Tabela4[[#This Row],[TIPO]]&gt;1,PARAMETROS!$C$17="RDC"),SUMIF($F34:G$95,#REF!,$AC102:AD$158),(#REF!-AB99)*AA99)</f>
        <v>#VALUE!</v>
      </c>
      <c r="AE99" s="207">
        <f t="shared" si="9"/>
        <v>0</v>
      </c>
    </row>
    <row r="100" spans="2:31" x14ac:dyDescent="0.3">
      <c r="B100" s="21"/>
      <c r="Z100" s="208"/>
      <c r="AA100" s="206" t="e">
        <f>SUMPRODUCT(Plan_Orc[Acum. 2023]*Tabela2[K]*(Tabela2[AGRUPADOR]=Tabela4[[#This Row],[Codigo]]))</f>
        <v>#VALUE!</v>
      </c>
      <c r="AB100" s="210" t="e">
        <f ca="1">IF(AND(Tabela4[[#This Row],[TIPO]]&gt;1,PARAMETROS!$C$17="RDC"),0,IFERROR(INDIRECT(LEFT(SUBSTITUTE(SUBSTITUTE(#REF!," ",""),"-",""),20)&amp;"!ae3"),0))</f>
        <v>#VALUE!</v>
      </c>
      <c r="AC100" s="206" t="e">
        <f>IF(AND(Tabela4[[#This Row],[TIPO]]&gt;1,PARAMETROS!$C$17="RDC"),SUMIF($F34:G$95,#REF!,$AB102:AC$158),AA100*AB100)</f>
        <v>#VALUE!</v>
      </c>
      <c r="AD100" s="206" t="e">
        <f>IF(AND(Tabela4[[#This Row],[TIPO]]&gt;1,PARAMETROS!$C$17="RDC"),SUMIF($F34:G$95,#REF!,$AC102:AD$158),(#REF!-AB100)*AA100)</f>
        <v>#VALUE!</v>
      </c>
      <c r="AE100" s="207">
        <f t="shared" si="9"/>
        <v>0</v>
      </c>
    </row>
    <row r="101" spans="2:31" x14ac:dyDescent="0.3">
      <c r="B101" s="21"/>
      <c r="Z101" s="208"/>
      <c r="AA101" s="206" t="e">
        <f>SUMPRODUCT(Plan_Orc[Acum. 2023]*Tabela2[K]*(Tabela2[AGRUPADOR]=Tabela4[[#This Row],[Codigo]]))</f>
        <v>#VALUE!</v>
      </c>
      <c r="AB101" s="210" t="e">
        <f ca="1">IF(AND(Tabela4[[#This Row],[TIPO]]&gt;1,PARAMETROS!$C$17="RDC"),0,IFERROR(INDIRECT(LEFT(SUBSTITUTE(SUBSTITUTE(#REF!," ",""),"-",""),20)&amp;"!ae3"),0))</f>
        <v>#VALUE!</v>
      </c>
      <c r="AC101" s="206" t="e">
        <f>IF(AND(Tabela4[[#This Row],[TIPO]]&gt;1,PARAMETROS!$C$17="RDC"),SUMIF($F34:G$95,#REF!,$AB102:AC$158),AA101*AB101)</f>
        <v>#VALUE!</v>
      </c>
      <c r="AD101" s="206" t="e">
        <f>IF(AND(Tabela4[[#This Row],[TIPO]]&gt;1,PARAMETROS!$C$17="RDC"),SUMIF($F34:G$95,#REF!,$AC102:AD$158),(#REF!-AB101)*AA101)</f>
        <v>#VALUE!</v>
      </c>
      <c r="AE101" s="207">
        <f t="shared" si="9"/>
        <v>0</v>
      </c>
    </row>
    <row r="102" spans="2:31" x14ac:dyDescent="0.3">
      <c r="B102" s="21"/>
      <c r="Z102" s="208"/>
      <c r="AA102" s="206" t="e">
        <f>SUMPRODUCT(Plan_Orc[Acum. 2023]*Tabela2[K]*(Tabela2[AGRUPADOR]=Tabela4[[#This Row],[Codigo]]))</f>
        <v>#VALUE!</v>
      </c>
      <c r="AB102" s="210" t="e">
        <f ca="1">IF(AND(Tabela4[[#This Row],[TIPO]]&gt;1,PARAMETROS!$C$17="RDC"),0,IFERROR(INDIRECT(LEFT(SUBSTITUTE(SUBSTITUTE(#REF!," ",""),"-",""),20)&amp;"!ae3"),0))</f>
        <v>#VALUE!</v>
      </c>
      <c r="AC102" s="206" t="e">
        <f>IF(AND(Tabela4[[#This Row],[TIPO]]&gt;1,PARAMETROS!$C$17="RDC"),SUMIF($F34:G$95,#REF!,$AB105:AC$158),AA102*AB102)</f>
        <v>#VALUE!</v>
      </c>
      <c r="AD102" s="206" t="e">
        <f>IF(AND(Tabela4[[#This Row],[TIPO]]&gt;1,PARAMETROS!$C$17="RDC"),SUMIF($F34:G$95,#REF!,$AC105:AD$158),(#REF!-AB102)*AA102)</f>
        <v>#VALUE!</v>
      </c>
      <c r="AE102" s="207">
        <f t="shared" si="9"/>
        <v>0</v>
      </c>
    </row>
    <row r="103" spans="2:31" x14ac:dyDescent="0.3">
      <c r="M103">
        <v>1111.1099999999999</v>
      </c>
      <c r="Z103" s="208"/>
      <c r="AA103" s="206" t="e">
        <f>SUMPRODUCT(Plan_Orc[Acum. 2023]*Tabela2[K]*(Tabela2[AGRUPADOR]=Tabela4[[#This Row],[Codigo]]))</f>
        <v>#VALUE!</v>
      </c>
      <c r="AB103" s="210" t="e">
        <f ca="1">IF(AND(Tabela4[[#This Row],[TIPO]]&gt;1,PARAMETROS!$C$17="RDC"),0,IFERROR(INDIRECT(LEFT(SUBSTITUTE(SUBSTITUTE(#REF!," ",""),"-",""),20)&amp;"!ae3"),0))</f>
        <v>#VALUE!</v>
      </c>
      <c r="AC103" s="206" t="e">
        <f>IF(AND(Tabela4[[#This Row],[TIPO]]&gt;1,PARAMETROS!$C$17="RDC"),SUMIF($F34:G$95,#REF!,$AB106:AC$158),AA103*AB103)</f>
        <v>#VALUE!</v>
      </c>
      <c r="AD103" s="206" t="e">
        <f>IF(AND(Tabela4[[#This Row],[TIPO]]&gt;1,PARAMETROS!$C$17="RDC"),SUMIF($F34:G$95,#REF!,$AC106:AD$158),(#REF!-AB103)*AA103)</f>
        <v>#VALUE!</v>
      </c>
      <c r="AE103" s="207">
        <f t="shared" si="9"/>
        <v>0</v>
      </c>
    </row>
    <row r="104" spans="2:31" x14ac:dyDescent="0.3">
      <c r="M104">
        <f>1111.11*(1+0.01)^99</f>
        <v>2975.5897960480738</v>
      </c>
      <c r="Z104" s="208"/>
      <c r="AA104" s="206" t="e">
        <f>SUMPRODUCT(Plan_Orc[Acum. 2023]*Tabela2[K]*(Tabela2[AGRUPADOR]=Tabela4[[#This Row],[Codigo]]))</f>
        <v>#VALUE!</v>
      </c>
      <c r="AB104" s="210" t="e">
        <f ca="1">IF(AND(Tabela4[[#This Row],[TIPO]]&gt;1,PARAMETROS!$C$17="RDC"),0,IFERROR(INDIRECT(LEFT(SUBSTITUTE(SUBSTITUTE(#REF!," ",""),"-",""),20)&amp;"!ae3"),0))</f>
        <v>#VALUE!</v>
      </c>
      <c r="AC104" s="206" t="e">
        <f>IF(AND(Tabela4[[#This Row],[TIPO]]&gt;1,PARAMETROS!$C$17="RDC"),SUMIF($F34:G$95,#REF!,$AB107:AC$158),AA104*AB104)</f>
        <v>#VALUE!</v>
      </c>
      <c r="AD104" s="206" t="e">
        <f>IF(AND(Tabela4[[#This Row],[TIPO]]&gt;1,PARAMETROS!$C$17="RDC"),SUMIF($F34:G$95,#REF!,$AC107:AD$158),(#REF!-AB104)*AA104)</f>
        <v>#VALUE!</v>
      </c>
      <c r="AE104" s="207">
        <f t="shared" si="9"/>
        <v>0</v>
      </c>
    </row>
    <row r="105" spans="2:31" x14ac:dyDescent="0.3">
      <c r="M105">
        <f>M104-M103</f>
        <v>1864.4797960480739</v>
      </c>
      <c r="Z105" s="208"/>
      <c r="AA105" s="206" t="e">
        <f>SUMPRODUCT(Plan_Orc[Acum. 2023]*Tabela2[K]*(Tabela2[AGRUPADOR]=Tabela4[[#This Row],[Codigo]]))</f>
        <v>#VALUE!</v>
      </c>
      <c r="AB105" s="210" t="e">
        <f ca="1">IF(AND(Tabela4[[#This Row],[TIPO]]&gt;1,PARAMETROS!$C$17="RDC"),0,IFERROR(INDIRECT(LEFT(SUBSTITUTE(SUBSTITUTE(#REF!," ",""),"-",""),20)&amp;"!ae3"),0))</f>
        <v>#VALUE!</v>
      </c>
      <c r="AC105" s="206" t="e">
        <f>IF(AND(Tabela4[[#This Row],[TIPO]]&gt;1,PARAMETROS!$C$17="RDC"),SUMIF($F34:G$95,#REF!,$AB108:AC$158),AA105*AB105)</f>
        <v>#VALUE!</v>
      </c>
      <c r="AD105" s="206" t="e">
        <f>IF(AND(Tabela4[[#This Row],[TIPO]]&gt;1,PARAMETROS!$C$17="RDC"),SUMIF($F34:G$95,#REF!,$AC108:AD$158),(#REF!-AB105)*AA105)</f>
        <v>#VALUE!</v>
      </c>
      <c r="AE105" s="207">
        <f t="shared" si="9"/>
        <v>0</v>
      </c>
    </row>
    <row r="106" spans="2:31" x14ac:dyDescent="0.3">
      <c r="Z106" s="208"/>
      <c r="AA106" s="206" t="e">
        <f>SUMPRODUCT(Plan_Orc[Acum. 2023]*Tabela2[K]*(Tabela2[AGRUPADOR]=Tabela4[[#This Row],[Codigo]]))</f>
        <v>#VALUE!</v>
      </c>
      <c r="AB106" s="210" t="e">
        <f ca="1">IF(AND(Tabela4[[#This Row],[TIPO]]&gt;1,PARAMETROS!$C$17="RDC"),0,IFERROR(INDIRECT(LEFT(SUBSTITUTE(SUBSTITUTE(#REF!," ",""),"-",""),20)&amp;"!ae3"),0))</f>
        <v>#VALUE!</v>
      </c>
      <c r="AC106" s="206" t="e">
        <f>IF(AND(Tabela4[[#This Row],[TIPO]]&gt;1,PARAMETROS!$C$17="RDC"),SUMIF($F34:G$95,#REF!,$AB109:AC$158),AA106*AB106)</f>
        <v>#VALUE!</v>
      </c>
      <c r="AD106" s="206" t="e">
        <f>IF(AND(Tabela4[[#This Row],[TIPO]]&gt;1,PARAMETROS!$C$17="RDC"),SUMIF($F34:G$95,#REF!,$AC109:AD$158),(#REF!-AB106)*AA106)</f>
        <v>#VALUE!</v>
      </c>
      <c r="AE106" s="207">
        <f t="shared" si="9"/>
        <v>0</v>
      </c>
    </row>
    <row r="107" spans="2:31" x14ac:dyDescent="0.3">
      <c r="Z107" s="208"/>
      <c r="AA107" s="206" t="e">
        <f>SUMPRODUCT(Plan_Orc[Acum. 2023]*Tabela2[K]*(Tabela2[AGRUPADOR]=Tabela4[[#This Row],[Codigo]]))</f>
        <v>#VALUE!</v>
      </c>
      <c r="AB107" s="210" t="e">
        <f ca="1">IF(AND(Tabela4[[#This Row],[TIPO]]&gt;1,PARAMETROS!$C$17="RDC"),0,IFERROR(INDIRECT(LEFT(SUBSTITUTE(SUBSTITUTE(#REF!," ",""),"-",""),20)&amp;"!ae3"),0))</f>
        <v>#VALUE!</v>
      </c>
      <c r="AC107" s="206" t="e">
        <f>IF(AND(Tabela4[[#This Row],[TIPO]]&gt;1,PARAMETROS!$C$17="RDC"),SUMIF($F34:G$95,#REF!,$AB110:AC$158),AA107*AB107)</f>
        <v>#VALUE!</v>
      </c>
      <c r="AD107" s="206" t="e">
        <f>IF(AND(Tabela4[[#This Row],[TIPO]]&gt;1,PARAMETROS!$C$17="RDC"),SUMIF($F34:G$95,#REF!,$AC110:AD$158),(#REF!-AB107)*AA107)</f>
        <v>#VALUE!</v>
      </c>
      <c r="AE107" s="207">
        <f t="shared" si="9"/>
        <v>0</v>
      </c>
    </row>
    <row r="108" spans="2:31" x14ac:dyDescent="0.3">
      <c r="M108" s="390">
        <v>43141</v>
      </c>
      <c r="Z108" s="208"/>
      <c r="AA108" s="206" t="e">
        <f>SUMPRODUCT(Plan_Orc[Acum. 2023]*Tabela2[K]*(Tabela2[AGRUPADOR]=Tabela4[[#This Row],[Codigo]]))</f>
        <v>#VALUE!</v>
      </c>
      <c r="AB108" s="210" t="e">
        <f ca="1">IF(AND(Tabela4[[#This Row],[TIPO]]&gt;1,PARAMETROS!$C$17="RDC"),0,IFERROR(INDIRECT(LEFT(SUBSTITUTE(SUBSTITUTE(#REF!," ",""),"-",""),20)&amp;"!ae3"),0))</f>
        <v>#VALUE!</v>
      </c>
      <c r="AC108" s="206" t="e">
        <f>IF(AND(Tabela4[[#This Row],[TIPO]]&gt;1,PARAMETROS!$C$17="RDC"),SUMIF($F34:G$95,#REF!,$AB111:AC$158),AA108*AB108)</f>
        <v>#VALUE!</v>
      </c>
      <c r="AD108" s="206" t="e">
        <f>IF(AND(Tabela4[[#This Row],[TIPO]]&gt;1,PARAMETROS!$C$17="RDC"),SUMIF($F34:G$95,#REF!,$AC111:AD$158),(#REF!-AB108)*AA108)</f>
        <v>#VALUE!</v>
      </c>
      <c r="AE108" s="207">
        <f t="shared" si="9"/>
        <v>0</v>
      </c>
    </row>
    <row r="109" spans="2:31" x14ac:dyDescent="0.3">
      <c r="M109" s="390">
        <v>46122</v>
      </c>
      <c r="N109">
        <f>M109-M108</f>
        <v>2981</v>
      </c>
      <c r="Z109" s="208"/>
      <c r="AA109" s="206" t="e">
        <f>SUMPRODUCT(Plan_Orc[Acum. 2023]*Tabela2[K]*(Tabela2[AGRUPADOR]=Tabela4[[#This Row],[Codigo]]))</f>
        <v>#VALUE!</v>
      </c>
      <c r="AB109" s="210" t="e">
        <f ca="1">IF(AND(Tabela4[[#This Row],[TIPO]]&gt;1,PARAMETROS!$C$17="RDC"),0,IFERROR(INDIRECT(LEFT(SUBSTITUTE(SUBSTITUTE(#REF!," ",""),"-",""),20)&amp;"!ae3"),0))</f>
        <v>#VALUE!</v>
      </c>
      <c r="AC109" s="206" t="e">
        <f>IF(AND(Tabela4[[#This Row],[TIPO]]&gt;1,PARAMETROS!$C$17="RDC"),SUMIF($F34:G$95,#REF!,$AB112:AC$158),AA109*AB109)</f>
        <v>#VALUE!</v>
      </c>
      <c r="AD109" s="206" t="e">
        <f>IF(AND(Tabela4[[#This Row],[TIPO]]&gt;1,PARAMETROS!$C$17="RDC"),SUMIF($F34:G$95,#REF!,$AC112:AD$158),(#REF!-AB109)*AA109)</f>
        <v>#VALUE!</v>
      </c>
      <c r="AE109" s="207">
        <f t="shared" si="9"/>
        <v>0</v>
      </c>
    </row>
    <row r="110" spans="2:31" x14ac:dyDescent="0.3">
      <c r="N110">
        <f>N109/30</f>
        <v>99.36666666666666</v>
      </c>
      <c r="Z110" s="208"/>
      <c r="AA110" s="206" t="e">
        <f>SUMPRODUCT(Plan_Orc[Acum. 2023]*Tabela2[K]*(Tabela2[AGRUPADOR]=Tabela4[[#This Row],[Codigo]]))</f>
        <v>#VALUE!</v>
      </c>
      <c r="AB110" s="210" t="e">
        <f ca="1">IF(AND(Tabela4[[#This Row],[TIPO]]&gt;1,PARAMETROS!$C$17="RDC"),0,IFERROR(INDIRECT(LEFT(SUBSTITUTE(SUBSTITUTE(#REF!," ",""),"-",""),20)&amp;"!ae3"),0))</f>
        <v>#VALUE!</v>
      </c>
      <c r="AC110" s="206" t="e">
        <f>IF(AND(Tabela4[[#This Row],[TIPO]]&gt;1,PARAMETROS!$C$17="RDC"),SUMIF($F34:G$95,#REF!,$AB113:AC$158),AA110*AB110)</f>
        <v>#VALUE!</v>
      </c>
      <c r="AD110" s="206" t="e">
        <f>IF(AND(Tabela4[[#This Row],[TIPO]]&gt;1,PARAMETROS!$C$17="RDC"),SUMIF($F34:G$95,#REF!,$AC113:AD$158),(#REF!-AB110)*AA110)</f>
        <v>#VALUE!</v>
      </c>
      <c r="AE110" s="207">
        <f t="shared" si="9"/>
        <v>0</v>
      </c>
    </row>
    <row r="111" spans="2:31" x14ac:dyDescent="0.3">
      <c r="T111">
        <f>1111.11</f>
        <v>1111.1099999999999</v>
      </c>
      <c r="Z111" s="208"/>
      <c r="AA111" s="206" t="e">
        <f>SUMPRODUCT(Plan_Orc[Acum. 2023]*Tabela2[K]*(Tabela2[AGRUPADOR]=Tabela4[[#This Row],[Codigo]]))</f>
        <v>#VALUE!</v>
      </c>
      <c r="AB111" s="210" t="e">
        <f ca="1">IF(AND(Tabela4[[#This Row],[TIPO]]&gt;1,PARAMETROS!$C$17="RDC"),0,IFERROR(INDIRECT(LEFT(SUBSTITUTE(SUBSTITUTE(#REF!," ",""),"-",""),20)&amp;"!ae3"),0))</f>
        <v>#VALUE!</v>
      </c>
      <c r="AC111" s="206" t="e">
        <f>IF(AND(Tabela4[[#This Row],[TIPO]]&gt;1,PARAMETROS!$C$17="RDC"),SUMIF($F34:G$95,#REF!,$AB114:AC$158),AA111*AB111)</f>
        <v>#VALUE!</v>
      </c>
      <c r="AD111" s="206" t="e">
        <f>IF(AND(Tabela4[[#This Row],[TIPO]]&gt;1,PARAMETROS!$C$17="RDC"),SUMIF($F34:G$95,#REF!,$AC114:AD$158),(#REF!-AB111)*AA111)</f>
        <v>#VALUE!</v>
      </c>
      <c r="AE111" s="207">
        <f t="shared" si="9"/>
        <v>0</v>
      </c>
    </row>
    <row r="112" spans="2:31" x14ac:dyDescent="0.3">
      <c r="T112">
        <v>483.67</v>
      </c>
      <c r="Z112" s="208"/>
      <c r="AA112" s="206" t="e">
        <f>SUMPRODUCT(Plan_Orc[Acum. 2023]*Tabela2[K]*(Tabela2[AGRUPADOR]=Tabela4[[#This Row],[Codigo]]))</f>
        <v>#VALUE!</v>
      </c>
      <c r="AB112" s="210" t="e">
        <f ca="1">IF(AND(Tabela4[[#This Row],[TIPO]]&gt;1,PARAMETROS!$C$17="RDC"),0,IFERROR(INDIRECT(LEFT(SUBSTITUTE(SUBSTITUTE(#REF!," ",""),"-",""),20)&amp;"!ae3"),0))</f>
        <v>#VALUE!</v>
      </c>
      <c r="AC112" s="206" t="e">
        <f>IF(AND(Tabela4[[#This Row],[TIPO]]&gt;1,PARAMETROS!$C$17="RDC"),SUMIF($F34:G$95,#REF!,$AB115:AC$158),AA112*AB112)</f>
        <v>#VALUE!</v>
      </c>
      <c r="AD112" s="206" t="e">
        <f>IF(AND(Tabela4[[#This Row],[TIPO]]&gt;1,PARAMETROS!$C$17="RDC"),SUMIF($F34:G$95,#REF!,$AC115:AD$158),(#REF!-AB112)*AA112)</f>
        <v>#VALUE!</v>
      </c>
      <c r="AE112" s="207">
        <f t="shared" si="9"/>
        <v>0</v>
      </c>
    </row>
    <row r="113" spans="26:31" x14ac:dyDescent="0.3">
      <c r="Z113" s="208"/>
      <c r="AA113" s="206" t="e">
        <f>SUMPRODUCT(Plan_Orc[Acum. 2023]*Tabela2[K]*(Tabela2[AGRUPADOR]=Tabela4[[#This Row],[Codigo]]))</f>
        <v>#VALUE!</v>
      </c>
      <c r="AB113" s="210" t="e">
        <f ca="1">IF(AND(Tabela4[[#This Row],[TIPO]]&gt;1,PARAMETROS!$C$17="RDC"),0,IFERROR(INDIRECT(LEFT(SUBSTITUTE(SUBSTITUTE(#REF!," ",""),"-",""),20)&amp;"!ae3"),0))</f>
        <v>#VALUE!</v>
      </c>
      <c r="AC113" s="206" t="e">
        <f>IF(AND(Tabela4[[#This Row],[TIPO]]&gt;1,PARAMETROS!$C$17="RDC"),SUMIF($F34:G$95,#REF!,$AB116:AC$158),AA113*AB113)</f>
        <v>#VALUE!</v>
      </c>
      <c r="AD113" s="206" t="e">
        <f>IF(AND(Tabela4[[#This Row],[TIPO]]&gt;1,PARAMETROS!$C$17="RDC"),SUMIF($F34:G$95,#REF!,$AC116:AD$158),(#REF!-AB113)*AA113)</f>
        <v>#VALUE!</v>
      </c>
      <c r="AE113" s="207">
        <f t="shared" si="9"/>
        <v>0</v>
      </c>
    </row>
    <row r="114" spans="26:31" x14ac:dyDescent="0.3">
      <c r="Z114" s="208"/>
      <c r="AA114" s="206" t="e">
        <f>SUMPRODUCT(Plan_Orc[Acum. 2023]*Tabela2[K]*(Tabela2[AGRUPADOR]=Tabela4[[#This Row],[Codigo]]))</f>
        <v>#VALUE!</v>
      </c>
      <c r="AB114" s="210" t="e">
        <f ca="1">IF(AND(Tabela4[[#This Row],[TIPO]]&gt;1,PARAMETROS!$C$17="RDC"),0,IFERROR(INDIRECT(LEFT(SUBSTITUTE(SUBSTITUTE(#REF!," ",""),"-",""),20)&amp;"!ae3"),0))</f>
        <v>#VALUE!</v>
      </c>
      <c r="AC114" s="206" t="e">
        <f>IF(AND(Tabela4[[#This Row],[TIPO]]&gt;1,PARAMETROS!$C$17="RDC"),SUMIF($F34:G$95,#REF!,$AB117:AC$158),AA114*AB114)</f>
        <v>#VALUE!</v>
      </c>
      <c r="AD114" s="206" t="e">
        <f>IF(AND(Tabela4[[#This Row],[TIPO]]&gt;1,PARAMETROS!$C$17="RDC"),SUMIF($F34:G$95,#REF!,$AC117:AD$158),(#REF!-AB114)*AA114)</f>
        <v>#VALUE!</v>
      </c>
      <c r="AE114" s="207">
        <f t="shared" si="9"/>
        <v>0</v>
      </c>
    </row>
    <row r="115" spans="26:31" x14ac:dyDescent="0.3">
      <c r="Z115" s="208"/>
      <c r="AA115" s="206" t="e">
        <f>SUMPRODUCT(Plan_Orc[Acum. 2023]*Tabela2[K]*(Tabela2[AGRUPADOR]=Tabela4[[#This Row],[Codigo]]))</f>
        <v>#VALUE!</v>
      </c>
      <c r="AB115" s="210" t="e">
        <f ca="1">IF(AND(Tabela4[[#This Row],[TIPO]]&gt;1,PARAMETROS!$C$17="RDC"),0,IFERROR(INDIRECT(LEFT(SUBSTITUTE(SUBSTITUTE(#REF!," ",""),"-",""),20)&amp;"!ae3"),0))</f>
        <v>#VALUE!</v>
      </c>
      <c r="AC115" s="206" t="e">
        <f>IF(AND(Tabela4[[#This Row],[TIPO]]&gt;1,PARAMETROS!$C$17="RDC"),SUMIF($F34:G$95,#REF!,$AB118:AC$158),AA115*AB115)</f>
        <v>#VALUE!</v>
      </c>
      <c r="AD115" s="206" t="e">
        <f>IF(AND(Tabela4[[#This Row],[TIPO]]&gt;1,PARAMETROS!$C$17="RDC"),SUMIF($F34:G$95,#REF!,$AC118:AD$158),(#REF!-AB115)*AA115)</f>
        <v>#VALUE!</v>
      </c>
      <c r="AE115" s="207">
        <f t="shared" si="9"/>
        <v>0</v>
      </c>
    </row>
    <row r="116" spans="26:31" x14ac:dyDescent="0.3">
      <c r="Z116" s="208"/>
      <c r="AA116" s="206" t="e">
        <f>SUMPRODUCT(Plan_Orc[Acum. 2023]*Tabela2[K]*(Tabela2[AGRUPADOR]=Tabela4[[#This Row],[Codigo]]))</f>
        <v>#VALUE!</v>
      </c>
      <c r="AB116" s="210" t="e">
        <f ca="1">IF(AND(Tabela4[[#This Row],[TIPO]]&gt;1,PARAMETROS!$C$17="RDC"),0,IFERROR(INDIRECT(LEFT(SUBSTITUTE(SUBSTITUTE(#REF!," ",""),"-",""),20)&amp;"!ae3"),0))</f>
        <v>#VALUE!</v>
      </c>
      <c r="AC116" s="206" t="e">
        <f>IF(AND(Tabela4[[#This Row],[TIPO]]&gt;1,PARAMETROS!$C$17="RDC"),SUMIF($F34:G$95,#REF!,$AB119:AC$158),AA116*AB116)</f>
        <v>#VALUE!</v>
      </c>
      <c r="AD116" s="206" t="e">
        <f>IF(AND(Tabela4[[#This Row],[TIPO]]&gt;1,PARAMETROS!$C$17="RDC"),SUMIF($F34:G$95,#REF!,$AC119:AD$158),(#REF!-AB116)*AA116)</f>
        <v>#VALUE!</v>
      </c>
      <c r="AE116" s="207">
        <f t="shared" si="9"/>
        <v>0</v>
      </c>
    </row>
    <row r="117" spans="26:31" x14ac:dyDescent="0.3">
      <c r="Z117" s="208"/>
      <c r="AA117" s="206" t="e">
        <f>SUMPRODUCT(Plan_Orc[Acum. 2023]*Tabela2[K]*(Tabela2[AGRUPADOR]=Tabela4[[#This Row],[Codigo]]))</f>
        <v>#VALUE!</v>
      </c>
      <c r="AB117" s="210" t="e">
        <f ca="1">IF(AND(Tabela4[[#This Row],[TIPO]]&gt;1,PARAMETROS!$C$17="RDC"),0,IFERROR(INDIRECT(LEFT(SUBSTITUTE(SUBSTITUTE(#REF!," ",""),"-",""),20)&amp;"!ae3"),0))</f>
        <v>#VALUE!</v>
      </c>
      <c r="AC117" s="206" t="e">
        <f>IF(AND(Tabela4[[#This Row],[TIPO]]&gt;1,PARAMETROS!$C$17="RDC"),SUMIF($F34:G$95,#REF!,$AB120:AC$158),AA117*AB117)</f>
        <v>#VALUE!</v>
      </c>
      <c r="AD117" s="206" t="e">
        <f>IF(AND(Tabela4[[#This Row],[TIPO]]&gt;1,PARAMETROS!$C$17="RDC"),SUMIF($F34:G$95,#REF!,$AC120:AD$158),(#REF!-AB117)*AA117)</f>
        <v>#VALUE!</v>
      </c>
      <c r="AE117" s="207">
        <f t="shared" si="9"/>
        <v>0</v>
      </c>
    </row>
    <row r="118" spans="26:31" x14ac:dyDescent="0.3">
      <c r="Z118" s="208"/>
      <c r="AA118" s="206" t="e">
        <f>SUMPRODUCT(Plan_Orc[Acum. 2023]*Tabela2[K]*(Tabela2[AGRUPADOR]=Tabela4[[#This Row],[Codigo]]))</f>
        <v>#VALUE!</v>
      </c>
      <c r="AB118" s="210" t="e">
        <f ca="1">IF(AND(Tabela4[[#This Row],[TIPO]]&gt;1,PARAMETROS!$C$17="RDC"),0,IFERROR(INDIRECT(LEFT(SUBSTITUTE(SUBSTITUTE(#REF!," ",""),"-",""),20)&amp;"!ae3"),0))</f>
        <v>#VALUE!</v>
      </c>
      <c r="AC118" s="206" t="e">
        <f>IF(AND(Tabela4[[#This Row],[TIPO]]&gt;1,PARAMETROS!$C$17="RDC"),SUMIF($F34:G$95,#REF!,$AB121:AC$158),AA118*AB118)</f>
        <v>#VALUE!</v>
      </c>
      <c r="AD118" s="206" t="e">
        <f>IF(AND(Tabela4[[#This Row],[TIPO]]&gt;1,PARAMETROS!$C$17="RDC"),SUMIF($F34:G$95,#REF!,$AC121:AD$158),(#REF!-AB118)*AA118)</f>
        <v>#VALUE!</v>
      </c>
      <c r="AE118" s="207">
        <f t="shared" si="9"/>
        <v>0</v>
      </c>
    </row>
    <row r="119" spans="26:31" x14ac:dyDescent="0.3">
      <c r="Z119" s="208"/>
      <c r="AA119" s="206" t="e">
        <f>SUMPRODUCT(Plan_Orc[Acum. 2023]*Tabela2[K]*(Tabela2[AGRUPADOR]=Tabela4[[#This Row],[Codigo]]))</f>
        <v>#VALUE!</v>
      </c>
      <c r="AB119" s="210" t="e">
        <f ca="1">IF(AND(Tabela4[[#This Row],[TIPO]]&gt;1,PARAMETROS!$C$17="RDC"),0,IFERROR(INDIRECT(LEFT(SUBSTITUTE(SUBSTITUTE(#REF!," ",""),"-",""),20)&amp;"!ae3"),0))</f>
        <v>#VALUE!</v>
      </c>
      <c r="AC119" s="206" t="e">
        <f>IF(AND(Tabela4[[#This Row],[TIPO]]&gt;1,PARAMETROS!$C$17="RDC"),SUMIF($F34:G$95,#REF!,$AB122:AC$158),AA119*AB119)</f>
        <v>#VALUE!</v>
      </c>
      <c r="AD119" s="206" t="e">
        <f>IF(AND(Tabela4[[#This Row],[TIPO]]&gt;1,PARAMETROS!$C$17="RDC"),SUMIF($F34:G$95,#REF!,$AC122:AD$158),(#REF!-AB119)*AA119)</f>
        <v>#VALUE!</v>
      </c>
      <c r="AE119" s="207">
        <f t="shared" si="9"/>
        <v>0</v>
      </c>
    </row>
    <row r="120" spans="26:31" x14ac:dyDescent="0.3">
      <c r="Z120" s="208"/>
      <c r="AA120" s="206" t="e">
        <f>SUMPRODUCT(Plan_Orc[Acum. 2023]*Tabela2[K]*(Tabela2[AGRUPADOR]=Tabela4[[#This Row],[Codigo]]))</f>
        <v>#VALUE!</v>
      </c>
      <c r="AB120" s="210" t="e">
        <f ca="1">IF(AND(Tabela4[[#This Row],[TIPO]]&gt;1,PARAMETROS!$C$17="RDC"),0,IFERROR(INDIRECT(LEFT(SUBSTITUTE(SUBSTITUTE(#REF!," ",""),"-",""),20)&amp;"!ae3"),0))</f>
        <v>#VALUE!</v>
      </c>
      <c r="AC120" s="206" t="e">
        <f>IF(AND(Tabela4[[#This Row],[TIPO]]&gt;1,PARAMETROS!$C$17="RDC"),SUMIF($F34:G$95,#REF!,$AB123:AC$158),AA120*AB120)</f>
        <v>#VALUE!</v>
      </c>
      <c r="AD120" s="206" t="e">
        <f>IF(AND(Tabela4[[#This Row],[TIPO]]&gt;1,PARAMETROS!$C$17="RDC"),SUMIF($F34:G$95,#REF!,$AC123:AD$158),(#REF!-AB120)*AA120)</f>
        <v>#VALUE!</v>
      </c>
      <c r="AE120" s="207">
        <f t="shared" si="9"/>
        <v>0</v>
      </c>
    </row>
    <row r="121" spans="26:31" x14ac:dyDescent="0.3">
      <c r="Z121" s="208"/>
      <c r="AA121" s="206" t="e">
        <f>SUMPRODUCT(Plan_Orc[Acum. 2023]*Tabela2[K]*(Tabela2[AGRUPADOR]=Tabela4[[#This Row],[Codigo]]))</f>
        <v>#VALUE!</v>
      </c>
      <c r="AB121" s="210" t="e">
        <f ca="1">IF(AND(Tabela4[[#This Row],[TIPO]]&gt;1,PARAMETROS!$C$17="RDC"),0,IFERROR(INDIRECT(LEFT(SUBSTITUTE(SUBSTITUTE(#REF!," ",""),"-",""),20)&amp;"!ae3"),0))</f>
        <v>#VALUE!</v>
      </c>
      <c r="AC121" s="206" t="e">
        <f>IF(AND(Tabela4[[#This Row],[TIPO]]&gt;1,PARAMETROS!$C$17="RDC"),SUMIF($F34:G$95,#REF!,$AB124:AC$158),AA121*AB121)</f>
        <v>#VALUE!</v>
      </c>
      <c r="AD121" s="206" t="e">
        <f>IF(AND(Tabela4[[#This Row],[TIPO]]&gt;1,PARAMETROS!$C$17="RDC"),SUMIF($F34:G$95,#REF!,$AC124:AD$158),(#REF!-AB121)*AA121)</f>
        <v>#VALUE!</v>
      </c>
      <c r="AE121" s="207">
        <f t="shared" si="9"/>
        <v>0</v>
      </c>
    </row>
    <row r="122" spans="26:31" x14ac:dyDescent="0.3">
      <c r="Z122" s="208"/>
      <c r="AA122" s="206" t="e">
        <f>SUMPRODUCT(Plan_Orc[Acum. 2023]*Tabela2[K]*(Tabela2[AGRUPADOR]=Tabela4[[#This Row],[Codigo]]))</f>
        <v>#VALUE!</v>
      </c>
      <c r="AB122" s="210" t="e">
        <f ca="1">IF(AND(Tabela4[[#This Row],[TIPO]]&gt;1,PARAMETROS!$C$17="RDC"),0,IFERROR(INDIRECT(LEFT(SUBSTITUTE(SUBSTITUTE(#REF!," ",""),"-",""),20)&amp;"!ae3"),0))</f>
        <v>#VALUE!</v>
      </c>
      <c r="AC122" s="206" t="e">
        <f>IF(AND(Tabela4[[#This Row],[TIPO]]&gt;1,PARAMETROS!$C$17="RDC"),SUMIF($F34:G$95,#REF!,$AB125:AC$158),AA122*AB122)</f>
        <v>#VALUE!</v>
      </c>
      <c r="AD122" s="206" t="e">
        <f>IF(AND(Tabela4[[#This Row],[TIPO]]&gt;1,PARAMETROS!$C$17="RDC"),SUMIF($F34:G$95,#REF!,$AC125:AD$158),(#REF!-AB122)*AA122)</f>
        <v>#VALUE!</v>
      </c>
      <c r="AE122" s="207">
        <f t="shared" si="9"/>
        <v>0</v>
      </c>
    </row>
    <row r="123" spans="26:31" x14ac:dyDescent="0.3">
      <c r="Z123" s="208"/>
      <c r="AA123" s="206" t="e">
        <f>SUMPRODUCT(Plan_Orc[Acum. 2023]*Tabela2[K]*(Tabela2[AGRUPADOR]=Tabela4[[#This Row],[Codigo]]))</f>
        <v>#VALUE!</v>
      </c>
      <c r="AB123" s="210" t="e">
        <f ca="1">IF(AND(Tabela4[[#This Row],[TIPO]]&gt;1,PARAMETROS!$C$17="RDC"),0,IFERROR(INDIRECT(LEFT(SUBSTITUTE(SUBSTITUTE(#REF!," ",""),"-",""),20)&amp;"!ae3"),0))</f>
        <v>#VALUE!</v>
      </c>
      <c r="AC123" s="206" t="e">
        <f>IF(AND(Tabela4[[#This Row],[TIPO]]&gt;1,PARAMETROS!$C$17="RDC"),SUMIF($F34:G$95,#REF!,$AB126:AC$158),AA123*AB123)</f>
        <v>#VALUE!</v>
      </c>
      <c r="AD123" s="206" t="e">
        <f>IF(AND(Tabela4[[#This Row],[TIPO]]&gt;1,PARAMETROS!$C$17="RDC"),SUMIF($F34:G$95,#REF!,$AC126:AD$158),(#REF!-AB123)*AA123)</f>
        <v>#VALUE!</v>
      </c>
      <c r="AE123" s="207">
        <f t="shared" si="9"/>
        <v>0</v>
      </c>
    </row>
    <row r="124" spans="26:31" x14ac:dyDescent="0.3">
      <c r="Z124" s="208"/>
      <c r="AA124" s="206" t="e">
        <f>SUMPRODUCT(Plan_Orc[Acum. 2023]*Tabela2[K]*(Tabela2[AGRUPADOR]=Tabela4[[#This Row],[Codigo]]))</f>
        <v>#VALUE!</v>
      </c>
      <c r="AB124" s="210" t="e">
        <f ca="1">IF(AND(Tabela4[[#This Row],[TIPO]]&gt;1,PARAMETROS!$C$17="RDC"),0,IFERROR(INDIRECT(LEFT(SUBSTITUTE(SUBSTITUTE(#REF!," ",""),"-",""),20)&amp;"!ae3"),0))</f>
        <v>#VALUE!</v>
      </c>
      <c r="AC124" s="206" t="e">
        <f>IF(AND(Tabela4[[#This Row],[TIPO]]&gt;1,PARAMETROS!$C$17="RDC"),SUMIF($F34:G$95,#REF!,$AB127:AC$158),AA124*AB124)</f>
        <v>#VALUE!</v>
      </c>
      <c r="AD124" s="206" t="e">
        <f>IF(AND(Tabela4[[#This Row],[TIPO]]&gt;1,PARAMETROS!$C$17="RDC"),SUMIF($F34:G$95,#REF!,$AC127:AD$158),(#REF!-AB124)*AA124)</f>
        <v>#VALUE!</v>
      </c>
      <c r="AE124" s="207">
        <f t="shared" si="9"/>
        <v>0</v>
      </c>
    </row>
    <row r="125" spans="26:31" x14ac:dyDescent="0.3">
      <c r="Z125" s="208"/>
      <c r="AA125" s="206" t="e">
        <f>SUMPRODUCT(Plan_Orc[Acum. 2023]*Tabela2[K]*(Tabela2[AGRUPADOR]=Tabela4[[#This Row],[Codigo]]))</f>
        <v>#VALUE!</v>
      </c>
      <c r="AB125" s="210" t="e">
        <f ca="1">IF(AND(Tabela4[[#This Row],[TIPO]]&gt;1,PARAMETROS!$C$17="RDC"),0,IFERROR(INDIRECT(LEFT(SUBSTITUTE(SUBSTITUTE(#REF!," ",""),"-",""),20)&amp;"!ae3"),0))</f>
        <v>#VALUE!</v>
      </c>
      <c r="AC125" s="206" t="e">
        <f>IF(AND(Tabela4[[#This Row],[TIPO]]&gt;1,PARAMETROS!$C$17="RDC"),SUMIF($F34:G$95,#REF!,$AB128:AC$158),AA125*AB125)</f>
        <v>#VALUE!</v>
      </c>
      <c r="AD125" s="206" t="e">
        <f>IF(AND(Tabela4[[#This Row],[TIPO]]&gt;1,PARAMETROS!$C$17="RDC"),SUMIF($F34:G$95,#REF!,$AC128:AD$158),(#REF!-AB125)*AA125)</f>
        <v>#VALUE!</v>
      </c>
      <c r="AE125" s="207">
        <f t="shared" si="9"/>
        <v>0</v>
      </c>
    </row>
    <row r="126" spans="26:31" x14ac:dyDescent="0.3">
      <c r="Z126" s="208"/>
      <c r="AA126" s="206" t="e">
        <f>SUMPRODUCT(Plan_Orc[Acum. 2023]*Tabela2[K]*(Tabela2[AGRUPADOR]=Tabela4[[#This Row],[Codigo]]))</f>
        <v>#VALUE!</v>
      </c>
      <c r="AB126" s="210" t="e">
        <f ca="1">IF(AND(Tabela4[[#This Row],[TIPO]]&gt;1,PARAMETROS!$C$17="RDC"),0,IFERROR(INDIRECT(LEFT(SUBSTITUTE(SUBSTITUTE(#REF!," ",""),"-",""),20)&amp;"!ae3"),0))</f>
        <v>#VALUE!</v>
      </c>
      <c r="AC126" s="206" t="e">
        <f>IF(AND(Tabela4[[#This Row],[TIPO]]&gt;1,PARAMETROS!$C$17="RDC"),SUMIF($F34:G$95,#REF!,$AB129:AC$158),AA126*AB126)</f>
        <v>#VALUE!</v>
      </c>
      <c r="AD126" s="206" t="e">
        <f>IF(AND(Tabela4[[#This Row],[TIPO]]&gt;1,PARAMETROS!$C$17="RDC"),SUMIF($F34:G$95,#REF!,$AC129:AD$158),(#REF!-AB126)*AA126)</f>
        <v>#VALUE!</v>
      </c>
      <c r="AE126" s="207">
        <f t="shared" si="9"/>
        <v>0</v>
      </c>
    </row>
    <row r="127" spans="26:31" x14ac:dyDescent="0.3">
      <c r="Z127" s="208"/>
      <c r="AA127" s="206" t="e">
        <f>SUMPRODUCT(Plan_Orc[Acum. 2023]*Tabela2[K]*(Tabela2[AGRUPADOR]=Tabela4[[#This Row],[Codigo]]))</f>
        <v>#VALUE!</v>
      </c>
      <c r="AB127" s="210" t="e">
        <f ca="1">IF(AND(Tabela4[[#This Row],[TIPO]]&gt;1,PARAMETROS!$C$17="RDC"),0,IFERROR(INDIRECT(LEFT(SUBSTITUTE(SUBSTITUTE(#REF!," ",""),"-",""),20)&amp;"!ae3"),0))</f>
        <v>#VALUE!</v>
      </c>
      <c r="AC127" s="206" t="e">
        <f>IF(AND(Tabela4[[#This Row],[TIPO]]&gt;1,PARAMETROS!$C$17="RDC"),SUMIF($F34:G$95,#REF!,$AB130:AC$158),AA127*AB127)</f>
        <v>#VALUE!</v>
      </c>
      <c r="AD127" s="206" t="e">
        <f>IF(AND(Tabela4[[#This Row],[TIPO]]&gt;1,PARAMETROS!$C$17="RDC"),SUMIF($F34:G$95,#REF!,$AC130:AD$158),(#REF!-AB127)*AA127)</f>
        <v>#VALUE!</v>
      </c>
      <c r="AE127" s="207">
        <f t="shared" si="9"/>
        <v>0</v>
      </c>
    </row>
    <row r="128" spans="26:31" x14ac:dyDescent="0.3">
      <c r="Z128" s="208"/>
      <c r="AA128" s="206" t="e">
        <f>SUMPRODUCT(Plan_Orc[Acum. 2023]*Tabela2[K]*(Tabela2[AGRUPADOR]=Tabela4[[#This Row],[Codigo]]))</f>
        <v>#VALUE!</v>
      </c>
      <c r="AB128" s="210" t="e">
        <f ca="1">IF(AND(Tabela4[[#This Row],[TIPO]]&gt;1,PARAMETROS!$C$17="RDC"),0,IFERROR(INDIRECT(LEFT(SUBSTITUTE(SUBSTITUTE(#REF!," ",""),"-",""),20)&amp;"!ae3"),0))</f>
        <v>#VALUE!</v>
      </c>
      <c r="AC128" s="206" t="e">
        <f>IF(AND(Tabela4[[#This Row],[TIPO]]&gt;1,PARAMETROS!$C$17="RDC"),SUMIF($F34:G$95,#REF!,$AB131:AC$158),AA128*AB128)</f>
        <v>#VALUE!</v>
      </c>
      <c r="AD128" s="206" t="e">
        <f>IF(AND(Tabela4[[#This Row],[TIPO]]&gt;1,PARAMETROS!$C$17="RDC"),SUMIF($F34:G$95,#REF!,$AC131:AD$158),(#REF!-AB128)*AA128)</f>
        <v>#VALUE!</v>
      </c>
      <c r="AE128" s="207">
        <f t="shared" si="9"/>
        <v>0</v>
      </c>
    </row>
    <row r="129" spans="26:31" x14ac:dyDescent="0.3">
      <c r="Z129" s="208"/>
      <c r="AA129" s="206" t="e">
        <f>SUMPRODUCT(Plan_Orc[Acum. 2023]*Tabela2[K]*(Tabela2[AGRUPADOR]=Tabela4[[#This Row],[Codigo]]))</f>
        <v>#VALUE!</v>
      </c>
      <c r="AB129" s="210" t="e">
        <f ca="1">IF(AND(Tabela4[[#This Row],[TIPO]]&gt;1,PARAMETROS!$C$17="RDC"),0,IFERROR(INDIRECT(LEFT(SUBSTITUTE(SUBSTITUTE(#REF!," ",""),"-",""),20)&amp;"!ae3"),0))</f>
        <v>#VALUE!</v>
      </c>
      <c r="AC129" s="206" t="e">
        <f>IF(AND(Tabela4[[#This Row],[TIPO]]&gt;1,PARAMETROS!$C$17="RDC"),SUMIF($F34:G$95,#REF!,$AB132:AC$158),AA129*AB129)</f>
        <v>#VALUE!</v>
      </c>
      <c r="AD129" s="206" t="e">
        <f>IF(AND(Tabela4[[#This Row],[TIPO]]&gt;1,PARAMETROS!$C$17="RDC"),SUMIF($F34:G$95,#REF!,$AC132:AD$158),(#REF!-AB129)*AA129)</f>
        <v>#VALUE!</v>
      </c>
      <c r="AE129" s="207">
        <f t="shared" si="9"/>
        <v>0</v>
      </c>
    </row>
    <row r="130" spans="26:31" x14ac:dyDescent="0.3">
      <c r="Z130" s="208"/>
      <c r="AA130" s="206" t="e">
        <f>SUMPRODUCT(Plan_Orc[Acum. 2023]*Tabela2[K]*(Tabela2[AGRUPADOR]=Tabela4[[#This Row],[Codigo]]))</f>
        <v>#VALUE!</v>
      </c>
      <c r="AB130" s="210" t="e">
        <f ca="1">IF(AND(Tabela4[[#This Row],[TIPO]]&gt;1,PARAMETROS!$C$17="RDC"),0,IFERROR(INDIRECT(LEFT(SUBSTITUTE(SUBSTITUTE(#REF!," ",""),"-",""),20)&amp;"!ae3"),0))</f>
        <v>#VALUE!</v>
      </c>
      <c r="AC130" s="206" t="e">
        <f>IF(AND(Tabela4[[#This Row],[TIPO]]&gt;1,PARAMETROS!$C$17="RDC"),SUMIF($F34:G$95,#REF!,$AB133:AC$158),AA130*AB130)</f>
        <v>#VALUE!</v>
      </c>
      <c r="AD130" s="206" t="e">
        <f>IF(AND(Tabela4[[#This Row],[TIPO]]&gt;1,PARAMETROS!$C$17="RDC"),SUMIF($F34:G$95,#REF!,$AC133:AD$158),(#REF!-AB130)*AA130)</f>
        <v>#VALUE!</v>
      </c>
      <c r="AE130" s="207">
        <f t="shared" si="9"/>
        <v>0</v>
      </c>
    </row>
    <row r="131" spans="26:31" x14ac:dyDescent="0.3">
      <c r="Z131" s="208"/>
      <c r="AA131" s="206" t="e">
        <f>SUMPRODUCT(Plan_Orc[Acum. 2023]*Tabela2[K]*(Tabela2[AGRUPADOR]=Tabela4[[#This Row],[Codigo]]))</f>
        <v>#VALUE!</v>
      </c>
      <c r="AB131" s="210" t="e">
        <f ca="1">IF(AND(Tabela4[[#This Row],[TIPO]]&gt;1,PARAMETROS!$C$17="RDC"),0,IFERROR(INDIRECT(LEFT(SUBSTITUTE(SUBSTITUTE(#REF!," ",""),"-",""),20)&amp;"!ae3"),0))</f>
        <v>#VALUE!</v>
      </c>
      <c r="AC131" s="206" t="e">
        <f>IF(AND(Tabela4[[#This Row],[TIPO]]&gt;1,PARAMETROS!$C$17="RDC"),SUMIF($F34:G$95,#REF!,$AB134:AC$158),AA131*AB131)</f>
        <v>#VALUE!</v>
      </c>
      <c r="AD131" s="206" t="e">
        <f>IF(AND(Tabela4[[#This Row],[TIPO]]&gt;1,PARAMETROS!$C$17="RDC"),SUMIF($F34:G$95,#REF!,$AC134:AD$158),(#REF!-AB131)*AA131)</f>
        <v>#VALUE!</v>
      </c>
      <c r="AE131" s="207">
        <f t="shared" si="9"/>
        <v>0</v>
      </c>
    </row>
    <row r="132" spans="26:31" x14ac:dyDescent="0.3">
      <c r="Z132" s="208"/>
      <c r="AA132" s="206" t="e">
        <f>SUMPRODUCT(Plan_Orc[Acum. 2023]*Tabela2[K]*(Tabela2[AGRUPADOR]=Tabela4[[#This Row],[Codigo]]))</f>
        <v>#VALUE!</v>
      </c>
      <c r="AB132" s="210" t="e">
        <f ca="1">IF(AND(Tabela4[[#This Row],[TIPO]]&gt;1,PARAMETROS!$C$17="RDC"),0,IFERROR(INDIRECT(LEFT(SUBSTITUTE(SUBSTITUTE(#REF!," ",""),"-",""),20)&amp;"!ae3"),0))</f>
        <v>#VALUE!</v>
      </c>
      <c r="AC132" s="206" t="e">
        <f>IF(AND(Tabela4[[#This Row],[TIPO]]&gt;1,PARAMETROS!$C$17="RDC"),SUMIF($F34:G$95,#REF!,$AB135:AC$158),AA132*AB132)</f>
        <v>#VALUE!</v>
      </c>
      <c r="AD132" s="206" t="e">
        <f>IF(AND(Tabela4[[#This Row],[TIPO]]&gt;1,PARAMETROS!$C$17="RDC"),SUMIF($F34:G$95,#REF!,$AC135:AD$158),(#REF!-AB132)*AA132)</f>
        <v>#VALUE!</v>
      </c>
      <c r="AE132" s="207">
        <f t="shared" si="9"/>
        <v>0</v>
      </c>
    </row>
    <row r="133" spans="26:31" x14ac:dyDescent="0.3">
      <c r="Z133" s="208"/>
      <c r="AA133" s="206" t="e">
        <f>SUMPRODUCT(Plan_Orc[Acum. 2023]*Tabela2[K]*(Tabela2[AGRUPADOR]=Tabela4[[#This Row],[Codigo]]))</f>
        <v>#VALUE!</v>
      </c>
      <c r="AB133" s="210" t="e">
        <f ca="1">IF(AND(Tabela4[[#This Row],[TIPO]]&gt;1,PARAMETROS!$C$17="RDC"),0,IFERROR(INDIRECT(LEFT(SUBSTITUTE(SUBSTITUTE(#REF!," ",""),"-",""),20)&amp;"!ae3"),0))</f>
        <v>#VALUE!</v>
      </c>
      <c r="AC133" s="206" t="e">
        <f>IF(AND(Tabela4[[#This Row],[TIPO]]&gt;1,PARAMETROS!$C$17="RDC"),SUMIF($F34:G$95,#REF!,$AB136:AC$158),AA133*AB133)</f>
        <v>#VALUE!</v>
      </c>
      <c r="AD133" s="206" t="e">
        <f>IF(AND(Tabela4[[#This Row],[TIPO]]&gt;1,PARAMETROS!$C$17="RDC"),SUMIF($F34:G$95,#REF!,$AC136:AD$158),(#REF!-AB133)*AA133)</f>
        <v>#VALUE!</v>
      </c>
      <c r="AE133" s="207">
        <f t="shared" si="9"/>
        <v>0</v>
      </c>
    </row>
    <row r="134" spans="26:31" x14ac:dyDescent="0.3">
      <c r="Z134" s="208"/>
      <c r="AA134" s="206" t="e">
        <f>SUMPRODUCT(Plan_Orc[Acum. 2023]*Tabela2[K]*(Tabela2[AGRUPADOR]=Tabela4[[#This Row],[Codigo]]))</f>
        <v>#VALUE!</v>
      </c>
      <c r="AB134" s="210" t="e">
        <f ca="1">IF(AND(Tabela4[[#This Row],[TIPO]]&gt;1,PARAMETROS!$C$17="RDC"),0,IFERROR(INDIRECT(LEFT(SUBSTITUTE(SUBSTITUTE(#REF!," ",""),"-",""),20)&amp;"!ae3"),0))</f>
        <v>#VALUE!</v>
      </c>
      <c r="AC134" s="206" t="e">
        <f>IF(AND(Tabela4[[#This Row],[TIPO]]&gt;1,PARAMETROS!$C$17="RDC"),SUMIF($F34:G$95,#REF!,$AB137:AC$158),AA134*AB134)</f>
        <v>#VALUE!</v>
      </c>
      <c r="AD134" s="206" t="e">
        <f>IF(AND(Tabela4[[#This Row],[TIPO]]&gt;1,PARAMETROS!$C$17="RDC"),SUMIF($F34:G$95,#REF!,$AC137:AD$158),(#REF!-AB134)*AA134)</f>
        <v>#VALUE!</v>
      </c>
      <c r="AE134" s="207">
        <f t="shared" si="9"/>
        <v>0</v>
      </c>
    </row>
    <row r="135" spans="26:31" x14ac:dyDescent="0.3">
      <c r="Z135" s="208"/>
      <c r="AA135" s="206" t="e">
        <f>SUMPRODUCT(Plan_Orc[Acum. 2023]*Tabela2[K]*(Tabela2[AGRUPADOR]=Tabela4[[#This Row],[Codigo]]))</f>
        <v>#VALUE!</v>
      </c>
      <c r="AB135" s="210" t="e">
        <f ca="1">IF(AND(Tabela4[[#This Row],[TIPO]]&gt;1,PARAMETROS!$C$17="RDC"),0,IFERROR(INDIRECT(LEFT(SUBSTITUTE(SUBSTITUTE(#REF!," ",""),"-",""),20)&amp;"!ae3"),0))</f>
        <v>#VALUE!</v>
      </c>
      <c r="AC135" s="206" t="e">
        <f>IF(AND(Tabela4[[#This Row],[TIPO]]&gt;1,PARAMETROS!$C$17="RDC"),SUMIF($F34:G$95,#REF!,$AB138:AC$158),AA135*AB135)</f>
        <v>#VALUE!</v>
      </c>
      <c r="AD135" s="206" t="e">
        <f>IF(AND(Tabela4[[#This Row],[TIPO]]&gt;1,PARAMETROS!$C$17="RDC"),SUMIF($F34:G$95,#REF!,$AC138:AD$158),(#REF!-AB135)*AA135)</f>
        <v>#VALUE!</v>
      </c>
      <c r="AE135" s="207">
        <f t="shared" si="9"/>
        <v>0</v>
      </c>
    </row>
    <row r="136" spans="26:31" x14ac:dyDescent="0.3">
      <c r="Z136" s="208"/>
      <c r="AA136" s="206" t="e">
        <f>SUMPRODUCT(Plan_Orc[Acum. 2023]*Tabela2[K]*(Tabela2[AGRUPADOR]=Tabela4[[#This Row],[Codigo]]))</f>
        <v>#VALUE!</v>
      </c>
      <c r="AB136" s="210" t="e">
        <f ca="1">IF(AND(Tabela4[[#This Row],[TIPO]]&gt;1,PARAMETROS!$C$17="RDC"),0,IFERROR(INDIRECT(LEFT(SUBSTITUTE(SUBSTITUTE(#REF!," ",""),"-",""),20)&amp;"!ae3"),0))</f>
        <v>#VALUE!</v>
      </c>
      <c r="AC136" s="206" t="e">
        <f>IF(AND(Tabela4[[#This Row],[TIPO]]&gt;1,PARAMETROS!$C$17="RDC"),SUMIF($F34:G$95,#REF!,$AB139:AC$158),AA136*AB136)</f>
        <v>#VALUE!</v>
      </c>
      <c r="AD136" s="206" t="e">
        <f>IF(AND(Tabela4[[#This Row],[TIPO]]&gt;1,PARAMETROS!$C$17="RDC"),SUMIF($F34:G$95,#REF!,$AC139:AD$158),(#REF!-AB136)*AA136)</f>
        <v>#VALUE!</v>
      </c>
      <c r="AE136" s="207">
        <f t="shared" si="9"/>
        <v>0</v>
      </c>
    </row>
    <row r="137" spans="26:31" x14ac:dyDescent="0.3">
      <c r="Z137" s="208"/>
      <c r="AA137" s="206" t="e">
        <f>SUMPRODUCT(Plan_Orc[Acum. 2023]*Tabela2[K]*(Tabela2[AGRUPADOR]=Tabela4[[#This Row],[Codigo]]))</f>
        <v>#VALUE!</v>
      </c>
      <c r="AB137" s="210" t="e">
        <f ca="1">IF(AND(Tabela4[[#This Row],[TIPO]]&gt;1,PARAMETROS!$C$17="RDC"),0,IFERROR(INDIRECT(LEFT(SUBSTITUTE(SUBSTITUTE(#REF!," ",""),"-",""),20)&amp;"!ae3"),0))</f>
        <v>#VALUE!</v>
      </c>
      <c r="AC137" s="206" t="e">
        <f>IF(AND(Tabela4[[#This Row],[TIPO]]&gt;1,PARAMETROS!$C$17="RDC"),SUMIF($F34:G$95,#REF!,$AB140:AC$158),AA137*AB137)</f>
        <v>#VALUE!</v>
      </c>
      <c r="AD137" s="206" t="e">
        <f>IF(AND(Tabela4[[#This Row],[TIPO]]&gt;1,PARAMETROS!$C$17="RDC"),SUMIF($F34:G$95,#REF!,$AC140:AD$158),(#REF!-AB137)*AA137)</f>
        <v>#VALUE!</v>
      </c>
      <c r="AE137" s="207">
        <f t="shared" si="9"/>
        <v>0</v>
      </c>
    </row>
    <row r="138" spans="26:31" x14ac:dyDescent="0.3">
      <c r="Z138" s="208"/>
      <c r="AA138" s="206" t="e">
        <f>SUMPRODUCT(Plan_Orc[Acum. 2023]*Tabela2[K]*(Tabela2[AGRUPADOR]=Tabela4[[#This Row],[Codigo]]))</f>
        <v>#VALUE!</v>
      </c>
      <c r="AB138" s="210" t="e">
        <f ca="1">IF(AND(Tabela4[[#This Row],[TIPO]]&gt;1,PARAMETROS!$C$17="RDC"),0,IFERROR(INDIRECT(LEFT(SUBSTITUTE(SUBSTITUTE(#REF!," ",""),"-",""),20)&amp;"!ae3"),0))</f>
        <v>#VALUE!</v>
      </c>
      <c r="AC138" s="206" t="e">
        <f>IF(AND(Tabela4[[#This Row],[TIPO]]&gt;1,PARAMETROS!$C$17="RDC"),SUMIF($F34:G$95,#REF!,$AB141:AC$158),AA138*AB138)</f>
        <v>#VALUE!</v>
      </c>
      <c r="AD138" s="206" t="e">
        <f>IF(AND(Tabela4[[#This Row],[TIPO]]&gt;1,PARAMETROS!$C$17="RDC"),SUMIF($F34:G$95,#REF!,$AC141:AD$158),(#REF!-AB138)*AA138)</f>
        <v>#VALUE!</v>
      </c>
      <c r="AE138" s="207">
        <f t="shared" si="9"/>
        <v>0</v>
      </c>
    </row>
    <row r="139" spans="26:31" x14ac:dyDescent="0.3">
      <c r="Z139" s="208"/>
      <c r="AA139" s="206" t="e">
        <f>SUMPRODUCT(Plan_Orc[Acum. 2023]*Tabela2[K]*(Tabela2[AGRUPADOR]=Tabela4[[#This Row],[Codigo]]))</f>
        <v>#VALUE!</v>
      </c>
      <c r="AB139" s="210" t="e">
        <f ca="1">IF(AND(Tabela4[[#This Row],[TIPO]]&gt;1,PARAMETROS!$C$17="RDC"),0,IFERROR(INDIRECT(LEFT(SUBSTITUTE(SUBSTITUTE(#REF!," ",""),"-",""),20)&amp;"!ae3"),0))</f>
        <v>#VALUE!</v>
      </c>
      <c r="AC139" s="206" t="e">
        <f>IF(AND(Tabela4[[#This Row],[TIPO]]&gt;1,PARAMETROS!$C$17="RDC"),SUMIF($F34:G$95,#REF!,$AB142:AC$158),AA139*AB139)</f>
        <v>#VALUE!</v>
      </c>
      <c r="AD139" s="206" t="e">
        <f>IF(AND(Tabela4[[#This Row],[TIPO]]&gt;1,PARAMETROS!$C$17="RDC"),SUMIF($F34:G$95,#REF!,$AC142:AD$158),(#REF!-AB139)*AA139)</f>
        <v>#VALUE!</v>
      </c>
      <c r="AE139" s="207">
        <f t="shared" si="9"/>
        <v>0</v>
      </c>
    </row>
    <row r="140" spans="26:31" x14ac:dyDescent="0.3">
      <c r="Z140" s="208"/>
      <c r="AA140" s="206" t="e">
        <f>SUMPRODUCT(Plan_Orc[Acum. 2023]*Tabela2[K]*(Tabela2[AGRUPADOR]=Tabela4[[#This Row],[Codigo]]))</f>
        <v>#VALUE!</v>
      </c>
      <c r="AB140" s="210" t="e">
        <f ca="1">IF(AND(Tabela4[[#This Row],[TIPO]]&gt;1,PARAMETROS!$C$17="RDC"),0,IFERROR(INDIRECT(LEFT(SUBSTITUTE(SUBSTITUTE(#REF!," ",""),"-",""),20)&amp;"!ae3"),0))</f>
        <v>#VALUE!</v>
      </c>
      <c r="AC140" s="206" t="e">
        <f>IF(AND(Tabela4[[#This Row],[TIPO]]&gt;1,PARAMETROS!$C$17="RDC"),SUMIF($F34:G$95,#REF!,$AB143:AC$158),AA140*AB140)</f>
        <v>#VALUE!</v>
      </c>
      <c r="AD140" s="206" t="e">
        <f>IF(AND(Tabela4[[#This Row],[TIPO]]&gt;1,PARAMETROS!$C$17="RDC"),SUMIF($F34:G$95,#REF!,$AC143:AD$158),(#REF!-AB140)*AA140)</f>
        <v>#VALUE!</v>
      </c>
      <c r="AE140" s="207">
        <f t="shared" si="9"/>
        <v>0</v>
      </c>
    </row>
    <row r="141" spans="26:31" x14ac:dyDescent="0.3">
      <c r="Z141" s="208"/>
      <c r="AA141" s="206" t="e">
        <f>SUMPRODUCT(Plan_Orc[Acum. 2023]*Tabela2[K]*(Tabela2[AGRUPADOR]=Tabela4[[#This Row],[Codigo]]))</f>
        <v>#VALUE!</v>
      </c>
      <c r="AB141" s="210" t="e">
        <f ca="1">IF(AND(Tabela4[[#This Row],[TIPO]]&gt;1,PARAMETROS!$C$17="RDC"),0,IFERROR(INDIRECT(LEFT(SUBSTITUTE(SUBSTITUTE(#REF!," ",""),"-",""),20)&amp;"!ae3"),0))</f>
        <v>#VALUE!</v>
      </c>
      <c r="AC141" s="206" t="e">
        <f>IF(AND(Tabela4[[#This Row],[TIPO]]&gt;1,PARAMETROS!$C$17="RDC"),SUMIF($F34:G$95,#REF!,$AB144:AC$158),AA141*AB141)</f>
        <v>#VALUE!</v>
      </c>
      <c r="AD141" s="206" t="e">
        <f>IF(AND(Tabela4[[#This Row],[TIPO]]&gt;1,PARAMETROS!$C$17="RDC"),SUMIF($F34:G$95,#REF!,$AC144:AD$158),(#REF!-AB141)*AA141)</f>
        <v>#VALUE!</v>
      </c>
      <c r="AE141" s="207">
        <f t="shared" si="9"/>
        <v>0</v>
      </c>
    </row>
    <row r="142" spans="26:31" x14ac:dyDescent="0.3">
      <c r="Z142" s="208"/>
      <c r="AA142" s="206" t="e">
        <f>SUMPRODUCT(Plan_Orc[Acum. 2023]*Tabela2[K]*(Tabela2[AGRUPADOR]=Tabela4[[#This Row],[Codigo]]))</f>
        <v>#VALUE!</v>
      </c>
      <c r="AB142" s="210" t="e">
        <f ca="1">IF(AND(Tabela4[[#This Row],[TIPO]]&gt;1,PARAMETROS!$C$17="RDC"),0,IFERROR(INDIRECT(LEFT(SUBSTITUTE(SUBSTITUTE(#REF!," ",""),"-",""),20)&amp;"!ae3"),0))</f>
        <v>#VALUE!</v>
      </c>
      <c r="AC142" s="206" t="e">
        <f>IF(AND(Tabela4[[#This Row],[TIPO]]&gt;1,PARAMETROS!$C$17="RDC"),SUMIF($F34:G$95,#REF!,$AB145:AC$158),AA142*AB142)</f>
        <v>#VALUE!</v>
      </c>
      <c r="AD142" s="206" t="e">
        <f>IF(AND(Tabela4[[#This Row],[TIPO]]&gt;1,PARAMETROS!$C$17="RDC"),SUMIF($F34:G$95,#REF!,$AC145:AD$158),(#REF!-AB142)*AA142)</f>
        <v>#VALUE!</v>
      </c>
      <c r="AE142" s="207">
        <f t="shared" si="9"/>
        <v>0</v>
      </c>
    </row>
    <row r="143" spans="26:31" x14ac:dyDescent="0.3">
      <c r="Z143" s="208"/>
      <c r="AA143" s="206" t="e">
        <f>SUMPRODUCT(Plan_Orc[Acum. 2023]*Tabela2[K]*(Tabela2[AGRUPADOR]=Tabela4[[#This Row],[Codigo]]))</f>
        <v>#VALUE!</v>
      </c>
      <c r="AB143" s="210" t="e">
        <f ca="1">IF(AND(Tabela4[[#This Row],[TIPO]]&gt;1,PARAMETROS!$C$17="RDC"),0,IFERROR(INDIRECT(LEFT(SUBSTITUTE(SUBSTITUTE(#REF!," ",""),"-",""),20)&amp;"!ae3"),0))</f>
        <v>#VALUE!</v>
      </c>
      <c r="AC143" s="206" t="e">
        <f>IF(AND(Tabela4[[#This Row],[TIPO]]&gt;1,PARAMETROS!$C$17="RDC"),SUMIF($F34:G$95,#REF!,$AB146:AC$158),AA143*AB143)</f>
        <v>#VALUE!</v>
      </c>
      <c r="AD143" s="206" t="e">
        <f>IF(AND(Tabela4[[#This Row],[TIPO]]&gt;1,PARAMETROS!$C$17="RDC"),SUMIF($F34:G$95,#REF!,$AC146:AD$158),(#REF!-AB143)*AA143)</f>
        <v>#VALUE!</v>
      </c>
      <c r="AE143" s="207">
        <f t="shared" si="9"/>
        <v>0</v>
      </c>
    </row>
    <row r="144" spans="26:31" x14ac:dyDescent="0.3">
      <c r="Z144" s="208"/>
      <c r="AA144" s="206" t="e">
        <f>SUMPRODUCT(Plan_Orc[Acum. 2023]*Tabela2[K]*(Tabela2[AGRUPADOR]=Tabela4[[#This Row],[Codigo]]))</f>
        <v>#VALUE!</v>
      </c>
      <c r="AB144" s="210" t="e">
        <f ca="1">IF(AND(Tabela4[[#This Row],[TIPO]]&gt;1,PARAMETROS!$C$17="RDC"),0,IFERROR(INDIRECT(LEFT(SUBSTITUTE(SUBSTITUTE(#REF!," ",""),"-",""),20)&amp;"!ae3"),0))</f>
        <v>#VALUE!</v>
      </c>
      <c r="AC144" s="206" t="e">
        <f>IF(AND(Tabela4[[#This Row],[TIPO]]&gt;1,PARAMETROS!$C$17="RDC"),SUMIF($F34:G$95,#REF!,$AB147:AC$158),AA144*AB144)</f>
        <v>#VALUE!</v>
      </c>
      <c r="AD144" s="206" t="e">
        <f>IF(AND(Tabela4[[#This Row],[TIPO]]&gt;1,PARAMETROS!$C$17="RDC"),SUMIF($F34:G$95,#REF!,$AC147:AD$158),(#REF!-AB144)*AA144)</f>
        <v>#VALUE!</v>
      </c>
      <c r="AE144" s="207">
        <f t="shared" si="9"/>
        <v>0</v>
      </c>
    </row>
    <row r="145" spans="26:31" x14ac:dyDescent="0.3">
      <c r="Z145" s="208"/>
      <c r="AA145" s="206" t="e">
        <f>SUMPRODUCT(Plan_Orc[Acum. 2023]*Tabela2[K]*(Tabela2[AGRUPADOR]=Tabela4[[#This Row],[Codigo]]))</f>
        <v>#VALUE!</v>
      </c>
      <c r="AB145" s="210" t="e">
        <f ca="1">IF(AND(Tabela4[[#This Row],[TIPO]]&gt;1,PARAMETROS!$C$17="RDC"),0,IFERROR(INDIRECT(LEFT(SUBSTITUTE(SUBSTITUTE(#REF!," ",""),"-",""),20)&amp;"!ae3"),0))</f>
        <v>#VALUE!</v>
      </c>
      <c r="AC145" s="206" t="e">
        <f>IF(AND(Tabela4[[#This Row],[TIPO]]&gt;1,PARAMETROS!$C$17="RDC"),SUMIF($F34:G$95,#REF!,$AB148:AC$158),AA145*AB145)</f>
        <v>#VALUE!</v>
      </c>
      <c r="AD145" s="206" t="e">
        <f>IF(AND(Tabela4[[#This Row],[TIPO]]&gt;1,PARAMETROS!$C$17="RDC"),SUMIF($F34:G$95,#REF!,$AC148:AD$158),(#REF!-AB145)*AA145)</f>
        <v>#VALUE!</v>
      </c>
      <c r="AE145" s="207">
        <f t="shared" si="9"/>
        <v>0</v>
      </c>
    </row>
    <row r="146" spans="26:31" x14ac:dyDescent="0.3">
      <c r="Z146" s="208"/>
      <c r="AA146" s="206" t="e">
        <f>SUMPRODUCT(Plan_Orc[Acum. 2023]*Tabela2[K]*(Tabela2[AGRUPADOR]=Tabela4[[#This Row],[Codigo]]))</f>
        <v>#VALUE!</v>
      </c>
      <c r="AB146" s="210" t="e">
        <f ca="1">IF(AND(Tabela4[[#This Row],[TIPO]]&gt;1,PARAMETROS!$C$17="RDC"),0,IFERROR(INDIRECT(LEFT(SUBSTITUTE(SUBSTITUTE(#REF!," ",""),"-",""),20)&amp;"!ae3"),0))</f>
        <v>#VALUE!</v>
      </c>
      <c r="AC146" s="206" t="e">
        <f>IF(AND(Tabela4[[#This Row],[TIPO]]&gt;1,PARAMETROS!$C$17="RDC"),SUMIF($F34:G$95,#REF!,$AB149:AC$158),AA146*AB146)</f>
        <v>#VALUE!</v>
      </c>
      <c r="AD146" s="206" t="e">
        <f>IF(AND(Tabela4[[#This Row],[TIPO]]&gt;1,PARAMETROS!$C$17="RDC"),SUMIF($F34:G$95,#REF!,$AC149:AD$158),(#REF!-AB146)*AA146)</f>
        <v>#VALUE!</v>
      </c>
      <c r="AE146" s="207">
        <f t="shared" si="9"/>
        <v>0</v>
      </c>
    </row>
    <row r="147" spans="26:31" x14ac:dyDescent="0.3">
      <c r="Z147" s="208"/>
      <c r="AA147" s="206" t="e">
        <f>SUMPRODUCT(Plan_Orc[Acum. 2023]*Tabela2[K]*(Tabela2[AGRUPADOR]=Tabela4[[#This Row],[Codigo]]))</f>
        <v>#VALUE!</v>
      </c>
      <c r="AB147" s="210" t="e">
        <f ca="1">IF(AND(Tabela4[[#This Row],[TIPO]]&gt;1,PARAMETROS!$C$17="RDC"),0,IFERROR(INDIRECT(LEFT(SUBSTITUTE(SUBSTITUTE(#REF!," ",""),"-",""),20)&amp;"!ae3"),0))</f>
        <v>#VALUE!</v>
      </c>
      <c r="AC147" s="206" t="e">
        <f>IF(AND(Tabela4[[#This Row],[TIPO]]&gt;1,PARAMETROS!$C$17="RDC"),SUMIF($F34:G$95,#REF!,$AB150:AC$158),AA147*AB147)</f>
        <v>#VALUE!</v>
      </c>
      <c r="AD147" s="206" t="e">
        <f>IF(AND(Tabela4[[#This Row],[TIPO]]&gt;1,PARAMETROS!$C$17="RDC"),SUMIF($F34:G$95,#REF!,$AC150:AD$158),(#REF!-AB147)*AA147)</f>
        <v>#VALUE!</v>
      </c>
      <c r="AE147" s="207">
        <f t="shared" si="9"/>
        <v>0</v>
      </c>
    </row>
    <row r="148" spans="26:31" x14ac:dyDescent="0.3">
      <c r="Z148" s="208"/>
      <c r="AA148" s="206" t="e">
        <f>SUMPRODUCT(Plan_Orc[Acum. 2023]*Tabela2[K]*(Tabela2[AGRUPADOR]=Tabela4[[#This Row],[Codigo]]))</f>
        <v>#VALUE!</v>
      </c>
      <c r="AB148" s="210" t="e">
        <f ca="1">IF(AND(Tabela4[[#This Row],[TIPO]]&gt;1,PARAMETROS!$C$17="RDC"),0,IFERROR(INDIRECT(LEFT(SUBSTITUTE(SUBSTITUTE(#REF!," ",""),"-",""),20)&amp;"!ae3"),0))</f>
        <v>#VALUE!</v>
      </c>
      <c r="AC148" s="206" t="e">
        <f>IF(AND(Tabela4[[#This Row],[TIPO]]&gt;1,PARAMETROS!$C$17="RDC"),SUMIF($F34:G$95,#REF!,$AB151:AC$158),AA148*AB148)</f>
        <v>#VALUE!</v>
      </c>
      <c r="AD148" s="206" t="e">
        <f>IF(AND(Tabela4[[#This Row],[TIPO]]&gt;1,PARAMETROS!$C$17="RDC"),SUMIF($F34:G$95,#REF!,$AC151:AD$158),(#REF!-AB148)*AA148)</f>
        <v>#VALUE!</v>
      </c>
      <c r="AE148" s="207">
        <f t="shared" si="9"/>
        <v>0</v>
      </c>
    </row>
    <row r="149" spans="26:31" x14ac:dyDescent="0.3">
      <c r="Z149" s="208"/>
      <c r="AA149" s="206" t="e">
        <f>SUMPRODUCT(Plan_Orc[Acum. 2023]*Tabela2[K]*(Tabela2[AGRUPADOR]=Tabela4[[#This Row],[Codigo]]))</f>
        <v>#VALUE!</v>
      </c>
      <c r="AB149" s="210" t="e">
        <f ca="1">IF(AND(Tabela4[[#This Row],[TIPO]]&gt;1,PARAMETROS!$C$17="RDC"),0,IFERROR(INDIRECT(LEFT(SUBSTITUTE(SUBSTITUTE(#REF!," ",""),"-",""),20)&amp;"!ae3"),0))</f>
        <v>#VALUE!</v>
      </c>
      <c r="AC149" s="206" t="e">
        <f>IF(AND(Tabela4[[#This Row],[TIPO]]&gt;1,PARAMETROS!$C$17="RDC"),SUMIF($F34:G$95,#REF!,$AB152:AC$158),AA149*AB149)</f>
        <v>#VALUE!</v>
      </c>
      <c r="AD149" s="206" t="e">
        <f>IF(AND(Tabela4[[#This Row],[TIPO]]&gt;1,PARAMETROS!$C$17="RDC"),SUMIF($F34:G$95,#REF!,$AC152:AD$158),(#REF!-AB149)*AA149)</f>
        <v>#VALUE!</v>
      </c>
      <c r="AE149" s="207">
        <f t="shared" si="9"/>
        <v>0</v>
      </c>
    </row>
    <row r="150" spans="26:31" x14ac:dyDescent="0.3">
      <c r="Z150" s="208"/>
      <c r="AA150" s="206" t="e">
        <f>SUMPRODUCT(Plan_Orc[Acum. 2023]*Tabela2[K]*(Tabela2[AGRUPADOR]=Tabela4[[#This Row],[Codigo]]))</f>
        <v>#VALUE!</v>
      </c>
      <c r="AB150" s="210" t="e">
        <f ca="1">IF(AND(Tabela4[[#This Row],[TIPO]]&gt;1,PARAMETROS!$C$17="RDC"),0,IFERROR(INDIRECT(LEFT(SUBSTITUTE(SUBSTITUTE(#REF!," ",""),"-",""),20)&amp;"!ae3"),0))</f>
        <v>#VALUE!</v>
      </c>
      <c r="AC150" s="206" t="e">
        <f>IF(AND(Tabela4[[#This Row],[TIPO]]&gt;1,PARAMETROS!$C$17="RDC"),SUMIF($F34:G$95,#REF!,$AB153:AC$158),AA150*AB150)</f>
        <v>#VALUE!</v>
      </c>
      <c r="AD150" s="206" t="e">
        <f>IF(AND(Tabela4[[#This Row],[TIPO]]&gt;1,PARAMETROS!$C$17="RDC"),SUMIF($F34:G$95,#REF!,$AC153:AD$158),(#REF!-AB150)*AA150)</f>
        <v>#VALUE!</v>
      </c>
      <c r="AE150" s="207">
        <f t="shared" si="9"/>
        <v>0</v>
      </c>
    </row>
    <row r="151" spans="26:31" x14ac:dyDescent="0.3">
      <c r="Z151" s="208"/>
      <c r="AA151" s="206" t="e">
        <f>SUMPRODUCT(Plan_Orc[Acum. 2023]*Tabela2[K]*(Tabela2[AGRUPADOR]=Tabela4[[#This Row],[Codigo]]))</f>
        <v>#VALUE!</v>
      </c>
      <c r="AB151" s="210" t="e">
        <f ca="1">IF(AND(Tabela4[[#This Row],[TIPO]]&gt;1,PARAMETROS!$C$17="RDC"),0,IFERROR(INDIRECT(LEFT(SUBSTITUTE(SUBSTITUTE(#REF!," ",""),"-",""),20)&amp;"!ae3"),0))</f>
        <v>#VALUE!</v>
      </c>
      <c r="AC151" s="206" t="e">
        <f>IF(AND(Tabela4[[#This Row],[TIPO]]&gt;1,PARAMETROS!$C$17="RDC"),SUMIF($F34:G$95,#REF!,$AB156:AC$158),AA151*AB151)</f>
        <v>#VALUE!</v>
      </c>
      <c r="AD151" s="206" t="e">
        <f>IF(AND(Tabela4[[#This Row],[TIPO]]&gt;1,PARAMETROS!$C$17="RDC"),SUMIF($F34:G$95,#REF!,$AC156:AD$158),(#REF!-AB151)*AA151)</f>
        <v>#VALUE!</v>
      </c>
      <c r="AE151" s="207">
        <f t="shared" ref="AE151:AE157" si="10">IFERROR(AD151/AC151,0)</f>
        <v>0</v>
      </c>
    </row>
    <row r="152" spans="26:31" x14ac:dyDescent="0.3">
      <c r="Z152" s="208"/>
      <c r="AA152" s="206" t="e">
        <f>SUMPRODUCT(Plan_Orc[Acum. 2023]*Tabela2[K]*(Tabela2[AGRUPADOR]=Tabela4[[#This Row],[Codigo]]))</f>
        <v>#VALUE!</v>
      </c>
      <c r="AB152" s="210" t="e">
        <f ca="1">IF(AND(Tabela4[[#This Row],[TIPO]]&gt;1,PARAMETROS!$C$17="RDC"),0,IFERROR(INDIRECT(LEFT(SUBSTITUTE(SUBSTITUTE(#REF!," ",""),"-",""),20)&amp;"!ae3"),0))</f>
        <v>#VALUE!</v>
      </c>
      <c r="AC152" s="206" t="e">
        <f>IF(AND(Tabela4[[#This Row],[TIPO]]&gt;1,PARAMETROS!$C$17="RDC"),SUMIF($F34:G$95,#REF!,$AB157:AC$158),AA152*AB152)</f>
        <v>#VALUE!</v>
      </c>
      <c r="AD152" s="206" t="e">
        <f>IF(AND(Tabela4[[#This Row],[TIPO]]&gt;1,PARAMETROS!$C$17="RDC"),SUMIF($F34:G$95,#REF!,$AC157:AD$158),(#REF!-AB152)*AA152)</f>
        <v>#VALUE!</v>
      </c>
      <c r="AE152" s="207">
        <f t="shared" si="10"/>
        <v>0</v>
      </c>
    </row>
    <row r="153" spans="26:31" x14ac:dyDescent="0.3">
      <c r="Z153" s="208"/>
      <c r="AA153" s="206" t="e">
        <f>SUMPRODUCT(Plan_Orc[Acum. 2023]*Tabela2[K]*(Tabela2[AGRUPADOR]=Tabela4[[#This Row],[Codigo]]))</f>
        <v>#VALUE!</v>
      </c>
      <c r="AB153" s="210" t="e">
        <f ca="1">IF(AND(Tabela4[[#This Row],[TIPO]]&gt;1,PARAMETROS!$C$17="RDC"),0,IFERROR(INDIRECT(LEFT(SUBSTITUTE(SUBSTITUTE(#REF!," ",""),"-",""),20)&amp;"!ae3"),0))</f>
        <v>#VALUE!</v>
      </c>
      <c r="AC153" s="206" t="e">
        <f>IF(AND(Tabela4[[#This Row],[TIPO]]&gt;1,PARAMETROS!$C$17="RDC"),SUMIF($F95:G$95,#REF!,$AB158:AC$158),AA153*AB153)</f>
        <v>#VALUE!</v>
      </c>
      <c r="AD153" s="206" t="e">
        <f>IF(AND(Tabela4[[#This Row],[TIPO]]&gt;1,PARAMETROS!$C$17="RDC"),SUMIF($F95:G$95,#REF!,$AC158:AD$158),(#REF!-AB153)*AA153)</f>
        <v>#VALUE!</v>
      </c>
      <c r="AE153" s="207">
        <f t="shared" si="10"/>
        <v>0</v>
      </c>
    </row>
    <row r="154" spans="26:31" x14ac:dyDescent="0.3">
      <c r="Z154" s="208"/>
      <c r="AA154" s="206"/>
      <c r="AB154" s="210"/>
      <c r="AC154" s="206"/>
      <c r="AD154" s="206"/>
      <c r="AE154" s="207"/>
    </row>
    <row r="155" spans="26:31" x14ac:dyDescent="0.3">
      <c r="Z155" s="208"/>
      <c r="AA155" s="206"/>
      <c r="AB155" s="210"/>
      <c r="AC155" s="206"/>
      <c r="AD155" s="206"/>
      <c r="AE155" s="207"/>
    </row>
    <row r="156" spans="26:31" x14ac:dyDescent="0.3">
      <c r="Z156" s="208"/>
      <c r="AA156" s="206" t="e">
        <f>SUMPRODUCT(Plan_Orc[Acum. 2023]*Tabela2[K]*(Tabela2[AGRUPADOR]=Tabela4[[#This Row],[Codigo]]))</f>
        <v>#VALUE!</v>
      </c>
      <c r="AB156" s="210" t="e">
        <f ca="1">IF(AND(Tabela4[[#This Row],[TIPO]]&gt;1,PARAMETROS!$C$17="RDC"),0,IFERROR(INDIRECT(LEFT(SUBSTITUTE(SUBSTITUTE(#REF!," ",""),"-",""),20)&amp;"!ae3"),0))</f>
        <v>#VALUE!</v>
      </c>
      <c r="AC156" s="206" t="e">
        <f>IF(AND(Tabela4[[#This Row],[TIPO]]&gt;1,PARAMETROS!$C$17="RDC"),SUMIF($F$36:G96,#REF!,$AB$158:AC159),AA156*AB156)</f>
        <v>#VALUE!</v>
      </c>
      <c r="AD156" s="206" t="e">
        <f>IF(AND(Tabela4[[#This Row],[TIPO]]&gt;1,PARAMETROS!$C$17="RDC"),SUMIF($F$36:G96,#REF!,$AC$158:AD159),(#REF!-AB156)*AA156)</f>
        <v>#VALUE!</v>
      </c>
      <c r="AE156" s="207">
        <f t="shared" si="10"/>
        <v>0</v>
      </c>
    </row>
    <row r="157" spans="26:31" ht="13.95" customHeight="1" thickBot="1" x14ac:dyDescent="0.35">
      <c r="Z157" s="208"/>
      <c r="AA157" s="206" t="e">
        <f>SUMPRODUCT(Plan_Orc[Acum. 2023]*Tabela2[K]*(Tabela2[AGRUPADOR]=Tabela4[[#This Row],[Codigo]]))</f>
        <v>#VALUE!</v>
      </c>
      <c r="AB157" s="210" t="e">
        <f ca="1">IF(AND(Tabela4[[#This Row],[TIPO]]&gt;1,PARAMETROS!$C$17="RDC"),0,IFERROR(INDIRECT(LEFT(SUBSTITUTE(SUBSTITUTE(H34," ",""),"-",""),20)&amp;"!ae3"),0))</f>
        <v>#VALUE!</v>
      </c>
      <c r="AC157" s="206" t="e">
        <f>IF(AND(Tabela4[[#This Row],[TIPO]]&gt;1,PARAMETROS!$C$17="RDC"),SUMIF($F$36:G97,G34,$AB$158:AC160),AA157*AB157)</f>
        <v>#VALUE!</v>
      </c>
      <c r="AD157" s="206" t="e">
        <f>IF(AND(Tabela4[[#This Row],[TIPO]]&gt;1,PARAMETROS!$C$17="RDC"),SUMIF($F$36:G97,G34,$AC$158:AD160),(J34-AB157)*AA157)</f>
        <v>#VALUE!</v>
      </c>
      <c r="AE157" s="207">
        <f t="shared" si="10"/>
        <v>0</v>
      </c>
    </row>
    <row r="158" spans="26:31" ht="15" thickTop="1" x14ac:dyDescent="0.3">
      <c r="Z158" s="208"/>
      <c r="AA158" s="213"/>
      <c r="AB158" s="213"/>
      <c r="AC158" s="213" t="e">
        <f ca="1">IF(PARAMETROS!U17="RDC",SUBTOTAL(109,AC4:AC157)/2,SUBTOTAL(109,AC4:AC157))</f>
        <v>#VALUE!</v>
      </c>
      <c r="AD158" s="213" t="e">
        <f ca="1">IF(PARAMETROS!V17="RDC",SUBTOTAL(109,AD4:AD157)/2,SUBTOTAL(109,AD4:AD157))</f>
        <v>#REF!</v>
      </c>
      <c r="AE158" s="225"/>
    </row>
  </sheetData>
  <phoneticPr fontId="58" type="noConversion"/>
  <conditionalFormatting sqref="AE18">
    <cfRule type="iconSet" priority="2">
      <iconSet>
        <cfvo type="percent" val="0"/>
        <cfvo type="num" val="0"/>
        <cfvo type="num" val="0.02"/>
      </iconSet>
    </cfRule>
  </conditionalFormatting>
  <conditionalFormatting sqref="N4:N94">
    <cfRule type="iconSet" priority="23">
      <iconSet>
        <cfvo type="percent" val="0"/>
        <cfvo type="num" val="0"/>
        <cfvo type="num" val="0.02"/>
      </iconSet>
    </cfRule>
  </conditionalFormatting>
  <conditionalFormatting sqref="AE4:AE17 AE19:AE158">
    <cfRule type="iconSet" priority="71">
      <iconSet>
        <cfvo type="percent" val="0"/>
        <cfvo type="num" val="0"/>
        <cfvo type="num" val="0.02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CC33C-9BB2-4725-89F5-0013BC10A5F0}">
  <dimension ref="C1:E19"/>
  <sheetViews>
    <sheetView showGridLines="0" workbookViewId="0">
      <selection activeCell="F30" sqref="F30"/>
    </sheetView>
  </sheetViews>
  <sheetFormatPr defaultRowHeight="14.4" x14ac:dyDescent="0.3"/>
  <cols>
    <col min="1" max="1" width="21.88671875" customWidth="1"/>
    <col min="2" max="2" width="6.88671875" customWidth="1"/>
  </cols>
  <sheetData>
    <row r="1" spans="3:5" ht="57" customHeight="1" x14ac:dyDescent="0.3"/>
    <row r="2" spans="3:5" x14ac:dyDescent="0.3">
      <c r="C2" s="285"/>
      <c r="D2" s="286"/>
      <c r="E2" s="287"/>
    </row>
    <row r="3" spans="3:5" x14ac:dyDescent="0.3">
      <c r="C3" s="288"/>
      <c r="D3" s="289"/>
      <c r="E3" s="290"/>
    </row>
    <row r="4" spans="3:5" x14ac:dyDescent="0.3">
      <c r="C4" s="288"/>
      <c r="D4" s="289"/>
      <c r="E4" s="290"/>
    </row>
    <row r="5" spans="3:5" x14ac:dyDescent="0.3">
      <c r="C5" s="288"/>
      <c r="D5" s="289"/>
      <c r="E5" s="290"/>
    </row>
    <row r="6" spans="3:5" x14ac:dyDescent="0.3">
      <c r="C6" s="288"/>
      <c r="D6" s="289"/>
      <c r="E6" s="290"/>
    </row>
    <row r="7" spans="3:5" x14ac:dyDescent="0.3">
      <c r="C7" s="288"/>
      <c r="D7" s="289"/>
      <c r="E7" s="290"/>
    </row>
    <row r="8" spans="3:5" x14ac:dyDescent="0.3">
      <c r="C8" s="288"/>
      <c r="D8" s="289"/>
      <c r="E8" s="290"/>
    </row>
    <row r="9" spans="3:5" x14ac:dyDescent="0.3">
      <c r="C9" s="288"/>
      <c r="D9" s="289"/>
      <c r="E9" s="290"/>
    </row>
    <row r="10" spans="3:5" x14ac:dyDescent="0.3">
      <c r="C10" s="288"/>
      <c r="D10" s="289"/>
      <c r="E10" s="290"/>
    </row>
    <row r="11" spans="3:5" x14ac:dyDescent="0.3">
      <c r="C11" s="288"/>
      <c r="D11" s="289"/>
      <c r="E11" s="290"/>
    </row>
    <row r="12" spans="3:5" x14ac:dyDescent="0.3">
      <c r="C12" s="288"/>
      <c r="D12" s="289"/>
      <c r="E12" s="290"/>
    </row>
    <row r="13" spans="3:5" x14ac:dyDescent="0.3">
      <c r="C13" s="288"/>
      <c r="D13" s="289"/>
      <c r="E13" s="290"/>
    </row>
    <row r="14" spans="3:5" x14ac:dyDescent="0.3">
      <c r="C14" s="288"/>
      <c r="D14" s="289"/>
      <c r="E14" s="290"/>
    </row>
    <row r="15" spans="3:5" x14ac:dyDescent="0.3">
      <c r="C15" s="288"/>
      <c r="D15" s="289"/>
      <c r="E15" s="290"/>
    </row>
    <row r="16" spans="3:5" x14ac:dyDescent="0.3">
      <c r="C16" s="288"/>
      <c r="D16" s="289"/>
      <c r="E16" s="290"/>
    </row>
    <row r="17" spans="3:5" x14ac:dyDescent="0.3">
      <c r="C17" s="288"/>
      <c r="D17" s="289"/>
      <c r="E17" s="290"/>
    </row>
    <row r="18" spans="3:5" x14ac:dyDescent="0.3">
      <c r="C18" s="288"/>
      <c r="D18" s="289"/>
      <c r="E18" s="290"/>
    </row>
    <row r="19" spans="3:5" x14ac:dyDescent="0.3">
      <c r="C19" s="291"/>
      <c r="D19" s="292"/>
      <c r="E19" s="293"/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4"/>
  <dimension ref="A1:CD62"/>
  <sheetViews>
    <sheetView showGridLines="0" zoomScaleNormal="100" workbookViewId="0">
      <pane xSplit="14" ySplit="10" topLeftCell="O16" activePane="bottomRight" state="frozen"/>
      <selection pane="topRight" activeCell="C28" activeCellId="1" sqref="E13 C28"/>
      <selection pane="bottomLeft" activeCell="C28" activeCellId="1" sqref="E13 C28"/>
      <selection pane="bottomRight" activeCell="H12" sqref="H12:I12"/>
    </sheetView>
  </sheetViews>
  <sheetFormatPr defaultRowHeight="14.4" x14ac:dyDescent="0.3"/>
  <cols>
    <col min="1" max="1" width="4.109375" customWidth="1"/>
    <col min="2" max="2" width="16.109375" customWidth="1"/>
    <col min="3" max="5" width="16.109375" hidden="1" customWidth="1"/>
    <col min="6" max="6" width="40.6640625" customWidth="1"/>
    <col min="7" max="7" width="10.6640625" style="28" customWidth="1"/>
    <col min="8" max="8" width="7.6640625" style="28" customWidth="1"/>
    <col min="9" max="11" width="10.6640625" customWidth="1"/>
    <col min="12" max="12" width="2.33203125" customWidth="1"/>
    <col min="13" max="14" width="12.6640625" customWidth="1"/>
    <col min="15" max="15" width="14" bestFit="1" customWidth="1"/>
    <col min="30" max="30" width="12.44140625" bestFit="1" customWidth="1"/>
    <col min="31" max="31" width="7.6640625" customWidth="1"/>
    <col min="32" max="32" width="9.33203125" bestFit="1" customWidth="1"/>
    <col min="33" max="34" width="10.6640625" customWidth="1"/>
    <col min="35" max="35" width="7.6640625" customWidth="1"/>
    <col min="36" max="36" width="9.33203125" customWidth="1"/>
    <col min="37" max="38" width="10.6640625" customWidth="1"/>
    <col min="40" max="40" width="9.33203125" customWidth="1"/>
    <col min="42" max="42" width="9.6640625" customWidth="1"/>
    <col min="44" max="44" width="9.33203125" customWidth="1"/>
    <col min="46" max="46" width="9.6640625" customWidth="1"/>
    <col min="48" max="48" width="9.33203125" customWidth="1"/>
    <col min="50" max="50" width="9.6640625" customWidth="1"/>
    <col min="52" max="52" width="9.33203125" customWidth="1"/>
    <col min="54" max="54" width="9.6640625" customWidth="1"/>
    <col min="56" max="56" width="9.33203125" customWidth="1"/>
    <col min="58" max="58" width="9.6640625" customWidth="1"/>
    <col min="60" max="60" width="9.33203125" customWidth="1"/>
    <col min="62" max="62" width="9.6640625" customWidth="1"/>
    <col min="64" max="64" width="9.33203125" customWidth="1"/>
    <col min="66" max="66" width="9.6640625" customWidth="1"/>
    <col min="68" max="68" width="9.33203125" customWidth="1"/>
    <col min="70" max="70" width="9.6640625" customWidth="1"/>
    <col min="72" max="72" width="10" customWidth="1"/>
    <col min="73" max="73" width="9.5546875" customWidth="1"/>
    <col min="74" max="74" width="10.44140625" customWidth="1"/>
    <col min="76" max="76" width="10" customWidth="1"/>
    <col min="77" max="77" width="9.5546875" customWidth="1"/>
    <col min="78" max="78" width="10.44140625" customWidth="1"/>
    <col min="80" max="80" width="10" customWidth="1"/>
    <col min="81" max="81" width="9.5546875" customWidth="1"/>
    <col min="82" max="82" width="10.44140625" customWidth="1"/>
  </cols>
  <sheetData>
    <row r="1" spans="1:82" ht="26.4" customHeight="1" thickBot="1" x14ac:dyDescent="0.35">
      <c r="AE1" s="163" t="s">
        <v>678</v>
      </c>
    </row>
    <row r="2" spans="1:82" x14ac:dyDescent="0.3">
      <c r="B2" s="64" t="s">
        <v>679</v>
      </c>
      <c r="C2" s="67"/>
      <c r="D2" s="67"/>
      <c r="E2" s="67"/>
      <c r="F2" s="65"/>
      <c r="G2" s="66"/>
      <c r="H2" s="66"/>
      <c r="I2" s="65"/>
      <c r="J2" s="67" t="s">
        <v>680</v>
      </c>
      <c r="K2" s="68" t="s">
        <v>681</v>
      </c>
      <c r="M2" s="227" t="s">
        <v>682</v>
      </c>
      <c r="N2" s="228" t="s">
        <v>683</v>
      </c>
      <c r="O2" s="234" t="s">
        <v>684</v>
      </c>
      <c r="AE2" s="164" t="s">
        <v>590</v>
      </c>
      <c r="AF2" s="165" t="s">
        <v>20</v>
      </c>
      <c r="AG2" s="67"/>
      <c r="AH2" s="68" t="s">
        <v>681</v>
      </c>
      <c r="AI2" s="166">
        <v>44927</v>
      </c>
      <c r="AJ2" s="165" t="s">
        <v>20</v>
      </c>
      <c r="AK2" s="67"/>
      <c r="AL2" s="68" t="s">
        <v>681</v>
      </c>
      <c r="AM2" s="166">
        <v>44958</v>
      </c>
      <c r="AN2" s="165" t="s">
        <v>20</v>
      </c>
      <c r="AO2" s="67"/>
      <c r="AP2" s="68" t="s">
        <v>681</v>
      </c>
      <c r="AQ2" s="166">
        <v>44986</v>
      </c>
      <c r="AR2" s="165" t="s">
        <v>20</v>
      </c>
      <c r="AS2" s="67"/>
      <c r="AT2" s="68" t="s">
        <v>681</v>
      </c>
      <c r="AU2" s="166">
        <v>45017</v>
      </c>
      <c r="AV2" s="165" t="s">
        <v>20</v>
      </c>
      <c r="AW2" s="67"/>
      <c r="AX2" s="68" t="s">
        <v>681</v>
      </c>
      <c r="AY2" s="166">
        <v>45047</v>
      </c>
      <c r="AZ2" s="165" t="s">
        <v>20</v>
      </c>
      <c r="BA2" s="67"/>
      <c r="BB2" s="68" t="s">
        <v>681</v>
      </c>
      <c r="BC2" s="166">
        <v>45078</v>
      </c>
      <c r="BD2" s="165" t="s">
        <v>20</v>
      </c>
      <c r="BE2" s="67"/>
      <c r="BF2" s="68" t="s">
        <v>681</v>
      </c>
      <c r="BG2" s="166">
        <v>45108</v>
      </c>
      <c r="BH2" s="165" t="s">
        <v>20</v>
      </c>
      <c r="BI2" s="67"/>
      <c r="BJ2" s="68" t="s">
        <v>681</v>
      </c>
      <c r="BK2" s="166">
        <v>45139</v>
      </c>
      <c r="BL2" s="165" t="s">
        <v>20</v>
      </c>
      <c r="BM2" s="67"/>
      <c r="BN2" s="68" t="s">
        <v>681</v>
      </c>
      <c r="BO2" s="166">
        <v>45170</v>
      </c>
      <c r="BP2" s="165" t="s">
        <v>20</v>
      </c>
      <c r="BQ2" s="67"/>
      <c r="BR2" s="68" t="s">
        <v>681</v>
      </c>
      <c r="BS2" s="166">
        <v>45200</v>
      </c>
      <c r="BT2" s="165" t="s">
        <v>20</v>
      </c>
      <c r="BU2" s="67"/>
      <c r="BV2" s="68" t="s">
        <v>681</v>
      </c>
      <c r="BW2" s="166">
        <v>45231</v>
      </c>
      <c r="BX2" s="165" t="s">
        <v>20</v>
      </c>
      <c r="BY2" s="67"/>
      <c r="BZ2" s="68" t="s">
        <v>681</v>
      </c>
      <c r="CA2" s="166">
        <v>45261</v>
      </c>
      <c r="CB2" s="165" t="s">
        <v>20</v>
      </c>
      <c r="CC2" s="67"/>
      <c r="CD2" s="68" t="s">
        <v>681</v>
      </c>
    </row>
    <row r="3" spans="1:82" x14ac:dyDescent="0.3">
      <c r="A3" s="42" t="str">
        <f>"CPU_"&amp;LEFT(SUBSTITUTE(SUBSTITUTE(B3," ",""),"-",""),20)</f>
        <v>CPU_</v>
      </c>
      <c r="B3" s="31"/>
      <c r="C3" s="1"/>
      <c r="D3" s="1"/>
      <c r="E3" s="1"/>
      <c r="F3" s="73"/>
      <c r="G3" s="74"/>
      <c r="H3" s="74"/>
      <c r="I3" s="73"/>
      <c r="J3" s="74" t="str">
        <f>IFERROR(VLOOKUP(B3,Tabela1[[NOME SERVIÇO]:[UNID]],4,0),"")</f>
        <v/>
      </c>
      <c r="K3" s="75">
        <f>IFERROR(J6/B6,0)</f>
        <v>0</v>
      </c>
      <c r="M3" s="229" t="s">
        <v>685</v>
      </c>
      <c r="N3" s="230">
        <f>K11</f>
        <v>0</v>
      </c>
      <c r="O3" s="235">
        <f>IFERROR(N3/$N$7,0)</f>
        <v>0</v>
      </c>
      <c r="AE3" s="167"/>
      <c r="AF3" s="168">
        <f>AJ3+AN3+AR3+AV3+AZ3+BD3+BH3+BL3+BP3+BT3+BX3+CB3</f>
        <v>0</v>
      </c>
      <c r="AG3" s="74"/>
      <c r="AH3" s="75">
        <f>IFERROR((AG6/AF3),0)</f>
        <v>0</v>
      </c>
      <c r="AI3" s="167"/>
      <c r="AJ3" s="168">
        <f>IFERROR(SUMPRODUCT(Plan_Orc!$I$4:$I$2002*Plan_Orc!$AB$4:$AB$2002*(Plan_Orc!$D$4:$D$2002=$B3)),0)</f>
        <v>0</v>
      </c>
      <c r="AK3" s="74"/>
      <c r="AL3" s="75">
        <f>IFERROR((AK6/AJ3),0)</f>
        <v>0</v>
      </c>
      <c r="AM3" s="167"/>
      <c r="AN3" s="168">
        <f>IFERROR(SUMPRODUCT(Plan_Orc!$I$4:$I$2002*Plan_Orc!$AC$4:$AC$2002*(Plan_Orc!$D$4:$D$2002=$B3)),0)</f>
        <v>0</v>
      </c>
      <c r="AO3" s="74"/>
      <c r="AP3" s="75">
        <f>IFERROR((AO6/AN3),0)</f>
        <v>0</v>
      </c>
      <c r="AQ3" s="167"/>
      <c r="AR3" s="168">
        <f>IFERROR(SUMPRODUCT(Plan_Orc!$I$4:$I$2002*Plan_Orc!$AD$4:$AD$2002*(Plan_Orc!$D$4:$D$2002=$B3)),0)</f>
        <v>0</v>
      </c>
      <c r="AS3" s="74"/>
      <c r="AT3" s="75">
        <f>IFERROR((AS6/AR3),0)</f>
        <v>0</v>
      </c>
      <c r="AU3" s="167"/>
      <c r="AV3" s="168">
        <f>IFERROR(SUMPRODUCT(Plan_Orc!$I$4:$I$2002*Plan_Orc!$AE$4:$AE$2002*(Plan_Orc!$D$4:$D$2002=$B3)),0)</f>
        <v>0</v>
      </c>
      <c r="AW3" s="74"/>
      <c r="AX3" s="75">
        <f>IFERROR((AW6/AV3),0)</f>
        <v>0</v>
      </c>
      <c r="AY3" s="167"/>
      <c r="AZ3" s="168">
        <f>IFERROR(SUMPRODUCT(Plan_Orc!$I$4:$I$2002*Plan_Orc!$AF$4:$AF$2002*(Plan_Orc!$D$4:$D$2002=$B3)),0)</f>
        <v>0</v>
      </c>
      <c r="BA3" s="74"/>
      <c r="BB3" s="75">
        <f>IFERROR((BA6/AZ3),0)</f>
        <v>0</v>
      </c>
      <c r="BC3" s="167"/>
      <c r="BD3" s="168">
        <f>IFERROR(SUMPRODUCT(Plan_Orc!$I$4:$I$2002*Plan_Orc!$AG$4:$AG$2002*(Plan_Orc!$D$4:$D$2002=$B3)),0)</f>
        <v>0</v>
      </c>
      <c r="BE3" s="74"/>
      <c r="BF3" s="75">
        <f>IFERROR((BE6/BD3),0)</f>
        <v>0</v>
      </c>
      <c r="BG3" s="167"/>
      <c r="BH3" s="168">
        <f>IFERROR(SUMPRODUCT(Plan_Orc!$I$4:$I$2002*Plan_Orc!$AH$4:$AH$2002*(Plan_Orc!$D$4:$D$2002=$B3)),0)</f>
        <v>0</v>
      </c>
      <c r="BI3" s="74"/>
      <c r="BJ3" s="75">
        <f>IFERROR((BI6/BH3),0)</f>
        <v>0</v>
      </c>
      <c r="BK3" s="167"/>
      <c r="BL3" s="168">
        <f>IFERROR(SUMPRODUCT(Plan_Orc!$I$4:$I$2002*Plan_Orc!$AI$4:$AI$2002*(Plan_Orc!$D$4:$D$2002=$B3)),0)</f>
        <v>0</v>
      </c>
      <c r="BM3" s="74"/>
      <c r="BN3" s="75">
        <f>IFERROR((BM6/BL3),0)</f>
        <v>0</v>
      </c>
      <c r="BO3" s="167"/>
      <c r="BP3" s="168">
        <f>IFERROR(SUMPRODUCT(Plan_Orc!$I$4:$I$2002*Plan_Orc!$AJ$4:$AJ$2002*(Plan_Orc!$D$4:$D$2002=$B3)),0)</f>
        <v>0</v>
      </c>
      <c r="BQ3" s="74"/>
      <c r="BR3" s="75">
        <f>IFERROR((BQ6/BP3),0)</f>
        <v>0</v>
      </c>
      <c r="BS3" s="167"/>
      <c r="BT3" s="168">
        <f>IFERROR(SUMPRODUCT(Plan_Orc!$I$4:$I$2002*Plan_Orc!$AK$4:$AK$2002*(Plan_Orc!$D$4:$D$2002=$B3)),0)</f>
        <v>0</v>
      </c>
      <c r="BU3" s="74"/>
      <c r="BV3" s="75">
        <f>IFERROR((BU6/BT3),0)</f>
        <v>0</v>
      </c>
      <c r="BW3" s="167"/>
      <c r="BX3" s="168">
        <f>IFERROR(SUMPRODUCT(Plan_Orc!$I$4:$I$2002*Plan_Orc!$AL$4:$AL$2002*(Plan_Orc!$D$4:$D$2002=$B3)),0)</f>
        <v>0</v>
      </c>
      <c r="BY3" s="74"/>
      <c r="BZ3" s="75">
        <f>IFERROR((BY6/BX3),0)</f>
        <v>0</v>
      </c>
      <c r="CA3" s="167"/>
      <c r="CB3" s="168">
        <f>IFERROR(SUMPRODUCT(Plan_Orc!$I$4:$I$2002*Plan_Orc!$AM$4:$AM$2002*(Plan_Orc!$D$4:$D$2002=$B3)),0)</f>
        <v>0</v>
      </c>
      <c r="CC3" s="74"/>
      <c r="CD3" s="75">
        <f>IFERROR((CC6/CB3),0)</f>
        <v>0</v>
      </c>
    </row>
    <row r="4" spans="1:82" x14ac:dyDescent="0.3">
      <c r="B4" s="32"/>
      <c r="K4" s="30"/>
      <c r="M4" s="229" t="s">
        <v>686</v>
      </c>
      <c r="N4" s="230">
        <f>+K24</f>
        <v>0</v>
      </c>
      <c r="O4" s="235">
        <f>IFERROR(N4/$N$7,0)</f>
        <v>0</v>
      </c>
      <c r="AE4" s="169"/>
      <c r="AH4" s="30"/>
      <c r="AI4" s="169"/>
      <c r="AL4" s="30"/>
      <c r="AM4" s="169"/>
      <c r="AP4" s="30"/>
      <c r="AQ4" s="169"/>
      <c r="AT4" s="30"/>
      <c r="AU4" s="169"/>
      <c r="AX4" s="30"/>
      <c r="AY4" s="169"/>
      <c r="BB4" s="30"/>
      <c r="BC4" s="169"/>
      <c r="BF4" s="30"/>
      <c r="BG4" s="169"/>
      <c r="BJ4" s="30"/>
      <c r="BK4" s="169"/>
      <c r="BN4" s="30"/>
      <c r="BO4" s="169"/>
      <c r="BR4" s="30"/>
      <c r="BS4" s="169"/>
      <c r="BV4" s="30"/>
      <c r="BW4" s="169"/>
      <c r="BZ4" s="30"/>
      <c r="CA4" s="169"/>
      <c r="CD4" s="30"/>
    </row>
    <row r="5" spans="1:82" x14ac:dyDescent="0.3">
      <c r="B5" s="69" t="s">
        <v>687</v>
      </c>
      <c r="C5" s="72"/>
      <c r="D5" s="72"/>
      <c r="E5" s="72"/>
      <c r="F5" s="70" t="s">
        <v>688</v>
      </c>
      <c r="G5" s="70" t="s">
        <v>689</v>
      </c>
      <c r="H5" s="70" t="s">
        <v>690</v>
      </c>
      <c r="I5" s="70" t="s">
        <v>691</v>
      </c>
      <c r="J5" s="70" t="s">
        <v>683</v>
      </c>
      <c r="K5" s="71" t="s">
        <v>593</v>
      </c>
      <c r="M5" s="229" t="s">
        <v>692</v>
      </c>
      <c r="N5" s="230">
        <f>+K37</f>
        <v>0</v>
      </c>
      <c r="O5" s="235">
        <f>IFERROR(N5/$N$7,0)</f>
        <v>0</v>
      </c>
      <c r="AE5" s="170"/>
      <c r="AF5" s="70" t="s">
        <v>691</v>
      </c>
      <c r="AG5" s="70" t="s">
        <v>683</v>
      </c>
      <c r="AH5" s="71" t="s">
        <v>593</v>
      </c>
      <c r="AI5" s="170"/>
      <c r="AJ5" s="70" t="s">
        <v>691</v>
      </c>
      <c r="AK5" s="70" t="s">
        <v>683</v>
      </c>
      <c r="AL5" s="71" t="s">
        <v>593</v>
      </c>
      <c r="AM5" s="170"/>
      <c r="AN5" s="70" t="s">
        <v>691</v>
      </c>
      <c r="AO5" s="70" t="s">
        <v>683</v>
      </c>
      <c r="AP5" s="71" t="s">
        <v>593</v>
      </c>
      <c r="AQ5" s="170"/>
      <c r="AR5" s="70" t="s">
        <v>691</v>
      </c>
      <c r="AS5" s="70" t="s">
        <v>683</v>
      </c>
      <c r="AT5" s="71" t="s">
        <v>593</v>
      </c>
      <c r="AU5" s="170"/>
      <c r="AV5" s="70" t="s">
        <v>691</v>
      </c>
      <c r="AW5" s="70" t="s">
        <v>683</v>
      </c>
      <c r="AX5" s="71" t="s">
        <v>593</v>
      </c>
      <c r="AY5" s="170"/>
      <c r="AZ5" s="70" t="s">
        <v>691</v>
      </c>
      <c r="BA5" s="70" t="s">
        <v>683</v>
      </c>
      <c r="BB5" s="71" t="s">
        <v>593</v>
      </c>
      <c r="BC5" s="170"/>
      <c r="BD5" s="70" t="s">
        <v>691</v>
      </c>
      <c r="BE5" s="70" t="s">
        <v>683</v>
      </c>
      <c r="BF5" s="71" t="s">
        <v>593</v>
      </c>
      <c r="BG5" s="170"/>
      <c r="BH5" s="70" t="s">
        <v>691</v>
      </c>
      <c r="BI5" s="70" t="s">
        <v>683</v>
      </c>
      <c r="BJ5" s="71" t="s">
        <v>593</v>
      </c>
      <c r="BK5" s="170"/>
      <c r="BL5" s="70" t="s">
        <v>691</v>
      </c>
      <c r="BM5" s="70" t="s">
        <v>683</v>
      </c>
      <c r="BN5" s="71" t="s">
        <v>593</v>
      </c>
      <c r="BO5" s="170"/>
      <c r="BP5" s="70" t="s">
        <v>691</v>
      </c>
      <c r="BQ5" s="70" t="s">
        <v>683</v>
      </c>
      <c r="BR5" s="71" t="s">
        <v>593</v>
      </c>
      <c r="BS5" s="170"/>
      <c r="BT5" s="70" t="s">
        <v>691</v>
      </c>
      <c r="BU5" s="70" t="s">
        <v>683</v>
      </c>
      <c r="BV5" s="71" t="s">
        <v>593</v>
      </c>
      <c r="BW5" s="170"/>
      <c r="BX5" s="70" t="s">
        <v>691</v>
      </c>
      <c r="BY5" s="70" t="s">
        <v>683</v>
      </c>
      <c r="BZ5" s="71" t="s">
        <v>593</v>
      </c>
      <c r="CA5" s="170"/>
      <c r="CB5" s="70" t="s">
        <v>691</v>
      </c>
      <c r="CC5" s="70" t="s">
        <v>683</v>
      </c>
      <c r="CD5" s="71" t="s">
        <v>593</v>
      </c>
    </row>
    <row r="6" spans="1:82" s="2" customFormat="1" ht="30" customHeight="1" x14ac:dyDescent="0.3">
      <c r="B6" s="33"/>
      <c r="C6" s="275"/>
      <c r="D6" s="275"/>
      <c r="E6" s="275"/>
      <c r="F6" s="27"/>
      <c r="G6" s="35">
        <v>1</v>
      </c>
      <c r="H6" s="81" t="s">
        <v>347</v>
      </c>
      <c r="I6" s="55">
        <f>IFERROR(I7/B7*B6,0)</f>
        <v>0</v>
      </c>
      <c r="J6" s="55">
        <f>K11+K24+K37+K50</f>
        <v>0</v>
      </c>
      <c r="K6" s="56">
        <f>IFERROR((I6-J6)/I6-PARAMETROS!C19,0)</f>
        <v>0</v>
      </c>
      <c r="M6" s="229" t="s">
        <v>693</v>
      </c>
      <c r="N6" s="230">
        <f>+K50</f>
        <v>0</v>
      </c>
      <c r="O6" s="235">
        <f>IFERROR(N6/$N$7,0)</f>
        <v>0</v>
      </c>
      <c r="AE6" s="171"/>
      <c r="AF6" s="55">
        <f>AJ6+AN6+AR6+AV6+AZ6+BD6+BH6+BL6+BP6+BT6+BX6+CB6</f>
        <v>0</v>
      </c>
      <c r="AG6" s="55">
        <f>AH11+AH24+AH37+AH50</f>
        <v>0</v>
      </c>
      <c r="AH6" s="56">
        <f>IFERROR((AF6-AG6)/AF6,0)</f>
        <v>0</v>
      </c>
      <c r="AI6" s="171"/>
      <c r="AJ6" s="55"/>
      <c r="AK6" s="55">
        <f>AL11+AL24+AL37+AL50</f>
        <v>0</v>
      </c>
      <c r="AL6" s="56">
        <f>IFERROR((AJ6-AK6)/AJ6,0)</f>
        <v>0</v>
      </c>
      <c r="AM6" s="171"/>
      <c r="AN6" s="55"/>
      <c r="AO6" s="55">
        <f>AP11+AP24+AP37+AP50</f>
        <v>0</v>
      </c>
      <c r="AP6" s="56">
        <f>IFERROR((AN6-AO6)/AN6,0)</f>
        <v>0</v>
      </c>
      <c r="AQ6" s="171"/>
      <c r="AR6" s="55"/>
      <c r="AS6" s="55">
        <f>AT11+AT24+AT37+AT50</f>
        <v>0</v>
      </c>
      <c r="AT6" s="56">
        <f>IFERROR((AR6-AS6)/AR6,0)</f>
        <v>0</v>
      </c>
      <c r="AU6" s="171"/>
      <c r="AV6" s="55"/>
      <c r="AW6" s="55">
        <f>AX11+AX24+AX37+AX50</f>
        <v>0</v>
      </c>
      <c r="AX6" s="56">
        <f>IFERROR((AV6-AW6)/AV6,0)</f>
        <v>0</v>
      </c>
      <c r="AY6" s="171"/>
      <c r="AZ6" s="55"/>
      <c r="BA6" s="55">
        <f>BB11+BB24+BB37+BB50</f>
        <v>0</v>
      </c>
      <c r="BB6" s="56">
        <f>IFERROR((AZ6-BA6)/AZ6,0)</f>
        <v>0</v>
      </c>
      <c r="BC6" s="171"/>
      <c r="BD6" s="55"/>
      <c r="BE6" s="55">
        <f>BF11+BF24+BF37+BF50</f>
        <v>0</v>
      </c>
      <c r="BF6" s="56">
        <f>IFERROR((BD6-BE6)/BD6,0)</f>
        <v>0</v>
      </c>
      <c r="BG6" s="171"/>
      <c r="BH6" s="55"/>
      <c r="BI6" s="55">
        <f>BJ11+BJ24+BJ37+BJ50</f>
        <v>0</v>
      </c>
      <c r="BJ6" s="56">
        <f>IFERROR((BH6-BI6)/BH6,0)</f>
        <v>0</v>
      </c>
      <c r="BK6" s="171"/>
      <c r="BL6" s="55"/>
      <c r="BM6" s="55">
        <f>BN11+BN24+BN37+BN50</f>
        <v>0</v>
      </c>
      <c r="BN6" s="56">
        <f>IFERROR((BL6-BM6)/BL6,0)</f>
        <v>0</v>
      </c>
      <c r="BO6" s="171"/>
      <c r="BP6" s="55"/>
      <c r="BQ6" s="55">
        <f>BR11+BR24+BR37+BR50</f>
        <v>0</v>
      </c>
      <c r="BR6" s="56">
        <f>IFERROR((BP6-BQ6)/BP6,0)</f>
        <v>0</v>
      </c>
      <c r="BS6" s="171"/>
      <c r="BT6" s="55"/>
      <c r="BU6" s="55">
        <f>BV11+BV24+BV37+BV50</f>
        <v>0</v>
      </c>
      <c r="BV6" s="56">
        <f>IFERROR((BT6-BU6)/BT6,0)</f>
        <v>0</v>
      </c>
      <c r="BW6" s="171"/>
      <c r="BX6" s="55"/>
      <c r="BY6" s="55">
        <f>BZ11+BZ24+BZ37+BZ50</f>
        <v>0</v>
      </c>
      <c r="BZ6" s="56">
        <f>IFERROR((BX6-BY6)/BX6,0)</f>
        <v>0</v>
      </c>
      <c r="CA6" s="171"/>
      <c r="CB6" s="55"/>
      <c r="CC6" s="55">
        <f>CD11+CD24+CD37+CD50</f>
        <v>0</v>
      </c>
      <c r="CD6" s="56">
        <f>IFERROR((CB6-CC6)/CB6,0)</f>
        <v>0</v>
      </c>
    </row>
    <row r="7" spans="1:82" s="2" customFormat="1" ht="30" customHeight="1" thickBot="1" x14ac:dyDescent="0.35">
      <c r="B7" s="34">
        <f>IFERROR(VLOOKUP(B3,Lucratividade!G4:N853,2,0),0)</f>
        <v>0</v>
      </c>
      <c r="C7" s="276"/>
      <c r="D7" s="276"/>
      <c r="E7" s="276"/>
      <c r="F7" s="50"/>
      <c r="G7" s="36">
        <f>IFERROR(B7/B6,0)</f>
        <v>0</v>
      </c>
      <c r="H7" s="82" t="s">
        <v>347</v>
      </c>
      <c r="I7" s="57">
        <f>IFERROR(VLOOKUP(B3,Lucratividade!G4:N132,6,0),0)</f>
        <v>0</v>
      </c>
      <c r="J7" s="58">
        <f>B7*K3</f>
        <v>0</v>
      </c>
      <c r="K7" s="59">
        <f>IFERROR((I7-J7)/I7-PARAMETROS!C19,0)</f>
        <v>0</v>
      </c>
      <c r="M7" s="231" t="s">
        <v>694</v>
      </c>
      <c r="N7" s="232">
        <f>SUM(N3:N6)</f>
        <v>0</v>
      </c>
      <c r="O7" s="236"/>
      <c r="AE7" s="172"/>
      <c r="AF7" s="57"/>
      <c r="AG7" s="58"/>
      <c r="AH7" s="59"/>
      <c r="AI7" s="172"/>
      <c r="AJ7" s="57"/>
      <c r="AK7" s="58"/>
      <c r="AL7" s="59"/>
      <c r="AM7" s="172"/>
      <c r="AN7" s="57"/>
      <c r="AO7" s="58"/>
      <c r="AP7" s="59"/>
      <c r="AQ7" s="172"/>
      <c r="AR7" s="57"/>
      <c r="AS7" s="58"/>
      <c r="AT7" s="59"/>
      <c r="AU7" s="172"/>
      <c r="AV7" s="57"/>
      <c r="AW7" s="58"/>
      <c r="AX7" s="59"/>
      <c r="AY7" s="172"/>
      <c r="AZ7" s="57"/>
      <c r="BA7" s="58"/>
      <c r="BB7" s="59"/>
      <c r="BC7" s="172"/>
      <c r="BD7" s="57"/>
      <c r="BE7" s="58"/>
      <c r="BF7" s="59"/>
      <c r="BG7" s="172"/>
      <c r="BH7" s="57"/>
      <c r="BI7" s="58"/>
      <c r="BJ7" s="59"/>
      <c r="BK7" s="172"/>
      <c r="BL7" s="57"/>
      <c r="BM7" s="58"/>
      <c r="BN7" s="59"/>
      <c r="BO7" s="172"/>
      <c r="BP7" s="57"/>
      <c r="BQ7" s="58"/>
      <c r="BR7" s="59"/>
      <c r="BS7" s="172"/>
      <c r="BT7" s="57"/>
      <c r="BU7" s="58"/>
      <c r="BV7" s="59"/>
      <c r="BW7" s="172"/>
      <c r="BX7" s="57"/>
      <c r="BY7" s="58"/>
      <c r="BZ7" s="59"/>
      <c r="CA7" s="172"/>
      <c r="CB7" s="57"/>
      <c r="CC7" s="58"/>
      <c r="CD7" s="59"/>
    </row>
    <row r="8" spans="1:82" ht="4.2" customHeight="1" x14ac:dyDescent="0.3">
      <c r="AE8" s="28"/>
      <c r="AI8" s="28"/>
      <c r="AM8" s="28"/>
      <c r="AQ8" s="28"/>
      <c r="AU8" s="28"/>
      <c r="AY8" s="28"/>
      <c r="BC8" s="28"/>
      <c r="BG8" s="28"/>
      <c r="BK8" s="28"/>
      <c r="BO8" s="28"/>
      <c r="BS8" s="28"/>
      <c r="BW8" s="28"/>
      <c r="CA8" s="28"/>
    </row>
    <row r="9" spans="1:82" ht="4.95" customHeight="1" thickBot="1" x14ac:dyDescent="0.35">
      <c r="AE9" s="28"/>
      <c r="AI9" s="28"/>
      <c r="AM9" s="28"/>
      <c r="AQ9" s="28"/>
      <c r="AU9" s="28"/>
      <c r="AY9" s="28"/>
      <c r="BC9" s="28"/>
      <c r="BG9" s="28"/>
      <c r="BK9" s="28"/>
      <c r="BO9" s="28"/>
      <c r="BS9" s="28"/>
      <c r="BW9" s="28"/>
      <c r="CA9" s="28"/>
    </row>
    <row r="10" spans="1:82" ht="15" thickBot="1" x14ac:dyDescent="0.35">
      <c r="B10" s="72" t="s">
        <v>695</v>
      </c>
      <c r="C10" s="72" t="s">
        <v>679</v>
      </c>
      <c r="D10" s="72" t="s">
        <v>696</v>
      </c>
      <c r="E10" s="72" t="s">
        <v>697</v>
      </c>
      <c r="F10" s="72" t="s">
        <v>17</v>
      </c>
      <c r="G10" s="70" t="s">
        <v>690</v>
      </c>
      <c r="H10" s="70" t="s">
        <v>698</v>
      </c>
      <c r="I10" s="72" t="s">
        <v>20</v>
      </c>
      <c r="J10" s="72" t="s">
        <v>699</v>
      </c>
      <c r="K10" s="72" t="s">
        <v>700</v>
      </c>
      <c r="M10" s="83" t="s">
        <v>701</v>
      </c>
      <c r="N10" s="87" t="s">
        <v>702</v>
      </c>
      <c r="AD10" s="173" t="s">
        <v>703</v>
      </c>
      <c r="AE10" s="170" t="s">
        <v>698</v>
      </c>
      <c r="AF10" s="70" t="s">
        <v>20</v>
      </c>
      <c r="AG10" s="70" t="s">
        <v>699</v>
      </c>
      <c r="AH10" s="70" t="s">
        <v>700</v>
      </c>
      <c r="AI10" s="173" t="s">
        <v>704</v>
      </c>
      <c r="AJ10" s="174" t="s">
        <v>705</v>
      </c>
      <c r="AK10" s="174" t="s">
        <v>706</v>
      </c>
      <c r="AL10" s="175" t="s">
        <v>707</v>
      </c>
      <c r="AM10" s="173" t="s">
        <v>708</v>
      </c>
      <c r="AN10" s="174" t="s">
        <v>709</v>
      </c>
      <c r="AO10" s="174" t="s">
        <v>710</v>
      </c>
      <c r="AP10" s="175" t="s">
        <v>711</v>
      </c>
      <c r="AQ10" s="173" t="s">
        <v>712</v>
      </c>
      <c r="AR10" s="174" t="s">
        <v>713</v>
      </c>
      <c r="AS10" s="174" t="s">
        <v>714</v>
      </c>
      <c r="AT10" s="175" t="s">
        <v>715</v>
      </c>
      <c r="AU10" s="173" t="s">
        <v>716</v>
      </c>
      <c r="AV10" s="174" t="s">
        <v>717</v>
      </c>
      <c r="AW10" s="174" t="s">
        <v>718</v>
      </c>
      <c r="AX10" s="175" t="s">
        <v>719</v>
      </c>
      <c r="AY10" s="173" t="s">
        <v>720</v>
      </c>
      <c r="AZ10" s="174" t="s">
        <v>721</v>
      </c>
      <c r="BA10" s="174" t="s">
        <v>722</v>
      </c>
      <c r="BB10" s="175" t="s">
        <v>723</v>
      </c>
      <c r="BC10" s="173" t="s">
        <v>724</v>
      </c>
      <c r="BD10" s="174" t="s">
        <v>725</v>
      </c>
      <c r="BE10" s="174" t="s">
        <v>726</v>
      </c>
      <c r="BF10" s="175" t="s">
        <v>727</v>
      </c>
      <c r="BG10" s="173" t="s">
        <v>728</v>
      </c>
      <c r="BH10" s="174" t="s">
        <v>729</v>
      </c>
      <c r="BI10" s="174" t="s">
        <v>730</v>
      </c>
      <c r="BJ10" s="175" t="s">
        <v>731</v>
      </c>
      <c r="BK10" s="173" t="s">
        <v>732</v>
      </c>
      <c r="BL10" s="174" t="s">
        <v>733</v>
      </c>
      <c r="BM10" s="174" t="s">
        <v>734</v>
      </c>
      <c r="BN10" s="175" t="s">
        <v>735</v>
      </c>
      <c r="BO10" s="173" t="s">
        <v>736</v>
      </c>
      <c r="BP10" s="174" t="s">
        <v>737</v>
      </c>
      <c r="BQ10" s="174" t="s">
        <v>738</v>
      </c>
      <c r="BR10" s="175" t="s">
        <v>739</v>
      </c>
      <c r="BS10" s="173" t="s">
        <v>740</v>
      </c>
      <c r="BT10" s="174" t="s">
        <v>741</v>
      </c>
      <c r="BU10" s="174" t="s">
        <v>742</v>
      </c>
      <c r="BV10" s="175" t="s">
        <v>743</v>
      </c>
      <c r="BW10" s="173" t="s">
        <v>744</v>
      </c>
      <c r="BX10" s="174" t="s">
        <v>745</v>
      </c>
      <c r="BY10" s="174" t="s">
        <v>746</v>
      </c>
      <c r="BZ10" s="175" t="s">
        <v>747</v>
      </c>
      <c r="CA10" s="173" t="s">
        <v>748</v>
      </c>
      <c r="CB10" s="174" t="s">
        <v>749</v>
      </c>
      <c r="CC10" s="174" t="s">
        <v>750</v>
      </c>
      <c r="CD10" s="174" t="s">
        <v>751</v>
      </c>
    </row>
    <row r="11" spans="1:82" x14ac:dyDescent="0.3">
      <c r="B11" s="52" t="s">
        <v>752</v>
      </c>
      <c r="C11" s="52" t="str">
        <f t="shared" ref="C11:C42" si="0">$A$3</f>
        <v>CPU_</v>
      </c>
      <c r="D11" s="277">
        <f t="shared" ref="D11:D42" si="1">$B$6</f>
        <v>0</v>
      </c>
      <c r="E11" s="277">
        <f t="shared" ref="E11:E42" si="2">$B$7</f>
        <v>0</v>
      </c>
      <c r="F11" s="37"/>
      <c r="G11" s="38"/>
      <c r="H11" s="91"/>
      <c r="I11" s="40"/>
      <c r="J11" s="40">
        <f>IFERROR(K11/$B$6,0)</f>
        <v>0</v>
      </c>
      <c r="K11" s="40">
        <f>SUM(K12:K23)</f>
        <v>0</v>
      </c>
      <c r="M11" s="294" t="s">
        <v>753</v>
      </c>
      <c r="N11" s="295" t="s">
        <v>754</v>
      </c>
      <c r="O11" s="296" t="s">
        <v>755</v>
      </c>
      <c r="AD11" s="144">
        <f>$B$3</f>
        <v>0</v>
      </c>
      <c r="AE11" s="176"/>
      <c r="AF11" s="177"/>
      <c r="AG11" s="177">
        <f>IFERROR(AH11/AF$3,0)</f>
        <v>0</v>
      </c>
      <c r="AH11" s="178">
        <f>SUM(AH12:AH23)</f>
        <v>0</v>
      </c>
      <c r="AI11" s="176"/>
      <c r="AJ11" s="177"/>
      <c r="AK11" s="177">
        <f>IFERROR(AL11/AJ$3,0)</f>
        <v>0</v>
      </c>
      <c r="AL11" s="178">
        <f>SUM(AL12:AL23)</f>
        <v>0</v>
      </c>
      <c r="AM11" s="176"/>
      <c r="AN11" s="177"/>
      <c r="AO11" s="177">
        <f>IFERROR(AP11/AN$3,0)</f>
        <v>0</v>
      </c>
      <c r="AP11" s="178">
        <f>SUM(AP12:AP23)</f>
        <v>0</v>
      </c>
      <c r="AQ11" s="176"/>
      <c r="AR11" s="177"/>
      <c r="AS11" s="177">
        <f>IFERROR(AT11/AR$3,0)</f>
        <v>0</v>
      </c>
      <c r="AT11" s="178">
        <f>SUM(AT12:AT23)</f>
        <v>0</v>
      </c>
      <c r="AU11" s="176"/>
      <c r="AV11" s="177"/>
      <c r="AW11" s="177">
        <f>IFERROR(AX11/AV$3,0)</f>
        <v>0</v>
      </c>
      <c r="AX11" s="178">
        <f>SUM(AX12:AX23)</f>
        <v>0</v>
      </c>
      <c r="AY11" s="176"/>
      <c r="AZ11" s="177"/>
      <c r="BA11" s="177">
        <f>IFERROR(BB11/AZ$3,0)</f>
        <v>0</v>
      </c>
      <c r="BB11" s="178">
        <f>SUM(BB12:BB23)</f>
        <v>0</v>
      </c>
      <c r="BC11" s="176"/>
      <c r="BD11" s="177"/>
      <c r="BE11" s="177">
        <f>IFERROR(BF11/BD$3,0)</f>
        <v>0</v>
      </c>
      <c r="BF11" s="178">
        <f>SUM(BF12:BF23)</f>
        <v>0</v>
      </c>
      <c r="BG11" s="176"/>
      <c r="BH11" s="177"/>
      <c r="BI11" s="177">
        <f>IFERROR(BJ11/BH$3,0)</f>
        <v>0</v>
      </c>
      <c r="BJ11" s="178">
        <f>SUM(BJ12:BJ23)</f>
        <v>0</v>
      </c>
      <c r="BK11" s="176"/>
      <c r="BL11" s="177"/>
      <c r="BM11" s="177">
        <f>IFERROR(BN11/BL$3,0)</f>
        <v>0</v>
      </c>
      <c r="BN11" s="178">
        <f>SUM(BN12:BN23)</f>
        <v>0</v>
      </c>
      <c r="BO11" s="176"/>
      <c r="BP11" s="177"/>
      <c r="BQ11" s="177">
        <f>IFERROR(BR11/BP$3,0)</f>
        <v>0</v>
      </c>
      <c r="BR11" s="178">
        <f>SUM(BR12:BR23)</f>
        <v>0</v>
      </c>
      <c r="BS11" s="176"/>
      <c r="BT11" s="177"/>
      <c r="BU11" s="177">
        <f>IFERROR(BV11/BT$3,0)</f>
        <v>0</v>
      </c>
      <c r="BV11" s="178">
        <f>SUM(BV12:BV23)</f>
        <v>0</v>
      </c>
      <c r="BW11" s="176"/>
      <c r="BX11" s="177"/>
      <c r="BY11" s="177">
        <f>IFERROR(BZ11/BX$3,0)</f>
        <v>0</v>
      </c>
      <c r="BZ11" s="178">
        <f>SUM(BZ12:BZ23)</f>
        <v>0</v>
      </c>
      <c r="CA11" s="176"/>
      <c r="CB11" s="177"/>
      <c r="CC11" s="177">
        <f>IFERROR(CD11/CB$3,0)</f>
        <v>0</v>
      </c>
      <c r="CD11" s="178">
        <f>SUM(CD12:CD23)</f>
        <v>0</v>
      </c>
    </row>
    <row r="12" spans="1:82" x14ac:dyDescent="0.3">
      <c r="B12" s="53"/>
      <c r="C12" s="53" t="str">
        <f t="shared" si="0"/>
        <v>CPU_</v>
      </c>
      <c r="D12" s="278">
        <f t="shared" si="1"/>
        <v>0</v>
      </c>
      <c r="E12" s="278">
        <f t="shared" si="2"/>
        <v>0</v>
      </c>
      <c r="F12" s="46"/>
      <c r="G12" s="28" t="str">
        <f>IFERROR(VLOOKUP(F12,Tabela7[[RECURSO]:[CUSTO]],2,FALSE),"")</f>
        <v/>
      </c>
      <c r="H12" s="92"/>
      <c r="I12" s="90"/>
      <c r="J12" s="45">
        <f>IFERROR(VLOOKUP(F12,Tabela7[[RECURSO]:[CUSTO]],3,FALSE),0)</f>
        <v>0</v>
      </c>
      <c r="K12" s="45">
        <f>I12*J12*CPU[[#This Row],[Nº]]</f>
        <v>0</v>
      </c>
      <c r="M12" s="31"/>
      <c r="N12" s="297"/>
      <c r="O12" s="60">
        <f>IFERROR($B$6/(H12*I12*N12),0)</f>
        <v>0</v>
      </c>
      <c r="AD12" s="144">
        <f t="shared" ref="AD12:AD62" si="3">$B$3</f>
        <v>0</v>
      </c>
      <c r="AE12" s="179"/>
      <c r="AF12" s="180">
        <f>AJ12+AN12+AR12+AV12+AZ12+BD12+BH12+BL12+BP12+BT12+BX12+CB12</f>
        <v>0</v>
      </c>
      <c r="AG12" s="180">
        <f>IFERROR(AH12/AF12,0)</f>
        <v>0</v>
      </c>
      <c r="AH12" s="181">
        <f>AL12+AP12+AT12+AX12+BB12+BF12+BJ12+BN12+BR12+BV12+BZ12+CD12</f>
        <v>0</v>
      </c>
      <c r="AI12" s="182"/>
      <c r="AJ12" s="90"/>
      <c r="AK12" s="90"/>
      <c r="AL12" s="183">
        <f>AJ12*AK12</f>
        <v>0</v>
      </c>
      <c r="AM12" s="182"/>
      <c r="AN12" s="90"/>
      <c r="AO12" s="90"/>
      <c r="AP12" s="183">
        <f t="shared" ref="AP12:AP23" si="4">AN12*AO12</f>
        <v>0</v>
      </c>
      <c r="AQ12" s="182"/>
      <c r="AR12" s="90"/>
      <c r="AS12" s="90"/>
      <c r="AT12" s="183">
        <f t="shared" ref="AT12:AT23" si="5">AR12*AS12</f>
        <v>0</v>
      </c>
      <c r="AU12" s="182"/>
      <c r="AV12" s="90"/>
      <c r="AW12" s="90"/>
      <c r="AX12" s="183">
        <f t="shared" ref="AX12:AX23" si="6">AV12*AW12</f>
        <v>0</v>
      </c>
      <c r="AY12" s="182"/>
      <c r="AZ12" s="90"/>
      <c r="BA12" s="90"/>
      <c r="BB12" s="183">
        <f t="shared" ref="BB12:BB23" si="7">AZ12*BA12</f>
        <v>0</v>
      </c>
      <c r="BC12" s="182"/>
      <c r="BD12" s="90"/>
      <c r="BE12" s="90"/>
      <c r="BF12" s="183">
        <f t="shared" ref="BF12:BF23" si="8">BD12*BE12</f>
        <v>0</v>
      </c>
      <c r="BG12" s="182"/>
      <c r="BH12" s="90"/>
      <c r="BI12" s="90"/>
      <c r="BJ12" s="183">
        <f t="shared" ref="BJ12:BJ23" si="9">BH12*BI12</f>
        <v>0</v>
      </c>
      <c r="BK12" s="182"/>
      <c r="BL12" s="90"/>
      <c r="BM12" s="90"/>
      <c r="BN12" s="183">
        <f t="shared" ref="BN12:BN23" si="10">BL12*BM12</f>
        <v>0</v>
      </c>
      <c r="BO12" s="182"/>
      <c r="BP12" s="90"/>
      <c r="BQ12" s="90"/>
      <c r="BR12" s="183">
        <f t="shared" ref="BR12:BR23" si="11">BP12*BQ12</f>
        <v>0</v>
      </c>
      <c r="BS12" s="182"/>
      <c r="BT12" s="90"/>
      <c r="BU12" s="90"/>
      <c r="BV12" s="183">
        <f t="shared" ref="BV12:BV23" si="12">BT12*BU12</f>
        <v>0</v>
      </c>
      <c r="BW12" s="182"/>
      <c r="BX12" s="90"/>
      <c r="BY12" s="90"/>
      <c r="BZ12" s="183">
        <f t="shared" ref="BZ12:BZ23" si="13">BX12*BY12</f>
        <v>0</v>
      </c>
      <c r="CA12" s="182"/>
      <c r="CB12" s="90"/>
      <c r="CC12" s="90"/>
      <c r="CD12" s="183">
        <f t="shared" ref="CD12:CD23" si="14">CB12*CC12</f>
        <v>0</v>
      </c>
    </row>
    <row r="13" spans="1:82" x14ac:dyDescent="0.3">
      <c r="B13" s="53"/>
      <c r="C13" s="53" t="str">
        <f t="shared" si="0"/>
        <v>CPU_</v>
      </c>
      <c r="D13" s="278">
        <f t="shared" si="1"/>
        <v>0</v>
      </c>
      <c r="E13" s="278">
        <f t="shared" si="2"/>
        <v>0</v>
      </c>
      <c r="F13" s="1"/>
      <c r="G13" s="28" t="str">
        <f>IFERROR(VLOOKUP(F13,Tabela7[[RECURSO]:[CUSTO]],2,FALSE),"")</f>
        <v/>
      </c>
      <c r="H13" s="92"/>
      <c r="I13" s="90"/>
      <c r="J13" s="45">
        <f>IFERROR(VLOOKUP(F13,Tabela7[[RECURSO]:[CUSTO]],3,FALSE),0)</f>
        <v>0</v>
      </c>
      <c r="K13" s="45">
        <f>I13*J13*CPU[[#This Row],[Nº]]</f>
        <v>0</v>
      </c>
      <c r="M13" s="31"/>
      <c r="N13" s="297"/>
      <c r="O13" s="60">
        <f t="shared" ref="O13:O23" si="15">IFERROR($B$6/(H13*I13),0)</f>
        <v>0</v>
      </c>
      <c r="AD13" s="144">
        <f t="shared" si="3"/>
        <v>0</v>
      </c>
      <c r="AE13" s="179"/>
      <c r="AF13" s="180">
        <f t="shared" ref="AF13:AF23" si="16">AJ13+AN13+AR13+AV13+AZ13+BD13+BH13+BL13+BP13+BT13+BX13+CB13</f>
        <v>0</v>
      </c>
      <c r="AG13" s="180">
        <f t="shared" ref="AG13:AG62" si="17">IFERROR(AH13/AF13,0)</f>
        <v>0</v>
      </c>
      <c r="AH13" s="181">
        <f t="shared" ref="AH13:AH23" si="18">AL13+AP13+AT13+AX13+BB13+BF13+BJ13+BN13+BR13+BV13+BZ13+CD13</f>
        <v>0</v>
      </c>
      <c r="AI13" s="182"/>
      <c r="AJ13" s="90"/>
      <c r="AK13" s="90"/>
      <c r="AL13" s="183">
        <f t="shared" ref="AL13:AL23" si="19">AJ13*AK13</f>
        <v>0</v>
      </c>
      <c r="AM13" s="182"/>
      <c r="AN13" s="90"/>
      <c r="AO13" s="90"/>
      <c r="AP13" s="183">
        <f t="shared" si="4"/>
        <v>0</v>
      </c>
      <c r="AQ13" s="182"/>
      <c r="AR13" s="90"/>
      <c r="AS13" s="90"/>
      <c r="AT13" s="183">
        <f t="shared" si="5"/>
        <v>0</v>
      </c>
      <c r="AU13" s="182"/>
      <c r="AV13" s="90"/>
      <c r="AW13" s="90"/>
      <c r="AX13" s="183">
        <f t="shared" si="6"/>
        <v>0</v>
      </c>
      <c r="AY13" s="182"/>
      <c r="AZ13" s="90"/>
      <c r="BA13" s="90"/>
      <c r="BB13" s="183">
        <f t="shared" si="7"/>
        <v>0</v>
      </c>
      <c r="BC13" s="182"/>
      <c r="BD13" s="90"/>
      <c r="BE13" s="90"/>
      <c r="BF13" s="183">
        <f t="shared" si="8"/>
        <v>0</v>
      </c>
      <c r="BG13" s="182"/>
      <c r="BH13" s="90"/>
      <c r="BI13" s="90"/>
      <c r="BJ13" s="183">
        <f t="shared" si="9"/>
        <v>0</v>
      </c>
      <c r="BK13" s="182"/>
      <c r="BL13" s="90"/>
      <c r="BM13" s="90"/>
      <c r="BN13" s="183">
        <f t="shared" si="10"/>
        <v>0</v>
      </c>
      <c r="BO13" s="182"/>
      <c r="BP13" s="90"/>
      <c r="BQ13" s="90"/>
      <c r="BR13" s="183">
        <f t="shared" si="11"/>
        <v>0</v>
      </c>
      <c r="BS13" s="182"/>
      <c r="BT13" s="90"/>
      <c r="BU13" s="90"/>
      <c r="BV13" s="183">
        <f t="shared" si="12"/>
        <v>0</v>
      </c>
      <c r="BW13" s="182"/>
      <c r="BX13" s="90"/>
      <c r="BY13" s="90"/>
      <c r="BZ13" s="183">
        <f t="shared" si="13"/>
        <v>0</v>
      </c>
      <c r="CA13" s="182"/>
      <c r="CB13" s="90"/>
      <c r="CC13" s="90"/>
      <c r="CD13" s="183">
        <f t="shared" si="14"/>
        <v>0</v>
      </c>
    </row>
    <row r="14" spans="1:82" x14ac:dyDescent="0.3">
      <c r="B14" s="53"/>
      <c r="C14" s="53" t="str">
        <f t="shared" si="0"/>
        <v>CPU_</v>
      </c>
      <c r="D14" s="278">
        <f t="shared" si="1"/>
        <v>0</v>
      </c>
      <c r="E14" s="278">
        <f t="shared" si="2"/>
        <v>0</v>
      </c>
      <c r="F14" s="1"/>
      <c r="G14" s="28" t="str">
        <f>IFERROR(VLOOKUP(F14,Tabela7[[RECURSO]:[CUSTO]],2,FALSE),"")</f>
        <v/>
      </c>
      <c r="H14" s="92"/>
      <c r="I14" s="90"/>
      <c r="J14" s="45">
        <f>IFERROR(VLOOKUP(F14,Tabela7[[RECURSO]:[CUSTO]],3,FALSE),0)</f>
        <v>0</v>
      </c>
      <c r="K14" s="45">
        <f>I14*J14*CPU[[#This Row],[Nº]]</f>
        <v>0</v>
      </c>
      <c r="M14" s="31"/>
      <c r="N14" s="297"/>
      <c r="O14" s="60">
        <f t="shared" si="15"/>
        <v>0</v>
      </c>
      <c r="AD14" s="144">
        <f t="shared" si="3"/>
        <v>0</v>
      </c>
      <c r="AE14" s="179"/>
      <c r="AF14" s="180">
        <f t="shared" si="16"/>
        <v>0</v>
      </c>
      <c r="AG14" s="180">
        <f t="shared" si="17"/>
        <v>0</v>
      </c>
      <c r="AH14" s="181">
        <f t="shared" si="18"/>
        <v>0</v>
      </c>
      <c r="AI14" s="182"/>
      <c r="AJ14" s="90"/>
      <c r="AK14" s="90"/>
      <c r="AL14" s="183">
        <f t="shared" si="19"/>
        <v>0</v>
      </c>
      <c r="AM14" s="182"/>
      <c r="AN14" s="90"/>
      <c r="AO14" s="90"/>
      <c r="AP14" s="183">
        <f t="shared" si="4"/>
        <v>0</v>
      </c>
      <c r="AQ14" s="182"/>
      <c r="AR14" s="90"/>
      <c r="AS14" s="90"/>
      <c r="AT14" s="183">
        <f t="shared" si="5"/>
        <v>0</v>
      </c>
      <c r="AU14" s="182"/>
      <c r="AV14" s="90"/>
      <c r="AW14" s="90"/>
      <c r="AX14" s="183">
        <f t="shared" si="6"/>
        <v>0</v>
      </c>
      <c r="AY14" s="182"/>
      <c r="AZ14" s="90"/>
      <c r="BA14" s="90"/>
      <c r="BB14" s="183">
        <f t="shared" si="7"/>
        <v>0</v>
      </c>
      <c r="BC14" s="182"/>
      <c r="BD14" s="90"/>
      <c r="BE14" s="90"/>
      <c r="BF14" s="183">
        <f t="shared" si="8"/>
        <v>0</v>
      </c>
      <c r="BG14" s="182"/>
      <c r="BH14" s="90"/>
      <c r="BI14" s="90"/>
      <c r="BJ14" s="183">
        <f t="shared" si="9"/>
        <v>0</v>
      </c>
      <c r="BK14" s="182"/>
      <c r="BL14" s="90"/>
      <c r="BM14" s="90"/>
      <c r="BN14" s="183">
        <f t="shared" si="10"/>
        <v>0</v>
      </c>
      <c r="BO14" s="182"/>
      <c r="BP14" s="90"/>
      <c r="BQ14" s="90"/>
      <c r="BR14" s="183">
        <f t="shared" si="11"/>
        <v>0</v>
      </c>
      <c r="BS14" s="182"/>
      <c r="BT14" s="90"/>
      <c r="BU14" s="90"/>
      <c r="BV14" s="183">
        <f t="shared" si="12"/>
        <v>0</v>
      </c>
      <c r="BW14" s="182"/>
      <c r="BX14" s="90"/>
      <c r="BY14" s="90"/>
      <c r="BZ14" s="183">
        <f t="shared" si="13"/>
        <v>0</v>
      </c>
      <c r="CA14" s="182"/>
      <c r="CB14" s="90"/>
      <c r="CC14" s="90"/>
      <c r="CD14" s="183">
        <f t="shared" si="14"/>
        <v>0</v>
      </c>
    </row>
    <row r="15" spans="1:82" x14ac:dyDescent="0.3">
      <c r="B15" s="153"/>
      <c r="C15" s="153" t="str">
        <f t="shared" si="0"/>
        <v>CPU_</v>
      </c>
      <c r="D15" s="279">
        <f t="shared" si="1"/>
        <v>0</v>
      </c>
      <c r="E15" s="279">
        <f t="shared" si="2"/>
        <v>0</v>
      </c>
      <c r="F15" s="1"/>
      <c r="G15" s="28" t="str">
        <f>IFERROR(VLOOKUP(F15,Tabela7[[RECURSO]:[CUSTO]],2,FALSE),"")</f>
        <v/>
      </c>
      <c r="H15" s="92"/>
      <c r="I15" s="90"/>
      <c r="J15" s="45">
        <f>IFERROR(VLOOKUP(F15,Tabela7[[RECURSO]:[CUSTO]],3,FALSE),0)</f>
        <v>0</v>
      </c>
      <c r="K15" s="45">
        <f>I15*J15*CPU[[#This Row],[Nº]]</f>
        <v>0</v>
      </c>
      <c r="M15" s="31"/>
      <c r="N15" s="297"/>
      <c r="O15" s="60">
        <f t="shared" si="15"/>
        <v>0</v>
      </c>
      <c r="AD15" s="144">
        <f t="shared" si="3"/>
        <v>0</v>
      </c>
      <c r="AE15" s="179"/>
      <c r="AF15" s="180">
        <f t="shared" si="16"/>
        <v>0</v>
      </c>
      <c r="AG15" s="180">
        <f t="shared" si="17"/>
        <v>0</v>
      </c>
      <c r="AH15" s="181">
        <f t="shared" si="18"/>
        <v>0</v>
      </c>
      <c r="AI15" s="182"/>
      <c r="AJ15" s="90"/>
      <c r="AK15" s="90"/>
      <c r="AL15" s="183">
        <f t="shared" si="19"/>
        <v>0</v>
      </c>
      <c r="AM15" s="182"/>
      <c r="AN15" s="90"/>
      <c r="AO15" s="90"/>
      <c r="AP15" s="183">
        <f t="shared" si="4"/>
        <v>0</v>
      </c>
      <c r="AQ15" s="182"/>
      <c r="AR15" s="90"/>
      <c r="AS15" s="90"/>
      <c r="AT15" s="183">
        <f t="shared" si="5"/>
        <v>0</v>
      </c>
      <c r="AU15" s="182"/>
      <c r="AV15" s="90"/>
      <c r="AW15" s="90"/>
      <c r="AX15" s="183">
        <f t="shared" si="6"/>
        <v>0</v>
      </c>
      <c r="AY15" s="182"/>
      <c r="AZ15" s="90"/>
      <c r="BA15" s="90"/>
      <c r="BB15" s="183">
        <f t="shared" si="7"/>
        <v>0</v>
      </c>
      <c r="BC15" s="182"/>
      <c r="BD15" s="90"/>
      <c r="BE15" s="90"/>
      <c r="BF15" s="183">
        <f t="shared" si="8"/>
        <v>0</v>
      </c>
      <c r="BG15" s="182"/>
      <c r="BH15" s="90"/>
      <c r="BI15" s="90"/>
      <c r="BJ15" s="183">
        <f t="shared" si="9"/>
        <v>0</v>
      </c>
      <c r="BK15" s="182"/>
      <c r="BL15" s="90"/>
      <c r="BM15" s="90"/>
      <c r="BN15" s="183">
        <f t="shared" si="10"/>
        <v>0</v>
      </c>
      <c r="BO15" s="182"/>
      <c r="BP15" s="90"/>
      <c r="BQ15" s="90"/>
      <c r="BR15" s="183">
        <f t="shared" si="11"/>
        <v>0</v>
      </c>
      <c r="BS15" s="182"/>
      <c r="BT15" s="90"/>
      <c r="BU15" s="90"/>
      <c r="BV15" s="183">
        <f t="shared" si="12"/>
        <v>0</v>
      </c>
      <c r="BW15" s="182"/>
      <c r="BX15" s="90"/>
      <c r="BY15" s="90"/>
      <c r="BZ15" s="183">
        <f t="shared" si="13"/>
        <v>0</v>
      </c>
      <c r="CA15" s="182"/>
      <c r="CB15" s="90"/>
      <c r="CC15" s="90"/>
      <c r="CD15" s="183">
        <f t="shared" si="14"/>
        <v>0</v>
      </c>
    </row>
    <row r="16" spans="1:82" x14ac:dyDescent="0.3">
      <c r="B16" s="53"/>
      <c r="C16" s="53" t="str">
        <f t="shared" si="0"/>
        <v>CPU_</v>
      </c>
      <c r="D16" s="278">
        <f t="shared" si="1"/>
        <v>0</v>
      </c>
      <c r="E16" s="278">
        <f t="shared" si="2"/>
        <v>0</v>
      </c>
      <c r="F16" s="1"/>
      <c r="G16" s="28" t="str">
        <f>IFERROR(VLOOKUP(F16,Tabela7[[RECURSO]:[CUSTO]],2,FALSE),"")</f>
        <v/>
      </c>
      <c r="H16" s="92"/>
      <c r="I16" s="90"/>
      <c r="J16" s="45">
        <f>IFERROR(VLOOKUP(F16,Tabela7[[RECURSO]:[CUSTO]],3,FALSE),0)</f>
        <v>0</v>
      </c>
      <c r="K16" s="45">
        <f>I16*J16*CPU[[#This Row],[Nº]]</f>
        <v>0</v>
      </c>
      <c r="M16" s="31"/>
      <c r="N16" s="297"/>
      <c r="O16" s="60">
        <f t="shared" si="15"/>
        <v>0</v>
      </c>
      <c r="AD16" s="144">
        <f t="shared" si="3"/>
        <v>0</v>
      </c>
      <c r="AE16" s="179"/>
      <c r="AF16" s="180">
        <f t="shared" si="16"/>
        <v>0</v>
      </c>
      <c r="AG16" s="180">
        <f t="shared" si="17"/>
        <v>0</v>
      </c>
      <c r="AH16" s="181">
        <f t="shared" si="18"/>
        <v>0</v>
      </c>
      <c r="AI16" s="182"/>
      <c r="AJ16" s="90"/>
      <c r="AK16" s="90"/>
      <c r="AL16" s="183">
        <f t="shared" si="19"/>
        <v>0</v>
      </c>
      <c r="AM16" s="182"/>
      <c r="AN16" s="90"/>
      <c r="AO16" s="90"/>
      <c r="AP16" s="183">
        <f t="shared" si="4"/>
        <v>0</v>
      </c>
      <c r="AQ16" s="182"/>
      <c r="AR16" s="90"/>
      <c r="AS16" s="90"/>
      <c r="AT16" s="183">
        <f t="shared" si="5"/>
        <v>0</v>
      </c>
      <c r="AU16" s="182"/>
      <c r="AV16" s="90"/>
      <c r="AW16" s="90"/>
      <c r="AX16" s="183">
        <f t="shared" si="6"/>
        <v>0</v>
      </c>
      <c r="AY16" s="182"/>
      <c r="AZ16" s="90"/>
      <c r="BA16" s="90"/>
      <c r="BB16" s="183">
        <f t="shared" si="7"/>
        <v>0</v>
      </c>
      <c r="BC16" s="182"/>
      <c r="BD16" s="90"/>
      <c r="BE16" s="90"/>
      <c r="BF16" s="183">
        <f t="shared" si="8"/>
        <v>0</v>
      </c>
      <c r="BG16" s="182"/>
      <c r="BH16" s="90"/>
      <c r="BI16" s="90"/>
      <c r="BJ16" s="183">
        <f t="shared" si="9"/>
        <v>0</v>
      </c>
      <c r="BK16" s="182"/>
      <c r="BL16" s="90"/>
      <c r="BM16" s="90"/>
      <c r="BN16" s="183">
        <f t="shared" si="10"/>
        <v>0</v>
      </c>
      <c r="BO16" s="182"/>
      <c r="BP16" s="90"/>
      <c r="BQ16" s="90"/>
      <c r="BR16" s="183">
        <f t="shared" si="11"/>
        <v>0</v>
      </c>
      <c r="BS16" s="182"/>
      <c r="BT16" s="90"/>
      <c r="BU16" s="90"/>
      <c r="BV16" s="183">
        <f t="shared" si="12"/>
        <v>0</v>
      </c>
      <c r="BW16" s="182"/>
      <c r="BX16" s="90"/>
      <c r="BY16" s="90"/>
      <c r="BZ16" s="183">
        <f t="shared" si="13"/>
        <v>0</v>
      </c>
      <c r="CA16" s="182"/>
      <c r="CB16" s="90"/>
      <c r="CC16" s="90"/>
      <c r="CD16" s="183">
        <f t="shared" si="14"/>
        <v>0</v>
      </c>
    </row>
    <row r="17" spans="2:82" x14ac:dyDescent="0.3">
      <c r="B17" s="53"/>
      <c r="C17" s="53" t="str">
        <f t="shared" si="0"/>
        <v>CPU_</v>
      </c>
      <c r="D17" s="278">
        <f t="shared" si="1"/>
        <v>0</v>
      </c>
      <c r="E17" s="278">
        <f t="shared" si="2"/>
        <v>0</v>
      </c>
      <c r="F17" s="1"/>
      <c r="G17" s="28" t="str">
        <f>IFERROR(VLOOKUP(F17,Tabela7[[RECURSO]:[CUSTO]],2,FALSE),"")</f>
        <v/>
      </c>
      <c r="H17" s="92"/>
      <c r="I17" s="90"/>
      <c r="J17" s="45">
        <f>IFERROR(VLOOKUP(F17,Tabela7[[RECURSO]:[CUSTO]],3,FALSE),0)</f>
        <v>0</v>
      </c>
      <c r="K17" s="45">
        <f>I17*J17*CPU[[#This Row],[Nº]]</f>
        <v>0</v>
      </c>
      <c r="M17" s="31"/>
      <c r="N17" s="297"/>
      <c r="O17" s="60">
        <f t="shared" si="15"/>
        <v>0</v>
      </c>
      <c r="AD17" s="144">
        <f t="shared" si="3"/>
        <v>0</v>
      </c>
      <c r="AE17" s="179"/>
      <c r="AF17" s="180">
        <f t="shared" si="16"/>
        <v>0</v>
      </c>
      <c r="AG17" s="180">
        <f t="shared" si="17"/>
        <v>0</v>
      </c>
      <c r="AH17" s="181">
        <f t="shared" si="18"/>
        <v>0</v>
      </c>
      <c r="AI17" s="182"/>
      <c r="AJ17" s="90"/>
      <c r="AK17" s="90"/>
      <c r="AL17" s="183">
        <f t="shared" si="19"/>
        <v>0</v>
      </c>
      <c r="AM17" s="182"/>
      <c r="AN17" s="90"/>
      <c r="AO17" s="90"/>
      <c r="AP17" s="183">
        <f t="shared" si="4"/>
        <v>0</v>
      </c>
      <c r="AQ17" s="182"/>
      <c r="AR17" s="90"/>
      <c r="AS17" s="90"/>
      <c r="AT17" s="183">
        <f t="shared" si="5"/>
        <v>0</v>
      </c>
      <c r="AU17" s="182"/>
      <c r="AV17" s="90"/>
      <c r="AW17" s="90"/>
      <c r="AX17" s="183">
        <f t="shared" si="6"/>
        <v>0</v>
      </c>
      <c r="AY17" s="182"/>
      <c r="AZ17" s="90"/>
      <c r="BA17" s="90"/>
      <c r="BB17" s="183">
        <f t="shared" si="7"/>
        <v>0</v>
      </c>
      <c r="BC17" s="182"/>
      <c r="BD17" s="90"/>
      <c r="BE17" s="90"/>
      <c r="BF17" s="183">
        <f t="shared" si="8"/>
        <v>0</v>
      </c>
      <c r="BG17" s="182"/>
      <c r="BH17" s="90"/>
      <c r="BI17" s="90"/>
      <c r="BJ17" s="183">
        <f t="shared" si="9"/>
        <v>0</v>
      </c>
      <c r="BK17" s="182"/>
      <c r="BL17" s="90"/>
      <c r="BM17" s="90"/>
      <c r="BN17" s="183">
        <f t="shared" si="10"/>
        <v>0</v>
      </c>
      <c r="BO17" s="182"/>
      <c r="BP17" s="90"/>
      <c r="BQ17" s="90"/>
      <c r="BR17" s="183">
        <f t="shared" si="11"/>
        <v>0</v>
      </c>
      <c r="BS17" s="182"/>
      <c r="BT17" s="90"/>
      <c r="BU17" s="90"/>
      <c r="BV17" s="183">
        <f t="shared" si="12"/>
        <v>0</v>
      </c>
      <c r="BW17" s="182"/>
      <c r="BX17" s="90"/>
      <c r="BY17" s="90"/>
      <c r="BZ17" s="183">
        <f t="shared" si="13"/>
        <v>0</v>
      </c>
      <c r="CA17" s="182"/>
      <c r="CB17" s="90"/>
      <c r="CC17" s="90"/>
      <c r="CD17" s="183">
        <f t="shared" si="14"/>
        <v>0</v>
      </c>
    </row>
    <row r="18" spans="2:82" x14ac:dyDescent="0.3">
      <c r="B18" s="53"/>
      <c r="C18" s="53" t="str">
        <f t="shared" si="0"/>
        <v>CPU_</v>
      </c>
      <c r="D18" s="278">
        <f t="shared" si="1"/>
        <v>0</v>
      </c>
      <c r="E18" s="278">
        <f t="shared" si="2"/>
        <v>0</v>
      </c>
      <c r="F18" s="1"/>
      <c r="G18" s="28" t="str">
        <f>IFERROR(VLOOKUP(F18,Tabela7[[RECURSO]:[CUSTO]],2,FALSE),"")</f>
        <v/>
      </c>
      <c r="H18" s="92"/>
      <c r="I18" s="90"/>
      <c r="J18" s="45">
        <f>IFERROR(VLOOKUP(F18,Tabela7[[RECURSO]:[CUSTO]],3,FALSE),0)</f>
        <v>0</v>
      </c>
      <c r="K18" s="45">
        <f>I18*J18*CPU[[#This Row],[Nº]]</f>
        <v>0</v>
      </c>
      <c r="M18" s="31"/>
      <c r="N18" s="297"/>
      <c r="O18" s="60">
        <f t="shared" si="15"/>
        <v>0</v>
      </c>
      <c r="AD18" s="144">
        <f t="shared" si="3"/>
        <v>0</v>
      </c>
      <c r="AE18" s="179"/>
      <c r="AF18" s="180">
        <f t="shared" si="16"/>
        <v>0</v>
      </c>
      <c r="AG18" s="180">
        <f t="shared" si="17"/>
        <v>0</v>
      </c>
      <c r="AH18" s="181">
        <f t="shared" si="18"/>
        <v>0</v>
      </c>
      <c r="AI18" s="182"/>
      <c r="AJ18" s="90"/>
      <c r="AK18" s="90"/>
      <c r="AL18" s="183">
        <f t="shared" si="19"/>
        <v>0</v>
      </c>
      <c r="AM18" s="182"/>
      <c r="AN18" s="90"/>
      <c r="AO18" s="90"/>
      <c r="AP18" s="183">
        <f t="shared" si="4"/>
        <v>0</v>
      </c>
      <c r="AQ18" s="182"/>
      <c r="AR18" s="90"/>
      <c r="AS18" s="90"/>
      <c r="AT18" s="183">
        <f t="shared" si="5"/>
        <v>0</v>
      </c>
      <c r="AU18" s="182"/>
      <c r="AV18" s="90"/>
      <c r="AW18" s="90"/>
      <c r="AX18" s="183">
        <f t="shared" si="6"/>
        <v>0</v>
      </c>
      <c r="AY18" s="182"/>
      <c r="AZ18" s="90"/>
      <c r="BA18" s="90"/>
      <c r="BB18" s="183">
        <f t="shared" si="7"/>
        <v>0</v>
      </c>
      <c r="BC18" s="182"/>
      <c r="BD18" s="90"/>
      <c r="BE18" s="90"/>
      <c r="BF18" s="183">
        <f t="shared" si="8"/>
        <v>0</v>
      </c>
      <c r="BG18" s="182"/>
      <c r="BH18" s="90"/>
      <c r="BI18" s="90"/>
      <c r="BJ18" s="183">
        <f t="shared" si="9"/>
        <v>0</v>
      </c>
      <c r="BK18" s="182"/>
      <c r="BL18" s="90"/>
      <c r="BM18" s="90"/>
      <c r="BN18" s="183">
        <f t="shared" si="10"/>
        <v>0</v>
      </c>
      <c r="BO18" s="182"/>
      <c r="BP18" s="90"/>
      <c r="BQ18" s="90"/>
      <c r="BR18" s="183">
        <f t="shared" si="11"/>
        <v>0</v>
      </c>
      <c r="BS18" s="182"/>
      <c r="BT18" s="90"/>
      <c r="BU18" s="90"/>
      <c r="BV18" s="183">
        <f t="shared" si="12"/>
        <v>0</v>
      </c>
      <c r="BW18" s="182"/>
      <c r="BX18" s="90"/>
      <c r="BY18" s="90"/>
      <c r="BZ18" s="183">
        <f t="shared" si="13"/>
        <v>0</v>
      </c>
      <c r="CA18" s="182"/>
      <c r="CB18" s="90"/>
      <c r="CC18" s="90"/>
      <c r="CD18" s="183">
        <f t="shared" si="14"/>
        <v>0</v>
      </c>
    </row>
    <row r="19" spans="2:82" x14ac:dyDescent="0.3">
      <c r="B19" s="53"/>
      <c r="C19" s="53" t="str">
        <f t="shared" si="0"/>
        <v>CPU_</v>
      </c>
      <c r="D19" s="278">
        <f t="shared" si="1"/>
        <v>0</v>
      </c>
      <c r="E19" s="278">
        <f t="shared" si="2"/>
        <v>0</v>
      </c>
      <c r="F19" s="1"/>
      <c r="G19" s="28" t="str">
        <f>IFERROR(VLOOKUP(F19,Tabela7[[RECURSO]:[CUSTO]],2,FALSE),"")</f>
        <v/>
      </c>
      <c r="H19" s="92"/>
      <c r="I19" s="90"/>
      <c r="J19" s="45">
        <f>IFERROR(VLOOKUP(F19,Tabela7[[RECURSO]:[CUSTO]],3,FALSE),0)</f>
        <v>0</v>
      </c>
      <c r="K19" s="45">
        <f>I19*J19*CPU[[#This Row],[Nº]]</f>
        <v>0</v>
      </c>
      <c r="M19" s="31"/>
      <c r="N19" s="297"/>
      <c r="O19" s="60">
        <f t="shared" si="15"/>
        <v>0</v>
      </c>
      <c r="AD19" s="144">
        <f t="shared" si="3"/>
        <v>0</v>
      </c>
      <c r="AE19" s="179"/>
      <c r="AF19" s="180">
        <f t="shared" si="16"/>
        <v>0</v>
      </c>
      <c r="AG19" s="180">
        <f t="shared" si="17"/>
        <v>0</v>
      </c>
      <c r="AH19" s="181">
        <f t="shared" si="18"/>
        <v>0</v>
      </c>
      <c r="AI19" s="182"/>
      <c r="AJ19" s="90"/>
      <c r="AK19" s="90"/>
      <c r="AL19" s="183">
        <f t="shared" si="19"/>
        <v>0</v>
      </c>
      <c r="AM19" s="182"/>
      <c r="AN19" s="90"/>
      <c r="AO19" s="90"/>
      <c r="AP19" s="183">
        <f t="shared" si="4"/>
        <v>0</v>
      </c>
      <c r="AQ19" s="182"/>
      <c r="AR19" s="90"/>
      <c r="AS19" s="90"/>
      <c r="AT19" s="183">
        <f t="shared" si="5"/>
        <v>0</v>
      </c>
      <c r="AU19" s="182"/>
      <c r="AV19" s="90"/>
      <c r="AW19" s="90"/>
      <c r="AX19" s="183">
        <f t="shared" si="6"/>
        <v>0</v>
      </c>
      <c r="AY19" s="182"/>
      <c r="AZ19" s="90"/>
      <c r="BA19" s="90"/>
      <c r="BB19" s="183">
        <f t="shared" si="7"/>
        <v>0</v>
      </c>
      <c r="BC19" s="182"/>
      <c r="BD19" s="90"/>
      <c r="BE19" s="90"/>
      <c r="BF19" s="183">
        <f t="shared" si="8"/>
        <v>0</v>
      </c>
      <c r="BG19" s="182"/>
      <c r="BH19" s="90"/>
      <c r="BI19" s="90"/>
      <c r="BJ19" s="183">
        <f t="shared" si="9"/>
        <v>0</v>
      </c>
      <c r="BK19" s="182"/>
      <c r="BL19" s="90"/>
      <c r="BM19" s="90"/>
      <c r="BN19" s="183">
        <f t="shared" si="10"/>
        <v>0</v>
      </c>
      <c r="BO19" s="182"/>
      <c r="BP19" s="90"/>
      <c r="BQ19" s="90"/>
      <c r="BR19" s="183">
        <f t="shared" si="11"/>
        <v>0</v>
      </c>
      <c r="BS19" s="182"/>
      <c r="BT19" s="90"/>
      <c r="BU19" s="90"/>
      <c r="BV19" s="183">
        <f t="shared" si="12"/>
        <v>0</v>
      </c>
      <c r="BW19" s="182"/>
      <c r="BX19" s="90"/>
      <c r="BY19" s="90"/>
      <c r="BZ19" s="183">
        <f t="shared" si="13"/>
        <v>0</v>
      </c>
      <c r="CA19" s="182"/>
      <c r="CB19" s="90"/>
      <c r="CC19" s="90"/>
      <c r="CD19" s="183">
        <f t="shared" si="14"/>
        <v>0</v>
      </c>
    </row>
    <row r="20" spans="2:82" x14ac:dyDescent="0.3">
      <c r="B20" s="53"/>
      <c r="C20" s="53" t="str">
        <f t="shared" si="0"/>
        <v>CPU_</v>
      </c>
      <c r="D20" s="278">
        <f t="shared" si="1"/>
        <v>0</v>
      </c>
      <c r="E20" s="278">
        <f t="shared" si="2"/>
        <v>0</v>
      </c>
      <c r="F20" s="1"/>
      <c r="G20" s="28" t="str">
        <f>IFERROR(VLOOKUP(F20,Tabela7[[RECURSO]:[CUSTO]],2,FALSE),"")</f>
        <v/>
      </c>
      <c r="H20" s="92"/>
      <c r="I20" s="90"/>
      <c r="J20" s="45">
        <f>IFERROR(VLOOKUP(F20,Tabela7[[RECURSO]:[CUSTO]],3,FALSE),0)</f>
        <v>0</v>
      </c>
      <c r="K20" s="45">
        <f>I20*J20*CPU[[#This Row],[Nº]]</f>
        <v>0</v>
      </c>
      <c r="M20" s="31"/>
      <c r="N20" s="297"/>
      <c r="O20" s="60">
        <f t="shared" si="15"/>
        <v>0</v>
      </c>
      <c r="AD20" s="144">
        <f t="shared" si="3"/>
        <v>0</v>
      </c>
      <c r="AE20" s="179"/>
      <c r="AF20" s="180">
        <f t="shared" si="16"/>
        <v>0</v>
      </c>
      <c r="AG20" s="180">
        <f t="shared" si="17"/>
        <v>0</v>
      </c>
      <c r="AH20" s="181">
        <f t="shared" si="18"/>
        <v>0</v>
      </c>
      <c r="AI20" s="182"/>
      <c r="AJ20" s="90"/>
      <c r="AK20" s="90"/>
      <c r="AL20" s="183">
        <f t="shared" si="19"/>
        <v>0</v>
      </c>
      <c r="AM20" s="182"/>
      <c r="AN20" s="90"/>
      <c r="AO20" s="90"/>
      <c r="AP20" s="183">
        <f t="shared" si="4"/>
        <v>0</v>
      </c>
      <c r="AQ20" s="182"/>
      <c r="AR20" s="90"/>
      <c r="AS20" s="90"/>
      <c r="AT20" s="183">
        <f t="shared" si="5"/>
        <v>0</v>
      </c>
      <c r="AU20" s="182"/>
      <c r="AV20" s="90"/>
      <c r="AW20" s="90"/>
      <c r="AX20" s="183">
        <f t="shared" si="6"/>
        <v>0</v>
      </c>
      <c r="AY20" s="182"/>
      <c r="AZ20" s="90"/>
      <c r="BA20" s="90"/>
      <c r="BB20" s="183">
        <f t="shared" si="7"/>
        <v>0</v>
      </c>
      <c r="BC20" s="182"/>
      <c r="BD20" s="90"/>
      <c r="BE20" s="90"/>
      <c r="BF20" s="183">
        <f t="shared" si="8"/>
        <v>0</v>
      </c>
      <c r="BG20" s="182"/>
      <c r="BH20" s="90"/>
      <c r="BI20" s="90"/>
      <c r="BJ20" s="183">
        <f t="shared" si="9"/>
        <v>0</v>
      </c>
      <c r="BK20" s="182"/>
      <c r="BL20" s="90"/>
      <c r="BM20" s="90"/>
      <c r="BN20" s="183">
        <f t="shared" si="10"/>
        <v>0</v>
      </c>
      <c r="BO20" s="182"/>
      <c r="BP20" s="90"/>
      <c r="BQ20" s="90"/>
      <c r="BR20" s="183">
        <f t="shared" si="11"/>
        <v>0</v>
      </c>
      <c r="BS20" s="182"/>
      <c r="BT20" s="90"/>
      <c r="BU20" s="90"/>
      <c r="BV20" s="183">
        <f t="shared" si="12"/>
        <v>0</v>
      </c>
      <c r="BW20" s="182"/>
      <c r="BX20" s="90"/>
      <c r="BY20" s="90"/>
      <c r="BZ20" s="183">
        <f t="shared" si="13"/>
        <v>0</v>
      </c>
      <c r="CA20" s="182"/>
      <c r="CB20" s="90"/>
      <c r="CC20" s="90"/>
      <c r="CD20" s="183">
        <f t="shared" si="14"/>
        <v>0</v>
      </c>
    </row>
    <row r="21" spans="2:82" x14ac:dyDescent="0.3">
      <c r="B21" s="53"/>
      <c r="C21" s="53" t="str">
        <f t="shared" si="0"/>
        <v>CPU_</v>
      </c>
      <c r="D21" s="278">
        <f t="shared" si="1"/>
        <v>0</v>
      </c>
      <c r="E21" s="278">
        <f t="shared" si="2"/>
        <v>0</v>
      </c>
      <c r="F21" s="1"/>
      <c r="G21" s="28" t="str">
        <f>IFERROR(VLOOKUP(F21,Tabela7[[RECURSO]:[CUSTO]],2,FALSE),"")</f>
        <v/>
      </c>
      <c r="H21" s="92"/>
      <c r="I21" s="90"/>
      <c r="J21" s="45">
        <f>IFERROR(VLOOKUP(F21,Tabela7[[RECURSO]:[CUSTO]],3,FALSE),0)</f>
        <v>0</v>
      </c>
      <c r="K21" s="45">
        <f>I21*J21*CPU[[#This Row],[Nº]]</f>
        <v>0</v>
      </c>
      <c r="M21" s="31"/>
      <c r="N21" s="297"/>
      <c r="O21" s="60">
        <f t="shared" si="15"/>
        <v>0</v>
      </c>
      <c r="AD21" s="144">
        <f t="shared" si="3"/>
        <v>0</v>
      </c>
      <c r="AE21" s="179"/>
      <c r="AF21" s="180">
        <f t="shared" si="16"/>
        <v>0</v>
      </c>
      <c r="AG21" s="180">
        <f t="shared" si="17"/>
        <v>0</v>
      </c>
      <c r="AH21" s="181">
        <f t="shared" si="18"/>
        <v>0</v>
      </c>
      <c r="AI21" s="182"/>
      <c r="AJ21" s="90"/>
      <c r="AK21" s="90"/>
      <c r="AL21" s="183">
        <f t="shared" si="19"/>
        <v>0</v>
      </c>
      <c r="AM21" s="182"/>
      <c r="AN21" s="90"/>
      <c r="AO21" s="90"/>
      <c r="AP21" s="183">
        <f t="shared" si="4"/>
        <v>0</v>
      </c>
      <c r="AQ21" s="182"/>
      <c r="AR21" s="90"/>
      <c r="AS21" s="90"/>
      <c r="AT21" s="183">
        <f t="shared" si="5"/>
        <v>0</v>
      </c>
      <c r="AU21" s="182"/>
      <c r="AV21" s="90"/>
      <c r="AW21" s="90"/>
      <c r="AX21" s="183">
        <f t="shared" si="6"/>
        <v>0</v>
      </c>
      <c r="AY21" s="182"/>
      <c r="AZ21" s="90"/>
      <c r="BA21" s="90"/>
      <c r="BB21" s="183">
        <f t="shared" si="7"/>
        <v>0</v>
      </c>
      <c r="BC21" s="182"/>
      <c r="BD21" s="90"/>
      <c r="BE21" s="90"/>
      <c r="BF21" s="183">
        <f t="shared" si="8"/>
        <v>0</v>
      </c>
      <c r="BG21" s="182"/>
      <c r="BH21" s="90"/>
      <c r="BI21" s="90"/>
      <c r="BJ21" s="183">
        <f t="shared" si="9"/>
        <v>0</v>
      </c>
      <c r="BK21" s="182"/>
      <c r="BL21" s="90"/>
      <c r="BM21" s="90"/>
      <c r="BN21" s="183">
        <f t="shared" si="10"/>
        <v>0</v>
      </c>
      <c r="BO21" s="182"/>
      <c r="BP21" s="90"/>
      <c r="BQ21" s="90"/>
      <c r="BR21" s="183">
        <f t="shared" si="11"/>
        <v>0</v>
      </c>
      <c r="BS21" s="182"/>
      <c r="BT21" s="90"/>
      <c r="BU21" s="90"/>
      <c r="BV21" s="183">
        <f t="shared" si="12"/>
        <v>0</v>
      </c>
      <c r="BW21" s="182"/>
      <c r="BX21" s="90"/>
      <c r="BY21" s="90"/>
      <c r="BZ21" s="183">
        <f t="shared" si="13"/>
        <v>0</v>
      </c>
      <c r="CA21" s="182"/>
      <c r="CB21" s="90"/>
      <c r="CC21" s="90"/>
      <c r="CD21" s="183">
        <f t="shared" si="14"/>
        <v>0</v>
      </c>
    </row>
    <row r="22" spans="2:82" x14ac:dyDescent="0.3">
      <c r="B22" s="53"/>
      <c r="C22" s="53" t="str">
        <f t="shared" si="0"/>
        <v>CPU_</v>
      </c>
      <c r="D22" s="278">
        <f t="shared" si="1"/>
        <v>0</v>
      </c>
      <c r="E22" s="278">
        <f t="shared" si="2"/>
        <v>0</v>
      </c>
      <c r="F22" s="1"/>
      <c r="G22" s="28" t="str">
        <f>IFERROR(VLOOKUP(F22,Tabela7[[RECURSO]:[CUSTO]],2,FALSE),"")</f>
        <v/>
      </c>
      <c r="H22" s="92"/>
      <c r="I22" s="90"/>
      <c r="J22" s="45">
        <f>IFERROR(VLOOKUP(F22,Tabela7[[RECURSO]:[CUSTO]],3,FALSE),0)</f>
        <v>0</v>
      </c>
      <c r="K22" s="45">
        <f>I22*J22*CPU[[#This Row],[Nº]]</f>
        <v>0</v>
      </c>
      <c r="M22" s="31"/>
      <c r="N22" s="297"/>
      <c r="O22" s="60">
        <f t="shared" si="15"/>
        <v>0</v>
      </c>
      <c r="AD22" s="144">
        <f t="shared" si="3"/>
        <v>0</v>
      </c>
      <c r="AE22" s="179"/>
      <c r="AF22" s="180">
        <f t="shared" si="16"/>
        <v>0</v>
      </c>
      <c r="AG22" s="180">
        <f t="shared" si="17"/>
        <v>0</v>
      </c>
      <c r="AH22" s="181">
        <f t="shared" si="18"/>
        <v>0</v>
      </c>
      <c r="AI22" s="182"/>
      <c r="AJ22" s="90"/>
      <c r="AK22" s="90"/>
      <c r="AL22" s="183">
        <f t="shared" si="19"/>
        <v>0</v>
      </c>
      <c r="AM22" s="182"/>
      <c r="AN22" s="90"/>
      <c r="AO22" s="90"/>
      <c r="AP22" s="183">
        <f t="shared" si="4"/>
        <v>0</v>
      </c>
      <c r="AQ22" s="182"/>
      <c r="AR22" s="90"/>
      <c r="AS22" s="90"/>
      <c r="AT22" s="183">
        <f t="shared" si="5"/>
        <v>0</v>
      </c>
      <c r="AU22" s="182"/>
      <c r="AV22" s="90"/>
      <c r="AW22" s="90"/>
      <c r="AX22" s="183">
        <f t="shared" si="6"/>
        <v>0</v>
      </c>
      <c r="AY22" s="182"/>
      <c r="AZ22" s="90"/>
      <c r="BA22" s="90"/>
      <c r="BB22" s="183">
        <f t="shared" si="7"/>
        <v>0</v>
      </c>
      <c r="BC22" s="182"/>
      <c r="BD22" s="90"/>
      <c r="BE22" s="90"/>
      <c r="BF22" s="183">
        <f t="shared" si="8"/>
        <v>0</v>
      </c>
      <c r="BG22" s="182"/>
      <c r="BH22" s="90"/>
      <c r="BI22" s="90"/>
      <c r="BJ22" s="183">
        <f t="shared" si="9"/>
        <v>0</v>
      </c>
      <c r="BK22" s="182"/>
      <c r="BL22" s="90"/>
      <c r="BM22" s="90"/>
      <c r="BN22" s="183">
        <f t="shared" si="10"/>
        <v>0</v>
      </c>
      <c r="BO22" s="182"/>
      <c r="BP22" s="90"/>
      <c r="BQ22" s="90"/>
      <c r="BR22" s="183">
        <f t="shared" si="11"/>
        <v>0</v>
      </c>
      <c r="BS22" s="182"/>
      <c r="BT22" s="90"/>
      <c r="BU22" s="90"/>
      <c r="BV22" s="183">
        <f t="shared" si="12"/>
        <v>0</v>
      </c>
      <c r="BW22" s="182"/>
      <c r="BX22" s="90"/>
      <c r="BY22" s="90"/>
      <c r="BZ22" s="183">
        <f t="shared" si="13"/>
        <v>0</v>
      </c>
      <c r="CA22" s="182"/>
      <c r="CB22" s="90"/>
      <c r="CC22" s="90"/>
      <c r="CD22" s="183">
        <f t="shared" si="14"/>
        <v>0</v>
      </c>
    </row>
    <row r="23" spans="2:82" ht="15" thickBot="1" x14ac:dyDescent="0.35">
      <c r="B23" s="53"/>
      <c r="C23" s="53" t="str">
        <f t="shared" si="0"/>
        <v>CPU_</v>
      </c>
      <c r="D23" s="278">
        <f t="shared" si="1"/>
        <v>0</v>
      </c>
      <c r="E23" s="278">
        <f t="shared" si="2"/>
        <v>0</v>
      </c>
      <c r="F23" s="1"/>
      <c r="G23" s="28" t="str">
        <f>IFERROR(VLOOKUP(F23,Tabela7[[RECURSO]:[CUSTO]],2,FALSE),"")</f>
        <v/>
      </c>
      <c r="H23" s="92"/>
      <c r="I23" s="90"/>
      <c r="J23" s="45">
        <f>IFERROR(VLOOKUP(F23,Tabela7[[RECURSO]:[CUSTO]],3,FALSE),0)</f>
        <v>0</v>
      </c>
      <c r="K23" s="45">
        <f>I23*J23*CPU[[#This Row],[Nº]]</f>
        <v>0</v>
      </c>
      <c r="M23" s="51"/>
      <c r="N23" s="298"/>
      <c r="O23" s="61">
        <f t="shared" si="15"/>
        <v>0</v>
      </c>
      <c r="AD23" s="144">
        <f t="shared" si="3"/>
        <v>0</v>
      </c>
      <c r="AE23" s="179"/>
      <c r="AF23" s="180">
        <f t="shared" si="16"/>
        <v>0</v>
      </c>
      <c r="AG23" s="180">
        <f t="shared" si="17"/>
        <v>0</v>
      </c>
      <c r="AH23" s="181">
        <f t="shared" si="18"/>
        <v>0</v>
      </c>
      <c r="AI23" s="182"/>
      <c r="AJ23" s="90"/>
      <c r="AK23" s="90"/>
      <c r="AL23" s="183">
        <f t="shared" si="19"/>
        <v>0</v>
      </c>
      <c r="AM23" s="182"/>
      <c r="AN23" s="90"/>
      <c r="AO23" s="90"/>
      <c r="AP23" s="183">
        <f t="shared" si="4"/>
        <v>0</v>
      </c>
      <c r="AQ23" s="182"/>
      <c r="AR23" s="90"/>
      <c r="AS23" s="90"/>
      <c r="AT23" s="183">
        <f t="shared" si="5"/>
        <v>0</v>
      </c>
      <c r="AU23" s="182"/>
      <c r="AV23" s="90"/>
      <c r="AW23" s="90"/>
      <c r="AX23" s="183">
        <f t="shared" si="6"/>
        <v>0</v>
      </c>
      <c r="AY23" s="182"/>
      <c r="AZ23" s="90"/>
      <c r="BA23" s="90"/>
      <c r="BB23" s="183">
        <f t="shared" si="7"/>
        <v>0</v>
      </c>
      <c r="BC23" s="182"/>
      <c r="BD23" s="90"/>
      <c r="BE23" s="90"/>
      <c r="BF23" s="183">
        <f t="shared" si="8"/>
        <v>0</v>
      </c>
      <c r="BG23" s="182"/>
      <c r="BH23" s="90"/>
      <c r="BI23" s="90"/>
      <c r="BJ23" s="183">
        <f t="shared" si="9"/>
        <v>0</v>
      </c>
      <c r="BK23" s="182"/>
      <c r="BL23" s="90"/>
      <c r="BM23" s="90"/>
      <c r="BN23" s="183">
        <f t="shared" si="10"/>
        <v>0</v>
      </c>
      <c r="BO23" s="182"/>
      <c r="BP23" s="90"/>
      <c r="BQ23" s="90"/>
      <c r="BR23" s="183">
        <f t="shared" si="11"/>
        <v>0</v>
      </c>
      <c r="BS23" s="182"/>
      <c r="BT23" s="90"/>
      <c r="BU23" s="90"/>
      <c r="BV23" s="183">
        <f t="shared" si="12"/>
        <v>0</v>
      </c>
      <c r="BW23" s="182"/>
      <c r="BX23" s="90"/>
      <c r="BY23" s="90"/>
      <c r="BZ23" s="183">
        <f t="shared" si="13"/>
        <v>0</v>
      </c>
      <c r="CA23" s="182"/>
      <c r="CB23" s="90"/>
      <c r="CC23" s="90"/>
      <c r="CD23" s="183">
        <f t="shared" si="14"/>
        <v>0</v>
      </c>
    </row>
    <row r="24" spans="2:82" x14ac:dyDescent="0.3">
      <c r="B24" s="52" t="s">
        <v>686</v>
      </c>
      <c r="C24" s="52" t="str">
        <f t="shared" si="0"/>
        <v>CPU_</v>
      </c>
      <c r="D24" s="277">
        <f t="shared" si="1"/>
        <v>0</v>
      </c>
      <c r="E24" s="277">
        <f t="shared" si="2"/>
        <v>0</v>
      </c>
      <c r="F24" s="37"/>
      <c r="G24" s="38"/>
      <c r="H24" s="91"/>
      <c r="I24" s="40"/>
      <c r="J24" s="40">
        <f>IFERROR(K24/$B$6,0)</f>
        <v>0</v>
      </c>
      <c r="K24" s="40">
        <f>SUM(K25:K36)</f>
        <v>0</v>
      </c>
      <c r="AD24" s="144">
        <f t="shared" si="3"/>
        <v>0</v>
      </c>
      <c r="AE24" s="184"/>
      <c r="AF24" s="40"/>
      <c r="AG24" s="40">
        <f>IFERROR(AH24/AF$3,0)</f>
        <v>0</v>
      </c>
      <c r="AH24" s="185">
        <f>SUM(AH25:AH36)</f>
        <v>0</v>
      </c>
      <c r="AI24" s="184"/>
      <c r="AJ24" s="40"/>
      <c r="AK24" s="40">
        <f>IFERROR(AL24/AJ$3,0)</f>
        <v>0</v>
      </c>
      <c r="AL24" s="185">
        <f>SUM(AL25:AL36)</f>
        <v>0</v>
      </c>
      <c r="AM24" s="184"/>
      <c r="AN24" s="40"/>
      <c r="AO24" s="40">
        <f>IFERROR(AP24/AN$3,0)</f>
        <v>0</v>
      </c>
      <c r="AP24" s="185">
        <f>SUM(AP25:AP36)</f>
        <v>0</v>
      </c>
      <c r="AQ24" s="184"/>
      <c r="AR24" s="40"/>
      <c r="AS24" s="40">
        <f>IFERROR(AT24/AR$3,0)</f>
        <v>0</v>
      </c>
      <c r="AT24" s="185">
        <f>SUM(AT25:AT36)</f>
        <v>0</v>
      </c>
      <c r="AU24" s="184"/>
      <c r="AV24" s="40"/>
      <c r="AW24" s="40">
        <f>IFERROR(AX24/AV$3,0)</f>
        <v>0</v>
      </c>
      <c r="AX24" s="185">
        <f>SUM(AX25:AX36)</f>
        <v>0</v>
      </c>
      <c r="AY24" s="184"/>
      <c r="AZ24" s="40"/>
      <c r="BA24" s="40">
        <f>IFERROR(BB24/AZ$3,0)</f>
        <v>0</v>
      </c>
      <c r="BB24" s="185">
        <f>SUM(BB25:BB36)</f>
        <v>0</v>
      </c>
      <c r="BC24" s="184"/>
      <c r="BD24" s="40"/>
      <c r="BE24" s="40">
        <f>IFERROR(BF24/BD$3,0)</f>
        <v>0</v>
      </c>
      <c r="BF24" s="185">
        <f>SUM(BF25:BF36)</f>
        <v>0</v>
      </c>
      <c r="BG24" s="184"/>
      <c r="BH24" s="40"/>
      <c r="BI24" s="40">
        <f>IFERROR(BJ24/BH$3,0)</f>
        <v>0</v>
      </c>
      <c r="BJ24" s="185">
        <f>SUM(BJ25:BJ36)</f>
        <v>0</v>
      </c>
      <c r="BK24" s="184"/>
      <c r="BL24" s="40"/>
      <c r="BM24" s="40">
        <f>IFERROR(BN24/BL$3,0)</f>
        <v>0</v>
      </c>
      <c r="BN24" s="185">
        <f>SUM(BN25:BN36)</f>
        <v>0</v>
      </c>
      <c r="BO24" s="184"/>
      <c r="BP24" s="40"/>
      <c r="BQ24" s="40">
        <f>IFERROR(BR24/BP$3,0)</f>
        <v>0</v>
      </c>
      <c r="BR24" s="185">
        <f>SUM(BR25:BR36)</f>
        <v>0</v>
      </c>
      <c r="BS24" s="184"/>
      <c r="BT24" s="40"/>
      <c r="BU24" s="40">
        <f>IFERROR(BV24/BT$3,0)</f>
        <v>0</v>
      </c>
      <c r="BV24" s="185">
        <f>SUM(BV25:BV36)</f>
        <v>0</v>
      </c>
      <c r="BW24" s="184"/>
      <c r="BX24" s="40"/>
      <c r="BY24" s="40">
        <f>IFERROR(BZ24/BX$3,0)</f>
        <v>0</v>
      </c>
      <c r="BZ24" s="185">
        <f>SUM(BZ25:BZ36)</f>
        <v>0</v>
      </c>
      <c r="CA24" s="184"/>
      <c r="CB24" s="40"/>
      <c r="CC24" s="40">
        <f>IFERROR(CD24/CB$3,0)</f>
        <v>0</v>
      </c>
      <c r="CD24" s="185">
        <f>SUM(CD25:CD36)</f>
        <v>0</v>
      </c>
    </row>
    <row r="25" spans="2:82" x14ac:dyDescent="0.3">
      <c r="B25" s="53"/>
      <c r="C25" s="53" t="str">
        <f t="shared" si="0"/>
        <v>CPU_</v>
      </c>
      <c r="D25" s="278">
        <f t="shared" si="1"/>
        <v>0</v>
      </c>
      <c r="E25" s="278">
        <f t="shared" si="2"/>
        <v>0</v>
      </c>
      <c r="F25" s="1"/>
      <c r="G25" s="28" t="str">
        <f>IFERROR(VLOOKUP(F25,Tabela7[[RECURSO]:[CUSTO]],2,FALSE),"")</f>
        <v/>
      </c>
      <c r="H25" s="93"/>
      <c r="I25" s="90">
        <f>IFERROR(SUMPRODUCT(I12:I23,M12:M23,H12:H23,N12:N23),0)</f>
        <v>0</v>
      </c>
      <c r="J25" s="45">
        <f>IFERROR(VLOOKUP(F25,Tabela7[[RECURSO]:[CUSTO]],3,FALSE),0)</f>
        <v>0</v>
      </c>
      <c r="K25" s="45">
        <f>I25*J25</f>
        <v>0</v>
      </c>
      <c r="AD25" s="144">
        <f t="shared" si="3"/>
        <v>0</v>
      </c>
      <c r="AE25" s="179"/>
      <c r="AF25" s="180">
        <f t="shared" ref="AF25:AF36" si="20">AJ25+AN25+AR25+AV25+AZ25+BD25+BH25+BL25+BP25+BT25+BX25+CB25</f>
        <v>0</v>
      </c>
      <c r="AG25" s="180">
        <f t="shared" si="17"/>
        <v>0</v>
      </c>
      <c r="AH25" s="181">
        <f t="shared" ref="AH25:AH36" si="21">AL25+AP25+AT25+AX25+BB25+BF25+BJ25+BN25+BR25+BV25+BZ25+CD25</f>
        <v>0</v>
      </c>
      <c r="AI25" s="182"/>
      <c r="AJ25" s="90"/>
      <c r="AK25" s="90"/>
      <c r="AL25" s="183">
        <f t="shared" ref="AL25:AL36" si="22">AJ25*AK25</f>
        <v>0</v>
      </c>
      <c r="AM25" s="182"/>
      <c r="AN25" s="90"/>
      <c r="AO25" s="90"/>
      <c r="AP25" s="183">
        <f t="shared" ref="AP25:AP62" si="23">AN25*AO25</f>
        <v>0</v>
      </c>
      <c r="AQ25" s="182"/>
      <c r="AR25" s="90"/>
      <c r="AS25" s="90"/>
      <c r="AT25" s="183">
        <f t="shared" ref="AT25:AT62" si="24">AR25*AS25</f>
        <v>0</v>
      </c>
      <c r="AU25" s="182"/>
      <c r="AV25" s="90"/>
      <c r="AW25" s="90"/>
      <c r="AX25" s="183">
        <f t="shared" ref="AX25:AX62" si="25">AV25*AW25</f>
        <v>0</v>
      </c>
      <c r="AY25" s="182"/>
      <c r="AZ25" s="90"/>
      <c r="BA25" s="90"/>
      <c r="BB25" s="183">
        <f t="shared" ref="BB25:BB62" si="26">AZ25*BA25</f>
        <v>0</v>
      </c>
      <c r="BC25" s="182"/>
      <c r="BD25" s="90"/>
      <c r="BE25" s="90"/>
      <c r="BF25" s="183">
        <f t="shared" ref="BF25:BF62" si="27">BD25*BE25</f>
        <v>0</v>
      </c>
      <c r="BG25" s="182"/>
      <c r="BH25" s="90"/>
      <c r="BI25" s="90"/>
      <c r="BJ25" s="183">
        <f t="shared" ref="BJ25:BJ62" si="28">BH25*BI25</f>
        <v>0</v>
      </c>
      <c r="BK25" s="182"/>
      <c r="BL25" s="90"/>
      <c r="BM25" s="90"/>
      <c r="BN25" s="183">
        <f t="shared" ref="BN25:BN62" si="29">BL25*BM25</f>
        <v>0</v>
      </c>
      <c r="BO25" s="182"/>
      <c r="BP25" s="90"/>
      <c r="BQ25" s="90"/>
      <c r="BR25" s="183">
        <f t="shared" ref="BR25:BR62" si="30">BP25*BQ25</f>
        <v>0</v>
      </c>
      <c r="BS25" s="182"/>
      <c r="BT25" s="90"/>
      <c r="BU25" s="90"/>
      <c r="BV25" s="183">
        <f t="shared" ref="BV25:BV62" si="31">BT25*BU25</f>
        <v>0</v>
      </c>
      <c r="BW25" s="182"/>
      <c r="BX25" s="90"/>
      <c r="BY25" s="90"/>
      <c r="BZ25" s="183">
        <f t="shared" ref="BZ25:BZ62" si="32">BX25*BY25</f>
        <v>0</v>
      </c>
      <c r="CA25" s="182"/>
      <c r="CB25" s="90"/>
      <c r="CC25" s="90"/>
      <c r="CD25" s="183">
        <f t="shared" ref="CD25:CD62" si="33">CB25*CC25</f>
        <v>0</v>
      </c>
    </row>
    <row r="26" spans="2:82" x14ac:dyDescent="0.3">
      <c r="B26" s="53"/>
      <c r="C26" s="53" t="str">
        <f t="shared" si="0"/>
        <v>CPU_</v>
      </c>
      <c r="D26" s="278">
        <f t="shared" si="1"/>
        <v>0</v>
      </c>
      <c r="E26" s="278">
        <f t="shared" si="2"/>
        <v>0</v>
      </c>
      <c r="F26" s="1"/>
      <c r="G26" s="28" t="str">
        <f>IFERROR(VLOOKUP(F26,Tabela7[[RECURSO]:[CUSTO]],2,FALSE),"")</f>
        <v/>
      </c>
      <c r="H26" s="93"/>
      <c r="I26" s="90"/>
      <c r="J26" s="45">
        <f>IFERROR(VLOOKUP(F26,Tabela7[[RECURSO]:[CUSTO]],3,FALSE),0)</f>
        <v>0</v>
      </c>
      <c r="K26" s="45">
        <f t="shared" ref="K26:K36" si="34">I26*J26</f>
        <v>0</v>
      </c>
      <c r="AD26" s="144">
        <f t="shared" si="3"/>
        <v>0</v>
      </c>
      <c r="AE26" s="179"/>
      <c r="AF26" s="180">
        <f t="shared" si="20"/>
        <v>0</v>
      </c>
      <c r="AG26" s="180">
        <f t="shared" si="17"/>
        <v>0</v>
      </c>
      <c r="AH26" s="181">
        <f t="shared" si="21"/>
        <v>0</v>
      </c>
      <c r="AI26" s="182"/>
      <c r="AJ26" s="90"/>
      <c r="AK26" s="90"/>
      <c r="AL26" s="183">
        <f t="shared" si="22"/>
        <v>0</v>
      </c>
      <c r="AM26" s="182"/>
      <c r="AN26" s="90"/>
      <c r="AO26" s="90"/>
      <c r="AP26" s="183">
        <f t="shared" si="23"/>
        <v>0</v>
      </c>
      <c r="AQ26" s="182"/>
      <c r="AR26" s="90"/>
      <c r="AS26" s="90"/>
      <c r="AT26" s="183">
        <f t="shared" si="24"/>
        <v>0</v>
      </c>
      <c r="AU26" s="182"/>
      <c r="AV26" s="90"/>
      <c r="AW26" s="90"/>
      <c r="AX26" s="183">
        <f t="shared" si="25"/>
        <v>0</v>
      </c>
      <c r="AY26" s="182"/>
      <c r="AZ26" s="90"/>
      <c r="BA26" s="90"/>
      <c r="BB26" s="183">
        <f t="shared" si="26"/>
        <v>0</v>
      </c>
      <c r="BC26" s="182"/>
      <c r="BD26" s="90"/>
      <c r="BE26" s="90"/>
      <c r="BF26" s="183">
        <f t="shared" si="27"/>
        <v>0</v>
      </c>
      <c r="BG26" s="182"/>
      <c r="BH26" s="90"/>
      <c r="BI26" s="90"/>
      <c r="BJ26" s="183">
        <f t="shared" si="28"/>
        <v>0</v>
      </c>
      <c r="BK26" s="182"/>
      <c r="BL26" s="90"/>
      <c r="BM26" s="90"/>
      <c r="BN26" s="183">
        <f t="shared" si="29"/>
        <v>0</v>
      </c>
      <c r="BO26" s="182"/>
      <c r="BP26" s="90"/>
      <c r="BQ26" s="90"/>
      <c r="BR26" s="183">
        <f t="shared" si="30"/>
        <v>0</v>
      </c>
      <c r="BS26" s="182"/>
      <c r="BT26" s="90"/>
      <c r="BU26" s="90"/>
      <c r="BV26" s="183">
        <f t="shared" si="31"/>
        <v>0</v>
      </c>
      <c r="BW26" s="182"/>
      <c r="BX26" s="90"/>
      <c r="BY26" s="90"/>
      <c r="BZ26" s="183">
        <f t="shared" si="32"/>
        <v>0</v>
      </c>
      <c r="CA26" s="182"/>
      <c r="CB26" s="90"/>
      <c r="CC26" s="90"/>
      <c r="CD26" s="183">
        <f t="shared" si="33"/>
        <v>0</v>
      </c>
    </row>
    <row r="27" spans="2:82" x14ac:dyDescent="0.3">
      <c r="B27" s="53"/>
      <c r="C27" s="53" t="str">
        <f t="shared" si="0"/>
        <v>CPU_</v>
      </c>
      <c r="D27" s="278">
        <f t="shared" si="1"/>
        <v>0</v>
      </c>
      <c r="E27" s="278">
        <f t="shared" si="2"/>
        <v>0</v>
      </c>
      <c r="F27" s="1"/>
      <c r="G27" s="28" t="str">
        <f>IFERROR(VLOOKUP(F27,Tabela7[[RECURSO]:[CUSTO]],2,FALSE),"")</f>
        <v/>
      </c>
      <c r="H27" s="93"/>
      <c r="I27" s="90"/>
      <c r="J27" s="45">
        <f>IFERROR(VLOOKUP(F27,Tabela7[[RECURSO]:[CUSTO]],3,FALSE),0)</f>
        <v>0</v>
      </c>
      <c r="K27" s="45">
        <f t="shared" si="34"/>
        <v>0</v>
      </c>
      <c r="AD27" s="144">
        <f t="shared" si="3"/>
        <v>0</v>
      </c>
      <c r="AE27" s="179"/>
      <c r="AF27" s="180">
        <f t="shared" si="20"/>
        <v>0</v>
      </c>
      <c r="AG27" s="180">
        <f t="shared" si="17"/>
        <v>0</v>
      </c>
      <c r="AH27" s="181">
        <f t="shared" si="21"/>
        <v>0</v>
      </c>
      <c r="AI27" s="182"/>
      <c r="AJ27" s="90"/>
      <c r="AK27" s="90"/>
      <c r="AL27" s="183">
        <f t="shared" si="22"/>
        <v>0</v>
      </c>
      <c r="AM27" s="182"/>
      <c r="AN27" s="90"/>
      <c r="AO27" s="90"/>
      <c r="AP27" s="183">
        <f t="shared" si="23"/>
        <v>0</v>
      </c>
      <c r="AQ27" s="182"/>
      <c r="AR27" s="90"/>
      <c r="AS27" s="90"/>
      <c r="AT27" s="183">
        <f t="shared" si="24"/>
        <v>0</v>
      </c>
      <c r="AU27" s="182"/>
      <c r="AV27" s="90"/>
      <c r="AW27" s="90"/>
      <c r="AX27" s="183">
        <f t="shared" si="25"/>
        <v>0</v>
      </c>
      <c r="AY27" s="182"/>
      <c r="AZ27" s="90"/>
      <c r="BA27" s="90"/>
      <c r="BB27" s="183">
        <f t="shared" si="26"/>
        <v>0</v>
      </c>
      <c r="BC27" s="182"/>
      <c r="BD27" s="90"/>
      <c r="BE27" s="90"/>
      <c r="BF27" s="183">
        <f t="shared" si="27"/>
        <v>0</v>
      </c>
      <c r="BG27" s="182"/>
      <c r="BH27" s="90"/>
      <c r="BI27" s="90"/>
      <c r="BJ27" s="183">
        <f t="shared" si="28"/>
        <v>0</v>
      </c>
      <c r="BK27" s="182"/>
      <c r="BL27" s="90"/>
      <c r="BM27" s="90"/>
      <c r="BN27" s="183">
        <f t="shared" si="29"/>
        <v>0</v>
      </c>
      <c r="BO27" s="182"/>
      <c r="BP27" s="90"/>
      <c r="BQ27" s="90"/>
      <c r="BR27" s="183">
        <f t="shared" si="30"/>
        <v>0</v>
      </c>
      <c r="BS27" s="182"/>
      <c r="BT27" s="90"/>
      <c r="BU27" s="90"/>
      <c r="BV27" s="183">
        <f t="shared" si="31"/>
        <v>0</v>
      </c>
      <c r="BW27" s="182"/>
      <c r="BX27" s="90"/>
      <c r="BY27" s="90"/>
      <c r="BZ27" s="183">
        <f t="shared" si="32"/>
        <v>0</v>
      </c>
      <c r="CA27" s="182"/>
      <c r="CB27" s="90"/>
      <c r="CC27" s="90"/>
      <c r="CD27" s="183">
        <f t="shared" si="33"/>
        <v>0</v>
      </c>
    </row>
    <row r="28" spans="2:82" x14ac:dyDescent="0.3">
      <c r="B28" s="53"/>
      <c r="C28" s="53" t="str">
        <f t="shared" si="0"/>
        <v>CPU_</v>
      </c>
      <c r="D28" s="278">
        <f t="shared" si="1"/>
        <v>0</v>
      </c>
      <c r="E28" s="278">
        <f t="shared" si="2"/>
        <v>0</v>
      </c>
      <c r="F28" s="1"/>
      <c r="G28" s="28" t="str">
        <f>IFERROR(VLOOKUP(F28,Tabela7[[RECURSO]:[CUSTO]],2,FALSE),"")</f>
        <v/>
      </c>
      <c r="H28" s="93"/>
      <c r="I28" s="90"/>
      <c r="J28" s="45">
        <f>IFERROR(VLOOKUP(F28,Tabela7[[RECURSO]:[CUSTO]],3,FALSE),0)</f>
        <v>0</v>
      </c>
      <c r="K28" s="45">
        <f t="shared" si="34"/>
        <v>0</v>
      </c>
      <c r="AD28" s="144">
        <f t="shared" si="3"/>
        <v>0</v>
      </c>
      <c r="AE28" s="179"/>
      <c r="AF28" s="180">
        <f t="shared" si="20"/>
        <v>0</v>
      </c>
      <c r="AG28" s="180">
        <f t="shared" si="17"/>
        <v>0</v>
      </c>
      <c r="AH28" s="181">
        <f t="shared" si="21"/>
        <v>0</v>
      </c>
      <c r="AI28" s="182"/>
      <c r="AJ28" s="90"/>
      <c r="AK28" s="90"/>
      <c r="AL28" s="183">
        <f t="shared" si="22"/>
        <v>0</v>
      </c>
      <c r="AM28" s="182"/>
      <c r="AN28" s="90"/>
      <c r="AO28" s="90"/>
      <c r="AP28" s="183">
        <f t="shared" si="23"/>
        <v>0</v>
      </c>
      <c r="AQ28" s="182"/>
      <c r="AR28" s="90"/>
      <c r="AS28" s="90"/>
      <c r="AT28" s="183">
        <f t="shared" si="24"/>
        <v>0</v>
      </c>
      <c r="AU28" s="182"/>
      <c r="AV28" s="90"/>
      <c r="AW28" s="90"/>
      <c r="AX28" s="183">
        <f t="shared" si="25"/>
        <v>0</v>
      </c>
      <c r="AY28" s="182"/>
      <c r="AZ28" s="90"/>
      <c r="BA28" s="90"/>
      <c r="BB28" s="183">
        <f t="shared" si="26"/>
        <v>0</v>
      </c>
      <c r="BC28" s="182"/>
      <c r="BD28" s="90"/>
      <c r="BE28" s="90"/>
      <c r="BF28" s="183">
        <f t="shared" si="27"/>
        <v>0</v>
      </c>
      <c r="BG28" s="182"/>
      <c r="BH28" s="90"/>
      <c r="BI28" s="90"/>
      <c r="BJ28" s="183">
        <f t="shared" si="28"/>
        <v>0</v>
      </c>
      <c r="BK28" s="182"/>
      <c r="BL28" s="90"/>
      <c r="BM28" s="90"/>
      <c r="BN28" s="183">
        <f t="shared" si="29"/>
        <v>0</v>
      </c>
      <c r="BO28" s="182"/>
      <c r="BP28" s="90"/>
      <c r="BQ28" s="90"/>
      <c r="BR28" s="183">
        <f t="shared" si="30"/>
        <v>0</v>
      </c>
      <c r="BS28" s="182"/>
      <c r="BT28" s="90"/>
      <c r="BU28" s="90"/>
      <c r="BV28" s="183">
        <f t="shared" si="31"/>
        <v>0</v>
      </c>
      <c r="BW28" s="182"/>
      <c r="BX28" s="90"/>
      <c r="BY28" s="90"/>
      <c r="BZ28" s="183">
        <f t="shared" si="32"/>
        <v>0</v>
      </c>
      <c r="CA28" s="182"/>
      <c r="CB28" s="90"/>
      <c r="CC28" s="90"/>
      <c r="CD28" s="183">
        <f t="shared" si="33"/>
        <v>0</v>
      </c>
    </row>
    <row r="29" spans="2:82" x14ac:dyDescent="0.3">
      <c r="B29" s="53"/>
      <c r="C29" s="53" t="str">
        <f t="shared" si="0"/>
        <v>CPU_</v>
      </c>
      <c r="D29" s="278">
        <f t="shared" si="1"/>
        <v>0</v>
      </c>
      <c r="E29" s="278">
        <f t="shared" si="2"/>
        <v>0</v>
      </c>
      <c r="F29" s="1"/>
      <c r="G29" s="28" t="str">
        <f>IFERROR(VLOOKUP(F29,Tabela7[[RECURSO]:[CUSTO]],2,FALSE),"")</f>
        <v/>
      </c>
      <c r="H29" s="93"/>
      <c r="I29" s="90"/>
      <c r="J29" s="45">
        <f>IFERROR(VLOOKUP(F29,Tabela7[[RECURSO]:[CUSTO]],3,FALSE),0)</f>
        <v>0</v>
      </c>
      <c r="K29" s="45">
        <f t="shared" si="34"/>
        <v>0</v>
      </c>
      <c r="AD29" s="144">
        <f t="shared" si="3"/>
        <v>0</v>
      </c>
      <c r="AE29" s="179"/>
      <c r="AF29" s="180">
        <f t="shared" si="20"/>
        <v>0</v>
      </c>
      <c r="AG29" s="180">
        <f t="shared" si="17"/>
        <v>0</v>
      </c>
      <c r="AH29" s="181">
        <f t="shared" si="21"/>
        <v>0</v>
      </c>
      <c r="AI29" s="182"/>
      <c r="AJ29" s="90"/>
      <c r="AK29" s="90"/>
      <c r="AL29" s="183">
        <f t="shared" si="22"/>
        <v>0</v>
      </c>
      <c r="AM29" s="182"/>
      <c r="AN29" s="90"/>
      <c r="AO29" s="90"/>
      <c r="AP29" s="183">
        <f t="shared" si="23"/>
        <v>0</v>
      </c>
      <c r="AQ29" s="182"/>
      <c r="AR29" s="90"/>
      <c r="AS29" s="90"/>
      <c r="AT29" s="183">
        <f t="shared" si="24"/>
        <v>0</v>
      </c>
      <c r="AU29" s="182"/>
      <c r="AV29" s="90"/>
      <c r="AW29" s="90"/>
      <c r="AX29" s="183">
        <f t="shared" si="25"/>
        <v>0</v>
      </c>
      <c r="AY29" s="182"/>
      <c r="AZ29" s="90"/>
      <c r="BA29" s="90"/>
      <c r="BB29" s="183">
        <f t="shared" si="26"/>
        <v>0</v>
      </c>
      <c r="BC29" s="182"/>
      <c r="BD29" s="90"/>
      <c r="BE29" s="90"/>
      <c r="BF29" s="183">
        <f t="shared" si="27"/>
        <v>0</v>
      </c>
      <c r="BG29" s="182"/>
      <c r="BH29" s="90"/>
      <c r="BI29" s="90"/>
      <c r="BJ29" s="183">
        <f t="shared" si="28"/>
        <v>0</v>
      </c>
      <c r="BK29" s="182"/>
      <c r="BL29" s="90"/>
      <c r="BM29" s="90"/>
      <c r="BN29" s="183">
        <f t="shared" si="29"/>
        <v>0</v>
      </c>
      <c r="BO29" s="182"/>
      <c r="BP29" s="90"/>
      <c r="BQ29" s="90"/>
      <c r="BR29" s="183">
        <f t="shared" si="30"/>
        <v>0</v>
      </c>
      <c r="BS29" s="182"/>
      <c r="BT29" s="90"/>
      <c r="BU29" s="90"/>
      <c r="BV29" s="183">
        <f t="shared" si="31"/>
        <v>0</v>
      </c>
      <c r="BW29" s="182"/>
      <c r="BX29" s="90"/>
      <c r="BY29" s="90"/>
      <c r="BZ29" s="183">
        <f t="shared" si="32"/>
        <v>0</v>
      </c>
      <c r="CA29" s="182"/>
      <c r="CB29" s="90"/>
      <c r="CC29" s="90"/>
      <c r="CD29" s="183">
        <f t="shared" si="33"/>
        <v>0</v>
      </c>
    </row>
    <row r="30" spans="2:82" x14ac:dyDescent="0.3">
      <c r="B30" s="53"/>
      <c r="C30" s="53" t="str">
        <f t="shared" si="0"/>
        <v>CPU_</v>
      </c>
      <c r="D30" s="278">
        <f t="shared" si="1"/>
        <v>0</v>
      </c>
      <c r="E30" s="278">
        <f t="shared" si="2"/>
        <v>0</v>
      </c>
      <c r="F30" s="1"/>
      <c r="G30" s="28" t="str">
        <f>IFERROR(VLOOKUP(F30,Tabela7[[RECURSO]:[CUSTO]],2,FALSE),"")</f>
        <v/>
      </c>
      <c r="H30" s="93"/>
      <c r="I30" s="90"/>
      <c r="J30" s="45">
        <f>IFERROR(VLOOKUP(F30,Tabela7[[RECURSO]:[CUSTO]],3,FALSE),0)</f>
        <v>0</v>
      </c>
      <c r="K30" s="45">
        <f t="shared" si="34"/>
        <v>0</v>
      </c>
      <c r="AD30" s="144">
        <f t="shared" si="3"/>
        <v>0</v>
      </c>
      <c r="AE30" s="179"/>
      <c r="AF30" s="180">
        <f t="shared" si="20"/>
        <v>0</v>
      </c>
      <c r="AG30" s="180">
        <f t="shared" si="17"/>
        <v>0</v>
      </c>
      <c r="AH30" s="181">
        <f t="shared" si="21"/>
        <v>0</v>
      </c>
      <c r="AI30" s="182"/>
      <c r="AJ30" s="90"/>
      <c r="AK30" s="90"/>
      <c r="AL30" s="183">
        <f t="shared" si="22"/>
        <v>0</v>
      </c>
      <c r="AM30" s="182"/>
      <c r="AN30" s="90"/>
      <c r="AO30" s="90"/>
      <c r="AP30" s="183">
        <f t="shared" si="23"/>
        <v>0</v>
      </c>
      <c r="AQ30" s="182"/>
      <c r="AR30" s="90"/>
      <c r="AS30" s="90"/>
      <c r="AT30" s="183">
        <f t="shared" si="24"/>
        <v>0</v>
      </c>
      <c r="AU30" s="182"/>
      <c r="AV30" s="90"/>
      <c r="AW30" s="90"/>
      <c r="AX30" s="183">
        <f t="shared" si="25"/>
        <v>0</v>
      </c>
      <c r="AY30" s="182"/>
      <c r="AZ30" s="90"/>
      <c r="BA30" s="90"/>
      <c r="BB30" s="183">
        <f t="shared" si="26"/>
        <v>0</v>
      </c>
      <c r="BC30" s="182"/>
      <c r="BD30" s="90"/>
      <c r="BE30" s="90"/>
      <c r="BF30" s="183">
        <f t="shared" si="27"/>
        <v>0</v>
      </c>
      <c r="BG30" s="182"/>
      <c r="BH30" s="90"/>
      <c r="BI30" s="90"/>
      <c r="BJ30" s="183">
        <f t="shared" si="28"/>
        <v>0</v>
      </c>
      <c r="BK30" s="182"/>
      <c r="BL30" s="90"/>
      <c r="BM30" s="90"/>
      <c r="BN30" s="183">
        <f t="shared" si="29"/>
        <v>0</v>
      </c>
      <c r="BO30" s="182"/>
      <c r="BP30" s="90"/>
      <c r="BQ30" s="90"/>
      <c r="BR30" s="183">
        <f t="shared" si="30"/>
        <v>0</v>
      </c>
      <c r="BS30" s="182"/>
      <c r="BT30" s="90"/>
      <c r="BU30" s="90"/>
      <c r="BV30" s="183">
        <f t="shared" si="31"/>
        <v>0</v>
      </c>
      <c r="BW30" s="182"/>
      <c r="BX30" s="90"/>
      <c r="BY30" s="90"/>
      <c r="BZ30" s="183">
        <f t="shared" si="32"/>
        <v>0</v>
      </c>
      <c r="CA30" s="182"/>
      <c r="CB30" s="90"/>
      <c r="CC30" s="90"/>
      <c r="CD30" s="183">
        <f t="shared" si="33"/>
        <v>0</v>
      </c>
    </row>
    <row r="31" spans="2:82" x14ac:dyDescent="0.3">
      <c r="B31" s="53"/>
      <c r="C31" s="53" t="str">
        <f t="shared" si="0"/>
        <v>CPU_</v>
      </c>
      <c r="D31" s="278">
        <f t="shared" si="1"/>
        <v>0</v>
      </c>
      <c r="E31" s="278">
        <f t="shared" si="2"/>
        <v>0</v>
      </c>
      <c r="F31" s="1"/>
      <c r="G31" s="28" t="str">
        <f>IFERROR(VLOOKUP(F31,Tabela7[[RECURSO]:[CUSTO]],2,FALSE),"")</f>
        <v/>
      </c>
      <c r="H31" s="93"/>
      <c r="I31" s="90"/>
      <c r="J31" s="45">
        <f>IFERROR(VLOOKUP(F31,Tabela7[[RECURSO]:[CUSTO]],3,FALSE),0)</f>
        <v>0</v>
      </c>
      <c r="K31" s="45">
        <f t="shared" si="34"/>
        <v>0</v>
      </c>
      <c r="AD31" s="144">
        <f t="shared" si="3"/>
        <v>0</v>
      </c>
      <c r="AE31" s="179"/>
      <c r="AF31" s="180">
        <f t="shared" si="20"/>
        <v>0</v>
      </c>
      <c r="AG31" s="180">
        <f t="shared" si="17"/>
        <v>0</v>
      </c>
      <c r="AH31" s="181">
        <f t="shared" si="21"/>
        <v>0</v>
      </c>
      <c r="AI31" s="182"/>
      <c r="AJ31" s="90"/>
      <c r="AK31" s="90"/>
      <c r="AL31" s="183">
        <f t="shared" si="22"/>
        <v>0</v>
      </c>
      <c r="AM31" s="182"/>
      <c r="AN31" s="90"/>
      <c r="AO31" s="90"/>
      <c r="AP31" s="183">
        <f t="shared" si="23"/>
        <v>0</v>
      </c>
      <c r="AQ31" s="182"/>
      <c r="AR31" s="90"/>
      <c r="AS31" s="90"/>
      <c r="AT31" s="183">
        <f t="shared" si="24"/>
        <v>0</v>
      </c>
      <c r="AU31" s="182"/>
      <c r="AV31" s="90"/>
      <c r="AW31" s="90"/>
      <c r="AX31" s="183">
        <f t="shared" si="25"/>
        <v>0</v>
      </c>
      <c r="AY31" s="182"/>
      <c r="AZ31" s="90"/>
      <c r="BA31" s="90"/>
      <c r="BB31" s="183">
        <f t="shared" si="26"/>
        <v>0</v>
      </c>
      <c r="BC31" s="182"/>
      <c r="BD31" s="90"/>
      <c r="BE31" s="90"/>
      <c r="BF31" s="183">
        <f t="shared" si="27"/>
        <v>0</v>
      </c>
      <c r="BG31" s="182"/>
      <c r="BH31" s="90"/>
      <c r="BI31" s="90"/>
      <c r="BJ31" s="183">
        <f t="shared" si="28"/>
        <v>0</v>
      </c>
      <c r="BK31" s="182"/>
      <c r="BL31" s="90"/>
      <c r="BM31" s="90"/>
      <c r="BN31" s="183">
        <f t="shared" si="29"/>
        <v>0</v>
      </c>
      <c r="BO31" s="182"/>
      <c r="BP31" s="90"/>
      <c r="BQ31" s="90"/>
      <c r="BR31" s="183">
        <f t="shared" si="30"/>
        <v>0</v>
      </c>
      <c r="BS31" s="182"/>
      <c r="BT31" s="90"/>
      <c r="BU31" s="90"/>
      <c r="BV31" s="183">
        <f t="shared" si="31"/>
        <v>0</v>
      </c>
      <c r="BW31" s="182"/>
      <c r="BX31" s="90"/>
      <c r="BY31" s="90"/>
      <c r="BZ31" s="183">
        <f t="shared" si="32"/>
        <v>0</v>
      </c>
      <c r="CA31" s="182"/>
      <c r="CB31" s="90"/>
      <c r="CC31" s="90"/>
      <c r="CD31" s="183">
        <f t="shared" si="33"/>
        <v>0</v>
      </c>
    </row>
    <row r="32" spans="2:82" x14ac:dyDescent="0.3">
      <c r="B32" s="53"/>
      <c r="C32" s="53" t="str">
        <f t="shared" si="0"/>
        <v>CPU_</v>
      </c>
      <c r="D32" s="278">
        <f t="shared" si="1"/>
        <v>0</v>
      </c>
      <c r="E32" s="278">
        <f t="shared" si="2"/>
        <v>0</v>
      </c>
      <c r="F32" s="1"/>
      <c r="G32" s="28" t="str">
        <f>IFERROR(VLOOKUP(F32,Tabela7[[RECURSO]:[CUSTO]],2,FALSE),"")</f>
        <v/>
      </c>
      <c r="H32" s="93"/>
      <c r="I32" s="90"/>
      <c r="J32" s="45">
        <f>IFERROR(VLOOKUP(F32,Tabela7[[RECURSO]:[CUSTO]],3,FALSE),0)</f>
        <v>0</v>
      </c>
      <c r="K32" s="45">
        <f t="shared" si="34"/>
        <v>0</v>
      </c>
      <c r="AD32" s="144">
        <f t="shared" si="3"/>
        <v>0</v>
      </c>
      <c r="AE32" s="179"/>
      <c r="AF32" s="180">
        <f t="shared" si="20"/>
        <v>0</v>
      </c>
      <c r="AG32" s="180">
        <f t="shared" si="17"/>
        <v>0</v>
      </c>
      <c r="AH32" s="181">
        <f t="shared" si="21"/>
        <v>0</v>
      </c>
      <c r="AI32" s="182"/>
      <c r="AJ32" s="90"/>
      <c r="AK32" s="90"/>
      <c r="AL32" s="183">
        <f t="shared" si="22"/>
        <v>0</v>
      </c>
      <c r="AM32" s="182"/>
      <c r="AN32" s="90"/>
      <c r="AO32" s="90"/>
      <c r="AP32" s="183">
        <f t="shared" si="23"/>
        <v>0</v>
      </c>
      <c r="AQ32" s="182"/>
      <c r="AR32" s="90"/>
      <c r="AS32" s="90"/>
      <c r="AT32" s="183">
        <f t="shared" si="24"/>
        <v>0</v>
      </c>
      <c r="AU32" s="182"/>
      <c r="AV32" s="90"/>
      <c r="AW32" s="90"/>
      <c r="AX32" s="183">
        <f t="shared" si="25"/>
        <v>0</v>
      </c>
      <c r="AY32" s="182"/>
      <c r="AZ32" s="90"/>
      <c r="BA32" s="90"/>
      <c r="BB32" s="183">
        <f t="shared" si="26"/>
        <v>0</v>
      </c>
      <c r="BC32" s="182"/>
      <c r="BD32" s="90"/>
      <c r="BE32" s="90"/>
      <c r="BF32" s="183">
        <f t="shared" si="27"/>
        <v>0</v>
      </c>
      <c r="BG32" s="182"/>
      <c r="BH32" s="90"/>
      <c r="BI32" s="90"/>
      <c r="BJ32" s="183">
        <f t="shared" si="28"/>
        <v>0</v>
      </c>
      <c r="BK32" s="182"/>
      <c r="BL32" s="90"/>
      <c r="BM32" s="90"/>
      <c r="BN32" s="183">
        <f t="shared" si="29"/>
        <v>0</v>
      </c>
      <c r="BO32" s="182"/>
      <c r="BP32" s="90"/>
      <c r="BQ32" s="90"/>
      <c r="BR32" s="183">
        <f t="shared" si="30"/>
        <v>0</v>
      </c>
      <c r="BS32" s="182"/>
      <c r="BT32" s="90"/>
      <c r="BU32" s="90"/>
      <c r="BV32" s="183">
        <f t="shared" si="31"/>
        <v>0</v>
      </c>
      <c r="BW32" s="182"/>
      <c r="BX32" s="90"/>
      <c r="BY32" s="90"/>
      <c r="BZ32" s="183">
        <f t="shared" si="32"/>
        <v>0</v>
      </c>
      <c r="CA32" s="182"/>
      <c r="CB32" s="90"/>
      <c r="CC32" s="90"/>
      <c r="CD32" s="183">
        <f t="shared" si="33"/>
        <v>0</v>
      </c>
    </row>
    <row r="33" spans="2:82" x14ac:dyDescent="0.3">
      <c r="B33" s="53"/>
      <c r="C33" s="53" t="str">
        <f t="shared" si="0"/>
        <v>CPU_</v>
      </c>
      <c r="D33" s="278">
        <f t="shared" si="1"/>
        <v>0</v>
      </c>
      <c r="E33" s="278">
        <f t="shared" si="2"/>
        <v>0</v>
      </c>
      <c r="F33" s="1"/>
      <c r="G33" s="28" t="str">
        <f>IFERROR(VLOOKUP(F33,Tabela7[[RECURSO]:[CUSTO]],2,FALSE),"")</f>
        <v/>
      </c>
      <c r="H33" s="93"/>
      <c r="I33" s="90"/>
      <c r="J33" s="45">
        <f>IFERROR(VLOOKUP(F33,Tabela7[[RECURSO]:[CUSTO]],3,FALSE),0)</f>
        <v>0</v>
      </c>
      <c r="K33" s="45">
        <f t="shared" si="34"/>
        <v>0</v>
      </c>
      <c r="AD33" s="144">
        <f t="shared" si="3"/>
        <v>0</v>
      </c>
      <c r="AE33" s="179"/>
      <c r="AF33" s="180">
        <f t="shared" si="20"/>
        <v>0</v>
      </c>
      <c r="AG33" s="180">
        <f t="shared" si="17"/>
        <v>0</v>
      </c>
      <c r="AH33" s="181">
        <f t="shared" si="21"/>
        <v>0</v>
      </c>
      <c r="AI33" s="182"/>
      <c r="AJ33" s="90"/>
      <c r="AK33" s="90"/>
      <c r="AL33" s="183">
        <f t="shared" si="22"/>
        <v>0</v>
      </c>
      <c r="AM33" s="182"/>
      <c r="AN33" s="90"/>
      <c r="AO33" s="90"/>
      <c r="AP33" s="183">
        <f t="shared" si="23"/>
        <v>0</v>
      </c>
      <c r="AQ33" s="182"/>
      <c r="AR33" s="90"/>
      <c r="AS33" s="90"/>
      <c r="AT33" s="183">
        <f t="shared" si="24"/>
        <v>0</v>
      </c>
      <c r="AU33" s="182"/>
      <c r="AV33" s="90"/>
      <c r="AW33" s="90"/>
      <c r="AX33" s="183">
        <f t="shared" si="25"/>
        <v>0</v>
      </c>
      <c r="AY33" s="182"/>
      <c r="AZ33" s="90"/>
      <c r="BA33" s="90"/>
      <c r="BB33" s="183">
        <f t="shared" si="26"/>
        <v>0</v>
      </c>
      <c r="BC33" s="182"/>
      <c r="BD33" s="90"/>
      <c r="BE33" s="90"/>
      <c r="BF33" s="183">
        <f t="shared" si="27"/>
        <v>0</v>
      </c>
      <c r="BG33" s="182"/>
      <c r="BH33" s="90"/>
      <c r="BI33" s="90"/>
      <c r="BJ33" s="183">
        <f t="shared" si="28"/>
        <v>0</v>
      </c>
      <c r="BK33" s="182"/>
      <c r="BL33" s="90"/>
      <c r="BM33" s="90"/>
      <c r="BN33" s="183">
        <f t="shared" si="29"/>
        <v>0</v>
      </c>
      <c r="BO33" s="182"/>
      <c r="BP33" s="90"/>
      <c r="BQ33" s="90"/>
      <c r="BR33" s="183">
        <f t="shared" si="30"/>
        <v>0</v>
      </c>
      <c r="BS33" s="182"/>
      <c r="BT33" s="90"/>
      <c r="BU33" s="90"/>
      <c r="BV33" s="183">
        <f t="shared" si="31"/>
        <v>0</v>
      </c>
      <c r="BW33" s="182"/>
      <c r="BX33" s="90"/>
      <c r="BY33" s="90"/>
      <c r="BZ33" s="183">
        <f t="shared" si="32"/>
        <v>0</v>
      </c>
      <c r="CA33" s="182"/>
      <c r="CB33" s="90"/>
      <c r="CC33" s="90"/>
      <c r="CD33" s="183">
        <f t="shared" si="33"/>
        <v>0</v>
      </c>
    </row>
    <row r="34" spans="2:82" x14ac:dyDescent="0.3">
      <c r="B34" s="53"/>
      <c r="C34" s="53" t="str">
        <f t="shared" si="0"/>
        <v>CPU_</v>
      </c>
      <c r="D34" s="278">
        <f t="shared" si="1"/>
        <v>0</v>
      </c>
      <c r="E34" s="278">
        <f t="shared" si="2"/>
        <v>0</v>
      </c>
      <c r="F34" s="1"/>
      <c r="G34" s="28" t="str">
        <f>IFERROR(VLOOKUP(F34,Tabela7[[RECURSO]:[CUSTO]],2,FALSE),"")</f>
        <v/>
      </c>
      <c r="H34" s="93"/>
      <c r="I34" s="90"/>
      <c r="J34" s="45">
        <f>IFERROR(VLOOKUP(F34,Tabela7[[RECURSO]:[CUSTO]],3,FALSE),0)</f>
        <v>0</v>
      </c>
      <c r="K34" s="45">
        <f t="shared" si="34"/>
        <v>0</v>
      </c>
      <c r="AD34" s="144">
        <f t="shared" si="3"/>
        <v>0</v>
      </c>
      <c r="AE34" s="179"/>
      <c r="AF34" s="180">
        <f t="shared" si="20"/>
        <v>0</v>
      </c>
      <c r="AG34" s="180">
        <f t="shared" si="17"/>
        <v>0</v>
      </c>
      <c r="AH34" s="181">
        <f t="shared" si="21"/>
        <v>0</v>
      </c>
      <c r="AI34" s="182"/>
      <c r="AJ34" s="90"/>
      <c r="AK34" s="90"/>
      <c r="AL34" s="183">
        <f t="shared" si="22"/>
        <v>0</v>
      </c>
      <c r="AM34" s="182"/>
      <c r="AN34" s="90"/>
      <c r="AO34" s="90"/>
      <c r="AP34" s="183">
        <f t="shared" si="23"/>
        <v>0</v>
      </c>
      <c r="AQ34" s="182"/>
      <c r="AR34" s="90"/>
      <c r="AS34" s="90"/>
      <c r="AT34" s="183">
        <f t="shared" si="24"/>
        <v>0</v>
      </c>
      <c r="AU34" s="182"/>
      <c r="AV34" s="90"/>
      <c r="AW34" s="90"/>
      <c r="AX34" s="183">
        <f t="shared" si="25"/>
        <v>0</v>
      </c>
      <c r="AY34" s="182"/>
      <c r="AZ34" s="90"/>
      <c r="BA34" s="90"/>
      <c r="BB34" s="183">
        <f t="shared" si="26"/>
        <v>0</v>
      </c>
      <c r="BC34" s="182"/>
      <c r="BD34" s="90"/>
      <c r="BE34" s="90"/>
      <c r="BF34" s="183">
        <f t="shared" si="27"/>
        <v>0</v>
      </c>
      <c r="BG34" s="182"/>
      <c r="BH34" s="90"/>
      <c r="BI34" s="90"/>
      <c r="BJ34" s="183">
        <f t="shared" si="28"/>
        <v>0</v>
      </c>
      <c r="BK34" s="182"/>
      <c r="BL34" s="90"/>
      <c r="BM34" s="90"/>
      <c r="BN34" s="183">
        <f t="shared" si="29"/>
        <v>0</v>
      </c>
      <c r="BO34" s="182"/>
      <c r="BP34" s="90"/>
      <c r="BQ34" s="90"/>
      <c r="BR34" s="183">
        <f t="shared" si="30"/>
        <v>0</v>
      </c>
      <c r="BS34" s="182"/>
      <c r="BT34" s="90"/>
      <c r="BU34" s="90"/>
      <c r="BV34" s="183">
        <f t="shared" si="31"/>
        <v>0</v>
      </c>
      <c r="BW34" s="182"/>
      <c r="BX34" s="90"/>
      <c r="BY34" s="90"/>
      <c r="BZ34" s="183">
        <f t="shared" si="32"/>
        <v>0</v>
      </c>
      <c r="CA34" s="182"/>
      <c r="CB34" s="90"/>
      <c r="CC34" s="90"/>
      <c r="CD34" s="183">
        <f t="shared" si="33"/>
        <v>0</v>
      </c>
    </row>
    <row r="35" spans="2:82" x14ac:dyDescent="0.3">
      <c r="B35" s="53"/>
      <c r="C35" s="53" t="str">
        <f t="shared" si="0"/>
        <v>CPU_</v>
      </c>
      <c r="D35" s="278">
        <f t="shared" si="1"/>
        <v>0</v>
      </c>
      <c r="E35" s="278">
        <f t="shared" si="2"/>
        <v>0</v>
      </c>
      <c r="F35" s="1"/>
      <c r="G35" s="28" t="str">
        <f>IFERROR(VLOOKUP(F35,Tabela7[[RECURSO]:[CUSTO]],2,FALSE),"")</f>
        <v/>
      </c>
      <c r="H35" s="93"/>
      <c r="I35" s="90"/>
      <c r="J35" s="45">
        <f>IFERROR(VLOOKUP(F35,Tabela7[[RECURSO]:[CUSTO]],3,FALSE),0)</f>
        <v>0</v>
      </c>
      <c r="K35" s="45">
        <f t="shared" si="34"/>
        <v>0</v>
      </c>
      <c r="AD35" s="144">
        <f t="shared" si="3"/>
        <v>0</v>
      </c>
      <c r="AE35" s="179"/>
      <c r="AF35" s="180">
        <f t="shared" si="20"/>
        <v>0</v>
      </c>
      <c r="AG35" s="180">
        <f t="shared" si="17"/>
        <v>0</v>
      </c>
      <c r="AH35" s="181">
        <f t="shared" si="21"/>
        <v>0</v>
      </c>
      <c r="AI35" s="182"/>
      <c r="AJ35" s="90"/>
      <c r="AK35" s="90"/>
      <c r="AL35" s="183">
        <f t="shared" si="22"/>
        <v>0</v>
      </c>
      <c r="AM35" s="182"/>
      <c r="AN35" s="90"/>
      <c r="AO35" s="90"/>
      <c r="AP35" s="183">
        <f t="shared" si="23"/>
        <v>0</v>
      </c>
      <c r="AQ35" s="182"/>
      <c r="AR35" s="90"/>
      <c r="AS35" s="90"/>
      <c r="AT35" s="183">
        <f t="shared" si="24"/>
        <v>0</v>
      </c>
      <c r="AU35" s="182"/>
      <c r="AV35" s="90"/>
      <c r="AW35" s="90"/>
      <c r="AX35" s="183">
        <f t="shared" si="25"/>
        <v>0</v>
      </c>
      <c r="AY35" s="182"/>
      <c r="AZ35" s="90"/>
      <c r="BA35" s="90"/>
      <c r="BB35" s="183">
        <f t="shared" si="26"/>
        <v>0</v>
      </c>
      <c r="BC35" s="182"/>
      <c r="BD35" s="90"/>
      <c r="BE35" s="90"/>
      <c r="BF35" s="183">
        <f t="shared" si="27"/>
        <v>0</v>
      </c>
      <c r="BG35" s="182"/>
      <c r="BH35" s="90"/>
      <c r="BI35" s="90"/>
      <c r="BJ35" s="183">
        <f t="shared" si="28"/>
        <v>0</v>
      </c>
      <c r="BK35" s="182"/>
      <c r="BL35" s="90"/>
      <c r="BM35" s="90"/>
      <c r="BN35" s="183">
        <f t="shared" si="29"/>
        <v>0</v>
      </c>
      <c r="BO35" s="182"/>
      <c r="BP35" s="90"/>
      <c r="BQ35" s="90"/>
      <c r="BR35" s="183">
        <f t="shared" si="30"/>
        <v>0</v>
      </c>
      <c r="BS35" s="182"/>
      <c r="BT35" s="90"/>
      <c r="BU35" s="90"/>
      <c r="BV35" s="183">
        <f t="shared" si="31"/>
        <v>0</v>
      </c>
      <c r="BW35" s="182"/>
      <c r="BX35" s="90"/>
      <c r="BY35" s="90"/>
      <c r="BZ35" s="183">
        <f t="shared" si="32"/>
        <v>0</v>
      </c>
      <c r="CA35" s="182"/>
      <c r="CB35" s="90"/>
      <c r="CC35" s="90"/>
      <c r="CD35" s="183">
        <f t="shared" si="33"/>
        <v>0</v>
      </c>
    </row>
    <row r="36" spans="2:82" x14ac:dyDescent="0.3">
      <c r="B36" s="53"/>
      <c r="C36" s="53" t="str">
        <f t="shared" si="0"/>
        <v>CPU_</v>
      </c>
      <c r="D36" s="278">
        <f t="shared" si="1"/>
        <v>0</v>
      </c>
      <c r="E36" s="278">
        <f t="shared" si="2"/>
        <v>0</v>
      </c>
      <c r="F36" s="1"/>
      <c r="G36" s="28" t="str">
        <f>IFERROR(VLOOKUP(F36,Tabela7[[RECURSO]:[CUSTO]],2,FALSE),"")</f>
        <v/>
      </c>
      <c r="H36" s="93"/>
      <c r="I36" s="90"/>
      <c r="J36" s="45">
        <f>IFERROR(VLOOKUP(F36,Tabela7[[RECURSO]:[CUSTO]],3,FALSE),0)</f>
        <v>0</v>
      </c>
      <c r="K36" s="45">
        <f t="shared" si="34"/>
        <v>0</v>
      </c>
      <c r="AD36" s="144">
        <f t="shared" si="3"/>
        <v>0</v>
      </c>
      <c r="AE36" s="179"/>
      <c r="AF36" s="180">
        <f t="shared" si="20"/>
        <v>0</v>
      </c>
      <c r="AG36" s="180">
        <f t="shared" si="17"/>
        <v>0</v>
      </c>
      <c r="AH36" s="181">
        <f t="shared" si="21"/>
        <v>0</v>
      </c>
      <c r="AI36" s="182"/>
      <c r="AJ36" s="90"/>
      <c r="AK36" s="90"/>
      <c r="AL36" s="183">
        <f t="shared" si="22"/>
        <v>0</v>
      </c>
      <c r="AM36" s="182"/>
      <c r="AN36" s="90"/>
      <c r="AO36" s="90"/>
      <c r="AP36" s="183">
        <f t="shared" si="23"/>
        <v>0</v>
      </c>
      <c r="AQ36" s="182"/>
      <c r="AR36" s="90"/>
      <c r="AS36" s="90"/>
      <c r="AT36" s="183">
        <f t="shared" si="24"/>
        <v>0</v>
      </c>
      <c r="AU36" s="182"/>
      <c r="AV36" s="90"/>
      <c r="AW36" s="90"/>
      <c r="AX36" s="183">
        <f t="shared" si="25"/>
        <v>0</v>
      </c>
      <c r="AY36" s="182"/>
      <c r="AZ36" s="90"/>
      <c r="BA36" s="90"/>
      <c r="BB36" s="183">
        <f t="shared" si="26"/>
        <v>0</v>
      </c>
      <c r="BC36" s="182"/>
      <c r="BD36" s="90"/>
      <c r="BE36" s="90"/>
      <c r="BF36" s="183">
        <f t="shared" si="27"/>
        <v>0</v>
      </c>
      <c r="BG36" s="182"/>
      <c r="BH36" s="90"/>
      <c r="BI36" s="90"/>
      <c r="BJ36" s="183">
        <f t="shared" si="28"/>
        <v>0</v>
      </c>
      <c r="BK36" s="182"/>
      <c r="BL36" s="90"/>
      <c r="BM36" s="90"/>
      <c r="BN36" s="183">
        <f t="shared" si="29"/>
        <v>0</v>
      </c>
      <c r="BO36" s="182"/>
      <c r="BP36" s="90"/>
      <c r="BQ36" s="90"/>
      <c r="BR36" s="183">
        <f t="shared" si="30"/>
        <v>0</v>
      </c>
      <c r="BS36" s="182"/>
      <c r="BT36" s="90"/>
      <c r="BU36" s="90"/>
      <c r="BV36" s="183">
        <f t="shared" si="31"/>
        <v>0</v>
      </c>
      <c r="BW36" s="182"/>
      <c r="BX36" s="90"/>
      <c r="BY36" s="90"/>
      <c r="BZ36" s="183">
        <f t="shared" si="32"/>
        <v>0</v>
      </c>
      <c r="CA36" s="182"/>
      <c r="CB36" s="90"/>
      <c r="CC36" s="90"/>
      <c r="CD36" s="183">
        <f t="shared" si="33"/>
        <v>0</v>
      </c>
    </row>
    <row r="37" spans="2:82" x14ac:dyDescent="0.3">
      <c r="B37" s="52" t="s">
        <v>692</v>
      </c>
      <c r="C37" s="52" t="str">
        <f t="shared" si="0"/>
        <v>CPU_</v>
      </c>
      <c r="D37" s="277">
        <f t="shared" si="1"/>
        <v>0</v>
      </c>
      <c r="E37" s="277">
        <f t="shared" si="2"/>
        <v>0</v>
      </c>
      <c r="F37" s="37"/>
      <c r="G37" s="38"/>
      <c r="H37" s="91"/>
      <c r="I37" s="40"/>
      <c r="J37" s="40">
        <f>IFERROR(K37/$B$6,0)</f>
        <v>0</v>
      </c>
      <c r="K37" s="40">
        <f>SUM(K38:K49)</f>
        <v>0</v>
      </c>
      <c r="N37" s="39"/>
      <c r="AD37" s="144">
        <f t="shared" si="3"/>
        <v>0</v>
      </c>
      <c r="AE37" s="184"/>
      <c r="AF37" s="40"/>
      <c r="AG37" s="40">
        <f>IFERROR(AH37/AF$3,0)</f>
        <v>0</v>
      </c>
      <c r="AH37" s="185">
        <f>SUM(AH38:AH49)</f>
        <v>0</v>
      </c>
      <c r="AI37" s="184"/>
      <c r="AJ37" s="40"/>
      <c r="AK37" s="40">
        <f>IFERROR(AL37/AJ$3,0)</f>
        <v>0</v>
      </c>
      <c r="AL37" s="185">
        <f>SUM(AL38:AL49)</f>
        <v>0</v>
      </c>
      <c r="AM37" s="184"/>
      <c r="AN37" s="40"/>
      <c r="AO37" s="40">
        <f>IFERROR(AP37/AN$3,0)</f>
        <v>0</v>
      </c>
      <c r="AP37" s="185">
        <f>SUM(AP38:AP49)</f>
        <v>0</v>
      </c>
      <c r="AQ37" s="184"/>
      <c r="AR37" s="40"/>
      <c r="AS37" s="40">
        <f>IFERROR(AT37/AR$3,0)</f>
        <v>0</v>
      </c>
      <c r="AT37" s="185">
        <f>SUM(AT38:AT49)</f>
        <v>0</v>
      </c>
      <c r="AU37" s="184"/>
      <c r="AV37" s="40"/>
      <c r="AW37" s="40">
        <f>IFERROR(AX37/AV$3,0)</f>
        <v>0</v>
      </c>
      <c r="AX37" s="185">
        <f>SUM(AX38:AX49)</f>
        <v>0</v>
      </c>
      <c r="AY37" s="184"/>
      <c r="AZ37" s="40"/>
      <c r="BA37" s="40">
        <f>IFERROR(BB37/AZ$3,0)</f>
        <v>0</v>
      </c>
      <c r="BB37" s="185">
        <f>SUM(BB38:BB49)</f>
        <v>0</v>
      </c>
      <c r="BC37" s="184"/>
      <c r="BD37" s="40"/>
      <c r="BE37" s="40">
        <f>IFERROR(BF37/BD$3,0)</f>
        <v>0</v>
      </c>
      <c r="BF37" s="185">
        <f>SUM(BF38:BF49)</f>
        <v>0</v>
      </c>
      <c r="BG37" s="184"/>
      <c r="BH37" s="40"/>
      <c r="BI37" s="40">
        <f>IFERROR(BJ37/BH$3,0)</f>
        <v>0</v>
      </c>
      <c r="BJ37" s="185">
        <f>SUM(BJ38:BJ49)</f>
        <v>0</v>
      </c>
      <c r="BK37" s="184"/>
      <c r="BL37" s="40"/>
      <c r="BM37" s="40">
        <f>IFERROR(BN37/BL$3,0)</f>
        <v>0</v>
      </c>
      <c r="BN37" s="185">
        <f>SUM(BN38:BN49)</f>
        <v>0</v>
      </c>
      <c r="BO37" s="184"/>
      <c r="BP37" s="40"/>
      <c r="BQ37" s="40">
        <f>IFERROR(BR37/BP$3,0)</f>
        <v>0</v>
      </c>
      <c r="BR37" s="185">
        <f>SUM(BR38:BR49)</f>
        <v>0</v>
      </c>
      <c r="BS37" s="184"/>
      <c r="BT37" s="40"/>
      <c r="BU37" s="40">
        <f>IFERROR(BV37/BT$3,0)</f>
        <v>0</v>
      </c>
      <c r="BV37" s="185">
        <f>SUM(BV38:BV49)</f>
        <v>0</v>
      </c>
      <c r="BW37" s="184"/>
      <c r="BX37" s="40"/>
      <c r="BY37" s="40">
        <f>IFERROR(BZ37/BX$3,0)</f>
        <v>0</v>
      </c>
      <c r="BZ37" s="185">
        <f>SUM(BZ38:BZ49)</f>
        <v>0</v>
      </c>
      <c r="CA37" s="184"/>
      <c r="CB37" s="40"/>
      <c r="CC37" s="40">
        <f>IFERROR(CD37/CB$3,0)</f>
        <v>0</v>
      </c>
      <c r="CD37" s="185">
        <f>SUM(CD38:CD49)</f>
        <v>0</v>
      </c>
    </row>
    <row r="38" spans="2:82" x14ac:dyDescent="0.3">
      <c r="B38" s="54"/>
      <c r="C38" s="54" t="str">
        <f t="shared" si="0"/>
        <v>CPU_</v>
      </c>
      <c r="D38" s="280">
        <f t="shared" si="1"/>
        <v>0</v>
      </c>
      <c r="E38" s="280">
        <f t="shared" si="2"/>
        <v>0</v>
      </c>
      <c r="F38" s="1"/>
      <c r="G38" s="28" t="str">
        <f>IFERROR(VLOOKUP(F38,Tabela7[[RECURSO]:[CUSTO]],2,FALSE),"")</f>
        <v/>
      </c>
      <c r="H38" s="92"/>
      <c r="I38" s="90"/>
      <c r="J38" s="45">
        <f>IFERROR(VLOOKUP(F38,Tabela7[[RECURSO]:[CUSTO]],3,FALSE),0)</f>
        <v>0</v>
      </c>
      <c r="K38" s="45">
        <f>I38*J38*CPU[[#This Row],[Nº]]</f>
        <v>0</v>
      </c>
      <c r="AD38" s="144">
        <f t="shared" si="3"/>
        <v>0</v>
      </c>
      <c r="AE38" s="186"/>
      <c r="AF38" s="180">
        <f t="shared" ref="AF38:AF49" si="35">AJ38+AN38+AR38+AV38+AZ38+BD38+BH38+BL38+BP38+BT38+BX38+CB38</f>
        <v>0</v>
      </c>
      <c r="AG38" s="180">
        <f t="shared" si="17"/>
        <v>0</v>
      </c>
      <c r="AH38" s="181">
        <f t="shared" ref="AH38:AH49" si="36">AL38+AP38+AT38+AX38+BB38+BF38+BJ38+BN38+BR38+BV38+BZ38+CD38</f>
        <v>0</v>
      </c>
      <c r="AI38" s="187"/>
      <c r="AJ38" s="90"/>
      <c r="AK38" s="90"/>
      <c r="AL38" s="183">
        <f t="shared" ref="AL38:AL49" si="37">AJ38*AK38</f>
        <v>0</v>
      </c>
      <c r="AM38" s="187"/>
      <c r="AN38" s="90"/>
      <c r="AO38" s="90"/>
      <c r="AP38" s="183">
        <f t="shared" si="23"/>
        <v>0</v>
      </c>
      <c r="AQ38" s="187"/>
      <c r="AR38" s="90"/>
      <c r="AS38" s="90"/>
      <c r="AT38" s="183">
        <f t="shared" si="24"/>
        <v>0</v>
      </c>
      <c r="AU38" s="187"/>
      <c r="AV38" s="90"/>
      <c r="AW38" s="90"/>
      <c r="AX38" s="183">
        <f t="shared" si="25"/>
        <v>0</v>
      </c>
      <c r="AY38" s="187"/>
      <c r="AZ38" s="90"/>
      <c r="BA38" s="90"/>
      <c r="BB38" s="183">
        <f t="shared" si="26"/>
        <v>0</v>
      </c>
      <c r="BC38" s="187"/>
      <c r="BD38" s="90"/>
      <c r="BE38" s="90"/>
      <c r="BF38" s="183">
        <f t="shared" si="27"/>
        <v>0</v>
      </c>
      <c r="BG38" s="187"/>
      <c r="BH38" s="90"/>
      <c r="BI38" s="90"/>
      <c r="BJ38" s="183">
        <f t="shared" si="28"/>
        <v>0</v>
      </c>
      <c r="BK38" s="187"/>
      <c r="BL38" s="90"/>
      <c r="BM38" s="90"/>
      <c r="BN38" s="183">
        <f t="shared" si="29"/>
        <v>0</v>
      </c>
      <c r="BO38" s="187"/>
      <c r="BP38" s="90"/>
      <c r="BQ38" s="90"/>
      <c r="BR38" s="183">
        <f t="shared" si="30"/>
        <v>0</v>
      </c>
      <c r="BS38" s="187"/>
      <c r="BT38" s="90"/>
      <c r="BU38" s="90"/>
      <c r="BV38" s="183">
        <f t="shared" si="31"/>
        <v>0</v>
      </c>
      <c r="BW38" s="187"/>
      <c r="BX38" s="90"/>
      <c r="BY38" s="90"/>
      <c r="BZ38" s="183">
        <f t="shared" si="32"/>
        <v>0</v>
      </c>
      <c r="CA38" s="187"/>
      <c r="CB38" s="90"/>
      <c r="CC38" s="90"/>
      <c r="CD38" s="183">
        <f t="shared" si="33"/>
        <v>0</v>
      </c>
    </row>
    <row r="39" spans="2:82" x14ac:dyDescent="0.3">
      <c r="B39" s="54"/>
      <c r="C39" s="54" t="str">
        <f t="shared" si="0"/>
        <v>CPU_</v>
      </c>
      <c r="D39" s="280">
        <f t="shared" si="1"/>
        <v>0</v>
      </c>
      <c r="E39" s="280">
        <f t="shared" si="2"/>
        <v>0</v>
      </c>
      <c r="F39" s="1"/>
      <c r="G39" s="28" t="str">
        <f>IFERROR(VLOOKUP(F39,Tabela7[[RECURSO]:[CUSTO]],2,FALSE),"")</f>
        <v/>
      </c>
      <c r="H39" s="92"/>
      <c r="I39" s="90"/>
      <c r="J39" s="45">
        <f>IFERROR(VLOOKUP(F39,Tabela7[[RECURSO]:[CUSTO]],3,FALSE),0)</f>
        <v>0</v>
      </c>
      <c r="K39" s="45">
        <f>I39*J39*CPU[[#This Row],[Nº]]</f>
        <v>0</v>
      </c>
      <c r="AD39" s="144">
        <f t="shared" si="3"/>
        <v>0</v>
      </c>
      <c r="AE39" s="186"/>
      <c r="AF39" s="180">
        <f t="shared" si="35"/>
        <v>0</v>
      </c>
      <c r="AG39" s="180">
        <f t="shared" si="17"/>
        <v>0</v>
      </c>
      <c r="AH39" s="181">
        <f t="shared" si="36"/>
        <v>0</v>
      </c>
      <c r="AI39" s="187"/>
      <c r="AJ39" s="90"/>
      <c r="AK39" s="90"/>
      <c r="AL39" s="183">
        <f t="shared" si="37"/>
        <v>0</v>
      </c>
      <c r="AM39" s="187"/>
      <c r="AN39" s="90"/>
      <c r="AO39" s="90"/>
      <c r="AP39" s="183">
        <f t="shared" si="23"/>
        <v>0</v>
      </c>
      <c r="AQ39" s="187"/>
      <c r="AR39" s="90"/>
      <c r="AS39" s="90"/>
      <c r="AT39" s="183">
        <f t="shared" si="24"/>
        <v>0</v>
      </c>
      <c r="AU39" s="187"/>
      <c r="AV39" s="90"/>
      <c r="AW39" s="90"/>
      <c r="AX39" s="183">
        <f t="shared" si="25"/>
        <v>0</v>
      </c>
      <c r="AY39" s="187"/>
      <c r="AZ39" s="90"/>
      <c r="BA39" s="90"/>
      <c r="BB39" s="183">
        <f t="shared" si="26"/>
        <v>0</v>
      </c>
      <c r="BC39" s="187"/>
      <c r="BD39" s="90"/>
      <c r="BE39" s="90"/>
      <c r="BF39" s="183">
        <f t="shared" si="27"/>
        <v>0</v>
      </c>
      <c r="BG39" s="187"/>
      <c r="BH39" s="90"/>
      <c r="BI39" s="90"/>
      <c r="BJ39" s="183">
        <f t="shared" si="28"/>
        <v>0</v>
      </c>
      <c r="BK39" s="187"/>
      <c r="BL39" s="90"/>
      <c r="BM39" s="90"/>
      <c r="BN39" s="183">
        <f t="shared" si="29"/>
        <v>0</v>
      </c>
      <c r="BO39" s="187"/>
      <c r="BP39" s="90"/>
      <c r="BQ39" s="90"/>
      <c r="BR39" s="183">
        <f t="shared" si="30"/>
        <v>0</v>
      </c>
      <c r="BS39" s="187"/>
      <c r="BT39" s="90"/>
      <c r="BU39" s="90"/>
      <c r="BV39" s="183">
        <f t="shared" si="31"/>
        <v>0</v>
      </c>
      <c r="BW39" s="187"/>
      <c r="BX39" s="90"/>
      <c r="BY39" s="90"/>
      <c r="BZ39" s="183">
        <f t="shared" si="32"/>
        <v>0</v>
      </c>
      <c r="CA39" s="187"/>
      <c r="CB39" s="90"/>
      <c r="CC39" s="90"/>
      <c r="CD39" s="183">
        <f t="shared" si="33"/>
        <v>0</v>
      </c>
    </row>
    <row r="40" spans="2:82" x14ac:dyDescent="0.3">
      <c r="B40" s="54"/>
      <c r="C40" s="54" t="str">
        <f t="shared" si="0"/>
        <v>CPU_</v>
      </c>
      <c r="D40" s="280">
        <f t="shared" si="1"/>
        <v>0</v>
      </c>
      <c r="E40" s="280">
        <f t="shared" si="2"/>
        <v>0</v>
      </c>
      <c r="F40" s="1"/>
      <c r="G40" s="28" t="str">
        <f>IFERROR(VLOOKUP(F40,Tabela7[[RECURSO]:[CUSTO]],2,FALSE),"")</f>
        <v/>
      </c>
      <c r="H40" s="92"/>
      <c r="I40" s="90"/>
      <c r="J40" s="45">
        <f>IFERROR(VLOOKUP(F40,Tabela7[[RECURSO]:[CUSTO]],3,FALSE),0)</f>
        <v>0</v>
      </c>
      <c r="K40" s="45">
        <f>I40*J40*CPU[[#This Row],[Nº]]</f>
        <v>0</v>
      </c>
      <c r="AD40" s="144">
        <f t="shared" si="3"/>
        <v>0</v>
      </c>
      <c r="AE40" s="186"/>
      <c r="AF40" s="180">
        <f t="shared" si="35"/>
        <v>0</v>
      </c>
      <c r="AG40" s="180">
        <f t="shared" si="17"/>
        <v>0</v>
      </c>
      <c r="AH40" s="181">
        <f t="shared" si="36"/>
        <v>0</v>
      </c>
      <c r="AI40" s="187"/>
      <c r="AJ40" s="90"/>
      <c r="AK40" s="90"/>
      <c r="AL40" s="183">
        <f t="shared" si="37"/>
        <v>0</v>
      </c>
      <c r="AM40" s="187"/>
      <c r="AN40" s="90"/>
      <c r="AO40" s="90"/>
      <c r="AP40" s="183">
        <f t="shared" si="23"/>
        <v>0</v>
      </c>
      <c r="AQ40" s="187"/>
      <c r="AR40" s="90"/>
      <c r="AS40" s="90"/>
      <c r="AT40" s="183">
        <f t="shared" si="24"/>
        <v>0</v>
      </c>
      <c r="AU40" s="187"/>
      <c r="AV40" s="90"/>
      <c r="AW40" s="90"/>
      <c r="AX40" s="183">
        <f t="shared" si="25"/>
        <v>0</v>
      </c>
      <c r="AY40" s="187"/>
      <c r="AZ40" s="90"/>
      <c r="BA40" s="90"/>
      <c r="BB40" s="183">
        <f t="shared" si="26"/>
        <v>0</v>
      </c>
      <c r="BC40" s="187"/>
      <c r="BD40" s="90"/>
      <c r="BE40" s="90"/>
      <c r="BF40" s="183">
        <f t="shared" si="27"/>
        <v>0</v>
      </c>
      <c r="BG40" s="187"/>
      <c r="BH40" s="90"/>
      <c r="BI40" s="90"/>
      <c r="BJ40" s="183">
        <f t="shared" si="28"/>
        <v>0</v>
      </c>
      <c r="BK40" s="187"/>
      <c r="BL40" s="90"/>
      <c r="BM40" s="90"/>
      <c r="BN40" s="183">
        <f t="shared" si="29"/>
        <v>0</v>
      </c>
      <c r="BO40" s="187"/>
      <c r="BP40" s="90"/>
      <c r="BQ40" s="90"/>
      <c r="BR40" s="183">
        <f t="shared" si="30"/>
        <v>0</v>
      </c>
      <c r="BS40" s="187"/>
      <c r="BT40" s="90"/>
      <c r="BU40" s="90"/>
      <c r="BV40" s="183">
        <f t="shared" si="31"/>
        <v>0</v>
      </c>
      <c r="BW40" s="187"/>
      <c r="BX40" s="90"/>
      <c r="BY40" s="90"/>
      <c r="BZ40" s="183">
        <f t="shared" si="32"/>
        <v>0</v>
      </c>
      <c r="CA40" s="187"/>
      <c r="CB40" s="90"/>
      <c r="CC40" s="90"/>
      <c r="CD40" s="183">
        <f t="shared" si="33"/>
        <v>0</v>
      </c>
    </row>
    <row r="41" spans="2:82" x14ac:dyDescent="0.3">
      <c r="B41" s="54"/>
      <c r="C41" s="54" t="str">
        <f t="shared" si="0"/>
        <v>CPU_</v>
      </c>
      <c r="D41" s="280">
        <f t="shared" si="1"/>
        <v>0</v>
      </c>
      <c r="E41" s="280">
        <f t="shared" si="2"/>
        <v>0</v>
      </c>
      <c r="F41" s="1"/>
      <c r="G41" s="28" t="str">
        <f>IFERROR(VLOOKUP(F41,Tabela7[[RECURSO]:[CUSTO]],2,FALSE),"")</f>
        <v/>
      </c>
      <c r="H41" s="92"/>
      <c r="I41" s="90"/>
      <c r="J41" s="45">
        <f>IFERROR(VLOOKUP(F41,Tabela7[[RECURSO]:[CUSTO]],3,FALSE),0)</f>
        <v>0</v>
      </c>
      <c r="K41" s="45">
        <f>I41*J41*CPU[[#This Row],[Nº]]</f>
        <v>0</v>
      </c>
      <c r="AD41" s="144">
        <f t="shared" si="3"/>
        <v>0</v>
      </c>
      <c r="AE41" s="186"/>
      <c r="AF41" s="180">
        <f t="shared" si="35"/>
        <v>0</v>
      </c>
      <c r="AG41" s="180">
        <f t="shared" si="17"/>
        <v>0</v>
      </c>
      <c r="AH41" s="181">
        <f t="shared" si="36"/>
        <v>0</v>
      </c>
      <c r="AI41" s="187"/>
      <c r="AJ41" s="90"/>
      <c r="AK41" s="90"/>
      <c r="AL41" s="183">
        <f t="shared" si="37"/>
        <v>0</v>
      </c>
      <c r="AM41" s="187"/>
      <c r="AN41" s="90"/>
      <c r="AO41" s="90"/>
      <c r="AP41" s="183">
        <f t="shared" si="23"/>
        <v>0</v>
      </c>
      <c r="AQ41" s="187"/>
      <c r="AR41" s="90"/>
      <c r="AS41" s="90"/>
      <c r="AT41" s="183">
        <f t="shared" si="24"/>
        <v>0</v>
      </c>
      <c r="AU41" s="187"/>
      <c r="AV41" s="90"/>
      <c r="AW41" s="90"/>
      <c r="AX41" s="183">
        <f t="shared" si="25"/>
        <v>0</v>
      </c>
      <c r="AY41" s="187"/>
      <c r="AZ41" s="90"/>
      <c r="BA41" s="90"/>
      <c r="BB41" s="183">
        <f t="shared" si="26"/>
        <v>0</v>
      </c>
      <c r="BC41" s="187"/>
      <c r="BD41" s="90"/>
      <c r="BE41" s="90"/>
      <c r="BF41" s="183">
        <f t="shared" si="27"/>
        <v>0</v>
      </c>
      <c r="BG41" s="187"/>
      <c r="BH41" s="90"/>
      <c r="BI41" s="90"/>
      <c r="BJ41" s="183">
        <f t="shared" si="28"/>
        <v>0</v>
      </c>
      <c r="BK41" s="187"/>
      <c r="BL41" s="90"/>
      <c r="BM41" s="90"/>
      <c r="BN41" s="183">
        <f t="shared" si="29"/>
        <v>0</v>
      </c>
      <c r="BO41" s="187"/>
      <c r="BP41" s="90"/>
      <c r="BQ41" s="90"/>
      <c r="BR41" s="183">
        <f t="shared" si="30"/>
        <v>0</v>
      </c>
      <c r="BS41" s="187"/>
      <c r="BT41" s="90"/>
      <c r="BU41" s="90"/>
      <c r="BV41" s="183">
        <f t="shared" si="31"/>
        <v>0</v>
      </c>
      <c r="BW41" s="187"/>
      <c r="BX41" s="90"/>
      <c r="BY41" s="90"/>
      <c r="BZ41" s="183">
        <f t="shared" si="32"/>
        <v>0</v>
      </c>
      <c r="CA41" s="187"/>
      <c r="CB41" s="90"/>
      <c r="CC41" s="90"/>
      <c r="CD41" s="183">
        <f t="shared" si="33"/>
        <v>0</v>
      </c>
    </row>
    <row r="42" spans="2:82" x14ac:dyDescent="0.3">
      <c r="B42" s="54"/>
      <c r="C42" s="54" t="str">
        <f t="shared" si="0"/>
        <v>CPU_</v>
      </c>
      <c r="D42" s="280">
        <f t="shared" si="1"/>
        <v>0</v>
      </c>
      <c r="E42" s="280">
        <f t="shared" si="2"/>
        <v>0</v>
      </c>
      <c r="F42" s="1"/>
      <c r="G42" s="28" t="str">
        <f>IFERROR(VLOOKUP(F42,Tabela7[[RECURSO]:[CUSTO]],2,FALSE),"")</f>
        <v/>
      </c>
      <c r="H42" s="92"/>
      <c r="I42" s="90"/>
      <c r="J42" s="45">
        <f>IFERROR(VLOOKUP(F42,Tabela7[[RECURSO]:[CUSTO]],3,FALSE),0)</f>
        <v>0</v>
      </c>
      <c r="K42" s="45">
        <f>I42*J42*CPU[[#This Row],[Nº]]</f>
        <v>0</v>
      </c>
      <c r="AD42" s="144">
        <f t="shared" si="3"/>
        <v>0</v>
      </c>
      <c r="AE42" s="186"/>
      <c r="AF42" s="180">
        <f t="shared" si="35"/>
        <v>0</v>
      </c>
      <c r="AG42" s="180">
        <f t="shared" si="17"/>
        <v>0</v>
      </c>
      <c r="AH42" s="181">
        <f t="shared" si="36"/>
        <v>0</v>
      </c>
      <c r="AI42" s="187"/>
      <c r="AJ42" s="90"/>
      <c r="AK42" s="90"/>
      <c r="AL42" s="183">
        <f t="shared" si="37"/>
        <v>0</v>
      </c>
      <c r="AM42" s="187"/>
      <c r="AN42" s="90"/>
      <c r="AO42" s="90"/>
      <c r="AP42" s="183">
        <f t="shared" si="23"/>
        <v>0</v>
      </c>
      <c r="AQ42" s="187"/>
      <c r="AR42" s="90"/>
      <c r="AS42" s="90"/>
      <c r="AT42" s="183">
        <f t="shared" si="24"/>
        <v>0</v>
      </c>
      <c r="AU42" s="187"/>
      <c r="AV42" s="90"/>
      <c r="AW42" s="90"/>
      <c r="AX42" s="183">
        <f t="shared" si="25"/>
        <v>0</v>
      </c>
      <c r="AY42" s="187"/>
      <c r="AZ42" s="90"/>
      <c r="BA42" s="90"/>
      <c r="BB42" s="183">
        <f t="shared" si="26"/>
        <v>0</v>
      </c>
      <c r="BC42" s="187"/>
      <c r="BD42" s="90"/>
      <c r="BE42" s="90"/>
      <c r="BF42" s="183">
        <f t="shared" si="27"/>
        <v>0</v>
      </c>
      <c r="BG42" s="187"/>
      <c r="BH42" s="90"/>
      <c r="BI42" s="90"/>
      <c r="BJ42" s="183">
        <f t="shared" si="28"/>
        <v>0</v>
      </c>
      <c r="BK42" s="187"/>
      <c r="BL42" s="90"/>
      <c r="BM42" s="90"/>
      <c r="BN42" s="183">
        <f t="shared" si="29"/>
        <v>0</v>
      </c>
      <c r="BO42" s="187"/>
      <c r="BP42" s="90"/>
      <c r="BQ42" s="90"/>
      <c r="BR42" s="183">
        <f t="shared" si="30"/>
        <v>0</v>
      </c>
      <c r="BS42" s="187"/>
      <c r="BT42" s="90"/>
      <c r="BU42" s="90"/>
      <c r="BV42" s="183">
        <f t="shared" si="31"/>
        <v>0</v>
      </c>
      <c r="BW42" s="187"/>
      <c r="BX42" s="90"/>
      <c r="BY42" s="90"/>
      <c r="BZ42" s="183">
        <f t="shared" si="32"/>
        <v>0</v>
      </c>
      <c r="CA42" s="187"/>
      <c r="CB42" s="90"/>
      <c r="CC42" s="90"/>
      <c r="CD42" s="183">
        <f t="shared" si="33"/>
        <v>0</v>
      </c>
    </row>
    <row r="43" spans="2:82" x14ac:dyDescent="0.3">
      <c r="B43" s="54"/>
      <c r="C43" s="54" t="str">
        <f t="shared" ref="C43:C62" si="38">$A$3</f>
        <v>CPU_</v>
      </c>
      <c r="D43" s="280">
        <f t="shared" ref="D43:D62" si="39">$B$6</f>
        <v>0</v>
      </c>
      <c r="E43" s="280">
        <f t="shared" ref="E43:E62" si="40">$B$7</f>
        <v>0</v>
      </c>
      <c r="F43" s="1"/>
      <c r="G43" s="28" t="str">
        <f>IFERROR(VLOOKUP(F43,Tabela7[[RECURSO]:[CUSTO]],2,FALSE),"")</f>
        <v/>
      </c>
      <c r="H43" s="92"/>
      <c r="I43" s="90"/>
      <c r="J43" s="45">
        <f>IFERROR(VLOOKUP(F43,Tabela7[[RECURSO]:[CUSTO]],3,FALSE),0)</f>
        <v>0</v>
      </c>
      <c r="K43" s="45">
        <f>I43*J43*CPU[[#This Row],[Nº]]</f>
        <v>0</v>
      </c>
      <c r="AD43" s="144">
        <f t="shared" si="3"/>
        <v>0</v>
      </c>
      <c r="AE43" s="186"/>
      <c r="AF43" s="180">
        <f t="shared" si="35"/>
        <v>0</v>
      </c>
      <c r="AG43" s="180">
        <f t="shared" si="17"/>
        <v>0</v>
      </c>
      <c r="AH43" s="181">
        <f t="shared" si="36"/>
        <v>0</v>
      </c>
      <c r="AI43" s="187"/>
      <c r="AJ43" s="90"/>
      <c r="AK43" s="90"/>
      <c r="AL43" s="183">
        <f t="shared" si="37"/>
        <v>0</v>
      </c>
      <c r="AM43" s="187"/>
      <c r="AN43" s="90"/>
      <c r="AO43" s="90"/>
      <c r="AP43" s="183">
        <f t="shared" si="23"/>
        <v>0</v>
      </c>
      <c r="AQ43" s="187"/>
      <c r="AR43" s="90"/>
      <c r="AS43" s="90"/>
      <c r="AT43" s="183">
        <f t="shared" si="24"/>
        <v>0</v>
      </c>
      <c r="AU43" s="187"/>
      <c r="AV43" s="90"/>
      <c r="AW43" s="90"/>
      <c r="AX43" s="183">
        <f t="shared" si="25"/>
        <v>0</v>
      </c>
      <c r="AY43" s="187"/>
      <c r="AZ43" s="90"/>
      <c r="BA43" s="90"/>
      <c r="BB43" s="183">
        <f t="shared" si="26"/>
        <v>0</v>
      </c>
      <c r="BC43" s="187"/>
      <c r="BD43" s="90"/>
      <c r="BE43" s="90"/>
      <c r="BF43" s="183">
        <f t="shared" si="27"/>
        <v>0</v>
      </c>
      <c r="BG43" s="187"/>
      <c r="BH43" s="90"/>
      <c r="BI43" s="90"/>
      <c r="BJ43" s="183">
        <f t="shared" si="28"/>
        <v>0</v>
      </c>
      <c r="BK43" s="187"/>
      <c r="BL43" s="90"/>
      <c r="BM43" s="90"/>
      <c r="BN43" s="183">
        <f t="shared" si="29"/>
        <v>0</v>
      </c>
      <c r="BO43" s="187"/>
      <c r="BP43" s="90"/>
      <c r="BQ43" s="90"/>
      <c r="BR43" s="183">
        <f t="shared" si="30"/>
        <v>0</v>
      </c>
      <c r="BS43" s="187"/>
      <c r="BT43" s="90"/>
      <c r="BU43" s="90"/>
      <c r="BV43" s="183">
        <f t="shared" si="31"/>
        <v>0</v>
      </c>
      <c r="BW43" s="187"/>
      <c r="BX43" s="90"/>
      <c r="BY43" s="90"/>
      <c r="BZ43" s="183">
        <f t="shared" si="32"/>
        <v>0</v>
      </c>
      <c r="CA43" s="187"/>
      <c r="CB43" s="90"/>
      <c r="CC43" s="90"/>
      <c r="CD43" s="183">
        <f t="shared" si="33"/>
        <v>0</v>
      </c>
    </row>
    <row r="44" spans="2:82" x14ac:dyDescent="0.3">
      <c r="B44" s="54"/>
      <c r="C44" s="54" t="str">
        <f t="shared" si="38"/>
        <v>CPU_</v>
      </c>
      <c r="D44" s="280">
        <f t="shared" si="39"/>
        <v>0</v>
      </c>
      <c r="E44" s="280">
        <f t="shared" si="40"/>
        <v>0</v>
      </c>
      <c r="F44" s="1"/>
      <c r="G44" s="28" t="str">
        <f>IFERROR(VLOOKUP(F44,Tabela7[[RECURSO]:[CUSTO]],2,FALSE),"")</f>
        <v/>
      </c>
      <c r="H44" s="92"/>
      <c r="I44" s="90"/>
      <c r="J44" s="45">
        <f>IFERROR(VLOOKUP(F44,Tabela7[[RECURSO]:[CUSTO]],3,FALSE),0)</f>
        <v>0</v>
      </c>
      <c r="K44" s="45">
        <f>I44*J44*CPU[[#This Row],[Nº]]</f>
        <v>0</v>
      </c>
      <c r="AD44" s="144">
        <f t="shared" si="3"/>
        <v>0</v>
      </c>
      <c r="AE44" s="186"/>
      <c r="AF44" s="180">
        <f t="shared" si="35"/>
        <v>0</v>
      </c>
      <c r="AG44" s="180">
        <f t="shared" si="17"/>
        <v>0</v>
      </c>
      <c r="AH44" s="181">
        <f t="shared" si="36"/>
        <v>0</v>
      </c>
      <c r="AI44" s="187"/>
      <c r="AJ44" s="90"/>
      <c r="AK44" s="90"/>
      <c r="AL44" s="183">
        <f t="shared" si="37"/>
        <v>0</v>
      </c>
      <c r="AM44" s="187"/>
      <c r="AN44" s="90"/>
      <c r="AO44" s="90"/>
      <c r="AP44" s="183">
        <f t="shared" si="23"/>
        <v>0</v>
      </c>
      <c r="AQ44" s="187"/>
      <c r="AR44" s="90"/>
      <c r="AS44" s="90"/>
      <c r="AT44" s="183">
        <f t="shared" si="24"/>
        <v>0</v>
      </c>
      <c r="AU44" s="187"/>
      <c r="AV44" s="90"/>
      <c r="AW44" s="90"/>
      <c r="AX44" s="183">
        <f t="shared" si="25"/>
        <v>0</v>
      </c>
      <c r="AY44" s="187"/>
      <c r="AZ44" s="90"/>
      <c r="BA44" s="90"/>
      <c r="BB44" s="183">
        <f t="shared" si="26"/>
        <v>0</v>
      </c>
      <c r="BC44" s="187"/>
      <c r="BD44" s="90"/>
      <c r="BE44" s="90"/>
      <c r="BF44" s="183">
        <f t="shared" si="27"/>
        <v>0</v>
      </c>
      <c r="BG44" s="187"/>
      <c r="BH44" s="90"/>
      <c r="BI44" s="90"/>
      <c r="BJ44" s="183">
        <f t="shared" si="28"/>
        <v>0</v>
      </c>
      <c r="BK44" s="187"/>
      <c r="BL44" s="90"/>
      <c r="BM44" s="90"/>
      <c r="BN44" s="183">
        <f t="shared" si="29"/>
        <v>0</v>
      </c>
      <c r="BO44" s="187"/>
      <c r="BP44" s="90"/>
      <c r="BQ44" s="90"/>
      <c r="BR44" s="183">
        <f t="shared" si="30"/>
        <v>0</v>
      </c>
      <c r="BS44" s="187"/>
      <c r="BT44" s="90"/>
      <c r="BU44" s="90"/>
      <c r="BV44" s="183">
        <f t="shared" si="31"/>
        <v>0</v>
      </c>
      <c r="BW44" s="187"/>
      <c r="BX44" s="90"/>
      <c r="BY44" s="90"/>
      <c r="BZ44" s="183">
        <f t="shared" si="32"/>
        <v>0</v>
      </c>
      <c r="CA44" s="187"/>
      <c r="CB44" s="90"/>
      <c r="CC44" s="90"/>
      <c r="CD44" s="183">
        <f t="shared" si="33"/>
        <v>0</v>
      </c>
    </row>
    <row r="45" spans="2:82" x14ac:dyDescent="0.3">
      <c r="B45" s="53"/>
      <c r="C45" s="53" t="str">
        <f t="shared" si="38"/>
        <v>CPU_</v>
      </c>
      <c r="D45" s="278">
        <f t="shared" si="39"/>
        <v>0</v>
      </c>
      <c r="E45" s="278">
        <f t="shared" si="40"/>
        <v>0</v>
      </c>
      <c r="F45" s="1"/>
      <c r="G45" s="28" t="str">
        <f>IFERROR(VLOOKUP(F45,Tabela7[[RECURSO]:[CUSTO]],2,FALSE),"")</f>
        <v/>
      </c>
      <c r="H45" s="92"/>
      <c r="I45" s="90"/>
      <c r="J45" s="45">
        <f>IFERROR(VLOOKUP(F45,Tabela7[[RECURSO]:[CUSTO]],3,FALSE),0)</f>
        <v>0</v>
      </c>
      <c r="K45" s="45">
        <f>I45*J45*CPU[[#This Row],[Nº]]</f>
        <v>0</v>
      </c>
      <c r="AD45" s="144">
        <f t="shared" si="3"/>
        <v>0</v>
      </c>
      <c r="AE45" s="188"/>
      <c r="AF45" s="180">
        <f t="shared" si="35"/>
        <v>0</v>
      </c>
      <c r="AG45" s="180">
        <f t="shared" si="17"/>
        <v>0</v>
      </c>
      <c r="AH45" s="181">
        <f t="shared" si="36"/>
        <v>0</v>
      </c>
      <c r="AI45" s="189"/>
      <c r="AJ45" s="90"/>
      <c r="AK45" s="90"/>
      <c r="AL45" s="183">
        <f t="shared" si="37"/>
        <v>0</v>
      </c>
      <c r="AM45" s="189"/>
      <c r="AN45" s="90"/>
      <c r="AO45" s="90"/>
      <c r="AP45" s="183">
        <f t="shared" si="23"/>
        <v>0</v>
      </c>
      <c r="AQ45" s="189"/>
      <c r="AR45" s="90"/>
      <c r="AS45" s="90"/>
      <c r="AT45" s="183">
        <f t="shared" si="24"/>
        <v>0</v>
      </c>
      <c r="AU45" s="189"/>
      <c r="AV45" s="90"/>
      <c r="AW45" s="90"/>
      <c r="AX45" s="183">
        <f t="shared" si="25"/>
        <v>0</v>
      </c>
      <c r="AY45" s="189"/>
      <c r="AZ45" s="90"/>
      <c r="BA45" s="90"/>
      <c r="BB45" s="183">
        <f t="shared" si="26"/>
        <v>0</v>
      </c>
      <c r="BC45" s="189"/>
      <c r="BD45" s="90"/>
      <c r="BE45" s="90"/>
      <c r="BF45" s="183">
        <f t="shared" si="27"/>
        <v>0</v>
      </c>
      <c r="BG45" s="189"/>
      <c r="BH45" s="90"/>
      <c r="BI45" s="90"/>
      <c r="BJ45" s="183">
        <f t="shared" si="28"/>
        <v>0</v>
      </c>
      <c r="BK45" s="189"/>
      <c r="BL45" s="90"/>
      <c r="BM45" s="90"/>
      <c r="BN45" s="183">
        <f t="shared" si="29"/>
        <v>0</v>
      </c>
      <c r="BO45" s="189"/>
      <c r="BP45" s="90"/>
      <c r="BQ45" s="90"/>
      <c r="BR45" s="183">
        <f t="shared" si="30"/>
        <v>0</v>
      </c>
      <c r="BS45" s="189"/>
      <c r="BT45" s="90"/>
      <c r="BU45" s="90"/>
      <c r="BV45" s="183">
        <f t="shared" si="31"/>
        <v>0</v>
      </c>
      <c r="BW45" s="189"/>
      <c r="BX45" s="90"/>
      <c r="BY45" s="90"/>
      <c r="BZ45" s="183">
        <f t="shared" si="32"/>
        <v>0</v>
      </c>
      <c r="CA45" s="189"/>
      <c r="CB45" s="90"/>
      <c r="CC45" s="90"/>
      <c r="CD45" s="183">
        <f t="shared" si="33"/>
        <v>0</v>
      </c>
    </row>
    <row r="46" spans="2:82" x14ac:dyDescent="0.3">
      <c r="B46" s="53"/>
      <c r="C46" s="53" t="str">
        <f t="shared" si="38"/>
        <v>CPU_</v>
      </c>
      <c r="D46" s="278">
        <f t="shared" si="39"/>
        <v>0</v>
      </c>
      <c r="E46" s="278">
        <f t="shared" si="40"/>
        <v>0</v>
      </c>
      <c r="F46" s="1"/>
      <c r="G46" s="28" t="str">
        <f>IFERROR(VLOOKUP(F46,Tabela7[[RECURSO]:[CUSTO]],2,FALSE),"")</f>
        <v/>
      </c>
      <c r="H46" s="92"/>
      <c r="I46" s="90"/>
      <c r="J46" s="45">
        <f>IFERROR(VLOOKUP(F46,Tabela7[[RECURSO]:[CUSTO]],3,FALSE),0)</f>
        <v>0</v>
      </c>
      <c r="K46" s="45">
        <f>I46*J46*CPU[[#This Row],[Nº]]</f>
        <v>0</v>
      </c>
      <c r="AD46" s="144">
        <f t="shared" si="3"/>
        <v>0</v>
      </c>
      <c r="AE46" s="188"/>
      <c r="AF46" s="180">
        <f t="shared" si="35"/>
        <v>0</v>
      </c>
      <c r="AG46" s="180">
        <f t="shared" si="17"/>
        <v>0</v>
      </c>
      <c r="AH46" s="181">
        <f t="shared" si="36"/>
        <v>0</v>
      </c>
      <c r="AI46" s="189"/>
      <c r="AJ46" s="90"/>
      <c r="AK46" s="90"/>
      <c r="AL46" s="183">
        <f t="shared" si="37"/>
        <v>0</v>
      </c>
      <c r="AM46" s="189"/>
      <c r="AN46" s="90"/>
      <c r="AO46" s="90"/>
      <c r="AP46" s="183">
        <f t="shared" si="23"/>
        <v>0</v>
      </c>
      <c r="AQ46" s="189"/>
      <c r="AR46" s="90"/>
      <c r="AS46" s="90"/>
      <c r="AT46" s="183">
        <f t="shared" si="24"/>
        <v>0</v>
      </c>
      <c r="AU46" s="189"/>
      <c r="AV46" s="90"/>
      <c r="AW46" s="90"/>
      <c r="AX46" s="183">
        <f t="shared" si="25"/>
        <v>0</v>
      </c>
      <c r="AY46" s="189"/>
      <c r="AZ46" s="90"/>
      <c r="BA46" s="90"/>
      <c r="BB46" s="183">
        <f t="shared" si="26"/>
        <v>0</v>
      </c>
      <c r="BC46" s="189"/>
      <c r="BD46" s="90"/>
      <c r="BE46" s="90"/>
      <c r="BF46" s="183">
        <f t="shared" si="27"/>
        <v>0</v>
      </c>
      <c r="BG46" s="189"/>
      <c r="BH46" s="90"/>
      <c r="BI46" s="90"/>
      <c r="BJ46" s="183">
        <f t="shared" si="28"/>
        <v>0</v>
      </c>
      <c r="BK46" s="189"/>
      <c r="BL46" s="90"/>
      <c r="BM46" s="90"/>
      <c r="BN46" s="183">
        <f t="shared" si="29"/>
        <v>0</v>
      </c>
      <c r="BO46" s="189"/>
      <c r="BP46" s="90"/>
      <c r="BQ46" s="90"/>
      <c r="BR46" s="183">
        <f t="shared" si="30"/>
        <v>0</v>
      </c>
      <c r="BS46" s="189"/>
      <c r="BT46" s="90"/>
      <c r="BU46" s="90"/>
      <c r="BV46" s="183">
        <f t="shared" si="31"/>
        <v>0</v>
      </c>
      <c r="BW46" s="189"/>
      <c r="BX46" s="90"/>
      <c r="BY46" s="90"/>
      <c r="BZ46" s="183">
        <f t="shared" si="32"/>
        <v>0</v>
      </c>
      <c r="CA46" s="189"/>
      <c r="CB46" s="90"/>
      <c r="CC46" s="90"/>
      <c r="CD46" s="183">
        <f t="shared" si="33"/>
        <v>0</v>
      </c>
    </row>
    <row r="47" spans="2:82" x14ac:dyDescent="0.3">
      <c r="B47" s="53"/>
      <c r="C47" s="53" t="str">
        <f t="shared" si="38"/>
        <v>CPU_</v>
      </c>
      <c r="D47" s="278">
        <f t="shared" si="39"/>
        <v>0</v>
      </c>
      <c r="E47" s="278">
        <f t="shared" si="40"/>
        <v>0</v>
      </c>
      <c r="F47" s="1"/>
      <c r="G47" s="28" t="str">
        <f>IFERROR(VLOOKUP(F47,Tabela7[[RECURSO]:[CUSTO]],2,FALSE),"")</f>
        <v/>
      </c>
      <c r="H47" s="92"/>
      <c r="I47" s="90"/>
      <c r="J47" s="45">
        <f>IFERROR(VLOOKUP(F47,Tabela7[[RECURSO]:[CUSTO]],3,FALSE),0)</f>
        <v>0</v>
      </c>
      <c r="K47" s="45">
        <f>I47*J47*CPU[[#This Row],[Nº]]</f>
        <v>0</v>
      </c>
      <c r="AD47" s="144">
        <f t="shared" si="3"/>
        <v>0</v>
      </c>
      <c r="AE47" s="188"/>
      <c r="AF47" s="180">
        <f t="shared" si="35"/>
        <v>0</v>
      </c>
      <c r="AG47" s="180">
        <f t="shared" si="17"/>
        <v>0</v>
      </c>
      <c r="AH47" s="181">
        <f t="shared" si="36"/>
        <v>0</v>
      </c>
      <c r="AI47" s="189"/>
      <c r="AJ47" s="90"/>
      <c r="AK47" s="90"/>
      <c r="AL47" s="183">
        <f t="shared" si="37"/>
        <v>0</v>
      </c>
      <c r="AM47" s="189"/>
      <c r="AN47" s="90"/>
      <c r="AO47" s="90"/>
      <c r="AP47" s="183">
        <f t="shared" si="23"/>
        <v>0</v>
      </c>
      <c r="AQ47" s="189"/>
      <c r="AR47" s="90"/>
      <c r="AS47" s="90"/>
      <c r="AT47" s="183">
        <f t="shared" si="24"/>
        <v>0</v>
      </c>
      <c r="AU47" s="189"/>
      <c r="AV47" s="90"/>
      <c r="AW47" s="90"/>
      <c r="AX47" s="183">
        <f t="shared" si="25"/>
        <v>0</v>
      </c>
      <c r="AY47" s="189"/>
      <c r="AZ47" s="90"/>
      <c r="BA47" s="90"/>
      <c r="BB47" s="183">
        <f t="shared" si="26"/>
        <v>0</v>
      </c>
      <c r="BC47" s="189"/>
      <c r="BD47" s="90"/>
      <c r="BE47" s="90"/>
      <c r="BF47" s="183">
        <f t="shared" si="27"/>
        <v>0</v>
      </c>
      <c r="BG47" s="189"/>
      <c r="BH47" s="90"/>
      <c r="BI47" s="90"/>
      <c r="BJ47" s="183">
        <f t="shared" si="28"/>
        <v>0</v>
      </c>
      <c r="BK47" s="189"/>
      <c r="BL47" s="90"/>
      <c r="BM47" s="90"/>
      <c r="BN47" s="183">
        <f t="shared" si="29"/>
        <v>0</v>
      </c>
      <c r="BO47" s="189"/>
      <c r="BP47" s="90"/>
      <c r="BQ47" s="90"/>
      <c r="BR47" s="183">
        <f t="shared" si="30"/>
        <v>0</v>
      </c>
      <c r="BS47" s="189"/>
      <c r="BT47" s="90"/>
      <c r="BU47" s="90"/>
      <c r="BV47" s="183">
        <f t="shared" si="31"/>
        <v>0</v>
      </c>
      <c r="BW47" s="189"/>
      <c r="BX47" s="90"/>
      <c r="BY47" s="90"/>
      <c r="BZ47" s="183">
        <f t="shared" si="32"/>
        <v>0</v>
      </c>
      <c r="CA47" s="189"/>
      <c r="CB47" s="90"/>
      <c r="CC47" s="90"/>
      <c r="CD47" s="183">
        <f t="shared" si="33"/>
        <v>0</v>
      </c>
    </row>
    <row r="48" spans="2:82" x14ac:dyDescent="0.3">
      <c r="B48" s="53"/>
      <c r="C48" s="53" t="str">
        <f t="shared" si="38"/>
        <v>CPU_</v>
      </c>
      <c r="D48" s="278">
        <f t="shared" si="39"/>
        <v>0</v>
      </c>
      <c r="E48" s="278">
        <f t="shared" si="40"/>
        <v>0</v>
      </c>
      <c r="F48" s="1"/>
      <c r="G48" s="28" t="str">
        <f>IFERROR(VLOOKUP(F48,Tabela7[[RECURSO]:[CUSTO]],2,FALSE),"")</f>
        <v/>
      </c>
      <c r="H48" s="92"/>
      <c r="I48" s="90"/>
      <c r="J48" s="45">
        <f>IFERROR(VLOOKUP(F48,Tabela7[[RECURSO]:[CUSTO]],3,FALSE),0)</f>
        <v>0</v>
      </c>
      <c r="K48" s="45">
        <f>I48*J48*CPU[[#This Row],[Nº]]</f>
        <v>0</v>
      </c>
      <c r="AD48" s="144">
        <f t="shared" si="3"/>
        <v>0</v>
      </c>
      <c r="AE48" s="188"/>
      <c r="AF48" s="180">
        <f t="shared" si="35"/>
        <v>0</v>
      </c>
      <c r="AG48" s="180">
        <f t="shared" si="17"/>
        <v>0</v>
      </c>
      <c r="AH48" s="181">
        <f t="shared" si="36"/>
        <v>0</v>
      </c>
      <c r="AI48" s="189"/>
      <c r="AJ48" s="90"/>
      <c r="AK48" s="90"/>
      <c r="AL48" s="183">
        <f t="shared" si="37"/>
        <v>0</v>
      </c>
      <c r="AM48" s="189"/>
      <c r="AN48" s="90"/>
      <c r="AO48" s="90"/>
      <c r="AP48" s="183">
        <f t="shared" si="23"/>
        <v>0</v>
      </c>
      <c r="AQ48" s="189"/>
      <c r="AR48" s="90"/>
      <c r="AS48" s="90"/>
      <c r="AT48" s="183">
        <f t="shared" si="24"/>
        <v>0</v>
      </c>
      <c r="AU48" s="189"/>
      <c r="AV48" s="90"/>
      <c r="AW48" s="90"/>
      <c r="AX48" s="183">
        <f t="shared" si="25"/>
        <v>0</v>
      </c>
      <c r="AY48" s="189"/>
      <c r="AZ48" s="90"/>
      <c r="BA48" s="90"/>
      <c r="BB48" s="183">
        <f t="shared" si="26"/>
        <v>0</v>
      </c>
      <c r="BC48" s="189"/>
      <c r="BD48" s="90"/>
      <c r="BE48" s="90"/>
      <c r="BF48" s="183">
        <f t="shared" si="27"/>
        <v>0</v>
      </c>
      <c r="BG48" s="189"/>
      <c r="BH48" s="90"/>
      <c r="BI48" s="90"/>
      <c r="BJ48" s="183">
        <f t="shared" si="28"/>
        <v>0</v>
      </c>
      <c r="BK48" s="189"/>
      <c r="BL48" s="90"/>
      <c r="BM48" s="90"/>
      <c r="BN48" s="183">
        <f t="shared" si="29"/>
        <v>0</v>
      </c>
      <c r="BO48" s="189"/>
      <c r="BP48" s="90"/>
      <c r="BQ48" s="90"/>
      <c r="BR48" s="183">
        <f t="shared" si="30"/>
        <v>0</v>
      </c>
      <c r="BS48" s="189"/>
      <c r="BT48" s="90"/>
      <c r="BU48" s="90"/>
      <c r="BV48" s="183">
        <f t="shared" si="31"/>
        <v>0</v>
      </c>
      <c r="BW48" s="189"/>
      <c r="BX48" s="90"/>
      <c r="BY48" s="90"/>
      <c r="BZ48" s="183">
        <f t="shared" si="32"/>
        <v>0</v>
      </c>
      <c r="CA48" s="189"/>
      <c r="CB48" s="90"/>
      <c r="CC48" s="90"/>
      <c r="CD48" s="183">
        <f t="shared" si="33"/>
        <v>0</v>
      </c>
    </row>
    <row r="49" spans="2:82" ht="15" thickBot="1" x14ac:dyDescent="0.35">
      <c r="B49" s="53"/>
      <c r="C49" s="53" t="str">
        <f t="shared" si="38"/>
        <v>CPU_</v>
      </c>
      <c r="D49" s="278">
        <f t="shared" si="39"/>
        <v>0</v>
      </c>
      <c r="E49" s="278">
        <f t="shared" si="40"/>
        <v>0</v>
      </c>
      <c r="F49" s="1"/>
      <c r="G49" s="28" t="str">
        <f>IFERROR(VLOOKUP(F49,Tabela7[[RECURSO]:[CUSTO]],2,FALSE),"")</f>
        <v/>
      </c>
      <c r="H49" s="92"/>
      <c r="I49" s="90"/>
      <c r="J49" s="45">
        <f>IFERROR(VLOOKUP(F49,Tabela7[[RECURSO]:[CUSTO]],3,FALSE),0)</f>
        <v>0</v>
      </c>
      <c r="K49" s="45">
        <f>I49*J49*CPU[[#This Row],[Nº]]</f>
        <v>0</v>
      </c>
      <c r="M49" s="83" t="s">
        <v>701</v>
      </c>
      <c r="N49" s="87" t="s">
        <v>702</v>
      </c>
      <c r="AD49" s="144">
        <f t="shared" si="3"/>
        <v>0</v>
      </c>
      <c r="AE49" s="188"/>
      <c r="AF49" s="180">
        <f t="shared" si="35"/>
        <v>0</v>
      </c>
      <c r="AG49" s="180">
        <f t="shared" si="17"/>
        <v>0</v>
      </c>
      <c r="AH49" s="181">
        <f t="shared" si="36"/>
        <v>0</v>
      </c>
      <c r="AI49" s="189"/>
      <c r="AJ49" s="90"/>
      <c r="AK49" s="90"/>
      <c r="AL49" s="183">
        <f t="shared" si="37"/>
        <v>0</v>
      </c>
      <c r="AM49" s="189"/>
      <c r="AN49" s="90"/>
      <c r="AO49" s="90"/>
      <c r="AP49" s="183">
        <f t="shared" si="23"/>
        <v>0</v>
      </c>
      <c r="AQ49" s="189"/>
      <c r="AR49" s="90"/>
      <c r="AS49" s="90"/>
      <c r="AT49" s="183">
        <f t="shared" si="24"/>
        <v>0</v>
      </c>
      <c r="AU49" s="189"/>
      <c r="AV49" s="90"/>
      <c r="AW49" s="90"/>
      <c r="AX49" s="183">
        <f t="shared" si="25"/>
        <v>0</v>
      </c>
      <c r="AY49" s="189"/>
      <c r="AZ49" s="90"/>
      <c r="BA49" s="90"/>
      <c r="BB49" s="183">
        <f t="shared" si="26"/>
        <v>0</v>
      </c>
      <c r="BC49" s="189"/>
      <c r="BD49" s="90"/>
      <c r="BE49" s="90"/>
      <c r="BF49" s="183">
        <f t="shared" si="27"/>
        <v>0</v>
      </c>
      <c r="BG49" s="189"/>
      <c r="BH49" s="90"/>
      <c r="BI49" s="90"/>
      <c r="BJ49" s="183">
        <f t="shared" si="28"/>
        <v>0</v>
      </c>
      <c r="BK49" s="189"/>
      <c r="BL49" s="90"/>
      <c r="BM49" s="90"/>
      <c r="BN49" s="183">
        <f t="shared" si="29"/>
        <v>0</v>
      </c>
      <c r="BO49" s="189"/>
      <c r="BP49" s="90"/>
      <c r="BQ49" s="90"/>
      <c r="BR49" s="183">
        <f t="shared" si="30"/>
        <v>0</v>
      </c>
      <c r="BS49" s="189"/>
      <c r="BT49" s="90"/>
      <c r="BU49" s="90"/>
      <c r="BV49" s="183">
        <f t="shared" si="31"/>
        <v>0</v>
      </c>
      <c r="BW49" s="189"/>
      <c r="BX49" s="90"/>
      <c r="BY49" s="90"/>
      <c r="BZ49" s="183">
        <f t="shared" si="32"/>
        <v>0</v>
      </c>
      <c r="CA49" s="189"/>
      <c r="CB49" s="90"/>
      <c r="CC49" s="90"/>
      <c r="CD49" s="183">
        <f t="shared" si="33"/>
        <v>0</v>
      </c>
    </row>
    <row r="50" spans="2:82" x14ac:dyDescent="0.3">
      <c r="B50" s="52" t="s">
        <v>693</v>
      </c>
      <c r="C50" s="52" t="str">
        <f t="shared" si="38"/>
        <v>CPU_</v>
      </c>
      <c r="D50" s="277">
        <f t="shared" si="39"/>
        <v>0</v>
      </c>
      <c r="E50" s="277">
        <f t="shared" si="40"/>
        <v>0</v>
      </c>
      <c r="F50" s="37"/>
      <c r="G50" s="38"/>
      <c r="H50" s="38"/>
      <c r="I50" s="37"/>
      <c r="J50" s="40">
        <f>IFERROR(K50/$B$6,0)</f>
        <v>0</v>
      </c>
      <c r="K50" s="40">
        <f>SUM(K51:K62)</f>
        <v>0</v>
      </c>
      <c r="M50" s="84" t="str">
        <f>"Consumo por "&amp;J3</f>
        <v xml:space="preserve">Consumo por </v>
      </c>
      <c r="N50" s="89"/>
      <c r="AD50" s="144">
        <f t="shared" si="3"/>
        <v>0</v>
      </c>
      <c r="AE50" s="190"/>
      <c r="AF50" s="191"/>
      <c r="AG50" s="40">
        <f>IFERROR(AH50/AF$3,0)</f>
        <v>0</v>
      </c>
      <c r="AH50" s="185">
        <f>SUM(AH51:AH62)</f>
        <v>0</v>
      </c>
      <c r="AI50" s="190"/>
      <c r="AJ50" s="37"/>
      <c r="AK50" s="40">
        <f>IFERROR(AL50/AJ$3,0)</f>
        <v>0</v>
      </c>
      <c r="AL50" s="185">
        <f>SUM(AL51:AL62)</f>
        <v>0</v>
      </c>
      <c r="AM50" s="190"/>
      <c r="AN50" s="37"/>
      <c r="AO50" s="40">
        <f>IFERROR(AP50/AN$3,0)</f>
        <v>0</v>
      </c>
      <c r="AP50" s="185">
        <f>SUM(AP51:AP62)</f>
        <v>0</v>
      </c>
      <c r="AQ50" s="190"/>
      <c r="AR50" s="37"/>
      <c r="AS50" s="40">
        <f>IFERROR(AT50/AR$3,0)</f>
        <v>0</v>
      </c>
      <c r="AT50" s="185">
        <f>SUM(AT51:AT62)</f>
        <v>0</v>
      </c>
      <c r="AU50" s="190"/>
      <c r="AV50" s="37"/>
      <c r="AW50" s="40">
        <f>IFERROR(AX50/AV$3,0)</f>
        <v>0</v>
      </c>
      <c r="AX50" s="185">
        <f>SUM(AX51:AX62)</f>
        <v>0</v>
      </c>
      <c r="AY50" s="190"/>
      <c r="AZ50" s="37"/>
      <c r="BA50" s="40">
        <f>IFERROR(BB50/AZ$3,0)</f>
        <v>0</v>
      </c>
      <c r="BB50" s="185">
        <f>SUM(BB51:BB62)</f>
        <v>0</v>
      </c>
      <c r="BC50" s="190"/>
      <c r="BD50" s="37"/>
      <c r="BE50" s="40">
        <f>IFERROR(BF50/BD$3,0)</f>
        <v>0</v>
      </c>
      <c r="BF50" s="185">
        <f>SUM(BF51:BF62)</f>
        <v>0</v>
      </c>
      <c r="BG50" s="190"/>
      <c r="BH50" s="37"/>
      <c r="BI50" s="40">
        <f>IFERROR(BJ50/BH$3,0)</f>
        <v>0</v>
      </c>
      <c r="BJ50" s="185">
        <f>SUM(BJ51:BJ62)</f>
        <v>0</v>
      </c>
      <c r="BK50" s="190"/>
      <c r="BL50" s="37"/>
      <c r="BM50" s="40">
        <f>IFERROR(BN50/BL$3,0)</f>
        <v>0</v>
      </c>
      <c r="BN50" s="185">
        <f>SUM(BN51:BN62)</f>
        <v>0</v>
      </c>
      <c r="BO50" s="190"/>
      <c r="BP50" s="37"/>
      <c r="BQ50" s="40">
        <f>IFERROR(BR50/BP$3,0)</f>
        <v>0</v>
      </c>
      <c r="BR50" s="185">
        <f>SUM(BR51:BR62)</f>
        <v>0</v>
      </c>
      <c r="BS50" s="190"/>
      <c r="BT50" s="37"/>
      <c r="BU50" s="40">
        <f>IFERROR(BV50/BT$3,0)</f>
        <v>0</v>
      </c>
      <c r="BV50" s="185">
        <f>SUM(BV51:BV62)</f>
        <v>0</v>
      </c>
      <c r="BW50" s="190"/>
      <c r="BX50" s="37"/>
      <c r="BY50" s="40">
        <f>IFERROR(BZ50/BX$3,0)</f>
        <v>0</v>
      </c>
      <c r="BZ50" s="185">
        <f>SUM(BZ51:BZ62)</f>
        <v>0</v>
      </c>
      <c r="CA50" s="190"/>
      <c r="CB50" s="37"/>
      <c r="CC50" s="40">
        <f>IFERROR(CD50/CB$3,0)</f>
        <v>0</v>
      </c>
      <c r="CD50" s="185">
        <f>SUM(CD51:CD62)</f>
        <v>0</v>
      </c>
    </row>
    <row r="51" spans="2:82" x14ac:dyDescent="0.3">
      <c r="B51" s="53"/>
      <c r="C51" s="53" t="str">
        <f t="shared" si="38"/>
        <v>CPU_</v>
      </c>
      <c r="D51" s="278">
        <f t="shared" si="39"/>
        <v>0</v>
      </c>
      <c r="E51" s="278">
        <f t="shared" si="40"/>
        <v>0</v>
      </c>
      <c r="F51" s="1"/>
      <c r="G51" s="28" t="str">
        <f>IFERROR(VLOOKUP(F51,Tabela7[[RECURSO]:[CUSTO]],2,FALSE),"")</f>
        <v/>
      </c>
      <c r="I51" s="90">
        <f>IFERROR(M51*$B$6,0)</f>
        <v>0</v>
      </c>
      <c r="J51" s="45">
        <f>IFERROR(VLOOKUP(F51,Tabela7[[RECURSO]:[CUSTO]],3,FALSE),0)</f>
        <v>0</v>
      </c>
      <c r="K51" s="45">
        <f>I51*J51</f>
        <v>0</v>
      </c>
      <c r="M51" s="85"/>
      <c r="N51" s="88"/>
      <c r="AD51" s="144">
        <f t="shared" si="3"/>
        <v>0</v>
      </c>
      <c r="AE51" s="192"/>
      <c r="AF51" s="180">
        <f t="shared" ref="AF51:AF62" si="41">AJ51+AN51+AR51+AV51+AZ51+BD51+BH51+BL51+BP51+BT51+BX51+CB51</f>
        <v>0</v>
      </c>
      <c r="AG51" s="180">
        <f t="shared" si="17"/>
        <v>0</v>
      </c>
      <c r="AH51" s="181">
        <f t="shared" ref="AH51:AH62" si="42">AL51+AP51+AT51+AX51+BB51+BF51+BJ51+BN51+BR51+BV51+BZ51+CD51</f>
        <v>0</v>
      </c>
      <c r="AI51" s="193"/>
      <c r="AJ51" s="90"/>
      <c r="AK51" s="90"/>
      <c r="AL51" s="183">
        <f t="shared" ref="AL51:AL62" si="43">AJ51*AK51</f>
        <v>0</v>
      </c>
      <c r="AM51" s="193"/>
      <c r="AN51" s="90"/>
      <c r="AO51" s="90"/>
      <c r="AP51" s="183">
        <f t="shared" si="23"/>
        <v>0</v>
      </c>
      <c r="AQ51" s="193"/>
      <c r="AR51" s="90"/>
      <c r="AS51" s="90"/>
      <c r="AT51" s="183">
        <f t="shared" si="24"/>
        <v>0</v>
      </c>
      <c r="AU51" s="193"/>
      <c r="AV51" s="90"/>
      <c r="AW51" s="90"/>
      <c r="AX51" s="183">
        <f t="shared" si="25"/>
        <v>0</v>
      </c>
      <c r="AY51" s="193"/>
      <c r="AZ51" s="90"/>
      <c r="BA51" s="90"/>
      <c r="BB51" s="183">
        <f t="shared" si="26"/>
        <v>0</v>
      </c>
      <c r="BC51" s="193"/>
      <c r="BD51" s="90"/>
      <c r="BE51" s="90"/>
      <c r="BF51" s="183">
        <f t="shared" si="27"/>
        <v>0</v>
      </c>
      <c r="BG51" s="193"/>
      <c r="BH51" s="90"/>
      <c r="BI51" s="90"/>
      <c r="BJ51" s="183">
        <f t="shared" si="28"/>
        <v>0</v>
      </c>
      <c r="BK51" s="193"/>
      <c r="BL51" s="90"/>
      <c r="BM51" s="90"/>
      <c r="BN51" s="183">
        <f t="shared" si="29"/>
        <v>0</v>
      </c>
      <c r="BO51" s="193"/>
      <c r="BP51" s="90"/>
      <c r="BQ51" s="90"/>
      <c r="BR51" s="183">
        <f t="shared" si="30"/>
        <v>0</v>
      </c>
      <c r="BS51" s="193"/>
      <c r="BT51" s="90"/>
      <c r="BU51" s="90"/>
      <c r="BV51" s="183">
        <f t="shared" si="31"/>
        <v>0</v>
      </c>
      <c r="BW51" s="193"/>
      <c r="BX51" s="90"/>
      <c r="BY51" s="90"/>
      <c r="BZ51" s="183">
        <f t="shared" si="32"/>
        <v>0</v>
      </c>
      <c r="CA51" s="193"/>
      <c r="CB51" s="90"/>
      <c r="CC51" s="90"/>
      <c r="CD51" s="183">
        <f t="shared" si="33"/>
        <v>0</v>
      </c>
    </row>
    <row r="52" spans="2:82" x14ac:dyDescent="0.3">
      <c r="B52" s="53"/>
      <c r="C52" s="53" t="str">
        <f t="shared" si="38"/>
        <v>CPU_</v>
      </c>
      <c r="D52" s="278">
        <f t="shared" si="39"/>
        <v>0</v>
      </c>
      <c r="E52" s="278">
        <f t="shared" si="40"/>
        <v>0</v>
      </c>
      <c r="F52" s="1"/>
      <c r="G52" s="28" t="str">
        <f>IFERROR(VLOOKUP(F52,Tabela7[[RECURSO]:[CUSTO]],2,FALSE),"")</f>
        <v/>
      </c>
      <c r="I52" s="90">
        <f t="shared" ref="I52:I62" si="44">IFERROR(M52*$B$6,0)</f>
        <v>0</v>
      </c>
      <c r="J52" s="45">
        <f>IFERROR(VLOOKUP(F52,Tabela7[[RECURSO]:[CUSTO]],3,FALSE),0)</f>
        <v>0</v>
      </c>
      <c r="K52" s="45">
        <f t="shared" ref="K52:K62" si="45">I52*J52</f>
        <v>0</v>
      </c>
      <c r="M52" s="85"/>
      <c r="N52" s="88"/>
      <c r="AD52" s="144">
        <f t="shared" si="3"/>
        <v>0</v>
      </c>
      <c r="AE52" s="192"/>
      <c r="AF52" s="180">
        <f t="shared" si="41"/>
        <v>0</v>
      </c>
      <c r="AG52" s="180">
        <f t="shared" si="17"/>
        <v>0</v>
      </c>
      <c r="AH52" s="181">
        <f t="shared" si="42"/>
        <v>0</v>
      </c>
      <c r="AI52" s="193"/>
      <c r="AJ52" s="90"/>
      <c r="AK52" s="90"/>
      <c r="AL52" s="183">
        <f t="shared" si="43"/>
        <v>0</v>
      </c>
      <c r="AM52" s="193"/>
      <c r="AN52" s="90"/>
      <c r="AO52" s="90"/>
      <c r="AP52" s="183">
        <f t="shared" si="23"/>
        <v>0</v>
      </c>
      <c r="AQ52" s="193"/>
      <c r="AR52" s="90"/>
      <c r="AS52" s="90"/>
      <c r="AT52" s="183">
        <f t="shared" si="24"/>
        <v>0</v>
      </c>
      <c r="AU52" s="193"/>
      <c r="AV52" s="90"/>
      <c r="AW52" s="90"/>
      <c r="AX52" s="183">
        <f t="shared" si="25"/>
        <v>0</v>
      </c>
      <c r="AY52" s="193"/>
      <c r="AZ52" s="90"/>
      <c r="BA52" s="90"/>
      <c r="BB52" s="183">
        <f t="shared" si="26"/>
        <v>0</v>
      </c>
      <c r="BC52" s="193"/>
      <c r="BD52" s="90"/>
      <c r="BE52" s="90"/>
      <c r="BF52" s="183">
        <f t="shared" si="27"/>
        <v>0</v>
      </c>
      <c r="BG52" s="193"/>
      <c r="BH52" s="90"/>
      <c r="BI52" s="90"/>
      <c r="BJ52" s="183">
        <f t="shared" si="28"/>
        <v>0</v>
      </c>
      <c r="BK52" s="193"/>
      <c r="BL52" s="90"/>
      <c r="BM52" s="90"/>
      <c r="BN52" s="183">
        <f t="shared" si="29"/>
        <v>0</v>
      </c>
      <c r="BO52" s="193"/>
      <c r="BP52" s="90"/>
      <c r="BQ52" s="90"/>
      <c r="BR52" s="183">
        <f t="shared" si="30"/>
        <v>0</v>
      </c>
      <c r="BS52" s="193"/>
      <c r="BT52" s="90"/>
      <c r="BU52" s="90"/>
      <c r="BV52" s="183">
        <f t="shared" si="31"/>
        <v>0</v>
      </c>
      <c r="BW52" s="193"/>
      <c r="BX52" s="90"/>
      <c r="BY52" s="90"/>
      <c r="BZ52" s="183">
        <f t="shared" si="32"/>
        <v>0</v>
      </c>
      <c r="CA52" s="193"/>
      <c r="CB52" s="90"/>
      <c r="CC52" s="90"/>
      <c r="CD52" s="183">
        <f t="shared" si="33"/>
        <v>0</v>
      </c>
    </row>
    <row r="53" spans="2:82" x14ac:dyDescent="0.3">
      <c r="B53" s="53"/>
      <c r="C53" s="53" t="str">
        <f t="shared" si="38"/>
        <v>CPU_</v>
      </c>
      <c r="D53" s="278">
        <f t="shared" si="39"/>
        <v>0</v>
      </c>
      <c r="E53" s="278">
        <f t="shared" si="40"/>
        <v>0</v>
      </c>
      <c r="F53" s="1"/>
      <c r="G53" s="28" t="str">
        <f>IFERROR(VLOOKUP(F53,Tabela7[[RECURSO]:[CUSTO]],2,FALSE),"")</f>
        <v/>
      </c>
      <c r="I53" s="90">
        <f t="shared" si="44"/>
        <v>0</v>
      </c>
      <c r="J53" s="45">
        <f>IFERROR(VLOOKUP(F53,Tabela7[[RECURSO]:[CUSTO]],3,FALSE),0)</f>
        <v>0</v>
      </c>
      <c r="K53" s="45">
        <f t="shared" si="45"/>
        <v>0</v>
      </c>
      <c r="M53" s="85"/>
      <c r="N53" s="88"/>
      <c r="AD53" s="144">
        <f t="shared" si="3"/>
        <v>0</v>
      </c>
      <c r="AE53" s="192"/>
      <c r="AF53" s="180">
        <f t="shared" si="41"/>
        <v>0</v>
      </c>
      <c r="AG53" s="180">
        <f t="shared" si="17"/>
        <v>0</v>
      </c>
      <c r="AH53" s="181">
        <f t="shared" si="42"/>
        <v>0</v>
      </c>
      <c r="AI53" s="193"/>
      <c r="AJ53" s="90"/>
      <c r="AK53" s="90"/>
      <c r="AL53" s="183">
        <f t="shared" si="43"/>
        <v>0</v>
      </c>
      <c r="AM53" s="193"/>
      <c r="AN53" s="90"/>
      <c r="AO53" s="90"/>
      <c r="AP53" s="183">
        <f t="shared" si="23"/>
        <v>0</v>
      </c>
      <c r="AQ53" s="193"/>
      <c r="AR53" s="90"/>
      <c r="AS53" s="90"/>
      <c r="AT53" s="183">
        <f t="shared" si="24"/>
        <v>0</v>
      </c>
      <c r="AU53" s="193"/>
      <c r="AV53" s="90"/>
      <c r="AW53" s="90"/>
      <c r="AX53" s="183">
        <f t="shared" si="25"/>
        <v>0</v>
      </c>
      <c r="AY53" s="193"/>
      <c r="AZ53" s="90"/>
      <c r="BA53" s="90"/>
      <c r="BB53" s="183">
        <f t="shared" si="26"/>
        <v>0</v>
      </c>
      <c r="BC53" s="193"/>
      <c r="BD53" s="90"/>
      <c r="BE53" s="90"/>
      <c r="BF53" s="183">
        <f t="shared" si="27"/>
        <v>0</v>
      </c>
      <c r="BG53" s="193"/>
      <c r="BH53" s="90"/>
      <c r="BI53" s="90"/>
      <c r="BJ53" s="183">
        <f t="shared" si="28"/>
        <v>0</v>
      </c>
      <c r="BK53" s="193"/>
      <c r="BL53" s="90"/>
      <c r="BM53" s="90"/>
      <c r="BN53" s="183">
        <f t="shared" si="29"/>
        <v>0</v>
      </c>
      <c r="BO53" s="193"/>
      <c r="BP53" s="90"/>
      <c r="BQ53" s="90"/>
      <c r="BR53" s="183">
        <f t="shared" si="30"/>
        <v>0</v>
      </c>
      <c r="BS53" s="193"/>
      <c r="BT53" s="90"/>
      <c r="BU53" s="90"/>
      <c r="BV53" s="183">
        <f t="shared" si="31"/>
        <v>0</v>
      </c>
      <c r="BW53" s="193"/>
      <c r="BX53" s="90"/>
      <c r="BY53" s="90"/>
      <c r="BZ53" s="183">
        <f t="shared" si="32"/>
        <v>0</v>
      </c>
      <c r="CA53" s="193"/>
      <c r="CB53" s="90"/>
      <c r="CC53" s="90"/>
      <c r="CD53" s="183">
        <f t="shared" si="33"/>
        <v>0</v>
      </c>
    </row>
    <row r="54" spans="2:82" x14ac:dyDescent="0.3">
      <c r="B54" s="53"/>
      <c r="C54" s="53" t="str">
        <f t="shared" si="38"/>
        <v>CPU_</v>
      </c>
      <c r="D54" s="278">
        <f t="shared" si="39"/>
        <v>0</v>
      </c>
      <c r="E54" s="278">
        <f t="shared" si="40"/>
        <v>0</v>
      </c>
      <c r="F54" s="1"/>
      <c r="G54" s="28" t="str">
        <f>IFERROR(VLOOKUP(F54,Tabela7[[RECURSO]:[CUSTO]],2,FALSE),"")</f>
        <v/>
      </c>
      <c r="I54" s="90">
        <f t="shared" si="44"/>
        <v>0</v>
      </c>
      <c r="J54" s="45">
        <f>IFERROR(VLOOKUP(F54,Tabela7[[RECURSO]:[CUSTO]],3,FALSE),0)</f>
        <v>0</v>
      </c>
      <c r="K54" s="45">
        <f>I54*J54</f>
        <v>0</v>
      </c>
      <c r="M54" s="85"/>
      <c r="N54" s="88"/>
      <c r="AD54" s="144">
        <f>$B$3</f>
        <v>0</v>
      </c>
      <c r="AE54" s="192"/>
      <c r="AF54" s="180">
        <f t="shared" si="41"/>
        <v>0</v>
      </c>
      <c r="AG54" s="180">
        <f t="shared" si="17"/>
        <v>0</v>
      </c>
      <c r="AH54" s="181">
        <f t="shared" si="42"/>
        <v>0</v>
      </c>
      <c r="AI54" s="193"/>
      <c r="AJ54" s="90"/>
      <c r="AK54" s="90"/>
      <c r="AL54" s="183">
        <f t="shared" si="43"/>
        <v>0</v>
      </c>
      <c r="AM54" s="193"/>
      <c r="AN54" s="90"/>
      <c r="AO54" s="90"/>
      <c r="AP54" s="183">
        <f t="shared" si="23"/>
        <v>0</v>
      </c>
      <c r="AQ54" s="193"/>
      <c r="AR54" s="90"/>
      <c r="AS54" s="90"/>
      <c r="AT54" s="183">
        <f t="shared" si="24"/>
        <v>0</v>
      </c>
      <c r="AU54" s="193"/>
      <c r="AV54" s="90"/>
      <c r="AW54" s="90"/>
      <c r="AX54" s="183">
        <f t="shared" si="25"/>
        <v>0</v>
      </c>
      <c r="AY54" s="193"/>
      <c r="AZ54" s="90"/>
      <c r="BA54" s="90"/>
      <c r="BB54" s="183">
        <f t="shared" si="26"/>
        <v>0</v>
      </c>
      <c r="BC54" s="193"/>
      <c r="BD54" s="90"/>
      <c r="BE54" s="90"/>
      <c r="BF54" s="183">
        <f t="shared" si="27"/>
        <v>0</v>
      </c>
      <c r="BG54" s="193"/>
      <c r="BH54" s="90"/>
      <c r="BI54" s="90"/>
      <c r="BJ54" s="183">
        <f t="shared" si="28"/>
        <v>0</v>
      </c>
      <c r="BK54" s="193"/>
      <c r="BL54" s="90"/>
      <c r="BM54" s="90"/>
      <c r="BN54" s="183">
        <f t="shared" si="29"/>
        <v>0</v>
      </c>
      <c r="BO54" s="193"/>
      <c r="BP54" s="90"/>
      <c r="BQ54" s="90"/>
      <c r="BR54" s="183">
        <f t="shared" si="30"/>
        <v>0</v>
      </c>
      <c r="BS54" s="193"/>
      <c r="BT54" s="90"/>
      <c r="BU54" s="90"/>
      <c r="BV54" s="183">
        <f t="shared" si="31"/>
        <v>0</v>
      </c>
      <c r="BW54" s="193"/>
      <c r="BX54" s="90"/>
      <c r="BY54" s="90"/>
      <c r="BZ54" s="183">
        <f t="shared" si="32"/>
        <v>0</v>
      </c>
      <c r="CA54" s="193"/>
      <c r="CB54" s="90"/>
      <c r="CC54" s="90"/>
      <c r="CD54" s="183">
        <f t="shared" si="33"/>
        <v>0</v>
      </c>
    </row>
    <row r="55" spans="2:82" x14ac:dyDescent="0.3">
      <c r="B55" s="53"/>
      <c r="C55" s="53" t="str">
        <f t="shared" si="38"/>
        <v>CPU_</v>
      </c>
      <c r="D55" s="278">
        <f t="shared" si="39"/>
        <v>0</v>
      </c>
      <c r="E55" s="278">
        <f t="shared" si="40"/>
        <v>0</v>
      </c>
      <c r="F55" s="1"/>
      <c r="G55" s="28" t="str">
        <f>IFERROR(VLOOKUP(F55,Tabela7[[RECURSO]:[CUSTO]],2,FALSE),"")</f>
        <v/>
      </c>
      <c r="I55" s="90">
        <f t="shared" si="44"/>
        <v>0</v>
      </c>
      <c r="J55" s="45">
        <f>IFERROR(VLOOKUP(F55,Tabela7[[RECURSO]:[CUSTO]],3,FALSE),0)</f>
        <v>0</v>
      </c>
      <c r="K55" s="45">
        <f t="shared" si="45"/>
        <v>0</v>
      </c>
      <c r="M55" s="85"/>
      <c r="N55" s="88"/>
      <c r="AD55" s="144">
        <f t="shared" si="3"/>
        <v>0</v>
      </c>
      <c r="AE55" s="192"/>
      <c r="AF55" s="180">
        <f t="shared" si="41"/>
        <v>0</v>
      </c>
      <c r="AG55" s="180">
        <f t="shared" si="17"/>
        <v>0</v>
      </c>
      <c r="AH55" s="181">
        <f t="shared" si="42"/>
        <v>0</v>
      </c>
      <c r="AI55" s="193"/>
      <c r="AJ55" s="90"/>
      <c r="AK55" s="90"/>
      <c r="AL55" s="183">
        <f t="shared" si="43"/>
        <v>0</v>
      </c>
      <c r="AM55" s="193"/>
      <c r="AN55" s="90"/>
      <c r="AO55" s="90"/>
      <c r="AP55" s="183">
        <f t="shared" si="23"/>
        <v>0</v>
      </c>
      <c r="AQ55" s="193"/>
      <c r="AR55" s="90"/>
      <c r="AS55" s="90"/>
      <c r="AT55" s="183">
        <f t="shared" si="24"/>
        <v>0</v>
      </c>
      <c r="AU55" s="193"/>
      <c r="AV55" s="90"/>
      <c r="AW55" s="90"/>
      <c r="AX55" s="183">
        <f t="shared" si="25"/>
        <v>0</v>
      </c>
      <c r="AY55" s="193"/>
      <c r="AZ55" s="90"/>
      <c r="BA55" s="90"/>
      <c r="BB55" s="183">
        <f t="shared" si="26"/>
        <v>0</v>
      </c>
      <c r="BC55" s="193"/>
      <c r="BD55" s="90"/>
      <c r="BE55" s="90"/>
      <c r="BF55" s="183">
        <f t="shared" si="27"/>
        <v>0</v>
      </c>
      <c r="BG55" s="193"/>
      <c r="BH55" s="90"/>
      <c r="BI55" s="90"/>
      <c r="BJ55" s="183">
        <f t="shared" si="28"/>
        <v>0</v>
      </c>
      <c r="BK55" s="193"/>
      <c r="BL55" s="90"/>
      <c r="BM55" s="90"/>
      <c r="BN55" s="183">
        <f t="shared" si="29"/>
        <v>0</v>
      </c>
      <c r="BO55" s="193"/>
      <c r="BP55" s="90"/>
      <c r="BQ55" s="90"/>
      <c r="BR55" s="183">
        <f t="shared" si="30"/>
        <v>0</v>
      </c>
      <c r="BS55" s="193"/>
      <c r="BT55" s="90"/>
      <c r="BU55" s="90"/>
      <c r="BV55" s="183">
        <f t="shared" si="31"/>
        <v>0</v>
      </c>
      <c r="BW55" s="193"/>
      <c r="BX55" s="90"/>
      <c r="BY55" s="90"/>
      <c r="BZ55" s="183">
        <f t="shared" si="32"/>
        <v>0</v>
      </c>
      <c r="CA55" s="193"/>
      <c r="CB55" s="90"/>
      <c r="CC55" s="90"/>
      <c r="CD55" s="183">
        <f t="shared" si="33"/>
        <v>0</v>
      </c>
    </row>
    <row r="56" spans="2:82" x14ac:dyDescent="0.3">
      <c r="B56" s="53"/>
      <c r="C56" s="53" t="str">
        <f t="shared" si="38"/>
        <v>CPU_</v>
      </c>
      <c r="D56" s="278">
        <f t="shared" si="39"/>
        <v>0</v>
      </c>
      <c r="E56" s="278">
        <f t="shared" si="40"/>
        <v>0</v>
      </c>
      <c r="F56" s="1"/>
      <c r="G56" s="28" t="str">
        <f>IFERROR(VLOOKUP(F56,Tabela7[[RECURSO]:[CUSTO]],2,FALSE),"")</f>
        <v/>
      </c>
      <c r="I56" s="90">
        <f t="shared" si="44"/>
        <v>0</v>
      </c>
      <c r="J56" s="45">
        <f>IFERROR(VLOOKUP(F56,Tabela7[[RECURSO]:[CUSTO]],3,FALSE),0)</f>
        <v>0</v>
      </c>
      <c r="K56" s="45">
        <f t="shared" si="45"/>
        <v>0</v>
      </c>
      <c r="M56" s="85"/>
      <c r="N56" s="88"/>
      <c r="AD56" s="144">
        <f t="shared" si="3"/>
        <v>0</v>
      </c>
      <c r="AE56" s="192"/>
      <c r="AF56" s="180">
        <f t="shared" si="41"/>
        <v>0</v>
      </c>
      <c r="AG56" s="180">
        <f t="shared" si="17"/>
        <v>0</v>
      </c>
      <c r="AH56" s="181">
        <f t="shared" si="42"/>
        <v>0</v>
      </c>
      <c r="AI56" s="193"/>
      <c r="AJ56" s="90"/>
      <c r="AK56" s="90"/>
      <c r="AL56" s="183">
        <f t="shared" si="43"/>
        <v>0</v>
      </c>
      <c r="AM56" s="193"/>
      <c r="AN56" s="90"/>
      <c r="AO56" s="90"/>
      <c r="AP56" s="183">
        <f t="shared" si="23"/>
        <v>0</v>
      </c>
      <c r="AQ56" s="193"/>
      <c r="AR56" s="90"/>
      <c r="AS56" s="90"/>
      <c r="AT56" s="183">
        <f t="shared" si="24"/>
        <v>0</v>
      </c>
      <c r="AU56" s="193"/>
      <c r="AV56" s="90"/>
      <c r="AW56" s="90"/>
      <c r="AX56" s="183">
        <f t="shared" si="25"/>
        <v>0</v>
      </c>
      <c r="AY56" s="193"/>
      <c r="AZ56" s="90"/>
      <c r="BA56" s="90"/>
      <c r="BB56" s="183">
        <f t="shared" si="26"/>
        <v>0</v>
      </c>
      <c r="BC56" s="193"/>
      <c r="BD56" s="90"/>
      <c r="BE56" s="90"/>
      <c r="BF56" s="183">
        <f t="shared" si="27"/>
        <v>0</v>
      </c>
      <c r="BG56" s="193"/>
      <c r="BH56" s="90"/>
      <c r="BI56" s="90"/>
      <c r="BJ56" s="183">
        <f t="shared" si="28"/>
        <v>0</v>
      </c>
      <c r="BK56" s="193"/>
      <c r="BL56" s="90"/>
      <c r="BM56" s="90"/>
      <c r="BN56" s="183">
        <f t="shared" si="29"/>
        <v>0</v>
      </c>
      <c r="BO56" s="193"/>
      <c r="BP56" s="90"/>
      <c r="BQ56" s="90"/>
      <c r="BR56" s="183">
        <f t="shared" si="30"/>
        <v>0</v>
      </c>
      <c r="BS56" s="193"/>
      <c r="BT56" s="90"/>
      <c r="BU56" s="90"/>
      <c r="BV56" s="183">
        <f t="shared" si="31"/>
        <v>0</v>
      </c>
      <c r="BW56" s="193"/>
      <c r="BX56" s="90"/>
      <c r="BY56" s="90"/>
      <c r="BZ56" s="183">
        <f t="shared" si="32"/>
        <v>0</v>
      </c>
      <c r="CA56" s="193"/>
      <c r="CB56" s="90"/>
      <c r="CC56" s="90"/>
      <c r="CD56" s="183">
        <f t="shared" si="33"/>
        <v>0</v>
      </c>
    </row>
    <row r="57" spans="2:82" x14ac:dyDescent="0.3">
      <c r="B57" s="53"/>
      <c r="C57" s="53" t="str">
        <f t="shared" si="38"/>
        <v>CPU_</v>
      </c>
      <c r="D57" s="278">
        <f t="shared" si="39"/>
        <v>0</v>
      </c>
      <c r="E57" s="278">
        <f t="shared" si="40"/>
        <v>0</v>
      </c>
      <c r="F57" s="1"/>
      <c r="G57" s="28" t="str">
        <f>IFERROR(VLOOKUP(F57,Tabela7[[RECURSO]:[CUSTO]],2,FALSE),"")</f>
        <v/>
      </c>
      <c r="I57" s="90">
        <f t="shared" si="44"/>
        <v>0</v>
      </c>
      <c r="J57" s="45">
        <f>IFERROR(VLOOKUP(F57,Tabela7[[RECURSO]:[CUSTO]],3,FALSE),0)</f>
        <v>0</v>
      </c>
      <c r="K57" s="45">
        <f t="shared" si="45"/>
        <v>0</v>
      </c>
      <c r="M57" s="85"/>
      <c r="N57" s="88"/>
      <c r="AD57" s="144">
        <f t="shared" si="3"/>
        <v>0</v>
      </c>
      <c r="AE57" s="192"/>
      <c r="AF57" s="180">
        <f t="shared" si="41"/>
        <v>0</v>
      </c>
      <c r="AG57" s="180">
        <f t="shared" si="17"/>
        <v>0</v>
      </c>
      <c r="AH57" s="181">
        <f t="shared" si="42"/>
        <v>0</v>
      </c>
      <c r="AI57" s="193"/>
      <c r="AJ57" s="90"/>
      <c r="AK57" s="90"/>
      <c r="AL57" s="183">
        <f t="shared" si="43"/>
        <v>0</v>
      </c>
      <c r="AM57" s="193"/>
      <c r="AN57" s="90"/>
      <c r="AO57" s="90"/>
      <c r="AP57" s="183">
        <f t="shared" si="23"/>
        <v>0</v>
      </c>
      <c r="AQ57" s="193"/>
      <c r="AR57" s="90"/>
      <c r="AS57" s="90"/>
      <c r="AT57" s="183">
        <f t="shared" si="24"/>
        <v>0</v>
      </c>
      <c r="AU57" s="193"/>
      <c r="AV57" s="90"/>
      <c r="AW57" s="90"/>
      <c r="AX57" s="183">
        <f t="shared" si="25"/>
        <v>0</v>
      </c>
      <c r="AY57" s="193"/>
      <c r="AZ57" s="90"/>
      <c r="BA57" s="90"/>
      <c r="BB57" s="183">
        <f t="shared" si="26"/>
        <v>0</v>
      </c>
      <c r="BC57" s="193"/>
      <c r="BD57" s="90"/>
      <c r="BE57" s="90"/>
      <c r="BF57" s="183">
        <f t="shared" si="27"/>
        <v>0</v>
      </c>
      <c r="BG57" s="193"/>
      <c r="BH57" s="90"/>
      <c r="BI57" s="90"/>
      <c r="BJ57" s="183">
        <f t="shared" si="28"/>
        <v>0</v>
      </c>
      <c r="BK57" s="193"/>
      <c r="BL57" s="90"/>
      <c r="BM57" s="90"/>
      <c r="BN57" s="183">
        <f t="shared" si="29"/>
        <v>0</v>
      </c>
      <c r="BO57" s="193"/>
      <c r="BP57" s="90"/>
      <c r="BQ57" s="90"/>
      <c r="BR57" s="183">
        <f t="shared" si="30"/>
        <v>0</v>
      </c>
      <c r="BS57" s="193"/>
      <c r="BT57" s="90"/>
      <c r="BU57" s="90"/>
      <c r="BV57" s="183">
        <f t="shared" si="31"/>
        <v>0</v>
      </c>
      <c r="BW57" s="193"/>
      <c r="BX57" s="90"/>
      <c r="BY57" s="90"/>
      <c r="BZ57" s="183">
        <f t="shared" si="32"/>
        <v>0</v>
      </c>
      <c r="CA57" s="193"/>
      <c r="CB57" s="90"/>
      <c r="CC57" s="90"/>
      <c r="CD57" s="183">
        <f t="shared" si="33"/>
        <v>0</v>
      </c>
    </row>
    <row r="58" spans="2:82" x14ac:dyDescent="0.3">
      <c r="B58" s="53"/>
      <c r="C58" s="53" t="str">
        <f t="shared" si="38"/>
        <v>CPU_</v>
      </c>
      <c r="D58" s="278">
        <f t="shared" si="39"/>
        <v>0</v>
      </c>
      <c r="E58" s="278">
        <f t="shared" si="40"/>
        <v>0</v>
      </c>
      <c r="F58" s="1"/>
      <c r="G58" s="28" t="str">
        <f>IFERROR(VLOOKUP(F58,Tabela7[[RECURSO]:[CUSTO]],2,FALSE),"")</f>
        <v/>
      </c>
      <c r="I58" s="90">
        <f t="shared" si="44"/>
        <v>0</v>
      </c>
      <c r="J58" s="45">
        <f>IFERROR(VLOOKUP(F58,Tabela7[[RECURSO]:[CUSTO]],3,FALSE),0)</f>
        <v>0</v>
      </c>
      <c r="K58" s="45">
        <f t="shared" si="45"/>
        <v>0</v>
      </c>
      <c r="M58" s="85"/>
      <c r="N58" s="88"/>
      <c r="AD58" s="144">
        <f t="shared" si="3"/>
        <v>0</v>
      </c>
      <c r="AE58" s="192"/>
      <c r="AF58" s="180">
        <f t="shared" si="41"/>
        <v>0</v>
      </c>
      <c r="AG58" s="180">
        <f t="shared" si="17"/>
        <v>0</v>
      </c>
      <c r="AH58" s="181">
        <f t="shared" si="42"/>
        <v>0</v>
      </c>
      <c r="AI58" s="193"/>
      <c r="AJ58" s="90"/>
      <c r="AK58" s="90"/>
      <c r="AL58" s="183">
        <f t="shared" si="43"/>
        <v>0</v>
      </c>
      <c r="AM58" s="193"/>
      <c r="AN58" s="90"/>
      <c r="AO58" s="90"/>
      <c r="AP58" s="183">
        <f t="shared" si="23"/>
        <v>0</v>
      </c>
      <c r="AQ58" s="193"/>
      <c r="AR58" s="90"/>
      <c r="AS58" s="90"/>
      <c r="AT58" s="183">
        <f t="shared" si="24"/>
        <v>0</v>
      </c>
      <c r="AU58" s="193"/>
      <c r="AV58" s="90"/>
      <c r="AW58" s="90"/>
      <c r="AX58" s="183">
        <f t="shared" si="25"/>
        <v>0</v>
      </c>
      <c r="AY58" s="193"/>
      <c r="AZ58" s="90"/>
      <c r="BA58" s="90"/>
      <c r="BB58" s="183">
        <f t="shared" si="26"/>
        <v>0</v>
      </c>
      <c r="BC58" s="193"/>
      <c r="BD58" s="90"/>
      <c r="BE58" s="90"/>
      <c r="BF58" s="183">
        <f t="shared" si="27"/>
        <v>0</v>
      </c>
      <c r="BG58" s="193"/>
      <c r="BH58" s="90"/>
      <c r="BI58" s="90"/>
      <c r="BJ58" s="183">
        <f t="shared" si="28"/>
        <v>0</v>
      </c>
      <c r="BK58" s="193"/>
      <c r="BL58" s="90"/>
      <c r="BM58" s="90"/>
      <c r="BN58" s="183">
        <f t="shared" si="29"/>
        <v>0</v>
      </c>
      <c r="BO58" s="193"/>
      <c r="BP58" s="90"/>
      <c r="BQ58" s="90"/>
      <c r="BR58" s="183">
        <f t="shared" si="30"/>
        <v>0</v>
      </c>
      <c r="BS58" s="193"/>
      <c r="BT58" s="90"/>
      <c r="BU58" s="90"/>
      <c r="BV58" s="183">
        <f t="shared" si="31"/>
        <v>0</v>
      </c>
      <c r="BW58" s="193"/>
      <c r="BX58" s="90"/>
      <c r="BY58" s="90"/>
      <c r="BZ58" s="183">
        <f t="shared" si="32"/>
        <v>0</v>
      </c>
      <c r="CA58" s="193"/>
      <c r="CB58" s="90"/>
      <c r="CC58" s="90"/>
      <c r="CD58" s="183">
        <f t="shared" si="33"/>
        <v>0</v>
      </c>
    </row>
    <row r="59" spans="2:82" x14ac:dyDescent="0.3">
      <c r="B59" s="53"/>
      <c r="C59" s="53" t="str">
        <f t="shared" si="38"/>
        <v>CPU_</v>
      </c>
      <c r="D59" s="278">
        <f t="shared" si="39"/>
        <v>0</v>
      </c>
      <c r="E59" s="278">
        <f t="shared" si="40"/>
        <v>0</v>
      </c>
      <c r="F59" s="1"/>
      <c r="G59" s="28" t="str">
        <f>IFERROR(VLOOKUP(F59,Tabela7[[RECURSO]:[CUSTO]],2,FALSE),"")</f>
        <v/>
      </c>
      <c r="I59" s="90">
        <f t="shared" si="44"/>
        <v>0</v>
      </c>
      <c r="J59" s="45">
        <f>IFERROR(VLOOKUP(F59,Tabela7[[RECURSO]:[CUSTO]],3,FALSE),0)</f>
        <v>0</v>
      </c>
      <c r="K59" s="45">
        <f t="shared" si="45"/>
        <v>0</v>
      </c>
      <c r="M59" s="85"/>
      <c r="N59" s="88"/>
      <c r="AD59" s="144">
        <f t="shared" si="3"/>
        <v>0</v>
      </c>
      <c r="AE59" s="192"/>
      <c r="AF59" s="180">
        <f t="shared" si="41"/>
        <v>0</v>
      </c>
      <c r="AG59" s="180">
        <f t="shared" si="17"/>
        <v>0</v>
      </c>
      <c r="AH59" s="181">
        <f t="shared" si="42"/>
        <v>0</v>
      </c>
      <c r="AI59" s="193"/>
      <c r="AJ59" s="90"/>
      <c r="AK59" s="90"/>
      <c r="AL59" s="183">
        <f t="shared" si="43"/>
        <v>0</v>
      </c>
      <c r="AM59" s="193"/>
      <c r="AN59" s="90"/>
      <c r="AO59" s="90"/>
      <c r="AP59" s="183">
        <f t="shared" si="23"/>
        <v>0</v>
      </c>
      <c r="AQ59" s="193"/>
      <c r="AR59" s="90"/>
      <c r="AS59" s="90"/>
      <c r="AT59" s="183">
        <f t="shared" si="24"/>
        <v>0</v>
      </c>
      <c r="AU59" s="193"/>
      <c r="AV59" s="90"/>
      <c r="AW59" s="90"/>
      <c r="AX59" s="183">
        <f t="shared" si="25"/>
        <v>0</v>
      </c>
      <c r="AY59" s="193"/>
      <c r="AZ59" s="90"/>
      <c r="BA59" s="90"/>
      <c r="BB59" s="183">
        <f t="shared" si="26"/>
        <v>0</v>
      </c>
      <c r="BC59" s="193"/>
      <c r="BD59" s="90"/>
      <c r="BE59" s="90"/>
      <c r="BF59" s="183">
        <f t="shared" si="27"/>
        <v>0</v>
      </c>
      <c r="BG59" s="193"/>
      <c r="BH59" s="90"/>
      <c r="BI59" s="90"/>
      <c r="BJ59" s="183">
        <f t="shared" si="28"/>
        <v>0</v>
      </c>
      <c r="BK59" s="193"/>
      <c r="BL59" s="90"/>
      <c r="BM59" s="90"/>
      <c r="BN59" s="183">
        <f t="shared" si="29"/>
        <v>0</v>
      </c>
      <c r="BO59" s="193"/>
      <c r="BP59" s="90"/>
      <c r="BQ59" s="90"/>
      <c r="BR59" s="183">
        <f t="shared" si="30"/>
        <v>0</v>
      </c>
      <c r="BS59" s="193"/>
      <c r="BT59" s="90"/>
      <c r="BU59" s="90"/>
      <c r="BV59" s="183">
        <f t="shared" si="31"/>
        <v>0</v>
      </c>
      <c r="BW59" s="193"/>
      <c r="BX59" s="90"/>
      <c r="BY59" s="90"/>
      <c r="BZ59" s="183">
        <f t="shared" si="32"/>
        <v>0</v>
      </c>
      <c r="CA59" s="193"/>
      <c r="CB59" s="90"/>
      <c r="CC59" s="90"/>
      <c r="CD59" s="183">
        <f t="shared" si="33"/>
        <v>0</v>
      </c>
    </row>
    <row r="60" spans="2:82" x14ac:dyDescent="0.3">
      <c r="B60" s="53"/>
      <c r="C60" s="53" t="str">
        <f t="shared" si="38"/>
        <v>CPU_</v>
      </c>
      <c r="D60" s="278">
        <f t="shared" si="39"/>
        <v>0</v>
      </c>
      <c r="E60" s="278">
        <f t="shared" si="40"/>
        <v>0</v>
      </c>
      <c r="F60" s="1"/>
      <c r="G60" s="28" t="str">
        <f>IFERROR(VLOOKUP(F60,Tabela7[[RECURSO]:[CUSTO]],2,FALSE),"")</f>
        <v/>
      </c>
      <c r="I60" s="90">
        <f t="shared" si="44"/>
        <v>0</v>
      </c>
      <c r="J60" s="45">
        <f>IFERROR(VLOOKUP(F60,Tabela7[[RECURSO]:[CUSTO]],3,FALSE),0)</f>
        <v>0</v>
      </c>
      <c r="K60" s="45">
        <f t="shared" si="45"/>
        <v>0</v>
      </c>
      <c r="M60" s="85"/>
      <c r="N60" s="88"/>
      <c r="AD60" s="144">
        <f t="shared" si="3"/>
        <v>0</v>
      </c>
      <c r="AE60" s="192"/>
      <c r="AF60" s="180">
        <f t="shared" si="41"/>
        <v>0</v>
      </c>
      <c r="AG60" s="180">
        <f t="shared" si="17"/>
        <v>0</v>
      </c>
      <c r="AH60" s="181">
        <f t="shared" si="42"/>
        <v>0</v>
      </c>
      <c r="AI60" s="193"/>
      <c r="AJ60" s="90"/>
      <c r="AK60" s="90"/>
      <c r="AL60" s="183">
        <f t="shared" si="43"/>
        <v>0</v>
      </c>
      <c r="AM60" s="193"/>
      <c r="AN60" s="90"/>
      <c r="AO60" s="90"/>
      <c r="AP60" s="183">
        <f t="shared" si="23"/>
        <v>0</v>
      </c>
      <c r="AQ60" s="193"/>
      <c r="AR60" s="90"/>
      <c r="AS60" s="90"/>
      <c r="AT60" s="183">
        <f t="shared" si="24"/>
        <v>0</v>
      </c>
      <c r="AU60" s="193"/>
      <c r="AV60" s="90"/>
      <c r="AW60" s="90"/>
      <c r="AX60" s="183">
        <f t="shared" si="25"/>
        <v>0</v>
      </c>
      <c r="AY60" s="193"/>
      <c r="AZ60" s="90"/>
      <c r="BA60" s="90"/>
      <c r="BB60" s="183">
        <f t="shared" si="26"/>
        <v>0</v>
      </c>
      <c r="BC60" s="193"/>
      <c r="BD60" s="90"/>
      <c r="BE60" s="90"/>
      <c r="BF60" s="183">
        <f t="shared" si="27"/>
        <v>0</v>
      </c>
      <c r="BG60" s="193"/>
      <c r="BH60" s="90"/>
      <c r="BI60" s="90"/>
      <c r="BJ60" s="183">
        <f t="shared" si="28"/>
        <v>0</v>
      </c>
      <c r="BK60" s="193"/>
      <c r="BL60" s="90"/>
      <c r="BM60" s="90"/>
      <c r="BN60" s="183">
        <f t="shared" si="29"/>
        <v>0</v>
      </c>
      <c r="BO60" s="193"/>
      <c r="BP60" s="90"/>
      <c r="BQ60" s="90"/>
      <c r="BR60" s="183">
        <f t="shared" si="30"/>
        <v>0</v>
      </c>
      <c r="BS60" s="193"/>
      <c r="BT60" s="90"/>
      <c r="BU60" s="90"/>
      <c r="BV60" s="183">
        <f t="shared" si="31"/>
        <v>0</v>
      </c>
      <c r="BW60" s="193"/>
      <c r="BX60" s="90"/>
      <c r="BY60" s="90"/>
      <c r="BZ60" s="183">
        <f t="shared" si="32"/>
        <v>0</v>
      </c>
      <c r="CA60" s="193"/>
      <c r="CB60" s="90"/>
      <c r="CC60" s="90"/>
      <c r="CD60" s="183">
        <f t="shared" si="33"/>
        <v>0</v>
      </c>
    </row>
    <row r="61" spans="2:82" x14ac:dyDescent="0.3">
      <c r="B61" s="53"/>
      <c r="C61" s="53" t="str">
        <f t="shared" si="38"/>
        <v>CPU_</v>
      </c>
      <c r="D61" s="278">
        <f t="shared" si="39"/>
        <v>0</v>
      </c>
      <c r="E61" s="278">
        <f t="shared" si="40"/>
        <v>0</v>
      </c>
      <c r="F61" s="1"/>
      <c r="G61" s="28" t="str">
        <f>IFERROR(VLOOKUP(F61,Tabela7[[RECURSO]:[CUSTO]],2,FALSE),"")</f>
        <v/>
      </c>
      <c r="I61" s="90">
        <f t="shared" si="44"/>
        <v>0</v>
      </c>
      <c r="J61" s="45">
        <f>IFERROR(VLOOKUP(F61,Tabela7[[RECURSO]:[CUSTO]],3,FALSE),0)</f>
        <v>0</v>
      </c>
      <c r="K61" s="45">
        <f t="shared" si="45"/>
        <v>0</v>
      </c>
      <c r="M61" s="85"/>
      <c r="N61" s="88"/>
      <c r="AD61" s="144">
        <f t="shared" si="3"/>
        <v>0</v>
      </c>
      <c r="AE61" s="192"/>
      <c r="AF61" s="180">
        <f t="shared" si="41"/>
        <v>0</v>
      </c>
      <c r="AG61" s="180">
        <f t="shared" si="17"/>
        <v>0</v>
      </c>
      <c r="AH61" s="181">
        <f t="shared" si="42"/>
        <v>0</v>
      </c>
      <c r="AI61" s="193"/>
      <c r="AJ61" s="90"/>
      <c r="AK61" s="90"/>
      <c r="AL61" s="183">
        <f t="shared" si="43"/>
        <v>0</v>
      </c>
      <c r="AM61" s="193"/>
      <c r="AN61" s="90"/>
      <c r="AO61" s="90"/>
      <c r="AP61" s="183">
        <f t="shared" si="23"/>
        <v>0</v>
      </c>
      <c r="AQ61" s="193"/>
      <c r="AR61" s="90"/>
      <c r="AS61" s="90"/>
      <c r="AT61" s="183">
        <f t="shared" si="24"/>
        <v>0</v>
      </c>
      <c r="AU61" s="193"/>
      <c r="AV61" s="90"/>
      <c r="AW61" s="90"/>
      <c r="AX61" s="183">
        <f t="shared" si="25"/>
        <v>0</v>
      </c>
      <c r="AY61" s="193"/>
      <c r="AZ61" s="90"/>
      <c r="BA61" s="90"/>
      <c r="BB61" s="183">
        <f t="shared" si="26"/>
        <v>0</v>
      </c>
      <c r="BC61" s="193"/>
      <c r="BD61" s="90"/>
      <c r="BE61" s="90"/>
      <c r="BF61" s="183">
        <f t="shared" si="27"/>
        <v>0</v>
      </c>
      <c r="BG61" s="193"/>
      <c r="BH61" s="90"/>
      <c r="BI61" s="90"/>
      <c r="BJ61" s="183">
        <f t="shared" si="28"/>
        <v>0</v>
      </c>
      <c r="BK61" s="193"/>
      <c r="BL61" s="90"/>
      <c r="BM61" s="90"/>
      <c r="BN61" s="183">
        <f t="shared" si="29"/>
        <v>0</v>
      </c>
      <c r="BO61" s="193"/>
      <c r="BP61" s="90"/>
      <c r="BQ61" s="90"/>
      <c r="BR61" s="183">
        <f t="shared" si="30"/>
        <v>0</v>
      </c>
      <c r="BS61" s="193"/>
      <c r="BT61" s="90"/>
      <c r="BU61" s="90"/>
      <c r="BV61" s="183">
        <f t="shared" si="31"/>
        <v>0</v>
      </c>
      <c r="BW61" s="193"/>
      <c r="BX61" s="90"/>
      <c r="BY61" s="90"/>
      <c r="BZ61" s="183">
        <f t="shared" si="32"/>
        <v>0</v>
      </c>
      <c r="CA61" s="193"/>
      <c r="CB61" s="90"/>
      <c r="CC61" s="90"/>
      <c r="CD61" s="183">
        <f t="shared" si="33"/>
        <v>0</v>
      </c>
    </row>
    <row r="62" spans="2:82" ht="15" thickBot="1" x14ac:dyDescent="0.35">
      <c r="B62" s="53"/>
      <c r="C62" s="53" t="str">
        <f t="shared" si="38"/>
        <v>CPU_</v>
      </c>
      <c r="D62" s="278">
        <f t="shared" si="39"/>
        <v>0</v>
      </c>
      <c r="E62" s="278">
        <f t="shared" si="40"/>
        <v>0</v>
      </c>
      <c r="F62" s="1"/>
      <c r="G62" s="28" t="str">
        <f>IFERROR(VLOOKUP(F62,Tabela7[[RECURSO]:[CUSTO]],2,FALSE),"")</f>
        <v/>
      </c>
      <c r="I62" s="90">
        <f t="shared" si="44"/>
        <v>0</v>
      </c>
      <c r="J62" s="45">
        <f>IFERROR(VLOOKUP(F62,Tabela7[[RECURSO]:[CUSTO]],3,FALSE),0)</f>
        <v>0</v>
      </c>
      <c r="K62" s="45">
        <f t="shared" si="45"/>
        <v>0</v>
      </c>
      <c r="M62" s="86"/>
      <c r="N62" s="88"/>
      <c r="AD62" s="144">
        <f t="shared" si="3"/>
        <v>0</v>
      </c>
      <c r="AE62" s="194"/>
      <c r="AF62" s="195">
        <f t="shared" si="41"/>
        <v>0</v>
      </c>
      <c r="AG62" s="195">
        <f t="shared" si="17"/>
        <v>0</v>
      </c>
      <c r="AH62" s="196">
        <f t="shared" si="42"/>
        <v>0</v>
      </c>
      <c r="AI62" s="197"/>
      <c r="AJ62" s="198"/>
      <c r="AK62" s="198"/>
      <c r="AL62" s="199">
        <f t="shared" si="43"/>
        <v>0</v>
      </c>
      <c r="AM62" s="197"/>
      <c r="AN62" s="198"/>
      <c r="AO62" s="198"/>
      <c r="AP62" s="199">
        <f t="shared" si="23"/>
        <v>0</v>
      </c>
      <c r="AQ62" s="197"/>
      <c r="AR62" s="198"/>
      <c r="AS62" s="198"/>
      <c r="AT62" s="199">
        <f t="shared" si="24"/>
        <v>0</v>
      </c>
      <c r="AU62" s="197"/>
      <c r="AV62" s="198"/>
      <c r="AW62" s="198"/>
      <c r="AX62" s="199">
        <f t="shared" si="25"/>
        <v>0</v>
      </c>
      <c r="AY62" s="197"/>
      <c r="AZ62" s="198"/>
      <c r="BA62" s="198"/>
      <c r="BB62" s="199">
        <f t="shared" si="26"/>
        <v>0</v>
      </c>
      <c r="BC62" s="197"/>
      <c r="BD62" s="198"/>
      <c r="BE62" s="198"/>
      <c r="BF62" s="199">
        <f t="shared" si="27"/>
        <v>0</v>
      </c>
      <c r="BG62" s="197"/>
      <c r="BH62" s="198"/>
      <c r="BI62" s="198"/>
      <c r="BJ62" s="199">
        <f t="shared" si="28"/>
        <v>0</v>
      </c>
      <c r="BK62" s="197"/>
      <c r="BL62" s="198"/>
      <c r="BM62" s="198"/>
      <c r="BN62" s="199">
        <f t="shared" si="29"/>
        <v>0</v>
      </c>
      <c r="BO62" s="197"/>
      <c r="BP62" s="198"/>
      <c r="BQ62" s="198"/>
      <c r="BR62" s="199">
        <f t="shared" si="30"/>
        <v>0</v>
      </c>
      <c r="BS62" s="197"/>
      <c r="BT62" s="198"/>
      <c r="BU62" s="198"/>
      <c r="BV62" s="199">
        <f t="shared" si="31"/>
        <v>0</v>
      </c>
      <c r="BW62" s="197"/>
      <c r="BX62" s="198"/>
      <c r="BY62" s="198"/>
      <c r="BZ62" s="199">
        <f t="shared" si="32"/>
        <v>0</v>
      </c>
      <c r="CA62" s="197"/>
      <c r="CB62" s="198"/>
      <c r="CC62" s="198"/>
      <c r="CD62" s="199">
        <f t="shared" si="33"/>
        <v>0</v>
      </c>
    </row>
  </sheetData>
  <conditionalFormatting sqref="K6:K7">
    <cfRule type="iconSet" priority="14">
      <iconSet>
        <cfvo type="percent" val="0"/>
        <cfvo type="num" val="0"/>
        <cfvo type="num" val="0.02"/>
      </iconSet>
    </cfRule>
  </conditionalFormatting>
  <conditionalFormatting sqref="AH6:AH7">
    <cfRule type="iconSet" priority="13">
      <iconSet>
        <cfvo type="percent" val="0"/>
        <cfvo type="num" val="0"/>
        <cfvo type="num" val="0.02"/>
      </iconSet>
    </cfRule>
  </conditionalFormatting>
  <conditionalFormatting sqref="AL6:AL7">
    <cfRule type="iconSet" priority="12">
      <iconSet>
        <cfvo type="percent" val="0"/>
        <cfvo type="num" val="0"/>
        <cfvo type="num" val="0.02"/>
      </iconSet>
    </cfRule>
  </conditionalFormatting>
  <conditionalFormatting sqref="AP6:AP7">
    <cfRule type="iconSet" priority="11">
      <iconSet>
        <cfvo type="percent" val="0"/>
        <cfvo type="num" val="0"/>
        <cfvo type="num" val="0.02"/>
      </iconSet>
    </cfRule>
  </conditionalFormatting>
  <conditionalFormatting sqref="AT6:AT7">
    <cfRule type="iconSet" priority="10">
      <iconSet>
        <cfvo type="percent" val="0"/>
        <cfvo type="num" val="0"/>
        <cfvo type="num" val="0.02"/>
      </iconSet>
    </cfRule>
  </conditionalFormatting>
  <conditionalFormatting sqref="AX6:AX7">
    <cfRule type="iconSet" priority="9">
      <iconSet>
        <cfvo type="percent" val="0"/>
        <cfvo type="num" val="0"/>
        <cfvo type="num" val="0.02"/>
      </iconSet>
    </cfRule>
  </conditionalFormatting>
  <conditionalFormatting sqref="BB6:BB7">
    <cfRule type="iconSet" priority="8">
      <iconSet>
        <cfvo type="percent" val="0"/>
        <cfvo type="num" val="0"/>
        <cfvo type="num" val="0.02"/>
      </iconSet>
    </cfRule>
  </conditionalFormatting>
  <conditionalFormatting sqref="BF6:BF7">
    <cfRule type="iconSet" priority="7">
      <iconSet>
        <cfvo type="percent" val="0"/>
        <cfvo type="num" val="0"/>
        <cfvo type="num" val="0.02"/>
      </iconSet>
    </cfRule>
  </conditionalFormatting>
  <conditionalFormatting sqref="BJ6:BJ7">
    <cfRule type="iconSet" priority="6">
      <iconSet>
        <cfvo type="percent" val="0"/>
        <cfvo type="num" val="0"/>
        <cfvo type="num" val="0.02"/>
      </iconSet>
    </cfRule>
  </conditionalFormatting>
  <conditionalFormatting sqref="BN6:BN7">
    <cfRule type="iconSet" priority="5">
      <iconSet>
        <cfvo type="percent" val="0"/>
        <cfvo type="num" val="0"/>
        <cfvo type="num" val="0.02"/>
      </iconSet>
    </cfRule>
  </conditionalFormatting>
  <conditionalFormatting sqref="BR6:BR7">
    <cfRule type="iconSet" priority="4">
      <iconSet>
        <cfvo type="percent" val="0"/>
        <cfvo type="num" val="0"/>
        <cfvo type="num" val="0.02"/>
      </iconSet>
    </cfRule>
  </conditionalFormatting>
  <conditionalFormatting sqref="BV6:BV7">
    <cfRule type="iconSet" priority="3">
      <iconSet>
        <cfvo type="percent" val="0"/>
        <cfvo type="num" val="0"/>
        <cfvo type="num" val="0.02"/>
      </iconSet>
    </cfRule>
  </conditionalFormatting>
  <conditionalFormatting sqref="BZ6:BZ7">
    <cfRule type="iconSet" priority="2">
      <iconSet>
        <cfvo type="percent" val="0"/>
        <cfvo type="num" val="0"/>
        <cfvo type="num" val="0.02"/>
      </iconSet>
    </cfRule>
  </conditionalFormatting>
  <conditionalFormatting sqref="CD6:CD7">
    <cfRule type="iconSet" priority="1">
      <iconSet>
        <cfvo type="percent" val="0"/>
        <cfvo type="num" val="0"/>
        <cfvo type="num" val="0.02"/>
      </iconSet>
    </cfRule>
  </conditionalFormatting>
  <dataValidations count="5">
    <dataValidation type="list" allowBlank="1" showInputMessage="1" showErrorMessage="1" sqref="B3:E3" xr:uid="{00000000-0002-0000-0B00-000000000000}">
      <formula1>INDIRECT($B$2)</formula1>
    </dataValidation>
    <dataValidation type="list" allowBlank="1" showInputMessage="1" showErrorMessage="1" sqref="F12:F23" xr:uid="{00000000-0002-0000-0B00-000001000000}">
      <formula1>INDIRECT($B$11)</formula1>
    </dataValidation>
    <dataValidation type="list" allowBlank="1" showInputMessage="1" showErrorMessage="1" sqref="F25:F36" xr:uid="{00000000-0002-0000-0B00-000002000000}">
      <formula1>INDIRECT($B$24)</formula1>
    </dataValidation>
    <dataValidation type="list" allowBlank="1" showInputMessage="1" showErrorMessage="1" sqref="F38:F49" xr:uid="{00000000-0002-0000-0B00-000003000000}">
      <formula1>INDIRECT($B$37)</formula1>
    </dataValidation>
    <dataValidation type="list" allowBlank="1" showInputMessage="1" showErrorMessage="1" sqref="F51:F62" xr:uid="{00000000-0002-0000-0B00-000004000000}">
      <formula1>INDIRECT($B$50)</formula1>
    </dataValidation>
  </dataValidations>
  <pageMargins left="0.51181102362204722" right="0.51181102362204722" top="0.19685039370078741" bottom="0.19685039370078741" header="0.31496062992125984" footer="0.31496062992125984"/>
  <pageSetup paperSize="9" scale="82" orientation="portrait" r:id="rId1"/>
  <colBreaks count="1" manualBreakCount="1">
    <brk id="11" max="1048575" man="1"/>
  </colBreaks>
  <drawing r:id="rId2"/>
  <legacyDrawing r:id="rId3"/>
  <tableParts count="2"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FE9DF-0CCC-4B06-A702-57F5E8787812}">
  <sheetPr codeName="Plan40"/>
  <dimension ref="A1:CD62"/>
  <sheetViews>
    <sheetView showGridLines="0" zoomScaleNormal="100" workbookViewId="0">
      <pane xSplit="14" ySplit="10" topLeftCell="O23" activePane="bottomRight" state="frozen"/>
      <selection pane="topRight" activeCell="C28" activeCellId="1" sqref="E13 C28"/>
      <selection pane="bottomLeft" activeCell="C28" activeCellId="1" sqref="E13 C28"/>
      <selection pane="bottomRight" activeCell="M13" sqref="M13"/>
    </sheetView>
  </sheetViews>
  <sheetFormatPr defaultRowHeight="14.4" x14ac:dyDescent="0.3"/>
  <cols>
    <col min="1" max="1" width="4.109375" customWidth="1"/>
    <col min="2" max="2" width="16.109375" customWidth="1"/>
    <col min="3" max="5" width="16.109375" hidden="1" customWidth="1"/>
    <col min="6" max="6" width="40.6640625" customWidth="1"/>
    <col min="7" max="7" width="10.6640625" style="28" customWidth="1"/>
    <col min="8" max="8" width="7.6640625" style="28" customWidth="1"/>
    <col min="9" max="11" width="10.6640625" customWidth="1"/>
    <col min="12" max="12" width="2.33203125" customWidth="1"/>
    <col min="13" max="14" width="12.6640625" customWidth="1"/>
    <col min="15" max="15" width="14" bestFit="1" customWidth="1"/>
    <col min="30" max="30" width="12.44140625" bestFit="1" customWidth="1"/>
    <col min="31" max="31" width="7.6640625" customWidth="1"/>
    <col min="32" max="32" width="9.33203125" bestFit="1" customWidth="1"/>
    <col min="33" max="34" width="10.6640625" customWidth="1"/>
    <col min="35" max="35" width="7.6640625" customWidth="1"/>
    <col min="36" max="36" width="9.33203125" customWidth="1"/>
    <col min="37" max="38" width="10.6640625" customWidth="1"/>
    <col min="40" max="40" width="9.33203125" customWidth="1"/>
    <col min="42" max="42" width="9.6640625" customWidth="1"/>
    <col min="44" max="44" width="9.33203125" customWidth="1"/>
    <col min="46" max="46" width="9.6640625" customWidth="1"/>
    <col min="48" max="48" width="9.33203125" customWidth="1"/>
    <col min="50" max="50" width="9.6640625" customWidth="1"/>
    <col min="52" max="52" width="9.33203125" customWidth="1"/>
    <col min="54" max="54" width="9.6640625" customWidth="1"/>
    <col min="56" max="56" width="9.33203125" customWidth="1"/>
    <col min="58" max="58" width="9.6640625" customWidth="1"/>
    <col min="60" max="60" width="9.33203125" customWidth="1"/>
    <col min="62" max="62" width="9.6640625" customWidth="1"/>
    <col min="64" max="64" width="9.33203125" customWidth="1"/>
    <col min="66" max="66" width="9.6640625" customWidth="1"/>
    <col min="68" max="68" width="9.33203125" customWidth="1"/>
    <col min="70" max="70" width="9.6640625" customWidth="1"/>
    <col min="72" max="72" width="10" customWidth="1"/>
    <col min="73" max="73" width="9.5546875" customWidth="1"/>
    <col min="74" max="74" width="10.44140625" customWidth="1"/>
    <col min="76" max="76" width="10" customWidth="1"/>
    <col min="77" max="77" width="9.5546875" customWidth="1"/>
    <col min="78" max="78" width="10.44140625" customWidth="1"/>
    <col min="80" max="80" width="10" customWidth="1"/>
    <col min="81" max="81" width="9.5546875" customWidth="1"/>
    <col min="82" max="82" width="10.44140625" customWidth="1"/>
  </cols>
  <sheetData>
    <row r="1" spans="1:82" ht="26.4" customHeight="1" thickBot="1" x14ac:dyDescent="0.35">
      <c r="AE1" s="163" t="s">
        <v>678</v>
      </c>
    </row>
    <row r="2" spans="1:82" x14ac:dyDescent="0.3">
      <c r="B2" s="64" t="s">
        <v>679</v>
      </c>
      <c r="C2" s="67"/>
      <c r="D2" s="67"/>
      <c r="E2" s="67"/>
      <c r="F2" s="65"/>
      <c r="G2" s="66"/>
      <c r="H2" s="66"/>
      <c r="I2" s="65"/>
      <c r="J2" s="67" t="s">
        <v>680</v>
      </c>
      <c r="K2" s="68" t="s">
        <v>681</v>
      </c>
      <c r="M2" s="227" t="s">
        <v>682</v>
      </c>
      <c r="N2" s="228" t="s">
        <v>683</v>
      </c>
      <c r="O2" s="234" t="s">
        <v>684</v>
      </c>
      <c r="AE2" s="164" t="s">
        <v>590</v>
      </c>
      <c r="AF2" s="165" t="s">
        <v>20</v>
      </c>
      <c r="AG2" s="67"/>
      <c r="AH2" s="68" t="s">
        <v>681</v>
      </c>
      <c r="AI2" s="166">
        <v>44927</v>
      </c>
      <c r="AJ2" s="165" t="s">
        <v>20</v>
      </c>
      <c r="AK2" s="67"/>
      <c r="AL2" s="68" t="s">
        <v>681</v>
      </c>
      <c r="AM2" s="166">
        <v>44958</v>
      </c>
      <c r="AN2" s="165" t="s">
        <v>20</v>
      </c>
      <c r="AO2" s="67"/>
      <c r="AP2" s="68" t="s">
        <v>681</v>
      </c>
      <c r="AQ2" s="166">
        <v>44986</v>
      </c>
      <c r="AR2" s="165" t="s">
        <v>20</v>
      </c>
      <c r="AS2" s="67"/>
      <c r="AT2" s="68" t="s">
        <v>681</v>
      </c>
      <c r="AU2" s="166">
        <v>45017</v>
      </c>
      <c r="AV2" s="165" t="s">
        <v>20</v>
      </c>
      <c r="AW2" s="67"/>
      <c r="AX2" s="68" t="s">
        <v>681</v>
      </c>
      <c r="AY2" s="166">
        <v>45047</v>
      </c>
      <c r="AZ2" s="165" t="s">
        <v>20</v>
      </c>
      <c r="BA2" s="67"/>
      <c r="BB2" s="68" t="s">
        <v>681</v>
      </c>
      <c r="BC2" s="166">
        <v>45078</v>
      </c>
      <c r="BD2" s="165" t="s">
        <v>20</v>
      </c>
      <c r="BE2" s="67"/>
      <c r="BF2" s="68" t="s">
        <v>681</v>
      </c>
      <c r="BG2" s="166">
        <v>45108</v>
      </c>
      <c r="BH2" s="165" t="s">
        <v>20</v>
      </c>
      <c r="BI2" s="67"/>
      <c r="BJ2" s="68" t="s">
        <v>681</v>
      </c>
      <c r="BK2" s="166">
        <v>45139</v>
      </c>
      <c r="BL2" s="165" t="s">
        <v>20</v>
      </c>
      <c r="BM2" s="67"/>
      <c r="BN2" s="68" t="s">
        <v>681</v>
      </c>
      <c r="BO2" s="166">
        <v>45170</v>
      </c>
      <c r="BP2" s="165" t="s">
        <v>20</v>
      </c>
      <c r="BQ2" s="67"/>
      <c r="BR2" s="68" t="s">
        <v>681</v>
      </c>
      <c r="BS2" s="166">
        <v>45200</v>
      </c>
      <c r="BT2" s="165" t="s">
        <v>20</v>
      </c>
      <c r="BU2" s="67"/>
      <c r="BV2" s="68" t="s">
        <v>681</v>
      </c>
      <c r="BW2" s="166">
        <v>45231</v>
      </c>
      <c r="BX2" s="165" t="s">
        <v>20</v>
      </c>
      <c r="BY2" s="67"/>
      <c r="BZ2" s="68" t="s">
        <v>681</v>
      </c>
      <c r="CA2" s="166">
        <v>45261</v>
      </c>
      <c r="CB2" s="165" t="s">
        <v>20</v>
      </c>
      <c r="CC2" s="67"/>
      <c r="CD2" s="68" t="s">
        <v>681</v>
      </c>
    </row>
    <row r="3" spans="1:82" x14ac:dyDescent="0.3">
      <c r="A3" s="42" t="str">
        <f>"CPU_"&amp;LEFT(SUBSTITUTE(SUBSTITUTE(B3," ",""),"-",""),20)</f>
        <v>CPU_PinturadeLigação</v>
      </c>
      <c r="B3" s="31" t="s">
        <v>980</v>
      </c>
      <c r="C3" s="1"/>
      <c r="D3" s="1"/>
      <c r="E3" s="1"/>
      <c r="F3" s="73"/>
      <c r="G3" s="74"/>
      <c r="H3" s="74"/>
      <c r="I3" s="73"/>
      <c r="J3" s="74" t="str">
        <f>IFERROR(VLOOKUP(B3,Tabela1[[NOME SERVIÇO]:[UNID]],4,0),"")</f>
        <v>M²</v>
      </c>
      <c r="K3" s="75">
        <f>IFERROR(J6/B6,0)</f>
        <v>0.62954904849496107</v>
      </c>
      <c r="M3" s="229" t="s">
        <v>685</v>
      </c>
      <c r="N3" s="230">
        <f>K11</f>
        <v>824.99999999999989</v>
      </c>
      <c r="O3" s="235">
        <f>IFERROR(N3/$N$7,0)</f>
        <v>0.44924985701544229</v>
      </c>
      <c r="AE3" s="167"/>
      <c r="AF3" s="168">
        <f>AJ3+AN3+AR3+AV3+AZ3+BD3+BH3+BL3+BP3+BT3+BX3+CB3</f>
        <v>0</v>
      </c>
      <c r="AG3" s="74"/>
      <c r="AH3" s="75">
        <f>IFERROR((AG6/AF3),0)</f>
        <v>0</v>
      </c>
      <c r="AI3" s="167"/>
      <c r="AJ3" s="168">
        <f>IFERROR(SUMPRODUCT(Plan_Orc!$I$4:$I$2002*Plan_Orc!$AB$4:$AB$2002*(Plan_Orc!$D$4:$D$2002=$B3)),0)</f>
        <v>0</v>
      </c>
      <c r="AK3" s="74"/>
      <c r="AL3" s="75">
        <f>IFERROR((AK6/AJ3),0)</f>
        <v>0</v>
      </c>
      <c r="AM3" s="167"/>
      <c r="AN3" s="168">
        <f>IFERROR(SUMPRODUCT(Plan_Orc!$I$4:$I$2002*Plan_Orc!$AC$4:$AC$2002*(Plan_Orc!$D$4:$D$2002=$B3)),0)</f>
        <v>0</v>
      </c>
      <c r="AO3" s="74"/>
      <c r="AP3" s="75">
        <f>IFERROR((AO6/AN3),0)</f>
        <v>0</v>
      </c>
      <c r="AQ3" s="167"/>
      <c r="AR3" s="168">
        <f>IFERROR(SUMPRODUCT(Plan_Orc!$I$4:$I$2002*Plan_Orc!$AD$4:$AD$2002*(Plan_Orc!$D$4:$D$2002=$B3)),0)</f>
        <v>0</v>
      </c>
      <c r="AS3" s="74"/>
      <c r="AT3" s="75">
        <f>IFERROR((AS6/AR3),0)</f>
        <v>0</v>
      </c>
      <c r="AU3" s="167"/>
      <c r="AV3" s="168">
        <f>IFERROR(SUMPRODUCT(Plan_Orc!$I$4:$I$2002*Plan_Orc!$AE$4:$AE$2002*(Plan_Orc!$D$4:$D$2002=$B3)),0)</f>
        <v>0</v>
      </c>
      <c r="AW3" s="74"/>
      <c r="AX3" s="75">
        <f>IFERROR((AW6/AV3),0)</f>
        <v>0</v>
      </c>
      <c r="AY3" s="167"/>
      <c r="AZ3" s="168">
        <f>IFERROR(SUMPRODUCT(Plan_Orc!$I$4:$I$2002*Plan_Orc!$AF$4:$AF$2002*(Plan_Orc!$D$4:$D$2002=$B3)),0)</f>
        <v>0</v>
      </c>
      <c r="BA3" s="74"/>
      <c r="BB3" s="75">
        <f>IFERROR((BA6/AZ3),0)</f>
        <v>0</v>
      </c>
      <c r="BC3" s="167"/>
      <c r="BD3" s="168">
        <f>IFERROR(SUMPRODUCT(Plan_Orc!$I$4:$I$2002*Plan_Orc!$AG$4:$AG$2002*(Plan_Orc!$D$4:$D$2002=$B3)),0)</f>
        <v>0</v>
      </c>
      <c r="BE3" s="74"/>
      <c r="BF3" s="75">
        <f>IFERROR((BE6/BD3),0)</f>
        <v>0</v>
      </c>
      <c r="BG3" s="167"/>
      <c r="BH3" s="168">
        <f>IFERROR(SUMPRODUCT(Plan_Orc!$I$4:$I$2002*Plan_Orc!$AH$4:$AH$2002*(Plan_Orc!$D$4:$D$2002=$B3)),0)</f>
        <v>0</v>
      </c>
      <c r="BI3" s="74"/>
      <c r="BJ3" s="75">
        <f>IFERROR((BI6/BH3),0)</f>
        <v>0</v>
      </c>
      <c r="BK3" s="167"/>
      <c r="BL3" s="168">
        <f>IFERROR(SUMPRODUCT(Plan_Orc!$I$4:$I$2002*Plan_Orc!$AI$4:$AI$2002*(Plan_Orc!$D$4:$D$2002=$B3)),0)</f>
        <v>0</v>
      </c>
      <c r="BM3" s="74"/>
      <c r="BN3" s="75">
        <f>IFERROR((BM6/BL3),0)</f>
        <v>0</v>
      </c>
      <c r="BO3" s="167"/>
      <c r="BP3" s="168">
        <f>IFERROR(SUMPRODUCT(Plan_Orc!$I$4:$I$2002*Plan_Orc!$AJ$4:$AJ$2002*(Plan_Orc!$D$4:$D$2002=$B3)),0)</f>
        <v>0</v>
      </c>
      <c r="BQ3" s="74"/>
      <c r="BR3" s="75">
        <f>IFERROR((BQ6/BP3),0)</f>
        <v>0</v>
      </c>
      <c r="BS3" s="167"/>
      <c r="BT3" s="168">
        <f>IFERROR(SUMPRODUCT(Plan_Orc!$I$4:$I$2002*Plan_Orc!$AK$4:$AK$2002*(Plan_Orc!$D$4:$D$2002=$B3)),0)</f>
        <v>0</v>
      </c>
      <c r="BU3" s="74"/>
      <c r="BV3" s="75">
        <f>IFERROR((BU6/BT3),0)</f>
        <v>0</v>
      </c>
      <c r="BW3" s="167"/>
      <c r="BX3" s="168">
        <f>IFERROR(SUMPRODUCT(Plan_Orc!$I$4:$I$2002*Plan_Orc!$AL$4:$AL$2002*(Plan_Orc!$D$4:$D$2002=$B3)),0)</f>
        <v>0</v>
      </c>
      <c r="BY3" s="74"/>
      <c r="BZ3" s="75">
        <f>IFERROR((BY6/BX3),0)</f>
        <v>0</v>
      </c>
      <c r="CA3" s="167"/>
      <c r="CB3" s="168">
        <f>IFERROR(SUMPRODUCT(Plan_Orc!$I$4:$I$2002*Plan_Orc!$AM$4:$AM$2002*(Plan_Orc!$D$4:$D$2002=$B3)),0)</f>
        <v>0</v>
      </c>
      <c r="CC3" s="74"/>
      <c r="CD3" s="75">
        <f>IFERROR((CC6/CB3),0)</f>
        <v>0</v>
      </c>
    </row>
    <row r="4" spans="1:82" x14ac:dyDescent="0.3">
      <c r="B4" s="32"/>
      <c r="K4" s="30"/>
      <c r="M4" s="229" t="s">
        <v>686</v>
      </c>
      <c r="N4" s="230">
        <f>+K24</f>
        <v>0</v>
      </c>
      <c r="O4" s="235">
        <f>IFERROR(N4/$N$7,0)</f>
        <v>0</v>
      </c>
      <c r="AE4" s="169"/>
      <c r="AH4" s="30"/>
      <c r="AI4" s="169"/>
      <c r="AL4" s="30"/>
      <c r="AM4" s="169"/>
      <c r="AP4" s="30"/>
      <c r="AQ4" s="169"/>
      <c r="AT4" s="30"/>
      <c r="AU4" s="169"/>
      <c r="AX4" s="30"/>
      <c r="AY4" s="169"/>
      <c r="BB4" s="30"/>
      <c r="BC4" s="169"/>
      <c r="BF4" s="30"/>
      <c r="BG4" s="169"/>
      <c r="BJ4" s="30"/>
      <c r="BK4" s="169"/>
      <c r="BN4" s="30"/>
      <c r="BO4" s="169"/>
      <c r="BR4" s="30"/>
      <c r="BS4" s="169"/>
      <c r="BV4" s="30"/>
      <c r="BW4" s="169"/>
      <c r="BZ4" s="30"/>
      <c r="CA4" s="169"/>
      <c r="CD4" s="30"/>
    </row>
    <row r="5" spans="1:82" x14ac:dyDescent="0.3">
      <c r="B5" s="69" t="s">
        <v>687</v>
      </c>
      <c r="C5" s="72"/>
      <c r="D5" s="72"/>
      <c r="E5" s="72"/>
      <c r="F5" s="70" t="s">
        <v>688</v>
      </c>
      <c r="G5" s="70" t="s">
        <v>689</v>
      </c>
      <c r="H5" s="70" t="s">
        <v>690</v>
      </c>
      <c r="I5" s="70" t="s">
        <v>691</v>
      </c>
      <c r="J5" s="70" t="s">
        <v>683</v>
      </c>
      <c r="K5" s="71" t="s">
        <v>593</v>
      </c>
      <c r="M5" s="229" t="s">
        <v>692</v>
      </c>
      <c r="N5" s="230">
        <f>+K37</f>
        <v>1011.3945744598017</v>
      </c>
      <c r="O5" s="235">
        <f>IFERROR(N5/$N$7,0)</f>
        <v>0.55075014298455771</v>
      </c>
      <c r="AE5" s="170"/>
      <c r="AF5" s="70" t="s">
        <v>691</v>
      </c>
      <c r="AG5" s="70" t="s">
        <v>683</v>
      </c>
      <c r="AH5" s="71" t="s">
        <v>593</v>
      </c>
      <c r="AI5" s="170"/>
      <c r="AJ5" s="70" t="s">
        <v>691</v>
      </c>
      <c r="AK5" s="70" t="s">
        <v>683</v>
      </c>
      <c r="AL5" s="71" t="s">
        <v>593</v>
      </c>
      <c r="AM5" s="170"/>
      <c r="AN5" s="70" t="s">
        <v>691</v>
      </c>
      <c r="AO5" s="70" t="s">
        <v>683</v>
      </c>
      <c r="AP5" s="71" t="s">
        <v>593</v>
      </c>
      <c r="AQ5" s="170"/>
      <c r="AR5" s="70" t="s">
        <v>691</v>
      </c>
      <c r="AS5" s="70" t="s">
        <v>683</v>
      </c>
      <c r="AT5" s="71" t="s">
        <v>593</v>
      </c>
      <c r="AU5" s="170"/>
      <c r="AV5" s="70" t="s">
        <v>691</v>
      </c>
      <c r="AW5" s="70" t="s">
        <v>683</v>
      </c>
      <c r="AX5" s="71" t="s">
        <v>593</v>
      </c>
      <c r="AY5" s="170"/>
      <c r="AZ5" s="70" t="s">
        <v>691</v>
      </c>
      <c r="BA5" s="70" t="s">
        <v>683</v>
      </c>
      <c r="BB5" s="71" t="s">
        <v>593</v>
      </c>
      <c r="BC5" s="170"/>
      <c r="BD5" s="70" t="s">
        <v>691</v>
      </c>
      <c r="BE5" s="70" t="s">
        <v>683</v>
      </c>
      <c r="BF5" s="71" t="s">
        <v>593</v>
      </c>
      <c r="BG5" s="170"/>
      <c r="BH5" s="70" t="s">
        <v>691</v>
      </c>
      <c r="BI5" s="70" t="s">
        <v>683</v>
      </c>
      <c r="BJ5" s="71" t="s">
        <v>593</v>
      </c>
      <c r="BK5" s="170"/>
      <c r="BL5" s="70" t="s">
        <v>691</v>
      </c>
      <c r="BM5" s="70" t="s">
        <v>683</v>
      </c>
      <c r="BN5" s="71" t="s">
        <v>593</v>
      </c>
      <c r="BO5" s="170"/>
      <c r="BP5" s="70" t="s">
        <v>691</v>
      </c>
      <c r="BQ5" s="70" t="s">
        <v>683</v>
      </c>
      <c r="BR5" s="71" t="s">
        <v>593</v>
      </c>
      <c r="BS5" s="170"/>
      <c r="BT5" s="70" t="s">
        <v>691</v>
      </c>
      <c r="BU5" s="70" t="s">
        <v>683</v>
      </c>
      <c r="BV5" s="71" t="s">
        <v>593</v>
      </c>
      <c r="BW5" s="170"/>
      <c r="BX5" s="70" t="s">
        <v>691</v>
      </c>
      <c r="BY5" s="70" t="s">
        <v>683</v>
      </c>
      <c r="BZ5" s="71" t="s">
        <v>593</v>
      </c>
      <c r="CA5" s="170"/>
      <c r="CB5" s="70" t="s">
        <v>691</v>
      </c>
      <c r="CC5" s="70" t="s">
        <v>683</v>
      </c>
      <c r="CD5" s="71" t="s">
        <v>593</v>
      </c>
    </row>
    <row r="6" spans="1:82" s="2" customFormat="1" ht="30" customHeight="1" x14ac:dyDescent="0.3">
      <c r="B6" s="33">
        <v>2917</v>
      </c>
      <c r="C6" s="275"/>
      <c r="D6" s="275"/>
      <c r="E6" s="275"/>
      <c r="F6" s="27"/>
      <c r="G6" s="35">
        <v>1</v>
      </c>
      <c r="H6" s="81" t="s">
        <v>347</v>
      </c>
      <c r="I6" s="55">
        <f>IFERROR(I7/B7*B6,0)</f>
        <v>1142.8806</v>
      </c>
      <c r="J6" s="55">
        <f>K11+K24+K37+K50</f>
        <v>1836.3945744598016</v>
      </c>
      <c r="K6" s="56">
        <f>IFERROR((I6-J6)/I6-PARAMETROS!C19,0)</f>
        <v>-0.75761227283042665</v>
      </c>
      <c r="M6" s="229" t="s">
        <v>693</v>
      </c>
      <c r="N6" s="230">
        <f>+K50</f>
        <v>0</v>
      </c>
      <c r="O6" s="235">
        <f>IFERROR(N6/$N$7,0)</f>
        <v>0</v>
      </c>
      <c r="AE6" s="171"/>
      <c r="AF6" s="55">
        <f>AJ6+AN6+AR6+AV6+AZ6+BD6+BH6+BL6+BP6+BT6+BX6+CB6</f>
        <v>0</v>
      </c>
      <c r="AG6" s="55">
        <f>AH11+AH24+AH37+AH50</f>
        <v>0</v>
      </c>
      <c r="AH6" s="56">
        <f>IFERROR((AF6-AG6)/AF6,0)</f>
        <v>0</v>
      </c>
      <c r="AI6" s="171"/>
      <c r="AJ6" s="55"/>
      <c r="AK6" s="55">
        <f>AL11+AL24+AL37+AL50</f>
        <v>0</v>
      </c>
      <c r="AL6" s="56">
        <f>IFERROR((AJ6-AK6)/AJ6,0)</f>
        <v>0</v>
      </c>
      <c r="AM6" s="171"/>
      <c r="AN6" s="55"/>
      <c r="AO6" s="55">
        <f>AP11+AP24+AP37+AP50</f>
        <v>0</v>
      </c>
      <c r="AP6" s="56">
        <f>IFERROR((AN6-AO6)/AN6,0)</f>
        <v>0</v>
      </c>
      <c r="AQ6" s="171"/>
      <c r="AR6" s="55"/>
      <c r="AS6" s="55">
        <f>AT11+AT24+AT37+AT50</f>
        <v>0</v>
      </c>
      <c r="AT6" s="56">
        <f>IFERROR((AR6-AS6)/AR6,0)</f>
        <v>0</v>
      </c>
      <c r="AU6" s="171"/>
      <c r="AV6" s="55"/>
      <c r="AW6" s="55">
        <f>AX11+AX24+AX37+AX50</f>
        <v>0</v>
      </c>
      <c r="AX6" s="56">
        <f>IFERROR((AV6-AW6)/AV6,0)</f>
        <v>0</v>
      </c>
      <c r="AY6" s="171"/>
      <c r="AZ6" s="55"/>
      <c r="BA6" s="55">
        <f>BB11+BB24+BB37+BB50</f>
        <v>0</v>
      </c>
      <c r="BB6" s="56">
        <f>IFERROR((AZ6-BA6)/AZ6,0)</f>
        <v>0</v>
      </c>
      <c r="BC6" s="171"/>
      <c r="BD6" s="55"/>
      <c r="BE6" s="55">
        <f>BF11+BF24+BF37+BF50</f>
        <v>0</v>
      </c>
      <c r="BF6" s="56">
        <f>IFERROR((BD6-BE6)/BD6,0)</f>
        <v>0</v>
      </c>
      <c r="BG6" s="171"/>
      <c r="BH6" s="55"/>
      <c r="BI6" s="55">
        <f>BJ11+BJ24+BJ37+BJ50</f>
        <v>0</v>
      </c>
      <c r="BJ6" s="56">
        <f>IFERROR((BH6-BI6)/BH6,0)</f>
        <v>0</v>
      </c>
      <c r="BK6" s="171"/>
      <c r="BL6" s="55"/>
      <c r="BM6" s="55">
        <f>BN11+BN24+BN37+BN50</f>
        <v>0</v>
      </c>
      <c r="BN6" s="56">
        <f>IFERROR((BL6-BM6)/BL6,0)</f>
        <v>0</v>
      </c>
      <c r="BO6" s="171"/>
      <c r="BP6" s="55"/>
      <c r="BQ6" s="55">
        <f>BR11+BR24+BR37+BR50</f>
        <v>0</v>
      </c>
      <c r="BR6" s="56">
        <f>IFERROR((BP6-BQ6)/BP6,0)</f>
        <v>0</v>
      </c>
      <c r="BS6" s="171"/>
      <c r="BT6" s="55"/>
      <c r="BU6" s="55">
        <f>BV11+BV24+BV37+BV50</f>
        <v>0</v>
      </c>
      <c r="BV6" s="56">
        <f>IFERROR((BT6-BU6)/BT6,0)</f>
        <v>0</v>
      </c>
      <c r="BW6" s="171"/>
      <c r="BX6" s="55"/>
      <c r="BY6" s="55">
        <f>BZ11+BZ24+BZ37+BZ50</f>
        <v>0</v>
      </c>
      <c r="BZ6" s="56">
        <f>IFERROR((BX6-BY6)/BX6,0)</f>
        <v>0</v>
      </c>
      <c r="CA6" s="171"/>
      <c r="CB6" s="55"/>
      <c r="CC6" s="55">
        <f>CD11+CD24+CD37+CD50</f>
        <v>0</v>
      </c>
      <c r="CD6" s="56">
        <f>IFERROR((CB6-CC6)/CB6,0)</f>
        <v>0</v>
      </c>
    </row>
    <row r="7" spans="1:82" s="2" customFormat="1" ht="30" customHeight="1" thickBot="1" x14ac:dyDescent="0.35">
      <c r="B7" s="34">
        <f>IFERROR(VLOOKUP(B3,Lucratividade!G4:N853,2,0),0)</f>
        <v>368333.33</v>
      </c>
      <c r="C7" s="276"/>
      <c r="D7" s="276"/>
      <c r="E7" s="276"/>
      <c r="F7" s="50"/>
      <c r="G7" s="36">
        <f>IFERROR(B7/B6,0)</f>
        <v>126.27128213918409</v>
      </c>
      <c r="H7" s="82" t="s">
        <v>347</v>
      </c>
      <c r="I7" s="57">
        <f>IFERROR(VLOOKUP(B3,Lucratividade!G4:N132,6,0),0)</f>
        <v>144312.99869400001</v>
      </c>
      <c r="J7" s="58">
        <f>B7*K3</f>
        <v>231883.89743048052</v>
      </c>
      <c r="K7" s="59">
        <f>IFERROR((I7-J7)/I7-PARAMETROS!C19,0)</f>
        <v>-0.75761227283042643</v>
      </c>
      <c r="M7" s="231" t="s">
        <v>694</v>
      </c>
      <c r="N7" s="232">
        <f>SUM(N3:N6)</f>
        <v>1836.3945744598016</v>
      </c>
      <c r="O7" s="236"/>
      <c r="AE7" s="172"/>
      <c r="AF7" s="57"/>
      <c r="AG7" s="58"/>
      <c r="AH7" s="59"/>
      <c r="AI7" s="172"/>
      <c r="AJ7" s="57"/>
      <c r="AK7" s="58"/>
      <c r="AL7" s="59"/>
      <c r="AM7" s="172"/>
      <c r="AN7" s="57"/>
      <c r="AO7" s="58"/>
      <c r="AP7" s="59"/>
      <c r="AQ7" s="172"/>
      <c r="AR7" s="57"/>
      <c r="AS7" s="58"/>
      <c r="AT7" s="59"/>
      <c r="AU7" s="172"/>
      <c r="AV7" s="57"/>
      <c r="AW7" s="58"/>
      <c r="AX7" s="59"/>
      <c r="AY7" s="172"/>
      <c r="AZ7" s="57"/>
      <c r="BA7" s="58"/>
      <c r="BB7" s="59"/>
      <c r="BC7" s="172"/>
      <c r="BD7" s="57"/>
      <c r="BE7" s="58"/>
      <c r="BF7" s="59"/>
      <c r="BG7" s="172"/>
      <c r="BH7" s="57"/>
      <c r="BI7" s="58"/>
      <c r="BJ7" s="59"/>
      <c r="BK7" s="172"/>
      <c r="BL7" s="57"/>
      <c r="BM7" s="58"/>
      <c r="BN7" s="59"/>
      <c r="BO7" s="172"/>
      <c r="BP7" s="57"/>
      <c r="BQ7" s="58"/>
      <c r="BR7" s="59"/>
      <c r="BS7" s="172"/>
      <c r="BT7" s="57"/>
      <c r="BU7" s="58"/>
      <c r="BV7" s="59"/>
      <c r="BW7" s="172"/>
      <c r="BX7" s="57"/>
      <c r="BY7" s="58"/>
      <c r="BZ7" s="59"/>
      <c r="CA7" s="172"/>
      <c r="CB7" s="57"/>
      <c r="CC7" s="58"/>
      <c r="CD7" s="59"/>
    </row>
    <row r="8" spans="1:82" ht="4.2" customHeight="1" x14ac:dyDescent="0.3">
      <c r="AE8" s="28"/>
      <c r="AI8" s="28"/>
      <c r="AM8" s="28"/>
      <c r="AQ8" s="28"/>
      <c r="AU8" s="28"/>
      <c r="AY8" s="28"/>
      <c r="BC8" s="28"/>
      <c r="BG8" s="28"/>
      <c r="BK8" s="28"/>
      <c r="BO8" s="28"/>
      <c r="BS8" s="28"/>
      <c r="BW8" s="28"/>
      <c r="CA8" s="28"/>
    </row>
    <row r="9" spans="1:82" ht="4.95" customHeight="1" thickBot="1" x14ac:dyDescent="0.35">
      <c r="AE9" s="28"/>
      <c r="AI9" s="28"/>
      <c r="AM9" s="28"/>
      <c r="AQ9" s="28"/>
      <c r="AU9" s="28"/>
      <c r="AY9" s="28"/>
      <c r="BC9" s="28"/>
      <c r="BG9" s="28"/>
      <c r="BK9" s="28"/>
      <c r="BO9" s="28"/>
      <c r="BS9" s="28"/>
      <c r="BW9" s="28"/>
      <c r="CA9" s="28"/>
    </row>
    <row r="10" spans="1:82" ht="15" thickBot="1" x14ac:dyDescent="0.35">
      <c r="B10" s="72" t="s">
        <v>695</v>
      </c>
      <c r="C10" s="72" t="s">
        <v>679</v>
      </c>
      <c r="D10" s="72" t="s">
        <v>696</v>
      </c>
      <c r="E10" s="72" t="s">
        <v>697</v>
      </c>
      <c r="F10" s="72" t="s">
        <v>17</v>
      </c>
      <c r="G10" s="70" t="s">
        <v>690</v>
      </c>
      <c r="H10" s="70" t="s">
        <v>698</v>
      </c>
      <c r="I10" s="72" t="s">
        <v>20</v>
      </c>
      <c r="J10" s="72" t="s">
        <v>699</v>
      </c>
      <c r="K10" s="72" t="s">
        <v>700</v>
      </c>
      <c r="M10" s="83" t="s">
        <v>701</v>
      </c>
      <c r="N10" s="87" t="s">
        <v>702</v>
      </c>
      <c r="AD10" s="173" t="s">
        <v>703</v>
      </c>
      <c r="AE10" s="170" t="s">
        <v>698</v>
      </c>
      <c r="AF10" s="70" t="s">
        <v>20</v>
      </c>
      <c r="AG10" s="70" t="s">
        <v>699</v>
      </c>
      <c r="AH10" s="70" t="s">
        <v>700</v>
      </c>
      <c r="AI10" s="173" t="s">
        <v>704</v>
      </c>
      <c r="AJ10" s="174" t="s">
        <v>705</v>
      </c>
      <c r="AK10" s="174" t="s">
        <v>706</v>
      </c>
      <c r="AL10" s="175" t="s">
        <v>707</v>
      </c>
      <c r="AM10" s="173" t="s">
        <v>708</v>
      </c>
      <c r="AN10" s="174" t="s">
        <v>709</v>
      </c>
      <c r="AO10" s="174" t="s">
        <v>710</v>
      </c>
      <c r="AP10" s="175" t="s">
        <v>711</v>
      </c>
      <c r="AQ10" s="173" t="s">
        <v>712</v>
      </c>
      <c r="AR10" s="174" t="s">
        <v>713</v>
      </c>
      <c r="AS10" s="174" t="s">
        <v>714</v>
      </c>
      <c r="AT10" s="175" t="s">
        <v>715</v>
      </c>
      <c r="AU10" s="173" t="s">
        <v>716</v>
      </c>
      <c r="AV10" s="174" t="s">
        <v>717</v>
      </c>
      <c r="AW10" s="174" t="s">
        <v>718</v>
      </c>
      <c r="AX10" s="175" t="s">
        <v>719</v>
      </c>
      <c r="AY10" s="173" t="s">
        <v>720</v>
      </c>
      <c r="AZ10" s="174" t="s">
        <v>721</v>
      </c>
      <c r="BA10" s="174" t="s">
        <v>722</v>
      </c>
      <c r="BB10" s="175" t="s">
        <v>723</v>
      </c>
      <c r="BC10" s="173" t="s">
        <v>724</v>
      </c>
      <c r="BD10" s="174" t="s">
        <v>725</v>
      </c>
      <c r="BE10" s="174" t="s">
        <v>726</v>
      </c>
      <c r="BF10" s="175" t="s">
        <v>727</v>
      </c>
      <c r="BG10" s="173" t="s">
        <v>728</v>
      </c>
      <c r="BH10" s="174" t="s">
        <v>729</v>
      </c>
      <c r="BI10" s="174" t="s">
        <v>730</v>
      </c>
      <c r="BJ10" s="175" t="s">
        <v>731</v>
      </c>
      <c r="BK10" s="173" t="s">
        <v>732</v>
      </c>
      <c r="BL10" s="174" t="s">
        <v>733</v>
      </c>
      <c r="BM10" s="174" t="s">
        <v>734</v>
      </c>
      <c r="BN10" s="175" t="s">
        <v>735</v>
      </c>
      <c r="BO10" s="173" t="s">
        <v>736</v>
      </c>
      <c r="BP10" s="174" t="s">
        <v>737</v>
      </c>
      <c r="BQ10" s="174" t="s">
        <v>738</v>
      </c>
      <c r="BR10" s="175" t="s">
        <v>739</v>
      </c>
      <c r="BS10" s="173" t="s">
        <v>740</v>
      </c>
      <c r="BT10" s="174" t="s">
        <v>741</v>
      </c>
      <c r="BU10" s="174" t="s">
        <v>742</v>
      </c>
      <c r="BV10" s="175" t="s">
        <v>743</v>
      </c>
      <c r="BW10" s="173" t="s">
        <v>744</v>
      </c>
      <c r="BX10" s="174" t="s">
        <v>745</v>
      </c>
      <c r="BY10" s="174" t="s">
        <v>746</v>
      </c>
      <c r="BZ10" s="175" t="s">
        <v>747</v>
      </c>
      <c r="CA10" s="173" t="s">
        <v>748</v>
      </c>
      <c r="CB10" s="174" t="s">
        <v>749</v>
      </c>
      <c r="CC10" s="174" t="s">
        <v>750</v>
      </c>
      <c r="CD10" s="174" t="s">
        <v>751</v>
      </c>
    </row>
    <row r="11" spans="1:82" x14ac:dyDescent="0.3">
      <c r="B11" s="52" t="s">
        <v>752</v>
      </c>
      <c r="C11" s="52" t="str">
        <f t="shared" ref="C11:C62" si="0">$A$3</f>
        <v>CPU_PinturadeLigação</v>
      </c>
      <c r="D11" s="277">
        <f t="shared" ref="D11:D62" si="1">$B$6</f>
        <v>2917</v>
      </c>
      <c r="E11" s="277">
        <f t="shared" ref="E11:E62" si="2">$B$7</f>
        <v>368333.33</v>
      </c>
      <c r="F11" s="37"/>
      <c r="G11" s="38"/>
      <c r="H11" s="91"/>
      <c r="I11" s="40"/>
      <c r="J11" s="40">
        <f>IFERROR(K11/$B$6,0)</f>
        <v>0.28282482002056902</v>
      </c>
      <c r="K11" s="40">
        <f>SUM(K12:K23)</f>
        <v>824.99999999999989</v>
      </c>
      <c r="M11" s="294" t="s">
        <v>753</v>
      </c>
      <c r="N11" s="295" t="s">
        <v>754</v>
      </c>
      <c r="O11" s="296" t="s">
        <v>755</v>
      </c>
      <c r="AD11" s="144" t="str">
        <f>$B$3</f>
        <v>Pintura de Ligação</v>
      </c>
      <c r="AE11" s="176"/>
      <c r="AF11" s="177"/>
      <c r="AG11" s="177">
        <f>IFERROR(AH11/AF$3,0)</f>
        <v>0</v>
      </c>
      <c r="AH11" s="178">
        <f>SUM(AH12:AH23)</f>
        <v>0</v>
      </c>
      <c r="AI11" s="176"/>
      <c r="AJ11" s="177"/>
      <c r="AK11" s="177">
        <f>IFERROR(AL11/AJ$3,0)</f>
        <v>0</v>
      </c>
      <c r="AL11" s="178">
        <f>SUM(AL12:AL23)</f>
        <v>0</v>
      </c>
      <c r="AM11" s="176"/>
      <c r="AN11" s="177"/>
      <c r="AO11" s="177">
        <f>IFERROR(AP11/AN$3,0)</f>
        <v>0</v>
      </c>
      <c r="AP11" s="178">
        <f>SUM(AP12:AP23)</f>
        <v>0</v>
      </c>
      <c r="AQ11" s="176"/>
      <c r="AR11" s="177"/>
      <c r="AS11" s="177">
        <f>IFERROR(AT11/AR$3,0)</f>
        <v>0</v>
      </c>
      <c r="AT11" s="178">
        <f>SUM(AT12:AT23)</f>
        <v>0</v>
      </c>
      <c r="AU11" s="176"/>
      <c r="AV11" s="177"/>
      <c r="AW11" s="177">
        <f>IFERROR(AX11/AV$3,0)</f>
        <v>0</v>
      </c>
      <c r="AX11" s="178">
        <f>SUM(AX12:AX23)</f>
        <v>0</v>
      </c>
      <c r="AY11" s="176"/>
      <c r="AZ11" s="177"/>
      <c r="BA11" s="177">
        <f>IFERROR(BB11/AZ$3,0)</f>
        <v>0</v>
      </c>
      <c r="BB11" s="178">
        <f>SUM(BB12:BB23)</f>
        <v>0</v>
      </c>
      <c r="BC11" s="176"/>
      <c r="BD11" s="177"/>
      <c r="BE11" s="177">
        <f>IFERROR(BF11/BD$3,0)</f>
        <v>0</v>
      </c>
      <c r="BF11" s="178">
        <f>SUM(BF12:BF23)</f>
        <v>0</v>
      </c>
      <c r="BG11" s="176"/>
      <c r="BH11" s="177"/>
      <c r="BI11" s="177">
        <f>IFERROR(BJ11/BH$3,0)</f>
        <v>0</v>
      </c>
      <c r="BJ11" s="178">
        <f>SUM(BJ12:BJ23)</f>
        <v>0</v>
      </c>
      <c r="BK11" s="176"/>
      <c r="BL11" s="177"/>
      <c r="BM11" s="177">
        <f>IFERROR(BN11/BL$3,0)</f>
        <v>0</v>
      </c>
      <c r="BN11" s="178">
        <f>SUM(BN12:BN23)</f>
        <v>0</v>
      </c>
      <c r="BO11" s="176"/>
      <c r="BP11" s="177"/>
      <c r="BQ11" s="177">
        <f>IFERROR(BR11/BP$3,0)</f>
        <v>0</v>
      </c>
      <c r="BR11" s="178">
        <f>SUM(BR12:BR23)</f>
        <v>0</v>
      </c>
      <c r="BS11" s="176"/>
      <c r="BT11" s="177"/>
      <c r="BU11" s="177">
        <f>IFERROR(BV11/BT$3,0)</f>
        <v>0</v>
      </c>
      <c r="BV11" s="178">
        <f>SUM(BV12:BV23)</f>
        <v>0</v>
      </c>
      <c r="BW11" s="176"/>
      <c r="BX11" s="177"/>
      <c r="BY11" s="177">
        <f>IFERROR(BZ11/BX$3,0)</f>
        <v>0</v>
      </c>
      <c r="BZ11" s="178">
        <f>SUM(BZ12:BZ23)</f>
        <v>0</v>
      </c>
      <c r="CA11" s="176"/>
      <c r="CB11" s="177"/>
      <c r="CC11" s="177">
        <f>IFERROR(CD11/CB$3,0)</f>
        <v>0</v>
      </c>
      <c r="CD11" s="178">
        <f>SUM(CD12:CD23)</f>
        <v>0</v>
      </c>
    </row>
    <row r="12" spans="1:82" x14ac:dyDescent="0.3">
      <c r="B12" s="53"/>
      <c r="C12" s="53" t="str">
        <f t="shared" si="0"/>
        <v>CPU_PinturadeLigação</v>
      </c>
      <c r="D12" s="278">
        <f t="shared" si="1"/>
        <v>2917</v>
      </c>
      <c r="E12" s="278">
        <f t="shared" si="2"/>
        <v>368333.33</v>
      </c>
      <c r="F12" s="46" t="s">
        <v>880</v>
      </c>
      <c r="G12" s="28" t="str">
        <f>IFERROR(VLOOKUP(F12,Tabela7[[RECURSO]:[CUSTO]],2,FALSE),"")</f>
        <v>DIA</v>
      </c>
      <c r="H12" s="92">
        <v>1</v>
      </c>
      <c r="I12" s="90">
        <f>30/22</f>
        <v>1.3636363636363635</v>
      </c>
      <c r="J12" s="45">
        <f>IFERROR(VLOOKUP(F12,Tabela7[[RECURSO]:[CUSTO]],3,FALSE),0)</f>
        <v>605</v>
      </c>
      <c r="K12" s="45">
        <f>I12*J12*CPU_63[[#This Row],[Nº]]</f>
        <v>824.99999999999989</v>
      </c>
      <c r="M12" s="31">
        <f>80*0</f>
        <v>0</v>
      </c>
      <c r="N12" s="297">
        <v>1</v>
      </c>
      <c r="O12" s="60">
        <f>IFERROR($B$6/(H12*I12*N12),0)</f>
        <v>2139.1333333333337</v>
      </c>
      <c r="AD12" s="144" t="str">
        <f t="shared" ref="AD12:AD62" si="3">$B$3</f>
        <v>Pintura de Ligação</v>
      </c>
      <c r="AE12" s="179"/>
      <c r="AF12" s="180">
        <f>AJ12+AN12+AR12+AV12+AZ12+BD12+BH12+BL12+BP12+BT12+BX12+CB12</f>
        <v>0</v>
      </c>
      <c r="AG12" s="180">
        <f>IFERROR(AH12/AF12,0)</f>
        <v>0</v>
      </c>
      <c r="AH12" s="181">
        <f>AL12+AP12+AT12+AX12+BB12+BF12+BJ12+BN12+BR12+BV12+BZ12+CD12</f>
        <v>0</v>
      </c>
      <c r="AI12" s="182"/>
      <c r="AJ12" s="90"/>
      <c r="AK12" s="90"/>
      <c r="AL12" s="183">
        <f>AJ12*AK12</f>
        <v>0</v>
      </c>
      <c r="AM12" s="182"/>
      <c r="AN12" s="90"/>
      <c r="AO12" s="90"/>
      <c r="AP12" s="183">
        <f t="shared" ref="AP12:AP23" si="4">AN12*AO12</f>
        <v>0</v>
      </c>
      <c r="AQ12" s="182"/>
      <c r="AR12" s="90"/>
      <c r="AS12" s="90"/>
      <c r="AT12" s="183">
        <f t="shared" ref="AT12:AT23" si="5">AR12*AS12</f>
        <v>0</v>
      </c>
      <c r="AU12" s="182"/>
      <c r="AV12" s="90"/>
      <c r="AW12" s="90"/>
      <c r="AX12" s="183">
        <f t="shared" ref="AX12:AX23" si="6">AV12*AW12</f>
        <v>0</v>
      </c>
      <c r="AY12" s="182"/>
      <c r="AZ12" s="90"/>
      <c r="BA12" s="90"/>
      <c r="BB12" s="183">
        <f t="shared" ref="BB12:BB23" si="7">AZ12*BA12</f>
        <v>0</v>
      </c>
      <c r="BC12" s="182"/>
      <c r="BD12" s="90"/>
      <c r="BE12" s="90"/>
      <c r="BF12" s="183">
        <f t="shared" ref="BF12:BF23" si="8">BD12*BE12</f>
        <v>0</v>
      </c>
      <c r="BG12" s="182"/>
      <c r="BH12" s="90"/>
      <c r="BI12" s="90"/>
      <c r="BJ12" s="183">
        <f t="shared" ref="BJ12:BJ23" si="9">BH12*BI12</f>
        <v>0</v>
      </c>
      <c r="BK12" s="182"/>
      <c r="BL12" s="90"/>
      <c r="BM12" s="90"/>
      <c r="BN12" s="183">
        <f t="shared" ref="BN12:BN23" si="10">BL12*BM12</f>
        <v>0</v>
      </c>
      <c r="BO12" s="182"/>
      <c r="BP12" s="90"/>
      <c r="BQ12" s="90"/>
      <c r="BR12" s="183">
        <f t="shared" ref="BR12:BR23" si="11">BP12*BQ12</f>
        <v>0</v>
      </c>
      <c r="BS12" s="182"/>
      <c r="BT12" s="90"/>
      <c r="BU12" s="90"/>
      <c r="BV12" s="183">
        <f t="shared" ref="BV12:BV23" si="12">BT12*BU12</f>
        <v>0</v>
      </c>
      <c r="BW12" s="182"/>
      <c r="BX12" s="90"/>
      <c r="BY12" s="90"/>
      <c r="BZ12" s="183">
        <f t="shared" ref="BZ12:BZ23" si="13">BX12*BY12</f>
        <v>0</v>
      </c>
      <c r="CA12" s="182"/>
      <c r="CB12" s="90"/>
      <c r="CC12" s="90"/>
      <c r="CD12" s="183">
        <f t="shared" ref="CD12:CD23" si="14">CB12*CC12</f>
        <v>0</v>
      </c>
    </row>
    <row r="13" spans="1:82" x14ac:dyDescent="0.3">
      <c r="B13" s="53"/>
      <c r="C13" s="53" t="str">
        <f t="shared" si="0"/>
        <v>CPU_PinturadeLigação</v>
      </c>
      <c r="D13" s="278">
        <f t="shared" si="1"/>
        <v>2917</v>
      </c>
      <c r="E13" s="278">
        <f t="shared" si="2"/>
        <v>368333.33</v>
      </c>
      <c r="F13" s="1"/>
      <c r="G13" s="28" t="str">
        <f>IFERROR(VLOOKUP(F13,Tabela7[[RECURSO]:[CUSTO]],2,FALSE),"")</f>
        <v/>
      </c>
      <c r="H13" s="92"/>
      <c r="I13" s="90"/>
      <c r="J13" s="45">
        <f>IFERROR(VLOOKUP(F13,Tabela7[[RECURSO]:[CUSTO]],3,FALSE),0)</f>
        <v>0</v>
      </c>
      <c r="K13" s="45">
        <f>I13*J13*CPU_63[[#This Row],[Nº]]</f>
        <v>0</v>
      </c>
      <c r="M13" s="31"/>
      <c r="N13" s="297"/>
      <c r="O13" s="60">
        <f t="shared" ref="O13:O23" si="15">IFERROR($B$6/(H13*I13),0)</f>
        <v>0</v>
      </c>
      <c r="AD13" s="144" t="str">
        <f t="shared" si="3"/>
        <v>Pintura de Ligação</v>
      </c>
      <c r="AE13" s="179"/>
      <c r="AF13" s="180">
        <f t="shared" ref="AF13:AF23" si="16">AJ13+AN13+AR13+AV13+AZ13+BD13+BH13+BL13+BP13+BT13+BX13+CB13</f>
        <v>0</v>
      </c>
      <c r="AG13" s="180">
        <f t="shared" ref="AG13:AG62" si="17">IFERROR(AH13/AF13,0)</f>
        <v>0</v>
      </c>
      <c r="AH13" s="181">
        <f t="shared" ref="AH13:AH23" si="18">AL13+AP13+AT13+AX13+BB13+BF13+BJ13+BN13+BR13+BV13+BZ13+CD13</f>
        <v>0</v>
      </c>
      <c r="AI13" s="182"/>
      <c r="AJ13" s="90"/>
      <c r="AK13" s="90"/>
      <c r="AL13" s="183">
        <f t="shared" ref="AL13:AL23" si="19">AJ13*AK13</f>
        <v>0</v>
      </c>
      <c r="AM13" s="182"/>
      <c r="AN13" s="90"/>
      <c r="AO13" s="90"/>
      <c r="AP13" s="183">
        <f t="shared" si="4"/>
        <v>0</v>
      </c>
      <c r="AQ13" s="182"/>
      <c r="AR13" s="90"/>
      <c r="AS13" s="90"/>
      <c r="AT13" s="183">
        <f t="shared" si="5"/>
        <v>0</v>
      </c>
      <c r="AU13" s="182"/>
      <c r="AV13" s="90"/>
      <c r="AW13" s="90"/>
      <c r="AX13" s="183">
        <f t="shared" si="6"/>
        <v>0</v>
      </c>
      <c r="AY13" s="182"/>
      <c r="AZ13" s="90"/>
      <c r="BA13" s="90"/>
      <c r="BB13" s="183">
        <f t="shared" si="7"/>
        <v>0</v>
      </c>
      <c r="BC13" s="182"/>
      <c r="BD13" s="90"/>
      <c r="BE13" s="90"/>
      <c r="BF13" s="183">
        <f t="shared" si="8"/>
        <v>0</v>
      </c>
      <c r="BG13" s="182"/>
      <c r="BH13" s="90"/>
      <c r="BI13" s="90"/>
      <c r="BJ13" s="183">
        <f t="shared" si="9"/>
        <v>0</v>
      </c>
      <c r="BK13" s="182"/>
      <c r="BL13" s="90"/>
      <c r="BM13" s="90"/>
      <c r="BN13" s="183">
        <f t="shared" si="10"/>
        <v>0</v>
      </c>
      <c r="BO13" s="182"/>
      <c r="BP13" s="90"/>
      <c r="BQ13" s="90"/>
      <c r="BR13" s="183">
        <f t="shared" si="11"/>
        <v>0</v>
      </c>
      <c r="BS13" s="182"/>
      <c r="BT13" s="90"/>
      <c r="BU13" s="90"/>
      <c r="BV13" s="183">
        <f t="shared" si="12"/>
        <v>0</v>
      </c>
      <c r="BW13" s="182"/>
      <c r="BX13" s="90"/>
      <c r="BY13" s="90"/>
      <c r="BZ13" s="183">
        <f t="shared" si="13"/>
        <v>0</v>
      </c>
      <c r="CA13" s="182"/>
      <c r="CB13" s="90"/>
      <c r="CC13" s="90"/>
      <c r="CD13" s="183">
        <f t="shared" si="14"/>
        <v>0</v>
      </c>
    </row>
    <row r="14" spans="1:82" x14ac:dyDescent="0.3">
      <c r="B14" s="53"/>
      <c r="C14" s="53" t="str">
        <f t="shared" si="0"/>
        <v>CPU_PinturadeLigação</v>
      </c>
      <c r="D14" s="278">
        <f t="shared" si="1"/>
        <v>2917</v>
      </c>
      <c r="E14" s="278">
        <f t="shared" si="2"/>
        <v>368333.33</v>
      </c>
      <c r="F14" s="1"/>
      <c r="G14" s="28" t="str">
        <f>IFERROR(VLOOKUP(F14,Tabela7[[RECURSO]:[CUSTO]],2,FALSE),"")</f>
        <v/>
      </c>
      <c r="H14" s="92"/>
      <c r="I14" s="90"/>
      <c r="J14" s="45">
        <f>IFERROR(VLOOKUP(F14,Tabela7[[RECURSO]:[CUSTO]],3,FALSE),0)</f>
        <v>0</v>
      </c>
      <c r="K14" s="45">
        <f>I14*J14*CPU_63[[#This Row],[Nº]]</f>
        <v>0</v>
      </c>
      <c r="M14" s="31"/>
      <c r="N14" s="297"/>
      <c r="O14" s="60">
        <f t="shared" si="15"/>
        <v>0</v>
      </c>
      <c r="AD14" s="144" t="str">
        <f t="shared" si="3"/>
        <v>Pintura de Ligação</v>
      </c>
      <c r="AE14" s="179"/>
      <c r="AF14" s="180">
        <f t="shared" si="16"/>
        <v>0</v>
      </c>
      <c r="AG14" s="180">
        <f t="shared" si="17"/>
        <v>0</v>
      </c>
      <c r="AH14" s="181">
        <f t="shared" si="18"/>
        <v>0</v>
      </c>
      <c r="AI14" s="182"/>
      <c r="AJ14" s="90"/>
      <c r="AK14" s="90"/>
      <c r="AL14" s="183">
        <f t="shared" si="19"/>
        <v>0</v>
      </c>
      <c r="AM14" s="182"/>
      <c r="AN14" s="90"/>
      <c r="AO14" s="90"/>
      <c r="AP14" s="183">
        <f t="shared" si="4"/>
        <v>0</v>
      </c>
      <c r="AQ14" s="182"/>
      <c r="AR14" s="90"/>
      <c r="AS14" s="90"/>
      <c r="AT14" s="183">
        <f t="shared" si="5"/>
        <v>0</v>
      </c>
      <c r="AU14" s="182"/>
      <c r="AV14" s="90"/>
      <c r="AW14" s="90"/>
      <c r="AX14" s="183">
        <f t="shared" si="6"/>
        <v>0</v>
      </c>
      <c r="AY14" s="182"/>
      <c r="AZ14" s="90"/>
      <c r="BA14" s="90"/>
      <c r="BB14" s="183">
        <f t="shared" si="7"/>
        <v>0</v>
      </c>
      <c r="BC14" s="182"/>
      <c r="BD14" s="90"/>
      <c r="BE14" s="90"/>
      <c r="BF14" s="183">
        <f t="shared" si="8"/>
        <v>0</v>
      </c>
      <c r="BG14" s="182"/>
      <c r="BH14" s="90"/>
      <c r="BI14" s="90"/>
      <c r="BJ14" s="183">
        <f t="shared" si="9"/>
        <v>0</v>
      </c>
      <c r="BK14" s="182"/>
      <c r="BL14" s="90"/>
      <c r="BM14" s="90"/>
      <c r="BN14" s="183">
        <f t="shared" si="10"/>
        <v>0</v>
      </c>
      <c r="BO14" s="182"/>
      <c r="BP14" s="90"/>
      <c r="BQ14" s="90"/>
      <c r="BR14" s="183">
        <f t="shared" si="11"/>
        <v>0</v>
      </c>
      <c r="BS14" s="182"/>
      <c r="BT14" s="90"/>
      <c r="BU14" s="90"/>
      <c r="BV14" s="183">
        <f t="shared" si="12"/>
        <v>0</v>
      </c>
      <c r="BW14" s="182"/>
      <c r="BX14" s="90"/>
      <c r="BY14" s="90"/>
      <c r="BZ14" s="183">
        <f t="shared" si="13"/>
        <v>0</v>
      </c>
      <c r="CA14" s="182"/>
      <c r="CB14" s="90"/>
      <c r="CC14" s="90"/>
      <c r="CD14" s="183">
        <f t="shared" si="14"/>
        <v>0</v>
      </c>
    </row>
    <row r="15" spans="1:82" x14ac:dyDescent="0.3">
      <c r="B15" s="153"/>
      <c r="C15" s="153" t="str">
        <f t="shared" si="0"/>
        <v>CPU_PinturadeLigação</v>
      </c>
      <c r="D15" s="279">
        <f t="shared" si="1"/>
        <v>2917</v>
      </c>
      <c r="E15" s="279">
        <f t="shared" si="2"/>
        <v>368333.33</v>
      </c>
      <c r="F15" s="1"/>
      <c r="G15" s="28" t="str">
        <f>IFERROR(VLOOKUP(F15,Tabela7[[RECURSO]:[CUSTO]],2,FALSE),"")</f>
        <v/>
      </c>
      <c r="H15" s="92"/>
      <c r="I15" s="90"/>
      <c r="J15" s="45">
        <f>IFERROR(VLOOKUP(F15,Tabela7[[RECURSO]:[CUSTO]],3,FALSE),0)</f>
        <v>0</v>
      </c>
      <c r="K15" s="45">
        <f>I15*J15*CPU_63[[#This Row],[Nº]]</f>
        <v>0</v>
      </c>
      <c r="M15" s="31"/>
      <c r="N15" s="297"/>
      <c r="O15" s="60">
        <f t="shared" si="15"/>
        <v>0</v>
      </c>
      <c r="AD15" s="144" t="str">
        <f t="shared" si="3"/>
        <v>Pintura de Ligação</v>
      </c>
      <c r="AE15" s="179"/>
      <c r="AF15" s="180">
        <f t="shared" si="16"/>
        <v>0</v>
      </c>
      <c r="AG15" s="180">
        <f t="shared" si="17"/>
        <v>0</v>
      </c>
      <c r="AH15" s="181">
        <f t="shared" si="18"/>
        <v>0</v>
      </c>
      <c r="AI15" s="182"/>
      <c r="AJ15" s="90"/>
      <c r="AK15" s="90"/>
      <c r="AL15" s="183">
        <f t="shared" si="19"/>
        <v>0</v>
      </c>
      <c r="AM15" s="182"/>
      <c r="AN15" s="90"/>
      <c r="AO15" s="90"/>
      <c r="AP15" s="183">
        <f t="shared" si="4"/>
        <v>0</v>
      </c>
      <c r="AQ15" s="182"/>
      <c r="AR15" s="90"/>
      <c r="AS15" s="90"/>
      <c r="AT15" s="183">
        <f t="shared" si="5"/>
        <v>0</v>
      </c>
      <c r="AU15" s="182"/>
      <c r="AV15" s="90"/>
      <c r="AW15" s="90"/>
      <c r="AX15" s="183">
        <f t="shared" si="6"/>
        <v>0</v>
      </c>
      <c r="AY15" s="182"/>
      <c r="AZ15" s="90"/>
      <c r="BA15" s="90"/>
      <c r="BB15" s="183">
        <f t="shared" si="7"/>
        <v>0</v>
      </c>
      <c r="BC15" s="182"/>
      <c r="BD15" s="90"/>
      <c r="BE15" s="90"/>
      <c r="BF15" s="183">
        <f t="shared" si="8"/>
        <v>0</v>
      </c>
      <c r="BG15" s="182"/>
      <c r="BH15" s="90"/>
      <c r="BI15" s="90"/>
      <c r="BJ15" s="183">
        <f t="shared" si="9"/>
        <v>0</v>
      </c>
      <c r="BK15" s="182"/>
      <c r="BL15" s="90"/>
      <c r="BM15" s="90"/>
      <c r="BN15" s="183">
        <f t="shared" si="10"/>
        <v>0</v>
      </c>
      <c r="BO15" s="182"/>
      <c r="BP15" s="90"/>
      <c r="BQ15" s="90"/>
      <c r="BR15" s="183">
        <f t="shared" si="11"/>
        <v>0</v>
      </c>
      <c r="BS15" s="182"/>
      <c r="BT15" s="90"/>
      <c r="BU15" s="90"/>
      <c r="BV15" s="183">
        <f t="shared" si="12"/>
        <v>0</v>
      </c>
      <c r="BW15" s="182"/>
      <c r="BX15" s="90"/>
      <c r="BY15" s="90"/>
      <c r="BZ15" s="183">
        <f t="shared" si="13"/>
        <v>0</v>
      </c>
      <c r="CA15" s="182"/>
      <c r="CB15" s="90"/>
      <c r="CC15" s="90"/>
      <c r="CD15" s="183">
        <f t="shared" si="14"/>
        <v>0</v>
      </c>
    </row>
    <row r="16" spans="1:82" x14ac:dyDescent="0.3">
      <c r="B16" s="53"/>
      <c r="C16" s="53" t="str">
        <f t="shared" si="0"/>
        <v>CPU_PinturadeLigação</v>
      </c>
      <c r="D16" s="278">
        <f t="shared" si="1"/>
        <v>2917</v>
      </c>
      <c r="E16" s="278">
        <f t="shared" si="2"/>
        <v>368333.33</v>
      </c>
      <c r="F16" s="1"/>
      <c r="G16" s="28" t="str">
        <f>IFERROR(VLOOKUP(F16,Tabela7[[RECURSO]:[CUSTO]],2,FALSE),"")</f>
        <v/>
      </c>
      <c r="H16" s="92"/>
      <c r="I16" s="90"/>
      <c r="J16" s="45">
        <f>IFERROR(VLOOKUP(F16,Tabela7[[RECURSO]:[CUSTO]],3,FALSE),0)</f>
        <v>0</v>
      </c>
      <c r="K16" s="45">
        <f>I16*J16*CPU_63[[#This Row],[Nº]]</f>
        <v>0</v>
      </c>
      <c r="M16" s="31"/>
      <c r="N16" s="297"/>
      <c r="O16" s="60">
        <f t="shared" si="15"/>
        <v>0</v>
      </c>
      <c r="AD16" s="144" t="str">
        <f t="shared" si="3"/>
        <v>Pintura de Ligação</v>
      </c>
      <c r="AE16" s="179"/>
      <c r="AF16" s="180">
        <f t="shared" si="16"/>
        <v>0</v>
      </c>
      <c r="AG16" s="180">
        <f t="shared" si="17"/>
        <v>0</v>
      </c>
      <c r="AH16" s="181">
        <f t="shared" si="18"/>
        <v>0</v>
      </c>
      <c r="AI16" s="182"/>
      <c r="AJ16" s="90"/>
      <c r="AK16" s="90"/>
      <c r="AL16" s="183">
        <f t="shared" si="19"/>
        <v>0</v>
      </c>
      <c r="AM16" s="182"/>
      <c r="AN16" s="90"/>
      <c r="AO16" s="90"/>
      <c r="AP16" s="183">
        <f t="shared" si="4"/>
        <v>0</v>
      </c>
      <c r="AQ16" s="182"/>
      <c r="AR16" s="90"/>
      <c r="AS16" s="90"/>
      <c r="AT16" s="183">
        <f t="shared" si="5"/>
        <v>0</v>
      </c>
      <c r="AU16" s="182"/>
      <c r="AV16" s="90"/>
      <c r="AW16" s="90"/>
      <c r="AX16" s="183">
        <f t="shared" si="6"/>
        <v>0</v>
      </c>
      <c r="AY16" s="182"/>
      <c r="AZ16" s="90"/>
      <c r="BA16" s="90"/>
      <c r="BB16" s="183">
        <f t="shared" si="7"/>
        <v>0</v>
      </c>
      <c r="BC16" s="182"/>
      <c r="BD16" s="90"/>
      <c r="BE16" s="90"/>
      <c r="BF16" s="183">
        <f t="shared" si="8"/>
        <v>0</v>
      </c>
      <c r="BG16" s="182"/>
      <c r="BH16" s="90"/>
      <c r="BI16" s="90"/>
      <c r="BJ16" s="183">
        <f t="shared" si="9"/>
        <v>0</v>
      </c>
      <c r="BK16" s="182"/>
      <c r="BL16" s="90"/>
      <c r="BM16" s="90"/>
      <c r="BN16" s="183">
        <f t="shared" si="10"/>
        <v>0</v>
      </c>
      <c r="BO16" s="182"/>
      <c r="BP16" s="90"/>
      <c r="BQ16" s="90"/>
      <c r="BR16" s="183">
        <f t="shared" si="11"/>
        <v>0</v>
      </c>
      <c r="BS16" s="182"/>
      <c r="BT16" s="90"/>
      <c r="BU16" s="90"/>
      <c r="BV16" s="183">
        <f t="shared" si="12"/>
        <v>0</v>
      </c>
      <c r="BW16" s="182"/>
      <c r="BX16" s="90"/>
      <c r="BY16" s="90"/>
      <c r="BZ16" s="183">
        <f t="shared" si="13"/>
        <v>0</v>
      </c>
      <c r="CA16" s="182"/>
      <c r="CB16" s="90"/>
      <c r="CC16" s="90"/>
      <c r="CD16" s="183">
        <f t="shared" si="14"/>
        <v>0</v>
      </c>
    </row>
    <row r="17" spans="2:82" x14ac:dyDescent="0.3">
      <c r="B17" s="53"/>
      <c r="C17" s="53" t="str">
        <f t="shared" si="0"/>
        <v>CPU_PinturadeLigação</v>
      </c>
      <c r="D17" s="278">
        <f t="shared" si="1"/>
        <v>2917</v>
      </c>
      <c r="E17" s="278">
        <f t="shared" si="2"/>
        <v>368333.33</v>
      </c>
      <c r="F17" s="1"/>
      <c r="G17" s="28" t="str">
        <f>IFERROR(VLOOKUP(F17,Tabela7[[RECURSO]:[CUSTO]],2,FALSE),"")</f>
        <v/>
      </c>
      <c r="H17" s="92"/>
      <c r="I17" s="90"/>
      <c r="J17" s="45">
        <f>IFERROR(VLOOKUP(F17,Tabela7[[RECURSO]:[CUSTO]],3,FALSE),0)</f>
        <v>0</v>
      </c>
      <c r="K17" s="45">
        <f>I17*J17*CPU_63[[#This Row],[Nº]]</f>
        <v>0</v>
      </c>
      <c r="M17" s="31"/>
      <c r="N17" s="297"/>
      <c r="O17" s="60">
        <f t="shared" si="15"/>
        <v>0</v>
      </c>
      <c r="AD17" s="144" t="str">
        <f t="shared" si="3"/>
        <v>Pintura de Ligação</v>
      </c>
      <c r="AE17" s="179"/>
      <c r="AF17" s="180">
        <f t="shared" si="16"/>
        <v>0</v>
      </c>
      <c r="AG17" s="180">
        <f t="shared" si="17"/>
        <v>0</v>
      </c>
      <c r="AH17" s="181">
        <f t="shared" si="18"/>
        <v>0</v>
      </c>
      <c r="AI17" s="182"/>
      <c r="AJ17" s="90"/>
      <c r="AK17" s="90"/>
      <c r="AL17" s="183">
        <f t="shared" si="19"/>
        <v>0</v>
      </c>
      <c r="AM17" s="182"/>
      <c r="AN17" s="90"/>
      <c r="AO17" s="90"/>
      <c r="AP17" s="183">
        <f t="shared" si="4"/>
        <v>0</v>
      </c>
      <c r="AQ17" s="182"/>
      <c r="AR17" s="90"/>
      <c r="AS17" s="90"/>
      <c r="AT17" s="183">
        <f t="shared" si="5"/>
        <v>0</v>
      </c>
      <c r="AU17" s="182"/>
      <c r="AV17" s="90"/>
      <c r="AW17" s="90"/>
      <c r="AX17" s="183">
        <f t="shared" si="6"/>
        <v>0</v>
      </c>
      <c r="AY17" s="182"/>
      <c r="AZ17" s="90"/>
      <c r="BA17" s="90"/>
      <c r="BB17" s="183">
        <f t="shared" si="7"/>
        <v>0</v>
      </c>
      <c r="BC17" s="182"/>
      <c r="BD17" s="90"/>
      <c r="BE17" s="90"/>
      <c r="BF17" s="183">
        <f t="shared" si="8"/>
        <v>0</v>
      </c>
      <c r="BG17" s="182"/>
      <c r="BH17" s="90"/>
      <c r="BI17" s="90"/>
      <c r="BJ17" s="183">
        <f t="shared" si="9"/>
        <v>0</v>
      </c>
      <c r="BK17" s="182"/>
      <c r="BL17" s="90"/>
      <c r="BM17" s="90"/>
      <c r="BN17" s="183">
        <f t="shared" si="10"/>
        <v>0</v>
      </c>
      <c r="BO17" s="182"/>
      <c r="BP17" s="90"/>
      <c r="BQ17" s="90"/>
      <c r="BR17" s="183">
        <f t="shared" si="11"/>
        <v>0</v>
      </c>
      <c r="BS17" s="182"/>
      <c r="BT17" s="90"/>
      <c r="BU17" s="90"/>
      <c r="BV17" s="183">
        <f t="shared" si="12"/>
        <v>0</v>
      </c>
      <c r="BW17" s="182"/>
      <c r="BX17" s="90"/>
      <c r="BY17" s="90"/>
      <c r="BZ17" s="183">
        <f t="shared" si="13"/>
        <v>0</v>
      </c>
      <c r="CA17" s="182"/>
      <c r="CB17" s="90"/>
      <c r="CC17" s="90"/>
      <c r="CD17" s="183">
        <f t="shared" si="14"/>
        <v>0</v>
      </c>
    </row>
    <row r="18" spans="2:82" x14ac:dyDescent="0.3">
      <c r="B18" s="53"/>
      <c r="C18" s="53" t="str">
        <f t="shared" si="0"/>
        <v>CPU_PinturadeLigação</v>
      </c>
      <c r="D18" s="278">
        <f t="shared" si="1"/>
        <v>2917</v>
      </c>
      <c r="E18" s="278">
        <f t="shared" si="2"/>
        <v>368333.33</v>
      </c>
      <c r="F18" s="1"/>
      <c r="G18" s="28" t="str">
        <f>IFERROR(VLOOKUP(F18,Tabela7[[RECURSO]:[CUSTO]],2,FALSE),"")</f>
        <v/>
      </c>
      <c r="H18" s="92"/>
      <c r="I18" s="90"/>
      <c r="J18" s="45">
        <f>IFERROR(VLOOKUP(F18,Tabela7[[RECURSO]:[CUSTO]],3,FALSE),0)</f>
        <v>0</v>
      </c>
      <c r="K18" s="45">
        <f>I18*J18*CPU_63[[#This Row],[Nº]]</f>
        <v>0</v>
      </c>
      <c r="M18" s="31"/>
      <c r="N18" s="297"/>
      <c r="O18" s="60">
        <f t="shared" si="15"/>
        <v>0</v>
      </c>
      <c r="AD18" s="144" t="str">
        <f t="shared" si="3"/>
        <v>Pintura de Ligação</v>
      </c>
      <c r="AE18" s="179"/>
      <c r="AF18" s="180">
        <f t="shared" si="16"/>
        <v>0</v>
      </c>
      <c r="AG18" s="180">
        <f t="shared" si="17"/>
        <v>0</v>
      </c>
      <c r="AH18" s="181">
        <f t="shared" si="18"/>
        <v>0</v>
      </c>
      <c r="AI18" s="182"/>
      <c r="AJ18" s="90"/>
      <c r="AK18" s="90"/>
      <c r="AL18" s="183">
        <f t="shared" si="19"/>
        <v>0</v>
      </c>
      <c r="AM18" s="182"/>
      <c r="AN18" s="90"/>
      <c r="AO18" s="90"/>
      <c r="AP18" s="183">
        <f t="shared" si="4"/>
        <v>0</v>
      </c>
      <c r="AQ18" s="182"/>
      <c r="AR18" s="90"/>
      <c r="AS18" s="90"/>
      <c r="AT18" s="183">
        <f t="shared" si="5"/>
        <v>0</v>
      </c>
      <c r="AU18" s="182"/>
      <c r="AV18" s="90"/>
      <c r="AW18" s="90"/>
      <c r="AX18" s="183">
        <f t="shared" si="6"/>
        <v>0</v>
      </c>
      <c r="AY18" s="182"/>
      <c r="AZ18" s="90"/>
      <c r="BA18" s="90"/>
      <c r="BB18" s="183">
        <f t="shared" si="7"/>
        <v>0</v>
      </c>
      <c r="BC18" s="182"/>
      <c r="BD18" s="90"/>
      <c r="BE18" s="90"/>
      <c r="BF18" s="183">
        <f t="shared" si="8"/>
        <v>0</v>
      </c>
      <c r="BG18" s="182"/>
      <c r="BH18" s="90"/>
      <c r="BI18" s="90"/>
      <c r="BJ18" s="183">
        <f t="shared" si="9"/>
        <v>0</v>
      </c>
      <c r="BK18" s="182"/>
      <c r="BL18" s="90"/>
      <c r="BM18" s="90"/>
      <c r="BN18" s="183">
        <f t="shared" si="10"/>
        <v>0</v>
      </c>
      <c r="BO18" s="182"/>
      <c r="BP18" s="90"/>
      <c r="BQ18" s="90"/>
      <c r="BR18" s="183">
        <f t="shared" si="11"/>
        <v>0</v>
      </c>
      <c r="BS18" s="182"/>
      <c r="BT18" s="90"/>
      <c r="BU18" s="90"/>
      <c r="BV18" s="183">
        <f t="shared" si="12"/>
        <v>0</v>
      </c>
      <c r="BW18" s="182"/>
      <c r="BX18" s="90"/>
      <c r="BY18" s="90"/>
      <c r="BZ18" s="183">
        <f t="shared" si="13"/>
        <v>0</v>
      </c>
      <c r="CA18" s="182"/>
      <c r="CB18" s="90"/>
      <c r="CC18" s="90"/>
      <c r="CD18" s="183">
        <f t="shared" si="14"/>
        <v>0</v>
      </c>
    </row>
    <row r="19" spans="2:82" x14ac:dyDescent="0.3">
      <c r="B19" s="53"/>
      <c r="C19" s="53" t="str">
        <f t="shared" si="0"/>
        <v>CPU_PinturadeLigação</v>
      </c>
      <c r="D19" s="278">
        <f t="shared" si="1"/>
        <v>2917</v>
      </c>
      <c r="E19" s="278">
        <f t="shared" si="2"/>
        <v>368333.33</v>
      </c>
      <c r="F19" s="1"/>
      <c r="G19" s="28" t="str">
        <f>IFERROR(VLOOKUP(F19,Tabela7[[RECURSO]:[CUSTO]],2,FALSE),"")</f>
        <v/>
      </c>
      <c r="H19" s="92"/>
      <c r="I19" s="90"/>
      <c r="J19" s="45">
        <f>IFERROR(VLOOKUP(F19,Tabela7[[RECURSO]:[CUSTO]],3,FALSE),0)</f>
        <v>0</v>
      </c>
      <c r="K19" s="45">
        <f>I19*J19*CPU_63[[#This Row],[Nº]]</f>
        <v>0</v>
      </c>
      <c r="M19" s="31"/>
      <c r="N19" s="297"/>
      <c r="O19" s="60">
        <f t="shared" si="15"/>
        <v>0</v>
      </c>
      <c r="AD19" s="144" t="str">
        <f t="shared" si="3"/>
        <v>Pintura de Ligação</v>
      </c>
      <c r="AE19" s="179"/>
      <c r="AF19" s="180">
        <f t="shared" si="16"/>
        <v>0</v>
      </c>
      <c r="AG19" s="180">
        <f t="shared" si="17"/>
        <v>0</v>
      </c>
      <c r="AH19" s="181">
        <f t="shared" si="18"/>
        <v>0</v>
      </c>
      <c r="AI19" s="182"/>
      <c r="AJ19" s="90"/>
      <c r="AK19" s="90"/>
      <c r="AL19" s="183">
        <f t="shared" si="19"/>
        <v>0</v>
      </c>
      <c r="AM19" s="182"/>
      <c r="AN19" s="90"/>
      <c r="AO19" s="90"/>
      <c r="AP19" s="183">
        <f t="shared" si="4"/>
        <v>0</v>
      </c>
      <c r="AQ19" s="182"/>
      <c r="AR19" s="90"/>
      <c r="AS19" s="90"/>
      <c r="AT19" s="183">
        <f t="shared" si="5"/>
        <v>0</v>
      </c>
      <c r="AU19" s="182"/>
      <c r="AV19" s="90"/>
      <c r="AW19" s="90"/>
      <c r="AX19" s="183">
        <f t="shared" si="6"/>
        <v>0</v>
      </c>
      <c r="AY19" s="182"/>
      <c r="AZ19" s="90"/>
      <c r="BA19" s="90"/>
      <c r="BB19" s="183">
        <f t="shared" si="7"/>
        <v>0</v>
      </c>
      <c r="BC19" s="182"/>
      <c r="BD19" s="90"/>
      <c r="BE19" s="90"/>
      <c r="BF19" s="183">
        <f t="shared" si="8"/>
        <v>0</v>
      </c>
      <c r="BG19" s="182"/>
      <c r="BH19" s="90"/>
      <c r="BI19" s="90"/>
      <c r="BJ19" s="183">
        <f t="shared" si="9"/>
        <v>0</v>
      </c>
      <c r="BK19" s="182"/>
      <c r="BL19" s="90"/>
      <c r="BM19" s="90"/>
      <c r="BN19" s="183">
        <f t="shared" si="10"/>
        <v>0</v>
      </c>
      <c r="BO19" s="182"/>
      <c r="BP19" s="90"/>
      <c r="BQ19" s="90"/>
      <c r="BR19" s="183">
        <f t="shared" si="11"/>
        <v>0</v>
      </c>
      <c r="BS19" s="182"/>
      <c r="BT19" s="90"/>
      <c r="BU19" s="90"/>
      <c r="BV19" s="183">
        <f t="shared" si="12"/>
        <v>0</v>
      </c>
      <c r="BW19" s="182"/>
      <c r="BX19" s="90"/>
      <c r="BY19" s="90"/>
      <c r="BZ19" s="183">
        <f t="shared" si="13"/>
        <v>0</v>
      </c>
      <c r="CA19" s="182"/>
      <c r="CB19" s="90"/>
      <c r="CC19" s="90"/>
      <c r="CD19" s="183">
        <f t="shared" si="14"/>
        <v>0</v>
      </c>
    </row>
    <row r="20" spans="2:82" x14ac:dyDescent="0.3">
      <c r="B20" s="53"/>
      <c r="C20" s="53" t="str">
        <f t="shared" si="0"/>
        <v>CPU_PinturadeLigação</v>
      </c>
      <c r="D20" s="278">
        <f t="shared" si="1"/>
        <v>2917</v>
      </c>
      <c r="E20" s="278">
        <f t="shared" si="2"/>
        <v>368333.33</v>
      </c>
      <c r="F20" s="1"/>
      <c r="G20" s="28" t="str">
        <f>IFERROR(VLOOKUP(F20,Tabela7[[RECURSO]:[CUSTO]],2,FALSE),"")</f>
        <v/>
      </c>
      <c r="H20" s="92"/>
      <c r="I20" s="90"/>
      <c r="J20" s="45">
        <f>IFERROR(VLOOKUP(F20,Tabela7[[RECURSO]:[CUSTO]],3,FALSE),0)</f>
        <v>0</v>
      </c>
      <c r="K20" s="45">
        <f>I20*J20*CPU_63[[#This Row],[Nº]]</f>
        <v>0</v>
      </c>
      <c r="M20" s="31"/>
      <c r="N20" s="297"/>
      <c r="O20" s="60">
        <f t="shared" si="15"/>
        <v>0</v>
      </c>
      <c r="AD20" s="144" t="str">
        <f t="shared" si="3"/>
        <v>Pintura de Ligação</v>
      </c>
      <c r="AE20" s="179"/>
      <c r="AF20" s="180">
        <f t="shared" si="16"/>
        <v>0</v>
      </c>
      <c r="AG20" s="180">
        <f t="shared" si="17"/>
        <v>0</v>
      </c>
      <c r="AH20" s="181">
        <f t="shared" si="18"/>
        <v>0</v>
      </c>
      <c r="AI20" s="182"/>
      <c r="AJ20" s="90"/>
      <c r="AK20" s="90"/>
      <c r="AL20" s="183">
        <f t="shared" si="19"/>
        <v>0</v>
      </c>
      <c r="AM20" s="182"/>
      <c r="AN20" s="90"/>
      <c r="AO20" s="90"/>
      <c r="AP20" s="183">
        <f t="shared" si="4"/>
        <v>0</v>
      </c>
      <c r="AQ20" s="182"/>
      <c r="AR20" s="90"/>
      <c r="AS20" s="90"/>
      <c r="AT20" s="183">
        <f t="shared" si="5"/>
        <v>0</v>
      </c>
      <c r="AU20" s="182"/>
      <c r="AV20" s="90"/>
      <c r="AW20" s="90"/>
      <c r="AX20" s="183">
        <f t="shared" si="6"/>
        <v>0</v>
      </c>
      <c r="AY20" s="182"/>
      <c r="AZ20" s="90"/>
      <c r="BA20" s="90"/>
      <c r="BB20" s="183">
        <f t="shared" si="7"/>
        <v>0</v>
      </c>
      <c r="BC20" s="182"/>
      <c r="BD20" s="90"/>
      <c r="BE20" s="90"/>
      <c r="BF20" s="183">
        <f t="shared" si="8"/>
        <v>0</v>
      </c>
      <c r="BG20" s="182"/>
      <c r="BH20" s="90"/>
      <c r="BI20" s="90"/>
      <c r="BJ20" s="183">
        <f t="shared" si="9"/>
        <v>0</v>
      </c>
      <c r="BK20" s="182"/>
      <c r="BL20" s="90"/>
      <c r="BM20" s="90"/>
      <c r="BN20" s="183">
        <f t="shared" si="10"/>
        <v>0</v>
      </c>
      <c r="BO20" s="182"/>
      <c r="BP20" s="90"/>
      <c r="BQ20" s="90"/>
      <c r="BR20" s="183">
        <f t="shared" si="11"/>
        <v>0</v>
      </c>
      <c r="BS20" s="182"/>
      <c r="BT20" s="90"/>
      <c r="BU20" s="90"/>
      <c r="BV20" s="183">
        <f t="shared" si="12"/>
        <v>0</v>
      </c>
      <c r="BW20" s="182"/>
      <c r="BX20" s="90"/>
      <c r="BY20" s="90"/>
      <c r="BZ20" s="183">
        <f t="shared" si="13"/>
        <v>0</v>
      </c>
      <c r="CA20" s="182"/>
      <c r="CB20" s="90"/>
      <c r="CC20" s="90"/>
      <c r="CD20" s="183">
        <f t="shared" si="14"/>
        <v>0</v>
      </c>
    </row>
    <row r="21" spans="2:82" x14ac:dyDescent="0.3">
      <c r="B21" s="53"/>
      <c r="C21" s="53" t="str">
        <f t="shared" si="0"/>
        <v>CPU_PinturadeLigação</v>
      </c>
      <c r="D21" s="278">
        <f t="shared" si="1"/>
        <v>2917</v>
      </c>
      <c r="E21" s="278">
        <f t="shared" si="2"/>
        <v>368333.33</v>
      </c>
      <c r="F21" s="1"/>
      <c r="G21" s="28" t="str">
        <f>IFERROR(VLOOKUP(F21,Tabela7[[RECURSO]:[CUSTO]],2,FALSE),"")</f>
        <v/>
      </c>
      <c r="H21" s="92"/>
      <c r="I21" s="90"/>
      <c r="J21" s="45">
        <f>IFERROR(VLOOKUP(F21,Tabela7[[RECURSO]:[CUSTO]],3,FALSE),0)</f>
        <v>0</v>
      </c>
      <c r="K21" s="45">
        <f>I21*J21*CPU_63[[#This Row],[Nº]]</f>
        <v>0</v>
      </c>
      <c r="M21" s="31"/>
      <c r="N21" s="297"/>
      <c r="O21" s="60">
        <f t="shared" si="15"/>
        <v>0</v>
      </c>
      <c r="AD21" s="144" t="str">
        <f t="shared" si="3"/>
        <v>Pintura de Ligação</v>
      </c>
      <c r="AE21" s="179"/>
      <c r="AF21" s="180">
        <f t="shared" si="16"/>
        <v>0</v>
      </c>
      <c r="AG21" s="180">
        <f t="shared" si="17"/>
        <v>0</v>
      </c>
      <c r="AH21" s="181">
        <f t="shared" si="18"/>
        <v>0</v>
      </c>
      <c r="AI21" s="182"/>
      <c r="AJ21" s="90"/>
      <c r="AK21" s="90"/>
      <c r="AL21" s="183">
        <f t="shared" si="19"/>
        <v>0</v>
      </c>
      <c r="AM21" s="182"/>
      <c r="AN21" s="90"/>
      <c r="AO21" s="90"/>
      <c r="AP21" s="183">
        <f t="shared" si="4"/>
        <v>0</v>
      </c>
      <c r="AQ21" s="182"/>
      <c r="AR21" s="90"/>
      <c r="AS21" s="90"/>
      <c r="AT21" s="183">
        <f t="shared" si="5"/>
        <v>0</v>
      </c>
      <c r="AU21" s="182"/>
      <c r="AV21" s="90"/>
      <c r="AW21" s="90"/>
      <c r="AX21" s="183">
        <f t="shared" si="6"/>
        <v>0</v>
      </c>
      <c r="AY21" s="182"/>
      <c r="AZ21" s="90"/>
      <c r="BA21" s="90"/>
      <c r="BB21" s="183">
        <f t="shared" si="7"/>
        <v>0</v>
      </c>
      <c r="BC21" s="182"/>
      <c r="BD21" s="90"/>
      <c r="BE21" s="90"/>
      <c r="BF21" s="183">
        <f t="shared" si="8"/>
        <v>0</v>
      </c>
      <c r="BG21" s="182"/>
      <c r="BH21" s="90"/>
      <c r="BI21" s="90"/>
      <c r="BJ21" s="183">
        <f t="shared" si="9"/>
        <v>0</v>
      </c>
      <c r="BK21" s="182"/>
      <c r="BL21" s="90"/>
      <c r="BM21" s="90"/>
      <c r="BN21" s="183">
        <f t="shared" si="10"/>
        <v>0</v>
      </c>
      <c r="BO21" s="182"/>
      <c r="BP21" s="90"/>
      <c r="BQ21" s="90"/>
      <c r="BR21" s="183">
        <f t="shared" si="11"/>
        <v>0</v>
      </c>
      <c r="BS21" s="182"/>
      <c r="BT21" s="90"/>
      <c r="BU21" s="90"/>
      <c r="BV21" s="183">
        <f t="shared" si="12"/>
        <v>0</v>
      </c>
      <c r="BW21" s="182"/>
      <c r="BX21" s="90"/>
      <c r="BY21" s="90"/>
      <c r="BZ21" s="183">
        <f t="shared" si="13"/>
        <v>0</v>
      </c>
      <c r="CA21" s="182"/>
      <c r="CB21" s="90"/>
      <c r="CC21" s="90"/>
      <c r="CD21" s="183">
        <f t="shared" si="14"/>
        <v>0</v>
      </c>
    </row>
    <row r="22" spans="2:82" x14ac:dyDescent="0.3">
      <c r="B22" s="53"/>
      <c r="C22" s="53" t="str">
        <f t="shared" si="0"/>
        <v>CPU_PinturadeLigação</v>
      </c>
      <c r="D22" s="278">
        <f t="shared" si="1"/>
        <v>2917</v>
      </c>
      <c r="E22" s="278">
        <f t="shared" si="2"/>
        <v>368333.33</v>
      </c>
      <c r="F22" s="1"/>
      <c r="G22" s="28" t="str">
        <f>IFERROR(VLOOKUP(F22,Tabela7[[RECURSO]:[CUSTO]],2,FALSE),"")</f>
        <v/>
      </c>
      <c r="H22" s="92"/>
      <c r="I22" s="90"/>
      <c r="J22" s="45">
        <f>IFERROR(VLOOKUP(F22,Tabela7[[RECURSO]:[CUSTO]],3,FALSE),0)</f>
        <v>0</v>
      </c>
      <c r="K22" s="45">
        <f>I22*J22*CPU_63[[#This Row],[Nº]]</f>
        <v>0</v>
      </c>
      <c r="M22" s="31"/>
      <c r="N22" s="297"/>
      <c r="O22" s="60">
        <f t="shared" si="15"/>
        <v>0</v>
      </c>
      <c r="AD22" s="144" t="str">
        <f t="shared" si="3"/>
        <v>Pintura de Ligação</v>
      </c>
      <c r="AE22" s="179"/>
      <c r="AF22" s="180">
        <f t="shared" si="16"/>
        <v>0</v>
      </c>
      <c r="AG22" s="180">
        <f t="shared" si="17"/>
        <v>0</v>
      </c>
      <c r="AH22" s="181">
        <f t="shared" si="18"/>
        <v>0</v>
      </c>
      <c r="AI22" s="182"/>
      <c r="AJ22" s="90"/>
      <c r="AK22" s="90"/>
      <c r="AL22" s="183">
        <f t="shared" si="19"/>
        <v>0</v>
      </c>
      <c r="AM22" s="182"/>
      <c r="AN22" s="90"/>
      <c r="AO22" s="90"/>
      <c r="AP22" s="183">
        <f t="shared" si="4"/>
        <v>0</v>
      </c>
      <c r="AQ22" s="182"/>
      <c r="AR22" s="90"/>
      <c r="AS22" s="90"/>
      <c r="AT22" s="183">
        <f t="shared" si="5"/>
        <v>0</v>
      </c>
      <c r="AU22" s="182"/>
      <c r="AV22" s="90"/>
      <c r="AW22" s="90"/>
      <c r="AX22" s="183">
        <f t="shared" si="6"/>
        <v>0</v>
      </c>
      <c r="AY22" s="182"/>
      <c r="AZ22" s="90"/>
      <c r="BA22" s="90"/>
      <c r="BB22" s="183">
        <f t="shared" si="7"/>
        <v>0</v>
      </c>
      <c r="BC22" s="182"/>
      <c r="BD22" s="90"/>
      <c r="BE22" s="90"/>
      <c r="BF22" s="183">
        <f t="shared" si="8"/>
        <v>0</v>
      </c>
      <c r="BG22" s="182"/>
      <c r="BH22" s="90"/>
      <c r="BI22" s="90"/>
      <c r="BJ22" s="183">
        <f t="shared" si="9"/>
        <v>0</v>
      </c>
      <c r="BK22" s="182"/>
      <c r="BL22" s="90"/>
      <c r="BM22" s="90"/>
      <c r="BN22" s="183">
        <f t="shared" si="10"/>
        <v>0</v>
      </c>
      <c r="BO22" s="182"/>
      <c r="BP22" s="90"/>
      <c r="BQ22" s="90"/>
      <c r="BR22" s="183">
        <f t="shared" si="11"/>
        <v>0</v>
      </c>
      <c r="BS22" s="182"/>
      <c r="BT22" s="90"/>
      <c r="BU22" s="90"/>
      <c r="BV22" s="183">
        <f t="shared" si="12"/>
        <v>0</v>
      </c>
      <c r="BW22" s="182"/>
      <c r="BX22" s="90"/>
      <c r="BY22" s="90"/>
      <c r="BZ22" s="183">
        <f t="shared" si="13"/>
        <v>0</v>
      </c>
      <c r="CA22" s="182"/>
      <c r="CB22" s="90"/>
      <c r="CC22" s="90"/>
      <c r="CD22" s="183">
        <f t="shared" si="14"/>
        <v>0</v>
      </c>
    </row>
    <row r="23" spans="2:82" ht="15" thickBot="1" x14ac:dyDescent="0.35">
      <c r="B23" s="53"/>
      <c r="C23" s="53" t="str">
        <f t="shared" si="0"/>
        <v>CPU_PinturadeLigação</v>
      </c>
      <c r="D23" s="278">
        <f t="shared" si="1"/>
        <v>2917</v>
      </c>
      <c r="E23" s="278">
        <f t="shared" si="2"/>
        <v>368333.33</v>
      </c>
      <c r="F23" s="1"/>
      <c r="G23" s="28" t="str">
        <f>IFERROR(VLOOKUP(F23,Tabela7[[RECURSO]:[CUSTO]],2,FALSE),"")</f>
        <v/>
      </c>
      <c r="H23" s="92"/>
      <c r="I23" s="90"/>
      <c r="J23" s="45">
        <f>IFERROR(VLOOKUP(F23,Tabela7[[RECURSO]:[CUSTO]],3,FALSE),0)</f>
        <v>0</v>
      </c>
      <c r="K23" s="45">
        <f>I23*J23*CPU_63[[#This Row],[Nº]]</f>
        <v>0</v>
      </c>
      <c r="M23" s="51"/>
      <c r="N23" s="298"/>
      <c r="O23" s="61">
        <f t="shared" si="15"/>
        <v>0</v>
      </c>
      <c r="AD23" s="144" t="str">
        <f t="shared" si="3"/>
        <v>Pintura de Ligação</v>
      </c>
      <c r="AE23" s="179"/>
      <c r="AF23" s="180">
        <f t="shared" si="16"/>
        <v>0</v>
      </c>
      <c r="AG23" s="180">
        <f t="shared" si="17"/>
        <v>0</v>
      </c>
      <c r="AH23" s="181">
        <f t="shared" si="18"/>
        <v>0</v>
      </c>
      <c r="AI23" s="182"/>
      <c r="AJ23" s="90"/>
      <c r="AK23" s="90"/>
      <c r="AL23" s="183">
        <f t="shared" si="19"/>
        <v>0</v>
      </c>
      <c r="AM23" s="182"/>
      <c r="AN23" s="90"/>
      <c r="AO23" s="90"/>
      <c r="AP23" s="183">
        <f t="shared" si="4"/>
        <v>0</v>
      </c>
      <c r="AQ23" s="182"/>
      <c r="AR23" s="90"/>
      <c r="AS23" s="90"/>
      <c r="AT23" s="183">
        <f t="shared" si="5"/>
        <v>0</v>
      </c>
      <c r="AU23" s="182"/>
      <c r="AV23" s="90"/>
      <c r="AW23" s="90"/>
      <c r="AX23" s="183">
        <f t="shared" si="6"/>
        <v>0</v>
      </c>
      <c r="AY23" s="182"/>
      <c r="AZ23" s="90"/>
      <c r="BA23" s="90"/>
      <c r="BB23" s="183">
        <f t="shared" si="7"/>
        <v>0</v>
      </c>
      <c r="BC23" s="182"/>
      <c r="BD23" s="90"/>
      <c r="BE23" s="90"/>
      <c r="BF23" s="183">
        <f t="shared" si="8"/>
        <v>0</v>
      </c>
      <c r="BG23" s="182"/>
      <c r="BH23" s="90"/>
      <c r="BI23" s="90"/>
      <c r="BJ23" s="183">
        <f t="shared" si="9"/>
        <v>0</v>
      </c>
      <c r="BK23" s="182"/>
      <c r="BL23" s="90"/>
      <c r="BM23" s="90"/>
      <c r="BN23" s="183">
        <f t="shared" si="10"/>
        <v>0</v>
      </c>
      <c r="BO23" s="182"/>
      <c r="BP23" s="90"/>
      <c r="BQ23" s="90"/>
      <c r="BR23" s="183">
        <f t="shared" si="11"/>
        <v>0</v>
      </c>
      <c r="BS23" s="182"/>
      <c r="BT23" s="90"/>
      <c r="BU23" s="90"/>
      <c r="BV23" s="183">
        <f t="shared" si="12"/>
        <v>0</v>
      </c>
      <c r="BW23" s="182"/>
      <c r="BX23" s="90"/>
      <c r="BY23" s="90"/>
      <c r="BZ23" s="183">
        <f t="shared" si="13"/>
        <v>0</v>
      </c>
      <c r="CA23" s="182"/>
      <c r="CB23" s="90"/>
      <c r="CC23" s="90"/>
      <c r="CD23" s="183">
        <f t="shared" si="14"/>
        <v>0</v>
      </c>
    </row>
    <row r="24" spans="2:82" x14ac:dyDescent="0.3">
      <c r="B24" s="52" t="s">
        <v>686</v>
      </c>
      <c r="C24" s="52" t="str">
        <f t="shared" si="0"/>
        <v>CPU_PinturadeLigação</v>
      </c>
      <c r="D24" s="277">
        <f t="shared" si="1"/>
        <v>2917</v>
      </c>
      <c r="E24" s="277">
        <f t="shared" si="2"/>
        <v>368333.33</v>
      </c>
      <c r="F24" s="37"/>
      <c r="G24" s="38"/>
      <c r="H24" s="91"/>
      <c r="I24" s="40"/>
      <c r="J24" s="40">
        <f>IFERROR(K24/$B$6,0)</f>
        <v>0</v>
      </c>
      <c r="K24" s="40">
        <f>SUM(K25:K36)</f>
        <v>0</v>
      </c>
      <c r="AD24" s="144" t="str">
        <f t="shared" si="3"/>
        <v>Pintura de Ligação</v>
      </c>
      <c r="AE24" s="184"/>
      <c r="AF24" s="40"/>
      <c r="AG24" s="40">
        <f>IFERROR(AH24/AF$3,0)</f>
        <v>0</v>
      </c>
      <c r="AH24" s="185">
        <f>SUM(AH25:AH36)</f>
        <v>0</v>
      </c>
      <c r="AI24" s="184"/>
      <c r="AJ24" s="40"/>
      <c r="AK24" s="40">
        <f>IFERROR(AL24/AJ$3,0)</f>
        <v>0</v>
      </c>
      <c r="AL24" s="185">
        <f>SUM(AL25:AL36)</f>
        <v>0</v>
      </c>
      <c r="AM24" s="184"/>
      <c r="AN24" s="40"/>
      <c r="AO24" s="40">
        <f>IFERROR(AP24/AN$3,0)</f>
        <v>0</v>
      </c>
      <c r="AP24" s="185">
        <f>SUM(AP25:AP36)</f>
        <v>0</v>
      </c>
      <c r="AQ24" s="184"/>
      <c r="AR24" s="40"/>
      <c r="AS24" s="40">
        <f>IFERROR(AT24/AR$3,0)</f>
        <v>0</v>
      </c>
      <c r="AT24" s="185">
        <f>SUM(AT25:AT36)</f>
        <v>0</v>
      </c>
      <c r="AU24" s="184"/>
      <c r="AV24" s="40"/>
      <c r="AW24" s="40">
        <f>IFERROR(AX24/AV$3,0)</f>
        <v>0</v>
      </c>
      <c r="AX24" s="185">
        <f>SUM(AX25:AX36)</f>
        <v>0</v>
      </c>
      <c r="AY24" s="184"/>
      <c r="AZ24" s="40"/>
      <c r="BA24" s="40">
        <f>IFERROR(BB24/AZ$3,0)</f>
        <v>0</v>
      </c>
      <c r="BB24" s="185">
        <f>SUM(BB25:BB36)</f>
        <v>0</v>
      </c>
      <c r="BC24" s="184"/>
      <c r="BD24" s="40"/>
      <c r="BE24" s="40">
        <f>IFERROR(BF24/BD$3,0)</f>
        <v>0</v>
      </c>
      <c r="BF24" s="185">
        <f>SUM(BF25:BF36)</f>
        <v>0</v>
      </c>
      <c r="BG24" s="184"/>
      <c r="BH24" s="40"/>
      <c r="BI24" s="40">
        <f>IFERROR(BJ24/BH$3,0)</f>
        <v>0</v>
      </c>
      <c r="BJ24" s="185">
        <f>SUM(BJ25:BJ36)</f>
        <v>0</v>
      </c>
      <c r="BK24" s="184"/>
      <c r="BL24" s="40"/>
      <c r="BM24" s="40">
        <f>IFERROR(BN24/BL$3,0)</f>
        <v>0</v>
      </c>
      <c r="BN24" s="185">
        <f>SUM(BN25:BN36)</f>
        <v>0</v>
      </c>
      <c r="BO24" s="184"/>
      <c r="BP24" s="40"/>
      <c r="BQ24" s="40">
        <f>IFERROR(BR24/BP$3,0)</f>
        <v>0</v>
      </c>
      <c r="BR24" s="185">
        <f>SUM(BR25:BR36)</f>
        <v>0</v>
      </c>
      <c r="BS24" s="184"/>
      <c r="BT24" s="40"/>
      <c r="BU24" s="40">
        <f>IFERROR(BV24/BT$3,0)</f>
        <v>0</v>
      </c>
      <c r="BV24" s="185">
        <f>SUM(BV25:BV36)</f>
        <v>0</v>
      </c>
      <c r="BW24" s="184"/>
      <c r="BX24" s="40"/>
      <c r="BY24" s="40">
        <f>IFERROR(BZ24/BX$3,0)</f>
        <v>0</v>
      </c>
      <c r="BZ24" s="185">
        <f>SUM(BZ25:BZ36)</f>
        <v>0</v>
      </c>
      <c r="CA24" s="184"/>
      <c r="CB24" s="40"/>
      <c r="CC24" s="40">
        <f>IFERROR(CD24/CB$3,0)</f>
        <v>0</v>
      </c>
      <c r="CD24" s="185">
        <f>SUM(CD25:CD36)</f>
        <v>0</v>
      </c>
    </row>
    <row r="25" spans="2:82" x14ac:dyDescent="0.3">
      <c r="B25" s="53"/>
      <c r="C25" s="53" t="str">
        <f t="shared" si="0"/>
        <v>CPU_PinturadeLigação</v>
      </c>
      <c r="D25" s="278">
        <f t="shared" si="1"/>
        <v>2917</v>
      </c>
      <c r="E25" s="278">
        <f t="shared" si="2"/>
        <v>368333.33</v>
      </c>
      <c r="F25" s="1" t="s">
        <v>288</v>
      </c>
      <c r="G25" s="28" t="str">
        <f>IFERROR(VLOOKUP(F25,Tabela7[[RECURSO]:[CUSTO]],2,FALSE),"")</f>
        <v>L</v>
      </c>
      <c r="H25" s="93"/>
      <c r="I25" s="90">
        <f>IFERROR(SUMPRODUCT(I12:I23,M12:M23,H12:H23,N12:N23),0)</f>
        <v>0</v>
      </c>
      <c r="J25" s="45">
        <f>IFERROR(VLOOKUP(F25,Tabela7[[RECURSO]:[CUSTO]],3,FALSE),0)</f>
        <v>7</v>
      </c>
      <c r="K25" s="45">
        <f>I25*J25</f>
        <v>0</v>
      </c>
      <c r="AD25" s="144" t="str">
        <f t="shared" si="3"/>
        <v>Pintura de Ligação</v>
      </c>
      <c r="AE25" s="179"/>
      <c r="AF25" s="180">
        <f t="shared" ref="AF25:AF36" si="20">AJ25+AN25+AR25+AV25+AZ25+BD25+BH25+BL25+BP25+BT25+BX25+CB25</f>
        <v>0</v>
      </c>
      <c r="AG25" s="180">
        <f t="shared" si="17"/>
        <v>0</v>
      </c>
      <c r="AH25" s="181">
        <f t="shared" ref="AH25:AH36" si="21">AL25+AP25+AT25+AX25+BB25+BF25+BJ25+BN25+BR25+BV25+BZ25+CD25</f>
        <v>0</v>
      </c>
      <c r="AI25" s="182"/>
      <c r="AJ25" s="90"/>
      <c r="AK25" s="90"/>
      <c r="AL25" s="183">
        <f t="shared" ref="AL25:AL36" si="22">AJ25*AK25</f>
        <v>0</v>
      </c>
      <c r="AM25" s="182"/>
      <c r="AN25" s="90"/>
      <c r="AO25" s="90"/>
      <c r="AP25" s="183">
        <f t="shared" ref="AP25:AP62" si="23">AN25*AO25</f>
        <v>0</v>
      </c>
      <c r="AQ25" s="182"/>
      <c r="AR25" s="90"/>
      <c r="AS25" s="90"/>
      <c r="AT25" s="183">
        <f t="shared" ref="AT25:AT62" si="24">AR25*AS25</f>
        <v>0</v>
      </c>
      <c r="AU25" s="182"/>
      <c r="AV25" s="90"/>
      <c r="AW25" s="90"/>
      <c r="AX25" s="183">
        <f t="shared" ref="AX25:AX62" si="25">AV25*AW25</f>
        <v>0</v>
      </c>
      <c r="AY25" s="182"/>
      <c r="AZ25" s="90"/>
      <c r="BA25" s="90"/>
      <c r="BB25" s="183">
        <f t="shared" ref="BB25:BB62" si="26">AZ25*BA25</f>
        <v>0</v>
      </c>
      <c r="BC25" s="182"/>
      <c r="BD25" s="90"/>
      <c r="BE25" s="90"/>
      <c r="BF25" s="183">
        <f t="shared" ref="BF25:BF62" si="27">BD25*BE25</f>
        <v>0</v>
      </c>
      <c r="BG25" s="182"/>
      <c r="BH25" s="90"/>
      <c r="BI25" s="90"/>
      <c r="BJ25" s="183">
        <f t="shared" ref="BJ25:BJ62" si="28">BH25*BI25</f>
        <v>0</v>
      </c>
      <c r="BK25" s="182"/>
      <c r="BL25" s="90"/>
      <c r="BM25" s="90"/>
      <c r="BN25" s="183">
        <f t="shared" ref="BN25:BN62" si="29">BL25*BM25</f>
        <v>0</v>
      </c>
      <c r="BO25" s="182"/>
      <c r="BP25" s="90"/>
      <c r="BQ25" s="90"/>
      <c r="BR25" s="183">
        <f t="shared" ref="BR25:BR62" si="30">BP25*BQ25</f>
        <v>0</v>
      </c>
      <c r="BS25" s="182"/>
      <c r="BT25" s="90"/>
      <c r="BU25" s="90"/>
      <c r="BV25" s="183">
        <f t="shared" ref="BV25:BV62" si="31">BT25*BU25</f>
        <v>0</v>
      </c>
      <c r="BW25" s="182"/>
      <c r="BX25" s="90"/>
      <c r="BY25" s="90"/>
      <c r="BZ25" s="183">
        <f t="shared" ref="BZ25:BZ62" si="32">BX25*BY25</f>
        <v>0</v>
      </c>
      <c r="CA25" s="182"/>
      <c r="CB25" s="90"/>
      <c r="CC25" s="90"/>
      <c r="CD25" s="183">
        <f t="shared" ref="CD25:CD62" si="33">CB25*CC25</f>
        <v>0</v>
      </c>
    </row>
    <row r="26" spans="2:82" x14ac:dyDescent="0.3">
      <c r="B26" s="53"/>
      <c r="C26" s="53" t="str">
        <f t="shared" si="0"/>
        <v>CPU_PinturadeLigação</v>
      </c>
      <c r="D26" s="278">
        <f t="shared" si="1"/>
        <v>2917</v>
      </c>
      <c r="E26" s="278">
        <f t="shared" si="2"/>
        <v>368333.33</v>
      </c>
      <c r="F26" s="1"/>
      <c r="G26" s="28" t="str">
        <f>IFERROR(VLOOKUP(F26,Tabela7[[RECURSO]:[CUSTO]],2,FALSE),"")</f>
        <v/>
      </c>
      <c r="H26" s="93"/>
      <c r="I26" s="90"/>
      <c r="J26" s="45">
        <f>IFERROR(VLOOKUP(F26,Tabela7[[RECURSO]:[CUSTO]],3,FALSE),0)</f>
        <v>0</v>
      </c>
      <c r="K26" s="45">
        <f t="shared" ref="K26:K36" si="34">I26*J26</f>
        <v>0</v>
      </c>
      <c r="AD26" s="144" t="str">
        <f t="shared" si="3"/>
        <v>Pintura de Ligação</v>
      </c>
      <c r="AE26" s="179"/>
      <c r="AF26" s="180">
        <f t="shared" si="20"/>
        <v>0</v>
      </c>
      <c r="AG26" s="180">
        <f t="shared" si="17"/>
        <v>0</v>
      </c>
      <c r="AH26" s="181">
        <f t="shared" si="21"/>
        <v>0</v>
      </c>
      <c r="AI26" s="182"/>
      <c r="AJ26" s="90"/>
      <c r="AK26" s="90"/>
      <c r="AL26" s="183">
        <f t="shared" si="22"/>
        <v>0</v>
      </c>
      <c r="AM26" s="182"/>
      <c r="AN26" s="90"/>
      <c r="AO26" s="90"/>
      <c r="AP26" s="183">
        <f t="shared" si="23"/>
        <v>0</v>
      </c>
      <c r="AQ26" s="182"/>
      <c r="AR26" s="90"/>
      <c r="AS26" s="90"/>
      <c r="AT26" s="183">
        <f t="shared" si="24"/>
        <v>0</v>
      </c>
      <c r="AU26" s="182"/>
      <c r="AV26" s="90"/>
      <c r="AW26" s="90"/>
      <c r="AX26" s="183">
        <f t="shared" si="25"/>
        <v>0</v>
      </c>
      <c r="AY26" s="182"/>
      <c r="AZ26" s="90"/>
      <c r="BA26" s="90"/>
      <c r="BB26" s="183">
        <f t="shared" si="26"/>
        <v>0</v>
      </c>
      <c r="BC26" s="182"/>
      <c r="BD26" s="90"/>
      <c r="BE26" s="90"/>
      <c r="BF26" s="183">
        <f t="shared" si="27"/>
        <v>0</v>
      </c>
      <c r="BG26" s="182"/>
      <c r="BH26" s="90"/>
      <c r="BI26" s="90"/>
      <c r="BJ26" s="183">
        <f t="shared" si="28"/>
        <v>0</v>
      </c>
      <c r="BK26" s="182"/>
      <c r="BL26" s="90"/>
      <c r="BM26" s="90"/>
      <c r="BN26" s="183">
        <f t="shared" si="29"/>
        <v>0</v>
      </c>
      <c r="BO26" s="182"/>
      <c r="BP26" s="90"/>
      <c r="BQ26" s="90"/>
      <c r="BR26" s="183">
        <f t="shared" si="30"/>
        <v>0</v>
      </c>
      <c r="BS26" s="182"/>
      <c r="BT26" s="90"/>
      <c r="BU26" s="90"/>
      <c r="BV26" s="183">
        <f t="shared" si="31"/>
        <v>0</v>
      </c>
      <c r="BW26" s="182"/>
      <c r="BX26" s="90"/>
      <c r="BY26" s="90"/>
      <c r="BZ26" s="183">
        <f t="shared" si="32"/>
        <v>0</v>
      </c>
      <c r="CA26" s="182"/>
      <c r="CB26" s="90"/>
      <c r="CC26" s="90"/>
      <c r="CD26" s="183">
        <f t="shared" si="33"/>
        <v>0</v>
      </c>
    </row>
    <row r="27" spans="2:82" x14ac:dyDescent="0.3">
      <c r="B27" s="53"/>
      <c r="C27" s="53" t="str">
        <f t="shared" si="0"/>
        <v>CPU_PinturadeLigação</v>
      </c>
      <c r="D27" s="278">
        <f t="shared" si="1"/>
        <v>2917</v>
      </c>
      <c r="E27" s="278">
        <f t="shared" si="2"/>
        <v>368333.33</v>
      </c>
      <c r="F27" s="1"/>
      <c r="G27" s="28" t="str">
        <f>IFERROR(VLOOKUP(F27,Tabela7[[RECURSO]:[CUSTO]],2,FALSE),"")</f>
        <v/>
      </c>
      <c r="H27" s="93"/>
      <c r="I27" s="90"/>
      <c r="J27" s="45">
        <f>IFERROR(VLOOKUP(F27,Tabela7[[RECURSO]:[CUSTO]],3,FALSE),0)</f>
        <v>0</v>
      </c>
      <c r="K27" s="45">
        <f t="shared" si="34"/>
        <v>0</v>
      </c>
      <c r="AD27" s="144" t="str">
        <f t="shared" si="3"/>
        <v>Pintura de Ligação</v>
      </c>
      <c r="AE27" s="179"/>
      <c r="AF27" s="180">
        <f t="shared" si="20"/>
        <v>0</v>
      </c>
      <c r="AG27" s="180">
        <f t="shared" si="17"/>
        <v>0</v>
      </c>
      <c r="AH27" s="181">
        <f t="shared" si="21"/>
        <v>0</v>
      </c>
      <c r="AI27" s="182"/>
      <c r="AJ27" s="90"/>
      <c r="AK27" s="90"/>
      <c r="AL27" s="183">
        <f t="shared" si="22"/>
        <v>0</v>
      </c>
      <c r="AM27" s="182"/>
      <c r="AN27" s="90"/>
      <c r="AO27" s="90"/>
      <c r="AP27" s="183">
        <f t="shared" si="23"/>
        <v>0</v>
      </c>
      <c r="AQ27" s="182"/>
      <c r="AR27" s="90"/>
      <c r="AS27" s="90"/>
      <c r="AT27" s="183">
        <f t="shared" si="24"/>
        <v>0</v>
      </c>
      <c r="AU27" s="182"/>
      <c r="AV27" s="90"/>
      <c r="AW27" s="90"/>
      <c r="AX27" s="183">
        <f t="shared" si="25"/>
        <v>0</v>
      </c>
      <c r="AY27" s="182"/>
      <c r="AZ27" s="90"/>
      <c r="BA27" s="90"/>
      <c r="BB27" s="183">
        <f t="shared" si="26"/>
        <v>0</v>
      </c>
      <c r="BC27" s="182"/>
      <c r="BD27" s="90"/>
      <c r="BE27" s="90"/>
      <c r="BF27" s="183">
        <f t="shared" si="27"/>
        <v>0</v>
      </c>
      <c r="BG27" s="182"/>
      <c r="BH27" s="90"/>
      <c r="BI27" s="90"/>
      <c r="BJ27" s="183">
        <f t="shared" si="28"/>
        <v>0</v>
      </c>
      <c r="BK27" s="182"/>
      <c r="BL27" s="90"/>
      <c r="BM27" s="90"/>
      <c r="BN27" s="183">
        <f t="shared" si="29"/>
        <v>0</v>
      </c>
      <c r="BO27" s="182"/>
      <c r="BP27" s="90"/>
      <c r="BQ27" s="90"/>
      <c r="BR27" s="183">
        <f t="shared" si="30"/>
        <v>0</v>
      </c>
      <c r="BS27" s="182"/>
      <c r="BT27" s="90"/>
      <c r="BU27" s="90"/>
      <c r="BV27" s="183">
        <f t="shared" si="31"/>
        <v>0</v>
      </c>
      <c r="BW27" s="182"/>
      <c r="BX27" s="90"/>
      <c r="BY27" s="90"/>
      <c r="BZ27" s="183">
        <f t="shared" si="32"/>
        <v>0</v>
      </c>
      <c r="CA27" s="182"/>
      <c r="CB27" s="90"/>
      <c r="CC27" s="90"/>
      <c r="CD27" s="183">
        <f t="shared" si="33"/>
        <v>0</v>
      </c>
    </row>
    <row r="28" spans="2:82" x14ac:dyDescent="0.3">
      <c r="B28" s="53"/>
      <c r="C28" s="53" t="str">
        <f t="shared" si="0"/>
        <v>CPU_PinturadeLigação</v>
      </c>
      <c r="D28" s="278">
        <f t="shared" si="1"/>
        <v>2917</v>
      </c>
      <c r="E28" s="278">
        <f t="shared" si="2"/>
        <v>368333.33</v>
      </c>
      <c r="F28" s="1"/>
      <c r="G28" s="28" t="str">
        <f>IFERROR(VLOOKUP(F28,Tabela7[[RECURSO]:[CUSTO]],2,FALSE),"")</f>
        <v/>
      </c>
      <c r="H28" s="93"/>
      <c r="I28" s="90"/>
      <c r="J28" s="45">
        <f>IFERROR(VLOOKUP(F28,Tabela7[[RECURSO]:[CUSTO]],3,FALSE),0)</f>
        <v>0</v>
      </c>
      <c r="K28" s="45">
        <f t="shared" si="34"/>
        <v>0</v>
      </c>
      <c r="AD28" s="144" t="str">
        <f t="shared" si="3"/>
        <v>Pintura de Ligação</v>
      </c>
      <c r="AE28" s="179"/>
      <c r="AF28" s="180">
        <f t="shared" si="20"/>
        <v>0</v>
      </c>
      <c r="AG28" s="180">
        <f t="shared" si="17"/>
        <v>0</v>
      </c>
      <c r="AH28" s="181">
        <f t="shared" si="21"/>
        <v>0</v>
      </c>
      <c r="AI28" s="182"/>
      <c r="AJ28" s="90"/>
      <c r="AK28" s="90"/>
      <c r="AL28" s="183">
        <f t="shared" si="22"/>
        <v>0</v>
      </c>
      <c r="AM28" s="182"/>
      <c r="AN28" s="90"/>
      <c r="AO28" s="90"/>
      <c r="AP28" s="183">
        <f t="shared" si="23"/>
        <v>0</v>
      </c>
      <c r="AQ28" s="182"/>
      <c r="AR28" s="90"/>
      <c r="AS28" s="90"/>
      <c r="AT28" s="183">
        <f t="shared" si="24"/>
        <v>0</v>
      </c>
      <c r="AU28" s="182"/>
      <c r="AV28" s="90"/>
      <c r="AW28" s="90"/>
      <c r="AX28" s="183">
        <f t="shared" si="25"/>
        <v>0</v>
      </c>
      <c r="AY28" s="182"/>
      <c r="AZ28" s="90"/>
      <c r="BA28" s="90"/>
      <c r="BB28" s="183">
        <f t="shared" si="26"/>
        <v>0</v>
      </c>
      <c r="BC28" s="182"/>
      <c r="BD28" s="90"/>
      <c r="BE28" s="90"/>
      <c r="BF28" s="183">
        <f t="shared" si="27"/>
        <v>0</v>
      </c>
      <c r="BG28" s="182"/>
      <c r="BH28" s="90"/>
      <c r="BI28" s="90"/>
      <c r="BJ28" s="183">
        <f t="shared" si="28"/>
        <v>0</v>
      </c>
      <c r="BK28" s="182"/>
      <c r="BL28" s="90"/>
      <c r="BM28" s="90"/>
      <c r="BN28" s="183">
        <f t="shared" si="29"/>
        <v>0</v>
      </c>
      <c r="BO28" s="182"/>
      <c r="BP28" s="90"/>
      <c r="BQ28" s="90"/>
      <c r="BR28" s="183">
        <f t="shared" si="30"/>
        <v>0</v>
      </c>
      <c r="BS28" s="182"/>
      <c r="BT28" s="90"/>
      <c r="BU28" s="90"/>
      <c r="BV28" s="183">
        <f t="shared" si="31"/>
        <v>0</v>
      </c>
      <c r="BW28" s="182"/>
      <c r="BX28" s="90"/>
      <c r="BY28" s="90"/>
      <c r="BZ28" s="183">
        <f t="shared" si="32"/>
        <v>0</v>
      </c>
      <c r="CA28" s="182"/>
      <c r="CB28" s="90"/>
      <c r="CC28" s="90"/>
      <c r="CD28" s="183">
        <f t="shared" si="33"/>
        <v>0</v>
      </c>
    </row>
    <row r="29" spans="2:82" x14ac:dyDescent="0.3">
      <c r="B29" s="53"/>
      <c r="C29" s="53" t="str">
        <f t="shared" si="0"/>
        <v>CPU_PinturadeLigação</v>
      </c>
      <c r="D29" s="278">
        <f t="shared" si="1"/>
        <v>2917</v>
      </c>
      <c r="E29" s="278">
        <f t="shared" si="2"/>
        <v>368333.33</v>
      </c>
      <c r="F29" s="1"/>
      <c r="G29" s="28" t="str">
        <f>IFERROR(VLOOKUP(F29,Tabela7[[RECURSO]:[CUSTO]],2,FALSE),"")</f>
        <v/>
      </c>
      <c r="H29" s="93"/>
      <c r="I29" s="90"/>
      <c r="J29" s="45">
        <f>IFERROR(VLOOKUP(F29,Tabela7[[RECURSO]:[CUSTO]],3,FALSE),0)</f>
        <v>0</v>
      </c>
      <c r="K29" s="45">
        <f t="shared" si="34"/>
        <v>0</v>
      </c>
      <c r="AD29" s="144" t="str">
        <f t="shared" si="3"/>
        <v>Pintura de Ligação</v>
      </c>
      <c r="AE29" s="179"/>
      <c r="AF29" s="180">
        <f t="shared" si="20"/>
        <v>0</v>
      </c>
      <c r="AG29" s="180">
        <f t="shared" si="17"/>
        <v>0</v>
      </c>
      <c r="AH29" s="181">
        <f t="shared" si="21"/>
        <v>0</v>
      </c>
      <c r="AI29" s="182"/>
      <c r="AJ29" s="90"/>
      <c r="AK29" s="90"/>
      <c r="AL29" s="183">
        <f t="shared" si="22"/>
        <v>0</v>
      </c>
      <c r="AM29" s="182"/>
      <c r="AN29" s="90"/>
      <c r="AO29" s="90"/>
      <c r="AP29" s="183">
        <f t="shared" si="23"/>
        <v>0</v>
      </c>
      <c r="AQ29" s="182"/>
      <c r="AR29" s="90"/>
      <c r="AS29" s="90"/>
      <c r="AT29" s="183">
        <f t="shared" si="24"/>
        <v>0</v>
      </c>
      <c r="AU29" s="182"/>
      <c r="AV29" s="90"/>
      <c r="AW29" s="90"/>
      <c r="AX29" s="183">
        <f t="shared" si="25"/>
        <v>0</v>
      </c>
      <c r="AY29" s="182"/>
      <c r="AZ29" s="90"/>
      <c r="BA29" s="90"/>
      <c r="BB29" s="183">
        <f t="shared" si="26"/>
        <v>0</v>
      </c>
      <c r="BC29" s="182"/>
      <c r="BD29" s="90"/>
      <c r="BE29" s="90"/>
      <c r="BF29" s="183">
        <f t="shared" si="27"/>
        <v>0</v>
      </c>
      <c r="BG29" s="182"/>
      <c r="BH29" s="90"/>
      <c r="BI29" s="90"/>
      <c r="BJ29" s="183">
        <f t="shared" si="28"/>
        <v>0</v>
      </c>
      <c r="BK29" s="182"/>
      <c r="BL29" s="90"/>
      <c r="BM29" s="90"/>
      <c r="BN29" s="183">
        <f t="shared" si="29"/>
        <v>0</v>
      </c>
      <c r="BO29" s="182"/>
      <c r="BP29" s="90"/>
      <c r="BQ29" s="90"/>
      <c r="BR29" s="183">
        <f t="shared" si="30"/>
        <v>0</v>
      </c>
      <c r="BS29" s="182"/>
      <c r="BT29" s="90"/>
      <c r="BU29" s="90"/>
      <c r="BV29" s="183">
        <f t="shared" si="31"/>
        <v>0</v>
      </c>
      <c r="BW29" s="182"/>
      <c r="BX29" s="90"/>
      <c r="BY29" s="90"/>
      <c r="BZ29" s="183">
        <f t="shared" si="32"/>
        <v>0</v>
      </c>
      <c r="CA29" s="182"/>
      <c r="CB29" s="90"/>
      <c r="CC29" s="90"/>
      <c r="CD29" s="183">
        <f t="shared" si="33"/>
        <v>0</v>
      </c>
    </row>
    <row r="30" spans="2:82" x14ac:dyDescent="0.3">
      <c r="B30" s="53"/>
      <c r="C30" s="53" t="str">
        <f t="shared" si="0"/>
        <v>CPU_PinturadeLigação</v>
      </c>
      <c r="D30" s="278">
        <f t="shared" si="1"/>
        <v>2917</v>
      </c>
      <c r="E30" s="278">
        <f t="shared" si="2"/>
        <v>368333.33</v>
      </c>
      <c r="F30" s="1"/>
      <c r="G30" s="28" t="str">
        <f>IFERROR(VLOOKUP(F30,Tabela7[[RECURSO]:[CUSTO]],2,FALSE),"")</f>
        <v/>
      </c>
      <c r="H30" s="93"/>
      <c r="I30" s="90"/>
      <c r="J30" s="45">
        <f>IFERROR(VLOOKUP(F30,Tabela7[[RECURSO]:[CUSTO]],3,FALSE),0)</f>
        <v>0</v>
      </c>
      <c r="K30" s="45">
        <f t="shared" si="34"/>
        <v>0</v>
      </c>
      <c r="AD30" s="144" t="str">
        <f t="shared" si="3"/>
        <v>Pintura de Ligação</v>
      </c>
      <c r="AE30" s="179"/>
      <c r="AF30" s="180">
        <f t="shared" si="20"/>
        <v>0</v>
      </c>
      <c r="AG30" s="180">
        <f t="shared" si="17"/>
        <v>0</v>
      </c>
      <c r="AH30" s="181">
        <f t="shared" si="21"/>
        <v>0</v>
      </c>
      <c r="AI30" s="182"/>
      <c r="AJ30" s="90"/>
      <c r="AK30" s="90"/>
      <c r="AL30" s="183">
        <f t="shared" si="22"/>
        <v>0</v>
      </c>
      <c r="AM30" s="182"/>
      <c r="AN30" s="90"/>
      <c r="AO30" s="90"/>
      <c r="AP30" s="183">
        <f t="shared" si="23"/>
        <v>0</v>
      </c>
      <c r="AQ30" s="182"/>
      <c r="AR30" s="90"/>
      <c r="AS30" s="90"/>
      <c r="AT30" s="183">
        <f t="shared" si="24"/>
        <v>0</v>
      </c>
      <c r="AU30" s="182"/>
      <c r="AV30" s="90"/>
      <c r="AW30" s="90"/>
      <c r="AX30" s="183">
        <f t="shared" si="25"/>
        <v>0</v>
      </c>
      <c r="AY30" s="182"/>
      <c r="AZ30" s="90"/>
      <c r="BA30" s="90"/>
      <c r="BB30" s="183">
        <f t="shared" si="26"/>
        <v>0</v>
      </c>
      <c r="BC30" s="182"/>
      <c r="BD30" s="90"/>
      <c r="BE30" s="90"/>
      <c r="BF30" s="183">
        <f t="shared" si="27"/>
        <v>0</v>
      </c>
      <c r="BG30" s="182"/>
      <c r="BH30" s="90"/>
      <c r="BI30" s="90"/>
      <c r="BJ30" s="183">
        <f t="shared" si="28"/>
        <v>0</v>
      </c>
      <c r="BK30" s="182"/>
      <c r="BL30" s="90"/>
      <c r="BM30" s="90"/>
      <c r="BN30" s="183">
        <f t="shared" si="29"/>
        <v>0</v>
      </c>
      <c r="BO30" s="182"/>
      <c r="BP30" s="90"/>
      <c r="BQ30" s="90"/>
      <c r="BR30" s="183">
        <f t="shared" si="30"/>
        <v>0</v>
      </c>
      <c r="BS30" s="182"/>
      <c r="BT30" s="90"/>
      <c r="BU30" s="90"/>
      <c r="BV30" s="183">
        <f t="shared" si="31"/>
        <v>0</v>
      </c>
      <c r="BW30" s="182"/>
      <c r="BX30" s="90"/>
      <c r="BY30" s="90"/>
      <c r="BZ30" s="183">
        <f t="shared" si="32"/>
        <v>0</v>
      </c>
      <c r="CA30" s="182"/>
      <c r="CB30" s="90"/>
      <c r="CC30" s="90"/>
      <c r="CD30" s="183">
        <f t="shared" si="33"/>
        <v>0</v>
      </c>
    </row>
    <row r="31" spans="2:82" x14ac:dyDescent="0.3">
      <c r="B31" s="53"/>
      <c r="C31" s="53" t="str">
        <f t="shared" si="0"/>
        <v>CPU_PinturadeLigação</v>
      </c>
      <c r="D31" s="278">
        <f t="shared" si="1"/>
        <v>2917</v>
      </c>
      <c r="E31" s="278">
        <f t="shared" si="2"/>
        <v>368333.33</v>
      </c>
      <c r="F31" s="1"/>
      <c r="G31" s="28" t="str">
        <f>IFERROR(VLOOKUP(F31,Tabela7[[RECURSO]:[CUSTO]],2,FALSE),"")</f>
        <v/>
      </c>
      <c r="H31" s="93"/>
      <c r="I31" s="90"/>
      <c r="J31" s="45">
        <f>IFERROR(VLOOKUP(F31,Tabela7[[RECURSO]:[CUSTO]],3,FALSE),0)</f>
        <v>0</v>
      </c>
      <c r="K31" s="45">
        <f t="shared" si="34"/>
        <v>0</v>
      </c>
      <c r="AD31" s="144" t="str">
        <f t="shared" si="3"/>
        <v>Pintura de Ligação</v>
      </c>
      <c r="AE31" s="179"/>
      <c r="AF31" s="180">
        <f t="shared" si="20"/>
        <v>0</v>
      </c>
      <c r="AG31" s="180">
        <f t="shared" si="17"/>
        <v>0</v>
      </c>
      <c r="AH31" s="181">
        <f t="shared" si="21"/>
        <v>0</v>
      </c>
      <c r="AI31" s="182"/>
      <c r="AJ31" s="90"/>
      <c r="AK31" s="90"/>
      <c r="AL31" s="183">
        <f t="shared" si="22"/>
        <v>0</v>
      </c>
      <c r="AM31" s="182"/>
      <c r="AN31" s="90"/>
      <c r="AO31" s="90"/>
      <c r="AP31" s="183">
        <f t="shared" si="23"/>
        <v>0</v>
      </c>
      <c r="AQ31" s="182"/>
      <c r="AR31" s="90"/>
      <c r="AS31" s="90"/>
      <c r="AT31" s="183">
        <f t="shared" si="24"/>
        <v>0</v>
      </c>
      <c r="AU31" s="182"/>
      <c r="AV31" s="90"/>
      <c r="AW31" s="90"/>
      <c r="AX31" s="183">
        <f t="shared" si="25"/>
        <v>0</v>
      </c>
      <c r="AY31" s="182"/>
      <c r="AZ31" s="90"/>
      <c r="BA31" s="90"/>
      <c r="BB31" s="183">
        <f t="shared" si="26"/>
        <v>0</v>
      </c>
      <c r="BC31" s="182"/>
      <c r="BD31" s="90"/>
      <c r="BE31" s="90"/>
      <c r="BF31" s="183">
        <f t="shared" si="27"/>
        <v>0</v>
      </c>
      <c r="BG31" s="182"/>
      <c r="BH31" s="90"/>
      <c r="BI31" s="90"/>
      <c r="BJ31" s="183">
        <f t="shared" si="28"/>
        <v>0</v>
      </c>
      <c r="BK31" s="182"/>
      <c r="BL31" s="90"/>
      <c r="BM31" s="90"/>
      <c r="BN31" s="183">
        <f t="shared" si="29"/>
        <v>0</v>
      </c>
      <c r="BO31" s="182"/>
      <c r="BP31" s="90"/>
      <c r="BQ31" s="90"/>
      <c r="BR31" s="183">
        <f t="shared" si="30"/>
        <v>0</v>
      </c>
      <c r="BS31" s="182"/>
      <c r="BT31" s="90"/>
      <c r="BU31" s="90"/>
      <c r="BV31" s="183">
        <f t="shared" si="31"/>
        <v>0</v>
      </c>
      <c r="BW31" s="182"/>
      <c r="BX31" s="90"/>
      <c r="BY31" s="90"/>
      <c r="BZ31" s="183">
        <f t="shared" si="32"/>
        <v>0</v>
      </c>
      <c r="CA31" s="182"/>
      <c r="CB31" s="90"/>
      <c r="CC31" s="90"/>
      <c r="CD31" s="183">
        <f t="shared" si="33"/>
        <v>0</v>
      </c>
    </row>
    <row r="32" spans="2:82" x14ac:dyDescent="0.3">
      <c r="B32" s="53"/>
      <c r="C32" s="53" t="str">
        <f t="shared" si="0"/>
        <v>CPU_PinturadeLigação</v>
      </c>
      <c r="D32" s="278">
        <f t="shared" si="1"/>
        <v>2917</v>
      </c>
      <c r="E32" s="278">
        <f t="shared" si="2"/>
        <v>368333.33</v>
      </c>
      <c r="F32" s="1"/>
      <c r="G32" s="28" t="str">
        <f>IFERROR(VLOOKUP(F32,Tabela7[[RECURSO]:[CUSTO]],2,FALSE),"")</f>
        <v/>
      </c>
      <c r="H32" s="93"/>
      <c r="I32" s="90"/>
      <c r="J32" s="45">
        <f>IFERROR(VLOOKUP(F32,Tabela7[[RECURSO]:[CUSTO]],3,FALSE),0)</f>
        <v>0</v>
      </c>
      <c r="K32" s="45">
        <f t="shared" si="34"/>
        <v>0</v>
      </c>
      <c r="AD32" s="144" t="str">
        <f t="shared" si="3"/>
        <v>Pintura de Ligação</v>
      </c>
      <c r="AE32" s="179"/>
      <c r="AF32" s="180">
        <f t="shared" si="20"/>
        <v>0</v>
      </c>
      <c r="AG32" s="180">
        <f t="shared" si="17"/>
        <v>0</v>
      </c>
      <c r="AH32" s="181">
        <f t="shared" si="21"/>
        <v>0</v>
      </c>
      <c r="AI32" s="182"/>
      <c r="AJ32" s="90"/>
      <c r="AK32" s="90"/>
      <c r="AL32" s="183">
        <f t="shared" si="22"/>
        <v>0</v>
      </c>
      <c r="AM32" s="182"/>
      <c r="AN32" s="90"/>
      <c r="AO32" s="90"/>
      <c r="AP32" s="183">
        <f t="shared" si="23"/>
        <v>0</v>
      </c>
      <c r="AQ32" s="182"/>
      <c r="AR32" s="90"/>
      <c r="AS32" s="90"/>
      <c r="AT32" s="183">
        <f t="shared" si="24"/>
        <v>0</v>
      </c>
      <c r="AU32" s="182"/>
      <c r="AV32" s="90"/>
      <c r="AW32" s="90"/>
      <c r="AX32" s="183">
        <f t="shared" si="25"/>
        <v>0</v>
      </c>
      <c r="AY32" s="182"/>
      <c r="AZ32" s="90"/>
      <c r="BA32" s="90"/>
      <c r="BB32" s="183">
        <f t="shared" si="26"/>
        <v>0</v>
      </c>
      <c r="BC32" s="182"/>
      <c r="BD32" s="90"/>
      <c r="BE32" s="90"/>
      <c r="BF32" s="183">
        <f t="shared" si="27"/>
        <v>0</v>
      </c>
      <c r="BG32" s="182"/>
      <c r="BH32" s="90"/>
      <c r="BI32" s="90"/>
      <c r="BJ32" s="183">
        <f t="shared" si="28"/>
        <v>0</v>
      </c>
      <c r="BK32" s="182"/>
      <c r="BL32" s="90"/>
      <c r="BM32" s="90"/>
      <c r="BN32" s="183">
        <f t="shared" si="29"/>
        <v>0</v>
      </c>
      <c r="BO32" s="182"/>
      <c r="BP32" s="90"/>
      <c r="BQ32" s="90"/>
      <c r="BR32" s="183">
        <f t="shared" si="30"/>
        <v>0</v>
      </c>
      <c r="BS32" s="182"/>
      <c r="BT32" s="90"/>
      <c r="BU32" s="90"/>
      <c r="BV32" s="183">
        <f t="shared" si="31"/>
        <v>0</v>
      </c>
      <c r="BW32" s="182"/>
      <c r="BX32" s="90"/>
      <c r="BY32" s="90"/>
      <c r="BZ32" s="183">
        <f t="shared" si="32"/>
        <v>0</v>
      </c>
      <c r="CA32" s="182"/>
      <c r="CB32" s="90"/>
      <c r="CC32" s="90"/>
      <c r="CD32" s="183">
        <f t="shared" si="33"/>
        <v>0</v>
      </c>
    </row>
    <row r="33" spans="2:82" x14ac:dyDescent="0.3">
      <c r="B33" s="53"/>
      <c r="C33" s="53" t="str">
        <f t="shared" si="0"/>
        <v>CPU_PinturadeLigação</v>
      </c>
      <c r="D33" s="278">
        <f t="shared" si="1"/>
        <v>2917</v>
      </c>
      <c r="E33" s="278">
        <f t="shared" si="2"/>
        <v>368333.33</v>
      </c>
      <c r="F33" s="1"/>
      <c r="G33" s="28" t="str">
        <f>IFERROR(VLOOKUP(F33,Tabela7[[RECURSO]:[CUSTO]],2,FALSE),"")</f>
        <v/>
      </c>
      <c r="H33" s="93"/>
      <c r="I33" s="90"/>
      <c r="J33" s="45">
        <f>IFERROR(VLOOKUP(F33,Tabela7[[RECURSO]:[CUSTO]],3,FALSE),0)</f>
        <v>0</v>
      </c>
      <c r="K33" s="45">
        <f t="shared" si="34"/>
        <v>0</v>
      </c>
      <c r="AD33" s="144" t="str">
        <f t="shared" si="3"/>
        <v>Pintura de Ligação</v>
      </c>
      <c r="AE33" s="179"/>
      <c r="AF33" s="180">
        <f t="shared" si="20"/>
        <v>0</v>
      </c>
      <c r="AG33" s="180">
        <f t="shared" si="17"/>
        <v>0</v>
      </c>
      <c r="AH33" s="181">
        <f t="shared" si="21"/>
        <v>0</v>
      </c>
      <c r="AI33" s="182"/>
      <c r="AJ33" s="90"/>
      <c r="AK33" s="90"/>
      <c r="AL33" s="183">
        <f t="shared" si="22"/>
        <v>0</v>
      </c>
      <c r="AM33" s="182"/>
      <c r="AN33" s="90"/>
      <c r="AO33" s="90"/>
      <c r="AP33" s="183">
        <f t="shared" si="23"/>
        <v>0</v>
      </c>
      <c r="AQ33" s="182"/>
      <c r="AR33" s="90"/>
      <c r="AS33" s="90"/>
      <c r="AT33" s="183">
        <f t="shared" si="24"/>
        <v>0</v>
      </c>
      <c r="AU33" s="182"/>
      <c r="AV33" s="90"/>
      <c r="AW33" s="90"/>
      <c r="AX33" s="183">
        <f t="shared" si="25"/>
        <v>0</v>
      </c>
      <c r="AY33" s="182"/>
      <c r="AZ33" s="90"/>
      <c r="BA33" s="90"/>
      <c r="BB33" s="183">
        <f t="shared" si="26"/>
        <v>0</v>
      </c>
      <c r="BC33" s="182"/>
      <c r="BD33" s="90"/>
      <c r="BE33" s="90"/>
      <c r="BF33" s="183">
        <f t="shared" si="27"/>
        <v>0</v>
      </c>
      <c r="BG33" s="182"/>
      <c r="BH33" s="90"/>
      <c r="BI33" s="90"/>
      <c r="BJ33" s="183">
        <f t="shared" si="28"/>
        <v>0</v>
      </c>
      <c r="BK33" s="182"/>
      <c r="BL33" s="90"/>
      <c r="BM33" s="90"/>
      <c r="BN33" s="183">
        <f t="shared" si="29"/>
        <v>0</v>
      </c>
      <c r="BO33" s="182"/>
      <c r="BP33" s="90"/>
      <c r="BQ33" s="90"/>
      <c r="BR33" s="183">
        <f t="shared" si="30"/>
        <v>0</v>
      </c>
      <c r="BS33" s="182"/>
      <c r="BT33" s="90"/>
      <c r="BU33" s="90"/>
      <c r="BV33" s="183">
        <f t="shared" si="31"/>
        <v>0</v>
      </c>
      <c r="BW33" s="182"/>
      <c r="BX33" s="90"/>
      <c r="BY33" s="90"/>
      <c r="BZ33" s="183">
        <f t="shared" si="32"/>
        <v>0</v>
      </c>
      <c r="CA33" s="182"/>
      <c r="CB33" s="90"/>
      <c r="CC33" s="90"/>
      <c r="CD33" s="183">
        <f t="shared" si="33"/>
        <v>0</v>
      </c>
    </row>
    <row r="34" spans="2:82" x14ac:dyDescent="0.3">
      <c r="B34" s="53"/>
      <c r="C34" s="53" t="str">
        <f t="shared" si="0"/>
        <v>CPU_PinturadeLigação</v>
      </c>
      <c r="D34" s="278">
        <f t="shared" si="1"/>
        <v>2917</v>
      </c>
      <c r="E34" s="278">
        <f t="shared" si="2"/>
        <v>368333.33</v>
      </c>
      <c r="F34" s="1"/>
      <c r="G34" s="28" t="str">
        <f>IFERROR(VLOOKUP(F34,Tabela7[[RECURSO]:[CUSTO]],2,FALSE),"")</f>
        <v/>
      </c>
      <c r="H34" s="93"/>
      <c r="I34" s="90"/>
      <c r="J34" s="45">
        <f>IFERROR(VLOOKUP(F34,Tabela7[[RECURSO]:[CUSTO]],3,FALSE),0)</f>
        <v>0</v>
      </c>
      <c r="K34" s="45">
        <f t="shared" si="34"/>
        <v>0</v>
      </c>
      <c r="AD34" s="144" t="str">
        <f t="shared" si="3"/>
        <v>Pintura de Ligação</v>
      </c>
      <c r="AE34" s="179"/>
      <c r="AF34" s="180">
        <f t="shared" si="20"/>
        <v>0</v>
      </c>
      <c r="AG34" s="180">
        <f t="shared" si="17"/>
        <v>0</v>
      </c>
      <c r="AH34" s="181">
        <f t="shared" si="21"/>
        <v>0</v>
      </c>
      <c r="AI34" s="182"/>
      <c r="AJ34" s="90"/>
      <c r="AK34" s="90"/>
      <c r="AL34" s="183">
        <f t="shared" si="22"/>
        <v>0</v>
      </c>
      <c r="AM34" s="182"/>
      <c r="AN34" s="90"/>
      <c r="AO34" s="90"/>
      <c r="AP34" s="183">
        <f t="shared" si="23"/>
        <v>0</v>
      </c>
      <c r="AQ34" s="182"/>
      <c r="AR34" s="90"/>
      <c r="AS34" s="90"/>
      <c r="AT34" s="183">
        <f t="shared" si="24"/>
        <v>0</v>
      </c>
      <c r="AU34" s="182"/>
      <c r="AV34" s="90"/>
      <c r="AW34" s="90"/>
      <c r="AX34" s="183">
        <f t="shared" si="25"/>
        <v>0</v>
      </c>
      <c r="AY34" s="182"/>
      <c r="AZ34" s="90"/>
      <c r="BA34" s="90"/>
      <c r="BB34" s="183">
        <f t="shared" si="26"/>
        <v>0</v>
      </c>
      <c r="BC34" s="182"/>
      <c r="BD34" s="90"/>
      <c r="BE34" s="90"/>
      <c r="BF34" s="183">
        <f t="shared" si="27"/>
        <v>0</v>
      </c>
      <c r="BG34" s="182"/>
      <c r="BH34" s="90"/>
      <c r="BI34" s="90"/>
      <c r="BJ34" s="183">
        <f t="shared" si="28"/>
        <v>0</v>
      </c>
      <c r="BK34" s="182"/>
      <c r="BL34" s="90"/>
      <c r="BM34" s="90"/>
      <c r="BN34" s="183">
        <f t="shared" si="29"/>
        <v>0</v>
      </c>
      <c r="BO34" s="182"/>
      <c r="BP34" s="90"/>
      <c r="BQ34" s="90"/>
      <c r="BR34" s="183">
        <f t="shared" si="30"/>
        <v>0</v>
      </c>
      <c r="BS34" s="182"/>
      <c r="BT34" s="90"/>
      <c r="BU34" s="90"/>
      <c r="BV34" s="183">
        <f t="shared" si="31"/>
        <v>0</v>
      </c>
      <c r="BW34" s="182"/>
      <c r="BX34" s="90"/>
      <c r="BY34" s="90"/>
      <c r="BZ34" s="183">
        <f t="shared" si="32"/>
        <v>0</v>
      </c>
      <c r="CA34" s="182"/>
      <c r="CB34" s="90"/>
      <c r="CC34" s="90"/>
      <c r="CD34" s="183">
        <f t="shared" si="33"/>
        <v>0</v>
      </c>
    </row>
    <row r="35" spans="2:82" x14ac:dyDescent="0.3">
      <c r="B35" s="53"/>
      <c r="C35" s="53" t="str">
        <f t="shared" si="0"/>
        <v>CPU_PinturadeLigação</v>
      </c>
      <c r="D35" s="278">
        <f t="shared" si="1"/>
        <v>2917</v>
      </c>
      <c r="E35" s="278">
        <f t="shared" si="2"/>
        <v>368333.33</v>
      </c>
      <c r="F35" s="1"/>
      <c r="G35" s="28" t="str">
        <f>IFERROR(VLOOKUP(F35,Tabela7[[RECURSO]:[CUSTO]],2,FALSE),"")</f>
        <v/>
      </c>
      <c r="H35" s="93"/>
      <c r="I35" s="90"/>
      <c r="J35" s="45">
        <f>IFERROR(VLOOKUP(F35,Tabela7[[RECURSO]:[CUSTO]],3,FALSE),0)</f>
        <v>0</v>
      </c>
      <c r="K35" s="45">
        <f t="shared" si="34"/>
        <v>0</v>
      </c>
      <c r="AD35" s="144" t="str">
        <f t="shared" si="3"/>
        <v>Pintura de Ligação</v>
      </c>
      <c r="AE35" s="179"/>
      <c r="AF35" s="180">
        <f t="shared" si="20"/>
        <v>0</v>
      </c>
      <c r="AG35" s="180">
        <f t="shared" si="17"/>
        <v>0</v>
      </c>
      <c r="AH35" s="181">
        <f t="shared" si="21"/>
        <v>0</v>
      </c>
      <c r="AI35" s="182"/>
      <c r="AJ35" s="90"/>
      <c r="AK35" s="90"/>
      <c r="AL35" s="183">
        <f t="shared" si="22"/>
        <v>0</v>
      </c>
      <c r="AM35" s="182"/>
      <c r="AN35" s="90"/>
      <c r="AO35" s="90"/>
      <c r="AP35" s="183">
        <f t="shared" si="23"/>
        <v>0</v>
      </c>
      <c r="AQ35" s="182"/>
      <c r="AR35" s="90"/>
      <c r="AS35" s="90"/>
      <c r="AT35" s="183">
        <f t="shared" si="24"/>
        <v>0</v>
      </c>
      <c r="AU35" s="182"/>
      <c r="AV35" s="90"/>
      <c r="AW35" s="90"/>
      <c r="AX35" s="183">
        <f t="shared" si="25"/>
        <v>0</v>
      </c>
      <c r="AY35" s="182"/>
      <c r="AZ35" s="90"/>
      <c r="BA35" s="90"/>
      <c r="BB35" s="183">
        <f t="shared" si="26"/>
        <v>0</v>
      </c>
      <c r="BC35" s="182"/>
      <c r="BD35" s="90"/>
      <c r="BE35" s="90"/>
      <c r="BF35" s="183">
        <f t="shared" si="27"/>
        <v>0</v>
      </c>
      <c r="BG35" s="182"/>
      <c r="BH35" s="90"/>
      <c r="BI35" s="90"/>
      <c r="BJ35" s="183">
        <f t="shared" si="28"/>
        <v>0</v>
      </c>
      <c r="BK35" s="182"/>
      <c r="BL35" s="90"/>
      <c r="BM35" s="90"/>
      <c r="BN35" s="183">
        <f t="shared" si="29"/>
        <v>0</v>
      </c>
      <c r="BO35" s="182"/>
      <c r="BP35" s="90"/>
      <c r="BQ35" s="90"/>
      <c r="BR35" s="183">
        <f t="shared" si="30"/>
        <v>0</v>
      </c>
      <c r="BS35" s="182"/>
      <c r="BT35" s="90"/>
      <c r="BU35" s="90"/>
      <c r="BV35" s="183">
        <f t="shared" si="31"/>
        <v>0</v>
      </c>
      <c r="BW35" s="182"/>
      <c r="BX35" s="90"/>
      <c r="BY35" s="90"/>
      <c r="BZ35" s="183">
        <f t="shared" si="32"/>
        <v>0</v>
      </c>
      <c r="CA35" s="182"/>
      <c r="CB35" s="90"/>
      <c r="CC35" s="90"/>
      <c r="CD35" s="183">
        <f t="shared" si="33"/>
        <v>0</v>
      </c>
    </row>
    <row r="36" spans="2:82" x14ac:dyDescent="0.3">
      <c r="B36" s="53"/>
      <c r="C36" s="53" t="str">
        <f t="shared" si="0"/>
        <v>CPU_PinturadeLigação</v>
      </c>
      <c r="D36" s="278">
        <f t="shared" si="1"/>
        <v>2917</v>
      </c>
      <c r="E36" s="278">
        <f t="shared" si="2"/>
        <v>368333.33</v>
      </c>
      <c r="F36" s="1"/>
      <c r="G36" s="28" t="str">
        <f>IFERROR(VLOOKUP(F36,Tabela7[[RECURSO]:[CUSTO]],2,FALSE),"")</f>
        <v/>
      </c>
      <c r="H36" s="93"/>
      <c r="I36" s="90"/>
      <c r="J36" s="45">
        <f>IFERROR(VLOOKUP(F36,Tabela7[[RECURSO]:[CUSTO]],3,FALSE),0)</f>
        <v>0</v>
      </c>
      <c r="K36" s="45">
        <f t="shared" si="34"/>
        <v>0</v>
      </c>
      <c r="AD36" s="144" t="str">
        <f t="shared" si="3"/>
        <v>Pintura de Ligação</v>
      </c>
      <c r="AE36" s="179"/>
      <c r="AF36" s="180">
        <f t="shared" si="20"/>
        <v>0</v>
      </c>
      <c r="AG36" s="180">
        <f t="shared" si="17"/>
        <v>0</v>
      </c>
      <c r="AH36" s="181">
        <f t="shared" si="21"/>
        <v>0</v>
      </c>
      <c r="AI36" s="182"/>
      <c r="AJ36" s="90"/>
      <c r="AK36" s="90"/>
      <c r="AL36" s="183">
        <f t="shared" si="22"/>
        <v>0</v>
      </c>
      <c r="AM36" s="182"/>
      <c r="AN36" s="90"/>
      <c r="AO36" s="90"/>
      <c r="AP36" s="183">
        <f t="shared" si="23"/>
        <v>0</v>
      </c>
      <c r="AQ36" s="182"/>
      <c r="AR36" s="90"/>
      <c r="AS36" s="90"/>
      <c r="AT36" s="183">
        <f t="shared" si="24"/>
        <v>0</v>
      </c>
      <c r="AU36" s="182"/>
      <c r="AV36" s="90"/>
      <c r="AW36" s="90"/>
      <c r="AX36" s="183">
        <f t="shared" si="25"/>
        <v>0</v>
      </c>
      <c r="AY36" s="182"/>
      <c r="AZ36" s="90"/>
      <c r="BA36" s="90"/>
      <c r="BB36" s="183">
        <f t="shared" si="26"/>
        <v>0</v>
      </c>
      <c r="BC36" s="182"/>
      <c r="BD36" s="90"/>
      <c r="BE36" s="90"/>
      <c r="BF36" s="183">
        <f t="shared" si="27"/>
        <v>0</v>
      </c>
      <c r="BG36" s="182"/>
      <c r="BH36" s="90"/>
      <c r="BI36" s="90"/>
      <c r="BJ36" s="183">
        <f t="shared" si="28"/>
        <v>0</v>
      </c>
      <c r="BK36" s="182"/>
      <c r="BL36" s="90"/>
      <c r="BM36" s="90"/>
      <c r="BN36" s="183">
        <f t="shared" si="29"/>
        <v>0</v>
      </c>
      <c r="BO36" s="182"/>
      <c r="BP36" s="90"/>
      <c r="BQ36" s="90"/>
      <c r="BR36" s="183">
        <f t="shared" si="30"/>
        <v>0</v>
      </c>
      <c r="BS36" s="182"/>
      <c r="BT36" s="90"/>
      <c r="BU36" s="90"/>
      <c r="BV36" s="183">
        <f t="shared" si="31"/>
        <v>0</v>
      </c>
      <c r="BW36" s="182"/>
      <c r="BX36" s="90"/>
      <c r="BY36" s="90"/>
      <c r="BZ36" s="183">
        <f t="shared" si="32"/>
        <v>0</v>
      </c>
      <c r="CA36" s="182"/>
      <c r="CB36" s="90"/>
      <c r="CC36" s="90"/>
      <c r="CD36" s="183">
        <f t="shared" si="33"/>
        <v>0</v>
      </c>
    </row>
    <row r="37" spans="2:82" x14ac:dyDescent="0.3">
      <c r="B37" s="52" t="s">
        <v>692</v>
      </c>
      <c r="C37" s="52" t="str">
        <f t="shared" si="0"/>
        <v>CPU_PinturadeLigação</v>
      </c>
      <c r="D37" s="277">
        <f t="shared" si="1"/>
        <v>2917</v>
      </c>
      <c r="E37" s="277">
        <f t="shared" si="2"/>
        <v>368333.33</v>
      </c>
      <c r="F37" s="37"/>
      <c r="G37" s="38"/>
      <c r="H37" s="91"/>
      <c r="I37" s="40"/>
      <c r="J37" s="40">
        <f>IFERROR(K37/$B$6,0)</f>
        <v>0.34672422847439205</v>
      </c>
      <c r="K37" s="40">
        <f>SUM(K38:K49)</f>
        <v>1011.3945744598017</v>
      </c>
      <c r="N37" s="39"/>
      <c r="AD37" s="144" t="str">
        <f t="shared" si="3"/>
        <v>Pintura de Ligação</v>
      </c>
      <c r="AE37" s="184"/>
      <c r="AF37" s="40"/>
      <c r="AG37" s="40">
        <f>IFERROR(AH37/AF$3,0)</f>
        <v>0</v>
      </c>
      <c r="AH37" s="185">
        <f>SUM(AH38:AH49)</f>
        <v>0</v>
      </c>
      <c r="AI37" s="184"/>
      <c r="AJ37" s="40"/>
      <c r="AK37" s="40">
        <f>IFERROR(AL37/AJ$3,0)</f>
        <v>0</v>
      </c>
      <c r="AL37" s="185">
        <f>SUM(AL38:AL49)</f>
        <v>0</v>
      </c>
      <c r="AM37" s="184"/>
      <c r="AN37" s="40"/>
      <c r="AO37" s="40">
        <f>IFERROR(AP37/AN$3,0)</f>
        <v>0</v>
      </c>
      <c r="AP37" s="185">
        <f>SUM(AP38:AP49)</f>
        <v>0</v>
      </c>
      <c r="AQ37" s="184"/>
      <c r="AR37" s="40"/>
      <c r="AS37" s="40">
        <f>IFERROR(AT37/AR$3,0)</f>
        <v>0</v>
      </c>
      <c r="AT37" s="185">
        <f>SUM(AT38:AT49)</f>
        <v>0</v>
      </c>
      <c r="AU37" s="184"/>
      <c r="AV37" s="40"/>
      <c r="AW37" s="40">
        <f>IFERROR(AX37/AV$3,0)</f>
        <v>0</v>
      </c>
      <c r="AX37" s="185">
        <f>SUM(AX38:AX49)</f>
        <v>0</v>
      </c>
      <c r="AY37" s="184"/>
      <c r="AZ37" s="40"/>
      <c r="BA37" s="40">
        <f>IFERROR(BB37/AZ$3,0)</f>
        <v>0</v>
      </c>
      <c r="BB37" s="185">
        <f>SUM(BB38:BB49)</f>
        <v>0</v>
      </c>
      <c r="BC37" s="184"/>
      <c r="BD37" s="40"/>
      <c r="BE37" s="40">
        <f>IFERROR(BF37/BD$3,0)</f>
        <v>0</v>
      </c>
      <c r="BF37" s="185">
        <f>SUM(BF38:BF49)</f>
        <v>0</v>
      </c>
      <c r="BG37" s="184"/>
      <c r="BH37" s="40"/>
      <c r="BI37" s="40">
        <f>IFERROR(BJ37/BH$3,0)</f>
        <v>0</v>
      </c>
      <c r="BJ37" s="185">
        <f>SUM(BJ38:BJ49)</f>
        <v>0</v>
      </c>
      <c r="BK37" s="184"/>
      <c r="BL37" s="40"/>
      <c r="BM37" s="40">
        <f>IFERROR(BN37/BL$3,0)</f>
        <v>0</v>
      </c>
      <c r="BN37" s="185">
        <f>SUM(BN38:BN49)</f>
        <v>0</v>
      </c>
      <c r="BO37" s="184"/>
      <c r="BP37" s="40"/>
      <c r="BQ37" s="40">
        <f>IFERROR(BR37/BP$3,0)</f>
        <v>0</v>
      </c>
      <c r="BR37" s="185">
        <f>SUM(BR38:BR49)</f>
        <v>0</v>
      </c>
      <c r="BS37" s="184"/>
      <c r="BT37" s="40"/>
      <c r="BU37" s="40">
        <f>IFERROR(BV37/BT$3,0)</f>
        <v>0</v>
      </c>
      <c r="BV37" s="185">
        <f>SUM(BV38:BV49)</f>
        <v>0</v>
      </c>
      <c r="BW37" s="184"/>
      <c r="BX37" s="40"/>
      <c r="BY37" s="40">
        <f>IFERROR(BZ37/BX$3,0)</f>
        <v>0</v>
      </c>
      <c r="BZ37" s="185">
        <f>SUM(BZ38:BZ49)</f>
        <v>0</v>
      </c>
      <c r="CA37" s="184"/>
      <c r="CB37" s="40"/>
      <c r="CC37" s="40">
        <f>IFERROR(CD37/CB$3,0)</f>
        <v>0</v>
      </c>
      <c r="CD37" s="185">
        <f>SUM(CD38:CD49)</f>
        <v>0</v>
      </c>
    </row>
    <row r="38" spans="2:82" x14ac:dyDescent="0.3">
      <c r="B38" s="54"/>
      <c r="C38" s="54" t="str">
        <f t="shared" si="0"/>
        <v>CPU_PinturadeLigação</v>
      </c>
      <c r="D38" s="280">
        <f t="shared" si="1"/>
        <v>2917</v>
      </c>
      <c r="E38" s="280">
        <f t="shared" si="2"/>
        <v>368333.33</v>
      </c>
      <c r="F38" s="1" t="s">
        <v>884</v>
      </c>
      <c r="G38" s="28" t="str">
        <f>IFERROR(VLOOKUP(F38,Tabela7[[RECURSO]:[CUSTO]],2,FALSE),"")</f>
        <v>H</v>
      </c>
      <c r="H38" s="92">
        <f>H12</f>
        <v>1</v>
      </c>
      <c r="I38" s="90">
        <v>10</v>
      </c>
      <c r="J38" s="45">
        <f>IFERROR(VLOOKUP(F38,Tabela7[[RECURSO]:[CUSTO]],3,FALSE),0)</f>
        <v>50.569728722990085</v>
      </c>
      <c r="K38" s="45">
        <f>I38*J38*CPU_63[[#This Row],[Nº]]</f>
        <v>505.69728722990084</v>
      </c>
      <c r="AD38" s="144" t="str">
        <f t="shared" si="3"/>
        <v>Pintura de Ligação</v>
      </c>
      <c r="AE38" s="186"/>
      <c r="AF38" s="180">
        <f t="shared" ref="AF38:AF49" si="35">AJ38+AN38+AR38+AV38+AZ38+BD38+BH38+BL38+BP38+BT38+BX38+CB38</f>
        <v>0</v>
      </c>
      <c r="AG38" s="180">
        <f t="shared" si="17"/>
        <v>0</v>
      </c>
      <c r="AH38" s="181">
        <f t="shared" ref="AH38:AH49" si="36">AL38+AP38+AT38+AX38+BB38+BF38+BJ38+BN38+BR38+BV38+BZ38+CD38</f>
        <v>0</v>
      </c>
      <c r="AI38" s="187"/>
      <c r="AJ38" s="90"/>
      <c r="AK38" s="90"/>
      <c r="AL38" s="183">
        <f t="shared" ref="AL38:AL49" si="37">AJ38*AK38</f>
        <v>0</v>
      </c>
      <c r="AM38" s="187"/>
      <c r="AN38" s="90"/>
      <c r="AO38" s="90"/>
      <c r="AP38" s="183">
        <f t="shared" si="23"/>
        <v>0</v>
      </c>
      <c r="AQ38" s="187"/>
      <c r="AR38" s="90"/>
      <c r="AS38" s="90"/>
      <c r="AT38" s="183">
        <f t="shared" si="24"/>
        <v>0</v>
      </c>
      <c r="AU38" s="187"/>
      <c r="AV38" s="90"/>
      <c r="AW38" s="90"/>
      <c r="AX38" s="183">
        <f t="shared" si="25"/>
        <v>0</v>
      </c>
      <c r="AY38" s="187"/>
      <c r="AZ38" s="90"/>
      <c r="BA38" s="90"/>
      <c r="BB38" s="183">
        <f t="shared" si="26"/>
        <v>0</v>
      </c>
      <c r="BC38" s="187"/>
      <c r="BD38" s="90"/>
      <c r="BE38" s="90"/>
      <c r="BF38" s="183">
        <f t="shared" si="27"/>
        <v>0</v>
      </c>
      <c r="BG38" s="187"/>
      <c r="BH38" s="90"/>
      <c r="BI38" s="90"/>
      <c r="BJ38" s="183">
        <f t="shared" si="28"/>
        <v>0</v>
      </c>
      <c r="BK38" s="187"/>
      <c r="BL38" s="90"/>
      <c r="BM38" s="90"/>
      <c r="BN38" s="183">
        <f t="shared" si="29"/>
        <v>0</v>
      </c>
      <c r="BO38" s="187"/>
      <c r="BP38" s="90"/>
      <c r="BQ38" s="90"/>
      <c r="BR38" s="183">
        <f t="shared" si="30"/>
        <v>0</v>
      </c>
      <c r="BS38" s="187"/>
      <c r="BT38" s="90"/>
      <c r="BU38" s="90"/>
      <c r="BV38" s="183">
        <f t="shared" si="31"/>
        <v>0</v>
      </c>
      <c r="BW38" s="187"/>
      <c r="BX38" s="90"/>
      <c r="BY38" s="90"/>
      <c r="BZ38" s="183">
        <f t="shared" si="32"/>
        <v>0</v>
      </c>
      <c r="CA38" s="187"/>
      <c r="CB38" s="90"/>
      <c r="CC38" s="90"/>
      <c r="CD38" s="183">
        <f t="shared" si="33"/>
        <v>0</v>
      </c>
    </row>
    <row r="39" spans="2:82" x14ac:dyDescent="0.3">
      <c r="B39" s="54"/>
      <c r="C39" s="54" t="str">
        <f t="shared" si="0"/>
        <v>CPU_PinturadeLigação</v>
      </c>
      <c r="D39" s="280">
        <f t="shared" si="1"/>
        <v>2917</v>
      </c>
      <c r="E39" s="280">
        <f t="shared" si="2"/>
        <v>368333.33</v>
      </c>
      <c r="F39" s="1" t="s">
        <v>885</v>
      </c>
      <c r="G39" s="28" t="str">
        <f>IFERROR(VLOOKUP(F39,Tabela7[[RECURSO]:[CUSTO]],2,FALSE),"")</f>
        <v>H</v>
      </c>
      <c r="H39" s="92">
        <f>H12</f>
        <v>1</v>
      </c>
      <c r="I39" s="90">
        <v>10</v>
      </c>
      <c r="J39" s="45">
        <f>IFERROR(VLOOKUP(F39,Tabela7[[RECURSO]:[CUSTO]],3,FALSE),0)</f>
        <v>50.569728722990085</v>
      </c>
      <c r="K39" s="45">
        <f>I39*J39*CPU_63[[#This Row],[Nº]]</f>
        <v>505.69728722990084</v>
      </c>
      <c r="AD39" s="144" t="str">
        <f t="shared" si="3"/>
        <v>Pintura de Ligação</v>
      </c>
      <c r="AE39" s="186"/>
      <c r="AF39" s="180">
        <f t="shared" si="35"/>
        <v>0</v>
      </c>
      <c r="AG39" s="180">
        <f t="shared" si="17"/>
        <v>0</v>
      </c>
      <c r="AH39" s="181">
        <f t="shared" si="36"/>
        <v>0</v>
      </c>
      <c r="AI39" s="187"/>
      <c r="AJ39" s="90"/>
      <c r="AK39" s="90"/>
      <c r="AL39" s="183">
        <f t="shared" si="37"/>
        <v>0</v>
      </c>
      <c r="AM39" s="187"/>
      <c r="AN39" s="90"/>
      <c r="AO39" s="90"/>
      <c r="AP39" s="183">
        <f t="shared" si="23"/>
        <v>0</v>
      </c>
      <c r="AQ39" s="187"/>
      <c r="AR39" s="90"/>
      <c r="AS39" s="90"/>
      <c r="AT39" s="183">
        <f t="shared" si="24"/>
        <v>0</v>
      </c>
      <c r="AU39" s="187"/>
      <c r="AV39" s="90"/>
      <c r="AW39" s="90"/>
      <c r="AX39" s="183">
        <f t="shared" si="25"/>
        <v>0</v>
      </c>
      <c r="AY39" s="187"/>
      <c r="AZ39" s="90"/>
      <c r="BA39" s="90"/>
      <c r="BB39" s="183">
        <f t="shared" si="26"/>
        <v>0</v>
      </c>
      <c r="BC39" s="187"/>
      <c r="BD39" s="90"/>
      <c r="BE39" s="90"/>
      <c r="BF39" s="183">
        <f t="shared" si="27"/>
        <v>0</v>
      </c>
      <c r="BG39" s="187"/>
      <c r="BH39" s="90"/>
      <c r="BI39" s="90"/>
      <c r="BJ39" s="183">
        <f t="shared" si="28"/>
        <v>0</v>
      </c>
      <c r="BK39" s="187"/>
      <c r="BL39" s="90"/>
      <c r="BM39" s="90"/>
      <c r="BN39" s="183">
        <f t="shared" si="29"/>
        <v>0</v>
      </c>
      <c r="BO39" s="187"/>
      <c r="BP39" s="90"/>
      <c r="BQ39" s="90"/>
      <c r="BR39" s="183">
        <f t="shared" si="30"/>
        <v>0</v>
      </c>
      <c r="BS39" s="187"/>
      <c r="BT39" s="90"/>
      <c r="BU39" s="90"/>
      <c r="BV39" s="183">
        <f t="shared" si="31"/>
        <v>0</v>
      </c>
      <c r="BW39" s="187"/>
      <c r="BX39" s="90"/>
      <c r="BY39" s="90"/>
      <c r="BZ39" s="183">
        <f t="shared" si="32"/>
        <v>0</v>
      </c>
      <c r="CA39" s="187"/>
      <c r="CB39" s="90"/>
      <c r="CC39" s="90"/>
      <c r="CD39" s="183">
        <f t="shared" si="33"/>
        <v>0</v>
      </c>
    </row>
    <row r="40" spans="2:82" x14ac:dyDescent="0.3">
      <c r="B40" s="54"/>
      <c r="C40" s="54" t="str">
        <f t="shared" si="0"/>
        <v>CPU_PinturadeLigação</v>
      </c>
      <c r="D40" s="280">
        <f t="shared" si="1"/>
        <v>2917</v>
      </c>
      <c r="E40" s="280">
        <f t="shared" si="2"/>
        <v>368333.33</v>
      </c>
      <c r="F40" s="1"/>
      <c r="G40" s="28" t="str">
        <f>IFERROR(VLOOKUP(F40,Tabela7[[RECURSO]:[CUSTO]],2,FALSE),"")</f>
        <v/>
      </c>
      <c r="H40" s="92"/>
      <c r="I40" s="90"/>
      <c r="J40" s="45">
        <f>IFERROR(VLOOKUP(F40,Tabela7[[RECURSO]:[CUSTO]],3,FALSE),0)</f>
        <v>0</v>
      </c>
      <c r="K40" s="45">
        <f>I40*J40*CPU_63[[#This Row],[Nº]]</f>
        <v>0</v>
      </c>
      <c r="AD40" s="144" t="str">
        <f t="shared" si="3"/>
        <v>Pintura de Ligação</v>
      </c>
      <c r="AE40" s="186"/>
      <c r="AF40" s="180">
        <f t="shared" si="35"/>
        <v>0</v>
      </c>
      <c r="AG40" s="180">
        <f t="shared" si="17"/>
        <v>0</v>
      </c>
      <c r="AH40" s="181">
        <f t="shared" si="36"/>
        <v>0</v>
      </c>
      <c r="AI40" s="187"/>
      <c r="AJ40" s="90"/>
      <c r="AK40" s="90"/>
      <c r="AL40" s="183">
        <f t="shared" si="37"/>
        <v>0</v>
      </c>
      <c r="AM40" s="187"/>
      <c r="AN40" s="90"/>
      <c r="AO40" s="90"/>
      <c r="AP40" s="183">
        <f t="shared" si="23"/>
        <v>0</v>
      </c>
      <c r="AQ40" s="187"/>
      <c r="AR40" s="90"/>
      <c r="AS40" s="90"/>
      <c r="AT40" s="183">
        <f t="shared" si="24"/>
        <v>0</v>
      </c>
      <c r="AU40" s="187"/>
      <c r="AV40" s="90"/>
      <c r="AW40" s="90"/>
      <c r="AX40" s="183">
        <f t="shared" si="25"/>
        <v>0</v>
      </c>
      <c r="AY40" s="187"/>
      <c r="AZ40" s="90"/>
      <c r="BA40" s="90"/>
      <c r="BB40" s="183">
        <f t="shared" si="26"/>
        <v>0</v>
      </c>
      <c r="BC40" s="187"/>
      <c r="BD40" s="90"/>
      <c r="BE40" s="90"/>
      <c r="BF40" s="183">
        <f t="shared" si="27"/>
        <v>0</v>
      </c>
      <c r="BG40" s="187"/>
      <c r="BH40" s="90"/>
      <c r="BI40" s="90"/>
      <c r="BJ40" s="183">
        <f t="shared" si="28"/>
        <v>0</v>
      </c>
      <c r="BK40" s="187"/>
      <c r="BL40" s="90"/>
      <c r="BM40" s="90"/>
      <c r="BN40" s="183">
        <f t="shared" si="29"/>
        <v>0</v>
      </c>
      <c r="BO40" s="187"/>
      <c r="BP40" s="90"/>
      <c r="BQ40" s="90"/>
      <c r="BR40" s="183">
        <f t="shared" si="30"/>
        <v>0</v>
      </c>
      <c r="BS40" s="187"/>
      <c r="BT40" s="90"/>
      <c r="BU40" s="90"/>
      <c r="BV40" s="183">
        <f t="shared" si="31"/>
        <v>0</v>
      </c>
      <c r="BW40" s="187"/>
      <c r="BX40" s="90"/>
      <c r="BY40" s="90"/>
      <c r="BZ40" s="183">
        <f t="shared" si="32"/>
        <v>0</v>
      </c>
      <c r="CA40" s="187"/>
      <c r="CB40" s="90"/>
      <c r="CC40" s="90"/>
      <c r="CD40" s="183">
        <f t="shared" si="33"/>
        <v>0</v>
      </c>
    </row>
    <row r="41" spans="2:82" x14ac:dyDescent="0.3">
      <c r="B41" s="54"/>
      <c r="C41" s="54" t="str">
        <f t="shared" si="0"/>
        <v>CPU_PinturadeLigação</v>
      </c>
      <c r="D41" s="280">
        <f t="shared" si="1"/>
        <v>2917</v>
      </c>
      <c r="E41" s="280">
        <f t="shared" si="2"/>
        <v>368333.33</v>
      </c>
      <c r="F41" s="1"/>
      <c r="G41" s="28" t="str">
        <f>IFERROR(VLOOKUP(F41,Tabela7[[RECURSO]:[CUSTO]],2,FALSE),"")</f>
        <v/>
      </c>
      <c r="H41" s="92"/>
      <c r="I41" s="90"/>
      <c r="J41" s="45">
        <f>IFERROR(VLOOKUP(F41,Tabela7[[RECURSO]:[CUSTO]],3,FALSE),0)</f>
        <v>0</v>
      </c>
      <c r="K41" s="45">
        <f>I41*J41*CPU_63[[#This Row],[Nº]]</f>
        <v>0</v>
      </c>
      <c r="AD41" s="144" t="str">
        <f t="shared" si="3"/>
        <v>Pintura de Ligação</v>
      </c>
      <c r="AE41" s="186"/>
      <c r="AF41" s="180">
        <f t="shared" si="35"/>
        <v>0</v>
      </c>
      <c r="AG41" s="180">
        <f t="shared" si="17"/>
        <v>0</v>
      </c>
      <c r="AH41" s="181">
        <f t="shared" si="36"/>
        <v>0</v>
      </c>
      <c r="AI41" s="187"/>
      <c r="AJ41" s="90"/>
      <c r="AK41" s="90"/>
      <c r="AL41" s="183">
        <f t="shared" si="37"/>
        <v>0</v>
      </c>
      <c r="AM41" s="187"/>
      <c r="AN41" s="90"/>
      <c r="AO41" s="90"/>
      <c r="AP41" s="183">
        <f t="shared" si="23"/>
        <v>0</v>
      </c>
      <c r="AQ41" s="187"/>
      <c r="AR41" s="90"/>
      <c r="AS41" s="90"/>
      <c r="AT41" s="183">
        <f t="shared" si="24"/>
        <v>0</v>
      </c>
      <c r="AU41" s="187"/>
      <c r="AV41" s="90"/>
      <c r="AW41" s="90"/>
      <c r="AX41" s="183">
        <f t="shared" si="25"/>
        <v>0</v>
      </c>
      <c r="AY41" s="187"/>
      <c r="AZ41" s="90"/>
      <c r="BA41" s="90"/>
      <c r="BB41" s="183">
        <f t="shared" si="26"/>
        <v>0</v>
      </c>
      <c r="BC41" s="187"/>
      <c r="BD41" s="90"/>
      <c r="BE41" s="90"/>
      <c r="BF41" s="183">
        <f t="shared" si="27"/>
        <v>0</v>
      </c>
      <c r="BG41" s="187"/>
      <c r="BH41" s="90"/>
      <c r="BI41" s="90"/>
      <c r="BJ41" s="183">
        <f t="shared" si="28"/>
        <v>0</v>
      </c>
      <c r="BK41" s="187"/>
      <c r="BL41" s="90"/>
      <c r="BM41" s="90"/>
      <c r="BN41" s="183">
        <f t="shared" si="29"/>
        <v>0</v>
      </c>
      <c r="BO41" s="187"/>
      <c r="BP41" s="90"/>
      <c r="BQ41" s="90"/>
      <c r="BR41" s="183">
        <f t="shared" si="30"/>
        <v>0</v>
      </c>
      <c r="BS41" s="187"/>
      <c r="BT41" s="90"/>
      <c r="BU41" s="90"/>
      <c r="BV41" s="183">
        <f t="shared" si="31"/>
        <v>0</v>
      </c>
      <c r="BW41" s="187"/>
      <c r="BX41" s="90"/>
      <c r="BY41" s="90"/>
      <c r="BZ41" s="183">
        <f t="shared" si="32"/>
        <v>0</v>
      </c>
      <c r="CA41" s="187"/>
      <c r="CB41" s="90"/>
      <c r="CC41" s="90"/>
      <c r="CD41" s="183">
        <f t="shared" si="33"/>
        <v>0</v>
      </c>
    </row>
    <row r="42" spans="2:82" x14ac:dyDescent="0.3">
      <c r="B42" s="54"/>
      <c r="C42" s="54" t="str">
        <f t="shared" si="0"/>
        <v>CPU_PinturadeLigação</v>
      </c>
      <c r="D42" s="280">
        <f t="shared" si="1"/>
        <v>2917</v>
      </c>
      <c r="E42" s="280">
        <f t="shared" si="2"/>
        <v>368333.33</v>
      </c>
      <c r="F42" s="1"/>
      <c r="G42" s="28" t="str">
        <f>IFERROR(VLOOKUP(F42,Tabela7[[RECURSO]:[CUSTO]],2,FALSE),"")</f>
        <v/>
      </c>
      <c r="H42" s="92"/>
      <c r="I42" s="90"/>
      <c r="J42" s="45">
        <f>IFERROR(VLOOKUP(F42,Tabela7[[RECURSO]:[CUSTO]],3,FALSE),0)</f>
        <v>0</v>
      </c>
      <c r="K42" s="45">
        <f>I42*J42*CPU_63[[#This Row],[Nº]]</f>
        <v>0</v>
      </c>
      <c r="AD42" s="144" t="str">
        <f t="shared" si="3"/>
        <v>Pintura de Ligação</v>
      </c>
      <c r="AE42" s="186"/>
      <c r="AF42" s="180">
        <f t="shared" si="35"/>
        <v>0</v>
      </c>
      <c r="AG42" s="180">
        <f t="shared" si="17"/>
        <v>0</v>
      </c>
      <c r="AH42" s="181">
        <f t="shared" si="36"/>
        <v>0</v>
      </c>
      <c r="AI42" s="187"/>
      <c r="AJ42" s="90"/>
      <c r="AK42" s="90"/>
      <c r="AL42" s="183">
        <f t="shared" si="37"/>
        <v>0</v>
      </c>
      <c r="AM42" s="187"/>
      <c r="AN42" s="90"/>
      <c r="AO42" s="90"/>
      <c r="AP42" s="183">
        <f t="shared" si="23"/>
        <v>0</v>
      </c>
      <c r="AQ42" s="187"/>
      <c r="AR42" s="90"/>
      <c r="AS42" s="90"/>
      <c r="AT42" s="183">
        <f t="shared" si="24"/>
        <v>0</v>
      </c>
      <c r="AU42" s="187"/>
      <c r="AV42" s="90"/>
      <c r="AW42" s="90"/>
      <c r="AX42" s="183">
        <f t="shared" si="25"/>
        <v>0</v>
      </c>
      <c r="AY42" s="187"/>
      <c r="AZ42" s="90"/>
      <c r="BA42" s="90"/>
      <c r="BB42" s="183">
        <f t="shared" si="26"/>
        <v>0</v>
      </c>
      <c r="BC42" s="187"/>
      <c r="BD42" s="90"/>
      <c r="BE42" s="90"/>
      <c r="BF42" s="183">
        <f t="shared" si="27"/>
        <v>0</v>
      </c>
      <c r="BG42" s="187"/>
      <c r="BH42" s="90"/>
      <c r="BI42" s="90"/>
      <c r="BJ42" s="183">
        <f t="shared" si="28"/>
        <v>0</v>
      </c>
      <c r="BK42" s="187"/>
      <c r="BL42" s="90"/>
      <c r="BM42" s="90"/>
      <c r="BN42" s="183">
        <f t="shared" si="29"/>
        <v>0</v>
      </c>
      <c r="BO42" s="187"/>
      <c r="BP42" s="90"/>
      <c r="BQ42" s="90"/>
      <c r="BR42" s="183">
        <f t="shared" si="30"/>
        <v>0</v>
      </c>
      <c r="BS42" s="187"/>
      <c r="BT42" s="90"/>
      <c r="BU42" s="90"/>
      <c r="BV42" s="183">
        <f t="shared" si="31"/>
        <v>0</v>
      </c>
      <c r="BW42" s="187"/>
      <c r="BX42" s="90"/>
      <c r="BY42" s="90"/>
      <c r="BZ42" s="183">
        <f t="shared" si="32"/>
        <v>0</v>
      </c>
      <c r="CA42" s="187"/>
      <c r="CB42" s="90"/>
      <c r="CC42" s="90"/>
      <c r="CD42" s="183">
        <f t="shared" si="33"/>
        <v>0</v>
      </c>
    </row>
    <row r="43" spans="2:82" x14ac:dyDescent="0.3">
      <c r="B43" s="54"/>
      <c r="C43" s="54" t="str">
        <f t="shared" si="0"/>
        <v>CPU_PinturadeLigação</v>
      </c>
      <c r="D43" s="280">
        <f t="shared" si="1"/>
        <v>2917</v>
      </c>
      <c r="E43" s="280">
        <f t="shared" si="2"/>
        <v>368333.33</v>
      </c>
      <c r="F43" s="1"/>
      <c r="G43" s="28" t="str">
        <f>IFERROR(VLOOKUP(F43,Tabela7[[RECURSO]:[CUSTO]],2,FALSE),"")</f>
        <v/>
      </c>
      <c r="H43" s="92"/>
      <c r="I43" s="90"/>
      <c r="J43" s="45">
        <f>IFERROR(VLOOKUP(F43,Tabela7[[RECURSO]:[CUSTO]],3,FALSE),0)</f>
        <v>0</v>
      </c>
      <c r="K43" s="45">
        <f>I43*J43*CPU_63[[#This Row],[Nº]]</f>
        <v>0</v>
      </c>
      <c r="AD43" s="144" t="str">
        <f t="shared" si="3"/>
        <v>Pintura de Ligação</v>
      </c>
      <c r="AE43" s="186"/>
      <c r="AF43" s="180">
        <f t="shared" si="35"/>
        <v>0</v>
      </c>
      <c r="AG43" s="180">
        <f t="shared" si="17"/>
        <v>0</v>
      </c>
      <c r="AH43" s="181">
        <f t="shared" si="36"/>
        <v>0</v>
      </c>
      <c r="AI43" s="187"/>
      <c r="AJ43" s="90"/>
      <c r="AK43" s="90"/>
      <c r="AL43" s="183">
        <f t="shared" si="37"/>
        <v>0</v>
      </c>
      <c r="AM43" s="187"/>
      <c r="AN43" s="90"/>
      <c r="AO43" s="90"/>
      <c r="AP43" s="183">
        <f t="shared" si="23"/>
        <v>0</v>
      </c>
      <c r="AQ43" s="187"/>
      <c r="AR43" s="90"/>
      <c r="AS43" s="90"/>
      <c r="AT43" s="183">
        <f t="shared" si="24"/>
        <v>0</v>
      </c>
      <c r="AU43" s="187"/>
      <c r="AV43" s="90"/>
      <c r="AW43" s="90"/>
      <c r="AX43" s="183">
        <f t="shared" si="25"/>
        <v>0</v>
      </c>
      <c r="AY43" s="187"/>
      <c r="AZ43" s="90"/>
      <c r="BA43" s="90"/>
      <c r="BB43" s="183">
        <f t="shared" si="26"/>
        <v>0</v>
      </c>
      <c r="BC43" s="187"/>
      <c r="BD43" s="90"/>
      <c r="BE43" s="90"/>
      <c r="BF43" s="183">
        <f t="shared" si="27"/>
        <v>0</v>
      </c>
      <c r="BG43" s="187"/>
      <c r="BH43" s="90"/>
      <c r="BI43" s="90"/>
      <c r="BJ43" s="183">
        <f t="shared" si="28"/>
        <v>0</v>
      </c>
      <c r="BK43" s="187"/>
      <c r="BL43" s="90"/>
      <c r="BM43" s="90"/>
      <c r="BN43" s="183">
        <f t="shared" si="29"/>
        <v>0</v>
      </c>
      <c r="BO43" s="187"/>
      <c r="BP43" s="90"/>
      <c r="BQ43" s="90"/>
      <c r="BR43" s="183">
        <f t="shared" si="30"/>
        <v>0</v>
      </c>
      <c r="BS43" s="187"/>
      <c r="BT43" s="90"/>
      <c r="BU43" s="90"/>
      <c r="BV43" s="183">
        <f t="shared" si="31"/>
        <v>0</v>
      </c>
      <c r="BW43" s="187"/>
      <c r="BX43" s="90"/>
      <c r="BY43" s="90"/>
      <c r="BZ43" s="183">
        <f t="shared" si="32"/>
        <v>0</v>
      </c>
      <c r="CA43" s="187"/>
      <c r="CB43" s="90"/>
      <c r="CC43" s="90"/>
      <c r="CD43" s="183">
        <f t="shared" si="33"/>
        <v>0</v>
      </c>
    </row>
    <row r="44" spans="2:82" x14ac:dyDescent="0.3">
      <c r="B44" s="54"/>
      <c r="C44" s="54" t="str">
        <f t="shared" si="0"/>
        <v>CPU_PinturadeLigação</v>
      </c>
      <c r="D44" s="280">
        <f t="shared" si="1"/>
        <v>2917</v>
      </c>
      <c r="E44" s="280">
        <f t="shared" si="2"/>
        <v>368333.33</v>
      </c>
      <c r="F44" s="1"/>
      <c r="G44" s="28" t="str">
        <f>IFERROR(VLOOKUP(F44,Tabela7[[RECURSO]:[CUSTO]],2,FALSE),"")</f>
        <v/>
      </c>
      <c r="H44" s="92"/>
      <c r="I44" s="90"/>
      <c r="J44" s="45">
        <f>IFERROR(VLOOKUP(F44,Tabela7[[RECURSO]:[CUSTO]],3,FALSE),0)</f>
        <v>0</v>
      </c>
      <c r="K44" s="45">
        <f>I44*J44*CPU_63[[#This Row],[Nº]]</f>
        <v>0</v>
      </c>
      <c r="AD44" s="144" t="str">
        <f t="shared" si="3"/>
        <v>Pintura de Ligação</v>
      </c>
      <c r="AE44" s="186"/>
      <c r="AF44" s="180">
        <f t="shared" si="35"/>
        <v>0</v>
      </c>
      <c r="AG44" s="180">
        <f t="shared" si="17"/>
        <v>0</v>
      </c>
      <c r="AH44" s="181">
        <f t="shared" si="36"/>
        <v>0</v>
      </c>
      <c r="AI44" s="187"/>
      <c r="AJ44" s="90"/>
      <c r="AK44" s="90"/>
      <c r="AL44" s="183">
        <f t="shared" si="37"/>
        <v>0</v>
      </c>
      <c r="AM44" s="187"/>
      <c r="AN44" s="90"/>
      <c r="AO44" s="90"/>
      <c r="AP44" s="183">
        <f t="shared" si="23"/>
        <v>0</v>
      </c>
      <c r="AQ44" s="187"/>
      <c r="AR44" s="90"/>
      <c r="AS44" s="90"/>
      <c r="AT44" s="183">
        <f t="shared" si="24"/>
        <v>0</v>
      </c>
      <c r="AU44" s="187"/>
      <c r="AV44" s="90"/>
      <c r="AW44" s="90"/>
      <c r="AX44" s="183">
        <f t="shared" si="25"/>
        <v>0</v>
      </c>
      <c r="AY44" s="187"/>
      <c r="AZ44" s="90"/>
      <c r="BA44" s="90"/>
      <c r="BB44" s="183">
        <f t="shared" si="26"/>
        <v>0</v>
      </c>
      <c r="BC44" s="187"/>
      <c r="BD44" s="90"/>
      <c r="BE44" s="90"/>
      <c r="BF44" s="183">
        <f t="shared" si="27"/>
        <v>0</v>
      </c>
      <c r="BG44" s="187"/>
      <c r="BH44" s="90"/>
      <c r="BI44" s="90"/>
      <c r="BJ44" s="183">
        <f t="shared" si="28"/>
        <v>0</v>
      </c>
      <c r="BK44" s="187"/>
      <c r="BL44" s="90"/>
      <c r="BM44" s="90"/>
      <c r="BN44" s="183">
        <f t="shared" si="29"/>
        <v>0</v>
      </c>
      <c r="BO44" s="187"/>
      <c r="BP44" s="90"/>
      <c r="BQ44" s="90"/>
      <c r="BR44" s="183">
        <f t="shared" si="30"/>
        <v>0</v>
      </c>
      <c r="BS44" s="187"/>
      <c r="BT44" s="90"/>
      <c r="BU44" s="90"/>
      <c r="BV44" s="183">
        <f t="shared" si="31"/>
        <v>0</v>
      </c>
      <c r="BW44" s="187"/>
      <c r="BX44" s="90"/>
      <c r="BY44" s="90"/>
      <c r="BZ44" s="183">
        <f t="shared" si="32"/>
        <v>0</v>
      </c>
      <c r="CA44" s="187"/>
      <c r="CB44" s="90"/>
      <c r="CC44" s="90"/>
      <c r="CD44" s="183">
        <f t="shared" si="33"/>
        <v>0</v>
      </c>
    </row>
    <row r="45" spans="2:82" x14ac:dyDescent="0.3">
      <c r="B45" s="53"/>
      <c r="C45" s="53" t="str">
        <f t="shared" si="0"/>
        <v>CPU_PinturadeLigação</v>
      </c>
      <c r="D45" s="278">
        <f t="shared" si="1"/>
        <v>2917</v>
      </c>
      <c r="E45" s="278">
        <f t="shared" si="2"/>
        <v>368333.33</v>
      </c>
      <c r="F45" s="1"/>
      <c r="G45" s="28" t="str">
        <f>IFERROR(VLOOKUP(F45,Tabela7[[RECURSO]:[CUSTO]],2,FALSE),"")</f>
        <v/>
      </c>
      <c r="H45" s="92"/>
      <c r="I45" s="90"/>
      <c r="J45" s="45">
        <f>IFERROR(VLOOKUP(F45,Tabela7[[RECURSO]:[CUSTO]],3,FALSE),0)</f>
        <v>0</v>
      </c>
      <c r="K45" s="45">
        <f>I45*J45*CPU_63[[#This Row],[Nº]]</f>
        <v>0</v>
      </c>
      <c r="AD45" s="144" t="str">
        <f t="shared" si="3"/>
        <v>Pintura de Ligação</v>
      </c>
      <c r="AE45" s="188"/>
      <c r="AF45" s="180">
        <f t="shared" si="35"/>
        <v>0</v>
      </c>
      <c r="AG45" s="180">
        <f t="shared" si="17"/>
        <v>0</v>
      </c>
      <c r="AH45" s="181">
        <f t="shared" si="36"/>
        <v>0</v>
      </c>
      <c r="AI45" s="189"/>
      <c r="AJ45" s="90"/>
      <c r="AK45" s="90"/>
      <c r="AL45" s="183">
        <f t="shared" si="37"/>
        <v>0</v>
      </c>
      <c r="AM45" s="189"/>
      <c r="AN45" s="90"/>
      <c r="AO45" s="90"/>
      <c r="AP45" s="183">
        <f t="shared" si="23"/>
        <v>0</v>
      </c>
      <c r="AQ45" s="189"/>
      <c r="AR45" s="90"/>
      <c r="AS45" s="90"/>
      <c r="AT45" s="183">
        <f t="shared" si="24"/>
        <v>0</v>
      </c>
      <c r="AU45" s="189"/>
      <c r="AV45" s="90"/>
      <c r="AW45" s="90"/>
      <c r="AX45" s="183">
        <f t="shared" si="25"/>
        <v>0</v>
      </c>
      <c r="AY45" s="189"/>
      <c r="AZ45" s="90"/>
      <c r="BA45" s="90"/>
      <c r="BB45" s="183">
        <f t="shared" si="26"/>
        <v>0</v>
      </c>
      <c r="BC45" s="189"/>
      <c r="BD45" s="90"/>
      <c r="BE45" s="90"/>
      <c r="BF45" s="183">
        <f t="shared" si="27"/>
        <v>0</v>
      </c>
      <c r="BG45" s="189"/>
      <c r="BH45" s="90"/>
      <c r="BI45" s="90"/>
      <c r="BJ45" s="183">
        <f t="shared" si="28"/>
        <v>0</v>
      </c>
      <c r="BK45" s="189"/>
      <c r="BL45" s="90"/>
      <c r="BM45" s="90"/>
      <c r="BN45" s="183">
        <f t="shared" si="29"/>
        <v>0</v>
      </c>
      <c r="BO45" s="189"/>
      <c r="BP45" s="90"/>
      <c r="BQ45" s="90"/>
      <c r="BR45" s="183">
        <f t="shared" si="30"/>
        <v>0</v>
      </c>
      <c r="BS45" s="189"/>
      <c r="BT45" s="90"/>
      <c r="BU45" s="90"/>
      <c r="BV45" s="183">
        <f t="shared" si="31"/>
        <v>0</v>
      </c>
      <c r="BW45" s="189"/>
      <c r="BX45" s="90"/>
      <c r="BY45" s="90"/>
      <c r="BZ45" s="183">
        <f t="shared" si="32"/>
        <v>0</v>
      </c>
      <c r="CA45" s="189"/>
      <c r="CB45" s="90"/>
      <c r="CC45" s="90"/>
      <c r="CD45" s="183">
        <f t="shared" si="33"/>
        <v>0</v>
      </c>
    </row>
    <row r="46" spans="2:82" x14ac:dyDescent="0.3">
      <c r="B46" s="53"/>
      <c r="C46" s="53" t="str">
        <f t="shared" si="0"/>
        <v>CPU_PinturadeLigação</v>
      </c>
      <c r="D46" s="278">
        <f t="shared" si="1"/>
        <v>2917</v>
      </c>
      <c r="E46" s="278">
        <f t="shared" si="2"/>
        <v>368333.33</v>
      </c>
      <c r="F46" s="1"/>
      <c r="G46" s="28" t="str">
        <f>IFERROR(VLOOKUP(F46,Tabela7[[RECURSO]:[CUSTO]],2,FALSE),"")</f>
        <v/>
      </c>
      <c r="H46" s="92"/>
      <c r="I46" s="90"/>
      <c r="J46" s="45">
        <f>IFERROR(VLOOKUP(F46,Tabela7[[RECURSO]:[CUSTO]],3,FALSE),0)</f>
        <v>0</v>
      </c>
      <c r="K46" s="45">
        <f>I46*J46*CPU_63[[#This Row],[Nº]]</f>
        <v>0</v>
      </c>
      <c r="AD46" s="144" t="str">
        <f t="shared" si="3"/>
        <v>Pintura de Ligação</v>
      </c>
      <c r="AE46" s="188"/>
      <c r="AF46" s="180">
        <f t="shared" si="35"/>
        <v>0</v>
      </c>
      <c r="AG46" s="180">
        <f t="shared" si="17"/>
        <v>0</v>
      </c>
      <c r="AH46" s="181">
        <f t="shared" si="36"/>
        <v>0</v>
      </c>
      <c r="AI46" s="189"/>
      <c r="AJ46" s="90"/>
      <c r="AK46" s="90"/>
      <c r="AL46" s="183">
        <f t="shared" si="37"/>
        <v>0</v>
      </c>
      <c r="AM46" s="189"/>
      <c r="AN46" s="90"/>
      <c r="AO46" s="90"/>
      <c r="AP46" s="183">
        <f t="shared" si="23"/>
        <v>0</v>
      </c>
      <c r="AQ46" s="189"/>
      <c r="AR46" s="90"/>
      <c r="AS46" s="90"/>
      <c r="AT46" s="183">
        <f t="shared" si="24"/>
        <v>0</v>
      </c>
      <c r="AU46" s="189"/>
      <c r="AV46" s="90"/>
      <c r="AW46" s="90"/>
      <c r="AX46" s="183">
        <f t="shared" si="25"/>
        <v>0</v>
      </c>
      <c r="AY46" s="189"/>
      <c r="AZ46" s="90"/>
      <c r="BA46" s="90"/>
      <c r="BB46" s="183">
        <f t="shared" si="26"/>
        <v>0</v>
      </c>
      <c r="BC46" s="189"/>
      <c r="BD46" s="90"/>
      <c r="BE46" s="90"/>
      <c r="BF46" s="183">
        <f t="shared" si="27"/>
        <v>0</v>
      </c>
      <c r="BG46" s="189"/>
      <c r="BH46" s="90"/>
      <c r="BI46" s="90"/>
      <c r="BJ46" s="183">
        <f t="shared" si="28"/>
        <v>0</v>
      </c>
      <c r="BK46" s="189"/>
      <c r="BL46" s="90"/>
      <c r="BM46" s="90"/>
      <c r="BN46" s="183">
        <f t="shared" si="29"/>
        <v>0</v>
      </c>
      <c r="BO46" s="189"/>
      <c r="BP46" s="90"/>
      <c r="BQ46" s="90"/>
      <c r="BR46" s="183">
        <f t="shared" si="30"/>
        <v>0</v>
      </c>
      <c r="BS46" s="189"/>
      <c r="BT46" s="90"/>
      <c r="BU46" s="90"/>
      <c r="BV46" s="183">
        <f t="shared" si="31"/>
        <v>0</v>
      </c>
      <c r="BW46" s="189"/>
      <c r="BX46" s="90"/>
      <c r="BY46" s="90"/>
      <c r="BZ46" s="183">
        <f t="shared" si="32"/>
        <v>0</v>
      </c>
      <c r="CA46" s="189"/>
      <c r="CB46" s="90"/>
      <c r="CC46" s="90"/>
      <c r="CD46" s="183">
        <f t="shared" si="33"/>
        <v>0</v>
      </c>
    </row>
    <row r="47" spans="2:82" x14ac:dyDescent="0.3">
      <c r="B47" s="53"/>
      <c r="C47" s="53" t="str">
        <f t="shared" si="0"/>
        <v>CPU_PinturadeLigação</v>
      </c>
      <c r="D47" s="278">
        <f t="shared" si="1"/>
        <v>2917</v>
      </c>
      <c r="E47" s="278">
        <f t="shared" si="2"/>
        <v>368333.33</v>
      </c>
      <c r="F47" s="1"/>
      <c r="G47" s="28" t="str">
        <f>IFERROR(VLOOKUP(F47,Tabela7[[RECURSO]:[CUSTO]],2,FALSE),"")</f>
        <v/>
      </c>
      <c r="H47" s="92"/>
      <c r="I47" s="90"/>
      <c r="J47" s="45">
        <f>IFERROR(VLOOKUP(F47,Tabela7[[RECURSO]:[CUSTO]],3,FALSE),0)</f>
        <v>0</v>
      </c>
      <c r="K47" s="45">
        <f>I47*J47*CPU_63[[#This Row],[Nº]]</f>
        <v>0</v>
      </c>
      <c r="AD47" s="144" t="str">
        <f t="shared" si="3"/>
        <v>Pintura de Ligação</v>
      </c>
      <c r="AE47" s="188"/>
      <c r="AF47" s="180">
        <f t="shared" si="35"/>
        <v>0</v>
      </c>
      <c r="AG47" s="180">
        <f t="shared" si="17"/>
        <v>0</v>
      </c>
      <c r="AH47" s="181">
        <f t="shared" si="36"/>
        <v>0</v>
      </c>
      <c r="AI47" s="189"/>
      <c r="AJ47" s="90"/>
      <c r="AK47" s="90"/>
      <c r="AL47" s="183">
        <f t="shared" si="37"/>
        <v>0</v>
      </c>
      <c r="AM47" s="189"/>
      <c r="AN47" s="90"/>
      <c r="AO47" s="90"/>
      <c r="AP47" s="183">
        <f t="shared" si="23"/>
        <v>0</v>
      </c>
      <c r="AQ47" s="189"/>
      <c r="AR47" s="90"/>
      <c r="AS47" s="90"/>
      <c r="AT47" s="183">
        <f t="shared" si="24"/>
        <v>0</v>
      </c>
      <c r="AU47" s="189"/>
      <c r="AV47" s="90"/>
      <c r="AW47" s="90"/>
      <c r="AX47" s="183">
        <f t="shared" si="25"/>
        <v>0</v>
      </c>
      <c r="AY47" s="189"/>
      <c r="AZ47" s="90"/>
      <c r="BA47" s="90"/>
      <c r="BB47" s="183">
        <f t="shared" si="26"/>
        <v>0</v>
      </c>
      <c r="BC47" s="189"/>
      <c r="BD47" s="90"/>
      <c r="BE47" s="90"/>
      <c r="BF47" s="183">
        <f t="shared" si="27"/>
        <v>0</v>
      </c>
      <c r="BG47" s="189"/>
      <c r="BH47" s="90"/>
      <c r="BI47" s="90"/>
      <c r="BJ47" s="183">
        <f t="shared" si="28"/>
        <v>0</v>
      </c>
      <c r="BK47" s="189"/>
      <c r="BL47" s="90"/>
      <c r="BM47" s="90"/>
      <c r="BN47" s="183">
        <f t="shared" si="29"/>
        <v>0</v>
      </c>
      <c r="BO47" s="189"/>
      <c r="BP47" s="90"/>
      <c r="BQ47" s="90"/>
      <c r="BR47" s="183">
        <f t="shared" si="30"/>
        <v>0</v>
      </c>
      <c r="BS47" s="189"/>
      <c r="BT47" s="90"/>
      <c r="BU47" s="90"/>
      <c r="BV47" s="183">
        <f t="shared" si="31"/>
        <v>0</v>
      </c>
      <c r="BW47" s="189"/>
      <c r="BX47" s="90"/>
      <c r="BY47" s="90"/>
      <c r="BZ47" s="183">
        <f t="shared" si="32"/>
        <v>0</v>
      </c>
      <c r="CA47" s="189"/>
      <c r="CB47" s="90"/>
      <c r="CC47" s="90"/>
      <c r="CD47" s="183">
        <f t="shared" si="33"/>
        <v>0</v>
      </c>
    </row>
    <row r="48" spans="2:82" x14ac:dyDescent="0.3">
      <c r="B48" s="53"/>
      <c r="C48" s="53" t="str">
        <f t="shared" si="0"/>
        <v>CPU_PinturadeLigação</v>
      </c>
      <c r="D48" s="278">
        <f t="shared" si="1"/>
        <v>2917</v>
      </c>
      <c r="E48" s="278">
        <f t="shared" si="2"/>
        <v>368333.33</v>
      </c>
      <c r="F48" s="1"/>
      <c r="G48" s="28" t="str">
        <f>IFERROR(VLOOKUP(F48,Tabela7[[RECURSO]:[CUSTO]],2,FALSE),"")</f>
        <v/>
      </c>
      <c r="H48" s="92"/>
      <c r="I48" s="90"/>
      <c r="J48" s="45">
        <f>IFERROR(VLOOKUP(F48,Tabela7[[RECURSO]:[CUSTO]],3,FALSE),0)</f>
        <v>0</v>
      </c>
      <c r="K48" s="45">
        <f>I48*J48*CPU_63[[#This Row],[Nº]]</f>
        <v>0</v>
      </c>
      <c r="AD48" s="144" t="str">
        <f t="shared" si="3"/>
        <v>Pintura de Ligação</v>
      </c>
      <c r="AE48" s="188"/>
      <c r="AF48" s="180">
        <f t="shared" si="35"/>
        <v>0</v>
      </c>
      <c r="AG48" s="180">
        <f t="shared" si="17"/>
        <v>0</v>
      </c>
      <c r="AH48" s="181">
        <f t="shared" si="36"/>
        <v>0</v>
      </c>
      <c r="AI48" s="189"/>
      <c r="AJ48" s="90"/>
      <c r="AK48" s="90"/>
      <c r="AL48" s="183">
        <f t="shared" si="37"/>
        <v>0</v>
      </c>
      <c r="AM48" s="189"/>
      <c r="AN48" s="90"/>
      <c r="AO48" s="90"/>
      <c r="AP48" s="183">
        <f t="shared" si="23"/>
        <v>0</v>
      </c>
      <c r="AQ48" s="189"/>
      <c r="AR48" s="90"/>
      <c r="AS48" s="90"/>
      <c r="AT48" s="183">
        <f t="shared" si="24"/>
        <v>0</v>
      </c>
      <c r="AU48" s="189"/>
      <c r="AV48" s="90"/>
      <c r="AW48" s="90"/>
      <c r="AX48" s="183">
        <f t="shared" si="25"/>
        <v>0</v>
      </c>
      <c r="AY48" s="189"/>
      <c r="AZ48" s="90"/>
      <c r="BA48" s="90"/>
      <c r="BB48" s="183">
        <f t="shared" si="26"/>
        <v>0</v>
      </c>
      <c r="BC48" s="189"/>
      <c r="BD48" s="90"/>
      <c r="BE48" s="90"/>
      <c r="BF48" s="183">
        <f t="shared" si="27"/>
        <v>0</v>
      </c>
      <c r="BG48" s="189"/>
      <c r="BH48" s="90"/>
      <c r="BI48" s="90"/>
      <c r="BJ48" s="183">
        <f t="shared" si="28"/>
        <v>0</v>
      </c>
      <c r="BK48" s="189"/>
      <c r="BL48" s="90"/>
      <c r="BM48" s="90"/>
      <c r="BN48" s="183">
        <f t="shared" si="29"/>
        <v>0</v>
      </c>
      <c r="BO48" s="189"/>
      <c r="BP48" s="90"/>
      <c r="BQ48" s="90"/>
      <c r="BR48" s="183">
        <f t="shared" si="30"/>
        <v>0</v>
      </c>
      <c r="BS48" s="189"/>
      <c r="BT48" s="90"/>
      <c r="BU48" s="90"/>
      <c r="BV48" s="183">
        <f t="shared" si="31"/>
        <v>0</v>
      </c>
      <c r="BW48" s="189"/>
      <c r="BX48" s="90"/>
      <c r="BY48" s="90"/>
      <c r="BZ48" s="183">
        <f t="shared" si="32"/>
        <v>0</v>
      </c>
      <c r="CA48" s="189"/>
      <c r="CB48" s="90"/>
      <c r="CC48" s="90"/>
      <c r="CD48" s="183">
        <f t="shared" si="33"/>
        <v>0</v>
      </c>
    </row>
    <row r="49" spans="2:82" ht="15" thickBot="1" x14ac:dyDescent="0.35">
      <c r="B49" s="53"/>
      <c r="C49" s="53" t="str">
        <f t="shared" si="0"/>
        <v>CPU_PinturadeLigação</v>
      </c>
      <c r="D49" s="278">
        <f t="shared" si="1"/>
        <v>2917</v>
      </c>
      <c r="E49" s="278">
        <f t="shared" si="2"/>
        <v>368333.33</v>
      </c>
      <c r="F49" s="1"/>
      <c r="G49" s="28" t="str">
        <f>IFERROR(VLOOKUP(F49,Tabela7[[RECURSO]:[CUSTO]],2,FALSE),"")</f>
        <v/>
      </c>
      <c r="H49" s="92"/>
      <c r="I49" s="90"/>
      <c r="J49" s="45">
        <f>IFERROR(VLOOKUP(F49,Tabela7[[RECURSO]:[CUSTO]],3,FALSE),0)</f>
        <v>0</v>
      </c>
      <c r="K49" s="45">
        <f>I49*J49*CPU_63[[#This Row],[Nº]]</f>
        <v>0</v>
      </c>
      <c r="M49" s="83" t="s">
        <v>701</v>
      </c>
      <c r="N49" s="87" t="s">
        <v>702</v>
      </c>
      <c r="AD49" s="144" t="str">
        <f t="shared" si="3"/>
        <v>Pintura de Ligação</v>
      </c>
      <c r="AE49" s="188"/>
      <c r="AF49" s="180">
        <f t="shared" si="35"/>
        <v>0</v>
      </c>
      <c r="AG49" s="180">
        <f t="shared" si="17"/>
        <v>0</v>
      </c>
      <c r="AH49" s="181">
        <f t="shared" si="36"/>
        <v>0</v>
      </c>
      <c r="AI49" s="189"/>
      <c r="AJ49" s="90"/>
      <c r="AK49" s="90"/>
      <c r="AL49" s="183">
        <f t="shared" si="37"/>
        <v>0</v>
      </c>
      <c r="AM49" s="189"/>
      <c r="AN49" s="90"/>
      <c r="AO49" s="90"/>
      <c r="AP49" s="183">
        <f t="shared" si="23"/>
        <v>0</v>
      </c>
      <c r="AQ49" s="189"/>
      <c r="AR49" s="90"/>
      <c r="AS49" s="90"/>
      <c r="AT49" s="183">
        <f t="shared" si="24"/>
        <v>0</v>
      </c>
      <c r="AU49" s="189"/>
      <c r="AV49" s="90"/>
      <c r="AW49" s="90"/>
      <c r="AX49" s="183">
        <f t="shared" si="25"/>
        <v>0</v>
      </c>
      <c r="AY49" s="189"/>
      <c r="AZ49" s="90"/>
      <c r="BA49" s="90"/>
      <c r="BB49" s="183">
        <f t="shared" si="26"/>
        <v>0</v>
      </c>
      <c r="BC49" s="189"/>
      <c r="BD49" s="90"/>
      <c r="BE49" s="90"/>
      <c r="BF49" s="183">
        <f t="shared" si="27"/>
        <v>0</v>
      </c>
      <c r="BG49" s="189"/>
      <c r="BH49" s="90"/>
      <c r="BI49" s="90"/>
      <c r="BJ49" s="183">
        <f t="shared" si="28"/>
        <v>0</v>
      </c>
      <c r="BK49" s="189"/>
      <c r="BL49" s="90"/>
      <c r="BM49" s="90"/>
      <c r="BN49" s="183">
        <f t="shared" si="29"/>
        <v>0</v>
      </c>
      <c r="BO49" s="189"/>
      <c r="BP49" s="90"/>
      <c r="BQ49" s="90"/>
      <c r="BR49" s="183">
        <f t="shared" si="30"/>
        <v>0</v>
      </c>
      <c r="BS49" s="189"/>
      <c r="BT49" s="90"/>
      <c r="BU49" s="90"/>
      <c r="BV49" s="183">
        <f t="shared" si="31"/>
        <v>0</v>
      </c>
      <c r="BW49" s="189"/>
      <c r="BX49" s="90"/>
      <c r="BY49" s="90"/>
      <c r="BZ49" s="183">
        <f t="shared" si="32"/>
        <v>0</v>
      </c>
      <c r="CA49" s="189"/>
      <c r="CB49" s="90"/>
      <c r="CC49" s="90"/>
      <c r="CD49" s="183">
        <f t="shared" si="33"/>
        <v>0</v>
      </c>
    </row>
    <row r="50" spans="2:82" x14ac:dyDescent="0.3">
      <c r="B50" s="52" t="s">
        <v>693</v>
      </c>
      <c r="C50" s="52" t="str">
        <f t="shared" si="0"/>
        <v>CPU_PinturadeLigação</v>
      </c>
      <c r="D50" s="277">
        <f t="shared" si="1"/>
        <v>2917</v>
      </c>
      <c r="E50" s="277">
        <f t="shared" si="2"/>
        <v>368333.33</v>
      </c>
      <c r="F50" s="37"/>
      <c r="G50" s="38"/>
      <c r="H50" s="38"/>
      <c r="I50" s="37"/>
      <c r="J50" s="40">
        <f>IFERROR(K50/$B$6,0)</f>
        <v>0</v>
      </c>
      <c r="K50" s="40">
        <f>SUM(K51:K62)</f>
        <v>0</v>
      </c>
      <c r="M50" s="84" t="str">
        <f>"Consumo por "&amp;J3</f>
        <v>Consumo por M²</v>
      </c>
      <c r="N50" s="89"/>
      <c r="AD50" s="144" t="str">
        <f t="shared" si="3"/>
        <v>Pintura de Ligação</v>
      </c>
      <c r="AE50" s="190"/>
      <c r="AF50" s="191"/>
      <c r="AG50" s="40">
        <f>IFERROR(AH50/AF$3,0)</f>
        <v>0</v>
      </c>
      <c r="AH50" s="185">
        <f>SUM(AH51:AH62)</f>
        <v>0</v>
      </c>
      <c r="AI50" s="190"/>
      <c r="AJ50" s="37"/>
      <c r="AK50" s="40">
        <f>IFERROR(AL50/AJ$3,0)</f>
        <v>0</v>
      </c>
      <c r="AL50" s="185">
        <f>SUM(AL51:AL62)</f>
        <v>0</v>
      </c>
      <c r="AM50" s="190"/>
      <c r="AN50" s="37"/>
      <c r="AO50" s="40">
        <f>IFERROR(AP50/AN$3,0)</f>
        <v>0</v>
      </c>
      <c r="AP50" s="185">
        <f>SUM(AP51:AP62)</f>
        <v>0</v>
      </c>
      <c r="AQ50" s="190"/>
      <c r="AR50" s="37"/>
      <c r="AS50" s="40">
        <f>IFERROR(AT50/AR$3,0)</f>
        <v>0</v>
      </c>
      <c r="AT50" s="185">
        <f>SUM(AT51:AT62)</f>
        <v>0</v>
      </c>
      <c r="AU50" s="190"/>
      <c r="AV50" s="37"/>
      <c r="AW50" s="40">
        <f>IFERROR(AX50/AV$3,0)</f>
        <v>0</v>
      </c>
      <c r="AX50" s="185">
        <f>SUM(AX51:AX62)</f>
        <v>0</v>
      </c>
      <c r="AY50" s="190"/>
      <c r="AZ50" s="37"/>
      <c r="BA50" s="40">
        <f>IFERROR(BB50/AZ$3,0)</f>
        <v>0</v>
      </c>
      <c r="BB50" s="185">
        <f>SUM(BB51:BB62)</f>
        <v>0</v>
      </c>
      <c r="BC50" s="190"/>
      <c r="BD50" s="37"/>
      <c r="BE50" s="40">
        <f>IFERROR(BF50/BD$3,0)</f>
        <v>0</v>
      </c>
      <c r="BF50" s="185">
        <f>SUM(BF51:BF62)</f>
        <v>0</v>
      </c>
      <c r="BG50" s="190"/>
      <c r="BH50" s="37"/>
      <c r="BI50" s="40">
        <f>IFERROR(BJ50/BH$3,0)</f>
        <v>0</v>
      </c>
      <c r="BJ50" s="185">
        <f>SUM(BJ51:BJ62)</f>
        <v>0</v>
      </c>
      <c r="BK50" s="190"/>
      <c r="BL50" s="37"/>
      <c r="BM50" s="40">
        <f>IFERROR(BN50/BL$3,0)</f>
        <v>0</v>
      </c>
      <c r="BN50" s="185">
        <f>SUM(BN51:BN62)</f>
        <v>0</v>
      </c>
      <c r="BO50" s="190"/>
      <c r="BP50" s="37"/>
      <c r="BQ50" s="40">
        <f>IFERROR(BR50/BP$3,0)</f>
        <v>0</v>
      </c>
      <c r="BR50" s="185">
        <f>SUM(BR51:BR62)</f>
        <v>0</v>
      </c>
      <c r="BS50" s="190"/>
      <c r="BT50" s="37"/>
      <c r="BU50" s="40">
        <f>IFERROR(BV50/BT$3,0)</f>
        <v>0</v>
      </c>
      <c r="BV50" s="185">
        <f>SUM(BV51:BV62)</f>
        <v>0</v>
      </c>
      <c r="BW50" s="190"/>
      <c r="BX50" s="37"/>
      <c r="BY50" s="40">
        <f>IFERROR(BZ50/BX$3,0)</f>
        <v>0</v>
      </c>
      <c r="BZ50" s="185">
        <f>SUM(BZ51:BZ62)</f>
        <v>0</v>
      </c>
      <c r="CA50" s="190"/>
      <c r="CB50" s="37"/>
      <c r="CC50" s="40">
        <f>IFERROR(CD50/CB$3,0)</f>
        <v>0</v>
      </c>
      <c r="CD50" s="185">
        <f>SUM(CD51:CD62)</f>
        <v>0</v>
      </c>
    </row>
    <row r="51" spans="2:82" x14ac:dyDescent="0.3">
      <c r="B51" s="53"/>
      <c r="C51" s="53" t="str">
        <f t="shared" si="0"/>
        <v>CPU_PinturadeLigação</v>
      </c>
      <c r="D51" s="278">
        <f t="shared" si="1"/>
        <v>2917</v>
      </c>
      <c r="E51" s="278">
        <f t="shared" si="2"/>
        <v>368333.33</v>
      </c>
      <c r="F51" s="1"/>
      <c r="G51" s="28" t="str">
        <f>IFERROR(VLOOKUP(F51,Tabela7[[RECURSO]:[CUSTO]],2,FALSE),"")</f>
        <v/>
      </c>
      <c r="I51" s="90">
        <f>IFERROR(M51*$B$6,0)</f>
        <v>0</v>
      </c>
      <c r="J51" s="45">
        <f>IFERROR(VLOOKUP(F51,Tabela7[[RECURSO]:[CUSTO]],3,FALSE),0)</f>
        <v>0</v>
      </c>
      <c r="K51" s="45">
        <f>I51*J51</f>
        <v>0</v>
      </c>
      <c r="M51" s="85"/>
      <c r="N51" s="88"/>
      <c r="AD51" s="144" t="str">
        <f t="shared" si="3"/>
        <v>Pintura de Ligação</v>
      </c>
      <c r="AE51" s="192"/>
      <c r="AF51" s="180">
        <f t="shared" ref="AF51:AF62" si="38">AJ51+AN51+AR51+AV51+AZ51+BD51+BH51+BL51+BP51+BT51+BX51+CB51</f>
        <v>0</v>
      </c>
      <c r="AG51" s="180">
        <f t="shared" si="17"/>
        <v>0</v>
      </c>
      <c r="AH51" s="181">
        <f t="shared" ref="AH51:AH62" si="39">AL51+AP51+AT51+AX51+BB51+BF51+BJ51+BN51+BR51+BV51+BZ51+CD51</f>
        <v>0</v>
      </c>
      <c r="AI51" s="193"/>
      <c r="AJ51" s="90"/>
      <c r="AK51" s="90"/>
      <c r="AL51" s="183">
        <f t="shared" ref="AL51:AL62" si="40">AJ51*AK51</f>
        <v>0</v>
      </c>
      <c r="AM51" s="193"/>
      <c r="AN51" s="90"/>
      <c r="AO51" s="90"/>
      <c r="AP51" s="183">
        <f t="shared" si="23"/>
        <v>0</v>
      </c>
      <c r="AQ51" s="193"/>
      <c r="AR51" s="90"/>
      <c r="AS51" s="90"/>
      <c r="AT51" s="183">
        <f t="shared" si="24"/>
        <v>0</v>
      </c>
      <c r="AU51" s="193"/>
      <c r="AV51" s="90"/>
      <c r="AW51" s="90"/>
      <c r="AX51" s="183">
        <f t="shared" si="25"/>
        <v>0</v>
      </c>
      <c r="AY51" s="193"/>
      <c r="AZ51" s="90"/>
      <c r="BA51" s="90"/>
      <c r="BB51" s="183">
        <f t="shared" si="26"/>
        <v>0</v>
      </c>
      <c r="BC51" s="193"/>
      <c r="BD51" s="90"/>
      <c r="BE51" s="90"/>
      <c r="BF51" s="183">
        <f t="shared" si="27"/>
        <v>0</v>
      </c>
      <c r="BG51" s="193"/>
      <c r="BH51" s="90"/>
      <c r="BI51" s="90"/>
      <c r="BJ51" s="183">
        <f t="shared" si="28"/>
        <v>0</v>
      </c>
      <c r="BK51" s="193"/>
      <c r="BL51" s="90"/>
      <c r="BM51" s="90"/>
      <c r="BN51" s="183">
        <f t="shared" si="29"/>
        <v>0</v>
      </c>
      <c r="BO51" s="193"/>
      <c r="BP51" s="90"/>
      <c r="BQ51" s="90"/>
      <c r="BR51" s="183">
        <f t="shared" si="30"/>
        <v>0</v>
      </c>
      <c r="BS51" s="193"/>
      <c r="BT51" s="90"/>
      <c r="BU51" s="90"/>
      <c r="BV51" s="183">
        <f t="shared" si="31"/>
        <v>0</v>
      </c>
      <c r="BW51" s="193"/>
      <c r="BX51" s="90"/>
      <c r="BY51" s="90"/>
      <c r="BZ51" s="183">
        <f t="shared" si="32"/>
        <v>0</v>
      </c>
      <c r="CA51" s="193"/>
      <c r="CB51" s="90"/>
      <c r="CC51" s="90"/>
      <c r="CD51" s="183">
        <f t="shared" si="33"/>
        <v>0</v>
      </c>
    </row>
    <row r="52" spans="2:82" x14ac:dyDescent="0.3">
      <c r="B52" s="53"/>
      <c r="C52" s="53" t="str">
        <f t="shared" si="0"/>
        <v>CPU_PinturadeLigação</v>
      </c>
      <c r="D52" s="278">
        <f t="shared" si="1"/>
        <v>2917</v>
      </c>
      <c r="E52" s="278">
        <f t="shared" si="2"/>
        <v>368333.33</v>
      </c>
      <c r="F52" s="1"/>
      <c r="G52" s="28" t="str">
        <f>IFERROR(VLOOKUP(F52,Tabela7[[RECURSO]:[CUSTO]],2,FALSE),"")</f>
        <v/>
      </c>
      <c r="I52" s="90">
        <f t="shared" ref="I52:I62" si="41">IFERROR(M52*$B$6,0)</f>
        <v>0</v>
      </c>
      <c r="J52" s="45">
        <f>IFERROR(VLOOKUP(F52,Tabela7[[RECURSO]:[CUSTO]],3,FALSE),0)</f>
        <v>0</v>
      </c>
      <c r="K52" s="45">
        <f t="shared" ref="K52:K62" si="42">I52*J52</f>
        <v>0</v>
      </c>
      <c r="M52" s="85"/>
      <c r="N52" s="88"/>
      <c r="AD52" s="144" t="str">
        <f t="shared" si="3"/>
        <v>Pintura de Ligação</v>
      </c>
      <c r="AE52" s="192"/>
      <c r="AF52" s="180">
        <f t="shared" si="38"/>
        <v>0</v>
      </c>
      <c r="AG52" s="180">
        <f t="shared" si="17"/>
        <v>0</v>
      </c>
      <c r="AH52" s="181">
        <f t="shared" si="39"/>
        <v>0</v>
      </c>
      <c r="AI52" s="193"/>
      <c r="AJ52" s="90"/>
      <c r="AK52" s="90"/>
      <c r="AL52" s="183">
        <f t="shared" si="40"/>
        <v>0</v>
      </c>
      <c r="AM52" s="193"/>
      <c r="AN52" s="90"/>
      <c r="AO52" s="90"/>
      <c r="AP52" s="183">
        <f t="shared" si="23"/>
        <v>0</v>
      </c>
      <c r="AQ52" s="193"/>
      <c r="AR52" s="90"/>
      <c r="AS52" s="90"/>
      <c r="AT52" s="183">
        <f t="shared" si="24"/>
        <v>0</v>
      </c>
      <c r="AU52" s="193"/>
      <c r="AV52" s="90"/>
      <c r="AW52" s="90"/>
      <c r="AX52" s="183">
        <f t="shared" si="25"/>
        <v>0</v>
      </c>
      <c r="AY52" s="193"/>
      <c r="AZ52" s="90"/>
      <c r="BA52" s="90"/>
      <c r="BB52" s="183">
        <f t="shared" si="26"/>
        <v>0</v>
      </c>
      <c r="BC52" s="193"/>
      <c r="BD52" s="90"/>
      <c r="BE52" s="90"/>
      <c r="BF52" s="183">
        <f t="shared" si="27"/>
        <v>0</v>
      </c>
      <c r="BG52" s="193"/>
      <c r="BH52" s="90"/>
      <c r="BI52" s="90"/>
      <c r="BJ52" s="183">
        <f t="shared" si="28"/>
        <v>0</v>
      </c>
      <c r="BK52" s="193"/>
      <c r="BL52" s="90"/>
      <c r="BM52" s="90"/>
      <c r="BN52" s="183">
        <f t="shared" si="29"/>
        <v>0</v>
      </c>
      <c r="BO52" s="193"/>
      <c r="BP52" s="90"/>
      <c r="BQ52" s="90"/>
      <c r="BR52" s="183">
        <f t="shared" si="30"/>
        <v>0</v>
      </c>
      <c r="BS52" s="193"/>
      <c r="BT52" s="90"/>
      <c r="BU52" s="90"/>
      <c r="BV52" s="183">
        <f t="shared" si="31"/>
        <v>0</v>
      </c>
      <c r="BW52" s="193"/>
      <c r="BX52" s="90"/>
      <c r="BY52" s="90"/>
      <c r="BZ52" s="183">
        <f t="shared" si="32"/>
        <v>0</v>
      </c>
      <c r="CA52" s="193"/>
      <c r="CB52" s="90"/>
      <c r="CC52" s="90"/>
      <c r="CD52" s="183">
        <f t="shared" si="33"/>
        <v>0</v>
      </c>
    </row>
    <row r="53" spans="2:82" x14ac:dyDescent="0.3">
      <c r="B53" s="53"/>
      <c r="C53" s="53" t="str">
        <f t="shared" si="0"/>
        <v>CPU_PinturadeLigação</v>
      </c>
      <c r="D53" s="278">
        <f t="shared" si="1"/>
        <v>2917</v>
      </c>
      <c r="E53" s="278">
        <f t="shared" si="2"/>
        <v>368333.33</v>
      </c>
      <c r="F53" s="1"/>
      <c r="G53" s="28" t="str">
        <f>IFERROR(VLOOKUP(F53,Tabela7[[RECURSO]:[CUSTO]],2,FALSE),"")</f>
        <v/>
      </c>
      <c r="I53" s="90">
        <f t="shared" si="41"/>
        <v>0</v>
      </c>
      <c r="J53" s="45">
        <f>IFERROR(VLOOKUP(F53,Tabela7[[RECURSO]:[CUSTO]],3,FALSE),0)</f>
        <v>0</v>
      </c>
      <c r="K53" s="45">
        <f t="shared" si="42"/>
        <v>0</v>
      </c>
      <c r="M53" s="85"/>
      <c r="N53" s="88"/>
      <c r="AD53" s="144" t="str">
        <f t="shared" si="3"/>
        <v>Pintura de Ligação</v>
      </c>
      <c r="AE53" s="192"/>
      <c r="AF53" s="180">
        <f t="shared" si="38"/>
        <v>0</v>
      </c>
      <c r="AG53" s="180">
        <f t="shared" si="17"/>
        <v>0</v>
      </c>
      <c r="AH53" s="181">
        <f t="shared" si="39"/>
        <v>0</v>
      </c>
      <c r="AI53" s="193"/>
      <c r="AJ53" s="90"/>
      <c r="AK53" s="90"/>
      <c r="AL53" s="183">
        <f t="shared" si="40"/>
        <v>0</v>
      </c>
      <c r="AM53" s="193"/>
      <c r="AN53" s="90"/>
      <c r="AO53" s="90"/>
      <c r="AP53" s="183">
        <f t="shared" si="23"/>
        <v>0</v>
      </c>
      <c r="AQ53" s="193"/>
      <c r="AR53" s="90"/>
      <c r="AS53" s="90"/>
      <c r="AT53" s="183">
        <f t="shared" si="24"/>
        <v>0</v>
      </c>
      <c r="AU53" s="193"/>
      <c r="AV53" s="90"/>
      <c r="AW53" s="90"/>
      <c r="AX53" s="183">
        <f t="shared" si="25"/>
        <v>0</v>
      </c>
      <c r="AY53" s="193"/>
      <c r="AZ53" s="90"/>
      <c r="BA53" s="90"/>
      <c r="BB53" s="183">
        <f t="shared" si="26"/>
        <v>0</v>
      </c>
      <c r="BC53" s="193"/>
      <c r="BD53" s="90"/>
      <c r="BE53" s="90"/>
      <c r="BF53" s="183">
        <f t="shared" si="27"/>
        <v>0</v>
      </c>
      <c r="BG53" s="193"/>
      <c r="BH53" s="90"/>
      <c r="BI53" s="90"/>
      <c r="BJ53" s="183">
        <f t="shared" si="28"/>
        <v>0</v>
      </c>
      <c r="BK53" s="193"/>
      <c r="BL53" s="90"/>
      <c r="BM53" s="90"/>
      <c r="BN53" s="183">
        <f t="shared" si="29"/>
        <v>0</v>
      </c>
      <c r="BO53" s="193"/>
      <c r="BP53" s="90"/>
      <c r="BQ53" s="90"/>
      <c r="BR53" s="183">
        <f t="shared" si="30"/>
        <v>0</v>
      </c>
      <c r="BS53" s="193"/>
      <c r="BT53" s="90"/>
      <c r="BU53" s="90"/>
      <c r="BV53" s="183">
        <f t="shared" si="31"/>
        <v>0</v>
      </c>
      <c r="BW53" s="193"/>
      <c r="BX53" s="90"/>
      <c r="BY53" s="90"/>
      <c r="BZ53" s="183">
        <f t="shared" si="32"/>
        <v>0</v>
      </c>
      <c r="CA53" s="193"/>
      <c r="CB53" s="90"/>
      <c r="CC53" s="90"/>
      <c r="CD53" s="183">
        <f t="shared" si="33"/>
        <v>0</v>
      </c>
    </row>
    <row r="54" spans="2:82" x14ac:dyDescent="0.3">
      <c r="B54" s="53"/>
      <c r="C54" s="53" t="str">
        <f t="shared" si="0"/>
        <v>CPU_PinturadeLigação</v>
      </c>
      <c r="D54" s="278">
        <f t="shared" si="1"/>
        <v>2917</v>
      </c>
      <c r="E54" s="278">
        <f t="shared" si="2"/>
        <v>368333.33</v>
      </c>
      <c r="F54" s="1"/>
      <c r="G54" s="28" t="str">
        <f>IFERROR(VLOOKUP(F54,Tabela7[[RECURSO]:[CUSTO]],2,FALSE),"")</f>
        <v/>
      </c>
      <c r="I54" s="90">
        <f t="shared" si="41"/>
        <v>0</v>
      </c>
      <c r="J54" s="45">
        <f>IFERROR(VLOOKUP(F54,Tabela7[[RECURSO]:[CUSTO]],3,FALSE),0)</f>
        <v>0</v>
      </c>
      <c r="K54" s="45">
        <f>I54*J54</f>
        <v>0</v>
      </c>
      <c r="M54" s="85"/>
      <c r="N54" s="88"/>
      <c r="AD54" s="144" t="str">
        <f>$B$3</f>
        <v>Pintura de Ligação</v>
      </c>
      <c r="AE54" s="192"/>
      <c r="AF54" s="180">
        <f t="shared" si="38"/>
        <v>0</v>
      </c>
      <c r="AG54" s="180">
        <f t="shared" si="17"/>
        <v>0</v>
      </c>
      <c r="AH54" s="181">
        <f t="shared" si="39"/>
        <v>0</v>
      </c>
      <c r="AI54" s="193"/>
      <c r="AJ54" s="90"/>
      <c r="AK54" s="90"/>
      <c r="AL54" s="183">
        <f t="shared" si="40"/>
        <v>0</v>
      </c>
      <c r="AM54" s="193"/>
      <c r="AN54" s="90"/>
      <c r="AO54" s="90"/>
      <c r="AP54" s="183">
        <f t="shared" si="23"/>
        <v>0</v>
      </c>
      <c r="AQ54" s="193"/>
      <c r="AR54" s="90"/>
      <c r="AS54" s="90"/>
      <c r="AT54" s="183">
        <f t="shared" si="24"/>
        <v>0</v>
      </c>
      <c r="AU54" s="193"/>
      <c r="AV54" s="90"/>
      <c r="AW54" s="90"/>
      <c r="AX54" s="183">
        <f t="shared" si="25"/>
        <v>0</v>
      </c>
      <c r="AY54" s="193"/>
      <c r="AZ54" s="90"/>
      <c r="BA54" s="90"/>
      <c r="BB54" s="183">
        <f t="shared" si="26"/>
        <v>0</v>
      </c>
      <c r="BC54" s="193"/>
      <c r="BD54" s="90"/>
      <c r="BE54" s="90"/>
      <c r="BF54" s="183">
        <f t="shared" si="27"/>
        <v>0</v>
      </c>
      <c r="BG54" s="193"/>
      <c r="BH54" s="90"/>
      <c r="BI54" s="90"/>
      <c r="BJ54" s="183">
        <f t="shared" si="28"/>
        <v>0</v>
      </c>
      <c r="BK54" s="193"/>
      <c r="BL54" s="90"/>
      <c r="BM54" s="90"/>
      <c r="BN54" s="183">
        <f t="shared" si="29"/>
        <v>0</v>
      </c>
      <c r="BO54" s="193"/>
      <c r="BP54" s="90"/>
      <c r="BQ54" s="90"/>
      <c r="BR54" s="183">
        <f t="shared" si="30"/>
        <v>0</v>
      </c>
      <c r="BS54" s="193"/>
      <c r="BT54" s="90"/>
      <c r="BU54" s="90"/>
      <c r="BV54" s="183">
        <f t="shared" si="31"/>
        <v>0</v>
      </c>
      <c r="BW54" s="193"/>
      <c r="BX54" s="90"/>
      <c r="BY54" s="90"/>
      <c r="BZ54" s="183">
        <f t="shared" si="32"/>
        <v>0</v>
      </c>
      <c r="CA54" s="193"/>
      <c r="CB54" s="90"/>
      <c r="CC54" s="90"/>
      <c r="CD54" s="183">
        <f t="shared" si="33"/>
        <v>0</v>
      </c>
    </row>
    <row r="55" spans="2:82" x14ac:dyDescent="0.3">
      <c r="B55" s="53"/>
      <c r="C55" s="53" t="str">
        <f t="shared" si="0"/>
        <v>CPU_PinturadeLigação</v>
      </c>
      <c r="D55" s="278">
        <f t="shared" si="1"/>
        <v>2917</v>
      </c>
      <c r="E55" s="278">
        <f t="shared" si="2"/>
        <v>368333.33</v>
      </c>
      <c r="F55" s="1"/>
      <c r="G55" s="28" t="str">
        <f>IFERROR(VLOOKUP(F55,Tabela7[[RECURSO]:[CUSTO]],2,FALSE),"")</f>
        <v/>
      </c>
      <c r="I55" s="90">
        <f t="shared" si="41"/>
        <v>0</v>
      </c>
      <c r="J55" s="45">
        <f>IFERROR(VLOOKUP(F55,Tabela7[[RECURSO]:[CUSTO]],3,FALSE),0)</f>
        <v>0</v>
      </c>
      <c r="K55" s="45">
        <f t="shared" si="42"/>
        <v>0</v>
      </c>
      <c r="M55" s="85"/>
      <c r="N55" s="88"/>
      <c r="AD55" s="144" t="str">
        <f t="shared" si="3"/>
        <v>Pintura de Ligação</v>
      </c>
      <c r="AE55" s="192"/>
      <c r="AF55" s="180">
        <f t="shared" si="38"/>
        <v>0</v>
      </c>
      <c r="AG55" s="180">
        <f t="shared" si="17"/>
        <v>0</v>
      </c>
      <c r="AH55" s="181">
        <f t="shared" si="39"/>
        <v>0</v>
      </c>
      <c r="AI55" s="193"/>
      <c r="AJ55" s="90"/>
      <c r="AK55" s="90"/>
      <c r="AL55" s="183">
        <f t="shared" si="40"/>
        <v>0</v>
      </c>
      <c r="AM55" s="193"/>
      <c r="AN55" s="90"/>
      <c r="AO55" s="90"/>
      <c r="AP55" s="183">
        <f t="shared" si="23"/>
        <v>0</v>
      </c>
      <c r="AQ55" s="193"/>
      <c r="AR55" s="90"/>
      <c r="AS55" s="90"/>
      <c r="AT55" s="183">
        <f t="shared" si="24"/>
        <v>0</v>
      </c>
      <c r="AU55" s="193"/>
      <c r="AV55" s="90"/>
      <c r="AW55" s="90"/>
      <c r="AX55" s="183">
        <f t="shared" si="25"/>
        <v>0</v>
      </c>
      <c r="AY55" s="193"/>
      <c r="AZ55" s="90"/>
      <c r="BA55" s="90"/>
      <c r="BB55" s="183">
        <f t="shared" si="26"/>
        <v>0</v>
      </c>
      <c r="BC55" s="193"/>
      <c r="BD55" s="90"/>
      <c r="BE55" s="90"/>
      <c r="BF55" s="183">
        <f t="shared" si="27"/>
        <v>0</v>
      </c>
      <c r="BG55" s="193"/>
      <c r="BH55" s="90"/>
      <c r="BI55" s="90"/>
      <c r="BJ55" s="183">
        <f t="shared" si="28"/>
        <v>0</v>
      </c>
      <c r="BK55" s="193"/>
      <c r="BL55" s="90"/>
      <c r="BM55" s="90"/>
      <c r="BN55" s="183">
        <f t="shared" si="29"/>
        <v>0</v>
      </c>
      <c r="BO55" s="193"/>
      <c r="BP55" s="90"/>
      <c r="BQ55" s="90"/>
      <c r="BR55" s="183">
        <f t="shared" si="30"/>
        <v>0</v>
      </c>
      <c r="BS55" s="193"/>
      <c r="BT55" s="90"/>
      <c r="BU55" s="90"/>
      <c r="BV55" s="183">
        <f t="shared" si="31"/>
        <v>0</v>
      </c>
      <c r="BW55" s="193"/>
      <c r="BX55" s="90"/>
      <c r="BY55" s="90"/>
      <c r="BZ55" s="183">
        <f t="shared" si="32"/>
        <v>0</v>
      </c>
      <c r="CA55" s="193"/>
      <c r="CB55" s="90"/>
      <c r="CC55" s="90"/>
      <c r="CD55" s="183">
        <f t="shared" si="33"/>
        <v>0</v>
      </c>
    </row>
    <row r="56" spans="2:82" x14ac:dyDescent="0.3">
      <c r="B56" s="53"/>
      <c r="C56" s="53" t="str">
        <f t="shared" si="0"/>
        <v>CPU_PinturadeLigação</v>
      </c>
      <c r="D56" s="278">
        <f t="shared" si="1"/>
        <v>2917</v>
      </c>
      <c r="E56" s="278">
        <f t="shared" si="2"/>
        <v>368333.33</v>
      </c>
      <c r="F56" s="1"/>
      <c r="G56" s="28" t="str">
        <f>IFERROR(VLOOKUP(F56,Tabela7[[RECURSO]:[CUSTO]],2,FALSE),"")</f>
        <v/>
      </c>
      <c r="I56" s="90">
        <f t="shared" si="41"/>
        <v>0</v>
      </c>
      <c r="J56" s="45">
        <f>IFERROR(VLOOKUP(F56,Tabela7[[RECURSO]:[CUSTO]],3,FALSE),0)</f>
        <v>0</v>
      </c>
      <c r="K56" s="45">
        <f t="shared" si="42"/>
        <v>0</v>
      </c>
      <c r="M56" s="85"/>
      <c r="N56" s="88"/>
      <c r="AD56" s="144" t="str">
        <f t="shared" si="3"/>
        <v>Pintura de Ligação</v>
      </c>
      <c r="AE56" s="192"/>
      <c r="AF56" s="180">
        <f t="shared" si="38"/>
        <v>0</v>
      </c>
      <c r="AG56" s="180">
        <f t="shared" si="17"/>
        <v>0</v>
      </c>
      <c r="AH56" s="181">
        <f t="shared" si="39"/>
        <v>0</v>
      </c>
      <c r="AI56" s="193"/>
      <c r="AJ56" s="90"/>
      <c r="AK56" s="90"/>
      <c r="AL56" s="183">
        <f t="shared" si="40"/>
        <v>0</v>
      </c>
      <c r="AM56" s="193"/>
      <c r="AN56" s="90"/>
      <c r="AO56" s="90"/>
      <c r="AP56" s="183">
        <f t="shared" si="23"/>
        <v>0</v>
      </c>
      <c r="AQ56" s="193"/>
      <c r="AR56" s="90"/>
      <c r="AS56" s="90"/>
      <c r="AT56" s="183">
        <f t="shared" si="24"/>
        <v>0</v>
      </c>
      <c r="AU56" s="193"/>
      <c r="AV56" s="90"/>
      <c r="AW56" s="90"/>
      <c r="AX56" s="183">
        <f t="shared" si="25"/>
        <v>0</v>
      </c>
      <c r="AY56" s="193"/>
      <c r="AZ56" s="90"/>
      <c r="BA56" s="90"/>
      <c r="BB56" s="183">
        <f t="shared" si="26"/>
        <v>0</v>
      </c>
      <c r="BC56" s="193"/>
      <c r="BD56" s="90"/>
      <c r="BE56" s="90"/>
      <c r="BF56" s="183">
        <f t="shared" si="27"/>
        <v>0</v>
      </c>
      <c r="BG56" s="193"/>
      <c r="BH56" s="90"/>
      <c r="BI56" s="90"/>
      <c r="BJ56" s="183">
        <f t="shared" si="28"/>
        <v>0</v>
      </c>
      <c r="BK56" s="193"/>
      <c r="BL56" s="90"/>
      <c r="BM56" s="90"/>
      <c r="BN56" s="183">
        <f t="shared" si="29"/>
        <v>0</v>
      </c>
      <c r="BO56" s="193"/>
      <c r="BP56" s="90"/>
      <c r="BQ56" s="90"/>
      <c r="BR56" s="183">
        <f t="shared" si="30"/>
        <v>0</v>
      </c>
      <c r="BS56" s="193"/>
      <c r="BT56" s="90"/>
      <c r="BU56" s="90"/>
      <c r="BV56" s="183">
        <f t="shared" si="31"/>
        <v>0</v>
      </c>
      <c r="BW56" s="193"/>
      <c r="BX56" s="90"/>
      <c r="BY56" s="90"/>
      <c r="BZ56" s="183">
        <f t="shared" si="32"/>
        <v>0</v>
      </c>
      <c r="CA56" s="193"/>
      <c r="CB56" s="90"/>
      <c r="CC56" s="90"/>
      <c r="CD56" s="183">
        <f t="shared" si="33"/>
        <v>0</v>
      </c>
    </row>
    <row r="57" spans="2:82" x14ac:dyDescent="0.3">
      <c r="B57" s="53"/>
      <c r="C57" s="53" t="str">
        <f t="shared" si="0"/>
        <v>CPU_PinturadeLigação</v>
      </c>
      <c r="D57" s="278">
        <f t="shared" si="1"/>
        <v>2917</v>
      </c>
      <c r="E57" s="278">
        <f t="shared" si="2"/>
        <v>368333.33</v>
      </c>
      <c r="F57" s="1"/>
      <c r="G57" s="28" t="str">
        <f>IFERROR(VLOOKUP(F57,Tabela7[[RECURSO]:[CUSTO]],2,FALSE),"")</f>
        <v/>
      </c>
      <c r="I57" s="90">
        <f t="shared" si="41"/>
        <v>0</v>
      </c>
      <c r="J57" s="45">
        <f>IFERROR(VLOOKUP(F57,Tabela7[[RECURSO]:[CUSTO]],3,FALSE),0)</f>
        <v>0</v>
      </c>
      <c r="K57" s="45">
        <f t="shared" si="42"/>
        <v>0</v>
      </c>
      <c r="M57" s="85"/>
      <c r="N57" s="88"/>
      <c r="AD57" s="144" t="str">
        <f t="shared" si="3"/>
        <v>Pintura de Ligação</v>
      </c>
      <c r="AE57" s="192"/>
      <c r="AF57" s="180">
        <f t="shared" si="38"/>
        <v>0</v>
      </c>
      <c r="AG57" s="180">
        <f t="shared" si="17"/>
        <v>0</v>
      </c>
      <c r="AH57" s="181">
        <f t="shared" si="39"/>
        <v>0</v>
      </c>
      <c r="AI57" s="193"/>
      <c r="AJ57" s="90"/>
      <c r="AK57" s="90"/>
      <c r="AL57" s="183">
        <f t="shared" si="40"/>
        <v>0</v>
      </c>
      <c r="AM57" s="193"/>
      <c r="AN57" s="90"/>
      <c r="AO57" s="90"/>
      <c r="AP57" s="183">
        <f t="shared" si="23"/>
        <v>0</v>
      </c>
      <c r="AQ57" s="193"/>
      <c r="AR57" s="90"/>
      <c r="AS57" s="90"/>
      <c r="AT57" s="183">
        <f t="shared" si="24"/>
        <v>0</v>
      </c>
      <c r="AU57" s="193"/>
      <c r="AV57" s="90"/>
      <c r="AW57" s="90"/>
      <c r="AX57" s="183">
        <f t="shared" si="25"/>
        <v>0</v>
      </c>
      <c r="AY57" s="193"/>
      <c r="AZ57" s="90"/>
      <c r="BA57" s="90"/>
      <c r="BB57" s="183">
        <f t="shared" si="26"/>
        <v>0</v>
      </c>
      <c r="BC57" s="193"/>
      <c r="BD57" s="90"/>
      <c r="BE57" s="90"/>
      <c r="BF57" s="183">
        <f t="shared" si="27"/>
        <v>0</v>
      </c>
      <c r="BG57" s="193"/>
      <c r="BH57" s="90"/>
      <c r="BI57" s="90"/>
      <c r="BJ57" s="183">
        <f t="shared" si="28"/>
        <v>0</v>
      </c>
      <c r="BK57" s="193"/>
      <c r="BL57" s="90"/>
      <c r="BM57" s="90"/>
      <c r="BN57" s="183">
        <f t="shared" si="29"/>
        <v>0</v>
      </c>
      <c r="BO57" s="193"/>
      <c r="BP57" s="90"/>
      <c r="BQ57" s="90"/>
      <c r="BR57" s="183">
        <f t="shared" si="30"/>
        <v>0</v>
      </c>
      <c r="BS57" s="193"/>
      <c r="BT57" s="90"/>
      <c r="BU57" s="90"/>
      <c r="BV57" s="183">
        <f t="shared" si="31"/>
        <v>0</v>
      </c>
      <c r="BW57" s="193"/>
      <c r="BX57" s="90"/>
      <c r="BY57" s="90"/>
      <c r="BZ57" s="183">
        <f t="shared" si="32"/>
        <v>0</v>
      </c>
      <c r="CA57" s="193"/>
      <c r="CB57" s="90"/>
      <c r="CC57" s="90"/>
      <c r="CD57" s="183">
        <f t="shared" si="33"/>
        <v>0</v>
      </c>
    </row>
    <row r="58" spans="2:82" x14ac:dyDescent="0.3">
      <c r="B58" s="53"/>
      <c r="C58" s="53" t="str">
        <f t="shared" si="0"/>
        <v>CPU_PinturadeLigação</v>
      </c>
      <c r="D58" s="278">
        <f t="shared" si="1"/>
        <v>2917</v>
      </c>
      <c r="E58" s="278">
        <f t="shared" si="2"/>
        <v>368333.33</v>
      </c>
      <c r="F58" s="1"/>
      <c r="G58" s="28" t="str">
        <f>IFERROR(VLOOKUP(F58,Tabela7[[RECURSO]:[CUSTO]],2,FALSE),"")</f>
        <v/>
      </c>
      <c r="I58" s="90">
        <f t="shared" si="41"/>
        <v>0</v>
      </c>
      <c r="J58" s="45">
        <f>IFERROR(VLOOKUP(F58,Tabela7[[RECURSO]:[CUSTO]],3,FALSE),0)</f>
        <v>0</v>
      </c>
      <c r="K58" s="45">
        <f t="shared" si="42"/>
        <v>0</v>
      </c>
      <c r="M58" s="85"/>
      <c r="N58" s="88"/>
      <c r="AD58" s="144" t="str">
        <f t="shared" si="3"/>
        <v>Pintura de Ligação</v>
      </c>
      <c r="AE58" s="192"/>
      <c r="AF58" s="180">
        <f t="shared" si="38"/>
        <v>0</v>
      </c>
      <c r="AG58" s="180">
        <f t="shared" si="17"/>
        <v>0</v>
      </c>
      <c r="AH58" s="181">
        <f t="shared" si="39"/>
        <v>0</v>
      </c>
      <c r="AI58" s="193"/>
      <c r="AJ58" s="90"/>
      <c r="AK58" s="90"/>
      <c r="AL58" s="183">
        <f t="shared" si="40"/>
        <v>0</v>
      </c>
      <c r="AM58" s="193"/>
      <c r="AN58" s="90"/>
      <c r="AO58" s="90"/>
      <c r="AP58" s="183">
        <f t="shared" si="23"/>
        <v>0</v>
      </c>
      <c r="AQ58" s="193"/>
      <c r="AR58" s="90"/>
      <c r="AS58" s="90"/>
      <c r="AT58" s="183">
        <f t="shared" si="24"/>
        <v>0</v>
      </c>
      <c r="AU58" s="193"/>
      <c r="AV58" s="90"/>
      <c r="AW58" s="90"/>
      <c r="AX58" s="183">
        <f t="shared" si="25"/>
        <v>0</v>
      </c>
      <c r="AY58" s="193"/>
      <c r="AZ58" s="90"/>
      <c r="BA58" s="90"/>
      <c r="BB58" s="183">
        <f t="shared" si="26"/>
        <v>0</v>
      </c>
      <c r="BC58" s="193"/>
      <c r="BD58" s="90"/>
      <c r="BE58" s="90"/>
      <c r="BF58" s="183">
        <f t="shared" si="27"/>
        <v>0</v>
      </c>
      <c r="BG58" s="193"/>
      <c r="BH58" s="90"/>
      <c r="BI58" s="90"/>
      <c r="BJ58" s="183">
        <f t="shared" si="28"/>
        <v>0</v>
      </c>
      <c r="BK58" s="193"/>
      <c r="BL58" s="90"/>
      <c r="BM58" s="90"/>
      <c r="BN58" s="183">
        <f t="shared" si="29"/>
        <v>0</v>
      </c>
      <c r="BO58" s="193"/>
      <c r="BP58" s="90"/>
      <c r="BQ58" s="90"/>
      <c r="BR58" s="183">
        <f t="shared" si="30"/>
        <v>0</v>
      </c>
      <c r="BS58" s="193"/>
      <c r="BT58" s="90"/>
      <c r="BU58" s="90"/>
      <c r="BV58" s="183">
        <f t="shared" si="31"/>
        <v>0</v>
      </c>
      <c r="BW58" s="193"/>
      <c r="BX58" s="90"/>
      <c r="BY58" s="90"/>
      <c r="BZ58" s="183">
        <f t="shared" si="32"/>
        <v>0</v>
      </c>
      <c r="CA58" s="193"/>
      <c r="CB58" s="90"/>
      <c r="CC58" s="90"/>
      <c r="CD58" s="183">
        <f t="shared" si="33"/>
        <v>0</v>
      </c>
    </row>
    <row r="59" spans="2:82" x14ac:dyDescent="0.3">
      <c r="B59" s="53"/>
      <c r="C59" s="53" t="str">
        <f t="shared" si="0"/>
        <v>CPU_PinturadeLigação</v>
      </c>
      <c r="D59" s="278">
        <f t="shared" si="1"/>
        <v>2917</v>
      </c>
      <c r="E59" s="278">
        <f t="shared" si="2"/>
        <v>368333.33</v>
      </c>
      <c r="F59" s="1"/>
      <c r="G59" s="28" t="str">
        <f>IFERROR(VLOOKUP(F59,Tabela7[[RECURSO]:[CUSTO]],2,FALSE),"")</f>
        <v/>
      </c>
      <c r="I59" s="90">
        <f t="shared" si="41"/>
        <v>0</v>
      </c>
      <c r="J59" s="45">
        <f>IFERROR(VLOOKUP(F59,Tabela7[[RECURSO]:[CUSTO]],3,FALSE),0)</f>
        <v>0</v>
      </c>
      <c r="K59" s="45">
        <f t="shared" si="42"/>
        <v>0</v>
      </c>
      <c r="M59" s="85"/>
      <c r="N59" s="88"/>
      <c r="AD59" s="144" t="str">
        <f t="shared" si="3"/>
        <v>Pintura de Ligação</v>
      </c>
      <c r="AE59" s="192"/>
      <c r="AF59" s="180">
        <f t="shared" si="38"/>
        <v>0</v>
      </c>
      <c r="AG59" s="180">
        <f t="shared" si="17"/>
        <v>0</v>
      </c>
      <c r="AH59" s="181">
        <f t="shared" si="39"/>
        <v>0</v>
      </c>
      <c r="AI59" s="193"/>
      <c r="AJ59" s="90"/>
      <c r="AK59" s="90"/>
      <c r="AL59" s="183">
        <f t="shared" si="40"/>
        <v>0</v>
      </c>
      <c r="AM59" s="193"/>
      <c r="AN59" s="90"/>
      <c r="AO59" s="90"/>
      <c r="AP59" s="183">
        <f t="shared" si="23"/>
        <v>0</v>
      </c>
      <c r="AQ59" s="193"/>
      <c r="AR59" s="90"/>
      <c r="AS59" s="90"/>
      <c r="AT59" s="183">
        <f t="shared" si="24"/>
        <v>0</v>
      </c>
      <c r="AU59" s="193"/>
      <c r="AV59" s="90"/>
      <c r="AW59" s="90"/>
      <c r="AX59" s="183">
        <f t="shared" si="25"/>
        <v>0</v>
      </c>
      <c r="AY59" s="193"/>
      <c r="AZ59" s="90"/>
      <c r="BA59" s="90"/>
      <c r="BB59" s="183">
        <f t="shared" si="26"/>
        <v>0</v>
      </c>
      <c r="BC59" s="193"/>
      <c r="BD59" s="90"/>
      <c r="BE59" s="90"/>
      <c r="BF59" s="183">
        <f t="shared" si="27"/>
        <v>0</v>
      </c>
      <c r="BG59" s="193"/>
      <c r="BH59" s="90"/>
      <c r="BI59" s="90"/>
      <c r="BJ59" s="183">
        <f t="shared" si="28"/>
        <v>0</v>
      </c>
      <c r="BK59" s="193"/>
      <c r="BL59" s="90"/>
      <c r="BM59" s="90"/>
      <c r="BN59" s="183">
        <f t="shared" si="29"/>
        <v>0</v>
      </c>
      <c r="BO59" s="193"/>
      <c r="BP59" s="90"/>
      <c r="BQ59" s="90"/>
      <c r="BR59" s="183">
        <f t="shared" si="30"/>
        <v>0</v>
      </c>
      <c r="BS59" s="193"/>
      <c r="BT59" s="90"/>
      <c r="BU59" s="90"/>
      <c r="BV59" s="183">
        <f t="shared" si="31"/>
        <v>0</v>
      </c>
      <c r="BW59" s="193"/>
      <c r="BX59" s="90"/>
      <c r="BY59" s="90"/>
      <c r="BZ59" s="183">
        <f t="shared" si="32"/>
        <v>0</v>
      </c>
      <c r="CA59" s="193"/>
      <c r="CB59" s="90"/>
      <c r="CC59" s="90"/>
      <c r="CD59" s="183">
        <f t="shared" si="33"/>
        <v>0</v>
      </c>
    </row>
    <row r="60" spans="2:82" x14ac:dyDescent="0.3">
      <c r="B60" s="53"/>
      <c r="C60" s="53" t="str">
        <f t="shared" si="0"/>
        <v>CPU_PinturadeLigação</v>
      </c>
      <c r="D60" s="278">
        <f t="shared" si="1"/>
        <v>2917</v>
      </c>
      <c r="E60" s="278">
        <f t="shared" si="2"/>
        <v>368333.33</v>
      </c>
      <c r="F60" s="1"/>
      <c r="G60" s="28" t="str">
        <f>IFERROR(VLOOKUP(F60,Tabela7[[RECURSO]:[CUSTO]],2,FALSE),"")</f>
        <v/>
      </c>
      <c r="I60" s="90">
        <f t="shared" si="41"/>
        <v>0</v>
      </c>
      <c r="J60" s="45">
        <f>IFERROR(VLOOKUP(F60,Tabela7[[RECURSO]:[CUSTO]],3,FALSE),0)</f>
        <v>0</v>
      </c>
      <c r="K60" s="45">
        <f t="shared" si="42"/>
        <v>0</v>
      </c>
      <c r="M60" s="85"/>
      <c r="N60" s="88"/>
      <c r="AD60" s="144" t="str">
        <f t="shared" si="3"/>
        <v>Pintura de Ligação</v>
      </c>
      <c r="AE60" s="192"/>
      <c r="AF60" s="180">
        <f t="shared" si="38"/>
        <v>0</v>
      </c>
      <c r="AG60" s="180">
        <f t="shared" si="17"/>
        <v>0</v>
      </c>
      <c r="AH60" s="181">
        <f t="shared" si="39"/>
        <v>0</v>
      </c>
      <c r="AI60" s="193"/>
      <c r="AJ60" s="90"/>
      <c r="AK60" s="90"/>
      <c r="AL60" s="183">
        <f t="shared" si="40"/>
        <v>0</v>
      </c>
      <c r="AM60" s="193"/>
      <c r="AN60" s="90"/>
      <c r="AO60" s="90"/>
      <c r="AP60" s="183">
        <f t="shared" si="23"/>
        <v>0</v>
      </c>
      <c r="AQ60" s="193"/>
      <c r="AR60" s="90"/>
      <c r="AS60" s="90"/>
      <c r="AT60" s="183">
        <f t="shared" si="24"/>
        <v>0</v>
      </c>
      <c r="AU60" s="193"/>
      <c r="AV60" s="90"/>
      <c r="AW60" s="90"/>
      <c r="AX60" s="183">
        <f t="shared" si="25"/>
        <v>0</v>
      </c>
      <c r="AY60" s="193"/>
      <c r="AZ60" s="90"/>
      <c r="BA60" s="90"/>
      <c r="BB60" s="183">
        <f t="shared" si="26"/>
        <v>0</v>
      </c>
      <c r="BC60" s="193"/>
      <c r="BD60" s="90"/>
      <c r="BE60" s="90"/>
      <c r="BF60" s="183">
        <f t="shared" si="27"/>
        <v>0</v>
      </c>
      <c r="BG60" s="193"/>
      <c r="BH60" s="90"/>
      <c r="BI60" s="90"/>
      <c r="BJ60" s="183">
        <f t="shared" si="28"/>
        <v>0</v>
      </c>
      <c r="BK60" s="193"/>
      <c r="BL60" s="90"/>
      <c r="BM60" s="90"/>
      <c r="BN60" s="183">
        <f t="shared" si="29"/>
        <v>0</v>
      </c>
      <c r="BO60" s="193"/>
      <c r="BP60" s="90"/>
      <c r="BQ60" s="90"/>
      <c r="BR60" s="183">
        <f t="shared" si="30"/>
        <v>0</v>
      </c>
      <c r="BS60" s="193"/>
      <c r="BT60" s="90"/>
      <c r="BU60" s="90"/>
      <c r="BV60" s="183">
        <f t="shared" si="31"/>
        <v>0</v>
      </c>
      <c r="BW60" s="193"/>
      <c r="BX60" s="90"/>
      <c r="BY60" s="90"/>
      <c r="BZ60" s="183">
        <f t="shared" si="32"/>
        <v>0</v>
      </c>
      <c r="CA60" s="193"/>
      <c r="CB60" s="90"/>
      <c r="CC60" s="90"/>
      <c r="CD60" s="183">
        <f t="shared" si="33"/>
        <v>0</v>
      </c>
    </row>
    <row r="61" spans="2:82" x14ac:dyDescent="0.3">
      <c r="B61" s="53"/>
      <c r="C61" s="53" t="str">
        <f t="shared" si="0"/>
        <v>CPU_PinturadeLigação</v>
      </c>
      <c r="D61" s="278">
        <f t="shared" si="1"/>
        <v>2917</v>
      </c>
      <c r="E61" s="278">
        <f t="shared" si="2"/>
        <v>368333.33</v>
      </c>
      <c r="F61" s="1"/>
      <c r="G61" s="28" t="str">
        <f>IFERROR(VLOOKUP(F61,Tabela7[[RECURSO]:[CUSTO]],2,FALSE),"")</f>
        <v/>
      </c>
      <c r="I61" s="90">
        <f t="shared" si="41"/>
        <v>0</v>
      </c>
      <c r="J61" s="45">
        <f>IFERROR(VLOOKUP(F61,Tabela7[[RECURSO]:[CUSTO]],3,FALSE),0)</f>
        <v>0</v>
      </c>
      <c r="K61" s="45">
        <f t="shared" si="42"/>
        <v>0</v>
      </c>
      <c r="M61" s="85"/>
      <c r="N61" s="88"/>
      <c r="AD61" s="144" t="str">
        <f t="shared" si="3"/>
        <v>Pintura de Ligação</v>
      </c>
      <c r="AE61" s="192"/>
      <c r="AF61" s="180">
        <f t="shared" si="38"/>
        <v>0</v>
      </c>
      <c r="AG61" s="180">
        <f t="shared" si="17"/>
        <v>0</v>
      </c>
      <c r="AH61" s="181">
        <f t="shared" si="39"/>
        <v>0</v>
      </c>
      <c r="AI61" s="193"/>
      <c r="AJ61" s="90"/>
      <c r="AK61" s="90"/>
      <c r="AL61" s="183">
        <f t="shared" si="40"/>
        <v>0</v>
      </c>
      <c r="AM61" s="193"/>
      <c r="AN61" s="90"/>
      <c r="AO61" s="90"/>
      <c r="AP61" s="183">
        <f t="shared" si="23"/>
        <v>0</v>
      </c>
      <c r="AQ61" s="193"/>
      <c r="AR61" s="90"/>
      <c r="AS61" s="90"/>
      <c r="AT61" s="183">
        <f t="shared" si="24"/>
        <v>0</v>
      </c>
      <c r="AU61" s="193"/>
      <c r="AV61" s="90"/>
      <c r="AW61" s="90"/>
      <c r="AX61" s="183">
        <f t="shared" si="25"/>
        <v>0</v>
      </c>
      <c r="AY61" s="193"/>
      <c r="AZ61" s="90"/>
      <c r="BA61" s="90"/>
      <c r="BB61" s="183">
        <f t="shared" si="26"/>
        <v>0</v>
      </c>
      <c r="BC61" s="193"/>
      <c r="BD61" s="90"/>
      <c r="BE61" s="90"/>
      <c r="BF61" s="183">
        <f t="shared" si="27"/>
        <v>0</v>
      </c>
      <c r="BG61" s="193"/>
      <c r="BH61" s="90"/>
      <c r="BI61" s="90"/>
      <c r="BJ61" s="183">
        <f t="shared" si="28"/>
        <v>0</v>
      </c>
      <c r="BK61" s="193"/>
      <c r="BL61" s="90"/>
      <c r="BM61" s="90"/>
      <c r="BN61" s="183">
        <f t="shared" si="29"/>
        <v>0</v>
      </c>
      <c r="BO61" s="193"/>
      <c r="BP61" s="90"/>
      <c r="BQ61" s="90"/>
      <c r="BR61" s="183">
        <f t="shared" si="30"/>
        <v>0</v>
      </c>
      <c r="BS61" s="193"/>
      <c r="BT61" s="90"/>
      <c r="BU61" s="90"/>
      <c r="BV61" s="183">
        <f t="shared" si="31"/>
        <v>0</v>
      </c>
      <c r="BW61" s="193"/>
      <c r="BX61" s="90"/>
      <c r="BY61" s="90"/>
      <c r="BZ61" s="183">
        <f t="shared" si="32"/>
        <v>0</v>
      </c>
      <c r="CA61" s="193"/>
      <c r="CB61" s="90"/>
      <c r="CC61" s="90"/>
      <c r="CD61" s="183">
        <f t="shared" si="33"/>
        <v>0</v>
      </c>
    </row>
    <row r="62" spans="2:82" ht="15" thickBot="1" x14ac:dyDescent="0.35">
      <c r="B62" s="53"/>
      <c r="C62" s="53" t="str">
        <f t="shared" si="0"/>
        <v>CPU_PinturadeLigação</v>
      </c>
      <c r="D62" s="278">
        <f t="shared" si="1"/>
        <v>2917</v>
      </c>
      <c r="E62" s="278">
        <f t="shared" si="2"/>
        <v>368333.33</v>
      </c>
      <c r="F62" s="1"/>
      <c r="G62" s="28" t="str">
        <f>IFERROR(VLOOKUP(F62,Tabela7[[RECURSO]:[CUSTO]],2,FALSE),"")</f>
        <v/>
      </c>
      <c r="I62" s="90">
        <f t="shared" si="41"/>
        <v>0</v>
      </c>
      <c r="J62" s="45">
        <f>IFERROR(VLOOKUP(F62,Tabela7[[RECURSO]:[CUSTO]],3,FALSE),0)</f>
        <v>0</v>
      </c>
      <c r="K62" s="45">
        <f t="shared" si="42"/>
        <v>0</v>
      </c>
      <c r="M62" s="86"/>
      <c r="N62" s="88"/>
      <c r="AD62" s="144" t="str">
        <f t="shared" si="3"/>
        <v>Pintura de Ligação</v>
      </c>
      <c r="AE62" s="194"/>
      <c r="AF62" s="195">
        <f t="shared" si="38"/>
        <v>0</v>
      </c>
      <c r="AG62" s="195">
        <f t="shared" si="17"/>
        <v>0</v>
      </c>
      <c r="AH62" s="196">
        <f t="shared" si="39"/>
        <v>0</v>
      </c>
      <c r="AI62" s="197"/>
      <c r="AJ62" s="198"/>
      <c r="AK62" s="198"/>
      <c r="AL62" s="199">
        <f t="shared" si="40"/>
        <v>0</v>
      </c>
      <c r="AM62" s="197"/>
      <c r="AN62" s="198"/>
      <c r="AO62" s="198"/>
      <c r="AP62" s="199">
        <f t="shared" si="23"/>
        <v>0</v>
      </c>
      <c r="AQ62" s="197"/>
      <c r="AR62" s="198"/>
      <c r="AS62" s="198"/>
      <c r="AT62" s="199">
        <f t="shared" si="24"/>
        <v>0</v>
      </c>
      <c r="AU62" s="197"/>
      <c r="AV62" s="198"/>
      <c r="AW62" s="198"/>
      <c r="AX62" s="199">
        <f t="shared" si="25"/>
        <v>0</v>
      </c>
      <c r="AY62" s="197"/>
      <c r="AZ62" s="198"/>
      <c r="BA62" s="198"/>
      <c r="BB62" s="199">
        <f t="shared" si="26"/>
        <v>0</v>
      </c>
      <c r="BC62" s="197"/>
      <c r="BD62" s="198"/>
      <c r="BE62" s="198"/>
      <c r="BF62" s="199">
        <f t="shared" si="27"/>
        <v>0</v>
      </c>
      <c r="BG62" s="197"/>
      <c r="BH62" s="198"/>
      <c r="BI62" s="198"/>
      <c r="BJ62" s="199">
        <f t="shared" si="28"/>
        <v>0</v>
      </c>
      <c r="BK62" s="197"/>
      <c r="BL62" s="198"/>
      <c r="BM62" s="198"/>
      <c r="BN62" s="199">
        <f t="shared" si="29"/>
        <v>0</v>
      </c>
      <c r="BO62" s="197"/>
      <c r="BP62" s="198"/>
      <c r="BQ62" s="198"/>
      <c r="BR62" s="199">
        <f t="shared" si="30"/>
        <v>0</v>
      </c>
      <c r="BS62" s="197"/>
      <c r="BT62" s="198"/>
      <c r="BU62" s="198"/>
      <c r="BV62" s="199">
        <f t="shared" si="31"/>
        <v>0</v>
      </c>
      <c r="BW62" s="197"/>
      <c r="BX62" s="198"/>
      <c r="BY62" s="198"/>
      <c r="BZ62" s="199">
        <f t="shared" si="32"/>
        <v>0</v>
      </c>
      <c r="CA62" s="197"/>
      <c r="CB62" s="198"/>
      <c r="CC62" s="198"/>
      <c r="CD62" s="199">
        <f t="shared" si="33"/>
        <v>0</v>
      </c>
    </row>
  </sheetData>
  <conditionalFormatting sqref="K6:K7">
    <cfRule type="iconSet" priority="14">
      <iconSet>
        <cfvo type="percent" val="0"/>
        <cfvo type="num" val="0"/>
        <cfvo type="num" val="0.02"/>
      </iconSet>
    </cfRule>
  </conditionalFormatting>
  <conditionalFormatting sqref="AH6:AH7">
    <cfRule type="iconSet" priority="13">
      <iconSet>
        <cfvo type="percent" val="0"/>
        <cfvo type="num" val="0"/>
        <cfvo type="num" val="0.02"/>
      </iconSet>
    </cfRule>
  </conditionalFormatting>
  <conditionalFormatting sqref="AL6:AL7">
    <cfRule type="iconSet" priority="12">
      <iconSet>
        <cfvo type="percent" val="0"/>
        <cfvo type="num" val="0"/>
        <cfvo type="num" val="0.02"/>
      </iconSet>
    </cfRule>
  </conditionalFormatting>
  <conditionalFormatting sqref="AP6:AP7">
    <cfRule type="iconSet" priority="11">
      <iconSet>
        <cfvo type="percent" val="0"/>
        <cfvo type="num" val="0"/>
        <cfvo type="num" val="0.02"/>
      </iconSet>
    </cfRule>
  </conditionalFormatting>
  <conditionalFormatting sqref="AT6:AT7">
    <cfRule type="iconSet" priority="10">
      <iconSet>
        <cfvo type="percent" val="0"/>
        <cfvo type="num" val="0"/>
        <cfvo type="num" val="0.02"/>
      </iconSet>
    </cfRule>
  </conditionalFormatting>
  <conditionalFormatting sqref="AX6:AX7">
    <cfRule type="iconSet" priority="9">
      <iconSet>
        <cfvo type="percent" val="0"/>
        <cfvo type="num" val="0"/>
        <cfvo type="num" val="0.02"/>
      </iconSet>
    </cfRule>
  </conditionalFormatting>
  <conditionalFormatting sqref="BB6:BB7">
    <cfRule type="iconSet" priority="8">
      <iconSet>
        <cfvo type="percent" val="0"/>
        <cfvo type="num" val="0"/>
        <cfvo type="num" val="0.02"/>
      </iconSet>
    </cfRule>
  </conditionalFormatting>
  <conditionalFormatting sqref="BF6:BF7">
    <cfRule type="iconSet" priority="7">
      <iconSet>
        <cfvo type="percent" val="0"/>
        <cfvo type="num" val="0"/>
        <cfvo type="num" val="0.02"/>
      </iconSet>
    </cfRule>
  </conditionalFormatting>
  <conditionalFormatting sqref="BJ6:BJ7">
    <cfRule type="iconSet" priority="6">
      <iconSet>
        <cfvo type="percent" val="0"/>
        <cfvo type="num" val="0"/>
        <cfvo type="num" val="0.02"/>
      </iconSet>
    </cfRule>
  </conditionalFormatting>
  <conditionalFormatting sqref="BN6:BN7">
    <cfRule type="iconSet" priority="5">
      <iconSet>
        <cfvo type="percent" val="0"/>
        <cfvo type="num" val="0"/>
        <cfvo type="num" val="0.02"/>
      </iconSet>
    </cfRule>
  </conditionalFormatting>
  <conditionalFormatting sqref="BR6:BR7">
    <cfRule type="iconSet" priority="4">
      <iconSet>
        <cfvo type="percent" val="0"/>
        <cfvo type="num" val="0"/>
        <cfvo type="num" val="0.02"/>
      </iconSet>
    </cfRule>
  </conditionalFormatting>
  <conditionalFormatting sqref="BV6:BV7">
    <cfRule type="iconSet" priority="3">
      <iconSet>
        <cfvo type="percent" val="0"/>
        <cfvo type="num" val="0"/>
        <cfvo type="num" val="0.02"/>
      </iconSet>
    </cfRule>
  </conditionalFormatting>
  <conditionalFormatting sqref="BZ6:BZ7">
    <cfRule type="iconSet" priority="2">
      <iconSet>
        <cfvo type="percent" val="0"/>
        <cfvo type="num" val="0"/>
        <cfvo type="num" val="0.02"/>
      </iconSet>
    </cfRule>
  </conditionalFormatting>
  <conditionalFormatting sqref="CD6:CD7">
    <cfRule type="iconSet" priority="1">
      <iconSet>
        <cfvo type="percent" val="0"/>
        <cfvo type="num" val="0"/>
        <cfvo type="num" val="0.02"/>
      </iconSet>
    </cfRule>
  </conditionalFormatting>
  <dataValidations count="5">
    <dataValidation type="list" allowBlank="1" showInputMessage="1" showErrorMessage="1" sqref="F51:F62" xr:uid="{66B2532C-CAA7-408F-AB9D-856EE7600A96}">
      <formula1>INDIRECT($B$50)</formula1>
    </dataValidation>
    <dataValidation type="list" allowBlank="1" showInputMessage="1" showErrorMessage="1" sqref="F38:F49" xr:uid="{F3A42AE1-2BF7-45F3-9324-002035C24A48}">
      <formula1>INDIRECT($B$37)</formula1>
    </dataValidation>
    <dataValidation type="list" allowBlank="1" showInputMessage="1" showErrorMessage="1" sqref="F25:F36" xr:uid="{A5970EBA-CD23-4D3B-9A33-3CCEE95B0872}">
      <formula1>INDIRECT($B$24)</formula1>
    </dataValidation>
    <dataValidation type="list" allowBlank="1" showInputMessage="1" showErrorMessage="1" sqref="F12:F23" xr:uid="{6C549848-DB88-4F58-8E63-E8F3CAC6A13A}">
      <formula1>INDIRECT($B$11)</formula1>
    </dataValidation>
    <dataValidation type="list" allowBlank="1" showInputMessage="1" showErrorMessage="1" sqref="B3:E3" xr:uid="{84251DE5-8575-4FEF-892A-098581844009}">
      <formula1>INDIRECT($B$2)</formula1>
    </dataValidation>
  </dataValidations>
  <pageMargins left="0.51181102362204722" right="0.51181102362204722" top="0.19685039370078741" bottom="0.19685039370078741" header="0.31496062992125984" footer="0.31496062992125984"/>
  <pageSetup paperSize="9" scale="82" orientation="portrait" r:id="rId1"/>
  <colBreaks count="1" manualBreakCount="1">
    <brk id="11" max="1048575" man="1"/>
  </colBreaks>
  <drawing r:id="rId2"/>
  <legacyDrawing r:id="rId3"/>
  <tableParts count="2"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620FB-62D3-4ADE-A5A7-33D5EBD70FE4}">
  <sheetPr codeName="Plan39"/>
  <dimension ref="A1:CD62"/>
  <sheetViews>
    <sheetView showGridLines="0" zoomScaleNormal="100" workbookViewId="0">
      <pane xSplit="14" ySplit="10" topLeftCell="O17" activePane="bottomRight" state="frozen"/>
      <selection pane="topRight" activeCell="C28" activeCellId="1" sqref="E13 C28"/>
      <selection pane="bottomLeft" activeCell="C28" activeCellId="1" sqref="E13 C28"/>
      <selection pane="bottomRight" activeCell="F26" sqref="F26"/>
    </sheetView>
  </sheetViews>
  <sheetFormatPr defaultRowHeight="14.4" x14ac:dyDescent="0.3"/>
  <cols>
    <col min="1" max="1" width="4.109375" customWidth="1"/>
    <col min="2" max="2" width="16.109375" customWidth="1"/>
    <col min="3" max="5" width="16.109375" hidden="1" customWidth="1"/>
    <col min="6" max="6" width="40.6640625" customWidth="1"/>
    <col min="7" max="7" width="10.6640625" style="28" customWidth="1"/>
    <col min="8" max="8" width="7.6640625" style="28" customWidth="1"/>
    <col min="9" max="11" width="10.6640625" customWidth="1"/>
    <col min="12" max="12" width="2.33203125" customWidth="1"/>
    <col min="13" max="14" width="12.6640625" customWidth="1"/>
    <col min="15" max="15" width="14" bestFit="1" customWidth="1"/>
    <col min="30" max="30" width="12.44140625" bestFit="1" customWidth="1"/>
    <col min="31" max="31" width="7.6640625" customWidth="1"/>
    <col min="32" max="32" width="9.33203125" bestFit="1" customWidth="1"/>
    <col min="33" max="34" width="10.6640625" customWidth="1"/>
    <col min="35" max="35" width="7.6640625" customWidth="1"/>
    <col min="36" max="36" width="9.33203125" customWidth="1"/>
    <col min="37" max="38" width="10.6640625" customWidth="1"/>
    <col min="40" max="40" width="9.33203125" customWidth="1"/>
    <col min="42" max="42" width="9.6640625" customWidth="1"/>
    <col min="44" max="44" width="9.33203125" customWidth="1"/>
    <col min="46" max="46" width="9.6640625" customWidth="1"/>
    <col min="48" max="48" width="9.33203125" customWidth="1"/>
    <col min="50" max="50" width="9.6640625" customWidth="1"/>
    <col min="52" max="52" width="9.33203125" customWidth="1"/>
    <col min="54" max="54" width="9.6640625" customWidth="1"/>
    <col min="56" max="56" width="9.33203125" customWidth="1"/>
    <col min="58" max="58" width="9.6640625" customWidth="1"/>
    <col min="60" max="60" width="9.33203125" customWidth="1"/>
    <col min="62" max="62" width="9.6640625" customWidth="1"/>
    <col min="64" max="64" width="9.33203125" customWidth="1"/>
    <col min="66" max="66" width="9.6640625" customWidth="1"/>
    <col min="68" max="68" width="9.33203125" customWidth="1"/>
    <col min="70" max="70" width="9.6640625" customWidth="1"/>
    <col min="72" max="72" width="10" customWidth="1"/>
    <col min="73" max="73" width="9.5546875" customWidth="1"/>
    <col min="74" max="74" width="10.44140625" customWidth="1"/>
    <col min="76" max="76" width="10" customWidth="1"/>
    <col min="77" max="77" width="9.5546875" customWidth="1"/>
    <col min="78" max="78" width="10.44140625" customWidth="1"/>
    <col min="80" max="80" width="10" customWidth="1"/>
    <col min="81" max="81" width="9.5546875" customWidth="1"/>
    <col min="82" max="82" width="10.44140625" customWidth="1"/>
  </cols>
  <sheetData>
    <row r="1" spans="1:82" ht="26.4" customHeight="1" thickBot="1" x14ac:dyDescent="0.35">
      <c r="AE1" s="163" t="s">
        <v>678</v>
      </c>
    </row>
    <row r="2" spans="1:82" x14ac:dyDescent="0.3">
      <c r="B2" s="64" t="s">
        <v>679</v>
      </c>
      <c r="C2" s="67"/>
      <c r="D2" s="67"/>
      <c r="E2" s="67"/>
      <c r="F2" s="65"/>
      <c r="G2" s="66"/>
      <c r="H2" s="66"/>
      <c r="I2" s="65"/>
      <c r="J2" s="67" t="s">
        <v>680</v>
      </c>
      <c r="K2" s="68" t="s">
        <v>681</v>
      </c>
      <c r="M2" s="227" t="s">
        <v>682</v>
      </c>
      <c r="N2" s="228" t="s">
        <v>683</v>
      </c>
      <c r="O2" s="234" t="s">
        <v>684</v>
      </c>
      <c r="AE2" s="164" t="s">
        <v>590</v>
      </c>
      <c r="AF2" s="165" t="s">
        <v>20</v>
      </c>
      <c r="AG2" s="67"/>
      <c r="AH2" s="68" t="s">
        <v>681</v>
      </c>
      <c r="AI2" s="166">
        <v>44927</v>
      </c>
      <c r="AJ2" s="165" t="s">
        <v>20</v>
      </c>
      <c r="AK2" s="67"/>
      <c r="AL2" s="68" t="s">
        <v>681</v>
      </c>
      <c r="AM2" s="166">
        <v>44958</v>
      </c>
      <c r="AN2" s="165" t="s">
        <v>20</v>
      </c>
      <c r="AO2" s="67"/>
      <c r="AP2" s="68" t="s">
        <v>681</v>
      </c>
      <c r="AQ2" s="166">
        <v>44986</v>
      </c>
      <c r="AR2" s="165" t="s">
        <v>20</v>
      </c>
      <c r="AS2" s="67"/>
      <c r="AT2" s="68" t="s">
        <v>681</v>
      </c>
      <c r="AU2" s="166">
        <v>45017</v>
      </c>
      <c r="AV2" s="165" t="s">
        <v>20</v>
      </c>
      <c r="AW2" s="67"/>
      <c r="AX2" s="68" t="s">
        <v>681</v>
      </c>
      <c r="AY2" s="166">
        <v>45047</v>
      </c>
      <c r="AZ2" s="165" t="s">
        <v>20</v>
      </c>
      <c r="BA2" s="67"/>
      <c r="BB2" s="68" t="s">
        <v>681</v>
      </c>
      <c r="BC2" s="166">
        <v>45078</v>
      </c>
      <c r="BD2" s="165" t="s">
        <v>20</v>
      </c>
      <c r="BE2" s="67"/>
      <c r="BF2" s="68" t="s">
        <v>681</v>
      </c>
      <c r="BG2" s="166">
        <v>45108</v>
      </c>
      <c r="BH2" s="165" t="s">
        <v>20</v>
      </c>
      <c r="BI2" s="67"/>
      <c r="BJ2" s="68" t="s">
        <v>681</v>
      </c>
      <c r="BK2" s="166">
        <v>45139</v>
      </c>
      <c r="BL2" s="165" t="s">
        <v>20</v>
      </c>
      <c r="BM2" s="67"/>
      <c r="BN2" s="68" t="s">
        <v>681</v>
      </c>
      <c r="BO2" s="166">
        <v>45170</v>
      </c>
      <c r="BP2" s="165" t="s">
        <v>20</v>
      </c>
      <c r="BQ2" s="67"/>
      <c r="BR2" s="68" t="s">
        <v>681</v>
      </c>
      <c r="BS2" s="166">
        <v>45200</v>
      </c>
      <c r="BT2" s="165" t="s">
        <v>20</v>
      </c>
      <c r="BU2" s="67"/>
      <c r="BV2" s="68" t="s">
        <v>681</v>
      </c>
      <c r="BW2" s="166">
        <v>45231</v>
      </c>
      <c r="BX2" s="165" t="s">
        <v>20</v>
      </c>
      <c r="BY2" s="67"/>
      <c r="BZ2" s="68" t="s">
        <v>681</v>
      </c>
      <c r="CA2" s="166">
        <v>45261</v>
      </c>
      <c r="CB2" s="165" t="s">
        <v>20</v>
      </c>
      <c r="CC2" s="67"/>
      <c r="CD2" s="68" t="s">
        <v>681</v>
      </c>
    </row>
    <row r="3" spans="1:82" x14ac:dyDescent="0.3">
      <c r="A3" s="42" t="str">
        <f>"CPU_"&amp;LEFT(SUBSTITUTE(SUBSTITUTE(B3," ",""),"-",""),20)</f>
        <v>CPU_Recomposiçãocerca</v>
      </c>
      <c r="B3" s="31" t="s">
        <v>756</v>
      </c>
      <c r="C3" s="1"/>
      <c r="D3" s="1"/>
      <c r="E3" s="1"/>
      <c r="F3" s="73"/>
      <c r="G3" s="74"/>
      <c r="H3" s="74"/>
      <c r="I3" s="73"/>
      <c r="J3" s="74" t="str">
        <f>IFERROR(VLOOKUP(B3,Tabela1[[NOME SERVIÇO]:[UNID]],4,0),"")</f>
        <v>M</v>
      </c>
      <c r="K3" s="75">
        <f>IFERROR(J6/B6,0)</f>
        <v>24.369125199299198</v>
      </c>
      <c r="M3" s="229" t="s">
        <v>685</v>
      </c>
      <c r="N3" s="230">
        <f>K11</f>
        <v>681.81818181818176</v>
      </c>
      <c r="O3" s="235">
        <f>IFERROR(N3/$N$7,0)</f>
        <v>0.22383017075649128</v>
      </c>
      <c r="AE3" s="167"/>
      <c r="AF3" s="168">
        <f>AJ3+AN3+AR3+AV3+AZ3+BD3+BH3+BL3+BP3+BT3+BX3+CB3</f>
        <v>0</v>
      </c>
      <c r="AG3" s="74"/>
      <c r="AH3" s="75">
        <f>IFERROR((AG6/AF3),0)</f>
        <v>0</v>
      </c>
      <c r="AI3" s="167"/>
      <c r="AJ3" s="168">
        <f>IFERROR(SUMPRODUCT(Plan_Orc!$I$4:$I$2002*Plan_Orc!$AB$4:$AB$2002*(Plan_Orc!$D$4:$D$2002=$B3)),0)</f>
        <v>0</v>
      </c>
      <c r="AK3" s="74"/>
      <c r="AL3" s="75">
        <f>IFERROR((AK6/AJ3),0)</f>
        <v>0</v>
      </c>
      <c r="AM3" s="167"/>
      <c r="AN3" s="168">
        <f>IFERROR(SUMPRODUCT(Plan_Orc!$I$4:$I$2002*Plan_Orc!$AC$4:$AC$2002*(Plan_Orc!$D$4:$D$2002=$B3)),0)</f>
        <v>0</v>
      </c>
      <c r="AO3" s="74"/>
      <c r="AP3" s="75">
        <f>IFERROR((AO6/AN3),0)</f>
        <v>0</v>
      </c>
      <c r="AQ3" s="167"/>
      <c r="AR3" s="168">
        <f>IFERROR(SUMPRODUCT(Plan_Orc!$I$4:$I$2002*Plan_Orc!$AD$4:$AD$2002*(Plan_Orc!$D$4:$D$2002=$B3)),0)</f>
        <v>0</v>
      </c>
      <c r="AS3" s="74"/>
      <c r="AT3" s="75">
        <f>IFERROR((AS6/AR3),0)</f>
        <v>0</v>
      </c>
      <c r="AU3" s="167"/>
      <c r="AV3" s="168">
        <f>IFERROR(SUMPRODUCT(Plan_Orc!$I$4:$I$2002*Plan_Orc!$AE$4:$AE$2002*(Plan_Orc!$D$4:$D$2002=$B3)),0)</f>
        <v>0</v>
      </c>
      <c r="AW3" s="74"/>
      <c r="AX3" s="75">
        <f>IFERROR((AW6/AV3),0)</f>
        <v>0</v>
      </c>
      <c r="AY3" s="167"/>
      <c r="AZ3" s="168">
        <f>IFERROR(SUMPRODUCT(Plan_Orc!$I$4:$I$2002*Plan_Orc!$AF$4:$AF$2002*(Plan_Orc!$D$4:$D$2002=$B3)),0)</f>
        <v>0</v>
      </c>
      <c r="BA3" s="74"/>
      <c r="BB3" s="75">
        <f>IFERROR((BA6/AZ3),0)</f>
        <v>0</v>
      </c>
      <c r="BC3" s="167"/>
      <c r="BD3" s="168">
        <f>IFERROR(SUMPRODUCT(Plan_Orc!$I$4:$I$2002*Plan_Orc!$AG$4:$AG$2002*(Plan_Orc!$D$4:$D$2002=$B3)),0)</f>
        <v>0</v>
      </c>
      <c r="BE3" s="74"/>
      <c r="BF3" s="75">
        <f>IFERROR((BE6/BD3),0)</f>
        <v>0</v>
      </c>
      <c r="BG3" s="167"/>
      <c r="BH3" s="168">
        <f>IFERROR(SUMPRODUCT(Plan_Orc!$I$4:$I$2002*Plan_Orc!$AH$4:$AH$2002*(Plan_Orc!$D$4:$D$2002=$B3)),0)</f>
        <v>0</v>
      </c>
      <c r="BI3" s="74"/>
      <c r="BJ3" s="75">
        <f>IFERROR((BI6/BH3),0)</f>
        <v>0</v>
      </c>
      <c r="BK3" s="167"/>
      <c r="BL3" s="168">
        <f>IFERROR(SUMPRODUCT(Plan_Orc!$I$4:$I$2002*Plan_Orc!$AI$4:$AI$2002*(Plan_Orc!$D$4:$D$2002=$B3)),0)</f>
        <v>0</v>
      </c>
      <c r="BM3" s="74"/>
      <c r="BN3" s="75">
        <f>IFERROR((BM6/BL3),0)</f>
        <v>0</v>
      </c>
      <c r="BO3" s="167"/>
      <c r="BP3" s="168">
        <f>IFERROR(SUMPRODUCT(Plan_Orc!$I$4:$I$2002*Plan_Orc!$AJ$4:$AJ$2002*(Plan_Orc!$D$4:$D$2002=$B3)),0)</f>
        <v>0</v>
      </c>
      <c r="BQ3" s="74"/>
      <c r="BR3" s="75">
        <f>IFERROR((BQ6/BP3),0)</f>
        <v>0</v>
      </c>
      <c r="BS3" s="167"/>
      <c r="BT3" s="168">
        <f>IFERROR(SUMPRODUCT(Plan_Orc!$I$4:$I$2002*Plan_Orc!$AK$4:$AK$2002*(Plan_Orc!$D$4:$D$2002=$B3)),0)</f>
        <v>0</v>
      </c>
      <c r="BU3" s="74"/>
      <c r="BV3" s="75">
        <f>IFERROR((BU6/BT3),0)</f>
        <v>0</v>
      </c>
      <c r="BW3" s="167"/>
      <c r="BX3" s="168">
        <f>IFERROR(SUMPRODUCT(Plan_Orc!$I$4:$I$2002*Plan_Orc!$AL$4:$AL$2002*(Plan_Orc!$D$4:$D$2002=$B3)),0)</f>
        <v>0</v>
      </c>
      <c r="BY3" s="74"/>
      <c r="BZ3" s="75">
        <f>IFERROR((BY6/BX3),0)</f>
        <v>0</v>
      </c>
      <c r="CA3" s="167"/>
      <c r="CB3" s="168">
        <f>IFERROR(SUMPRODUCT(Plan_Orc!$I$4:$I$2002*Plan_Orc!$AM$4:$AM$2002*(Plan_Orc!$D$4:$D$2002=$B3)),0)</f>
        <v>0</v>
      </c>
      <c r="CC3" s="74"/>
      <c r="CD3" s="75">
        <f>IFERROR((CC6/CB3),0)</f>
        <v>0</v>
      </c>
    </row>
    <row r="4" spans="1:82" x14ac:dyDescent="0.3">
      <c r="B4" s="32"/>
      <c r="K4" s="30"/>
      <c r="M4" s="229" t="s">
        <v>686</v>
      </c>
      <c r="N4" s="230">
        <f>+K24</f>
        <v>0</v>
      </c>
      <c r="O4" s="235">
        <f>IFERROR(N4/$N$7,0)</f>
        <v>0</v>
      </c>
      <c r="AE4" s="169"/>
      <c r="AH4" s="30"/>
      <c r="AI4" s="169"/>
      <c r="AL4" s="30"/>
      <c r="AM4" s="169"/>
      <c r="AP4" s="30"/>
      <c r="AQ4" s="169"/>
      <c r="AT4" s="30"/>
      <c r="AU4" s="169"/>
      <c r="AX4" s="30"/>
      <c r="AY4" s="169"/>
      <c r="BB4" s="30"/>
      <c r="BC4" s="169"/>
      <c r="BF4" s="30"/>
      <c r="BG4" s="169"/>
      <c r="BJ4" s="30"/>
      <c r="BK4" s="169"/>
      <c r="BN4" s="30"/>
      <c r="BO4" s="169"/>
      <c r="BR4" s="30"/>
      <c r="BS4" s="169"/>
      <c r="BV4" s="30"/>
      <c r="BW4" s="169"/>
      <c r="BZ4" s="30"/>
      <c r="CA4" s="169"/>
      <c r="CD4" s="30"/>
    </row>
    <row r="5" spans="1:82" x14ac:dyDescent="0.3">
      <c r="B5" s="69" t="s">
        <v>687</v>
      </c>
      <c r="C5" s="72"/>
      <c r="D5" s="72"/>
      <c r="E5" s="72"/>
      <c r="F5" s="70" t="s">
        <v>688</v>
      </c>
      <c r="G5" s="70" t="s">
        <v>689</v>
      </c>
      <c r="H5" s="70" t="s">
        <v>690</v>
      </c>
      <c r="I5" s="70" t="s">
        <v>691</v>
      </c>
      <c r="J5" s="70" t="s">
        <v>683</v>
      </c>
      <c r="K5" s="71" t="s">
        <v>593</v>
      </c>
      <c r="M5" s="229" t="s">
        <v>692</v>
      </c>
      <c r="N5" s="230">
        <f>+K37</f>
        <v>1323.150593094218</v>
      </c>
      <c r="O5" s="235">
        <f>IFERROR(N5/$N$7,0)</f>
        <v>0.43436950067695296</v>
      </c>
      <c r="AE5" s="170"/>
      <c r="AF5" s="70" t="s">
        <v>691</v>
      </c>
      <c r="AG5" s="70" t="s">
        <v>683</v>
      </c>
      <c r="AH5" s="71" t="s">
        <v>593</v>
      </c>
      <c r="AI5" s="170"/>
      <c r="AJ5" s="70" t="s">
        <v>691</v>
      </c>
      <c r="AK5" s="70" t="s">
        <v>683</v>
      </c>
      <c r="AL5" s="71" t="s">
        <v>593</v>
      </c>
      <c r="AM5" s="170"/>
      <c r="AN5" s="70" t="s">
        <v>691</v>
      </c>
      <c r="AO5" s="70" t="s">
        <v>683</v>
      </c>
      <c r="AP5" s="71" t="s">
        <v>593</v>
      </c>
      <c r="AQ5" s="170"/>
      <c r="AR5" s="70" t="s">
        <v>691</v>
      </c>
      <c r="AS5" s="70" t="s">
        <v>683</v>
      </c>
      <c r="AT5" s="71" t="s">
        <v>593</v>
      </c>
      <c r="AU5" s="170"/>
      <c r="AV5" s="70" t="s">
        <v>691</v>
      </c>
      <c r="AW5" s="70" t="s">
        <v>683</v>
      </c>
      <c r="AX5" s="71" t="s">
        <v>593</v>
      </c>
      <c r="AY5" s="170"/>
      <c r="AZ5" s="70" t="s">
        <v>691</v>
      </c>
      <c r="BA5" s="70" t="s">
        <v>683</v>
      </c>
      <c r="BB5" s="71" t="s">
        <v>593</v>
      </c>
      <c r="BC5" s="170"/>
      <c r="BD5" s="70" t="s">
        <v>691</v>
      </c>
      <c r="BE5" s="70" t="s">
        <v>683</v>
      </c>
      <c r="BF5" s="71" t="s">
        <v>593</v>
      </c>
      <c r="BG5" s="170"/>
      <c r="BH5" s="70" t="s">
        <v>691</v>
      </c>
      <c r="BI5" s="70" t="s">
        <v>683</v>
      </c>
      <c r="BJ5" s="71" t="s">
        <v>593</v>
      </c>
      <c r="BK5" s="170"/>
      <c r="BL5" s="70" t="s">
        <v>691</v>
      </c>
      <c r="BM5" s="70" t="s">
        <v>683</v>
      </c>
      <c r="BN5" s="71" t="s">
        <v>593</v>
      </c>
      <c r="BO5" s="170"/>
      <c r="BP5" s="70" t="s">
        <v>691</v>
      </c>
      <c r="BQ5" s="70" t="s">
        <v>683</v>
      </c>
      <c r="BR5" s="71" t="s">
        <v>593</v>
      </c>
      <c r="BS5" s="170"/>
      <c r="BT5" s="70" t="s">
        <v>691</v>
      </c>
      <c r="BU5" s="70" t="s">
        <v>683</v>
      </c>
      <c r="BV5" s="71" t="s">
        <v>593</v>
      </c>
      <c r="BW5" s="170"/>
      <c r="BX5" s="70" t="s">
        <v>691</v>
      </c>
      <c r="BY5" s="70" t="s">
        <v>683</v>
      </c>
      <c r="BZ5" s="71" t="s">
        <v>593</v>
      </c>
      <c r="CA5" s="170"/>
      <c r="CB5" s="70" t="s">
        <v>691</v>
      </c>
      <c r="CC5" s="70" t="s">
        <v>683</v>
      </c>
      <c r="CD5" s="71" t="s">
        <v>593</v>
      </c>
    </row>
    <row r="6" spans="1:82" s="2" customFormat="1" ht="30" customHeight="1" x14ac:dyDescent="0.3">
      <c r="B6" s="33">
        <f>2.5*100/2</f>
        <v>125</v>
      </c>
      <c r="C6" s="275"/>
      <c r="D6" s="275"/>
      <c r="E6" s="275"/>
      <c r="F6" s="27"/>
      <c r="G6" s="35">
        <v>1</v>
      </c>
      <c r="H6" s="81" t="s">
        <v>347</v>
      </c>
      <c r="I6" s="55">
        <f>IFERROR(I7/B7*B6,0)</f>
        <v>5296.6343749999996</v>
      </c>
      <c r="J6" s="55">
        <f>K11+K24+K37+K50</f>
        <v>3046.1406499123996</v>
      </c>
      <c r="K6" s="56">
        <f>IFERROR((I6-J6)/I6-PARAMETROS!C19,0)</f>
        <v>0.27409127354341878</v>
      </c>
      <c r="M6" s="229" t="s">
        <v>693</v>
      </c>
      <c r="N6" s="230">
        <f>+K50</f>
        <v>1041.171875</v>
      </c>
      <c r="O6" s="235">
        <f>IFERROR(N6/$N$7,0)</f>
        <v>0.34180032856655579</v>
      </c>
      <c r="AE6" s="171"/>
      <c r="AF6" s="55">
        <f>AJ6+AN6+AR6+AV6+AZ6+BD6+BH6+BL6+BP6+BT6+BX6+CB6</f>
        <v>0</v>
      </c>
      <c r="AG6" s="55">
        <f>AH11+AH24+AH37+AH50</f>
        <v>0</v>
      </c>
      <c r="AH6" s="56">
        <f>IFERROR((AF6-AG6)/AF6,0)</f>
        <v>0</v>
      </c>
      <c r="AI6" s="171"/>
      <c r="AJ6" s="55"/>
      <c r="AK6" s="55">
        <f>AL11+AL24+AL37+AL50</f>
        <v>0</v>
      </c>
      <c r="AL6" s="56">
        <f>IFERROR((AJ6-AK6)/AJ6,0)</f>
        <v>0</v>
      </c>
      <c r="AM6" s="171"/>
      <c r="AN6" s="55"/>
      <c r="AO6" s="55">
        <f>AP11+AP24+AP37+AP50</f>
        <v>0</v>
      </c>
      <c r="AP6" s="56">
        <f>IFERROR((AN6-AO6)/AN6,0)</f>
        <v>0</v>
      </c>
      <c r="AQ6" s="171"/>
      <c r="AR6" s="55"/>
      <c r="AS6" s="55">
        <f>AT11+AT24+AT37+AT50</f>
        <v>0</v>
      </c>
      <c r="AT6" s="56">
        <f>IFERROR((AR6-AS6)/AR6,0)</f>
        <v>0</v>
      </c>
      <c r="AU6" s="171"/>
      <c r="AV6" s="55"/>
      <c r="AW6" s="55">
        <f>AX11+AX24+AX37+AX50</f>
        <v>0</v>
      </c>
      <c r="AX6" s="56">
        <f>IFERROR((AV6-AW6)/AV6,0)</f>
        <v>0</v>
      </c>
      <c r="AY6" s="171"/>
      <c r="AZ6" s="55"/>
      <c r="BA6" s="55">
        <f>BB11+BB24+BB37+BB50</f>
        <v>0</v>
      </c>
      <c r="BB6" s="56">
        <f>IFERROR((AZ6-BA6)/AZ6,0)</f>
        <v>0</v>
      </c>
      <c r="BC6" s="171"/>
      <c r="BD6" s="55"/>
      <c r="BE6" s="55">
        <f>BF11+BF24+BF37+BF50</f>
        <v>0</v>
      </c>
      <c r="BF6" s="56">
        <f>IFERROR((BD6-BE6)/BD6,0)</f>
        <v>0</v>
      </c>
      <c r="BG6" s="171"/>
      <c r="BH6" s="55"/>
      <c r="BI6" s="55">
        <f>BJ11+BJ24+BJ37+BJ50</f>
        <v>0</v>
      </c>
      <c r="BJ6" s="56">
        <f>IFERROR((BH6-BI6)/BH6,0)</f>
        <v>0</v>
      </c>
      <c r="BK6" s="171"/>
      <c r="BL6" s="55"/>
      <c r="BM6" s="55">
        <f>BN11+BN24+BN37+BN50</f>
        <v>0</v>
      </c>
      <c r="BN6" s="56">
        <f>IFERROR((BL6-BM6)/BL6,0)</f>
        <v>0</v>
      </c>
      <c r="BO6" s="171"/>
      <c r="BP6" s="55"/>
      <c r="BQ6" s="55">
        <f>BR11+BR24+BR37+BR50</f>
        <v>0</v>
      </c>
      <c r="BR6" s="56">
        <f>IFERROR((BP6-BQ6)/BP6,0)</f>
        <v>0</v>
      </c>
      <c r="BS6" s="171"/>
      <c r="BT6" s="55"/>
      <c r="BU6" s="55">
        <f>BV11+BV24+BV37+BV50</f>
        <v>0</v>
      </c>
      <c r="BV6" s="56">
        <f>IFERROR((BT6-BU6)/BT6,0)</f>
        <v>0</v>
      </c>
      <c r="BW6" s="171"/>
      <c r="BX6" s="55"/>
      <c r="BY6" s="55">
        <f>BZ11+BZ24+BZ37+BZ50</f>
        <v>0</v>
      </c>
      <c r="BZ6" s="56">
        <f>IFERROR((BX6-BY6)/BX6,0)</f>
        <v>0</v>
      </c>
      <c r="CA6" s="171"/>
      <c r="CB6" s="55"/>
      <c r="CC6" s="55">
        <f>CD11+CD24+CD37+CD50</f>
        <v>0</v>
      </c>
      <c r="CD6" s="56">
        <f>IFERROR((CB6-CC6)/CB6,0)</f>
        <v>0</v>
      </c>
    </row>
    <row r="7" spans="1:82" s="2" customFormat="1" ht="30" customHeight="1" thickBot="1" x14ac:dyDescent="0.35">
      <c r="B7" s="34">
        <f>IFERROR(VLOOKUP(B3,Lucratividade!G4:N853,2,0),0)</f>
        <v>55500</v>
      </c>
      <c r="C7" s="276"/>
      <c r="D7" s="276"/>
      <c r="E7" s="276"/>
      <c r="F7" s="50"/>
      <c r="G7" s="36">
        <f>IFERROR(B7/B6,0)</f>
        <v>444</v>
      </c>
      <c r="H7" s="82" t="s">
        <v>347</v>
      </c>
      <c r="I7" s="57">
        <f>IFERROR(VLOOKUP(B3,Lucratividade!G4:N132,6,0),0)</f>
        <v>2351705.6625000001</v>
      </c>
      <c r="J7" s="58">
        <f>B7*K3</f>
        <v>1352486.4485611054</v>
      </c>
      <c r="K7" s="59">
        <f>IFERROR((I7-J7)/I7-PARAMETROS!C19,0)</f>
        <v>0.27409127354341889</v>
      </c>
      <c r="M7" s="231" t="s">
        <v>694</v>
      </c>
      <c r="N7" s="232">
        <f>SUM(N3:N6)</f>
        <v>3046.1406499123996</v>
      </c>
      <c r="O7" s="236"/>
      <c r="AE7" s="172"/>
      <c r="AF7" s="57"/>
      <c r="AG7" s="58"/>
      <c r="AH7" s="59"/>
      <c r="AI7" s="172"/>
      <c r="AJ7" s="57"/>
      <c r="AK7" s="58"/>
      <c r="AL7" s="59"/>
      <c r="AM7" s="172"/>
      <c r="AN7" s="57"/>
      <c r="AO7" s="58"/>
      <c r="AP7" s="59"/>
      <c r="AQ7" s="172"/>
      <c r="AR7" s="57"/>
      <c r="AS7" s="58"/>
      <c r="AT7" s="59"/>
      <c r="AU7" s="172"/>
      <c r="AV7" s="57"/>
      <c r="AW7" s="58"/>
      <c r="AX7" s="59"/>
      <c r="AY7" s="172"/>
      <c r="AZ7" s="57"/>
      <c r="BA7" s="58"/>
      <c r="BB7" s="59"/>
      <c r="BC7" s="172"/>
      <c r="BD7" s="57"/>
      <c r="BE7" s="58"/>
      <c r="BF7" s="59"/>
      <c r="BG7" s="172"/>
      <c r="BH7" s="57"/>
      <c r="BI7" s="58"/>
      <c r="BJ7" s="59"/>
      <c r="BK7" s="172"/>
      <c r="BL7" s="57"/>
      <c r="BM7" s="58"/>
      <c r="BN7" s="59"/>
      <c r="BO7" s="172"/>
      <c r="BP7" s="57"/>
      <c r="BQ7" s="58"/>
      <c r="BR7" s="59"/>
      <c r="BS7" s="172"/>
      <c r="BT7" s="57"/>
      <c r="BU7" s="58"/>
      <c r="BV7" s="59"/>
      <c r="BW7" s="172"/>
      <c r="BX7" s="57"/>
      <c r="BY7" s="58"/>
      <c r="BZ7" s="59"/>
      <c r="CA7" s="172"/>
      <c r="CB7" s="57"/>
      <c r="CC7" s="58"/>
      <c r="CD7" s="59"/>
    </row>
    <row r="8" spans="1:82" ht="4.2" customHeight="1" x14ac:dyDescent="0.3">
      <c r="AE8" s="28"/>
      <c r="AI8" s="28"/>
      <c r="AM8" s="28"/>
      <c r="AQ8" s="28"/>
      <c r="AU8" s="28"/>
      <c r="AY8" s="28"/>
      <c r="BC8" s="28"/>
      <c r="BG8" s="28"/>
      <c r="BK8" s="28"/>
      <c r="BO8" s="28"/>
      <c r="BS8" s="28"/>
      <c r="BW8" s="28"/>
      <c r="CA8" s="28"/>
    </row>
    <row r="9" spans="1:82" ht="4.95" customHeight="1" thickBot="1" x14ac:dyDescent="0.35">
      <c r="AE9" s="28"/>
      <c r="AI9" s="28"/>
      <c r="AM9" s="28"/>
      <c r="AQ9" s="28"/>
      <c r="AU9" s="28"/>
      <c r="AY9" s="28"/>
      <c r="BC9" s="28"/>
      <c r="BG9" s="28"/>
      <c r="BK9" s="28"/>
      <c r="BO9" s="28"/>
      <c r="BS9" s="28"/>
      <c r="BW9" s="28"/>
      <c r="CA9" s="28"/>
    </row>
    <row r="10" spans="1:82" ht="15" thickBot="1" x14ac:dyDescent="0.35">
      <c r="B10" s="72" t="s">
        <v>695</v>
      </c>
      <c r="C10" s="72" t="s">
        <v>679</v>
      </c>
      <c r="D10" s="72" t="s">
        <v>696</v>
      </c>
      <c r="E10" s="72" t="s">
        <v>697</v>
      </c>
      <c r="F10" s="72" t="s">
        <v>17</v>
      </c>
      <c r="G10" s="70" t="s">
        <v>690</v>
      </c>
      <c r="H10" s="70" t="s">
        <v>698</v>
      </c>
      <c r="I10" s="72" t="s">
        <v>20</v>
      </c>
      <c r="J10" s="72" t="s">
        <v>699</v>
      </c>
      <c r="K10" s="72" t="s">
        <v>700</v>
      </c>
      <c r="M10" s="83" t="s">
        <v>701</v>
      </c>
      <c r="N10" s="87" t="s">
        <v>702</v>
      </c>
      <c r="AD10" s="173" t="s">
        <v>703</v>
      </c>
      <c r="AE10" s="170" t="s">
        <v>698</v>
      </c>
      <c r="AF10" s="70" t="s">
        <v>20</v>
      </c>
      <c r="AG10" s="70" t="s">
        <v>699</v>
      </c>
      <c r="AH10" s="70" t="s">
        <v>700</v>
      </c>
      <c r="AI10" s="173" t="s">
        <v>704</v>
      </c>
      <c r="AJ10" s="174" t="s">
        <v>705</v>
      </c>
      <c r="AK10" s="174" t="s">
        <v>706</v>
      </c>
      <c r="AL10" s="175" t="s">
        <v>707</v>
      </c>
      <c r="AM10" s="173" t="s">
        <v>708</v>
      </c>
      <c r="AN10" s="174" t="s">
        <v>709</v>
      </c>
      <c r="AO10" s="174" t="s">
        <v>710</v>
      </c>
      <c r="AP10" s="175" t="s">
        <v>711</v>
      </c>
      <c r="AQ10" s="173" t="s">
        <v>712</v>
      </c>
      <c r="AR10" s="174" t="s">
        <v>713</v>
      </c>
      <c r="AS10" s="174" t="s">
        <v>714</v>
      </c>
      <c r="AT10" s="175" t="s">
        <v>715</v>
      </c>
      <c r="AU10" s="173" t="s">
        <v>716</v>
      </c>
      <c r="AV10" s="174" t="s">
        <v>717</v>
      </c>
      <c r="AW10" s="174" t="s">
        <v>718</v>
      </c>
      <c r="AX10" s="175" t="s">
        <v>719</v>
      </c>
      <c r="AY10" s="173" t="s">
        <v>720</v>
      </c>
      <c r="AZ10" s="174" t="s">
        <v>721</v>
      </c>
      <c r="BA10" s="174" t="s">
        <v>722</v>
      </c>
      <c r="BB10" s="175" t="s">
        <v>723</v>
      </c>
      <c r="BC10" s="173" t="s">
        <v>724</v>
      </c>
      <c r="BD10" s="174" t="s">
        <v>725</v>
      </c>
      <c r="BE10" s="174" t="s">
        <v>726</v>
      </c>
      <c r="BF10" s="175" t="s">
        <v>727</v>
      </c>
      <c r="BG10" s="173" t="s">
        <v>728</v>
      </c>
      <c r="BH10" s="174" t="s">
        <v>729</v>
      </c>
      <c r="BI10" s="174" t="s">
        <v>730</v>
      </c>
      <c r="BJ10" s="175" t="s">
        <v>731</v>
      </c>
      <c r="BK10" s="173" t="s">
        <v>732</v>
      </c>
      <c r="BL10" s="174" t="s">
        <v>733</v>
      </c>
      <c r="BM10" s="174" t="s">
        <v>734</v>
      </c>
      <c r="BN10" s="175" t="s">
        <v>735</v>
      </c>
      <c r="BO10" s="173" t="s">
        <v>736</v>
      </c>
      <c r="BP10" s="174" t="s">
        <v>737</v>
      </c>
      <c r="BQ10" s="174" t="s">
        <v>738</v>
      </c>
      <c r="BR10" s="175" t="s">
        <v>739</v>
      </c>
      <c r="BS10" s="173" t="s">
        <v>740</v>
      </c>
      <c r="BT10" s="174" t="s">
        <v>741</v>
      </c>
      <c r="BU10" s="174" t="s">
        <v>742</v>
      </c>
      <c r="BV10" s="175" t="s">
        <v>743</v>
      </c>
      <c r="BW10" s="173" t="s">
        <v>744</v>
      </c>
      <c r="BX10" s="174" t="s">
        <v>745</v>
      </c>
      <c r="BY10" s="174" t="s">
        <v>746</v>
      </c>
      <c r="BZ10" s="175" t="s">
        <v>747</v>
      </c>
      <c r="CA10" s="173" t="s">
        <v>748</v>
      </c>
      <c r="CB10" s="174" t="s">
        <v>749</v>
      </c>
      <c r="CC10" s="174" t="s">
        <v>750</v>
      </c>
      <c r="CD10" s="174" t="s">
        <v>751</v>
      </c>
    </row>
    <row r="11" spans="1:82" x14ac:dyDescent="0.3">
      <c r="B11" s="52" t="s">
        <v>752</v>
      </c>
      <c r="C11" s="52" t="str">
        <f t="shared" ref="C11:C62" si="0">$A$3</f>
        <v>CPU_Recomposiçãocerca</v>
      </c>
      <c r="D11" s="277">
        <f t="shared" ref="D11:D62" si="1">$B$6</f>
        <v>125</v>
      </c>
      <c r="E11" s="277">
        <f t="shared" ref="E11:E62" si="2">$B$7</f>
        <v>55500</v>
      </c>
      <c r="F11" s="37"/>
      <c r="G11" s="38"/>
      <c r="H11" s="91"/>
      <c r="I11" s="40"/>
      <c r="J11" s="40">
        <f>IFERROR(K11/$B$6,0)</f>
        <v>5.4545454545454541</v>
      </c>
      <c r="K11" s="40">
        <f>SUM(K12:K23)</f>
        <v>681.81818181818176</v>
      </c>
      <c r="M11" s="294" t="s">
        <v>753</v>
      </c>
      <c r="N11" s="295" t="s">
        <v>754</v>
      </c>
      <c r="O11" s="296" t="s">
        <v>755</v>
      </c>
      <c r="AD11" s="144" t="str">
        <f>$B$3</f>
        <v>Recomposição cerca</v>
      </c>
      <c r="AE11" s="176"/>
      <c r="AF11" s="177"/>
      <c r="AG11" s="177">
        <f>IFERROR(AH11/AF$3,0)</f>
        <v>0</v>
      </c>
      <c r="AH11" s="178">
        <f>SUM(AH12:AH23)</f>
        <v>0</v>
      </c>
      <c r="AI11" s="176"/>
      <c r="AJ11" s="177"/>
      <c r="AK11" s="177">
        <f>IFERROR(AL11/AJ$3,0)</f>
        <v>0</v>
      </c>
      <c r="AL11" s="178">
        <f>SUM(AL12:AL23)</f>
        <v>0</v>
      </c>
      <c r="AM11" s="176"/>
      <c r="AN11" s="177"/>
      <c r="AO11" s="177">
        <f>IFERROR(AP11/AN$3,0)</f>
        <v>0</v>
      </c>
      <c r="AP11" s="178">
        <f>SUM(AP12:AP23)</f>
        <v>0</v>
      </c>
      <c r="AQ11" s="176"/>
      <c r="AR11" s="177"/>
      <c r="AS11" s="177">
        <f>IFERROR(AT11/AR$3,0)</f>
        <v>0</v>
      </c>
      <c r="AT11" s="178">
        <f>SUM(AT12:AT23)</f>
        <v>0</v>
      </c>
      <c r="AU11" s="176"/>
      <c r="AV11" s="177"/>
      <c r="AW11" s="177">
        <f>IFERROR(AX11/AV$3,0)</f>
        <v>0</v>
      </c>
      <c r="AX11" s="178">
        <f>SUM(AX12:AX23)</f>
        <v>0</v>
      </c>
      <c r="AY11" s="176"/>
      <c r="AZ11" s="177"/>
      <c r="BA11" s="177">
        <f>IFERROR(BB11/AZ$3,0)</f>
        <v>0</v>
      </c>
      <c r="BB11" s="178">
        <f>SUM(BB12:BB23)</f>
        <v>0</v>
      </c>
      <c r="BC11" s="176"/>
      <c r="BD11" s="177"/>
      <c r="BE11" s="177">
        <f>IFERROR(BF11/BD$3,0)</f>
        <v>0</v>
      </c>
      <c r="BF11" s="178">
        <f>SUM(BF12:BF23)</f>
        <v>0</v>
      </c>
      <c r="BG11" s="176"/>
      <c r="BH11" s="177"/>
      <c r="BI11" s="177">
        <f>IFERROR(BJ11/BH$3,0)</f>
        <v>0</v>
      </c>
      <c r="BJ11" s="178">
        <f>SUM(BJ12:BJ23)</f>
        <v>0</v>
      </c>
      <c r="BK11" s="176"/>
      <c r="BL11" s="177"/>
      <c r="BM11" s="177">
        <f>IFERROR(BN11/BL$3,0)</f>
        <v>0</v>
      </c>
      <c r="BN11" s="178">
        <f>SUM(BN12:BN23)</f>
        <v>0</v>
      </c>
      <c r="BO11" s="176"/>
      <c r="BP11" s="177"/>
      <c r="BQ11" s="177">
        <f>IFERROR(BR11/BP$3,0)</f>
        <v>0</v>
      </c>
      <c r="BR11" s="178">
        <f>SUM(BR12:BR23)</f>
        <v>0</v>
      </c>
      <c r="BS11" s="176"/>
      <c r="BT11" s="177"/>
      <c r="BU11" s="177">
        <f>IFERROR(BV11/BT$3,0)</f>
        <v>0</v>
      </c>
      <c r="BV11" s="178">
        <f>SUM(BV12:BV23)</f>
        <v>0</v>
      </c>
      <c r="BW11" s="176"/>
      <c r="BX11" s="177"/>
      <c r="BY11" s="177">
        <f>IFERROR(BZ11/BX$3,0)</f>
        <v>0</v>
      </c>
      <c r="BZ11" s="178">
        <f>SUM(BZ12:BZ23)</f>
        <v>0</v>
      </c>
      <c r="CA11" s="176"/>
      <c r="CB11" s="177"/>
      <c r="CC11" s="177">
        <f>IFERROR(CD11/CB$3,0)</f>
        <v>0</v>
      </c>
      <c r="CD11" s="178">
        <f>SUM(CD12:CD23)</f>
        <v>0</v>
      </c>
    </row>
    <row r="12" spans="1:82" x14ac:dyDescent="0.3">
      <c r="B12" s="53"/>
      <c r="C12" s="53" t="str">
        <f t="shared" si="0"/>
        <v>CPU_Recomposiçãocerca</v>
      </c>
      <c r="D12" s="278">
        <f t="shared" si="1"/>
        <v>125</v>
      </c>
      <c r="E12" s="278">
        <f t="shared" si="2"/>
        <v>55500</v>
      </c>
      <c r="F12" s="46" t="s">
        <v>757</v>
      </c>
      <c r="G12" s="28" t="str">
        <f>IFERROR(VLOOKUP(F12,Tabela7[[RECURSO]:[CUSTO]],2,FALSE),"")</f>
        <v>DIA</v>
      </c>
      <c r="H12" s="92">
        <v>1</v>
      </c>
      <c r="I12" s="90">
        <f>30/22</f>
        <v>1.3636363636363635</v>
      </c>
      <c r="J12" s="45">
        <f>IFERROR(VLOOKUP(F12,Tabela7[[RECURSO]:[CUSTO]],3,FALSE),0)</f>
        <v>500</v>
      </c>
      <c r="K12" s="45">
        <f>I12*J12*CPU_5961[[#This Row],[Nº]]</f>
        <v>681.81818181818176</v>
      </c>
      <c r="M12" s="31">
        <f>80*2/5</f>
        <v>32</v>
      </c>
      <c r="N12" s="297">
        <v>1</v>
      </c>
      <c r="O12" s="60">
        <f>IFERROR($B$6/(H12*I12*N12),0)</f>
        <v>91.666666666666671</v>
      </c>
      <c r="AD12" s="144" t="str">
        <f t="shared" ref="AD12:AD62" si="3">$B$3</f>
        <v>Recomposição cerca</v>
      </c>
      <c r="AE12" s="179"/>
      <c r="AF12" s="180">
        <f>AJ12+AN12+AR12+AV12+AZ12+BD12+BH12+BL12+BP12+BT12+BX12+CB12</f>
        <v>0</v>
      </c>
      <c r="AG12" s="180">
        <f>IFERROR(AH12/AF12,0)</f>
        <v>0</v>
      </c>
      <c r="AH12" s="181">
        <f>AL12+AP12+AT12+AX12+BB12+BF12+BJ12+BN12+BR12+BV12+BZ12+CD12</f>
        <v>0</v>
      </c>
      <c r="AI12" s="182"/>
      <c r="AJ12" s="90"/>
      <c r="AK12" s="90"/>
      <c r="AL12" s="183">
        <f>AJ12*AK12</f>
        <v>0</v>
      </c>
      <c r="AM12" s="182"/>
      <c r="AN12" s="90"/>
      <c r="AO12" s="90"/>
      <c r="AP12" s="183">
        <f t="shared" ref="AP12:AP23" si="4">AN12*AO12</f>
        <v>0</v>
      </c>
      <c r="AQ12" s="182"/>
      <c r="AR12" s="90"/>
      <c r="AS12" s="90"/>
      <c r="AT12" s="183">
        <f t="shared" ref="AT12:AT23" si="5">AR12*AS12</f>
        <v>0</v>
      </c>
      <c r="AU12" s="182"/>
      <c r="AV12" s="90"/>
      <c r="AW12" s="90"/>
      <c r="AX12" s="183">
        <f t="shared" ref="AX12:AX23" si="6">AV12*AW12</f>
        <v>0</v>
      </c>
      <c r="AY12" s="182"/>
      <c r="AZ12" s="90"/>
      <c r="BA12" s="90"/>
      <c r="BB12" s="183">
        <f t="shared" ref="BB12:BB23" si="7">AZ12*BA12</f>
        <v>0</v>
      </c>
      <c r="BC12" s="182"/>
      <c r="BD12" s="90"/>
      <c r="BE12" s="90"/>
      <c r="BF12" s="183">
        <f t="shared" ref="BF12:BF23" si="8">BD12*BE12</f>
        <v>0</v>
      </c>
      <c r="BG12" s="182"/>
      <c r="BH12" s="90"/>
      <c r="BI12" s="90"/>
      <c r="BJ12" s="183">
        <f t="shared" ref="BJ12:BJ23" si="9">BH12*BI12</f>
        <v>0</v>
      </c>
      <c r="BK12" s="182"/>
      <c r="BL12" s="90"/>
      <c r="BM12" s="90"/>
      <c r="BN12" s="183">
        <f t="shared" ref="BN12:BN23" si="10">BL12*BM12</f>
        <v>0</v>
      </c>
      <c r="BO12" s="182"/>
      <c r="BP12" s="90"/>
      <c r="BQ12" s="90"/>
      <c r="BR12" s="183">
        <f t="shared" ref="BR12:BR23" si="11">BP12*BQ12</f>
        <v>0</v>
      </c>
      <c r="BS12" s="182"/>
      <c r="BT12" s="90"/>
      <c r="BU12" s="90"/>
      <c r="BV12" s="183">
        <f t="shared" ref="BV12:BV23" si="12">BT12*BU12</f>
        <v>0</v>
      </c>
      <c r="BW12" s="182"/>
      <c r="BX12" s="90"/>
      <c r="BY12" s="90"/>
      <c r="BZ12" s="183">
        <f t="shared" ref="BZ12:BZ23" si="13">BX12*BY12</f>
        <v>0</v>
      </c>
      <c r="CA12" s="182"/>
      <c r="CB12" s="90"/>
      <c r="CC12" s="90"/>
      <c r="CD12" s="183">
        <f t="shared" ref="CD12:CD23" si="14">CB12*CC12</f>
        <v>0</v>
      </c>
    </row>
    <row r="13" spans="1:82" x14ac:dyDescent="0.3">
      <c r="B13" s="53"/>
      <c r="C13" s="53" t="str">
        <f t="shared" si="0"/>
        <v>CPU_Recomposiçãocerca</v>
      </c>
      <c r="D13" s="278">
        <f t="shared" si="1"/>
        <v>125</v>
      </c>
      <c r="E13" s="278">
        <f t="shared" si="2"/>
        <v>55500</v>
      </c>
      <c r="F13" s="1"/>
      <c r="G13" s="28" t="str">
        <f>IFERROR(VLOOKUP(F13,Tabela7[[RECURSO]:[CUSTO]],2,FALSE),"")</f>
        <v/>
      </c>
      <c r="H13" s="92"/>
      <c r="I13" s="90"/>
      <c r="J13" s="45">
        <f>IFERROR(VLOOKUP(F13,Tabela7[[RECURSO]:[CUSTO]],3,FALSE),0)</f>
        <v>0</v>
      </c>
      <c r="K13" s="45">
        <f>I13*J13*CPU_5961[[#This Row],[Nº]]</f>
        <v>0</v>
      </c>
      <c r="M13" s="31"/>
      <c r="N13" s="297"/>
      <c r="O13" s="60">
        <f t="shared" ref="O13:O23" si="15">IFERROR($B$6/(H13*I13),0)</f>
        <v>0</v>
      </c>
      <c r="AD13" s="144" t="str">
        <f t="shared" si="3"/>
        <v>Recomposição cerca</v>
      </c>
      <c r="AE13" s="179"/>
      <c r="AF13" s="180">
        <f t="shared" ref="AF13:AF23" si="16">AJ13+AN13+AR13+AV13+AZ13+BD13+BH13+BL13+BP13+BT13+BX13+CB13</f>
        <v>0</v>
      </c>
      <c r="AG13" s="180">
        <f t="shared" ref="AG13:AG62" si="17">IFERROR(AH13/AF13,0)</f>
        <v>0</v>
      </c>
      <c r="AH13" s="181">
        <f t="shared" ref="AH13:AH23" si="18">AL13+AP13+AT13+AX13+BB13+BF13+BJ13+BN13+BR13+BV13+BZ13+CD13</f>
        <v>0</v>
      </c>
      <c r="AI13" s="182"/>
      <c r="AJ13" s="90"/>
      <c r="AK13" s="90"/>
      <c r="AL13" s="183">
        <f t="shared" ref="AL13:AL23" si="19">AJ13*AK13</f>
        <v>0</v>
      </c>
      <c r="AM13" s="182"/>
      <c r="AN13" s="90"/>
      <c r="AO13" s="90"/>
      <c r="AP13" s="183">
        <f t="shared" si="4"/>
        <v>0</v>
      </c>
      <c r="AQ13" s="182"/>
      <c r="AR13" s="90"/>
      <c r="AS13" s="90"/>
      <c r="AT13" s="183">
        <f t="shared" si="5"/>
        <v>0</v>
      </c>
      <c r="AU13" s="182"/>
      <c r="AV13" s="90"/>
      <c r="AW13" s="90"/>
      <c r="AX13" s="183">
        <f t="shared" si="6"/>
        <v>0</v>
      </c>
      <c r="AY13" s="182"/>
      <c r="AZ13" s="90"/>
      <c r="BA13" s="90"/>
      <c r="BB13" s="183">
        <f t="shared" si="7"/>
        <v>0</v>
      </c>
      <c r="BC13" s="182"/>
      <c r="BD13" s="90"/>
      <c r="BE13" s="90"/>
      <c r="BF13" s="183">
        <f t="shared" si="8"/>
        <v>0</v>
      </c>
      <c r="BG13" s="182"/>
      <c r="BH13" s="90"/>
      <c r="BI13" s="90"/>
      <c r="BJ13" s="183">
        <f t="shared" si="9"/>
        <v>0</v>
      </c>
      <c r="BK13" s="182"/>
      <c r="BL13" s="90"/>
      <c r="BM13" s="90"/>
      <c r="BN13" s="183">
        <f t="shared" si="10"/>
        <v>0</v>
      </c>
      <c r="BO13" s="182"/>
      <c r="BP13" s="90"/>
      <c r="BQ13" s="90"/>
      <c r="BR13" s="183">
        <f t="shared" si="11"/>
        <v>0</v>
      </c>
      <c r="BS13" s="182"/>
      <c r="BT13" s="90"/>
      <c r="BU13" s="90"/>
      <c r="BV13" s="183">
        <f t="shared" si="12"/>
        <v>0</v>
      </c>
      <c r="BW13" s="182"/>
      <c r="BX13" s="90"/>
      <c r="BY13" s="90"/>
      <c r="BZ13" s="183">
        <f t="shared" si="13"/>
        <v>0</v>
      </c>
      <c r="CA13" s="182"/>
      <c r="CB13" s="90"/>
      <c r="CC13" s="90"/>
      <c r="CD13" s="183">
        <f t="shared" si="14"/>
        <v>0</v>
      </c>
    </row>
    <row r="14" spans="1:82" x14ac:dyDescent="0.3">
      <c r="B14" s="53"/>
      <c r="C14" s="53" t="str">
        <f t="shared" si="0"/>
        <v>CPU_Recomposiçãocerca</v>
      </c>
      <c r="D14" s="278">
        <f t="shared" si="1"/>
        <v>125</v>
      </c>
      <c r="E14" s="278">
        <f t="shared" si="2"/>
        <v>55500</v>
      </c>
      <c r="F14" s="1"/>
      <c r="G14" s="28" t="str">
        <f>IFERROR(VLOOKUP(F14,Tabela7[[RECURSO]:[CUSTO]],2,FALSE),"")</f>
        <v/>
      </c>
      <c r="H14" s="92"/>
      <c r="I14" s="90"/>
      <c r="J14" s="45">
        <f>IFERROR(VLOOKUP(F14,Tabela7[[RECURSO]:[CUSTO]],3,FALSE),0)</f>
        <v>0</v>
      </c>
      <c r="K14" s="45">
        <f>I14*J14*CPU_5961[[#This Row],[Nº]]</f>
        <v>0</v>
      </c>
      <c r="M14" s="31"/>
      <c r="N14" s="297"/>
      <c r="O14" s="60">
        <f t="shared" si="15"/>
        <v>0</v>
      </c>
      <c r="AD14" s="144" t="str">
        <f t="shared" si="3"/>
        <v>Recomposição cerca</v>
      </c>
      <c r="AE14" s="179"/>
      <c r="AF14" s="180">
        <f t="shared" si="16"/>
        <v>0</v>
      </c>
      <c r="AG14" s="180">
        <f t="shared" si="17"/>
        <v>0</v>
      </c>
      <c r="AH14" s="181">
        <f t="shared" si="18"/>
        <v>0</v>
      </c>
      <c r="AI14" s="182"/>
      <c r="AJ14" s="90"/>
      <c r="AK14" s="90"/>
      <c r="AL14" s="183">
        <f t="shared" si="19"/>
        <v>0</v>
      </c>
      <c r="AM14" s="182"/>
      <c r="AN14" s="90"/>
      <c r="AO14" s="90"/>
      <c r="AP14" s="183">
        <f t="shared" si="4"/>
        <v>0</v>
      </c>
      <c r="AQ14" s="182"/>
      <c r="AR14" s="90"/>
      <c r="AS14" s="90"/>
      <c r="AT14" s="183">
        <f t="shared" si="5"/>
        <v>0</v>
      </c>
      <c r="AU14" s="182"/>
      <c r="AV14" s="90"/>
      <c r="AW14" s="90"/>
      <c r="AX14" s="183">
        <f t="shared" si="6"/>
        <v>0</v>
      </c>
      <c r="AY14" s="182"/>
      <c r="AZ14" s="90"/>
      <c r="BA14" s="90"/>
      <c r="BB14" s="183">
        <f t="shared" si="7"/>
        <v>0</v>
      </c>
      <c r="BC14" s="182"/>
      <c r="BD14" s="90"/>
      <c r="BE14" s="90"/>
      <c r="BF14" s="183">
        <f t="shared" si="8"/>
        <v>0</v>
      </c>
      <c r="BG14" s="182"/>
      <c r="BH14" s="90"/>
      <c r="BI14" s="90"/>
      <c r="BJ14" s="183">
        <f t="shared" si="9"/>
        <v>0</v>
      </c>
      <c r="BK14" s="182"/>
      <c r="BL14" s="90"/>
      <c r="BM14" s="90"/>
      <c r="BN14" s="183">
        <f t="shared" si="10"/>
        <v>0</v>
      </c>
      <c r="BO14" s="182"/>
      <c r="BP14" s="90"/>
      <c r="BQ14" s="90"/>
      <c r="BR14" s="183">
        <f t="shared" si="11"/>
        <v>0</v>
      </c>
      <c r="BS14" s="182"/>
      <c r="BT14" s="90"/>
      <c r="BU14" s="90"/>
      <c r="BV14" s="183">
        <f t="shared" si="12"/>
        <v>0</v>
      </c>
      <c r="BW14" s="182"/>
      <c r="BX14" s="90"/>
      <c r="BY14" s="90"/>
      <c r="BZ14" s="183">
        <f t="shared" si="13"/>
        <v>0</v>
      </c>
      <c r="CA14" s="182"/>
      <c r="CB14" s="90"/>
      <c r="CC14" s="90"/>
      <c r="CD14" s="183">
        <f t="shared" si="14"/>
        <v>0</v>
      </c>
    </row>
    <row r="15" spans="1:82" x14ac:dyDescent="0.3">
      <c r="B15" s="153"/>
      <c r="C15" s="153" t="str">
        <f t="shared" si="0"/>
        <v>CPU_Recomposiçãocerca</v>
      </c>
      <c r="D15" s="279">
        <f t="shared" si="1"/>
        <v>125</v>
      </c>
      <c r="E15" s="279">
        <f t="shared" si="2"/>
        <v>55500</v>
      </c>
      <c r="F15" s="1"/>
      <c r="G15" s="28" t="str">
        <f>IFERROR(VLOOKUP(F15,Tabela7[[RECURSO]:[CUSTO]],2,FALSE),"")</f>
        <v/>
      </c>
      <c r="H15" s="92"/>
      <c r="I15" s="90"/>
      <c r="J15" s="45">
        <f>IFERROR(VLOOKUP(F15,Tabela7[[RECURSO]:[CUSTO]],3,FALSE),0)</f>
        <v>0</v>
      </c>
      <c r="K15" s="45">
        <f>I15*J15*CPU_5961[[#This Row],[Nº]]</f>
        <v>0</v>
      </c>
      <c r="M15" s="31"/>
      <c r="N15" s="297"/>
      <c r="O15" s="60">
        <f t="shared" si="15"/>
        <v>0</v>
      </c>
      <c r="AD15" s="144" t="str">
        <f t="shared" si="3"/>
        <v>Recomposição cerca</v>
      </c>
      <c r="AE15" s="179"/>
      <c r="AF15" s="180">
        <f t="shared" si="16"/>
        <v>0</v>
      </c>
      <c r="AG15" s="180">
        <f t="shared" si="17"/>
        <v>0</v>
      </c>
      <c r="AH15" s="181">
        <f t="shared" si="18"/>
        <v>0</v>
      </c>
      <c r="AI15" s="182"/>
      <c r="AJ15" s="90"/>
      <c r="AK15" s="90"/>
      <c r="AL15" s="183">
        <f t="shared" si="19"/>
        <v>0</v>
      </c>
      <c r="AM15" s="182"/>
      <c r="AN15" s="90"/>
      <c r="AO15" s="90"/>
      <c r="AP15" s="183">
        <f t="shared" si="4"/>
        <v>0</v>
      </c>
      <c r="AQ15" s="182"/>
      <c r="AR15" s="90"/>
      <c r="AS15" s="90"/>
      <c r="AT15" s="183">
        <f t="shared" si="5"/>
        <v>0</v>
      </c>
      <c r="AU15" s="182"/>
      <c r="AV15" s="90"/>
      <c r="AW15" s="90"/>
      <c r="AX15" s="183">
        <f t="shared" si="6"/>
        <v>0</v>
      </c>
      <c r="AY15" s="182"/>
      <c r="AZ15" s="90"/>
      <c r="BA15" s="90"/>
      <c r="BB15" s="183">
        <f t="shared" si="7"/>
        <v>0</v>
      </c>
      <c r="BC15" s="182"/>
      <c r="BD15" s="90"/>
      <c r="BE15" s="90"/>
      <c r="BF15" s="183">
        <f t="shared" si="8"/>
        <v>0</v>
      </c>
      <c r="BG15" s="182"/>
      <c r="BH15" s="90"/>
      <c r="BI15" s="90"/>
      <c r="BJ15" s="183">
        <f t="shared" si="9"/>
        <v>0</v>
      </c>
      <c r="BK15" s="182"/>
      <c r="BL15" s="90"/>
      <c r="BM15" s="90"/>
      <c r="BN15" s="183">
        <f t="shared" si="10"/>
        <v>0</v>
      </c>
      <c r="BO15" s="182"/>
      <c r="BP15" s="90"/>
      <c r="BQ15" s="90"/>
      <c r="BR15" s="183">
        <f t="shared" si="11"/>
        <v>0</v>
      </c>
      <c r="BS15" s="182"/>
      <c r="BT15" s="90"/>
      <c r="BU15" s="90"/>
      <c r="BV15" s="183">
        <f t="shared" si="12"/>
        <v>0</v>
      </c>
      <c r="BW15" s="182"/>
      <c r="BX15" s="90"/>
      <c r="BY15" s="90"/>
      <c r="BZ15" s="183">
        <f t="shared" si="13"/>
        <v>0</v>
      </c>
      <c r="CA15" s="182"/>
      <c r="CB15" s="90"/>
      <c r="CC15" s="90"/>
      <c r="CD15" s="183">
        <f t="shared" si="14"/>
        <v>0</v>
      </c>
    </row>
    <row r="16" spans="1:82" x14ac:dyDescent="0.3">
      <c r="B16" s="53"/>
      <c r="C16" s="53" t="str">
        <f t="shared" si="0"/>
        <v>CPU_Recomposiçãocerca</v>
      </c>
      <c r="D16" s="278">
        <f t="shared" si="1"/>
        <v>125</v>
      </c>
      <c r="E16" s="278">
        <f t="shared" si="2"/>
        <v>55500</v>
      </c>
      <c r="F16" s="1"/>
      <c r="G16" s="28" t="str">
        <f>IFERROR(VLOOKUP(F16,Tabela7[[RECURSO]:[CUSTO]],2,FALSE),"")</f>
        <v/>
      </c>
      <c r="H16" s="92"/>
      <c r="I16" s="90"/>
      <c r="J16" s="45">
        <f>IFERROR(VLOOKUP(F16,Tabela7[[RECURSO]:[CUSTO]],3,FALSE),0)</f>
        <v>0</v>
      </c>
      <c r="K16" s="45">
        <f>I16*J16*CPU_5961[[#This Row],[Nº]]</f>
        <v>0</v>
      </c>
      <c r="M16" s="31"/>
      <c r="N16" s="297"/>
      <c r="O16" s="60">
        <f t="shared" si="15"/>
        <v>0</v>
      </c>
      <c r="AD16" s="144" t="str">
        <f t="shared" si="3"/>
        <v>Recomposição cerca</v>
      </c>
      <c r="AE16" s="179"/>
      <c r="AF16" s="180">
        <f t="shared" si="16"/>
        <v>0</v>
      </c>
      <c r="AG16" s="180">
        <f t="shared" si="17"/>
        <v>0</v>
      </c>
      <c r="AH16" s="181">
        <f t="shared" si="18"/>
        <v>0</v>
      </c>
      <c r="AI16" s="182"/>
      <c r="AJ16" s="90"/>
      <c r="AK16" s="90"/>
      <c r="AL16" s="183">
        <f t="shared" si="19"/>
        <v>0</v>
      </c>
      <c r="AM16" s="182"/>
      <c r="AN16" s="90"/>
      <c r="AO16" s="90"/>
      <c r="AP16" s="183">
        <f t="shared" si="4"/>
        <v>0</v>
      </c>
      <c r="AQ16" s="182"/>
      <c r="AR16" s="90"/>
      <c r="AS16" s="90"/>
      <c r="AT16" s="183">
        <f t="shared" si="5"/>
        <v>0</v>
      </c>
      <c r="AU16" s="182"/>
      <c r="AV16" s="90"/>
      <c r="AW16" s="90"/>
      <c r="AX16" s="183">
        <f t="shared" si="6"/>
        <v>0</v>
      </c>
      <c r="AY16" s="182"/>
      <c r="AZ16" s="90"/>
      <c r="BA16" s="90"/>
      <c r="BB16" s="183">
        <f t="shared" si="7"/>
        <v>0</v>
      </c>
      <c r="BC16" s="182"/>
      <c r="BD16" s="90"/>
      <c r="BE16" s="90"/>
      <c r="BF16" s="183">
        <f t="shared" si="8"/>
        <v>0</v>
      </c>
      <c r="BG16" s="182"/>
      <c r="BH16" s="90"/>
      <c r="BI16" s="90"/>
      <c r="BJ16" s="183">
        <f t="shared" si="9"/>
        <v>0</v>
      </c>
      <c r="BK16" s="182"/>
      <c r="BL16" s="90"/>
      <c r="BM16" s="90"/>
      <c r="BN16" s="183">
        <f t="shared" si="10"/>
        <v>0</v>
      </c>
      <c r="BO16" s="182"/>
      <c r="BP16" s="90"/>
      <c r="BQ16" s="90"/>
      <c r="BR16" s="183">
        <f t="shared" si="11"/>
        <v>0</v>
      </c>
      <c r="BS16" s="182"/>
      <c r="BT16" s="90"/>
      <c r="BU16" s="90"/>
      <c r="BV16" s="183">
        <f t="shared" si="12"/>
        <v>0</v>
      </c>
      <c r="BW16" s="182"/>
      <c r="BX16" s="90"/>
      <c r="BY16" s="90"/>
      <c r="BZ16" s="183">
        <f t="shared" si="13"/>
        <v>0</v>
      </c>
      <c r="CA16" s="182"/>
      <c r="CB16" s="90"/>
      <c r="CC16" s="90"/>
      <c r="CD16" s="183">
        <f t="shared" si="14"/>
        <v>0</v>
      </c>
    </row>
    <row r="17" spans="2:82" x14ac:dyDescent="0.3">
      <c r="B17" s="53"/>
      <c r="C17" s="53" t="str">
        <f t="shared" si="0"/>
        <v>CPU_Recomposiçãocerca</v>
      </c>
      <c r="D17" s="278">
        <f t="shared" si="1"/>
        <v>125</v>
      </c>
      <c r="E17" s="278">
        <f t="shared" si="2"/>
        <v>55500</v>
      </c>
      <c r="F17" s="1"/>
      <c r="G17" s="28" t="str">
        <f>IFERROR(VLOOKUP(F17,Tabela7[[RECURSO]:[CUSTO]],2,FALSE),"")</f>
        <v/>
      </c>
      <c r="H17" s="92"/>
      <c r="I17" s="90"/>
      <c r="J17" s="45">
        <f>IFERROR(VLOOKUP(F17,Tabela7[[RECURSO]:[CUSTO]],3,FALSE),0)</f>
        <v>0</v>
      </c>
      <c r="K17" s="45">
        <f>I17*J17*CPU_5961[[#This Row],[Nº]]</f>
        <v>0</v>
      </c>
      <c r="M17" s="31"/>
      <c r="N17" s="297"/>
      <c r="O17" s="60">
        <f t="shared" si="15"/>
        <v>0</v>
      </c>
      <c r="AD17" s="144" t="str">
        <f t="shared" si="3"/>
        <v>Recomposição cerca</v>
      </c>
      <c r="AE17" s="179"/>
      <c r="AF17" s="180">
        <f t="shared" si="16"/>
        <v>0</v>
      </c>
      <c r="AG17" s="180">
        <f t="shared" si="17"/>
        <v>0</v>
      </c>
      <c r="AH17" s="181">
        <f t="shared" si="18"/>
        <v>0</v>
      </c>
      <c r="AI17" s="182"/>
      <c r="AJ17" s="90"/>
      <c r="AK17" s="90"/>
      <c r="AL17" s="183">
        <f t="shared" si="19"/>
        <v>0</v>
      </c>
      <c r="AM17" s="182"/>
      <c r="AN17" s="90"/>
      <c r="AO17" s="90"/>
      <c r="AP17" s="183">
        <f t="shared" si="4"/>
        <v>0</v>
      </c>
      <c r="AQ17" s="182"/>
      <c r="AR17" s="90"/>
      <c r="AS17" s="90"/>
      <c r="AT17" s="183">
        <f t="shared" si="5"/>
        <v>0</v>
      </c>
      <c r="AU17" s="182"/>
      <c r="AV17" s="90"/>
      <c r="AW17" s="90"/>
      <c r="AX17" s="183">
        <f t="shared" si="6"/>
        <v>0</v>
      </c>
      <c r="AY17" s="182"/>
      <c r="AZ17" s="90"/>
      <c r="BA17" s="90"/>
      <c r="BB17" s="183">
        <f t="shared" si="7"/>
        <v>0</v>
      </c>
      <c r="BC17" s="182"/>
      <c r="BD17" s="90"/>
      <c r="BE17" s="90"/>
      <c r="BF17" s="183">
        <f t="shared" si="8"/>
        <v>0</v>
      </c>
      <c r="BG17" s="182"/>
      <c r="BH17" s="90"/>
      <c r="BI17" s="90"/>
      <c r="BJ17" s="183">
        <f t="shared" si="9"/>
        <v>0</v>
      </c>
      <c r="BK17" s="182"/>
      <c r="BL17" s="90"/>
      <c r="BM17" s="90"/>
      <c r="BN17" s="183">
        <f t="shared" si="10"/>
        <v>0</v>
      </c>
      <c r="BO17" s="182"/>
      <c r="BP17" s="90"/>
      <c r="BQ17" s="90"/>
      <c r="BR17" s="183">
        <f t="shared" si="11"/>
        <v>0</v>
      </c>
      <c r="BS17" s="182"/>
      <c r="BT17" s="90"/>
      <c r="BU17" s="90"/>
      <c r="BV17" s="183">
        <f t="shared" si="12"/>
        <v>0</v>
      </c>
      <c r="BW17" s="182"/>
      <c r="BX17" s="90"/>
      <c r="BY17" s="90"/>
      <c r="BZ17" s="183">
        <f t="shared" si="13"/>
        <v>0</v>
      </c>
      <c r="CA17" s="182"/>
      <c r="CB17" s="90"/>
      <c r="CC17" s="90"/>
      <c r="CD17" s="183">
        <f t="shared" si="14"/>
        <v>0</v>
      </c>
    </row>
    <row r="18" spans="2:82" x14ac:dyDescent="0.3">
      <c r="B18" s="53"/>
      <c r="C18" s="53" t="str">
        <f t="shared" si="0"/>
        <v>CPU_Recomposiçãocerca</v>
      </c>
      <c r="D18" s="278">
        <f t="shared" si="1"/>
        <v>125</v>
      </c>
      <c r="E18" s="278">
        <f t="shared" si="2"/>
        <v>55500</v>
      </c>
      <c r="F18" s="1"/>
      <c r="G18" s="28" t="str">
        <f>IFERROR(VLOOKUP(F18,Tabela7[[RECURSO]:[CUSTO]],2,FALSE),"")</f>
        <v/>
      </c>
      <c r="H18" s="92"/>
      <c r="I18" s="90"/>
      <c r="J18" s="45">
        <f>IFERROR(VLOOKUP(F18,Tabela7[[RECURSO]:[CUSTO]],3,FALSE),0)</f>
        <v>0</v>
      </c>
      <c r="K18" s="45">
        <f>I18*J18*CPU_5961[[#This Row],[Nº]]</f>
        <v>0</v>
      </c>
      <c r="M18" s="31"/>
      <c r="N18" s="297"/>
      <c r="O18" s="60">
        <f t="shared" si="15"/>
        <v>0</v>
      </c>
      <c r="AD18" s="144" t="str">
        <f t="shared" si="3"/>
        <v>Recomposição cerca</v>
      </c>
      <c r="AE18" s="179"/>
      <c r="AF18" s="180">
        <f t="shared" si="16"/>
        <v>0</v>
      </c>
      <c r="AG18" s="180">
        <f t="shared" si="17"/>
        <v>0</v>
      </c>
      <c r="AH18" s="181">
        <f t="shared" si="18"/>
        <v>0</v>
      </c>
      <c r="AI18" s="182"/>
      <c r="AJ18" s="90"/>
      <c r="AK18" s="90"/>
      <c r="AL18" s="183">
        <f t="shared" si="19"/>
        <v>0</v>
      </c>
      <c r="AM18" s="182"/>
      <c r="AN18" s="90"/>
      <c r="AO18" s="90"/>
      <c r="AP18" s="183">
        <f t="shared" si="4"/>
        <v>0</v>
      </c>
      <c r="AQ18" s="182"/>
      <c r="AR18" s="90"/>
      <c r="AS18" s="90"/>
      <c r="AT18" s="183">
        <f t="shared" si="5"/>
        <v>0</v>
      </c>
      <c r="AU18" s="182"/>
      <c r="AV18" s="90"/>
      <c r="AW18" s="90"/>
      <c r="AX18" s="183">
        <f t="shared" si="6"/>
        <v>0</v>
      </c>
      <c r="AY18" s="182"/>
      <c r="AZ18" s="90"/>
      <c r="BA18" s="90"/>
      <c r="BB18" s="183">
        <f t="shared" si="7"/>
        <v>0</v>
      </c>
      <c r="BC18" s="182"/>
      <c r="BD18" s="90"/>
      <c r="BE18" s="90"/>
      <c r="BF18" s="183">
        <f t="shared" si="8"/>
        <v>0</v>
      </c>
      <c r="BG18" s="182"/>
      <c r="BH18" s="90"/>
      <c r="BI18" s="90"/>
      <c r="BJ18" s="183">
        <f t="shared" si="9"/>
        <v>0</v>
      </c>
      <c r="BK18" s="182"/>
      <c r="BL18" s="90"/>
      <c r="BM18" s="90"/>
      <c r="BN18" s="183">
        <f t="shared" si="10"/>
        <v>0</v>
      </c>
      <c r="BO18" s="182"/>
      <c r="BP18" s="90"/>
      <c r="BQ18" s="90"/>
      <c r="BR18" s="183">
        <f t="shared" si="11"/>
        <v>0</v>
      </c>
      <c r="BS18" s="182"/>
      <c r="BT18" s="90"/>
      <c r="BU18" s="90"/>
      <c r="BV18" s="183">
        <f t="shared" si="12"/>
        <v>0</v>
      </c>
      <c r="BW18" s="182"/>
      <c r="BX18" s="90"/>
      <c r="BY18" s="90"/>
      <c r="BZ18" s="183">
        <f t="shared" si="13"/>
        <v>0</v>
      </c>
      <c r="CA18" s="182"/>
      <c r="CB18" s="90"/>
      <c r="CC18" s="90"/>
      <c r="CD18" s="183">
        <f t="shared" si="14"/>
        <v>0</v>
      </c>
    </row>
    <row r="19" spans="2:82" x14ac:dyDescent="0.3">
      <c r="B19" s="53"/>
      <c r="C19" s="53" t="str">
        <f t="shared" si="0"/>
        <v>CPU_Recomposiçãocerca</v>
      </c>
      <c r="D19" s="278">
        <f t="shared" si="1"/>
        <v>125</v>
      </c>
      <c r="E19" s="278">
        <f t="shared" si="2"/>
        <v>55500</v>
      </c>
      <c r="F19" s="1"/>
      <c r="G19" s="28" t="str">
        <f>IFERROR(VLOOKUP(F19,Tabela7[[RECURSO]:[CUSTO]],2,FALSE),"")</f>
        <v/>
      </c>
      <c r="H19" s="92"/>
      <c r="I19" s="90"/>
      <c r="J19" s="45">
        <f>IFERROR(VLOOKUP(F19,Tabela7[[RECURSO]:[CUSTO]],3,FALSE),0)</f>
        <v>0</v>
      </c>
      <c r="K19" s="45">
        <f>I19*J19*CPU_5961[[#This Row],[Nº]]</f>
        <v>0</v>
      </c>
      <c r="M19" s="31"/>
      <c r="N19" s="297"/>
      <c r="O19" s="60">
        <f t="shared" si="15"/>
        <v>0</v>
      </c>
      <c r="AD19" s="144" t="str">
        <f t="shared" si="3"/>
        <v>Recomposição cerca</v>
      </c>
      <c r="AE19" s="179"/>
      <c r="AF19" s="180">
        <f t="shared" si="16"/>
        <v>0</v>
      </c>
      <c r="AG19" s="180">
        <f t="shared" si="17"/>
        <v>0</v>
      </c>
      <c r="AH19" s="181">
        <f t="shared" si="18"/>
        <v>0</v>
      </c>
      <c r="AI19" s="182"/>
      <c r="AJ19" s="90"/>
      <c r="AK19" s="90"/>
      <c r="AL19" s="183">
        <f t="shared" si="19"/>
        <v>0</v>
      </c>
      <c r="AM19" s="182"/>
      <c r="AN19" s="90"/>
      <c r="AO19" s="90"/>
      <c r="AP19" s="183">
        <f t="shared" si="4"/>
        <v>0</v>
      </c>
      <c r="AQ19" s="182"/>
      <c r="AR19" s="90"/>
      <c r="AS19" s="90"/>
      <c r="AT19" s="183">
        <f t="shared" si="5"/>
        <v>0</v>
      </c>
      <c r="AU19" s="182"/>
      <c r="AV19" s="90"/>
      <c r="AW19" s="90"/>
      <c r="AX19" s="183">
        <f t="shared" si="6"/>
        <v>0</v>
      </c>
      <c r="AY19" s="182"/>
      <c r="AZ19" s="90"/>
      <c r="BA19" s="90"/>
      <c r="BB19" s="183">
        <f t="shared" si="7"/>
        <v>0</v>
      </c>
      <c r="BC19" s="182"/>
      <c r="BD19" s="90"/>
      <c r="BE19" s="90"/>
      <c r="BF19" s="183">
        <f t="shared" si="8"/>
        <v>0</v>
      </c>
      <c r="BG19" s="182"/>
      <c r="BH19" s="90"/>
      <c r="BI19" s="90"/>
      <c r="BJ19" s="183">
        <f t="shared" si="9"/>
        <v>0</v>
      </c>
      <c r="BK19" s="182"/>
      <c r="BL19" s="90"/>
      <c r="BM19" s="90"/>
      <c r="BN19" s="183">
        <f t="shared" si="10"/>
        <v>0</v>
      </c>
      <c r="BO19" s="182"/>
      <c r="BP19" s="90"/>
      <c r="BQ19" s="90"/>
      <c r="BR19" s="183">
        <f t="shared" si="11"/>
        <v>0</v>
      </c>
      <c r="BS19" s="182"/>
      <c r="BT19" s="90"/>
      <c r="BU19" s="90"/>
      <c r="BV19" s="183">
        <f t="shared" si="12"/>
        <v>0</v>
      </c>
      <c r="BW19" s="182"/>
      <c r="BX19" s="90"/>
      <c r="BY19" s="90"/>
      <c r="BZ19" s="183">
        <f t="shared" si="13"/>
        <v>0</v>
      </c>
      <c r="CA19" s="182"/>
      <c r="CB19" s="90"/>
      <c r="CC19" s="90"/>
      <c r="CD19" s="183">
        <f t="shared" si="14"/>
        <v>0</v>
      </c>
    </row>
    <row r="20" spans="2:82" x14ac:dyDescent="0.3">
      <c r="B20" s="53"/>
      <c r="C20" s="53" t="str">
        <f t="shared" si="0"/>
        <v>CPU_Recomposiçãocerca</v>
      </c>
      <c r="D20" s="278">
        <f t="shared" si="1"/>
        <v>125</v>
      </c>
      <c r="E20" s="278">
        <f t="shared" si="2"/>
        <v>55500</v>
      </c>
      <c r="F20" s="1"/>
      <c r="G20" s="28" t="str">
        <f>IFERROR(VLOOKUP(F20,Tabela7[[RECURSO]:[CUSTO]],2,FALSE),"")</f>
        <v/>
      </c>
      <c r="H20" s="92"/>
      <c r="I20" s="90"/>
      <c r="J20" s="45">
        <f>IFERROR(VLOOKUP(F20,Tabela7[[RECURSO]:[CUSTO]],3,FALSE),0)</f>
        <v>0</v>
      </c>
      <c r="K20" s="45">
        <f>I20*J20*CPU_5961[[#This Row],[Nº]]</f>
        <v>0</v>
      </c>
      <c r="M20" s="31"/>
      <c r="N20" s="297"/>
      <c r="O20" s="60">
        <f t="shared" si="15"/>
        <v>0</v>
      </c>
      <c r="AD20" s="144" t="str">
        <f t="shared" si="3"/>
        <v>Recomposição cerca</v>
      </c>
      <c r="AE20" s="179"/>
      <c r="AF20" s="180">
        <f t="shared" si="16"/>
        <v>0</v>
      </c>
      <c r="AG20" s="180">
        <f t="shared" si="17"/>
        <v>0</v>
      </c>
      <c r="AH20" s="181">
        <f t="shared" si="18"/>
        <v>0</v>
      </c>
      <c r="AI20" s="182"/>
      <c r="AJ20" s="90"/>
      <c r="AK20" s="90"/>
      <c r="AL20" s="183">
        <f t="shared" si="19"/>
        <v>0</v>
      </c>
      <c r="AM20" s="182"/>
      <c r="AN20" s="90"/>
      <c r="AO20" s="90"/>
      <c r="AP20" s="183">
        <f t="shared" si="4"/>
        <v>0</v>
      </c>
      <c r="AQ20" s="182"/>
      <c r="AR20" s="90"/>
      <c r="AS20" s="90"/>
      <c r="AT20" s="183">
        <f t="shared" si="5"/>
        <v>0</v>
      </c>
      <c r="AU20" s="182"/>
      <c r="AV20" s="90"/>
      <c r="AW20" s="90"/>
      <c r="AX20" s="183">
        <f t="shared" si="6"/>
        <v>0</v>
      </c>
      <c r="AY20" s="182"/>
      <c r="AZ20" s="90"/>
      <c r="BA20" s="90"/>
      <c r="BB20" s="183">
        <f t="shared" si="7"/>
        <v>0</v>
      </c>
      <c r="BC20" s="182"/>
      <c r="BD20" s="90"/>
      <c r="BE20" s="90"/>
      <c r="BF20" s="183">
        <f t="shared" si="8"/>
        <v>0</v>
      </c>
      <c r="BG20" s="182"/>
      <c r="BH20" s="90"/>
      <c r="BI20" s="90"/>
      <c r="BJ20" s="183">
        <f t="shared" si="9"/>
        <v>0</v>
      </c>
      <c r="BK20" s="182"/>
      <c r="BL20" s="90"/>
      <c r="BM20" s="90"/>
      <c r="BN20" s="183">
        <f t="shared" si="10"/>
        <v>0</v>
      </c>
      <c r="BO20" s="182"/>
      <c r="BP20" s="90"/>
      <c r="BQ20" s="90"/>
      <c r="BR20" s="183">
        <f t="shared" si="11"/>
        <v>0</v>
      </c>
      <c r="BS20" s="182"/>
      <c r="BT20" s="90"/>
      <c r="BU20" s="90"/>
      <c r="BV20" s="183">
        <f t="shared" si="12"/>
        <v>0</v>
      </c>
      <c r="BW20" s="182"/>
      <c r="BX20" s="90"/>
      <c r="BY20" s="90"/>
      <c r="BZ20" s="183">
        <f t="shared" si="13"/>
        <v>0</v>
      </c>
      <c r="CA20" s="182"/>
      <c r="CB20" s="90"/>
      <c r="CC20" s="90"/>
      <c r="CD20" s="183">
        <f t="shared" si="14"/>
        <v>0</v>
      </c>
    </row>
    <row r="21" spans="2:82" x14ac:dyDescent="0.3">
      <c r="B21" s="53"/>
      <c r="C21" s="53" t="str">
        <f t="shared" si="0"/>
        <v>CPU_Recomposiçãocerca</v>
      </c>
      <c r="D21" s="278">
        <f t="shared" si="1"/>
        <v>125</v>
      </c>
      <c r="E21" s="278">
        <f t="shared" si="2"/>
        <v>55500</v>
      </c>
      <c r="F21" s="1"/>
      <c r="G21" s="28" t="str">
        <f>IFERROR(VLOOKUP(F21,Tabela7[[RECURSO]:[CUSTO]],2,FALSE),"")</f>
        <v/>
      </c>
      <c r="H21" s="92"/>
      <c r="I21" s="90"/>
      <c r="J21" s="45">
        <f>IFERROR(VLOOKUP(F21,Tabela7[[RECURSO]:[CUSTO]],3,FALSE),0)</f>
        <v>0</v>
      </c>
      <c r="K21" s="45">
        <f>I21*J21*CPU_5961[[#This Row],[Nº]]</f>
        <v>0</v>
      </c>
      <c r="M21" s="31"/>
      <c r="N21" s="297"/>
      <c r="O21" s="60">
        <f t="shared" si="15"/>
        <v>0</v>
      </c>
      <c r="AD21" s="144" t="str">
        <f t="shared" si="3"/>
        <v>Recomposição cerca</v>
      </c>
      <c r="AE21" s="179"/>
      <c r="AF21" s="180">
        <f t="shared" si="16"/>
        <v>0</v>
      </c>
      <c r="AG21" s="180">
        <f t="shared" si="17"/>
        <v>0</v>
      </c>
      <c r="AH21" s="181">
        <f t="shared" si="18"/>
        <v>0</v>
      </c>
      <c r="AI21" s="182"/>
      <c r="AJ21" s="90"/>
      <c r="AK21" s="90"/>
      <c r="AL21" s="183">
        <f t="shared" si="19"/>
        <v>0</v>
      </c>
      <c r="AM21" s="182"/>
      <c r="AN21" s="90"/>
      <c r="AO21" s="90"/>
      <c r="AP21" s="183">
        <f t="shared" si="4"/>
        <v>0</v>
      </c>
      <c r="AQ21" s="182"/>
      <c r="AR21" s="90"/>
      <c r="AS21" s="90"/>
      <c r="AT21" s="183">
        <f t="shared" si="5"/>
        <v>0</v>
      </c>
      <c r="AU21" s="182"/>
      <c r="AV21" s="90"/>
      <c r="AW21" s="90"/>
      <c r="AX21" s="183">
        <f t="shared" si="6"/>
        <v>0</v>
      </c>
      <c r="AY21" s="182"/>
      <c r="AZ21" s="90"/>
      <c r="BA21" s="90"/>
      <c r="BB21" s="183">
        <f t="shared" si="7"/>
        <v>0</v>
      </c>
      <c r="BC21" s="182"/>
      <c r="BD21" s="90"/>
      <c r="BE21" s="90"/>
      <c r="BF21" s="183">
        <f t="shared" si="8"/>
        <v>0</v>
      </c>
      <c r="BG21" s="182"/>
      <c r="BH21" s="90"/>
      <c r="BI21" s="90"/>
      <c r="BJ21" s="183">
        <f t="shared" si="9"/>
        <v>0</v>
      </c>
      <c r="BK21" s="182"/>
      <c r="BL21" s="90"/>
      <c r="BM21" s="90"/>
      <c r="BN21" s="183">
        <f t="shared" si="10"/>
        <v>0</v>
      </c>
      <c r="BO21" s="182"/>
      <c r="BP21" s="90"/>
      <c r="BQ21" s="90"/>
      <c r="BR21" s="183">
        <f t="shared" si="11"/>
        <v>0</v>
      </c>
      <c r="BS21" s="182"/>
      <c r="BT21" s="90"/>
      <c r="BU21" s="90"/>
      <c r="BV21" s="183">
        <f t="shared" si="12"/>
        <v>0</v>
      </c>
      <c r="BW21" s="182"/>
      <c r="BX21" s="90"/>
      <c r="BY21" s="90"/>
      <c r="BZ21" s="183">
        <f t="shared" si="13"/>
        <v>0</v>
      </c>
      <c r="CA21" s="182"/>
      <c r="CB21" s="90"/>
      <c r="CC21" s="90"/>
      <c r="CD21" s="183">
        <f t="shared" si="14"/>
        <v>0</v>
      </c>
    </row>
    <row r="22" spans="2:82" x14ac:dyDescent="0.3">
      <c r="B22" s="53"/>
      <c r="C22" s="53" t="str">
        <f t="shared" si="0"/>
        <v>CPU_Recomposiçãocerca</v>
      </c>
      <c r="D22" s="278">
        <f t="shared" si="1"/>
        <v>125</v>
      </c>
      <c r="E22" s="278">
        <f t="shared" si="2"/>
        <v>55500</v>
      </c>
      <c r="F22" s="1"/>
      <c r="G22" s="28" t="str">
        <f>IFERROR(VLOOKUP(F22,Tabela7[[RECURSO]:[CUSTO]],2,FALSE),"")</f>
        <v/>
      </c>
      <c r="H22" s="92"/>
      <c r="I22" s="90"/>
      <c r="J22" s="45">
        <f>IFERROR(VLOOKUP(F22,Tabela7[[RECURSO]:[CUSTO]],3,FALSE),0)</f>
        <v>0</v>
      </c>
      <c r="K22" s="45">
        <f>I22*J22*CPU_5961[[#This Row],[Nº]]</f>
        <v>0</v>
      </c>
      <c r="M22" s="31"/>
      <c r="N22" s="297"/>
      <c r="O22" s="60">
        <f t="shared" si="15"/>
        <v>0</v>
      </c>
      <c r="AD22" s="144" t="str">
        <f t="shared" si="3"/>
        <v>Recomposição cerca</v>
      </c>
      <c r="AE22" s="179"/>
      <c r="AF22" s="180">
        <f t="shared" si="16"/>
        <v>0</v>
      </c>
      <c r="AG22" s="180">
        <f t="shared" si="17"/>
        <v>0</v>
      </c>
      <c r="AH22" s="181">
        <f t="shared" si="18"/>
        <v>0</v>
      </c>
      <c r="AI22" s="182"/>
      <c r="AJ22" s="90"/>
      <c r="AK22" s="90"/>
      <c r="AL22" s="183">
        <f t="shared" si="19"/>
        <v>0</v>
      </c>
      <c r="AM22" s="182"/>
      <c r="AN22" s="90"/>
      <c r="AO22" s="90"/>
      <c r="AP22" s="183">
        <f t="shared" si="4"/>
        <v>0</v>
      </c>
      <c r="AQ22" s="182"/>
      <c r="AR22" s="90"/>
      <c r="AS22" s="90"/>
      <c r="AT22" s="183">
        <f t="shared" si="5"/>
        <v>0</v>
      </c>
      <c r="AU22" s="182"/>
      <c r="AV22" s="90"/>
      <c r="AW22" s="90"/>
      <c r="AX22" s="183">
        <f t="shared" si="6"/>
        <v>0</v>
      </c>
      <c r="AY22" s="182"/>
      <c r="AZ22" s="90"/>
      <c r="BA22" s="90"/>
      <c r="BB22" s="183">
        <f t="shared" si="7"/>
        <v>0</v>
      </c>
      <c r="BC22" s="182"/>
      <c r="BD22" s="90"/>
      <c r="BE22" s="90"/>
      <c r="BF22" s="183">
        <f t="shared" si="8"/>
        <v>0</v>
      </c>
      <c r="BG22" s="182"/>
      <c r="BH22" s="90"/>
      <c r="BI22" s="90"/>
      <c r="BJ22" s="183">
        <f t="shared" si="9"/>
        <v>0</v>
      </c>
      <c r="BK22" s="182"/>
      <c r="BL22" s="90"/>
      <c r="BM22" s="90"/>
      <c r="BN22" s="183">
        <f t="shared" si="10"/>
        <v>0</v>
      </c>
      <c r="BO22" s="182"/>
      <c r="BP22" s="90"/>
      <c r="BQ22" s="90"/>
      <c r="BR22" s="183">
        <f t="shared" si="11"/>
        <v>0</v>
      </c>
      <c r="BS22" s="182"/>
      <c r="BT22" s="90"/>
      <c r="BU22" s="90"/>
      <c r="BV22" s="183">
        <f t="shared" si="12"/>
        <v>0</v>
      </c>
      <c r="BW22" s="182"/>
      <c r="BX22" s="90"/>
      <c r="BY22" s="90"/>
      <c r="BZ22" s="183">
        <f t="shared" si="13"/>
        <v>0</v>
      </c>
      <c r="CA22" s="182"/>
      <c r="CB22" s="90"/>
      <c r="CC22" s="90"/>
      <c r="CD22" s="183">
        <f t="shared" si="14"/>
        <v>0</v>
      </c>
    </row>
    <row r="23" spans="2:82" ht="15" thickBot="1" x14ac:dyDescent="0.35">
      <c r="B23" s="53"/>
      <c r="C23" s="53" t="str">
        <f t="shared" si="0"/>
        <v>CPU_Recomposiçãocerca</v>
      </c>
      <c r="D23" s="278">
        <f t="shared" si="1"/>
        <v>125</v>
      </c>
      <c r="E23" s="278">
        <f t="shared" si="2"/>
        <v>55500</v>
      </c>
      <c r="F23" s="1"/>
      <c r="G23" s="28" t="str">
        <f>IFERROR(VLOOKUP(F23,Tabela7[[RECURSO]:[CUSTO]],2,FALSE),"")</f>
        <v/>
      </c>
      <c r="H23" s="92"/>
      <c r="I23" s="90"/>
      <c r="J23" s="45">
        <f>IFERROR(VLOOKUP(F23,Tabela7[[RECURSO]:[CUSTO]],3,FALSE),0)</f>
        <v>0</v>
      </c>
      <c r="K23" s="45">
        <f>I23*J23*CPU_5961[[#This Row],[Nº]]</f>
        <v>0</v>
      </c>
      <c r="M23" s="51"/>
      <c r="N23" s="298"/>
      <c r="O23" s="61">
        <f t="shared" si="15"/>
        <v>0</v>
      </c>
      <c r="AD23" s="144" t="str">
        <f t="shared" si="3"/>
        <v>Recomposição cerca</v>
      </c>
      <c r="AE23" s="179"/>
      <c r="AF23" s="180">
        <f t="shared" si="16"/>
        <v>0</v>
      </c>
      <c r="AG23" s="180">
        <f t="shared" si="17"/>
        <v>0</v>
      </c>
      <c r="AH23" s="181">
        <f t="shared" si="18"/>
        <v>0</v>
      </c>
      <c r="AI23" s="182"/>
      <c r="AJ23" s="90"/>
      <c r="AK23" s="90"/>
      <c r="AL23" s="183">
        <f t="shared" si="19"/>
        <v>0</v>
      </c>
      <c r="AM23" s="182"/>
      <c r="AN23" s="90"/>
      <c r="AO23" s="90"/>
      <c r="AP23" s="183">
        <f t="shared" si="4"/>
        <v>0</v>
      </c>
      <c r="AQ23" s="182"/>
      <c r="AR23" s="90"/>
      <c r="AS23" s="90"/>
      <c r="AT23" s="183">
        <f t="shared" si="5"/>
        <v>0</v>
      </c>
      <c r="AU23" s="182"/>
      <c r="AV23" s="90"/>
      <c r="AW23" s="90"/>
      <c r="AX23" s="183">
        <f t="shared" si="6"/>
        <v>0</v>
      </c>
      <c r="AY23" s="182"/>
      <c r="AZ23" s="90"/>
      <c r="BA23" s="90"/>
      <c r="BB23" s="183">
        <f t="shared" si="7"/>
        <v>0</v>
      </c>
      <c r="BC23" s="182"/>
      <c r="BD23" s="90"/>
      <c r="BE23" s="90"/>
      <c r="BF23" s="183">
        <f t="shared" si="8"/>
        <v>0</v>
      </c>
      <c r="BG23" s="182"/>
      <c r="BH23" s="90"/>
      <c r="BI23" s="90"/>
      <c r="BJ23" s="183">
        <f t="shared" si="9"/>
        <v>0</v>
      </c>
      <c r="BK23" s="182"/>
      <c r="BL23" s="90"/>
      <c r="BM23" s="90"/>
      <c r="BN23" s="183">
        <f t="shared" si="10"/>
        <v>0</v>
      </c>
      <c r="BO23" s="182"/>
      <c r="BP23" s="90"/>
      <c r="BQ23" s="90"/>
      <c r="BR23" s="183">
        <f t="shared" si="11"/>
        <v>0</v>
      </c>
      <c r="BS23" s="182"/>
      <c r="BT23" s="90"/>
      <c r="BU23" s="90"/>
      <c r="BV23" s="183">
        <f t="shared" si="12"/>
        <v>0</v>
      </c>
      <c r="BW23" s="182"/>
      <c r="BX23" s="90"/>
      <c r="BY23" s="90"/>
      <c r="BZ23" s="183">
        <f t="shared" si="13"/>
        <v>0</v>
      </c>
      <c r="CA23" s="182"/>
      <c r="CB23" s="90"/>
      <c r="CC23" s="90"/>
      <c r="CD23" s="183">
        <f t="shared" si="14"/>
        <v>0</v>
      </c>
    </row>
    <row r="24" spans="2:82" x14ac:dyDescent="0.3">
      <c r="B24" s="52" t="s">
        <v>686</v>
      </c>
      <c r="C24" s="52" t="str">
        <f t="shared" si="0"/>
        <v>CPU_Recomposiçãocerca</v>
      </c>
      <c r="D24" s="277">
        <f t="shared" si="1"/>
        <v>125</v>
      </c>
      <c r="E24" s="277">
        <f t="shared" si="2"/>
        <v>55500</v>
      </c>
      <c r="F24" s="37"/>
      <c r="G24" s="38"/>
      <c r="H24" s="91"/>
      <c r="I24" s="40"/>
      <c r="J24" s="40">
        <f>IFERROR(K24/$B$6,0)</f>
        <v>0</v>
      </c>
      <c r="K24" s="40">
        <f>SUM(K25:K36)</f>
        <v>0</v>
      </c>
      <c r="AD24" s="144" t="str">
        <f t="shared" si="3"/>
        <v>Recomposição cerca</v>
      </c>
      <c r="AE24" s="184"/>
      <c r="AF24" s="40"/>
      <c r="AG24" s="40">
        <f>IFERROR(AH24/AF$3,0)</f>
        <v>0</v>
      </c>
      <c r="AH24" s="185">
        <f>SUM(AH25:AH36)</f>
        <v>0</v>
      </c>
      <c r="AI24" s="184"/>
      <c r="AJ24" s="40"/>
      <c r="AK24" s="40">
        <f>IFERROR(AL24/AJ$3,0)</f>
        <v>0</v>
      </c>
      <c r="AL24" s="185">
        <f>SUM(AL25:AL36)</f>
        <v>0</v>
      </c>
      <c r="AM24" s="184"/>
      <c r="AN24" s="40"/>
      <c r="AO24" s="40">
        <f>IFERROR(AP24/AN$3,0)</f>
        <v>0</v>
      </c>
      <c r="AP24" s="185">
        <f>SUM(AP25:AP36)</f>
        <v>0</v>
      </c>
      <c r="AQ24" s="184"/>
      <c r="AR24" s="40"/>
      <c r="AS24" s="40">
        <f>IFERROR(AT24/AR$3,0)</f>
        <v>0</v>
      </c>
      <c r="AT24" s="185">
        <f>SUM(AT25:AT36)</f>
        <v>0</v>
      </c>
      <c r="AU24" s="184"/>
      <c r="AV24" s="40"/>
      <c r="AW24" s="40">
        <f>IFERROR(AX24/AV$3,0)</f>
        <v>0</v>
      </c>
      <c r="AX24" s="185">
        <f>SUM(AX25:AX36)</f>
        <v>0</v>
      </c>
      <c r="AY24" s="184"/>
      <c r="AZ24" s="40"/>
      <c r="BA24" s="40">
        <f>IFERROR(BB24/AZ$3,0)</f>
        <v>0</v>
      </c>
      <c r="BB24" s="185">
        <f>SUM(BB25:BB36)</f>
        <v>0</v>
      </c>
      <c r="BC24" s="184"/>
      <c r="BD24" s="40"/>
      <c r="BE24" s="40">
        <f>IFERROR(BF24/BD$3,0)</f>
        <v>0</v>
      </c>
      <c r="BF24" s="185">
        <f>SUM(BF25:BF36)</f>
        <v>0</v>
      </c>
      <c r="BG24" s="184"/>
      <c r="BH24" s="40"/>
      <c r="BI24" s="40">
        <f>IFERROR(BJ24/BH$3,0)</f>
        <v>0</v>
      </c>
      <c r="BJ24" s="185">
        <f>SUM(BJ25:BJ36)</f>
        <v>0</v>
      </c>
      <c r="BK24" s="184"/>
      <c r="BL24" s="40"/>
      <c r="BM24" s="40">
        <f>IFERROR(BN24/BL$3,0)</f>
        <v>0</v>
      </c>
      <c r="BN24" s="185">
        <f>SUM(BN25:BN36)</f>
        <v>0</v>
      </c>
      <c r="BO24" s="184"/>
      <c r="BP24" s="40"/>
      <c r="BQ24" s="40">
        <f>IFERROR(BR24/BP$3,0)</f>
        <v>0</v>
      </c>
      <c r="BR24" s="185">
        <f>SUM(BR25:BR36)</f>
        <v>0</v>
      </c>
      <c r="BS24" s="184"/>
      <c r="BT24" s="40"/>
      <c r="BU24" s="40">
        <f>IFERROR(BV24/BT$3,0)</f>
        <v>0</v>
      </c>
      <c r="BV24" s="185">
        <f>SUM(BV25:BV36)</f>
        <v>0</v>
      </c>
      <c r="BW24" s="184"/>
      <c r="BX24" s="40"/>
      <c r="BY24" s="40">
        <f>IFERROR(BZ24/BX$3,0)</f>
        <v>0</v>
      </c>
      <c r="BZ24" s="185">
        <f>SUM(BZ25:BZ36)</f>
        <v>0</v>
      </c>
      <c r="CA24" s="184"/>
      <c r="CB24" s="40"/>
      <c r="CC24" s="40">
        <f>IFERROR(CD24/CB$3,0)</f>
        <v>0</v>
      </c>
      <c r="CD24" s="185">
        <f>SUM(CD25:CD36)</f>
        <v>0</v>
      </c>
    </row>
    <row r="25" spans="2:82" x14ac:dyDescent="0.3">
      <c r="B25" s="53"/>
      <c r="C25" s="53" t="str">
        <f t="shared" si="0"/>
        <v>CPU_Recomposiçãocerca</v>
      </c>
      <c r="D25" s="278">
        <f t="shared" si="1"/>
        <v>125</v>
      </c>
      <c r="E25" s="278">
        <f t="shared" si="2"/>
        <v>55500</v>
      </c>
      <c r="F25" s="1" t="s">
        <v>1034</v>
      </c>
      <c r="G25" s="28" t="str">
        <f>IFERROR(VLOOKUP(F25,Tabela7[[RECURSO]:[CUSTO]],2,FALSE),"")</f>
        <v>L</v>
      </c>
      <c r="H25" s="93"/>
      <c r="I25" s="90">
        <f>IFERROR(SUMPRODUCT(I12:I23,M12:M23,H12:H23,N12:N23),0)</f>
        <v>43.636363636363633</v>
      </c>
      <c r="J25" s="45">
        <f>IFERROR(VLOOKUP(F25,Tabela7[[RECURSO]:[CUSTO]],3,FALSE),0)</f>
        <v>0</v>
      </c>
      <c r="K25" s="45">
        <f>I25*J25</f>
        <v>0</v>
      </c>
      <c r="AD25" s="144" t="str">
        <f t="shared" si="3"/>
        <v>Recomposição cerca</v>
      </c>
      <c r="AE25" s="179"/>
      <c r="AF25" s="180">
        <f t="shared" ref="AF25:AF36" si="20">AJ25+AN25+AR25+AV25+AZ25+BD25+BH25+BL25+BP25+BT25+BX25+CB25</f>
        <v>0</v>
      </c>
      <c r="AG25" s="180">
        <f t="shared" si="17"/>
        <v>0</v>
      </c>
      <c r="AH25" s="181">
        <f t="shared" ref="AH25:AH36" si="21">AL25+AP25+AT25+AX25+BB25+BF25+BJ25+BN25+BR25+BV25+BZ25+CD25</f>
        <v>0</v>
      </c>
      <c r="AI25" s="182"/>
      <c r="AJ25" s="90"/>
      <c r="AK25" s="90"/>
      <c r="AL25" s="183">
        <f t="shared" ref="AL25:AL36" si="22">AJ25*AK25</f>
        <v>0</v>
      </c>
      <c r="AM25" s="182"/>
      <c r="AN25" s="90"/>
      <c r="AO25" s="90"/>
      <c r="AP25" s="183">
        <f t="shared" ref="AP25:AP62" si="23">AN25*AO25</f>
        <v>0</v>
      </c>
      <c r="AQ25" s="182"/>
      <c r="AR25" s="90"/>
      <c r="AS25" s="90"/>
      <c r="AT25" s="183">
        <f t="shared" ref="AT25:AT62" si="24">AR25*AS25</f>
        <v>0</v>
      </c>
      <c r="AU25" s="182"/>
      <c r="AV25" s="90"/>
      <c r="AW25" s="90"/>
      <c r="AX25" s="183">
        <f t="shared" ref="AX25:AX62" si="25">AV25*AW25</f>
        <v>0</v>
      </c>
      <c r="AY25" s="182"/>
      <c r="AZ25" s="90"/>
      <c r="BA25" s="90"/>
      <c r="BB25" s="183">
        <f t="shared" ref="BB25:BB62" si="26">AZ25*BA25</f>
        <v>0</v>
      </c>
      <c r="BC25" s="182"/>
      <c r="BD25" s="90"/>
      <c r="BE25" s="90"/>
      <c r="BF25" s="183">
        <f t="shared" ref="BF25:BF62" si="27">BD25*BE25</f>
        <v>0</v>
      </c>
      <c r="BG25" s="182"/>
      <c r="BH25" s="90"/>
      <c r="BI25" s="90"/>
      <c r="BJ25" s="183">
        <f t="shared" ref="BJ25:BJ62" si="28">BH25*BI25</f>
        <v>0</v>
      </c>
      <c r="BK25" s="182"/>
      <c r="BL25" s="90"/>
      <c r="BM25" s="90"/>
      <c r="BN25" s="183">
        <f t="shared" ref="BN25:BN62" si="29">BL25*BM25</f>
        <v>0</v>
      </c>
      <c r="BO25" s="182"/>
      <c r="BP25" s="90"/>
      <c r="BQ25" s="90"/>
      <c r="BR25" s="183">
        <f t="shared" ref="BR25:BR62" si="30">BP25*BQ25</f>
        <v>0</v>
      </c>
      <c r="BS25" s="182"/>
      <c r="BT25" s="90"/>
      <c r="BU25" s="90"/>
      <c r="BV25" s="183">
        <f t="shared" ref="BV25:BV62" si="31">BT25*BU25</f>
        <v>0</v>
      </c>
      <c r="BW25" s="182"/>
      <c r="BX25" s="90"/>
      <c r="BY25" s="90"/>
      <c r="BZ25" s="183">
        <f t="shared" ref="BZ25:BZ62" si="32">BX25*BY25</f>
        <v>0</v>
      </c>
      <c r="CA25" s="182"/>
      <c r="CB25" s="90"/>
      <c r="CC25" s="90"/>
      <c r="CD25" s="183">
        <f t="shared" ref="CD25:CD62" si="33">CB25*CC25</f>
        <v>0</v>
      </c>
    </row>
    <row r="26" spans="2:82" x14ac:dyDescent="0.3">
      <c r="B26" s="53"/>
      <c r="C26" s="53" t="str">
        <f t="shared" si="0"/>
        <v>CPU_Recomposiçãocerca</v>
      </c>
      <c r="D26" s="278">
        <f t="shared" si="1"/>
        <v>125</v>
      </c>
      <c r="E26" s="278">
        <f t="shared" si="2"/>
        <v>55500</v>
      </c>
      <c r="F26" s="1"/>
      <c r="G26" s="28" t="str">
        <f>IFERROR(VLOOKUP(F26,Tabela7[[RECURSO]:[CUSTO]],2,FALSE),"")</f>
        <v/>
      </c>
      <c r="H26" s="93"/>
      <c r="I26" s="90"/>
      <c r="J26" s="45">
        <f>IFERROR(VLOOKUP(F26,Tabela7[[RECURSO]:[CUSTO]],3,FALSE),0)</f>
        <v>0</v>
      </c>
      <c r="K26" s="45">
        <f t="shared" ref="K26:K36" si="34">I26*J26</f>
        <v>0</v>
      </c>
      <c r="AD26" s="144" t="str">
        <f t="shared" si="3"/>
        <v>Recomposição cerca</v>
      </c>
      <c r="AE26" s="179"/>
      <c r="AF26" s="180">
        <f t="shared" si="20"/>
        <v>0</v>
      </c>
      <c r="AG26" s="180">
        <f t="shared" si="17"/>
        <v>0</v>
      </c>
      <c r="AH26" s="181">
        <f t="shared" si="21"/>
        <v>0</v>
      </c>
      <c r="AI26" s="182"/>
      <c r="AJ26" s="90"/>
      <c r="AK26" s="90"/>
      <c r="AL26" s="183">
        <f t="shared" si="22"/>
        <v>0</v>
      </c>
      <c r="AM26" s="182"/>
      <c r="AN26" s="90"/>
      <c r="AO26" s="90"/>
      <c r="AP26" s="183">
        <f t="shared" si="23"/>
        <v>0</v>
      </c>
      <c r="AQ26" s="182"/>
      <c r="AR26" s="90"/>
      <c r="AS26" s="90"/>
      <c r="AT26" s="183">
        <f t="shared" si="24"/>
        <v>0</v>
      </c>
      <c r="AU26" s="182"/>
      <c r="AV26" s="90"/>
      <c r="AW26" s="90"/>
      <c r="AX26" s="183">
        <f t="shared" si="25"/>
        <v>0</v>
      </c>
      <c r="AY26" s="182"/>
      <c r="AZ26" s="90"/>
      <c r="BA26" s="90"/>
      <c r="BB26" s="183">
        <f t="shared" si="26"/>
        <v>0</v>
      </c>
      <c r="BC26" s="182"/>
      <c r="BD26" s="90"/>
      <c r="BE26" s="90"/>
      <c r="BF26" s="183">
        <f t="shared" si="27"/>
        <v>0</v>
      </c>
      <c r="BG26" s="182"/>
      <c r="BH26" s="90"/>
      <c r="BI26" s="90"/>
      <c r="BJ26" s="183">
        <f t="shared" si="28"/>
        <v>0</v>
      </c>
      <c r="BK26" s="182"/>
      <c r="BL26" s="90"/>
      <c r="BM26" s="90"/>
      <c r="BN26" s="183">
        <f t="shared" si="29"/>
        <v>0</v>
      </c>
      <c r="BO26" s="182"/>
      <c r="BP26" s="90"/>
      <c r="BQ26" s="90"/>
      <c r="BR26" s="183">
        <f t="shared" si="30"/>
        <v>0</v>
      </c>
      <c r="BS26" s="182"/>
      <c r="BT26" s="90"/>
      <c r="BU26" s="90"/>
      <c r="BV26" s="183">
        <f t="shared" si="31"/>
        <v>0</v>
      </c>
      <c r="BW26" s="182"/>
      <c r="BX26" s="90"/>
      <c r="BY26" s="90"/>
      <c r="BZ26" s="183">
        <f t="shared" si="32"/>
        <v>0</v>
      </c>
      <c r="CA26" s="182"/>
      <c r="CB26" s="90"/>
      <c r="CC26" s="90"/>
      <c r="CD26" s="183">
        <f t="shared" si="33"/>
        <v>0</v>
      </c>
    </row>
    <row r="27" spans="2:82" x14ac:dyDescent="0.3">
      <c r="B27" s="53"/>
      <c r="C27" s="53" t="str">
        <f t="shared" si="0"/>
        <v>CPU_Recomposiçãocerca</v>
      </c>
      <c r="D27" s="278">
        <f t="shared" si="1"/>
        <v>125</v>
      </c>
      <c r="E27" s="278">
        <f t="shared" si="2"/>
        <v>55500</v>
      </c>
      <c r="F27" s="1"/>
      <c r="G27" s="28" t="str">
        <f>IFERROR(VLOOKUP(F27,Tabela7[[RECURSO]:[CUSTO]],2,FALSE),"")</f>
        <v/>
      </c>
      <c r="H27" s="93"/>
      <c r="I27" s="90"/>
      <c r="J27" s="45">
        <f>IFERROR(VLOOKUP(F27,Tabela7[[RECURSO]:[CUSTO]],3,FALSE),0)</f>
        <v>0</v>
      </c>
      <c r="K27" s="45">
        <f t="shared" si="34"/>
        <v>0</v>
      </c>
      <c r="AD27" s="144" t="str">
        <f t="shared" si="3"/>
        <v>Recomposição cerca</v>
      </c>
      <c r="AE27" s="179"/>
      <c r="AF27" s="180">
        <f t="shared" si="20"/>
        <v>0</v>
      </c>
      <c r="AG27" s="180">
        <f t="shared" si="17"/>
        <v>0</v>
      </c>
      <c r="AH27" s="181">
        <f t="shared" si="21"/>
        <v>0</v>
      </c>
      <c r="AI27" s="182"/>
      <c r="AJ27" s="90"/>
      <c r="AK27" s="90"/>
      <c r="AL27" s="183">
        <f t="shared" si="22"/>
        <v>0</v>
      </c>
      <c r="AM27" s="182"/>
      <c r="AN27" s="90"/>
      <c r="AO27" s="90"/>
      <c r="AP27" s="183">
        <f t="shared" si="23"/>
        <v>0</v>
      </c>
      <c r="AQ27" s="182"/>
      <c r="AR27" s="90"/>
      <c r="AS27" s="90"/>
      <c r="AT27" s="183">
        <f t="shared" si="24"/>
        <v>0</v>
      </c>
      <c r="AU27" s="182"/>
      <c r="AV27" s="90"/>
      <c r="AW27" s="90"/>
      <c r="AX27" s="183">
        <f t="shared" si="25"/>
        <v>0</v>
      </c>
      <c r="AY27" s="182"/>
      <c r="AZ27" s="90"/>
      <c r="BA27" s="90"/>
      <c r="BB27" s="183">
        <f t="shared" si="26"/>
        <v>0</v>
      </c>
      <c r="BC27" s="182"/>
      <c r="BD27" s="90"/>
      <c r="BE27" s="90"/>
      <c r="BF27" s="183">
        <f t="shared" si="27"/>
        <v>0</v>
      </c>
      <c r="BG27" s="182"/>
      <c r="BH27" s="90"/>
      <c r="BI27" s="90"/>
      <c r="BJ27" s="183">
        <f t="shared" si="28"/>
        <v>0</v>
      </c>
      <c r="BK27" s="182"/>
      <c r="BL27" s="90"/>
      <c r="BM27" s="90"/>
      <c r="BN27" s="183">
        <f t="shared" si="29"/>
        <v>0</v>
      </c>
      <c r="BO27" s="182"/>
      <c r="BP27" s="90"/>
      <c r="BQ27" s="90"/>
      <c r="BR27" s="183">
        <f t="shared" si="30"/>
        <v>0</v>
      </c>
      <c r="BS27" s="182"/>
      <c r="BT27" s="90"/>
      <c r="BU27" s="90"/>
      <c r="BV27" s="183">
        <f t="shared" si="31"/>
        <v>0</v>
      </c>
      <c r="BW27" s="182"/>
      <c r="BX27" s="90"/>
      <c r="BY27" s="90"/>
      <c r="BZ27" s="183">
        <f t="shared" si="32"/>
        <v>0</v>
      </c>
      <c r="CA27" s="182"/>
      <c r="CB27" s="90"/>
      <c r="CC27" s="90"/>
      <c r="CD27" s="183">
        <f t="shared" si="33"/>
        <v>0</v>
      </c>
    </row>
    <row r="28" spans="2:82" x14ac:dyDescent="0.3">
      <c r="B28" s="53"/>
      <c r="C28" s="53" t="str">
        <f t="shared" si="0"/>
        <v>CPU_Recomposiçãocerca</v>
      </c>
      <c r="D28" s="278">
        <f t="shared" si="1"/>
        <v>125</v>
      </c>
      <c r="E28" s="278">
        <f t="shared" si="2"/>
        <v>55500</v>
      </c>
      <c r="F28" s="1"/>
      <c r="G28" s="28" t="str">
        <f>IFERROR(VLOOKUP(F28,Tabela7[[RECURSO]:[CUSTO]],2,FALSE),"")</f>
        <v/>
      </c>
      <c r="H28" s="93"/>
      <c r="I28" s="90"/>
      <c r="J28" s="45">
        <f>IFERROR(VLOOKUP(F28,Tabela7[[RECURSO]:[CUSTO]],3,FALSE),0)</f>
        <v>0</v>
      </c>
      <c r="K28" s="45">
        <f t="shared" si="34"/>
        <v>0</v>
      </c>
      <c r="AD28" s="144" t="str">
        <f t="shared" si="3"/>
        <v>Recomposição cerca</v>
      </c>
      <c r="AE28" s="179"/>
      <c r="AF28" s="180">
        <f t="shared" si="20"/>
        <v>0</v>
      </c>
      <c r="AG28" s="180">
        <f t="shared" si="17"/>
        <v>0</v>
      </c>
      <c r="AH28" s="181">
        <f t="shared" si="21"/>
        <v>0</v>
      </c>
      <c r="AI28" s="182"/>
      <c r="AJ28" s="90"/>
      <c r="AK28" s="90"/>
      <c r="AL28" s="183">
        <f t="shared" si="22"/>
        <v>0</v>
      </c>
      <c r="AM28" s="182"/>
      <c r="AN28" s="90"/>
      <c r="AO28" s="90"/>
      <c r="AP28" s="183">
        <f t="shared" si="23"/>
        <v>0</v>
      </c>
      <c r="AQ28" s="182"/>
      <c r="AR28" s="90"/>
      <c r="AS28" s="90"/>
      <c r="AT28" s="183">
        <f t="shared" si="24"/>
        <v>0</v>
      </c>
      <c r="AU28" s="182"/>
      <c r="AV28" s="90"/>
      <c r="AW28" s="90"/>
      <c r="AX28" s="183">
        <f t="shared" si="25"/>
        <v>0</v>
      </c>
      <c r="AY28" s="182"/>
      <c r="AZ28" s="90"/>
      <c r="BA28" s="90"/>
      <c r="BB28" s="183">
        <f t="shared" si="26"/>
        <v>0</v>
      </c>
      <c r="BC28" s="182"/>
      <c r="BD28" s="90"/>
      <c r="BE28" s="90"/>
      <c r="BF28" s="183">
        <f t="shared" si="27"/>
        <v>0</v>
      </c>
      <c r="BG28" s="182"/>
      <c r="BH28" s="90"/>
      <c r="BI28" s="90"/>
      <c r="BJ28" s="183">
        <f t="shared" si="28"/>
        <v>0</v>
      </c>
      <c r="BK28" s="182"/>
      <c r="BL28" s="90"/>
      <c r="BM28" s="90"/>
      <c r="BN28" s="183">
        <f t="shared" si="29"/>
        <v>0</v>
      </c>
      <c r="BO28" s="182"/>
      <c r="BP28" s="90"/>
      <c r="BQ28" s="90"/>
      <c r="BR28" s="183">
        <f t="shared" si="30"/>
        <v>0</v>
      </c>
      <c r="BS28" s="182"/>
      <c r="BT28" s="90"/>
      <c r="BU28" s="90"/>
      <c r="BV28" s="183">
        <f t="shared" si="31"/>
        <v>0</v>
      </c>
      <c r="BW28" s="182"/>
      <c r="BX28" s="90"/>
      <c r="BY28" s="90"/>
      <c r="BZ28" s="183">
        <f t="shared" si="32"/>
        <v>0</v>
      </c>
      <c r="CA28" s="182"/>
      <c r="CB28" s="90"/>
      <c r="CC28" s="90"/>
      <c r="CD28" s="183">
        <f t="shared" si="33"/>
        <v>0</v>
      </c>
    </row>
    <row r="29" spans="2:82" x14ac:dyDescent="0.3">
      <c r="B29" s="53"/>
      <c r="C29" s="53" t="str">
        <f t="shared" si="0"/>
        <v>CPU_Recomposiçãocerca</v>
      </c>
      <c r="D29" s="278">
        <f t="shared" si="1"/>
        <v>125</v>
      </c>
      <c r="E29" s="278">
        <f t="shared" si="2"/>
        <v>55500</v>
      </c>
      <c r="F29" s="1"/>
      <c r="G29" s="28" t="str">
        <f>IFERROR(VLOOKUP(F29,Tabela7[[RECURSO]:[CUSTO]],2,FALSE),"")</f>
        <v/>
      </c>
      <c r="H29" s="93"/>
      <c r="I29" s="90"/>
      <c r="J29" s="45">
        <f>IFERROR(VLOOKUP(F29,Tabela7[[RECURSO]:[CUSTO]],3,FALSE),0)</f>
        <v>0</v>
      </c>
      <c r="K29" s="45">
        <f t="shared" si="34"/>
        <v>0</v>
      </c>
      <c r="AD29" s="144" t="str">
        <f t="shared" si="3"/>
        <v>Recomposição cerca</v>
      </c>
      <c r="AE29" s="179"/>
      <c r="AF29" s="180">
        <f t="shared" si="20"/>
        <v>0</v>
      </c>
      <c r="AG29" s="180">
        <f t="shared" si="17"/>
        <v>0</v>
      </c>
      <c r="AH29" s="181">
        <f t="shared" si="21"/>
        <v>0</v>
      </c>
      <c r="AI29" s="182"/>
      <c r="AJ29" s="90"/>
      <c r="AK29" s="90"/>
      <c r="AL29" s="183">
        <f t="shared" si="22"/>
        <v>0</v>
      </c>
      <c r="AM29" s="182"/>
      <c r="AN29" s="90"/>
      <c r="AO29" s="90"/>
      <c r="AP29" s="183">
        <f t="shared" si="23"/>
        <v>0</v>
      </c>
      <c r="AQ29" s="182"/>
      <c r="AR29" s="90"/>
      <c r="AS29" s="90"/>
      <c r="AT29" s="183">
        <f t="shared" si="24"/>
        <v>0</v>
      </c>
      <c r="AU29" s="182"/>
      <c r="AV29" s="90"/>
      <c r="AW29" s="90"/>
      <c r="AX29" s="183">
        <f t="shared" si="25"/>
        <v>0</v>
      </c>
      <c r="AY29" s="182"/>
      <c r="AZ29" s="90"/>
      <c r="BA29" s="90"/>
      <c r="BB29" s="183">
        <f t="shared" si="26"/>
        <v>0</v>
      </c>
      <c r="BC29" s="182"/>
      <c r="BD29" s="90"/>
      <c r="BE29" s="90"/>
      <c r="BF29" s="183">
        <f t="shared" si="27"/>
        <v>0</v>
      </c>
      <c r="BG29" s="182"/>
      <c r="BH29" s="90"/>
      <c r="BI29" s="90"/>
      <c r="BJ29" s="183">
        <f t="shared" si="28"/>
        <v>0</v>
      </c>
      <c r="BK29" s="182"/>
      <c r="BL29" s="90"/>
      <c r="BM29" s="90"/>
      <c r="BN29" s="183">
        <f t="shared" si="29"/>
        <v>0</v>
      </c>
      <c r="BO29" s="182"/>
      <c r="BP29" s="90"/>
      <c r="BQ29" s="90"/>
      <c r="BR29" s="183">
        <f t="shared" si="30"/>
        <v>0</v>
      </c>
      <c r="BS29" s="182"/>
      <c r="BT29" s="90"/>
      <c r="BU29" s="90"/>
      <c r="BV29" s="183">
        <f t="shared" si="31"/>
        <v>0</v>
      </c>
      <c r="BW29" s="182"/>
      <c r="BX29" s="90"/>
      <c r="BY29" s="90"/>
      <c r="BZ29" s="183">
        <f t="shared" si="32"/>
        <v>0</v>
      </c>
      <c r="CA29" s="182"/>
      <c r="CB29" s="90"/>
      <c r="CC29" s="90"/>
      <c r="CD29" s="183">
        <f t="shared" si="33"/>
        <v>0</v>
      </c>
    </row>
    <row r="30" spans="2:82" x14ac:dyDescent="0.3">
      <c r="B30" s="53"/>
      <c r="C30" s="53" t="str">
        <f t="shared" si="0"/>
        <v>CPU_Recomposiçãocerca</v>
      </c>
      <c r="D30" s="278">
        <f t="shared" si="1"/>
        <v>125</v>
      </c>
      <c r="E30" s="278">
        <f t="shared" si="2"/>
        <v>55500</v>
      </c>
      <c r="F30" s="1"/>
      <c r="G30" s="28" t="str">
        <f>IFERROR(VLOOKUP(F30,Tabela7[[RECURSO]:[CUSTO]],2,FALSE),"")</f>
        <v/>
      </c>
      <c r="H30" s="93"/>
      <c r="I30" s="90"/>
      <c r="J30" s="45">
        <f>IFERROR(VLOOKUP(F30,Tabela7[[RECURSO]:[CUSTO]],3,FALSE),0)</f>
        <v>0</v>
      </c>
      <c r="K30" s="45">
        <f t="shared" si="34"/>
        <v>0</v>
      </c>
      <c r="AD30" s="144" t="str">
        <f t="shared" si="3"/>
        <v>Recomposição cerca</v>
      </c>
      <c r="AE30" s="179"/>
      <c r="AF30" s="180">
        <f t="shared" si="20"/>
        <v>0</v>
      </c>
      <c r="AG30" s="180">
        <f t="shared" si="17"/>
        <v>0</v>
      </c>
      <c r="AH30" s="181">
        <f t="shared" si="21"/>
        <v>0</v>
      </c>
      <c r="AI30" s="182"/>
      <c r="AJ30" s="90"/>
      <c r="AK30" s="90"/>
      <c r="AL30" s="183">
        <f t="shared" si="22"/>
        <v>0</v>
      </c>
      <c r="AM30" s="182"/>
      <c r="AN30" s="90"/>
      <c r="AO30" s="90"/>
      <c r="AP30" s="183">
        <f t="shared" si="23"/>
        <v>0</v>
      </c>
      <c r="AQ30" s="182"/>
      <c r="AR30" s="90"/>
      <c r="AS30" s="90"/>
      <c r="AT30" s="183">
        <f t="shared" si="24"/>
        <v>0</v>
      </c>
      <c r="AU30" s="182"/>
      <c r="AV30" s="90"/>
      <c r="AW30" s="90"/>
      <c r="AX30" s="183">
        <f t="shared" si="25"/>
        <v>0</v>
      </c>
      <c r="AY30" s="182"/>
      <c r="AZ30" s="90"/>
      <c r="BA30" s="90"/>
      <c r="BB30" s="183">
        <f t="shared" si="26"/>
        <v>0</v>
      </c>
      <c r="BC30" s="182"/>
      <c r="BD30" s="90"/>
      <c r="BE30" s="90"/>
      <c r="BF30" s="183">
        <f t="shared" si="27"/>
        <v>0</v>
      </c>
      <c r="BG30" s="182"/>
      <c r="BH30" s="90"/>
      <c r="BI30" s="90"/>
      <c r="BJ30" s="183">
        <f t="shared" si="28"/>
        <v>0</v>
      </c>
      <c r="BK30" s="182"/>
      <c r="BL30" s="90"/>
      <c r="BM30" s="90"/>
      <c r="BN30" s="183">
        <f t="shared" si="29"/>
        <v>0</v>
      </c>
      <c r="BO30" s="182"/>
      <c r="BP30" s="90"/>
      <c r="BQ30" s="90"/>
      <c r="BR30" s="183">
        <f t="shared" si="30"/>
        <v>0</v>
      </c>
      <c r="BS30" s="182"/>
      <c r="BT30" s="90"/>
      <c r="BU30" s="90"/>
      <c r="BV30" s="183">
        <f t="shared" si="31"/>
        <v>0</v>
      </c>
      <c r="BW30" s="182"/>
      <c r="BX30" s="90"/>
      <c r="BY30" s="90"/>
      <c r="BZ30" s="183">
        <f t="shared" si="32"/>
        <v>0</v>
      </c>
      <c r="CA30" s="182"/>
      <c r="CB30" s="90"/>
      <c r="CC30" s="90"/>
      <c r="CD30" s="183">
        <f t="shared" si="33"/>
        <v>0</v>
      </c>
    </row>
    <row r="31" spans="2:82" x14ac:dyDescent="0.3">
      <c r="B31" s="53"/>
      <c r="C31" s="53" t="str">
        <f t="shared" si="0"/>
        <v>CPU_Recomposiçãocerca</v>
      </c>
      <c r="D31" s="278">
        <f t="shared" si="1"/>
        <v>125</v>
      </c>
      <c r="E31" s="278">
        <f t="shared" si="2"/>
        <v>55500</v>
      </c>
      <c r="F31" s="1"/>
      <c r="G31" s="28" t="str">
        <f>IFERROR(VLOOKUP(F31,Tabela7[[RECURSO]:[CUSTO]],2,FALSE),"")</f>
        <v/>
      </c>
      <c r="H31" s="93"/>
      <c r="I31" s="90"/>
      <c r="J31" s="45">
        <f>IFERROR(VLOOKUP(F31,Tabela7[[RECURSO]:[CUSTO]],3,FALSE),0)</f>
        <v>0</v>
      </c>
      <c r="K31" s="45">
        <f t="shared" si="34"/>
        <v>0</v>
      </c>
      <c r="AD31" s="144" t="str">
        <f t="shared" si="3"/>
        <v>Recomposição cerca</v>
      </c>
      <c r="AE31" s="179"/>
      <c r="AF31" s="180">
        <f t="shared" si="20"/>
        <v>0</v>
      </c>
      <c r="AG31" s="180">
        <f t="shared" si="17"/>
        <v>0</v>
      </c>
      <c r="AH31" s="181">
        <f t="shared" si="21"/>
        <v>0</v>
      </c>
      <c r="AI31" s="182"/>
      <c r="AJ31" s="90"/>
      <c r="AK31" s="90"/>
      <c r="AL31" s="183">
        <f t="shared" si="22"/>
        <v>0</v>
      </c>
      <c r="AM31" s="182"/>
      <c r="AN31" s="90"/>
      <c r="AO31" s="90"/>
      <c r="AP31" s="183">
        <f t="shared" si="23"/>
        <v>0</v>
      </c>
      <c r="AQ31" s="182"/>
      <c r="AR31" s="90"/>
      <c r="AS31" s="90"/>
      <c r="AT31" s="183">
        <f t="shared" si="24"/>
        <v>0</v>
      </c>
      <c r="AU31" s="182"/>
      <c r="AV31" s="90"/>
      <c r="AW31" s="90"/>
      <c r="AX31" s="183">
        <f t="shared" si="25"/>
        <v>0</v>
      </c>
      <c r="AY31" s="182"/>
      <c r="AZ31" s="90"/>
      <c r="BA31" s="90"/>
      <c r="BB31" s="183">
        <f t="shared" si="26"/>
        <v>0</v>
      </c>
      <c r="BC31" s="182"/>
      <c r="BD31" s="90"/>
      <c r="BE31" s="90"/>
      <c r="BF31" s="183">
        <f t="shared" si="27"/>
        <v>0</v>
      </c>
      <c r="BG31" s="182"/>
      <c r="BH31" s="90"/>
      <c r="BI31" s="90"/>
      <c r="BJ31" s="183">
        <f t="shared" si="28"/>
        <v>0</v>
      </c>
      <c r="BK31" s="182"/>
      <c r="BL31" s="90"/>
      <c r="BM31" s="90"/>
      <c r="BN31" s="183">
        <f t="shared" si="29"/>
        <v>0</v>
      </c>
      <c r="BO31" s="182"/>
      <c r="BP31" s="90"/>
      <c r="BQ31" s="90"/>
      <c r="BR31" s="183">
        <f t="shared" si="30"/>
        <v>0</v>
      </c>
      <c r="BS31" s="182"/>
      <c r="BT31" s="90"/>
      <c r="BU31" s="90"/>
      <c r="BV31" s="183">
        <f t="shared" si="31"/>
        <v>0</v>
      </c>
      <c r="BW31" s="182"/>
      <c r="BX31" s="90"/>
      <c r="BY31" s="90"/>
      <c r="BZ31" s="183">
        <f t="shared" si="32"/>
        <v>0</v>
      </c>
      <c r="CA31" s="182"/>
      <c r="CB31" s="90"/>
      <c r="CC31" s="90"/>
      <c r="CD31" s="183">
        <f t="shared" si="33"/>
        <v>0</v>
      </c>
    </row>
    <row r="32" spans="2:82" x14ac:dyDescent="0.3">
      <c r="B32" s="53"/>
      <c r="C32" s="53" t="str">
        <f t="shared" si="0"/>
        <v>CPU_Recomposiçãocerca</v>
      </c>
      <c r="D32" s="278">
        <f t="shared" si="1"/>
        <v>125</v>
      </c>
      <c r="E32" s="278">
        <f t="shared" si="2"/>
        <v>55500</v>
      </c>
      <c r="F32" s="1"/>
      <c r="G32" s="28" t="str">
        <f>IFERROR(VLOOKUP(F32,Tabela7[[RECURSO]:[CUSTO]],2,FALSE),"")</f>
        <v/>
      </c>
      <c r="H32" s="93"/>
      <c r="I32" s="90"/>
      <c r="J32" s="45">
        <f>IFERROR(VLOOKUP(F32,Tabela7[[RECURSO]:[CUSTO]],3,FALSE),0)</f>
        <v>0</v>
      </c>
      <c r="K32" s="45">
        <f t="shared" si="34"/>
        <v>0</v>
      </c>
      <c r="AD32" s="144" t="str">
        <f t="shared" si="3"/>
        <v>Recomposição cerca</v>
      </c>
      <c r="AE32" s="179"/>
      <c r="AF32" s="180">
        <f t="shared" si="20"/>
        <v>0</v>
      </c>
      <c r="AG32" s="180">
        <f t="shared" si="17"/>
        <v>0</v>
      </c>
      <c r="AH32" s="181">
        <f t="shared" si="21"/>
        <v>0</v>
      </c>
      <c r="AI32" s="182"/>
      <c r="AJ32" s="90"/>
      <c r="AK32" s="90"/>
      <c r="AL32" s="183">
        <f t="shared" si="22"/>
        <v>0</v>
      </c>
      <c r="AM32" s="182"/>
      <c r="AN32" s="90"/>
      <c r="AO32" s="90"/>
      <c r="AP32" s="183">
        <f t="shared" si="23"/>
        <v>0</v>
      </c>
      <c r="AQ32" s="182"/>
      <c r="AR32" s="90"/>
      <c r="AS32" s="90"/>
      <c r="AT32" s="183">
        <f t="shared" si="24"/>
        <v>0</v>
      </c>
      <c r="AU32" s="182"/>
      <c r="AV32" s="90"/>
      <c r="AW32" s="90"/>
      <c r="AX32" s="183">
        <f t="shared" si="25"/>
        <v>0</v>
      </c>
      <c r="AY32" s="182"/>
      <c r="AZ32" s="90"/>
      <c r="BA32" s="90"/>
      <c r="BB32" s="183">
        <f t="shared" si="26"/>
        <v>0</v>
      </c>
      <c r="BC32" s="182"/>
      <c r="BD32" s="90"/>
      <c r="BE32" s="90"/>
      <c r="BF32" s="183">
        <f t="shared" si="27"/>
        <v>0</v>
      </c>
      <c r="BG32" s="182"/>
      <c r="BH32" s="90"/>
      <c r="BI32" s="90"/>
      <c r="BJ32" s="183">
        <f t="shared" si="28"/>
        <v>0</v>
      </c>
      <c r="BK32" s="182"/>
      <c r="BL32" s="90"/>
      <c r="BM32" s="90"/>
      <c r="BN32" s="183">
        <f t="shared" si="29"/>
        <v>0</v>
      </c>
      <c r="BO32" s="182"/>
      <c r="BP32" s="90"/>
      <c r="BQ32" s="90"/>
      <c r="BR32" s="183">
        <f t="shared" si="30"/>
        <v>0</v>
      </c>
      <c r="BS32" s="182"/>
      <c r="BT32" s="90"/>
      <c r="BU32" s="90"/>
      <c r="BV32" s="183">
        <f t="shared" si="31"/>
        <v>0</v>
      </c>
      <c r="BW32" s="182"/>
      <c r="BX32" s="90"/>
      <c r="BY32" s="90"/>
      <c r="BZ32" s="183">
        <f t="shared" si="32"/>
        <v>0</v>
      </c>
      <c r="CA32" s="182"/>
      <c r="CB32" s="90"/>
      <c r="CC32" s="90"/>
      <c r="CD32" s="183">
        <f t="shared" si="33"/>
        <v>0</v>
      </c>
    </row>
    <row r="33" spans="2:82" x14ac:dyDescent="0.3">
      <c r="B33" s="53"/>
      <c r="C33" s="53" t="str">
        <f t="shared" si="0"/>
        <v>CPU_Recomposiçãocerca</v>
      </c>
      <c r="D33" s="278">
        <f t="shared" si="1"/>
        <v>125</v>
      </c>
      <c r="E33" s="278">
        <f t="shared" si="2"/>
        <v>55500</v>
      </c>
      <c r="F33" s="1"/>
      <c r="G33" s="28" t="str">
        <f>IFERROR(VLOOKUP(F33,Tabela7[[RECURSO]:[CUSTO]],2,FALSE),"")</f>
        <v/>
      </c>
      <c r="H33" s="93"/>
      <c r="I33" s="90"/>
      <c r="J33" s="45">
        <f>IFERROR(VLOOKUP(F33,Tabela7[[RECURSO]:[CUSTO]],3,FALSE),0)</f>
        <v>0</v>
      </c>
      <c r="K33" s="45">
        <f t="shared" si="34"/>
        <v>0</v>
      </c>
      <c r="AD33" s="144" t="str">
        <f t="shared" si="3"/>
        <v>Recomposição cerca</v>
      </c>
      <c r="AE33" s="179"/>
      <c r="AF33" s="180">
        <f t="shared" si="20"/>
        <v>0</v>
      </c>
      <c r="AG33" s="180">
        <f t="shared" si="17"/>
        <v>0</v>
      </c>
      <c r="AH33" s="181">
        <f t="shared" si="21"/>
        <v>0</v>
      </c>
      <c r="AI33" s="182"/>
      <c r="AJ33" s="90"/>
      <c r="AK33" s="90"/>
      <c r="AL33" s="183">
        <f t="shared" si="22"/>
        <v>0</v>
      </c>
      <c r="AM33" s="182"/>
      <c r="AN33" s="90"/>
      <c r="AO33" s="90"/>
      <c r="AP33" s="183">
        <f t="shared" si="23"/>
        <v>0</v>
      </c>
      <c r="AQ33" s="182"/>
      <c r="AR33" s="90"/>
      <c r="AS33" s="90"/>
      <c r="AT33" s="183">
        <f t="shared" si="24"/>
        <v>0</v>
      </c>
      <c r="AU33" s="182"/>
      <c r="AV33" s="90"/>
      <c r="AW33" s="90"/>
      <c r="AX33" s="183">
        <f t="shared" si="25"/>
        <v>0</v>
      </c>
      <c r="AY33" s="182"/>
      <c r="AZ33" s="90"/>
      <c r="BA33" s="90"/>
      <c r="BB33" s="183">
        <f t="shared" si="26"/>
        <v>0</v>
      </c>
      <c r="BC33" s="182"/>
      <c r="BD33" s="90"/>
      <c r="BE33" s="90"/>
      <c r="BF33" s="183">
        <f t="shared" si="27"/>
        <v>0</v>
      </c>
      <c r="BG33" s="182"/>
      <c r="BH33" s="90"/>
      <c r="BI33" s="90"/>
      <c r="BJ33" s="183">
        <f t="shared" si="28"/>
        <v>0</v>
      </c>
      <c r="BK33" s="182"/>
      <c r="BL33" s="90"/>
      <c r="BM33" s="90"/>
      <c r="BN33" s="183">
        <f t="shared" si="29"/>
        <v>0</v>
      </c>
      <c r="BO33" s="182"/>
      <c r="BP33" s="90"/>
      <c r="BQ33" s="90"/>
      <c r="BR33" s="183">
        <f t="shared" si="30"/>
        <v>0</v>
      </c>
      <c r="BS33" s="182"/>
      <c r="BT33" s="90"/>
      <c r="BU33" s="90"/>
      <c r="BV33" s="183">
        <f t="shared" si="31"/>
        <v>0</v>
      </c>
      <c r="BW33" s="182"/>
      <c r="BX33" s="90"/>
      <c r="BY33" s="90"/>
      <c r="BZ33" s="183">
        <f t="shared" si="32"/>
        <v>0</v>
      </c>
      <c r="CA33" s="182"/>
      <c r="CB33" s="90"/>
      <c r="CC33" s="90"/>
      <c r="CD33" s="183">
        <f t="shared" si="33"/>
        <v>0</v>
      </c>
    </row>
    <row r="34" spans="2:82" x14ac:dyDescent="0.3">
      <c r="B34" s="53"/>
      <c r="C34" s="53" t="str">
        <f t="shared" si="0"/>
        <v>CPU_Recomposiçãocerca</v>
      </c>
      <c r="D34" s="278">
        <f t="shared" si="1"/>
        <v>125</v>
      </c>
      <c r="E34" s="278">
        <f t="shared" si="2"/>
        <v>55500</v>
      </c>
      <c r="F34" s="1"/>
      <c r="G34" s="28" t="str">
        <f>IFERROR(VLOOKUP(F34,Tabela7[[RECURSO]:[CUSTO]],2,FALSE),"")</f>
        <v/>
      </c>
      <c r="H34" s="93"/>
      <c r="I34" s="90"/>
      <c r="J34" s="45">
        <f>IFERROR(VLOOKUP(F34,Tabela7[[RECURSO]:[CUSTO]],3,FALSE),0)</f>
        <v>0</v>
      </c>
      <c r="K34" s="45">
        <f t="shared" si="34"/>
        <v>0</v>
      </c>
      <c r="AD34" s="144" t="str">
        <f t="shared" si="3"/>
        <v>Recomposição cerca</v>
      </c>
      <c r="AE34" s="179"/>
      <c r="AF34" s="180">
        <f t="shared" si="20"/>
        <v>0</v>
      </c>
      <c r="AG34" s="180">
        <f t="shared" si="17"/>
        <v>0</v>
      </c>
      <c r="AH34" s="181">
        <f t="shared" si="21"/>
        <v>0</v>
      </c>
      <c r="AI34" s="182"/>
      <c r="AJ34" s="90"/>
      <c r="AK34" s="90"/>
      <c r="AL34" s="183">
        <f t="shared" si="22"/>
        <v>0</v>
      </c>
      <c r="AM34" s="182"/>
      <c r="AN34" s="90"/>
      <c r="AO34" s="90"/>
      <c r="AP34" s="183">
        <f t="shared" si="23"/>
        <v>0</v>
      </c>
      <c r="AQ34" s="182"/>
      <c r="AR34" s="90"/>
      <c r="AS34" s="90"/>
      <c r="AT34" s="183">
        <f t="shared" si="24"/>
        <v>0</v>
      </c>
      <c r="AU34" s="182"/>
      <c r="AV34" s="90"/>
      <c r="AW34" s="90"/>
      <c r="AX34" s="183">
        <f t="shared" si="25"/>
        <v>0</v>
      </c>
      <c r="AY34" s="182"/>
      <c r="AZ34" s="90"/>
      <c r="BA34" s="90"/>
      <c r="BB34" s="183">
        <f t="shared" si="26"/>
        <v>0</v>
      </c>
      <c r="BC34" s="182"/>
      <c r="BD34" s="90"/>
      <c r="BE34" s="90"/>
      <c r="BF34" s="183">
        <f t="shared" si="27"/>
        <v>0</v>
      </c>
      <c r="BG34" s="182"/>
      <c r="BH34" s="90"/>
      <c r="BI34" s="90"/>
      <c r="BJ34" s="183">
        <f t="shared" si="28"/>
        <v>0</v>
      </c>
      <c r="BK34" s="182"/>
      <c r="BL34" s="90"/>
      <c r="BM34" s="90"/>
      <c r="BN34" s="183">
        <f t="shared" si="29"/>
        <v>0</v>
      </c>
      <c r="BO34" s="182"/>
      <c r="BP34" s="90"/>
      <c r="BQ34" s="90"/>
      <c r="BR34" s="183">
        <f t="shared" si="30"/>
        <v>0</v>
      </c>
      <c r="BS34" s="182"/>
      <c r="BT34" s="90"/>
      <c r="BU34" s="90"/>
      <c r="BV34" s="183">
        <f t="shared" si="31"/>
        <v>0</v>
      </c>
      <c r="BW34" s="182"/>
      <c r="BX34" s="90"/>
      <c r="BY34" s="90"/>
      <c r="BZ34" s="183">
        <f t="shared" si="32"/>
        <v>0</v>
      </c>
      <c r="CA34" s="182"/>
      <c r="CB34" s="90"/>
      <c r="CC34" s="90"/>
      <c r="CD34" s="183">
        <f t="shared" si="33"/>
        <v>0</v>
      </c>
    </row>
    <row r="35" spans="2:82" x14ac:dyDescent="0.3">
      <c r="B35" s="53"/>
      <c r="C35" s="53" t="str">
        <f t="shared" si="0"/>
        <v>CPU_Recomposiçãocerca</v>
      </c>
      <c r="D35" s="278">
        <f t="shared" si="1"/>
        <v>125</v>
      </c>
      <c r="E35" s="278">
        <f t="shared" si="2"/>
        <v>55500</v>
      </c>
      <c r="F35" s="1"/>
      <c r="G35" s="28" t="str">
        <f>IFERROR(VLOOKUP(F35,Tabela7[[RECURSO]:[CUSTO]],2,FALSE),"")</f>
        <v/>
      </c>
      <c r="H35" s="93"/>
      <c r="I35" s="90"/>
      <c r="J35" s="45">
        <f>IFERROR(VLOOKUP(F35,Tabela7[[RECURSO]:[CUSTO]],3,FALSE),0)</f>
        <v>0</v>
      </c>
      <c r="K35" s="45">
        <f t="shared" si="34"/>
        <v>0</v>
      </c>
      <c r="AD35" s="144" t="str">
        <f t="shared" si="3"/>
        <v>Recomposição cerca</v>
      </c>
      <c r="AE35" s="179"/>
      <c r="AF35" s="180">
        <f t="shared" si="20"/>
        <v>0</v>
      </c>
      <c r="AG35" s="180">
        <f t="shared" si="17"/>
        <v>0</v>
      </c>
      <c r="AH35" s="181">
        <f t="shared" si="21"/>
        <v>0</v>
      </c>
      <c r="AI35" s="182"/>
      <c r="AJ35" s="90"/>
      <c r="AK35" s="90"/>
      <c r="AL35" s="183">
        <f t="shared" si="22"/>
        <v>0</v>
      </c>
      <c r="AM35" s="182"/>
      <c r="AN35" s="90"/>
      <c r="AO35" s="90"/>
      <c r="AP35" s="183">
        <f t="shared" si="23"/>
        <v>0</v>
      </c>
      <c r="AQ35" s="182"/>
      <c r="AR35" s="90"/>
      <c r="AS35" s="90"/>
      <c r="AT35" s="183">
        <f t="shared" si="24"/>
        <v>0</v>
      </c>
      <c r="AU35" s="182"/>
      <c r="AV35" s="90"/>
      <c r="AW35" s="90"/>
      <c r="AX35" s="183">
        <f t="shared" si="25"/>
        <v>0</v>
      </c>
      <c r="AY35" s="182"/>
      <c r="AZ35" s="90"/>
      <c r="BA35" s="90"/>
      <c r="BB35" s="183">
        <f t="shared" si="26"/>
        <v>0</v>
      </c>
      <c r="BC35" s="182"/>
      <c r="BD35" s="90"/>
      <c r="BE35" s="90"/>
      <c r="BF35" s="183">
        <f t="shared" si="27"/>
        <v>0</v>
      </c>
      <c r="BG35" s="182"/>
      <c r="BH35" s="90"/>
      <c r="BI35" s="90"/>
      <c r="BJ35" s="183">
        <f t="shared" si="28"/>
        <v>0</v>
      </c>
      <c r="BK35" s="182"/>
      <c r="BL35" s="90"/>
      <c r="BM35" s="90"/>
      <c r="BN35" s="183">
        <f t="shared" si="29"/>
        <v>0</v>
      </c>
      <c r="BO35" s="182"/>
      <c r="BP35" s="90"/>
      <c r="BQ35" s="90"/>
      <c r="BR35" s="183">
        <f t="shared" si="30"/>
        <v>0</v>
      </c>
      <c r="BS35" s="182"/>
      <c r="BT35" s="90"/>
      <c r="BU35" s="90"/>
      <c r="BV35" s="183">
        <f t="shared" si="31"/>
        <v>0</v>
      </c>
      <c r="BW35" s="182"/>
      <c r="BX35" s="90"/>
      <c r="BY35" s="90"/>
      <c r="BZ35" s="183">
        <f t="shared" si="32"/>
        <v>0</v>
      </c>
      <c r="CA35" s="182"/>
      <c r="CB35" s="90"/>
      <c r="CC35" s="90"/>
      <c r="CD35" s="183">
        <f t="shared" si="33"/>
        <v>0</v>
      </c>
    </row>
    <row r="36" spans="2:82" x14ac:dyDescent="0.3">
      <c r="B36" s="53"/>
      <c r="C36" s="53" t="str">
        <f t="shared" si="0"/>
        <v>CPU_Recomposiçãocerca</v>
      </c>
      <c r="D36" s="278">
        <f t="shared" si="1"/>
        <v>125</v>
      </c>
      <c r="E36" s="278">
        <f t="shared" si="2"/>
        <v>55500</v>
      </c>
      <c r="F36" s="1"/>
      <c r="G36" s="28" t="str">
        <f>IFERROR(VLOOKUP(F36,Tabela7[[RECURSO]:[CUSTO]],2,FALSE),"")</f>
        <v/>
      </c>
      <c r="H36" s="93"/>
      <c r="I36" s="90"/>
      <c r="J36" s="45">
        <f>IFERROR(VLOOKUP(F36,Tabela7[[RECURSO]:[CUSTO]],3,FALSE),0)</f>
        <v>0</v>
      </c>
      <c r="K36" s="45">
        <f t="shared" si="34"/>
        <v>0</v>
      </c>
      <c r="AD36" s="144" t="str">
        <f t="shared" si="3"/>
        <v>Recomposição cerca</v>
      </c>
      <c r="AE36" s="179"/>
      <c r="AF36" s="180">
        <f t="shared" si="20"/>
        <v>0</v>
      </c>
      <c r="AG36" s="180">
        <f t="shared" si="17"/>
        <v>0</v>
      </c>
      <c r="AH36" s="181">
        <f t="shared" si="21"/>
        <v>0</v>
      </c>
      <c r="AI36" s="182"/>
      <c r="AJ36" s="90"/>
      <c r="AK36" s="90"/>
      <c r="AL36" s="183">
        <f t="shared" si="22"/>
        <v>0</v>
      </c>
      <c r="AM36" s="182"/>
      <c r="AN36" s="90"/>
      <c r="AO36" s="90"/>
      <c r="AP36" s="183">
        <f t="shared" si="23"/>
        <v>0</v>
      </c>
      <c r="AQ36" s="182"/>
      <c r="AR36" s="90"/>
      <c r="AS36" s="90"/>
      <c r="AT36" s="183">
        <f t="shared" si="24"/>
        <v>0</v>
      </c>
      <c r="AU36" s="182"/>
      <c r="AV36" s="90"/>
      <c r="AW36" s="90"/>
      <c r="AX36" s="183">
        <f t="shared" si="25"/>
        <v>0</v>
      </c>
      <c r="AY36" s="182"/>
      <c r="AZ36" s="90"/>
      <c r="BA36" s="90"/>
      <c r="BB36" s="183">
        <f t="shared" si="26"/>
        <v>0</v>
      </c>
      <c r="BC36" s="182"/>
      <c r="BD36" s="90"/>
      <c r="BE36" s="90"/>
      <c r="BF36" s="183">
        <f t="shared" si="27"/>
        <v>0</v>
      </c>
      <c r="BG36" s="182"/>
      <c r="BH36" s="90"/>
      <c r="BI36" s="90"/>
      <c r="BJ36" s="183">
        <f t="shared" si="28"/>
        <v>0</v>
      </c>
      <c r="BK36" s="182"/>
      <c r="BL36" s="90"/>
      <c r="BM36" s="90"/>
      <c r="BN36" s="183">
        <f t="shared" si="29"/>
        <v>0</v>
      </c>
      <c r="BO36" s="182"/>
      <c r="BP36" s="90"/>
      <c r="BQ36" s="90"/>
      <c r="BR36" s="183">
        <f t="shared" si="30"/>
        <v>0</v>
      </c>
      <c r="BS36" s="182"/>
      <c r="BT36" s="90"/>
      <c r="BU36" s="90"/>
      <c r="BV36" s="183">
        <f t="shared" si="31"/>
        <v>0</v>
      </c>
      <c r="BW36" s="182"/>
      <c r="BX36" s="90"/>
      <c r="BY36" s="90"/>
      <c r="BZ36" s="183">
        <f t="shared" si="32"/>
        <v>0</v>
      </c>
      <c r="CA36" s="182"/>
      <c r="CB36" s="90"/>
      <c r="CC36" s="90"/>
      <c r="CD36" s="183">
        <f t="shared" si="33"/>
        <v>0</v>
      </c>
    </row>
    <row r="37" spans="2:82" x14ac:dyDescent="0.3">
      <c r="B37" s="52" t="s">
        <v>692</v>
      </c>
      <c r="C37" s="52" t="str">
        <f t="shared" si="0"/>
        <v>CPU_Recomposiçãocerca</v>
      </c>
      <c r="D37" s="277">
        <f t="shared" si="1"/>
        <v>125</v>
      </c>
      <c r="E37" s="277">
        <f t="shared" si="2"/>
        <v>55500</v>
      </c>
      <c r="F37" s="37"/>
      <c r="G37" s="38"/>
      <c r="H37" s="91"/>
      <c r="I37" s="40"/>
      <c r="J37" s="40">
        <f>IFERROR(K37/$B$6,0)</f>
        <v>10.585204744753744</v>
      </c>
      <c r="K37" s="40">
        <f>SUM(K38:K49)</f>
        <v>1323.150593094218</v>
      </c>
      <c r="N37" s="39"/>
      <c r="AD37" s="144" t="str">
        <f t="shared" si="3"/>
        <v>Recomposição cerca</v>
      </c>
      <c r="AE37" s="184"/>
      <c r="AF37" s="40"/>
      <c r="AG37" s="40">
        <f>IFERROR(AH37/AF$3,0)</f>
        <v>0</v>
      </c>
      <c r="AH37" s="185">
        <f>SUM(AH38:AH49)</f>
        <v>0</v>
      </c>
      <c r="AI37" s="184"/>
      <c r="AJ37" s="40"/>
      <c r="AK37" s="40">
        <f>IFERROR(AL37/AJ$3,0)</f>
        <v>0</v>
      </c>
      <c r="AL37" s="185">
        <f>SUM(AL38:AL49)</f>
        <v>0</v>
      </c>
      <c r="AM37" s="184"/>
      <c r="AN37" s="40"/>
      <c r="AO37" s="40">
        <f>IFERROR(AP37/AN$3,0)</f>
        <v>0</v>
      </c>
      <c r="AP37" s="185">
        <f>SUM(AP38:AP49)</f>
        <v>0</v>
      </c>
      <c r="AQ37" s="184"/>
      <c r="AR37" s="40"/>
      <c r="AS37" s="40">
        <f>IFERROR(AT37/AR$3,0)</f>
        <v>0</v>
      </c>
      <c r="AT37" s="185">
        <f>SUM(AT38:AT49)</f>
        <v>0</v>
      </c>
      <c r="AU37" s="184"/>
      <c r="AV37" s="40"/>
      <c r="AW37" s="40">
        <f>IFERROR(AX37/AV$3,0)</f>
        <v>0</v>
      </c>
      <c r="AX37" s="185">
        <f>SUM(AX38:AX49)</f>
        <v>0</v>
      </c>
      <c r="AY37" s="184"/>
      <c r="AZ37" s="40"/>
      <c r="BA37" s="40">
        <f>IFERROR(BB37/AZ$3,0)</f>
        <v>0</v>
      </c>
      <c r="BB37" s="185">
        <f>SUM(BB38:BB49)</f>
        <v>0</v>
      </c>
      <c r="BC37" s="184"/>
      <c r="BD37" s="40"/>
      <c r="BE37" s="40">
        <f>IFERROR(BF37/BD$3,0)</f>
        <v>0</v>
      </c>
      <c r="BF37" s="185">
        <f>SUM(BF38:BF49)</f>
        <v>0</v>
      </c>
      <c r="BG37" s="184"/>
      <c r="BH37" s="40"/>
      <c r="BI37" s="40">
        <f>IFERROR(BJ37/BH$3,0)</f>
        <v>0</v>
      </c>
      <c r="BJ37" s="185">
        <f>SUM(BJ38:BJ49)</f>
        <v>0</v>
      </c>
      <c r="BK37" s="184"/>
      <c r="BL37" s="40"/>
      <c r="BM37" s="40">
        <f>IFERROR(BN37/BL$3,0)</f>
        <v>0</v>
      </c>
      <c r="BN37" s="185">
        <f>SUM(BN38:BN49)</f>
        <v>0</v>
      </c>
      <c r="BO37" s="184"/>
      <c r="BP37" s="40"/>
      <c r="BQ37" s="40">
        <f>IFERROR(BR37/BP$3,0)</f>
        <v>0</v>
      </c>
      <c r="BR37" s="185">
        <f>SUM(BR38:BR49)</f>
        <v>0</v>
      </c>
      <c r="BS37" s="184"/>
      <c r="BT37" s="40"/>
      <c r="BU37" s="40">
        <f>IFERROR(BV37/BT$3,0)</f>
        <v>0</v>
      </c>
      <c r="BV37" s="185">
        <f>SUM(BV38:BV49)</f>
        <v>0</v>
      </c>
      <c r="BW37" s="184"/>
      <c r="BX37" s="40"/>
      <c r="BY37" s="40">
        <f>IFERROR(BZ37/BX$3,0)</f>
        <v>0</v>
      </c>
      <c r="BZ37" s="185">
        <f>SUM(BZ38:BZ49)</f>
        <v>0</v>
      </c>
      <c r="CA37" s="184"/>
      <c r="CB37" s="40"/>
      <c r="CC37" s="40">
        <f>IFERROR(CD37/CB$3,0)</f>
        <v>0</v>
      </c>
      <c r="CD37" s="185">
        <f>SUM(CD38:CD49)</f>
        <v>0</v>
      </c>
    </row>
    <row r="38" spans="2:82" x14ac:dyDescent="0.3">
      <c r="B38" s="54"/>
      <c r="C38" s="54" t="str">
        <f t="shared" si="0"/>
        <v>CPU_Recomposiçãocerca</v>
      </c>
      <c r="D38" s="280">
        <f t="shared" si="1"/>
        <v>125</v>
      </c>
      <c r="E38" s="280">
        <f t="shared" si="2"/>
        <v>55500</v>
      </c>
      <c r="F38" s="1" t="s">
        <v>758</v>
      </c>
      <c r="G38" s="28" t="str">
        <f>IFERROR(VLOOKUP(F38,Tabela7[[RECURSO]:[CUSTO]],2,FALSE),"")</f>
        <v>H</v>
      </c>
      <c r="H38" s="92">
        <v>1</v>
      </c>
      <c r="I38" s="90">
        <v>11</v>
      </c>
      <c r="J38" s="45">
        <f>IFERROR(VLOOKUP(F38,Tabela7[[RECURSO]:[CUSTO]],3,FALSE),0)</f>
        <v>40.546465252092652</v>
      </c>
      <c r="K38" s="45">
        <f>I38*J38*CPU_5961[[#This Row],[Nº]]</f>
        <v>446.01111777301918</v>
      </c>
      <c r="AD38" s="144" t="str">
        <f t="shared" si="3"/>
        <v>Recomposição cerca</v>
      </c>
      <c r="AE38" s="186"/>
      <c r="AF38" s="180">
        <f t="shared" ref="AF38:AF49" si="35">AJ38+AN38+AR38+AV38+AZ38+BD38+BH38+BL38+BP38+BT38+BX38+CB38</f>
        <v>0</v>
      </c>
      <c r="AG38" s="180">
        <f t="shared" si="17"/>
        <v>0</v>
      </c>
      <c r="AH38" s="181">
        <f t="shared" ref="AH38:AH49" si="36">AL38+AP38+AT38+AX38+BB38+BF38+BJ38+BN38+BR38+BV38+BZ38+CD38</f>
        <v>0</v>
      </c>
      <c r="AI38" s="187"/>
      <c r="AJ38" s="90"/>
      <c r="AK38" s="90"/>
      <c r="AL38" s="183">
        <f t="shared" ref="AL38:AL49" si="37">AJ38*AK38</f>
        <v>0</v>
      </c>
      <c r="AM38" s="187"/>
      <c r="AN38" s="90"/>
      <c r="AO38" s="90"/>
      <c r="AP38" s="183">
        <f t="shared" si="23"/>
        <v>0</v>
      </c>
      <c r="AQ38" s="187"/>
      <c r="AR38" s="90"/>
      <c r="AS38" s="90"/>
      <c r="AT38" s="183">
        <f t="shared" si="24"/>
        <v>0</v>
      </c>
      <c r="AU38" s="187"/>
      <c r="AV38" s="90"/>
      <c r="AW38" s="90"/>
      <c r="AX38" s="183">
        <f t="shared" si="25"/>
        <v>0</v>
      </c>
      <c r="AY38" s="187"/>
      <c r="AZ38" s="90"/>
      <c r="BA38" s="90"/>
      <c r="BB38" s="183">
        <f t="shared" si="26"/>
        <v>0</v>
      </c>
      <c r="BC38" s="187"/>
      <c r="BD38" s="90"/>
      <c r="BE38" s="90"/>
      <c r="BF38" s="183">
        <f t="shared" si="27"/>
        <v>0</v>
      </c>
      <c r="BG38" s="187"/>
      <c r="BH38" s="90"/>
      <c r="BI38" s="90"/>
      <c r="BJ38" s="183">
        <f t="shared" si="28"/>
        <v>0</v>
      </c>
      <c r="BK38" s="187"/>
      <c r="BL38" s="90"/>
      <c r="BM38" s="90"/>
      <c r="BN38" s="183">
        <f t="shared" si="29"/>
        <v>0</v>
      </c>
      <c r="BO38" s="187"/>
      <c r="BP38" s="90"/>
      <c r="BQ38" s="90"/>
      <c r="BR38" s="183">
        <f t="shared" si="30"/>
        <v>0</v>
      </c>
      <c r="BS38" s="187"/>
      <c r="BT38" s="90"/>
      <c r="BU38" s="90"/>
      <c r="BV38" s="183">
        <f t="shared" si="31"/>
        <v>0</v>
      </c>
      <c r="BW38" s="187"/>
      <c r="BX38" s="90"/>
      <c r="BY38" s="90"/>
      <c r="BZ38" s="183">
        <f t="shared" si="32"/>
        <v>0</v>
      </c>
      <c r="CA38" s="187"/>
      <c r="CB38" s="90"/>
      <c r="CC38" s="90"/>
      <c r="CD38" s="183">
        <f t="shared" si="33"/>
        <v>0</v>
      </c>
    </row>
    <row r="39" spans="2:82" x14ac:dyDescent="0.3">
      <c r="B39" s="54"/>
      <c r="C39" s="54" t="str">
        <f t="shared" si="0"/>
        <v>CPU_Recomposiçãocerca</v>
      </c>
      <c r="D39" s="280">
        <f t="shared" si="1"/>
        <v>125</v>
      </c>
      <c r="E39" s="280">
        <f t="shared" si="2"/>
        <v>55500</v>
      </c>
      <c r="F39" s="1" t="s">
        <v>361</v>
      </c>
      <c r="G39" s="28" t="str">
        <f>IFERROR(VLOOKUP(F39,Tabela7[[RECURSO]:[CUSTO]],2,FALSE),"")</f>
        <v>H</v>
      </c>
      <c r="H39" s="92">
        <v>3</v>
      </c>
      <c r="I39" s="90">
        <v>11</v>
      </c>
      <c r="J39" s="45">
        <f>IFERROR(VLOOKUP(F39,Tabela7[[RECURSO]:[CUSTO]],3,FALSE),0)</f>
        <v>26.579984100642395</v>
      </c>
      <c r="K39" s="45">
        <f>I39*J39*CPU_5961[[#This Row],[Nº]]</f>
        <v>877.13947532119892</v>
      </c>
      <c r="AD39" s="144" t="str">
        <f t="shared" si="3"/>
        <v>Recomposição cerca</v>
      </c>
      <c r="AE39" s="186"/>
      <c r="AF39" s="180">
        <f t="shared" si="35"/>
        <v>0</v>
      </c>
      <c r="AG39" s="180">
        <f t="shared" si="17"/>
        <v>0</v>
      </c>
      <c r="AH39" s="181">
        <f t="shared" si="36"/>
        <v>0</v>
      </c>
      <c r="AI39" s="187"/>
      <c r="AJ39" s="90"/>
      <c r="AK39" s="90"/>
      <c r="AL39" s="183">
        <f t="shared" si="37"/>
        <v>0</v>
      </c>
      <c r="AM39" s="187"/>
      <c r="AN39" s="90"/>
      <c r="AO39" s="90"/>
      <c r="AP39" s="183">
        <f t="shared" si="23"/>
        <v>0</v>
      </c>
      <c r="AQ39" s="187"/>
      <c r="AR39" s="90"/>
      <c r="AS39" s="90"/>
      <c r="AT39" s="183">
        <f t="shared" si="24"/>
        <v>0</v>
      </c>
      <c r="AU39" s="187"/>
      <c r="AV39" s="90"/>
      <c r="AW39" s="90"/>
      <c r="AX39" s="183">
        <f t="shared" si="25"/>
        <v>0</v>
      </c>
      <c r="AY39" s="187"/>
      <c r="AZ39" s="90"/>
      <c r="BA39" s="90"/>
      <c r="BB39" s="183">
        <f t="shared" si="26"/>
        <v>0</v>
      </c>
      <c r="BC39" s="187"/>
      <c r="BD39" s="90"/>
      <c r="BE39" s="90"/>
      <c r="BF39" s="183">
        <f t="shared" si="27"/>
        <v>0</v>
      </c>
      <c r="BG39" s="187"/>
      <c r="BH39" s="90"/>
      <c r="BI39" s="90"/>
      <c r="BJ39" s="183">
        <f t="shared" si="28"/>
        <v>0</v>
      </c>
      <c r="BK39" s="187"/>
      <c r="BL39" s="90"/>
      <c r="BM39" s="90"/>
      <c r="BN39" s="183">
        <f t="shared" si="29"/>
        <v>0</v>
      </c>
      <c r="BO39" s="187"/>
      <c r="BP39" s="90"/>
      <c r="BQ39" s="90"/>
      <c r="BR39" s="183">
        <f t="shared" si="30"/>
        <v>0</v>
      </c>
      <c r="BS39" s="187"/>
      <c r="BT39" s="90"/>
      <c r="BU39" s="90"/>
      <c r="BV39" s="183">
        <f t="shared" si="31"/>
        <v>0</v>
      </c>
      <c r="BW39" s="187"/>
      <c r="BX39" s="90"/>
      <c r="BY39" s="90"/>
      <c r="BZ39" s="183">
        <f t="shared" si="32"/>
        <v>0</v>
      </c>
      <c r="CA39" s="187"/>
      <c r="CB39" s="90"/>
      <c r="CC39" s="90"/>
      <c r="CD39" s="183">
        <f t="shared" si="33"/>
        <v>0</v>
      </c>
    </row>
    <row r="40" spans="2:82" x14ac:dyDescent="0.3">
      <c r="B40" s="54"/>
      <c r="C40" s="54" t="str">
        <f t="shared" si="0"/>
        <v>CPU_Recomposiçãocerca</v>
      </c>
      <c r="D40" s="280">
        <f t="shared" si="1"/>
        <v>125</v>
      </c>
      <c r="E40" s="280">
        <f t="shared" si="2"/>
        <v>55500</v>
      </c>
      <c r="F40" s="1"/>
      <c r="G40" s="28" t="str">
        <f>IFERROR(VLOOKUP(F40,Tabela7[[RECURSO]:[CUSTO]],2,FALSE),"")</f>
        <v/>
      </c>
      <c r="H40" s="92"/>
      <c r="I40" s="90"/>
      <c r="J40" s="45">
        <f>IFERROR(VLOOKUP(F40,Tabela7[[RECURSO]:[CUSTO]],3,FALSE),0)</f>
        <v>0</v>
      </c>
      <c r="K40" s="45">
        <f>I40*J40*CPU_5961[[#This Row],[Nº]]</f>
        <v>0</v>
      </c>
      <c r="AD40" s="144" t="str">
        <f t="shared" si="3"/>
        <v>Recomposição cerca</v>
      </c>
      <c r="AE40" s="186"/>
      <c r="AF40" s="180">
        <f t="shared" si="35"/>
        <v>0</v>
      </c>
      <c r="AG40" s="180">
        <f t="shared" si="17"/>
        <v>0</v>
      </c>
      <c r="AH40" s="181">
        <f t="shared" si="36"/>
        <v>0</v>
      </c>
      <c r="AI40" s="187"/>
      <c r="AJ40" s="90"/>
      <c r="AK40" s="90"/>
      <c r="AL40" s="183">
        <f t="shared" si="37"/>
        <v>0</v>
      </c>
      <c r="AM40" s="187"/>
      <c r="AN40" s="90"/>
      <c r="AO40" s="90"/>
      <c r="AP40" s="183">
        <f t="shared" si="23"/>
        <v>0</v>
      </c>
      <c r="AQ40" s="187"/>
      <c r="AR40" s="90"/>
      <c r="AS40" s="90"/>
      <c r="AT40" s="183">
        <f t="shared" si="24"/>
        <v>0</v>
      </c>
      <c r="AU40" s="187"/>
      <c r="AV40" s="90"/>
      <c r="AW40" s="90"/>
      <c r="AX40" s="183">
        <f t="shared" si="25"/>
        <v>0</v>
      </c>
      <c r="AY40" s="187"/>
      <c r="AZ40" s="90"/>
      <c r="BA40" s="90"/>
      <c r="BB40" s="183">
        <f t="shared" si="26"/>
        <v>0</v>
      </c>
      <c r="BC40" s="187"/>
      <c r="BD40" s="90"/>
      <c r="BE40" s="90"/>
      <c r="BF40" s="183">
        <f t="shared" si="27"/>
        <v>0</v>
      </c>
      <c r="BG40" s="187"/>
      <c r="BH40" s="90"/>
      <c r="BI40" s="90"/>
      <c r="BJ40" s="183">
        <f t="shared" si="28"/>
        <v>0</v>
      </c>
      <c r="BK40" s="187"/>
      <c r="BL40" s="90"/>
      <c r="BM40" s="90"/>
      <c r="BN40" s="183">
        <f t="shared" si="29"/>
        <v>0</v>
      </c>
      <c r="BO40" s="187"/>
      <c r="BP40" s="90"/>
      <c r="BQ40" s="90"/>
      <c r="BR40" s="183">
        <f t="shared" si="30"/>
        <v>0</v>
      </c>
      <c r="BS40" s="187"/>
      <c r="BT40" s="90"/>
      <c r="BU40" s="90"/>
      <c r="BV40" s="183">
        <f t="shared" si="31"/>
        <v>0</v>
      </c>
      <c r="BW40" s="187"/>
      <c r="BX40" s="90"/>
      <c r="BY40" s="90"/>
      <c r="BZ40" s="183">
        <f t="shared" si="32"/>
        <v>0</v>
      </c>
      <c r="CA40" s="187"/>
      <c r="CB40" s="90"/>
      <c r="CC40" s="90"/>
      <c r="CD40" s="183">
        <f t="shared" si="33"/>
        <v>0</v>
      </c>
    </row>
    <row r="41" spans="2:82" x14ac:dyDescent="0.3">
      <c r="B41" s="54"/>
      <c r="C41" s="54" t="str">
        <f t="shared" si="0"/>
        <v>CPU_Recomposiçãocerca</v>
      </c>
      <c r="D41" s="280">
        <f t="shared" si="1"/>
        <v>125</v>
      </c>
      <c r="E41" s="280">
        <f t="shared" si="2"/>
        <v>55500</v>
      </c>
      <c r="F41" s="1"/>
      <c r="G41" s="28" t="str">
        <f>IFERROR(VLOOKUP(F41,Tabela7[[RECURSO]:[CUSTO]],2,FALSE),"")</f>
        <v/>
      </c>
      <c r="H41" s="92"/>
      <c r="I41" s="90"/>
      <c r="J41" s="45">
        <f>IFERROR(VLOOKUP(F41,Tabela7[[RECURSO]:[CUSTO]],3,FALSE),0)</f>
        <v>0</v>
      </c>
      <c r="K41" s="45">
        <f>I41*J41*CPU_5961[[#This Row],[Nº]]</f>
        <v>0</v>
      </c>
      <c r="AD41" s="144" t="str">
        <f t="shared" si="3"/>
        <v>Recomposição cerca</v>
      </c>
      <c r="AE41" s="186"/>
      <c r="AF41" s="180">
        <f t="shared" si="35"/>
        <v>0</v>
      </c>
      <c r="AG41" s="180">
        <f t="shared" si="17"/>
        <v>0</v>
      </c>
      <c r="AH41" s="181">
        <f t="shared" si="36"/>
        <v>0</v>
      </c>
      <c r="AI41" s="187"/>
      <c r="AJ41" s="90"/>
      <c r="AK41" s="90"/>
      <c r="AL41" s="183">
        <f t="shared" si="37"/>
        <v>0</v>
      </c>
      <c r="AM41" s="187"/>
      <c r="AN41" s="90"/>
      <c r="AO41" s="90"/>
      <c r="AP41" s="183">
        <f t="shared" si="23"/>
        <v>0</v>
      </c>
      <c r="AQ41" s="187"/>
      <c r="AR41" s="90"/>
      <c r="AS41" s="90"/>
      <c r="AT41" s="183">
        <f t="shared" si="24"/>
        <v>0</v>
      </c>
      <c r="AU41" s="187"/>
      <c r="AV41" s="90"/>
      <c r="AW41" s="90"/>
      <c r="AX41" s="183">
        <f t="shared" si="25"/>
        <v>0</v>
      </c>
      <c r="AY41" s="187"/>
      <c r="AZ41" s="90"/>
      <c r="BA41" s="90"/>
      <c r="BB41" s="183">
        <f t="shared" si="26"/>
        <v>0</v>
      </c>
      <c r="BC41" s="187"/>
      <c r="BD41" s="90"/>
      <c r="BE41" s="90"/>
      <c r="BF41" s="183">
        <f t="shared" si="27"/>
        <v>0</v>
      </c>
      <c r="BG41" s="187"/>
      <c r="BH41" s="90"/>
      <c r="BI41" s="90"/>
      <c r="BJ41" s="183">
        <f t="shared" si="28"/>
        <v>0</v>
      </c>
      <c r="BK41" s="187"/>
      <c r="BL41" s="90"/>
      <c r="BM41" s="90"/>
      <c r="BN41" s="183">
        <f t="shared" si="29"/>
        <v>0</v>
      </c>
      <c r="BO41" s="187"/>
      <c r="BP41" s="90"/>
      <c r="BQ41" s="90"/>
      <c r="BR41" s="183">
        <f t="shared" si="30"/>
        <v>0</v>
      </c>
      <c r="BS41" s="187"/>
      <c r="BT41" s="90"/>
      <c r="BU41" s="90"/>
      <c r="BV41" s="183">
        <f t="shared" si="31"/>
        <v>0</v>
      </c>
      <c r="BW41" s="187"/>
      <c r="BX41" s="90"/>
      <c r="BY41" s="90"/>
      <c r="BZ41" s="183">
        <f t="shared" si="32"/>
        <v>0</v>
      </c>
      <c r="CA41" s="187"/>
      <c r="CB41" s="90"/>
      <c r="CC41" s="90"/>
      <c r="CD41" s="183">
        <f t="shared" si="33"/>
        <v>0</v>
      </c>
    </row>
    <row r="42" spans="2:82" x14ac:dyDescent="0.3">
      <c r="B42" s="54"/>
      <c r="C42" s="54" t="str">
        <f t="shared" si="0"/>
        <v>CPU_Recomposiçãocerca</v>
      </c>
      <c r="D42" s="280">
        <f t="shared" si="1"/>
        <v>125</v>
      </c>
      <c r="E42" s="280">
        <f t="shared" si="2"/>
        <v>55500</v>
      </c>
      <c r="F42" s="1"/>
      <c r="G42" s="28" t="str">
        <f>IFERROR(VLOOKUP(F42,Tabela7[[RECURSO]:[CUSTO]],2,FALSE),"")</f>
        <v/>
      </c>
      <c r="H42" s="92"/>
      <c r="I42" s="90"/>
      <c r="J42" s="45">
        <f>IFERROR(VLOOKUP(F42,Tabela7[[RECURSO]:[CUSTO]],3,FALSE),0)</f>
        <v>0</v>
      </c>
      <c r="K42" s="45">
        <f>I42*J42*CPU_5961[[#This Row],[Nº]]</f>
        <v>0</v>
      </c>
      <c r="AD42" s="144" t="str">
        <f t="shared" si="3"/>
        <v>Recomposição cerca</v>
      </c>
      <c r="AE42" s="186"/>
      <c r="AF42" s="180">
        <f t="shared" si="35"/>
        <v>0</v>
      </c>
      <c r="AG42" s="180">
        <f t="shared" si="17"/>
        <v>0</v>
      </c>
      <c r="AH42" s="181">
        <f t="shared" si="36"/>
        <v>0</v>
      </c>
      <c r="AI42" s="187"/>
      <c r="AJ42" s="90"/>
      <c r="AK42" s="90"/>
      <c r="AL42" s="183">
        <f t="shared" si="37"/>
        <v>0</v>
      </c>
      <c r="AM42" s="187"/>
      <c r="AN42" s="90"/>
      <c r="AO42" s="90"/>
      <c r="AP42" s="183">
        <f t="shared" si="23"/>
        <v>0</v>
      </c>
      <c r="AQ42" s="187"/>
      <c r="AR42" s="90"/>
      <c r="AS42" s="90"/>
      <c r="AT42" s="183">
        <f t="shared" si="24"/>
        <v>0</v>
      </c>
      <c r="AU42" s="187"/>
      <c r="AV42" s="90"/>
      <c r="AW42" s="90"/>
      <c r="AX42" s="183">
        <f t="shared" si="25"/>
        <v>0</v>
      </c>
      <c r="AY42" s="187"/>
      <c r="AZ42" s="90"/>
      <c r="BA42" s="90"/>
      <c r="BB42" s="183">
        <f t="shared" si="26"/>
        <v>0</v>
      </c>
      <c r="BC42" s="187"/>
      <c r="BD42" s="90"/>
      <c r="BE42" s="90"/>
      <c r="BF42" s="183">
        <f t="shared" si="27"/>
        <v>0</v>
      </c>
      <c r="BG42" s="187"/>
      <c r="BH42" s="90"/>
      <c r="BI42" s="90"/>
      <c r="BJ42" s="183">
        <f t="shared" si="28"/>
        <v>0</v>
      </c>
      <c r="BK42" s="187"/>
      <c r="BL42" s="90"/>
      <c r="BM42" s="90"/>
      <c r="BN42" s="183">
        <f t="shared" si="29"/>
        <v>0</v>
      </c>
      <c r="BO42" s="187"/>
      <c r="BP42" s="90"/>
      <c r="BQ42" s="90"/>
      <c r="BR42" s="183">
        <f t="shared" si="30"/>
        <v>0</v>
      </c>
      <c r="BS42" s="187"/>
      <c r="BT42" s="90"/>
      <c r="BU42" s="90"/>
      <c r="BV42" s="183">
        <f t="shared" si="31"/>
        <v>0</v>
      </c>
      <c r="BW42" s="187"/>
      <c r="BX42" s="90"/>
      <c r="BY42" s="90"/>
      <c r="BZ42" s="183">
        <f t="shared" si="32"/>
        <v>0</v>
      </c>
      <c r="CA42" s="187"/>
      <c r="CB42" s="90"/>
      <c r="CC42" s="90"/>
      <c r="CD42" s="183">
        <f t="shared" si="33"/>
        <v>0</v>
      </c>
    </row>
    <row r="43" spans="2:82" x14ac:dyDescent="0.3">
      <c r="B43" s="54"/>
      <c r="C43" s="54" t="str">
        <f t="shared" si="0"/>
        <v>CPU_Recomposiçãocerca</v>
      </c>
      <c r="D43" s="280">
        <f t="shared" si="1"/>
        <v>125</v>
      </c>
      <c r="E43" s="280">
        <f t="shared" si="2"/>
        <v>55500</v>
      </c>
      <c r="F43" s="1"/>
      <c r="G43" s="28" t="str">
        <f>IFERROR(VLOOKUP(F43,Tabela7[[RECURSO]:[CUSTO]],2,FALSE),"")</f>
        <v/>
      </c>
      <c r="H43" s="92"/>
      <c r="I43" s="90"/>
      <c r="J43" s="45">
        <f>IFERROR(VLOOKUP(F43,Tabela7[[RECURSO]:[CUSTO]],3,FALSE),0)</f>
        <v>0</v>
      </c>
      <c r="K43" s="45">
        <f>I43*J43*CPU_5961[[#This Row],[Nº]]</f>
        <v>0</v>
      </c>
      <c r="AD43" s="144" t="str">
        <f t="shared" si="3"/>
        <v>Recomposição cerca</v>
      </c>
      <c r="AE43" s="186"/>
      <c r="AF43" s="180">
        <f t="shared" si="35"/>
        <v>0</v>
      </c>
      <c r="AG43" s="180">
        <f t="shared" si="17"/>
        <v>0</v>
      </c>
      <c r="AH43" s="181">
        <f t="shared" si="36"/>
        <v>0</v>
      </c>
      <c r="AI43" s="187"/>
      <c r="AJ43" s="90"/>
      <c r="AK43" s="90"/>
      <c r="AL43" s="183">
        <f t="shared" si="37"/>
        <v>0</v>
      </c>
      <c r="AM43" s="187"/>
      <c r="AN43" s="90"/>
      <c r="AO43" s="90"/>
      <c r="AP43" s="183">
        <f t="shared" si="23"/>
        <v>0</v>
      </c>
      <c r="AQ43" s="187"/>
      <c r="AR43" s="90"/>
      <c r="AS43" s="90"/>
      <c r="AT43" s="183">
        <f t="shared" si="24"/>
        <v>0</v>
      </c>
      <c r="AU43" s="187"/>
      <c r="AV43" s="90"/>
      <c r="AW43" s="90"/>
      <c r="AX43" s="183">
        <f t="shared" si="25"/>
        <v>0</v>
      </c>
      <c r="AY43" s="187"/>
      <c r="AZ43" s="90"/>
      <c r="BA43" s="90"/>
      <c r="BB43" s="183">
        <f t="shared" si="26"/>
        <v>0</v>
      </c>
      <c r="BC43" s="187"/>
      <c r="BD43" s="90"/>
      <c r="BE43" s="90"/>
      <c r="BF43" s="183">
        <f t="shared" si="27"/>
        <v>0</v>
      </c>
      <c r="BG43" s="187"/>
      <c r="BH43" s="90"/>
      <c r="BI43" s="90"/>
      <c r="BJ43" s="183">
        <f t="shared" si="28"/>
        <v>0</v>
      </c>
      <c r="BK43" s="187"/>
      <c r="BL43" s="90"/>
      <c r="BM43" s="90"/>
      <c r="BN43" s="183">
        <f t="shared" si="29"/>
        <v>0</v>
      </c>
      <c r="BO43" s="187"/>
      <c r="BP43" s="90"/>
      <c r="BQ43" s="90"/>
      <c r="BR43" s="183">
        <f t="shared" si="30"/>
        <v>0</v>
      </c>
      <c r="BS43" s="187"/>
      <c r="BT43" s="90"/>
      <c r="BU43" s="90"/>
      <c r="BV43" s="183">
        <f t="shared" si="31"/>
        <v>0</v>
      </c>
      <c r="BW43" s="187"/>
      <c r="BX43" s="90"/>
      <c r="BY43" s="90"/>
      <c r="BZ43" s="183">
        <f t="shared" si="32"/>
        <v>0</v>
      </c>
      <c r="CA43" s="187"/>
      <c r="CB43" s="90"/>
      <c r="CC43" s="90"/>
      <c r="CD43" s="183">
        <f t="shared" si="33"/>
        <v>0</v>
      </c>
    </row>
    <row r="44" spans="2:82" x14ac:dyDescent="0.3">
      <c r="B44" s="54"/>
      <c r="C44" s="54" t="str">
        <f t="shared" si="0"/>
        <v>CPU_Recomposiçãocerca</v>
      </c>
      <c r="D44" s="280">
        <f t="shared" si="1"/>
        <v>125</v>
      </c>
      <c r="E44" s="280">
        <f t="shared" si="2"/>
        <v>55500</v>
      </c>
      <c r="F44" s="1"/>
      <c r="G44" s="28" t="str">
        <f>IFERROR(VLOOKUP(F44,Tabela7[[RECURSO]:[CUSTO]],2,FALSE),"")</f>
        <v/>
      </c>
      <c r="H44" s="92"/>
      <c r="I44" s="90"/>
      <c r="J44" s="45">
        <f>IFERROR(VLOOKUP(F44,Tabela7[[RECURSO]:[CUSTO]],3,FALSE),0)</f>
        <v>0</v>
      </c>
      <c r="K44" s="45">
        <f>I44*J44*CPU_5961[[#This Row],[Nº]]</f>
        <v>0</v>
      </c>
      <c r="AD44" s="144" t="str">
        <f t="shared" si="3"/>
        <v>Recomposição cerca</v>
      </c>
      <c r="AE44" s="186"/>
      <c r="AF44" s="180">
        <f t="shared" si="35"/>
        <v>0</v>
      </c>
      <c r="AG44" s="180">
        <f t="shared" si="17"/>
        <v>0</v>
      </c>
      <c r="AH44" s="181">
        <f t="shared" si="36"/>
        <v>0</v>
      </c>
      <c r="AI44" s="187"/>
      <c r="AJ44" s="90"/>
      <c r="AK44" s="90"/>
      <c r="AL44" s="183">
        <f t="shared" si="37"/>
        <v>0</v>
      </c>
      <c r="AM44" s="187"/>
      <c r="AN44" s="90"/>
      <c r="AO44" s="90"/>
      <c r="AP44" s="183">
        <f t="shared" si="23"/>
        <v>0</v>
      </c>
      <c r="AQ44" s="187"/>
      <c r="AR44" s="90"/>
      <c r="AS44" s="90"/>
      <c r="AT44" s="183">
        <f t="shared" si="24"/>
        <v>0</v>
      </c>
      <c r="AU44" s="187"/>
      <c r="AV44" s="90"/>
      <c r="AW44" s="90"/>
      <c r="AX44" s="183">
        <f t="shared" si="25"/>
        <v>0</v>
      </c>
      <c r="AY44" s="187"/>
      <c r="AZ44" s="90"/>
      <c r="BA44" s="90"/>
      <c r="BB44" s="183">
        <f t="shared" si="26"/>
        <v>0</v>
      </c>
      <c r="BC44" s="187"/>
      <c r="BD44" s="90"/>
      <c r="BE44" s="90"/>
      <c r="BF44" s="183">
        <f t="shared" si="27"/>
        <v>0</v>
      </c>
      <c r="BG44" s="187"/>
      <c r="BH44" s="90"/>
      <c r="BI44" s="90"/>
      <c r="BJ44" s="183">
        <f t="shared" si="28"/>
        <v>0</v>
      </c>
      <c r="BK44" s="187"/>
      <c r="BL44" s="90"/>
      <c r="BM44" s="90"/>
      <c r="BN44" s="183">
        <f t="shared" si="29"/>
        <v>0</v>
      </c>
      <c r="BO44" s="187"/>
      <c r="BP44" s="90"/>
      <c r="BQ44" s="90"/>
      <c r="BR44" s="183">
        <f t="shared" si="30"/>
        <v>0</v>
      </c>
      <c r="BS44" s="187"/>
      <c r="BT44" s="90"/>
      <c r="BU44" s="90"/>
      <c r="BV44" s="183">
        <f t="shared" si="31"/>
        <v>0</v>
      </c>
      <c r="BW44" s="187"/>
      <c r="BX44" s="90"/>
      <c r="BY44" s="90"/>
      <c r="BZ44" s="183">
        <f t="shared" si="32"/>
        <v>0</v>
      </c>
      <c r="CA44" s="187"/>
      <c r="CB44" s="90"/>
      <c r="CC44" s="90"/>
      <c r="CD44" s="183">
        <f t="shared" si="33"/>
        <v>0</v>
      </c>
    </row>
    <row r="45" spans="2:82" x14ac:dyDescent="0.3">
      <c r="B45" s="53"/>
      <c r="C45" s="53" t="str">
        <f t="shared" si="0"/>
        <v>CPU_Recomposiçãocerca</v>
      </c>
      <c r="D45" s="278">
        <f t="shared" si="1"/>
        <v>125</v>
      </c>
      <c r="E45" s="278">
        <f t="shared" si="2"/>
        <v>55500</v>
      </c>
      <c r="F45" s="1"/>
      <c r="G45" s="28" t="str">
        <f>IFERROR(VLOOKUP(F45,Tabela7[[RECURSO]:[CUSTO]],2,FALSE),"")</f>
        <v/>
      </c>
      <c r="H45" s="92"/>
      <c r="I45" s="90"/>
      <c r="J45" s="45">
        <f>IFERROR(VLOOKUP(F45,Tabela7[[RECURSO]:[CUSTO]],3,FALSE),0)</f>
        <v>0</v>
      </c>
      <c r="K45" s="45">
        <f>I45*J45*CPU_5961[[#This Row],[Nº]]</f>
        <v>0</v>
      </c>
      <c r="AD45" s="144" t="str">
        <f t="shared" si="3"/>
        <v>Recomposição cerca</v>
      </c>
      <c r="AE45" s="188"/>
      <c r="AF45" s="180">
        <f t="shared" si="35"/>
        <v>0</v>
      </c>
      <c r="AG45" s="180">
        <f t="shared" si="17"/>
        <v>0</v>
      </c>
      <c r="AH45" s="181">
        <f t="shared" si="36"/>
        <v>0</v>
      </c>
      <c r="AI45" s="189"/>
      <c r="AJ45" s="90"/>
      <c r="AK45" s="90"/>
      <c r="AL45" s="183">
        <f t="shared" si="37"/>
        <v>0</v>
      </c>
      <c r="AM45" s="189"/>
      <c r="AN45" s="90"/>
      <c r="AO45" s="90"/>
      <c r="AP45" s="183">
        <f t="shared" si="23"/>
        <v>0</v>
      </c>
      <c r="AQ45" s="189"/>
      <c r="AR45" s="90"/>
      <c r="AS45" s="90"/>
      <c r="AT45" s="183">
        <f t="shared" si="24"/>
        <v>0</v>
      </c>
      <c r="AU45" s="189"/>
      <c r="AV45" s="90"/>
      <c r="AW45" s="90"/>
      <c r="AX45" s="183">
        <f t="shared" si="25"/>
        <v>0</v>
      </c>
      <c r="AY45" s="189"/>
      <c r="AZ45" s="90"/>
      <c r="BA45" s="90"/>
      <c r="BB45" s="183">
        <f t="shared" si="26"/>
        <v>0</v>
      </c>
      <c r="BC45" s="189"/>
      <c r="BD45" s="90"/>
      <c r="BE45" s="90"/>
      <c r="BF45" s="183">
        <f t="shared" si="27"/>
        <v>0</v>
      </c>
      <c r="BG45" s="189"/>
      <c r="BH45" s="90"/>
      <c r="BI45" s="90"/>
      <c r="BJ45" s="183">
        <f t="shared" si="28"/>
        <v>0</v>
      </c>
      <c r="BK45" s="189"/>
      <c r="BL45" s="90"/>
      <c r="BM45" s="90"/>
      <c r="BN45" s="183">
        <f t="shared" si="29"/>
        <v>0</v>
      </c>
      <c r="BO45" s="189"/>
      <c r="BP45" s="90"/>
      <c r="BQ45" s="90"/>
      <c r="BR45" s="183">
        <f t="shared" si="30"/>
        <v>0</v>
      </c>
      <c r="BS45" s="189"/>
      <c r="BT45" s="90"/>
      <c r="BU45" s="90"/>
      <c r="BV45" s="183">
        <f t="shared" si="31"/>
        <v>0</v>
      </c>
      <c r="BW45" s="189"/>
      <c r="BX45" s="90"/>
      <c r="BY45" s="90"/>
      <c r="BZ45" s="183">
        <f t="shared" si="32"/>
        <v>0</v>
      </c>
      <c r="CA45" s="189"/>
      <c r="CB45" s="90"/>
      <c r="CC45" s="90"/>
      <c r="CD45" s="183">
        <f t="shared" si="33"/>
        <v>0</v>
      </c>
    </row>
    <row r="46" spans="2:82" x14ac:dyDescent="0.3">
      <c r="B46" s="53"/>
      <c r="C46" s="53" t="str">
        <f t="shared" si="0"/>
        <v>CPU_Recomposiçãocerca</v>
      </c>
      <c r="D46" s="278">
        <f t="shared" si="1"/>
        <v>125</v>
      </c>
      <c r="E46" s="278">
        <f t="shared" si="2"/>
        <v>55500</v>
      </c>
      <c r="F46" s="1"/>
      <c r="G46" s="28" t="str">
        <f>IFERROR(VLOOKUP(F46,Tabela7[[RECURSO]:[CUSTO]],2,FALSE),"")</f>
        <v/>
      </c>
      <c r="H46" s="92"/>
      <c r="I46" s="90"/>
      <c r="J46" s="45">
        <f>IFERROR(VLOOKUP(F46,Tabela7[[RECURSO]:[CUSTO]],3,FALSE),0)</f>
        <v>0</v>
      </c>
      <c r="K46" s="45">
        <f>I46*J46*CPU_5961[[#This Row],[Nº]]</f>
        <v>0</v>
      </c>
      <c r="AD46" s="144" t="str">
        <f t="shared" si="3"/>
        <v>Recomposição cerca</v>
      </c>
      <c r="AE46" s="188"/>
      <c r="AF46" s="180">
        <f t="shared" si="35"/>
        <v>0</v>
      </c>
      <c r="AG46" s="180">
        <f t="shared" si="17"/>
        <v>0</v>
      </c>
      <c r="AH46" s="181">
        <f t="shared" si="36"/>
        <v>0</v>
      </c>
      <c r="AI46" s="189"/>
      <c r="AJ46" s="90"/>
      <c r="AK46" s="90"/>
      <c r="AL46" s="183">
        <f t="shared" si="37"/>
        <v>0</v>
      </c>
      <c r="AM46" s="189"/>
      <c r="AN46" s="90"/>
      <c r="AO46" s="90"/>
      <c r="AP46" s="183">
        <f t="shared" si="23"/>
        <v>0</v>
      </c>
      <c r="AQ46" s="189"/>
      <c r="AR46" s="90"/>
      <c r="AS46" s="90"/>
      <c r="AT46" s="183">
        <f t="shared" si="24"/>
        <v>0</v>
      </c>
      <c r="AU46" s="189"/>
      <c r="AV46" s="90"/>
      <c r="AW46" s="90"/>
      <c r="AX46" s="183">
        <f t="shared" si="25"/>
        <v>0</v>
      </c>
      <c r="AY46" s="189"/>
      <c r="AZ46" s="90"/>
      <c r="BA46" s="90"/>
      <c r="BB46" s="183">
        <f t="shared" si="26"/>
        <v>0</v>
      </c>
      <c r="BC46" s="189"/>
      <c r="BD46" s="90"/>
      <c r="BE46" s="90"/>
      <c r="BF46" s="183">
        <f t="shared" si="27"/>
        <v>0</v>
      </c>
      <c r="BG46" s="189"/>
      <c r="BH46" s="90"/>
      <c r="BI46" s="90"/>
      <c r="BJ46" s="183">
        <f t="shared" si="28"/>
        <v>0</v>
      </c>
      <c r="BK46" s="189"/>
      <c r="BL46" s="90"/>
      <c r="BM46" s="90"/>
      <c r="BN46" s="183">
        <f t="shared" si="29"/>
        <v>0</v>
      </c>
      <c r="BO46" s="189"/>
      <c r="BP46" s="90"/>
      <c r="BQ46" s="90"/>
      <c r="BR46" s="183">
        <f t="shared" si="30"/>
        <v>0</v>
      </c>
      <c r="BS46" s="189"/>
      <c r="BT46" s="90"/>
      <c r="BU46" s="90"/>
      <c r="BV46" s="183">
        <f t="shared" si="31"/>
        <v>0</v>
      </c>
      <c r="BW46" s="189"/>
      <c r="BX46" s="90"/>
      <c r="BY46" s="90"/>
      <c r="BZ46" s="183">
        <f t="shared" si="32"/>
        <v>0</v>
      </c>
      <c r="CA46" s="189"/>
      <c r="CB46" s="90"/>
      <c r="CC46" s="90"/>
      <c r="CD46" s="183">
        <f t="shared" si="33"/>
        <v>0</v>
      </c>
    </row>
    <row r="47" spans="2:82" x14ac:dyDescent="0.3">
      <c r="B47" s="53"/>
      <c r="C47" s="53" t="str">
        <f t="shared" si="0"/>
        <v>CPU_Recomposiçãocerca</v>
      </c>
      <c r="D47" s="278">
        <f t="shared" si="1"/>
        <v>125</v>
      </c>
      <c r="E47" s="278">
        <f t="shared" si="2"/>
        <v>55500</v>
      </c>
      <c r="F47" s="1"/>
      <c r="G47" s="28" t="str">
        <f>IFERROR(VLOOKUP(F47,Tabela7[[RECURSO]:[CUSTO]],2,FALSE),"")</f>
        <v/>
      </c>
      <c r="H47" s="92"/>
      <c r="I47" s="90"/>
      <c r="J47" s="45">
        <f>IFERROR(VLOOKUP(F47,Tabela7[[RECURSO]:[CUSTO]],3,FALSE),0)</f>
        <v>0</v>
      </c>
      <c r="K47" s="45">
        <f>I47*J47*CPU_5961[[#This Row],[Nº]]</f>
        <v>0</v>
      </c>
      <c r="AD47" s="144" t="str">
        <f t="shared" si="3"/>
        <v>Recomposição cerca</v>
      </c>
      <c r="AE47" s="188"/>
      <c r="AF47" s="180">
        <f t="shared" si="35"/>
        <v>0</v>
      </c>
      <c r="AG47" s="180">
        <f t="shared" si="17"/>
        <v>0</v>
      </c>
      <c r="AH47" s="181">
        <f t="shared" si="36"/>
        <v>0</v>
      </c>
      <c r="AI47" s="189"/>
      <c r="AJ47" s="90"/>
      <c r="AK47" s="90"/>
      <c r="AL47" s="183">
        <f t="shared" si="37"/>
        <v>0</v>
      </c>
      <c r="AM47" s="189"/>
      <c r="AN47" s="90"/>
      <c r="AO47" s="90"/>
      <c r="AP47" s="183">
        <f t="shared" si="23"/>
        <v>0</v>
      </c>
      <c r="AQ47" s="189"/>
      <c r="AR47" s="90"/>
      <c r="AS47" s="90"/>
      <c r="AT47" s="183">
        <f t="shared" si="24"/>
        <v>0</v>
      </c>
      <c r="AU47" s="189"/>
      <c r="AV47" s="90"/>
      <c r="AW47" s="90"/>
      <c r="AX47" s="183">
        <f t="shared" si="25"/>
        <v>0</v>
      </c>
      <c r="AY47" s="189"/>
      <c r="AZ47" s="90"/>
      <c r="BA47" s="90"/>
      <c r="BB47" s="183">
        <f t="shared" si="26"/>
        <v>0</v>
      </c>
      <c r="BC47" s="189"/>
      <c r="BD47" s="90"/>
      <c r="BE47" s="90"/>
      <c r="BF47" s="183">
        <f t="shared" si="27"/>
        <v>0</v>
      </c>
      <c r="BG47" s="189"/>
      <c r="BH47" s="90"/>
      <c r="BI47" s="90"/>
      <c r="BJ47" s="183">
        <f t="shared" si="28"/>
        <v>0</v>
      </c>
      <c r="BK47" s="189"/>
      <c r="BL47" s="90"/>
      <c r="BM47" s="90"/>
      <c r="BN47" s="183">
        <f t="shared" si="29"/>
        <v>0</v>
      </c>
      <c r="BO47" s="189"/>
      <c r="BP47" s="90"/>
      <c r="BQ47" s="90"/>
      <c r="BR47" s="183">
        <f t="shared" si="30"/>
        <v>0</v>
      </c>
      <c r="BS47" s="189"/>
      <c r="BT47" s="90"/>
      <c r="BU47" s="90"/>
      <c r="BV47" s="183">
        <f t="shared" si="31"/>
        <v>0</v>
      </c>
      <c r="BW47" s="189"/>
      <c r="BX47" s="90"/>
      <c r="BY47" s="90"/>
      <c r="BZ47" s="183">
        <f t="shared" si="32"/>
        <v>0</v>
      </c>
      <c r="CA47" s="189"/>
      <c r="CB47" s="90"/>
      <c r="CC47" s="90"/>
      <c r="CD47" s="183">
        <f t="shared" si="33"/>
        <v>0</v>
      </c>
    </row>
    <row r="48" spans="2:82" x14ac:dyDescent="0.3">
      <c r="B48" s="53"/>
      <c r="C48" s="53" t="str">
        <f t="shared" si="0"/>
        <v>CPU_Recomposiçãocerca</v>
      </c>
      <c r="D48" s="278">
        <f t="shared" si="1"/>
        <v>125</v>
      </c>
      <c r="E48" s="278">
        <f t="shared" si="2"/>
        <v>55500</v>
      </c>
      <c r="F48" s="1"/>
      <c r="G48" s="28" t="str">
        <f>IFERROR(VLOOKUP(F48,Tabela7[[RECURSO]:[CUSTO]],2,FALSE),"")</f>
        <v/>
      </c>
      <c r="H48" s="92"/>
      <c r="I48" s="90"/>
      <c r="J48" s="45">
        <f>IFERROR(VLOOKUP(F48,Tabela7[[RECURSO]:[CUSTO]],3,FALSE),0)</f>
        <v>0</v>
      </c>
      <c r="K48" s="45">
        <f>I48*J48*CPU_5961[[#This Row],[Nº]]</f>
        <v>0</v>
      </c>
      <c r="AD48" s="144" t="str">
        <f t="shared" si="3"/>
        <v>Recomposição cerca</v>
      </c>
      <c r="AE48" s="188"/>
      <c r="AF48" s="180">
        <f t="shared" si="35"/>
        <v>0</v>
      </c>
      <c r="AG48" s="180">
        <f t="shared" si="17"/>
        <v>0</v>
      </c>
      <c r="AH48" s="181">
        <f t="shared" si="36"/>
        <v>0</v>
      </c>
      <c r="AI48" s="189"/>
      <c r="AJ48" s="90"/>
      <c r="AK48" s="90"/>
      <c r="AL48" s="183">
        <f t="shared" si="37"/>
        <v>0</v>
      </c>
      <c r="AM48" s="189"/>
      <c r="AN48" s="90"/>
      <c r="AO48" s="90"/>
      <c r="AP48" s="183">
        <f t="shared" si="23"/>
        <v>0</v>
      </c>
      <c r="AQ48" s="189"/>
      <c r="AR48" s="90"/>
      <c r="AS48" s="90"/>
      <c r="AT48" s="183">
        <f t="shared" si="24"/>
        <v>0</v>
      </c>
      <c r="AU48" s="189"/>
      <c r="AV48" s="90"/>
      <c r="AW48" s="90"/>
      <c r="AX48" s="183">
        <f t="shared" si="25"/>
        <v>0</v>
      </c>
      <c r="AY48" s="189"/>
      <c r="AZ48" s="90"/>
      <c r="BA48" s="90"/>
      <c r="BB48" s="183">
        <f t="shared" si="26"/>
        <v>0</v>
      </c>
      <c r="BC48" s="189"/>
      <c r="BD48" s="90"/>
      <c r="BE48" s="90"/>
      <c r="BF48" s="183">
        <f t="shared" si="27"/>
        <v>0</v>
      </c>
      <c r="BG48" s="189"/>
      <c r="BH48" s="90"/>
      <c r="BI48" s="90"/>
      <c r="BJ48" s="183">
        <f t="shared" si="28"/>
        <v>0</v>
      </c>
      <c r="BK48" s="189"/>
      <c r="BL48" s="90"/>
      <c r="BM48" s="90"/>
      <c r="BN48" s="183">
        <f t="shared" si="29"/>
        <v>0</v>
      </c>
      <c r="BO48" s="189"/>
      <c r="BP48" s="90"/>
      <c r="BQ48" s="90"/>
      <c r="BR48" s="183">
        <f t="shared" si="30"/>
        <v>0</v>
      </c>
      <c r="BS48" s="189"/>
      <c r="BT48" s="90"/>
      <c r="BU48" s="90"/>
      <c r="BV48" s="183">
        <f t="shared" si="31"/>
        <v>0</v>
      </c>
      <c r="BW48" s="189"/>
      <c r="BX48" s="90"/>
      <c r="BY48" s="90"/>
      <c r="BZ48" s="183">
        <f t="shared" si="32"/>
        <v>0</v>
      </c>
      <c r="CA48" s="189"/>
      <c r="CB48" s="90"/>
      <c r="CC48" s="90"/>
      <c r="CD48" s="183">
        <f t="shared" si="33"/>
        <v>0</v>
      </c>
    </row>
    <row r="49" spans="2:82" ht="15" thickBot="1" x14ac:dyDescent="0.35">
      <c r="B49" s="53"/>
      <c r="C49" s="53" t="str">
        <f t="shared" si="0"/>
        <v>CPU_Recomposiçãocerca</v>
      </c>
      <c r="D49" s="278">
        <f t="shared" si="1"/>
        <v>125</v>
      </c>
      <c r="E49" s="278">
        <f t="shared" si="2"/>
        <v>55500</v>
      </c>
      <c r="F49" s="1"/>
      <c r="G49" s="28" t="str">
        <f>IFERROR(VLOOKUP(F49,Tabela7[[RECURSO]:[CUSTO]],2,FALSE),"")</f>
        <v/>
      </c>
      <c r="H49" s="92"/>
      <c r="I49" s="90"/>
      <c r="J49" s="45">
        <f>IFERROR(VLOOKUP(F49,Tabela7[[RECURSO]:[CUSTO]],3,FALSE),0)</f>
        <v>0</v>
      </c>
      <c r="K49" s="45">
        <f>I49*J49*CPU_5961[[#This Row],[Nº]]</f>
        <v>0</v>
      </c>
      <c r="M49" s="83" t="s">
        <v>701</v>
      </c>
      <c r="N49" s="87" t="s">
        <v>702</v>
      </c>
      <c r="AD49" s="144" t="str">
        <f t="shared" si="3"/>
        <v>Recomposição cerca</v>
      </c>
      <c r="AE49" s="188"/>
      <c r="AF49" s="180">
        <f t="shared" si="35"/>
        <v>0</v>
      </c>
      <c r="AG49" s="180">
        <f t="shared" si="17"/>
        <v>0</v>
      </c>
      <c r="AH49" s="181">
        <f t="shared" si="36"/>
        <v>0</v>
      </c>
      <c r="AI49" s="189"/>
      <c r="AJ49" s="90"/>
      <c r="AK49" s="90"/>
      <c r="AL49" s="183">
        <f t="shared" si="37"/>
        <v>0</v>
      </c>
      <c r="AM49" s="189"/>
      <c r="AN49" s="90"/>
      <c r="AO49" s="90"/>
      <c r="AP49" s="183">
        <f t="shared" si="23"/>
        <v>0</v>
      </c>
      <c r="AQ49" s="189"/>
      <c r="AR49" s="90"/>
      <c r="AS49" s="90"/>
      <c r="AT49" s="183">
        <f t="shared" si="24"/>
        <v>0</v>
      </c>
      <c r="AU49" s="189"/>
      <c r="AV49" s="90"/>
      <c r="AW49" s="90"/>
      <c r="AX49" s="183">
        <f t="shared" si="25"/>
        <v>0</v>
      </c>
      <c r="AY49" s="189"/>
      <c r="AZ49" s="90"/>
      <c r="BA49" s="90"/>
      <c r="BB49" s="183">
        <f t="shared" si="26"/>
        <v>0</v>
      </c>
      <c r="BC49" s="189"/>
      <c r="BD49" s="90"/>
      <c r="BE49" s="90"/>
      <c r="BF49" s="183">
        <f t="shared" si="27"/>
        <v>0</v>
      </c>
      <c r="BG49" s="189"/>
      <c r="BH49" s="90"/>
      <c r="BI49" s="90"/>
      <c r="BJ49" s="183">
        <f t="shared" si="28"/>
        <v>0</v>
      </c>
      <c r="BK49" s="189"/>
      <c r="BL49" s="90"/>
      <c r="BM49" s="90"/>
      <c r="BN49" s="183">
        <f t="shared" si="29"/>
        <v>0</v>
      </c>
      <c r="BO49" s="189"/>
      <c r="BP49" s="90"/>
      <c r="BQ49" s="90"/>
      <c r="BR49" s="183">
        <f t="shared" si="30"/>
        <v>0</v>
      </c>
      <c r="BS49" s="189"/>
      <c r="BT49" s="90"/>
      <c r="BU49" s="90"/>
      <c r="BV49" s="183">
        <f t="shared" si="31"/>
        <v>0</v>
      </c>
      <c r="BW49" s="189"/>
      <c r="BX49" s="90"/>
      <c r="BY49" s="90"/>
      <c r="BZ49" s="183">
        <f t="shared" si="32"/>
        <v>0</v>
      </c>
      <c r="CA49" s="189"/>
      <c r="CB49" s="90"/>
      <c r="CC49" s="90"/>
      <c r="CD49" s="183">
        <f t="shared" si="33"/>
        <v>0</v>
      </c>
    </row>
    <row r="50" spans="2:82" x14ac:dyDescent="0.3">
      <c r="B50" s="52" t="s">
        <v>693</v>
      </c>
      <c r="C50" s="52" t="str">
        <f t="shared" si="0"/>
        <v>CPU_Recomposiçãocerca</v>
      </c>
      <c r="D50" s="277">
        <f t="shared" si="1"/>
        <v>125</v>
      </c>
      <c r="E50" s="277">
        <f t="shared" si="2"/>
        <v>55500</v>
      </c>
      <c r="F50" s="37"/>
      <c r="G50" s="38"/>
      <c r="H50" s="38"/>
      <c r="I50" s="37"/>
      <c r="J50" s="40">
        <f>IFERROR(K50/$B$6,0)</f>
        <v>8.3293750000000006</v>
      </c>
      <c r="K50" s="40">
        <f>SUM(K51:K62)</f>
        <v>1041.171875</v>
      </c>
      <c r="M50" s="84" t="str">
        <f>"Consumo por "&amp;J3</f>
        <v>Consumo por M</v>
      </c>
      <c r="N50" s="89"/>
      <c r="O50" t="s">
        <v>759</v>
      </c>
      <c r="AD50" s="144" t="str">
        <f t="shared" si="3"/>
        <v>Recomposição cerca</v>
      </c>
      <c r="AE50" s="190"/>
      <c r="AF50" s="191"/>
      <c r="AG50" s="40">
        <f>IFERROR(AH50/AF$3,0)</f>
        <v>0</v>
      </c>
      <c r="AH50" s="185">
        <f>SUM(AH51:AH62)</f>
        <v>0</v>
      </c>
      <c r="AI50" s="190"/>
      <c r="AJ50" s="37"/>
      <c r="AK50" s="40">
        <f>IFERROR(AL50/AJ$3,0)</f>
        <v>0</v>
      </c>
      <c r="AL50" s="185">
        <f>SUM(AL51:AL62)</f>
        <v>0</v>
      </c>
      <c r="AM50" s="190"/>
      <c r="AN50" s="37"/>
      <c r="AO50" s="40">
        <f>IFERROR(AP50/AN$3,0)</f>
        <v>0</v>
      </c>
      <c r="AP50" s="185">
        <f>SUM(AP51:AP62)</f>
        <v>0</v>
      </c>
      <c r="AQ50" s="190"/>
      <c r="AR50" s="37"/>
      <c r="AS50" s="40">
        <f>IFERROR(AT50/AR$3,0)</f>
        <v>0</v>
      </c>
      <c r="AT50" s="185">
        <f>SUM(AT51:AT62)</f>
        <v>0</v>
      </c>
      <c r="AU50" s="190"/>
      <c r="AV50" s="37"/>
      <c r="AW50" s="40">
        <f>IFERROR(AX50/AV$3,0)</f>
        <v>0</v>
      </c>
      <c r="AX50" s="185">
        <f>SUM(AX51:AX62)</f>
        <v>0</v>
      </c>
      <c r="AY50" s="190"/>
      <c r="AZ50" s="37"/>
      <c r="BA50" s="40">
        <f>IFERROR(BB50/AZ$3,0)</f>
        <v>0</v>
      </c>
      <c r="BB50" s="185">
        <f>SUM(BB51:BB62)</f>
        <v>0</v>
      </c>
      <c r="BC50" s="190"/>
      <c r="BD50" s="37"/>
      <c r="BE50" s="40">
        <f>IFERROR(BF50/BD$3,0)</f>
        <v>0</v>
      </c>
      <c r="BF50" s="185">
        <f>SUM(BF51:BF62)</f>
        <v>0</v>
      </c>
      <c r="BG50" s="190"/>
      <c r="BH50" s="37"/>
      <c r="BI50" s="40">
        <f>IFERROR(BJ50/BH$3,0)</f>
        <v>0</v>
      </c>
      <c r="BJ50" s="185">
        <f>SUM(BJ51:BJ62)</f>
        <v>0</v>
      </c>
      <c r="BK50" s="190"/>
      <c r="BL50" s="37"/>
      <c r="BM50" s="40">
        <f>IFERROR(BN50/BL$3,0)</f>
        <v>0</v>
      </c>
      <c r="BN50" s="185">
        <f>SUM(BN51:BN62)</f>
        <v>0</v>
      </c>
      <c r="BO50" s="190"/>
      <c r="BP50" s="37"/>
      <c r="BQ50" s="40">
        <f>IFERROR(BR50/BP$3,0)</f>
        <v>0</v>
      </c>
      <c r="BR50" s="185">
        <f>SUM(BR51:BR62)</f>
        <v>0</v>
      </c>
      <c r="BS50" s="190"/>
      <c r="BT50" s="37"/>
      <c r="BU50" s="40">
        <f>IFERROR(BV50/BT$3,0)</f>
        <v>0</v>
      </c>
      <c r="BV50" s="185">
        <f>SUM(BV51:BV62)</f>
        <v>0</v>
      </c>
      <c r="BW50" s="190"/>
      <c r="BX50" s="37"/>
      <c r="BY50" s="40">
        <f>IFERROR(BZ50/BX$3,0)</f>
        <v>0</v>
      </c>
      <c r="BZ50" s="185">
        <f>SUM(BZ51:BZ62)</f>
        <v>0</v>
      </c>
      <c r="CA50" s="190"/>
      <c r="CB50" s="37"/>
      <c r="CC50" s="40">
        <f>IFERROR(CD50/CB$3,0)</f>
        <v>0</v>
      </c>
      <c r="CD50" s="185">
        <f>SUM(CD51:CD62)</f>
        <v>0</v>
      </c>
    </row>
    <row r="51" spans="2:82" x14ac:dyDescent="0.3">
      <c r="B51" s="53"/>
      <c r="C51" s="53" t="str">
        <f t="shared" si="0"/>
        <v>CPU_Recomposiçãocerca</v>
      </c>
      <c r="D51" s="278">
        <f t="shared" si="1"/>
        <v>125</v>
      </c>
      <c r="E51" s="278">
        <f t="shared" si="2"/>
        <v>55500</v>
      </c>
      <c r="F51" s="1" t="s">
        <v>760</v>
      </c>
      <c r="G51" s="28" t="str">
        <f>IFERROR(VLOOKUP(F51,Tabela7[[RECURSO]:[CUSTO]],2,FALSE),"")</f>
        <v>unid</v>
      </c>
      <c r="I51" s="90">
        <f>IFERROR(M51*$B$6,0)</f>
        <v>25</v>
      </c>
      <c r="J51" s="45">
        <f>IFERROR(VLOOKUP(F51,Tabela7[[RECURSO]:[CUSTO]],3,FALSE),0)</f>
        <v>37.9</v>
      </c>
      <c r="K51" s="45">
        <f>I51*J51</f>
        <v>947.5</v>
      </c>
      <c r="M51" s="85">
        <f>CPU_Cerca!M51*CPU_Recomposiçãocerca!O51</f>
        <v>0.2</v>
      </c>
      <c r="N51" s="88"/>
      <c r="O51" s="380">
        <v>0.5</v>
      </c>
      <c r="AD51" s="144" t="str">
        <f t="shared" si="3"/>
        <v>Recomposição cerca</v>
      </c>
      <c r="AE51" s="192"/>
      <c r="AF51" s="180">
        <f t="shared" ref="AF51:AF62" si="38">AJ51+AN51+AR51+AV51+AZ51+BD51+BH51+BL51+BP51+BT51+BX51+CB51</f>
        <v>0</v>
      </c>
      <c r="AG51" s="180">
        <f t="shared" si="17"/>
        <v>0</v>
      </c>
      <c r="AH51" s="181">
        <f t="shared" ref="AH51:AH62" si="39">AL51+AP51+AT51+AX51+BB51+BF51+BJ51+BN51+BR51+BV51+BZ51+CD51</f>
        <v>0</v>
      </c>
      <c r="AI51" s="193"/>
      <c r="AJ51" s="90"/>
      <c r="AK51" s="90"/>
      <c r="AL51" s="183">
        <f t="shared" ref="AL51:AL62" si="40">AJ51*AK51</f>
        <v>0</v>
      </c>
      <c r="AM51" s="193"/>
      <c r="AN51" s="90"/>
      <c r="AO51" s="90"/>
      <c r="AP51" s="183">
        <f t="shared" si="23"/>
        <v>0</v>
      </c>
      <c r="AQ51" s="193"/>
      <c r="AR51" s="90"/>
      <c r="AS51" s="90"/>
      <c r="AT51" s="183">
        <f t="shared" si="24"/>
        <v>0</v>
      </c>
      <c r="AU51" s="193"/>
      <c r="AV51" s="90"/>
      <c r="AW51" s="90"/>
      <c r="AX51" s="183">
        <f t="shared" si="25"/>
        <v>0</v>
      </c>
      <c r="AY51" s="193"/>
      <c r="AZ51" s="90"/>
      <c r="BA51" s="90"/>
      <c r="BB51" s="183">
        <f t="shared" si="26"/>
        <v>0</v>
      </c>
      <c r="BC51" s="193"/>
      <c r="BD51" s="90"/>
      <c r="BE51" s="90"/>
      <c r="BF51" s="183">
        <f t="shared" si="27"/>
        <v>0</v>
      </c>
      <c r="BG51" s="193"/>
      <c r="BH51" s="90"/>
      <c r="BI51" s="90"/>
      <c r="BJ51" s="183">
        <f t="shared" si="28"/>
        <v>0</v>
      </c>
      <c r="BK51" s="193"/>
      <c r="BL51" s="90"/>
      <c r="BM51" s="90"/>
      <c r="BN51" s="183">
        <f t="shared" si="29"/>
        <v>0</v>
      </c>
      <c r="BO51" s="193"/>
      <c r="BP51" s="90"/>
      <c r="BQ51" s="90"/>
      <c r="BR51" s="183">
        <f t="shared" si="30"/>
        <v>0</v>
      </c>
      <c r="BS51" s="193"/>
      <c r="BT51" s="90"/>
      <c r="BU51" s="90"/>
      <c r="BV51" s="183">
        <f t="shared" si="31"/>
        <v>0</v>
      </c>
      <c r="BW51" s="193"/>
      <c r="BX51" s="90"/>
      <c r="BY51" s="90"/>
      <c r="BZ51" s="183">
        <f t="shared" si="32"/>
        <v>0</v>
      </c>
      <c r="CA51" s="193"/>
      <c r="CB51" s="90"/>
      <c r="CC51" s="90"/>
      <c r="CD51" s="183">
        <f t="shared" si="33"/>
        <v>0</v>
      </c>
    </row>
    <row r="52" spans="2:82" x14ac:dyDescent="0.3">
      <c r="B52" s="53"/>
      <c r="C52" s="53" t="str">
        <f t="shared" si="0"/>
        <v>CPU_Recomposiçãocerca</v>
      </c>
      <c r="D52" s="278">
        <f t="shared" si="1"/>
        <v>125</v>
      </c>
      <c r="E52" s="278">
        <f t="shared" si="2"/>
        <v>55500</v>
      </c>
      <c r="F52" s="1" t="s">
        <v>761</v>
      </c>
      <c r="G52" s="28" t="str">
        <f>IFERROR(VLOOKUP(F52,Tabela7[[RECURSO]:[CUSTO]],2,FALSE),"")</f>
        <v>unid</v>
      </c>
      <c r="I52" s="90">
        <f t="shared" ref="I52:I62" si="41">IFERROR(M52*$B$6,0)</f>
        <v>0.78125</v>
      </c>
      <c r="J52" s="45">
        <f>IFERROR(VLOOKUP(F52,Tabela7[[RECURSO]:[CUSTO]],3,FALSE),0)</f>
        <v>119.9</v>
      </c>
      <c r="K52" s="45">
        <f t="shared" ref="K52:K62" si="42">I52*J52</f>
        <v>93.671875</v>
      </c>
      <c r="M52" s="85">
        <f>CPU_Cerca!M52*CPU_Recomposiçãocerca!O52</f>
        <v>6.2500000000000003E-3</v>
      </c>
      <c r="N52" s="88"/>
      <c r="O52" s="380">
        <v>0.5</v>
      </c>
      <c r="AD52" s="144" t="str">
        <f t="shared" si="3"/>
        <v>Recomposição cerca</v>
      </c>
      <c r="AE52" s="192"/>
      <c r="AF52" s="180">
        <f t="shared" si="38"/>
        <v>0</v>
      </c>
      <c r="AG52" s="180">
        <f t="shared" si="17"/>
        <v>0</v>
      </c>
      <c r="AH52" s="181">
        <f t="shared" si="39"/>
        <v>0</v>
      </c>
      <c r="AI52" s="193"/>
      <c r="AJ52" s="90"/>
      <c r="AK52" s="90"/>
      <c r="AL52" s="183">
        <f t="shared" si="40"/>
        <v>0</v>
      </c>
      <c r="AM52" s="193"/>
      <c r="AN52" s="90"/>
      <c r="AO52" s="90"/>
      <c r="AP52" s="183">
        <f t="shared" si="23"/>
        <v>0</v>
      </c>
      <c r="AQ52" s="193"/>
      <c r="AR52" s="90"/>
      <c r="AS52" s="90"/>
      <c r="AT52" s="183">
        <f t="shared" si="24"/>
        <v>0</v>
      </c>
      <c r="AU52" s="193"/>
      <c r="AV52" s="90"/>
      <c r="AW52" s="90"/>
      <c r="AX52" s="183">
        <f t="shared" si="25"/>
        <v>0</v>
      </c>
      <c r="AY52" s="193"/>
      <c r="AZ52" s="90"/>
      <c r="BA52" s="90"/>
      <c r="BB52" s="183">
        <f t="shared" si="26"/>
        <v>0</v>
      </c>
      <c r="BC52" s="193"/>
      <c r="BD52" s="90"/>
      <c r="BE52" s="90"/>
      <c r="BF52" s="183">
        <f t="shared" si="27"/>
        <v>0</v>
      </c>
      <c r="BG52" s="193"/>
      <c r="BH52" s="90"/>
      <c r="BI52" s="90"/>
      <c r="BJ52" s="183">
        <f t="shared" si="28"/>
        <v>0</v>
      </c>
      <c r="BK52" s="193"/>
      <c r="BL52" s="90"/>
      <c r="BM52" s="90"/>
      <c r="BN52" s="183">
        <f t="shared" si="29"/>
        <v>0</v>
      </c>
      <c r="BO52" s="193"/>
      <c r="BP52" s="90"/>
      <c r="BQ52" s="90"/>
      <c r="BR52" s="183">
        <f t="shared" si="30"/>
        <v>0</v>
      </c>
      <c r="BS52" s="193"/>
      <c r="BT52" s="90"/>
      <c r="BU52" s="90"/>
      <c r="BV52" s="183">
        <f t="shared" si="31"/>
        <v>0</v>
      </c>
      <c r="BW52" s="193"/>
      <c r="BX52" s="90"/>
      <c r="BY52" s="90"/>
      <c r="BZ52" s="183">
        <f t="shared" si="32"/>
        <v>0</v>
      </c>
      <c r="CA52" s="193"/>
      <c r="CB52" s="90"/>
      <c r="CC52" s="90"/>
      <c r="CD52" s="183">
        <f t="shared" si="33"/>
        <v>0</v>
      </c>
    </row>
    <row r="53" spans="2:82" x14ac:dyDescent="0.3">
      <c r="B53" s="53"/>
      <c r="C53" s="53" t="str">
        <f t="shared" si="0"/>
        <v>CPU_Recomposiçãocerca</v>
      </c>
      <c r="D53" s="278">
        <f t="shared" si="1"/>
        <v>125</v>
      </c>
      <c r="E53" s="278">
        <f t="shared" si="2"/>
        <v>55500</v>
      </c>
      <c r="F53" s="1" t="s">
        <v>762</v>
      </c>
      <c r="G53" s="28" t="str">
        <f>IFERROR(VLOOKUP(F53,Tabela7[[RECURSO]:[CUSTO]],2,FALSE),"")</f>
        <v>m</v>
      </c>
      <c r="I53" s="90">
        <f t="shared" si="41"/>
        <v>0</v>
      </c>
      <c r="J53" s="45">
        <f>IFERROR(VLOOKUP(F53,Tabela7[[RECURSO]:[CUSTO]],3,FALSE),0)</f>
        <v>0.55000000000000004</v>
      </c>
      <c r="K53" s="45">
        <f t="shared" si="42"/>
        <v>0</v>
      </c>
      <c r="M53" s="85">
        <f>CPU_Cerca!M53*CPU_Recomposiçãocerca!O53</f>
        <v>0</v>
      </c>
      <c r="N53" s="88"/>
      <c r="O53" s="380">
        <v>0.5</v>
      </c>
      <c r="AD53" s="144" t="str">
        <f t="shared" si="3"/>
        <v>Recomposição cerca</v>
      </c>
      <c r="AE53" s="192"/>
      <c r="AF53" s="180">
        <f t="shared" si="38"/>
        <v>0</v>
      </c>
      <c r="AG53" s="180">
        <f t="shared" si="17"/>
        <v>0</v>
      </c>
      <c r="AH53" s="181">
        <f t="shared" si="39"/>
        <v>0</v>
      </c>
      <c r="AI53" s="193"/>
      <c r="AJ53" s="90"/>
      <c r="AK53" s="90"/>
      <c r="AL53" s="183">
        <f t="shared" si="40"/>
        <v>0</v>
      </c>
      <c r="AM53" s="193"/>
      <c r="AN53" s="90"/>
      <c r="AO53" s="90"/>
      <c r="AP53" s="183">
        <f t="shared" si="23"/>
        <v>0</v>
      </c>
      <c r="AQ53" s="193"/>
      <c r="AR53" s="90"/>
      <c r="AS53" s="90"/>
      <c r="AT53" s="183">
        <f t="shared" si="24"/>
        <v>0</v>
      </c>
      <c r="AU53" s="193"/>
      <c r="AV53" s="90"/>
      <c r="AW53" s="90"/>
      <c r="AX53" s="183">
        <f t="shared" si="25"/>
        <v>0</v>
      </c>
      <c r="AY53" s="193"/>
      <c r="AZ53" s="90"/>
      <c r="BA53" s="90"/>
      <c r="BB53" s="183">
        <f t="shared" si="26"/>
        <v>0</v>
      </c>
      <c r="BC53" s="193"/>
      <c r="BD53" s="90"/>
      <c r="BE53" s="90"/>
      <c r="BF53" s="183">
        <f t="shared" si="27"/>
        <v>0</v>
      </c>
      <c r="BG53" s="193"/>
      <c r="BH53" s="90"/>
      <c r="BI53" s="90"/>
      <c r="BJ53" s="183">
        <f t="shared" si="28"/>
        <v>0</v>
      </c>
      <c r="BK53" s="193"/>
      <c r="BL53" s="90"/>
      <c r="BM53" s="90"/>
      <c r="BN53" s="183">
        <f t="shared" si="29"/>
        <v>0</v>
      </c>
      <c r="BO53" s="193"/>
      <c r="BP53" s="90"/>
      <c r="BQ53" s="90"/>
      <c r="BR53" s="183">
        <f t="shared" si="30"/>
        <v>0</v>
      </c>
      <c r="BS53" s="193"/>
      <c r="BT53" s="90"/>
      <c r="BU53" s="90"/>
      <c r="BV53" s="183">
        <f t="shared" si="31"/>
        <v>0</v>
      </c>
      <c r="BW53" s="193"/>
      <c r="BX53" s="90"/>
      <c r="BY53" s="90"/>
      <c r="BZ53" s="183">
        <f t="shared" si="32"/>
        <v>0</v>
      </c>
      <c r="CA53" s="193"/>
      <c r="CB53" s="90"/>
      <c r="CC53" s="90"/>
      <c r="CD53" s="183">
        <f t="shared" si="33"/>
        <v>0</v>
      </c>
    </row>
    <row r="54" spans="2:82" x14ac:dyDescent="0.3">
      <c r="B54" s="53"/>
      <c r="C54" s="53" t="str">
        <f t="shared" si="0"/>
        <v>CPU_Recomposiçãocerca</v>
      </c>
      <c r="D54" s="278">
        <f t="shared" si="1"/>
        <v>125</v>
      </c>
      <c r="E54" s="278">
        <f t="shared" si="2"/>
        <v>55500</v>
      </c>
      <c r="F54" s="1"/>
      <c r="G54" s="28" t="str">
        <f>IFERROR(VLOOKUP(F54,Tabela7[[RECURSO]:[CUSTO]],2,FALSE),"")</f>
        <v/>
      </c>
      <c r="I54" s="90">
        <f t="shared" si="41"/>
        <v>0</v>
      </c>
      <c r="J54" s="45">
        <f>IFERROR(VLOOKUP(F54,Tabela7[[RECURSO]:[CUSTO]],3,FALSE),0)</f>
        <v>0</v>
      </c>
      <c r="K54" s="45">
        <f>I54*J54</f>
        <v>0</v>
      </c>
      <c r="M54" s="85"/>
      <c r="N54" s="88"/>
      <c r="AD54" s="144" t="str">
        <f>$B$3</f>
        <v>Recomposição cerca</v>
      </c>
      <c r="AE54" s="192"/>
      <c r="AF54" s="180">
        <f t="shared" si="38"/>
        <v>0</v>
      </c>
      <c r="AG54" s="180">
        <f t="shared" si="17"/>
        <v>0</v>
      </c>
      <c r="AH54" s="181">
        <f t="shared" si="39"/>
        <v>0</v>
      </c>
      <c r="AI54" s="193"/>
      <c r="AJ54" s="90"/>
      <c r="AK54" s="90"/>
      <c r="AL54" s="183">
        <f t="shared" si="40"/>
        <v>0</v>
      </c>
      <c r="AM54" s="193"/>
      <c r="AN54" s="90"/>
      <c r="AO54" s="90"/>
      <c r="AP54" s="183">
        <f t="shared" si="23"/>
        <v>0</v>
      </c>
      <c r="AQ54" s="193"/>
      <c r="AR54" s="90"/>
      <c r="AS54" s="90"/>
      <c r="AT54" s="183">
        <f t="shared" si="24"/>
        <v>0</v>
      </c>
      <c r="AU54" s="193"/>
      <c r="AV54" s="90"/>
      <c r="AW54" s="90"/>
      <c r="AX54" s="183">
        <f t="shared" si="25"/>
        <v>0</v>
      </c>
      <c r="AY54" s="193"/>
      <c r="AZ54" s="90"/>
      <c r="BA54" s="90"/>
      <c r="BB54" s="183">
        <f t="shared" si="26"/>
        <v>0</v>
      </c>
      <c r="BC54" s="193"/>
      <c r="BD54" s="90"/>
      <c r="BE54" s="90"/>
      <c r="BF54" s="183">
        <f t="shared" si="27"/>
        <v>0</v>
      </c>
      <c r="BG54" s="193"/>
      <c r="BH54" s="90"/>
      <c r="BI54" s="90"/>
      <c r="BJ54" s="183">
        <f t="shared" si="28"/>
        <v>0</v>
      </c>
      <c r="BK54" s="193"/>
      <c r="BL54" s="90"/>
      <c r="BM54" s="90"/>
      <c r="BN54" s="183">
        <f t="shared" si="29"/>
        <v>0</v>
      </c>
      <c r="BO54" s="193"/>
      <c r="BP54" s="90"/>
      <c r="BQ54" s="90"/>
      <c r="BR54" s="183">
        <f t="shared" si="30"/>
        <v>0</v>
      </c>
      <c r="BS54" s="193"/>
      <c r="BT54" s="90"/>
      <c r="BU54" s="90"/>
      <c r="BV54" s="183">
        <f t="shared" si="31"/>
        <v>0</v>
      </c>
      <c r="BW54" s="193"/>
      <c r="BX54" s="90"/>
      <c r="BY54" s="90"/>
      <c r="BZ54" s="183">
        <f t="shared" si="32"/>
        <v>0</v>
      </c>
      <c r="CA54" s="193"/>
      <c r="CB54" s="90"/>
      <c r="CC54" s="90"/>
      <c r="CD54" s="183">
        <f t="shared" si="33"/>
        <v>0</v>
      </c>
    </row>
    <row r="55" spans="2:82" x14ac:dyDescent="0.3">
      <c r="B55" s="53"/>
      <c r="C55" s="53" t="str">
        <f t="shared" si="0"/>
        <v>CPU_Recomposiçãocerca</v>
      </c>
      <c r="D55" s="278">
        <f t="shared" si="1"/>
        <v>125</v>
      </c>
      <c r="E55" s="278">
        <f t="shared" si="2"/>
        <v>55500</v>
      </c>
      <c r="F55" s="1"/>
      <c r="G55" s="28" t="str">
        <f>IFERROR(VLOOKUP(F55,Tabela7[[RECURSO]:[CUSTO]],2,FALSE),"")</f>
        <v/>
      </c>
      <c r="I55" s="90">
        <f t="shared" si="41"/>
        <v>0</v>
      </c>
      <c r="J55" s="45">
        <f>IFERROR(VLOOKUP(F55,Tabela7[[RECURSO]:[CUSTO]],3,FALSE),0)</f>
        <v>0</v>
      </c>
      <c r="K55" s="45">
        <f t="shared" si="42"/>
        <v>0</v>
      </c>
      <c r="M55" s="85"/>
      <c r="N55" s="88"/>
      <c r="AD55" s="144" t="str">
        <f t="shared" si="3"/>
        <v>Recomposição cerca</v>
      </c>
      <c r="AE55" s="192"/>
      <c r="AF55" s="180">
        <f t="shared" si="38"/>
        <v>0</v>
      </c>
      <c r="AG55" s="180">
        <f t="shared" si="17"/>
        <v>0</v>
      </c>
      <c r="AH55" s="181">
        <f t="shared" si="39"/>
        <v>0</v>
      </c>
      <c r="AI55" s="193"/>
      <c r="AJ55" s="90"/>
      <c r="AK55" s="90"/>
      <c r="AL55" s="183">
        <f t="shared" si="40"/>
        <v>0</v>
      </c>
      <c r="AM55" s="193"/>
      <c r="AN55" s="90"/>
      <c r="AO55" s="90"/>
      <c r="AP55" s="183">
        <f t="shared" si="23"/>
        <v>0</v>
      </c>
      <c r="AQ55" s="193"/>
      <c r="AR55" s="90"/>
      <c r="AS55" s="90"/>
      <c r="AT55" s="183">
        <f t="shared" si="24"/>
        <v>0</v>
      </c>
      <c r="AU55" s="193"/>
      <c r="AV55" s="90"/>
      <c r="AW55" s="90"/>
      <c r="AX55" s="183">
        <f t="shared" si="25"/>
        <v>0</v>
      </c>
      <c r="AY55" s="193"/>
      <c r="AZ55" s="90"/>
      <c r="BA55" s="90"/>
      <c r="BB55" s="183">
        <f t="shared" si="26"/>
        <v>0</v>
      </c>
      <c r="BC55" s="193"/>
      <c r="BD55" s="90"/>
      <c r="BE55" s="90"/>
      <c r="BF55" s="183">
        <f t="shared" si="27"/>
        <v>0</v>
      </c>
      <c r="BG55" s="193"/>
      <c r="BH55" s="90"/>
      <c r="BI55" s="90"/>
      <c r="BJ55" s="183">
        <f t="shared" si="28"/>
        <v>0</v>
      </c>
      <c r="BK55" s="193"/>
      <c r="BL55" s="90"/>
      <c r="BM55" s="90"/>
      <c r="BN55" s="183">
        <f t="shared" si="29"/>
        <v>0</v>
      </c>
      <c r="BO55" s="193"/>
      <c r="BP55" s="90"/>
      <c r="BQ55" s="90"/>
      <c r="BR55" s="183">
        <f t="shared" si="30"/>
        <v>0</v>
      </c>
      <c r="BS55" s="193"/>
      <c r="BT55" s="90"/>
      <c r="BU55" s="90"/>
      <c r="BV55" s="183">
        <f t="shared" si="31"/>
        <v>0</v>
      </c>
      <c r="BW55" s="193"/>
      <c r="BX55" s="90"/>
      <c r="BY55" s="90"/>
      <c r="BZ55" s="183">
        <f t="shared" si="32"/>
        <v>0</v>
      </c>
      <c r="CA55" s="193"/>
      <c r="CB55" s="90"/>
      <c r="CC55" s="90"/>
      <c r="CD55" s="183">
        <f t="shared" si="33"/>
        <v>0</v>
      </c>
    </row>
    <row r="56" spans="2:82" x14ac:dyDescent="0.3">
      <c r="B56" s="53"/>
      <c r="C56" s="53" t="str">
        <f t="shared" si="0"/>
        <v>CPU_Recomposiçãocerca</v>
      </c>
      <c r="D56" s="278">
        <f t="shared" si="1"/>
        <v>125</v>
      </c>
      <c r="E56" s="278">
        <f t="shared" si="2"/>
        <v>55500</v>
      </c>
      <c r="F56" s="1"/>
      <c r="G56" s="28" t="str">
        <f>IFERROR(VLOOKUP(F56,Tabela7[[RECURSO]:[CUSTO]],2,FALSE),"")</f>
        <v/>
      </c>
      <c r="I56" s="90">
        <f t="shared" si="41"/>
        <v>0</v>
      </c>
      <c r="J56" s="45">
        <f>IFERROR(VLOOKUP(F56,Tabela7[[RECURSO]:[CUSTO]],3,FALSE),0)</f>
        <v>0</v>
      </c>
      <c r="K56" s="45">
        <f t="shared" si="42"/>
        <v>0</v>
      </c>
      <c r="M56" s="85"/>
      <c r="N56" s="88"/>
      <c r="AD56" s="144" t="str">
        <f t="shared" si="3"/>
        <v>Recomposição cerca</v>
      </c>
      <c r="AE56" s="192"/>
      <c r="AF56" s="180">
        <f t="shared" si="38"/>
        <v>0</v>
      </c>
      <c r="AG56" s="180">
        <f t="shared" si="17"/>
        <v>0</v>
      </c>
      <c r="AH56" s="181">
        <f t="shared" si="39"/>
        <v>0</v>
      </c>
      <c r="AI56" s="193"/>
      <c r="AJ56" s="90"/>
      <c r="AK56" s="90"/>
      <c r="AL56" s="183">
        <f t="shared" si="40"/>
        <v>0</v>
      </c>
      <c r="AM56" s="193"/>
      <c r="AN56" s="90"/>
      <c r="AO56" s="90"/>
      <c r="AP56" s="183">
        <f t="shared" si="23"/>
        <v>0</v>
      </c>
      <c r="AQ56" s="193"/>
      <c r="AR56" s="90"/>
      <c r="AS56" s="90"/>
      <c r="AT56" s="183">
        <f t="shared" si="24"/>
        <v>0</v>
      </c>
      <c r="AU56" s="193"/>
      <c r="AV56" s="90"/>
      <c r="AW56" s="90"/>
      <c r="AX56" s="183">
        <f t="shared" si="25"/>
        <v>0</v>
      </c>
      <c r="AY56" s="193"/>
      <c r="AZ56" s="90"/>
      <c r="BA56" s="90"/>
      <c r="BB56" s="183">
        <f t="shared" si="26"/>
        <v>0</v>
      </c>
      <c r="BC56" s="193"/>
      <c r="BD56" s="90"/>
      <c r="BE56" s="90"/>
      <c r="BF56" s="183">
        <f t="shared" si="27"/>
        <v>0</v>
      </c>
      <c r="BG56" s="193"/>
      <c r="BH56" s="90"/>
      <c r="BI56" s="90"/>
      <c r="BJ56" s="183">
        <f t="shared" si="28"/>
        <v>0</v>
      </c>
      <c r="BK56" s="193"/>
      <c r="BL56" s="90"/>
      <c r="BM56" s="90"/>
      <c r="BN56" s="183">
        <f t="shared" si="29"/>
        <v>0</v>
      </c>
      <c r="BO56" s="193"/>
      <c r="BP56" s="90"/>
      <c r="BQ56" s="90"/>
      <c r="BR56" s="183">
        <f t="shared" si="30"/>
        <v>0</v>
      </c>
      <c r="BS56" s="193"/>
      <c r="BT56" s="90"/>
      <c r="BU56" s="90"/>
      <c r="BV56" s="183">
        <f t="shared" si="31"/>
        <v>0</v>
      </c>
      <c r="BW56" s="193"/>
      <c r="BX56" s="90"/>
      <c r="BY56" s="90"/>
      <c r="BZ56" s="183">
        <f t="shared" si="32"/>
        <v>0</v>
      </c>
      <c r="CA56" s="193"/>
      <c r="CB56" s="90"/>
      <c r="CC56" s="90"/>
      <c r="CD56" s="183">
        <f t="shared" si="33"/>
        <v>0</v>
      </c>
    </row>
    <row r="57" spans="2:82" x14ac:dyDescent="0.3">
      <c r="B57" s="53"/>
      <c r="C57" s="53" t="str">
        <f t="shared" si="0"/>
        <v>CPU_Recomposiçãocerca</v>
      </c>
      <c r="D57" s="278">
        <f t="shared" si="1"/>
        <v>125</v>
      </c>
      <c r="E57" s="278">
        <f t="shared" si="2"/>
        <v>55500</v>
      </c>
      <c r="F57" s="1"/>
      <c r="G57" s="28" t="str">
        <f>IFERROR(VLOOKUP(F57,Tabela7[[RECURSO]:[CUSTO]],2,FALSE),"")</f>
        <v/>
      </c>
      <c r="I57" s="90">
        <f t="shared" si="41"/>
        <v>0</v>
      </c>
      <c r="J57" s="45">
        <f>IFERROR(VLOOKUP(F57,Tabela7[[RECURSO]:[CUSTO]],3,FALSE),0)</f>
        <v>0</v>
      </c>
      <c r="K57" s="45">
        <f t="shared" si="42"/>
        <v>0</v>
      </c>
      <c r="M57" s="85"/>
      <c r="N57" s="88"/>
      <c r="AD57" s="144" t="str">
        <f t="shared" si="3"/>
        <v>Recomposição cerca</v>
      </c>
      <c r="AE57" s="192"/>
      <c r="AF57" s="180">
        <f t="shared" si="38"/>
        <v>0</v>
      </c>
      <c r="AG57" s="180">
        <f t="shared" si="17"/>
        <v>0</v>
      </c>
      <c r="AH57" s="181">
        <f t="shared" si="39"/>
        <v>0</v>
      </c>
      <c r="AI57" s="193"/>
      <c r="AJ57" s="90"/>
      <c r="AK57" s="90"/>
      <c r="AL57" s="183">
        <f t="shared" si="40"/>
        <v>0</v>
      </c>
      <c r="AM57" s="193"/>
      <c r="AN57" s="90"/>
      <c r="AO57" s="90"/>
      <c r="AP57" s="183">
        <f t="shared" si="23"/>
        <v>0</v>
      </c>
      <c r="AQ57" s="193"/>
      <c r="AR57" s="90"/>
      <c r="AS57" s="90"/>
      <c r="AT57" s="183">
        <f t="shared" si="24"/>
        <v>0</v>
      </c>
      <c r="AU57" s="193"/>
      <c r="AV57" s="90"/>
      <c r="AW57" s="90"/>
      <c r="AX57" s="183">
        <f t="shared" si="25"/>
        <v>0</v>
      </c>
      <c r="AY57" s="193"/>
      <c r="AZ57" s="90"/>
      <c r="BA57" s="90"/>
      <c r="BB57" s="183">
        <f t="shared" si="26"/>
        <v>0</v>
      </c>
      <c r="BC57" s="193"/>
      <c r="BD57" s="90"/>
      <c r="BE57" s="90"/>
      <c r="BF57" s="183">
        <f t="shared" si="27"/>
        <v>0</v>
      </c>
      <c r="BG57" s="193"/>
      <c r="BH57" s="90"/>
      <c r="BI57" s="90"/>
      <c r="BJ57" s="183">
        <f t="shared" si="28"/>
        <v>0</v>
      </c>
      <c r="BK57" s="193"/>
      <c r="BL57" s="90"/>
      <c r="BM57" s="90"/>
      <c r="BN57" s="183">
        <f t="shared" si="29"/>
        <v>0</v>
      </c>
      <c r="BO57" s="193"/>
      <c r="BP57" s="90"/>
      <c r="BQ57" s="90"/>
      <c r="BR57" s="183">
        <f t="shared" si="30"/>
        <v>0</v>
      </c>
      <c r="BS57" s="193"/>
      <c r="BT57" s="90"/>
      <c r="BU57" s="90"/>
      <c r="BV57" s="183">
        <f t="shared" si="31"/>
        <v>0</v>
      </c>
      <c r="BW57" s="193"/>
      <c r="BX57" s="90"/>
      <c r="BY57" s="90"/>
      <c r="BZ57" s="183">
        <f t="shared" si="32"/>
        <v>0</v>
      </c>
      <c r="CA57" s="193"/>
      <c r="CB57" s="90"/>
      <c r="CC57" s="90"/>
      <c r="CD57" s="183">
        <f t="shared" si="33"/>
        <v>0</v>
      </c>
    </row>
    <row r="58" spans="2:82" x14ac:dyDescent="0.3">
      <c r="B58" s="53"/>
      <c r="C58" s="53" t="str">
        <f t="shared" si="0"/>
        <v>CPU_Recomposiçãocerca</v>
      </c>
      <c r="D58" s="278">
        <f t="shared" si="1"/>
        <v>125</v>
      </c>
      <c r="E58" s="278">
        <f t="shared" si="2"/>
        <v>55500</v>
      </c>
      <c r="F58" s="1"/>
      <c r="G58" s="28" t="str">
        <f>IFERROR(VLOOKUP(F58,Tabela7[[RECURSO]:[CUSTO]],2,FALSE),"")</f>
        <v/>
      </c>
      <c r="I58" s="90">
        <f t="shared" si="41"/>
        <v>0</v>
      </c>
      <c r="J58" s="45">
        <f>IFERROR(VLOOKUP(F58,Tabela7[[RECURSO]:[CUSTO]],3,FALSE),0)</f>
        <v>0</v>
      </c>
      <c r="K58" s="45">
        <f t="shared" si="42"/>
        <v>0</v>
      </c>
      <c r="M58" s="85"/>
      <c r="N58" s="88"/>
      <c r="AD58" s="144" t="str">
        <f t="shared" si="3"/>
        <v>Recomposição cerca</v>
      </c>
      <c r="AE58" s="192"/>
      <c r="AF58" s="180">
        <f t="shared" si="38"/>
        <v>0</v>
      </c>
      <c r="AG58" s="180">
        <f t="shared" si="17"/>
        <v>0</v>
      </c>
      <c r="AH58" s="181">
        <f t="shared" si="39"/>
        <v>0</v>
      </c>
      <c r="AI58" s="193"/>
      <c r="AJ58" s="90"/>
      <c r="AK58" s="90"/>
      <c r="AL58" s="183">
        <f t="shared" si="40"/>
        <v>0</v>
      </c>
      <c r="AM58" s="193"/>
      <c r="AN58" s="90"/>
      <c r="AO58" s="90"/>
      <c r="AP58" s="183">
        <f t="shared" si="23"/>
        <v>0</v>
      </c>
      <c r="AQ58" s="193"/>
      <c r="AR58" s="90"/>
      <c r="AS58" s="90"/>
      <c r="AT58" s="183">
        <f t="shared" si="24"/>
        <v>0</v>
      </c>
      <c r="AU58" s="193"/>
      <c r="AV58" s="90"/>
      <c r="AW58" s="90"/>
      <c r="AX58" s="183">
        <f t="shared" si="25"/>
        <v>0</v>
      </c>
      <c r="AY58" s="193"/>
      <c r="AZ58" s="90"/>
      <c r="BA58" s="90"/>
      <c r="BB58" s="183">
        <f t="shared" si="26"/>
        <v>0</v>
      </c>
      <c r="BC58" s="193"/>
      <c r="BD58" s="90"/>
      <c r="BE58" s="90"/>
      <c r="BF58" s="183">
        <f t="shared" si="27"/>
        <v>0</v>
      </c>
      <c r="BG58" s="193"/>
      <c r="BH58" s="90"/>
      <c r="BI58" s="90"/>
      <c r="BJ58" s="183">
        <f t="shared" si="28"/>
        <v>0</v>
      </c>
      <c r="BK58" s="193"/>
      <c r="BL58" s="90"/>
      <c r="BM58" s="90"/>
      <c r="BN58" s="183">
        <f t="shared" si="29"/>
        <v>0</v>
      </c>
      <c r="BO58" s="193"/>
      <c r="BP58" s="90"/>
      <c r="BQ58" s="90"/>
      <c r="BR58" s="183">
        <f t="shared" si="30"/>
        <v>0</v>
      </c>
      <c r="BS58" s="193"/>
      <c r="BT58" s="90"/>
      <c r="BU58" s="90"/>
      <c r="BV58" s="183">
        <f t="shared" si="31"/>
        <v>0</v>
      </c>
      <c r="BW58" s="193"/>
      <c r="BX58" s="90"/>
      <c r="BY58" s="90"/>
      <c r="BZ58" s="183">
        <f t="shared" si="32"/>
        <v>0</v>
      </c>
      <c r="CA58" s="193"/>
      <c r="CB58" s="90"/>
      <c r="CC58" s="90"/>
      <c r="CD58" s="183">
        <f t="shared" si="33"/>
        <v>0</v>
      </c>
    </row>
    <row r="59" spans="2:82" x14ac:dyDescent="0.3">
      <c r="B59" s="53"/>
      <c r="C59" s="53" t="str">
        <f t="shared" si="0"/>
        <v>CPU_Recomposiçãocerca</v>
      </c>
      <c r="D59" s="278">
        <f t="shared" si="1"/>
        <v>125</v>
      </c>
      <c r="E59" s="278">
        <f t="shared" si="2"/>
        <v>55500</v>
      </c>
      <c r="F59" s="1"/>
      <c r="G59" s="28" t="str">
        <f>IFERROR(VLOOKUP(F59,Tabela7[[RECURSO]:[CUSTO]],2,FALSE),"")</f>
        <v/>
      </c>
      <c r="I59" s="90">
        <f t="shared" si="41"/>
        <v>0</v>
      </c>
      <c r="J59" s="45">
        <f>IFERROR(VLOOKUP(F59,Tabela7[[RECURSO]:[CUSTO]],3,FALSE),0)</f>
        <v>0</v>
      </c>
      <c r="K59" s="45">
        <f t="shared" si="42"/>
        <v>0</v>
      </c>
      <c r="M59" s="85"/>
      <c r="N59" s="88"/>
      <c r="AD59" s="144" t="str">
        <f t="shared" si="3"/>
        <v>Recomposição cerca</v>
      </c>
      <c r="AE59" s="192"/>
      <c r="AF59" s="180">
        <f t="shared" si="38"/>
        <v>0</v>
      </c>
      <c r="AG59" s="180">
        <f t="shared" si="17"/>
        <v>0</v>
      </c>
      <c r="AH59" s="181">
        <f t="shared" si="39"/>
        <v>0</v>
      </c>
      <c r="AI59" s="193"/>
      <c r="AJ59" s="90"/>
      <c r="AK59" s="90"/>
      <c r="AL59" s="183">
        <f t="shared" si="40"/>
        <v>0</v>
      </c>
      <c r="AM59" s="193"/>
      <c r="AN59" s="90"/>
      <c r="AO59" s="90"/>
      <c r="AP59" s="183">
        <f t="shared" si="23"/>
        <v>0</v>
      </c>
      <c r="AQ59" s="193"/>
      <c r="AR59" s="90"/>
      <c r="AS59" s="90"/>
      <c r="AT59" s="183">
        <f t="shared" si="24"/>
        <v>0</v>
      </c>
      <c r="AU59" s="193"/>
      <c r="AV59" s="90"/>
      <c r="AW59" s="90"/>
      <c r="AX59" s="183">
        <f t="shared" si="25"/>
        <v>0</v>
      </c>
      <c r="AY59" s="193"/>
      <c r="AZ59" s="90"/>
      <c r="BA59" s="90"/>
      <c r="BB59" s="183">
        <f t="shared" si="26"/>
        <v>0</v>
      </c>
      <c r="BC59" s="193"/>
      <c r="BD59" s="90"/>
      <c r="BE59" s="90"/>
      <c r="BF59" s="183">
        <f t="shared" si="27"/>
        <v>0</v>
      </c>
      <c r="BG59" s="193"/>
      <c r="BH59" s="90"/>
      <c r="BI59" s="90"/>
      <c r="BJ59" s="183">
        <f t="shared" si="28"/>
        <v>0</v>
      </c>
      <c r="BK59" s="193"/>
      <c r="BL59" s="90"/>
      <c r="BM59" s="90"/>
      <c r="BN59" s="183">
        <f t="shared" si="29"/>
        <v>0</v>
      </c>
      <c r="BO59" s="193"/>
      <c r="BP59" s="90"/>
      <c r="BQ59" s="90"/>
      <c r="BR59" s="183">
        <f t="shared" si="30"/>
        <v>0</v>
      </c>
      <c r="BS59" s="193"/>
      <c r="BT59" s="90"/>
      <c r="BU59" s="90"/>
      <c r="BV59" s="183">
        <f t="shared" si="31"/>
        <v>0</v>
      </c>
      <c r="BW59" s="193"/>
      <c r="BX59" s="90"/>
      <c r="BY59" s="90"/>
      <c r="BZ59" s="183">
        <f t="shared" si="32"/>
        <v>0</v>
      </c>
      <c r="CA59" s="193"/>
      <c r="CB59" s="90"/>
      <c r="CC59" s="90"/>
      <c r="CD59" s="183">
        <f t="shared" si="33"/>
        <v>0</v>
      </c>
    </row>
    <row r="60" spans="2:82" x14ac:dyDescent="0.3">
      <c r="B60" s="53"/>
      <c r="C60" s="53" t="str">
        <f t="shared" si="0"/>
        <v>CPU_Recomposiçãocerca</v>
      </c>
      <c r="D60" s="278">
        <f t="shared" si="1"/>
        <v>125</v>
      </c>
      <c r="E60" s="278">
        <f t="shared" si="2"/>
        <v>55500</v>
      </c>
      <c r="F60" s="1"/>
      <c r="G60" s="28" t="str">
        <f>IFERROR(VLOOKUP(F60,Tabela7[[RECURSO]:[CUSTO]],2,FALSE),"")</f>
        <v/>
      </c>
      <c r="I60" s="90">
        <f t="shared" si="41"/>
        <v>0</v>
      </c>
      <c r="J60" s="45">
        <f>IFERROR(VLOOKUP(F60,Tabela7[[RECURSO]:[CUSTO]],3,FALSE),0)</f>
        <v>0</v>
      </c>
      <c r="K60" s="45">
        <f t="shared" si="42"/>
        <v>0</v>
      </c>
      <c r="M60" s="85"/>
      <c r="N60" s="88"/>
      <c r="AD60" s="144" t="str">
        <f t="shared" si="3"/>
        <v>Recomposição cerca</v>
      </c>
      <c r="AE60" s="192"/>
      <c r="AF60" s="180">
        <f t="shared" si="38"/>
        <v>0</v>
      </c>
      <c r="AG60" s="180">
        <f t="shared" si="17"/>
        <v>0</v>
      </c>
      <c r="AH60" s="181">
        <f t="shared" si="39"/>
        <v>0</v>
      </c>
      <c r="AI60" s="193"/>
      <c r="AJ60" s="90"/>
      <c r="AK60" s="90"/>
      <c r="AL60" s="183">
        <f t="shared" si="40"/>
        <v>0</v>
      </c>
      <c r="AM60" s="193"/>
      <c r="AN60" s="90"/>
      <c r="AO60" s="90"/>
      <c r="AP60" s="183">
        <f t="shared" si="23"/>
        <v>0</v>
      </c>
      <c r="AQ60" s="193"/>
      <c r="AR60" s="90"/>
      <c r="AS60" s="90"/>
      <c r="AT60" s="183">
        <f t="shared" si="24"/>
        <v>0</v>
      </c>
      <c r="AU60" s="193"/>
      <c r="AV60" s="90"/>
      <c r="AW60" s="90"/>
      <c r="AX60" s="183">
        <f t="shared" si="25"/>
        <v>0</v>
      </c>
      <c r="AY60" s="193"/>
      <c r="AZ60" s="90"/>
      <c r="BA60" s="90"/>
      <c r="BB60" s="183">
        <f t="shared" si="26"/>
        <v>0</v>
      </c>
      <c r="BC60" s="193"/>
      <c r="BD60" s="90"/>
      <c r="BE60" s="90"/>
      <c r="BF60" s="183">
        <f t="shared" si="27"/>
        <v>0</v>
      </c>
      <c r="BG60" s="193"/>
      <c r="BH60" s="90"/>
      <c r="BI60" s="90"/>
      <c r="BJ60" s="183">
        <f t="shared" si="28"/>
        <v>0</v>
      </c>
      <c r="BK60" s="193"/>
      <c r="BL60" s="90"/>
      <c r="BM60" s="90"/>
      <c r="BN60" s="183">
        <f t="shared" si="29"/>
        <v>0</v>
      </c>
      <c r="BO60" s="193"/>
      <c r="BP60" s="90"/>
      <c r="BQ60" s="90"/>
      <c r="BR60" s="183">
        <f t="shared" si="30"/>
        <v>0</v>
      </c>
      <c r="BS60" s="193"/>
      <c r="BT60" s="90"/>
      <c r="BU60" s="90"/>
      <c r="BV60" s="183">
        <f t="shared" si="31"/>
        <v>0</v>
      </c>
      <c r="BW60" s="193"/>
      <c r="BX60" s="90"/>
      <c r="BY60" s="90"/>
      <c r="BZ60" s="183">
        <f t="shared" si="32"/>
        <v>0</v>
      </c>
      <c r="CA60" s="193"/>
      <c r="CB60" s="90"/>
      <c r="CC60" s="90"/>
      <c r="CD60" s="183">
        <f t="shared" si="33"/>
        <v>0</v>
      </c>
    </row>
    <row r="61" spans="2:82" x14ac:dyDescent="0.3">
      <c r="B61" s="53"/>
      <c r="C61" s="53" t="str">
        <f t="shared" si="0"/>
        <v>CPU_Recomposiçãocerca</v>
      </c>
      <c r="D61" s="278">
        <f t="shared" si="1"/>
        <v>125</v>
      </c>
      <c r="E61" s="278">
        <f t="shared" si="2"/>
        <v>55500</v>
      </c>
      <c r="F61" s="1"/>
      <c r="G61" s="28" t="str">
        <f>IFERROR(VLOOKUP(F61,Tabela7[[RECURSO]:[CUSTO]],2,FALSE),"")</f>
        <v/>
      </c>
      <c r="I61" s="90">
        <f t="shared" si="41"/>
        <v>0</v>
      </c>
      <c r="J61" s="45">
        <f>IFERROR(VLOOKUP(F61,Tabela7[[RECURSO]:[CUSTO]],3,FALSE),0)</f>
        <v>0</v>
      </c>
      <c r="K61" s="45">
        <f t="shared" si="42"/>
        <v>0</v>
      </c>
      <c r="M61" s="85"/>
      <c r="N61" s="88"/>
      <c r="AD61" s="144" t="str">
        <f t="shared" si="3"/>
        <v>Recomposição cerca</v>
      </c>
      <c r="AE61" s="192"/>
      <c r="AF61" s="180">
        <f t="shared" si="38"/>
        <v>0</v>
      </c>
      <c r="AG61" s="180">
        <f t="shared" si="17"/>
        <v>0</v>
      </c>
      <c r="AH61" s="181">
        <f t="shared" si="39"/>
        <v>0</v>
      </c>
      <c r="AI61" s="193"/>
      <c r="AJ61" s="90"/>
      <c r="AK61" s="90"/>
      <c r="AL61" s="183">
        <f t="shared" si="40"/>
        <v>0</v>
      </c>
      <c r="AM61" s="193"/>
      <c r="AN61" s="90"/>
      <c r="AO61" s="90"/>
      <c r="AP61" s="183">
        <f t="shared" si="23"/>
        <v>0</v>
      </c>
      <c r="AQ61" s="193"/>
      <c r="AR61" s="90"/>
      <c r="AS61" s="90"/>
      <c r="AT61" s="183">
        <f t="shared" si="24"/>
        <v>0</v>
      </c>
      <c r="AU61" s="193"/>
      <c r="AV61" s="90"/>
      <c r="AW61" s="90"/>
      <c r="AX61" s="183">
        <f t="shared" si="25"/>
        <v>0</v>
      </c>
      <c r="AY61" s="193"/>
      <c r="AZ61" s="90"/>
      <c r="BA61" s="90"/>
      <c r="BB61" s="183">
        <f t="shared" si="26"/>
        <v>0</v>
      </c>
      <c r="BC61" s="193"/>
      <c r="BD61" s="90"/>
      <c r="BE61" s="90"/>
      <c r="BF61" s="183">
        <f t="shared" si="27"/>
        <v>0</v>
      </c>
      <c r="BG61" s="193"/>
      <c r="BH61" s="90"/>
      <c r="BI61" s="90"/>
      <c r="BJ61" s="183">
        <f t="shared" si="28"/>
        <v>0</v>
      </c>
      <c r="BK61" s="193"/>
      <c r="BL61" s="90"/>
      <c r="BM61" s="90"/>
      <c r="BN61" s="183">
        <f t="shared" si="29"/>
        <v>0</v>
      </c>
      <c r="BO61" s="193"/>
      <c r="BP61" s="90"/>
      <c r="BQ61" s="90"/>
      <c r="BR61" s="183">
        <f t="shared" si="30"/>
        <v>0</v>
      </c>
      <c r="BS61" s="193"/>
      <c r="BT61" s="90"/>
      <c r="BU61" s="90"/>
      <c r="BV61" s="183">
        <f t="shared" si="31"/>
        <v>0</v>
      </c>
      <c r="BW61" s="193"/>
      <c r="BX61" s="90"/>
      <c r="BY61" s="90"/>
      <c r="BZ61" s="183">
        <f t="shared" si="32"/>
        <v>0</v>
      </c>
      <c r="CA61" s="193"/>
      <c r="CB61" s="90"/>
      <c r="CC61" s="90"/>
      <c r="CD61" s="183">
        <f t="shared" si="33"/>
        <v>0</v>
      </c>
    </row>
    <row r="62" spans="2:82" ht="15" thickBot="1" x14ac:dyDescent="0.35">
      <c r="B62" s="53"/>
      <c r="C62" s="53" t="str">
        <f t="shared" si="0"/>
        <v>CPU_Recomposiçãocerca</v>
      </c>
      <c r="D62" s="278">
        <f t="shared" si="1"/>
        <v>125</v>
      </c>
      <c r="E62" s="278">
        <f t="shared" si="2"/>
        <v>55500</v>
      </c>
      <c r="F62" s="1"/>
      <c r="G62" s="28" t="str">
        <f>IFERROR(VLOOKUP(F62,Tabela7[[RECURSO]:[CUSTO]],2,FALSE),"")</f>
        <v/>
      </c>
      <c r="I62" s="90">
        <f t="shared" si="41"/>
        <v>0</v>
      </c>
      <c r="J62" s="45">
        <f>IFERROR(VLOOKUP(F62,Tabela7[[RECURSO]:[CUSTO]],3,FALSE),0)</f>
        <v>0</v>
      </c>
      <c r="K62" s="45">
        <f t="shared" si="42"/>
        <v>0</v>
      </c>
      <c r="M62" s="86"/>
      <c r="N62" s="88"/>
      <c r="AD62" s="144" t="str">
        <f t="shared" si="3"/>
        <v>Recomposição cerca</v>
      </c>
      <c r="AE62" s="194"/>
      <c r="AF62" s="195">
        <f t="shared" si="38"/>
        <v>0</v>
      </c>
      <c r="AG62" s="195">
        <f t="shared" si="17"/>
        <v>0</v>
      </c>
      <c r="AH62" s="196">
        <f t="shared" si="39"/>
        <v>0</v>
      </c>
      <c r="AI62" s="197"/>
      <c r="AJ62" s="198"/>
      <c r="AK62" s="198"/>
      <c r="AL62" s="199">
        <f t="shared" si="40"/>
        <v>0</v>
      </c>
      <c r="AM62" s="197"/>
      <c r="AN62" s="198"/>
      <c r="AO62" s="198"/>
      <c r="AP62" s="199">
        <f t="shared" si="23"/>
        <v>0</v>
      </c>
      <c r="AQ62" s="197"/>
      <c r="AR62" s="198"/>
      <c r="AS62" s="198"/>
      <c r="AT62" s="199">
        <f t="shared" si="24"/>
        <v>0</v>
      </c>
      <c r="AU62" s="197"/>
      <c r="AV62" s="198"/>
      <c r="AW62" s="198"/>
      <c r="AX62" s="199">
        <f t="shared" si="25"/>
        <v>0</v>
      </c>
      <c r="AY62" s="197"/>
      <c r="AZ62" s="198"/>
      <c r="BA62" s="198"/>
      <c r="BB62" s="199">
        <f t="shared" si="26"/>
        <v>0</v>
      </c>
      <c r="BC62" s="197"/>
      <c r="BD62" s="198"/>
      <c r="BE62" s="198"/>
      <c r="BF62" s="199">
        <f t="shared" si="27"/>
        <v>0</v>
      </c>
      <c r="BG62" s="197"/>
      <c r="BH62" s="198"/>
      <c r="BI62" s="198"/>
      <c r="BJ62" s="199">
        <f t="shared" si="28"/>
        <v>0</v>
      </c>
      <c r="BK62" s="197"/>
      <c r="BL62" s="198"/>
      <c r="BM62" s="198"/>
      <c r="BN62" s="199">
        <f t="shared" si="29"/>
        <v>0</v>
      </c>
      <c r="BO62" s="197"/>
      <c r="BP62" s="198"/>
      <c r="BQ62" s="198"/>
      <c r="BR62" s="199">
        <f t="shared" si="30"/>
        <v>0</v>
      </c>
      <c r="BS62" s="197"/>
      <c r="BT62" s="198"/>
      <c r="BU62" s="198"/>
      <c r="BV62" s="199">
        <f t="shared" si="31"/>
        <v>0</v>
      </c>
      <c r="BW62" s="197"/>
      <c r="BX62" s="198"/>
      <c r="BY62" s="198"/>
      <c r="BZ62" s="199">
        <f t="shared" si="32"/>
        <v>0</v>
      </c>
      <c r="CA62" s="197"/>
      <c r="CB62" s="198"/>
      <c r="CC62" s="198"/>
      <c r="CD62" s="199">
        <f t="shared" si="33"/>
        <v>0</v>
      </c>
    </row>
  </sheetData>
  <conditionalFormatting sqref="K6:K7">
    <cfRule type="iconSet" priority="14">
      <iconSet>
        <cfvo type="percent" val="0"/>
        <cfvo type="num" val="0"/>
        <cfvo type="num" val="0.02"/>
      </iconSet>
    </cfRule>
  </conditionalFormatting>
  <conditionalFormatting sqref="AH6:AH7">
    <cfRule type="iconSet" priority="13">
      <iconSet>
        <cfvo type="percent" val="0"/>
        <cfvo type="num" val="0"/>
        <cfvo type="num" val="0.02"/>
      </iconSet>
    </cfRule>
  </conditionalFormatting>
  <conditionalFormatting sqref="AL6:AL7">
    <cfRule type="iconSet" priority="12">
      <iconSet>
        <cfvo type="percent" val="0"/>
        <cfvo type="num" val="0"/>
        <cfvo type="num" val="0.02"/>
      </iconSet>
    </cfRule>
  </conditionalFormatting>
  <conditionalFormatting sqref="AP6:AP7">
    <cfRule type="iconSet" priority="11">
      <iconSet>
        <cfvo type="percent" val="0"/>
        <cfvo type="num" val="0"/>
        <cfvo type="num" val="0.02"/>
      </iconSet>
    </cfRule>
  </conditionalFormatting>
  <conditionalFormatting sqref="AT6:AT7">
    <cfRule type="iconSet" priority="10">
      <iconSet>
        <cfvo type="percent" val="0"/>
        <cfvo type="num" val="0"/>
        <cfvo type="num" val="0.02"/>
      </iconSet>
    </cfRule>
  </conditionalFormatting>
  <conditionalFormatting sqref="AX6:AX7">
    <cfRule type="iconSet" priority="9">
      <iconSet>
        <cfvo type="percent" val="0"/>
        <cfvo type="num" val="0"/>
        <cfvo type="num" val="0.02"/>
      </iconSet>
    </cfRule>
  </conditionalFormatting>
  <conditionalFormatting sqref="BB6:BB7">
    <cfRule type="iconSet" priority="8">
      <iconSet>
        <cfvo type="percent" val="0"/>
        <cfvo type="num" val="0"/>
        <cfvo type="num" val="0.02"/>
      </iconSet>
    </cfRule>
  </conditionalFormatting>
  <conditionalFormatting sqref="BF6:BF7">
    <cfRule type="iconSet" priority="7">
      <iconSet>
        <cfvo type="percent" val="0"/>
        <cfvo type="num" val="0"/>
        <cfvo type="num" val="0.02"/>
      </iconSet>
    </cfRule>
  </conditionalFormatting>
  <conditionalFormatting sqref="BJ6:BJ7">
    <cfRule type="iconSet" priority="6">
      <iconSet>
        <cfvo type="percent" val="0"/>
        <cfvo type="num" val="0"/>
        <cfvo type="num" val="0.02"/>
      </iconSet>
    </cfRule>
  </conditionalFormatting>
  <conditionalFormatting sqref="BN6:BN7">
    <cfRule type="iconSet" priority="5">
      <iconSet>
        <cfvo type="percent" val="0"/>
        <cfvo type="num" val="0"/>
        <cfvo type="num" val="0.02"/>
      </iconSet>
    </cfRule>
  </conditionalFormatting>
  <conditionalFormatting sqref="BR6:BR7">
    <cfRule type="iconSet" priority="4">
      <iconSet>
        <cfvo type="percent" val="0"/>
        <cfvo type="num" val="0"/>
        <cfvo type="num" val="0.02"/>
      </iconSet>
    </cfRule>
  </conditionalFormatting>
  <conditionalFormatting sqref="BV6:BV7">
    <cfRule type="iconSet" priority="3">
      <iconSet>
        <cfvo type="percent" val="0"/>
        <cfvo type="num" val="0"/>
        <cfvo type="num" val="0.02"/>
      </iconSet>
    </cfRule>
  </conditionalFormatting>
  <conditionalFormatting sqref="BZ6:BZ7">
    <cfRule type="iconSet" priority="2">
      <iconSet>
        <cfvo type="percent" val="0"/>
        <cfvo type="num" val="0"/>
        <cfvo type="num" val="0.02"/>
      </iconSet>
    </cfRule>
  </conditionalFormatting>
  <conditionalFormatting sqref="CD6:CD7">
    <cfRule type="iconSet" priority="1">
      <iconSet>
        <cfvo type="percent" val="0"/>
        <cfvo type="num" val="0"/>
        <cfvo type="num" val="0.02"/>
      </iconSet>
    </cfRule>
  </conditionalFormatting>
  <dataValidations count="5">
    <dataValidation type="list" allowBlank="1" showInputMessage="1" showErrorMessage="1" sqref="B3:E3" xr:uid="{3BADC82A-AC6C-43C4-A614-CCB7E744633C}">
      <formula1>INDIRECT($B$2)</formula1>
    </dataValidation>
    <dataValidation type="list" allowBlank="1" showInputMessage="1" showErrorMessage="1" sqref="F12:F23" xr:uid="{025A73AF-2AFF-4651-A43D-E0D72D4DB80D}">
      <formula1>INDIRECT($B$11)</formula1>
    </dataValidation>
    <dataValidation type="list" allowBlank="1" showInputMessage="1" showErrorMessage="1" sqref="F25:F36" xr:uid="{7254E711-09D0-42B6-9D80-D41EA718A91D}">
      <formula1>INDIRECT($B$24)</formula1>
    </dataValidation>
    <dataValidation type="list" allowBlank="1" showInputMessage="1" showErrorMessage="1" sqref="F38:F49" xr:uid="{0A6F3BFE-6D20-4D27-B8B1-7BD027D1A1F8}">
      <formula1>INDIRECT($B$37)</formula1>
    </dataValidation>
    <dataValidation type="list" allowBlank="1" showInputMessage="1" showErrorMessage="1" sqref="F51:F62" xr:uid="{5B22DEA7-4221-4997-B5D0-C321B9F02498}">
      <formula1>INDIRECT($B$50)</formula1>
    </dataValidation>
  </dataValidations>
  <pageMargins left="0.51181102362204722" right="0.51181102362204722" top="0.19685039370078741" bottom="0.19685039370078741" header="0.31496062992125984" footer="0.31496062992125984"/>
  <pageSetup paperSize="9" scale="82" orientation="portrait" r:id="rId1"/>
  <colBreaks count="1" manualBreakCount="1">
    <brk id="11" max="1048575" man="1"/>
  </colBreaks>
  <drawing r:id="rId2"/>
  <legacyDrawing r:id="rId3"/>
  <tableParts count="2"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3B29D-2EE4-4AA0-A47E-447B752E4272}">
  <sheetPr codeName="Plan38"/>
  <dimension ref="A1:CD62"/>
  <sheetViews>
    <sheetView showGridLines="0" zoomScaleNormal="100" workbookViewId="0">
      <pane xSplit="14" ySplit="10" topLeftCell="O14" activePane="bottomRight" state="frozen"/>
      <selection pane="topRight" activeCell="C28" activeCellId="1" sqref="E13 C28"/>
      <selection pane="bottomLeft" activeCell="C28" activeCellId="1" sqref="E13 C28"/>
      <selection pane="bottomRight" activeCell="F26" sqref="F26"/>
    </sheetView>
  </sheetViews>
  <sheetFormatPr defaultRowHeight="14.4" x14ac:dyDescent="0.3"/>
  <cols>
    <col min="1" max="1" width="4.109375" customWidth="1"/>
    <col min="2" max="2" width="16.109375" customWidth="1"/>
    <col min="3" max="5" width="16.109375" hidden="1" customWidth="1"/>
    <col min="6" max="6" width="40.6640625" customWidth="1"/>
    <col min="7" max="7" width="10.6640625" style="28" customWidth="1"/>
    <col min="8" max="8" width="7.6640625" style="28" customWidth="1"/>
    <col min="9" max="11" width="10.6640625" customWidth="1"/>
    <col min="12" max="12" width="2.33203125" customWidth="1"/>
    <col min="13" max="14" width="12.6640625" customWidth="1"/>
    <col min="15" max="15" width="14" bestFit="1" customWidth="1"/>
    <col min="30" max="30" width="12.44140625" bestFit="1" customWidth="1"/>
    <col min="31" max="31" width="7.6640625" customWidth="1"/>
    <col min="32" max="32" width="9.33203125" bestFit="1" customWidth="1"/>
    <col min="33" max="34" width="10.6640625" customWidth="1"/>
    <col min="35" max="35" width="7.6640625" customWidth="1"/>
    <col min="36" max="36" width="9.33203125" customWidth="1"/>
    <col min="37" max="38" width="10.6640625" customWidth="1"/>
    <col min="40" max="40" width="9.33203125" customWidth="1"/>
    <col min="42" max="42" width="9.6640625" customWidth="1"/>
    <col min="44" max="44" width="9.33203125" customWidth="1"/>
    <col min="46" max="46" width="9.6640625" customWidth="1"/>
    <col min="48" max="48" width="9.33203125" customWidth="1"/>
    <col min="50" max="50" width="9.6640625" customWidth="1"/>
    <col min="52" max="52" width="9.33203125" customWidth="1"/>
    <col min="54" max="54" width="9.6640625" customWidth="1"/>
    <col min="56" max="56" width="9.33203125" customWidth="1"/>
    <col min="58" max="58" width="9.6640625" customWidth="1"/>
    <col min="60" max="60" width="9.33203125" customWidth="1"/>
    <col min="62" max="62" width="9.6640625" customWidth="1"/>
    <col min="64" max="64" width="9.33203125" customWidth="1"/>
    <col min="66" max="66" width="9.6640625" customWidth="1"/>
    <col min="68" max="68" width="9.33203125" customWidth="1"/>
    <col min="70" max="70" width="9.6640625" customWidth="1"/>
    <col min="72" max="72" width="10" customWidth="1"/>
    <col min="73" max="73" width="9.5546875" customWidth="1"/>
    <col min="74" max="74" width="10.44140625" customWidth="1"/>
    <col min="76" max="76" width="10" customWidth="1"/>
    <col min="77" max="77" width="9.5546875" customWidth="1"/>
    <col min="78" max="78" width="10.44140625" customWidth="1"/>
    <col min="80" max="80" width="10" customWidth="1"/>
    <col min="81" max="81" width="9.5546875" customWidth="1"/>
    <col min="82" max="82" width="10.44140625" customWidth="1"/>
  </cols>
  <sheetData>
    <row r="1" spans="1:82" ht="26.4" customHeight="1" thickBot="1" x14ac:dyDescent="0.35">
      <c r="AE1" s="163" t="s">
        <v>678</v>
      </c>
    </row>
    <row r="2" spans="1:82" x14ac:dyDescent="0.3">
      <c r="B2" s="64" t="s">
        <v>679</v>
      </c>
      <c r="C2" s="67"/>
      <c r="D2" s="67"/>
      <c r="E2" s="67"/>
      <c r="F2" s="65"/>
      <c r="G2" s="66"/>
      <c r="H2" s="66"/>
      <c r="I2" s="65"/>
      <c r="J2" s="67" t="s">
        <v>680</v>
      </c>
      <c r="K2" s="68" t="s">
        <v>681</v>
      </c>
      <c r="M2" s="227" t="s">
        <v>682</v>
      </c>
      <c r="N2" s="228" t="s">
        <v>683</v>
      </c>
      <c r="O2" s="234" t="s">
        <v>684</v>
      </c>
      <c r="AE2" s="164" t="s">
        <v>590</v>
      </c>
      <c r="AF2" s="165" t="s">
        <v>20</v>
      </c>
      <c r="AG2" s="67"/>
      <c r="AH2" s="68" t="s">
        <v>681</v>
      </c>
      <c r="AI2" s="166">
        <v>44927</v>
      </c>
      <c r="AJ2" s="165" t="s">
        <v>20</v>
      </c>
      <c r="AK2" s="67"/>
      <c r="AL2" s="68" t="s">
        <v>681</v>
      </c>
      <c r="AM2" s="166">
        <v>44958</v>
      </c>
      <c r="AN2" s="165" t="s">
        <v>20</v>
      </c>
      <c r="AO2" s="67"/>
      <c r="AP2" s="68" t="s">
        <v>681</v>
      </c>
      <c r="AQ2" s="166">
        <v>44986</v>
      </c>
      <c r="AR2" s="165" t="s">
        <v>20</v>
      </c>
      <c r="AS2" s="67"/>
      <c r="AT2" s="68" t="s">
        <v>681</v>
      </c>
      <c r="AU2" s="166">
        <v>45017</v>
      </c>
      <c r="AV2" s="165" t="s">
        <v>20</v>
      </c>
      <c r="AW2" s="67"/>
      <c r="AX2" s="68" t="s">
        <v>681</v>
      </c>
      <c r="AY2" s="166">
        <v>45047</v>
      </c>
      <c r="AZ2" s="165" t="s">
        <v>20</v>
      </c>
      <c r="BA2" s="67"/>
      <c r="BB2" s="68" t="s">
        <v>681</v>
      </c>
      <c r="BC2" s="166">
        <v>45078</v>
      </c>
      <c r="BD2" s="165" t="s">
        <v>20</v>
      </c>
      <c r="BE2" s="67"/>
      <c r="BF2" s="68" t="s">
        <v>681</v>
      </c>
      <c r="BG2" s="166">
        <v>45108</v>
      </c>
      <c r="BH2" s="165" t="s">
        <v>20</v>
      </c>
      <c r="BI2" s="67"/>
      <c r="BJ2" s="68" t="s">
        <v>681</v>
      </c>
      <c r="BK2" s="166">
        <v>45139</v>
      </c>
      <c r="BL2" s="165" t="s">
        <v>20</v>
      </c>
      <c r="BM2" s="67"/>
      <c r="BN2" s="68" t="s">
        <v>681</v>
      </c>
      <c r="BO2" s="166">
        <v>45170</v>
      </c>
      <c r="BP2" s="165" t="s">
        <v>20</v>
      </c>
      <c r="BQ2" s="67"/>
      <c r="BR2" s="68" t="s">
        <v>681</v>
      </c>
      <c r="BS2" s="166">
        <v>45200</v>
      </c>
      <c r="BT2" s="165" t="s">
        <v>20</v>
      </c>
      <c r="BU2" s="67"/>
      <c r="BV2" s="68" t="s">
        <v>681</v>
      </c>
      <c r="BW2" s="166">
        <v>45231</v>
      </c>
      <c r="BX2" s="165" t="s">
        <v>20</v>
      </c>
      <c r="BY2" s="67"/>
      <c r="BZ2" s="68" t="s">
        <v>681</v>
      </c>
      <c r="CA2" s="166">
        <v>45261</v>
      </c>
      <c r="CB2" s="165" t="s">
        <v>20</v>
      </c>
      <c r="CC2" s="67"/>
      <c r="CD2" s="68" t="s">
        <v>681</v>
      </c>
    </row>
    <row r="3" spans="1:82" x14ac:dyDescent="0.3">
      <c r="A3" s="42" t="str">
        <f>"CPU_"&amp;LEFT(SUBSTITUTE(SUBSTITUTE(B3," ",""),"-",""),20)</f>
        <v>CPU_Cerca</v>
      </c>
      <c r="B3" s="31" t="s">
        <v>763</v>
      </c>
      <c r="C3" s="1"/>
      <c r="D3" s="1"/>
      <c r="E3" s="1"/>
      <c r="F3" s="73"/>
      <c r="G3" s="74"/>
      <c r="H3" s="74"/>
      <c r="I3" s="73"/>
      <c r="J3" s="74" t="str">
        <f>IFERROR(VLOOKUP(B3,Tabela1[[NOME SERVIÇO]:[UNID]],4,0),"")</f>
        <v>M</v>
      </c>
      <c r="K3" s="75">
        <f>IFERROR(J6/B6,0)</f>
        <v>26.683593874561996</v>
      </c>
      <c r="M3" s="229" t="s">
        <v>685</v>
      </c>
      <c r="N3" s="230">
        <f>K11</f>
        <v>681.81818181818176</v>
      </c>
      <c r="O3" s="235">
        <f>IFERROR(N3/$N$7,0)</f>
        <v>0.12775981095788086</v>
      </c>
      <c r="AE3" s="167"/>
      <c r="AF3" s="168">
        <f>AJ3+AN3+AR3+AV3+AZ3+BD3+BH3+BL3+BP3+BT3+BX3+CB3</f>
        <v>0</v>
      </c>
      <c r="AG3" s="74"/>
      <c r="AH3" s="75">
        <f>IFERROR((AG6/AF3),0)</f>
        <v>0</v>
      </c>
      <c r="AI3" s="167"/>
      <c r="AJ3" s="168">
        <f>IFERROR(SUMPRODUCT(Plan_Orc!$I$4:$I$2002*Plan_Orc!$AB$4:$AB$2002*(Plan_Orc!$D$4:$D$2002=$B3)),0)</f>
        <v>0</v>
      </c>
      <c r="AK3" s="74"/>
      <c r="AL3" s="75">
        <f>IFERROR((AK6/AJ3),0)</f>
        <v>0</v>
      </c>
      <c r="AM3" s="167"/>
      <c r="AN3" s="168">
        <f>IFERROR(SUMPRODUCT(Plan_Orc!$I$4:$I$2002*Plan_Orc!$AC$4:$AC$2002*(Plan_Orc!$D$4:$D$2002=$B3)),0)</f>
        <v>0</v>
      </c>
      <c r="AO3" s="74"/>
      <c r="AP3" s="75">
        <f>IFERROR((AO6/AN3),0)</f>
        <v>0</v>
      </c>
      <c r="AQ3" s="167"/>
      <c r="AR3" s="168">
        <f>IFERROR(SUMPRODUCT(Plan_Orc!$I$4:$I$2002*Plan_Orc!$AD$4:$AD$2002*(Plan_Orc!$D$4:$D$2002=$B3)),0)</f>
        <v>0</v>
      </c>
      <c r="AS3" s="74"/>
      <c r="AT3" s="75">
        <f>IFERROR((AS6/AR3),0)</f>
        <v>0</v>
      </c>
      <c r="AU3" s="167"/>
      <c r="AV3" s="168">
        <f>IFERROR(SUMPRODUCT(Plan_Orc!$I$4:$I$2002*Plan_Orc!$AE$4:$AE$2002*(Plan_Orc!$D$4:$D$2002=$B3)),0)</f>
        <v>0</v>
      </c>
      <c r="AW3" s="74"/>
      <c r="AX3" s="75">
        <f>IFERROR((AW6/AV3),0)</f>
        <v>0</v>
      </c>
      <c r="AY3" s="167"/>
      <c r="AZ3" s="168">
        <f>IFERROR(SUMPRODUCT(Plan_Orc!$I$4:$I$2002*Plan_Orc!$AF$4:$AF$2002*(Plan_Orc!$D$4:$D$2002=$B3)),0)</f>
        <v>0</v>
      </c>
      <c r="BA3" s="74"/>
      <c r="BB3" s="75">
        <f>IFERROR((BA6/AZ3),0)</f>
        <v>0</v>
      </c>
      <c r="BC3" s="167"/>
      <c r="BD3" s="168">
        <f>IFERROR(SUMPRODUCT(Plan_Orc!$I$4:$I$2002*Plan_Orc!$AG$4:$AG$2002*(Plan_Orc!$D$4:$D$2002=$B3)),0)</f>
        <v>0</v>
      </c>
      <c r="BE3" s="74"/>
      <c r="BF3" s="75">
        <f>IFERROR((BE6/BD3),0)</f>
        <v>0</v>
      </c>
      <c r="BG3" s="167"/>
      <c r="BH3" s="168">
        <f>IFERROR(SUMPRODUCT(Plan_Orc!$I$4:$I$2002*Plan_Orc!$AH$4:$AH$2002*(Plan_Orc!$D$4:$D$2002=$B3)),0)</f>
        <v>0</v>
      </c>
      <c r="BI3" s="74"/>
      <c r="BJ3" s="75">
        <f>IFERROR((BI6/BH3),0)</f>
        <v>0</v>
      </c>
      <c r="BK3" s="167"/>
      <c r="BL3" s="168">
        <f>IFERROR(SUMPRODUCT(Plan_Orc!$I$4:$I$2002*Plan_Orc!$AI$4:$AI$2002*(Plan_Orc!$D$4:$D$2002=$B3)),0)</f>
        <v>0</v>
      </c>
      <c r="BM3" s="74"/>
      <c r="BN3" s="75">
        <f>IFERROR((BM6/BL3),0)</f>
        <v>0</v>
      </c>
      <c r="BO3" s="167"/>
      <c r="BP3" s="168">
        <f>IFERROR(SUMPRODUCT(Plan_Orc!$I$4:$I$2002*Plan_Orc!$AJ$4:$AJ$2002*(Plan_Orc!$D$4:$D$2002=$B3)),0)</f>
        <v>0</v>
      </c>
      <c r="BQ3" s="74"/>
      <c r="BR3" s="75">
        <f>IFERROR((BQ6/BP3),0)</f>
        <v>0</v>
      </c>
      <c r="BS3" s="167"/>
      <c r="BT3" s="168">
        <f>IFERROR(SUMPRODUCT(Plan_Orc!$I$4:$I$2002*Plan_Orc!$AK$4:$AK$2002*(Plan_Orc!$D$4:$D$2002=$B3)),0)</f>
        <v>0</v>
      </c>
      <c r="BU3" s="74"/>
      <c r="BV3" s="75">
        <f>IFERROR((BU6/BT3),0)</f>
        <v>0</v>
      </c>
      <c r="BW3" s="167"/>
      <c r="BX3" s="168">
        <f>IFERROR(SUMPRODUCT(Plan_Orc!$I$4:$I$2002*Plan_Orc!$AL$4:$AL$2002*(Plan_Orc!$D$4:$D$2002=$B3)),0)</f>
        <v>0</v>
      </c>
      <c r="BY3" s="74"/>
      <c r="BZ3" s="75">
        <f>IFERROR((BY6/BX3),0)</f>
        <v>0</v>
      </c>
      <c r="CA3" s="167"/>
      <c r="CB3" s="168">
        <f>IFERROR(SUMPRODUCT(Plan_Orc!$I$4:$I$2002*Plan_Orc!$AM$4:$AM$2002*(Plan_Orc!$D$4:$D$2002=$B3)),0)</f>
        <v>0</v>
      </c>
      <c r="CC3" s="74"/>
      <c r="CD3" s="75">
        <f>IFERROR((CC6/CB3),0)</f>
        <v>0</v>
      </c>
    </row>
    <row r="4" spans="1:82" x14ac:dyDescent="0.3">
      <c r="B4" s="32"/>
      <c r="K4" s="30"/>
      <c r="M4" s="229" t="s">
        <v>686</v>
      </c>
      <c r="N4" s="230">
        <f>+K24</f>
        <v>0</v>
      </c>
      <c r="O4" s="235">
        <f>IFERROR(N4/$N$7,0)</f>
        <v>0</v>
      </c>
      <c r="AE4" s="169"/>
      <c r="AH4" s="30"/>
      <c r="AI4" s="169"/>
      <c r="AL4" s="30"/>
      <c r="AM4" s="169"/>
      <c r="AP4" s="30"/>
      <c r="AQ4" s="169"/>
      <c r="AT4" s="30"/>
      <c r="AU4" s="169"/>
      <c r="AX4" s="30"/>
      <c r="AY4" s="169"/>
      <c r="BB4" s="30"/>
      <c r="BC4" s="169"/>
      <c r="BF4" s="30"/>
      <c r="BG4" s="169"/>
      <c r="BJ4" s="30"/>
      <c r="BK4" s="169"/>
      <c r="BN4" s="30"/>
      <c r="BO4" s="169"/>
      <c r="BR4" s="30"/>
      <c r="BS4" s="169"/>
      <c r="BV4" s="30"/>
      <c r="BW4" s="169"/>
      <c r="BZ4" s="30"/>
      <c r="CA4" s="169"/>
      <c r="CD4" s="30"/>
    </row>
    <row r="5" spans="1:82" x14ac:dyDescent="0.3">
      <c r="B5" s="69" t="s">
        <v>687</v>
      </c>
      <c r="C5" s="72"/>
      <c r="D5" s="72"/>
      <c r="E5" s="72"/>
      <c r="F5" s="70" t="s">
        <v>688</v>
      </c>
      <c r="G5" s="70" t="s">
        <v>689</v>
      </c>
      <c r="H5" s="70" t="s">
        <v>690</v>
      </c>
      <c r="I5" s="70" t="s">
        <v>691</v>
      </c>
      <c r="J5" s="70" t="s">
        <v>683</v>
      </c>
      <c r="K5" s="71" t="s">
        <v>593</v>
      </c>
      <c r="M5" s="229" t="s">
        <v>692</v>
      </c>
      <c r="N5" s="230">
        <f>+K37</f>
        <v>1323.150593094218</v>
      </c>
      <c r="O5" s="235">
        <f>IFERROR(N5/$N$7,0)</f>
        <v>0.24793335547570372</v>
      </c>
      <c r="AE5" s="170"/>
      <c r="AF5" s="70" t="s">
        <v>691</v>
      </c>
      <c r="AG5" s="70" t="s">
        <v>683</v>
      </c>
      <c r="AH5" s="71" t="s">
        <v>593</v>
      </c>
      <c r="AI5" s="170"/>
      <c r="AJ5" s="70" t="s">
        <v>691</v>
      </c>
      <c r="AK5" s="70" t="s">
        <v>683</v>
      </c>
      <c r="AL5" s="71" t="s">
        <v>593</v>
      </c>
      <c r="AM5" s="170"/>
      <c r="AN5" s="70" t="s">
        <v>691</v>
      </c>
      <c r="AO5" s="70" t="s">
        <v>683</v>
      </c>
      <c r="AP5" s="71" t="s">
        <v>593</v>
      </c>
      <c r="AQ5" s="170"/>
      <c r="AR5" s="70" t="s">
        <v>691</v>
      </c>
      <c r="AS5" s="70" t="s">
        <v>683</v>
      </c>
      <c r="AT5" s="71" t="s">
        <v>593</v>
      </c>
      <c r="AU5" s="170"/>
      <c r="AV5" s="70" t="s">
        <v>691</v>
      </c>
      <c r="AW5" s="70" t="s">
        <v>683</v>
      </c>
      <c r="AX5" s="71" t="s">
        <v>593</v>
      </c>
      <c r="AY5" s="170"/>
      <c r="AZ5" s="70" t="s">
        <v>691</v>
      </c>
      <c r="BA5" s="70" t="s">
        <v>683</v>
      </c>
      <c r="BB5" s="71" t="s">
        <v>593</v>
      </c>
      <c r="BC5" s="170"/>
      <c r="BD5" s="70" t="s">
        <v>691</v>
      </c>
      <c r="BE5" s="70" t="s">
        <v>683</v>
      </c>
      <c r="BF5" s="71" t="s">
        <v>593</v>
      </c>
      <c r="BG5" s="170"/>
      <c r="BH5" s="70" t="s">
        <v>691</v>
      </c>
      <c r="BI5" s="70" t="s">
        <v>683</v>
      </c>
      <c r="BJ5" s="71" t="s">
        <v>593</v>
      </c>
      <c r="BK5" s="170"/>
      <c r="BL5" s="70" t="s">
        <v>691</v>
      </c>
      <c r="BM5" s="70" t="s">
        <v>683</v>
      </c>
      <c r="BN5" s="71" t="s">
        <v>593</v>
      </c>
      <c r="BO5" s="170"/>
      <c r="BP5" s="70" t="s">
        <v>691</v>
      </c>
      <c r="BQ5" s="70" t="s">
        <v>683</v>
      </c>
      <c r="BR5" s="71" t="s">
        <v>593</v>
      </c>
      <c r="BS5" s="170"/>
      <c r="BT5" s="70" t="s">
        <v>691</v>
      </c>
      <c r="BU5" s="70" t="s">
        <v>683</v>
      </c>
      <c r="BV5" s="71" t="s">
        <v>593</v>
      </c>
      <c r="BW5" s="170"/>
      <c r="BX5" s="70" t="s">
        <v>691</v>
      </c>
      <c r="BY5" s="70" t="s">
        <v>683</v>
      </c>
      <c r="BZ5" s="71" t="s">
        <v>593</v>
      </c>
      <c r="CA5" s="170"/>
      <c r="CB5" s="70" t="s">
        <v>691</v>
      </c>
      <c r="CC5" s="70" t="s">
        <v>683</v>
      </c>
      <c r="CD5" s="71" t="s">
        <v>593</v>
      </c>
    </row>
    <row r="6" spans="1:82" s="2" customFormat="1" ht="30" customHeight="1" x14ac:dyDescent="0.3">
      <c r="B6" s="33">
        <f>2.5*80</f>
        <v>200</v>
      </c>
      <c r="C6" s="275"/>
      <c r="D6" s="275"/>
      <c r="E6" s="275"/>
      <c r="F6" s="27"/>
      <c r="G6" s="35">
        <v>1</v>
      </c>
      <c r="H6" s="81" t="s">
        <v>347</v>
      </c>
      <c r="I6" s="55">
        <f>IFERROR(I7/B7*B6,0)</f>
        <v>10525.538999999999</v>
      </c>
      <c r="J6" s="55">
        <f>K11+K24+K37+K50</f>
        <v>5336.7187749123996</v>
      </c>
      <c r="K6" s="56">
        <f>IFERROR((I6-J6)/I6-PARAMETROS!C19,0)</f>
        <v>0.34217430042182162</v>
      </c>
      <c r="M6" s="229" t="s">
        <v>693</v>
      </c>
      <c r="N6" s="230">
        <f>+K50</f>
        <v>3331.75</v>
      </c>
      <c r="O6" s="235">
        <f>IFERROR(N6/$N$7,0)</f>
        <v>0.62430683356641548</v>
      </c>
      <c r="AE6" s="171"/>
      <c r="AF6" s="55">
        <f>AJ6+AN6+AR6+AV6+AZ6+BD6+BH6+BL6+BP6+BT6+BX6+CB6</f>
        <v>0</v>
      </c>
      <c r="AG6" s="55">
        <f>AH11+AH24+AH37+AH50</f>
        <v>0</v>
      </c>
      <c r="AH6" s="56">
        <f>IFERROR((AF6-AG6)/AF6,0)</f>
        <v>0</v>
      </c>
      <c r="AI6" s="171"/>
      <c r="AJ6" s="55"/>
      <c r="AK6" s="55">
        <f>AL11+AL24+AL37+AL50</f>
        <v>0</v>
      </c>
      <c r="AL6" s="56">
        <f>IFERROR((AJ6-AK6)/AJ6,0)</f>
        <v>0</v>
      </c>
      <c r="AM6" s="171"/>
      <c r="AN6" s="55"/>
      <c r="AO6" s="55">
        <f>AP11+AP24+AP37+AP50</f>
        <v>0</v>
      </c>
      <c r="AP6" s="56">
        <f>IFERROR((AN6-AO6)/AN6,0)</f>
        <v>0</v>
      </c>
      <c r="AQ6" s="171"/>
      <c r="AR6" s="55"/>
      <c r="AS6" s="55">
        <f>AT11+AT24+AT37+AT50</f>
        <v>0</v>
      </c>
      <c r="AT6" s="56">
        <f>IFERROR((AR6-AS6)/AR6,0)</f>
        <v>0</v>
      </c>
      <c r="AU6" s="171"/>
      <c r="AV6" s="55"/>
      <c r="AW6" s="55">
        <f>AX11+AX24+AX37+AX50</f>
        <v>0</v>
      </c>
      <c r="AX6" s="56">
        <f>IFERROR((AV6-AW6)/AV6,0)</f>
        <v>0</v>
      </c>
      <c r="AY6" s="171"/>
      <c r="AZ6" s="55"/>
      <c r="BA6" s="55">
        <f>BB11+BB24+BB37+BB50</f>
        <v>0</v>
      </c>
      <c r="BB6" s="56">
        <f>IFERROR((AZ6-BA6)/AZ6,0)</f>
        <v>0</v>
      </c>
      <c r="BC6" s="171"/>
      <c r="BD6" s="55"/>
      <c r="BE6" s="55">
        <f>BF11+BF24+BF37+BF50</f>
        <v>0</v>
      </c>
      <c r="BF6" s="56">
        <f>IFERROR((BD6-BE6)/BD6,0)</f>
        <v>0</v>
      </c>
      <c r="BG6" s="171"/>
      <c r="BH6" s="55"/>
      <c r="BI6" s="55">
        <f>BJ11+BJ24+BJ37+BJ50</f>
        <v>0</v>
      </c>
      <c r="BJ6" s="56">
        <f>IFERROR((BH6-BI6)/BH6,0)</f>
        <v>0</v>
      </c>
      <c r="BK6" s="171"/>
      <c r="BL6" s="55"/>
      <c r="BM6" s="55">
        <f>BN11+BN24+BN37+BN50</f>
        <v>0</v>
      </c>
      <c r="BN6" s="56">
        <f>IFERROR((BL6-BM6)/BL6,0)</f>
        <v>0</v>
      </c>
      <c r="BO6" s="171"/>
      <c r="BP6" s="55"/>
      <c r="BQ6" s="55">
        <f>BR11+BR24+BR37+BR50</f>
        <v>0</v>
      </c>
      <c r="BR6" s="56">
        <f>IFERROR((BP6-BQ6)/BP6,0)</f>
        <v>0</v>
      </c>
      <c r="BS6" s="171"/>
      <c r="BT6" s="55"/>
      <c r="BU6" s="55">
        <f>BV11+BV24+BV37+BV50</f>
        <v>0</v>
      </c>
      <c r="BV6" s="56">
        <f>IFERROR((BT6-BU6)/BT6,0)</f>
        <v>0</v>
      </c>
      <c r="BW6" s="171"/>
      <c r="BX6" s="55"/>
      <c r="BY6" s="55">
        <f>BZ11+BZ24+BZ37+BZ50</f>
        <v>0</v>
      </c>
      <c r="BZ6" s="56">
        <f>IFERROR((BX6-BY6)/BX6,0)</f>
        <v>0</v>
      </c>
      <c r="CA6" s="171"/>
      <c r="CB6" s="55"/>
      <c r="CC6" s="55">
        <f>CD11+CD24+CD37+CD50</f>
        <v>0</v>
      </c>
      <c r="CD6" s="56">
        <f>IFERROR((CB6-CC6)/CB6,0)</f>
        <v>0</v>
      </c>
    </row>
    <row r="7" spans="1:82" s="2" customFormat="1" ht="30" customHeight="1" thickBot="1" x14ac:dyDescent="0.35">
      <c r="B7" s="34">
        <f>IFERROR(VLOOKUP(B3,Lucratividade!G4:N853,2,0),0)</f>
        <v>31875</v>
      </c>
      <c r="C7" s="276"/>
      <c r="D7" s="276"/>
      <c r="E7" s="276"/>
      <c r="F7" s="50"/>
      <c r="G7" s="36">
        <f>IFERROR(B7/B6,0)</f>
        <v>159.375</v>
      </c>
      <c r="H7" s="82" t="s">
        <v>347</v>
      </c>
      <c r="I7" s="57">
        <f>IFERROR(VLOOKUP(B3,Lucratividade!G4:N132,6,0),0)</f>
        <v>1677507.778125</v>
      </c>
      <c r="J7" s="58">
        <f>B7*K3</f>
        <v>850539.55475166359</v>
      </c>
      <c r="K7" s="59">
        <f>IFERROR((I7-J7)/I7-PARAMETROS!C19,0)</f>
        <v>0.34217430042182173</v>
      </c>
      <c r="M7" s="231" t="s">
        <v>694</v>
      </c>
      <c r="N7" s="232">
        <f>SUM(N3:N6)</f>
        <v>5336.7187749123996</v>
      </c>
      <c r="O7" s="236"/>
      <c r="AE7" s="172"/>
      <c r="AF7" s="57"/>
      <c r="AG7" s="58"/>
      <c r="AH7" s="59"/>
      <c r="AI7" s="172"/>
      <c r="AJ7" s="57"/>
      <c r="AK7" s="58"/>
      <c r="AL7" s="59"/>
      <c r="AM7" s="172"/>
      <c r="AN7" s="57"/>
      <c r="AO7" s="58"/>
      <c r="AP7" s="59"/>
      <c r="AQ7" s="172"/>
      <c r="AR7" s="57"/>
      <c r="AS7" s="58"/>
      <c r="AT7" s="59"/>
      <c r="AU7" s="172"/>
      <c r="AV7" s="57"/>
      <c r="AW7" s="58"/>
      <c r="AX7" s="59"/>
      <c r="AY7" s="172"/>
      <c r="AZ7" s="57"/>
      <c r="BA7" s="58"/>
      <c r="BB7" s="59"/>
      <c r="BC7" s="172"/>
      <c r="BD7" s="57"/>
      <c r="BE7" s="58"/>
      <c r="BF7" s="59"/>
      <c r="BG7" s="172"/>
      <c r="BH7" s="57"/>
      <c r="BI7" s="58"/>
      <c r="BJ7" s="59"/>
      <c r="BK7" s="172"/>
      <c r="BL7" s="57"/>
      <c r="BM7" s="58"/>
      <c r="BN7" s="59"/>
      <c r="BO7" s="172"/>
      <c r="BP7" s="57"/>
      <c r="BQ7" s="58"/>
      <c r="BR7" s="59"/>
      <c r="BS7" s="172"/>
      <c r="BT7" s="57"/>
      <c r="BU7" s="58"/>
      <c r="BV7" s="59"/>
      <c r="BW7" s="172"/>
      <c r="BX7" s="57"/>
      <c r="BY7" s="58"/>
      <c r="BZ7" s="59"/>
      <c r="CA7" s="172"/>
      <c r="CB7" s="57"/>
      <c r="CC7" s="58"/>
      <c r="CD7" s="59"/>
    </row>
    <row r="8" spans="1:82" ht="4.2" customHeight="1" x14ac:dyDescent="0.3">
      <c r="AE8" s="28"/>
      <c r="AI8" s="28"/>
      <c r="AM8" s="28"/>
      <c r="AQ8" s="28"/>
      <c r="AU8" s="28"/>
      <c r="AY8" s="28"/>
      <c r="BC8" s="28"/>
      <c r="BG8" s="28"/>
      <c r="BK8" s="28"/>
      <c r="BO8" s="28"/>
      <c r="BS8" s="28"/>
      <c r="BW8" s="28"/>
      <c r="CA8" s="28"/>
    </row>
    <row r="9" spans="1:82" ht="4.95" customHeight="1" thickBot="1" x14ac:dyDescent="0.35">
      <c r="AE9" s="28"/>
      <c r="AI9" s="28"/>
      <c r="AM9" s="28"/>
      <c r="AQ9" s="28"/>
      <c r="AU9" s="28"/>
      <c r="AY9" s="28"/>
      <c r="BC9" s="28"/>
      <c r="BG9" s="28"/>
      <c r="BK9" s="28"/>
      <c r="BO9" s="28"/>
      <c r="BS9" s="28"/>
      <c r="BW9" s="28"/>
      <c r="CA9" s="28"/>
    </row>
    <row r="10" spans="1:82" ht="15" thickBot="1" x14ac:dyDescent="0.35">
      <c r="B10" s="72" t="s">
        <v>695</v>
      </c>
      <c r="C10" s="72" t="s">
        <v>679</v>
      </c>
      <c r="D10" s="72" t="s">
        <v>696</v>
      </c>
      <c r="E10" s="72" t="s">
        <v>697</v>
      </c>
      <c r="F10" s="72" t="s">
        <v>17</v>
      </c>
      <c r="G10" s="70" t="s">
        <v>690</v>
      </c>
      <c r="H10" s="70" t="s">
        <v>698</v>
      </c>
      <c r="I10" s="72" t="s">
        <v>20</v>
      </c>
      <c r="J10" s="72" t="s">
        <v>699</v>
      </c>
      <c r="K10" s="72" t="s">
        <v>700</v>
      </c>
      <c r="M10" s="83" t="s">
        <v>701</v>
      </c>
      <c r="N10" s="87" t="s">
        <v>702</v>
      </c>
      <c r="AD10" s="173" t="s">
        <v>703</v>
      </c>
      <c r="AE10" s="170" t="s">
        <v>698</v>
      </c>
      <c r="AF10" s="70" t="s">
        <v>20</v>
      </c>
      <c r="AG10" s="70" t="s">
        <v>699</v>
      </c>
      <c r="AH10" s="70" t="s">
        <v>700</v>
      </c>
      <c r="AI10" s="173" t="s">
        <v>704</v>
      </c>
      <c r="AJ10" s="174" t="s">
        <v>705</v>
      </c>
      <c r="AK10" s="174" t="s">
        <v>706</v>
      </c>
      <c r="AL10" s="175" t="s">
        <v>707</v>
      </c>
      <c r="AM10" s="173" t="s">
        <v>708</v>
      </c>
      <c r="AN10" s="174" t="s">
        <v>709</v>
      </c>
      <c r="AO10" s="174" t="s">
        <v>710</v>
      </c>
      <c r="AP10" s="175" t="s">
        <v>711</v>
      </c>
      <c r="AQ10" s="173" t="s">
        <v>712</v>
      </c>
      <c r="AR10" s="174" t="s">
        <v>713</v>
      </c>
      <c r="AS10" s="174" t="s">
        <v>714</v>
      </c>
      <c r="AT10" s="175" t="s">
        <v>715</v>
      </c>
      <c r="AU10" s="173" t="s">
        <v>716</v>
      </c>
      <c r="AV10" s="174" t="s">
        <v>717</v>
      </c>
      <c r="AW10" s="174" t="s">
        <v>718</v>
      </c>
      <c r="AX10" s="175" t="s">
        <v>719</v>
      </c>
      <c r="AY10" s="173" t="s">
        <v>720</v>
      </c>
      <c r="AZ10" s="174" t="s">
        <v>721</v>
      </c>
      <c r="BA10" s="174" t="s">
        <v>722</v>
      </c>
      <c r="BB10" s="175" t="s">
        <v>723</v>
      </c>
      <c r="BC10" s="173" t="s">
        <v>724</v>
      </c>
      <c r="BD10" s="174" t="s">
        <v>725</v>
      </c>
      <c r="BE10" s="174" t="s">
        <v>726</v>
      </c>
      <c r="BF10" s="175" t="s">
        <v>727</v>
      </c>
      <c r="BG10" s="173" t="s">
        <v>728</v>
      </c>
      <c r="BH10" s="174" t="s">
        <v>729</v>
      </c>
      <c r="BI10" s="174" t="s">
        <v>730</v>
      </c>
      <c r="BJ10" s="175" t="s">
        <v>731</v>
      </c>
      <c r="BK10" s="173" t="s">
        <v>732</v>
      </c>
      <c r="BL10" s="174" t="s">
        <v>733</v>
      </c>
      <c r="BM10" s="174" t="s">
        <v>734</v>
      </c>
      <c r="BN10" s="175" t="s">
        <v>735</v>
      </c>
      <c r="BO10" s="173" t="s">
        <v>736</v>
      </c>
      <c r="BP10" s="174" t="s">
        <v>737</v>
      </c>
      <c r="BQ10" s="174" t="s">
        <v>738</v>
      </c>
      <c r="BR10" s="175" t="s">
        <v>739</v>
      </c>
      <c r="BS10" s="173" t="s">
        <v>740</v>
      </c>
      <c r="BT10" s="174" t="s">
        <v>741</v>
      </c>
      <c r="BU10" s="174" t="s">
        <v>742</v>
      </c>
      <c r="BV10" s="175" t="s">
        <v>743</v>
      </c>
      <c r="BW10" s="173" t="s">
        <v>744</v>
      </c>
      <c r="BX10" s="174" t="s">
        <v>745</v>
      </c>
      <c r="BY10" s="174" t="s">
        <v>746</v>
      </c>
      <c r="BZ10" s="175" t="s">
        <v>747</v>
      </c>
      <c r="CA10" s="173" t="s">
        <v>748</v>
      </c>
      <c r="CB10" s="174" t="s">
        <v>749</v>
      </c>
      <c r="CC10" s="174" t="s">
        <v>750</v>
      </c>
      <c r="CD10" s="174" t="s">
        <v>751</v>
      </c>
    </row>
    <row r="11" spans="1:82" x14ac:dyDescent="0.3">
      <c r="B11" s="52" t="s">
        <v>752</v>
      </c>
      <c r="C11" s="52" t="str">
        <f t="shared" ref="C11:C62" si="0">$A$3</f>
        <v>CPU_Cerca</v>
      </c>
      <c r="D11" s="277">
        <f t="shared" ref="D11:D62" si="1">$B$6</f>
        <v>200</v>
      </c>
      <c r="E11" s="277">
        <f t="shared" ref="E11:E62" si="2">$B$7</f>
        <v>31875</v>
      </c>
      <c r="F11" s="37"/>
      <c r="G11" s="38"/>
      <c r="H11" s="91"/>
      <c r="I11" s="40"/>
      <c r="J11" s="40">
        <f>IFERROR(K11/$B$6,0)</f>
        <v>3.4090909090909087</v>
      </c>
      <c r="K11" s="40">
        <f>SUM(K12:K23)</f>
        <v>681.81818181818176</v>
      </c>
      <c r="M11" s="294" t="s">
        <v>753</v>
      </c>
      <c r="N11" s="295" t="s">
        <v>754</v>
      </c>
      <c r="O11" s="296" t="s">
        <v>755</v>
      </c>
      <c r="AD11" s="144" t="str">
        <f>$B$3</f>
        <v>Cerca</v>
      </c>
      <c r="AE11" s="176"/>
      <c r="AF11" s="177"/>
      <c r="AG11" s="177">
        <f>IFERROR(AH11/AF$3,0)</f>
        <v>0</v>
      </c>
      <c r="AH11" s="178">
        <f>SUM(AH12:AH23)</f>
        <v>0</v>
      </c>
      <c r="AI11" s="176"/>
      <c r="AJ11" s="177"/>
      <c r="AK11" s="177">
        <f>IFERROR(AL11/AJ$3,0)</f>
        <v>0</v>
      </c>
      <c r="AL11" s="178">
        <f>SUM(AL12:AL23)</f>
        <v>0</v>
      </c>
      <c r="AM11" s="176"/>
      <c r="AN11" s="177"/>
      <c r="AO11" s="177">
        <f>IFERROR(AP11/AN$3,0)</f>
        <v>0</v>
      </c>
      <c r="AP11" s="178">
        <f>SUM(AP12:AP23)</f>
        <v>0</v>
      </c>
      <c r="AQ11" s="176"/>
      <c r="AR11" s="177"/>
      <c r="AS11" s="177">
        <f>IFERROR(AT11/AR$3,0)</f>
        <v>0</v>
      </c>
      <c r="AT11" s="178">
        <f>SUM(AT12:AT23)</f>
        <v>0</v>
      </c>
      <c r="AU11" s="176"/>
      <c r="AV11" s="177"/>
      <c r="AW11" s="177">
        <f>IFERROR(AX11/AV$3,0)</f>
        <v>0</v>
      </c>
      <c r="AX11" s="178">
        <f>SUM(AX12:AX23)</f>
        <v>0</v>
      </c>
      <c r="AY11" s="176"/>
      <c r="AZ11" s="177"/>
      <c r="BA11" s="177">
        <f>IFERROR(BB11/AZ$3,0)</f>
        <v>0</v>
      </c>
      <c r="BB11" s="178">
        <f>SUM(BB12:BB23)</f>
        <v>0</v>
      </c>
      <c r="BC11" s="176"/>
      <c r="BD11" s="177"/>
      <c r="BE11" s="177">
        <f>IFERROR(BF11/BD$3,0)</f>
        <v>0</v>
      </c>
      <c r="BF11" s="178">
        <f>SUM(BF12:BF23)</f>
        <v>0</v>
      </c>
      <c r="BG11" s="176"/>
      <c r="BH11" s="177"/>
      <c r="BI11" s="177">
        <f>IFERROR(BJ11/BH$3,0)</f>
        <v>0</v>
      </c>
      <c r="BJ11" s="178">
        <f>SUM(BJ12:BJ23)</f>
        <v>0</v>
      </c>
      <c r="BK11" s="176"/>
      <c r="BL11" s="177"/>
      <c r="BM11" s="177">
        <f>IFERROR(BN11/BL$3,0)</f>
        <v>0</v>
      </c>
      <c r="BN11" s="178">
        <f>SUM(BN12:BN23)</f>
        <v>0</v>
      </c>
      <c r="BO11" s="176"/>
      <c r="BP11" s="177"/>
      <c r="BQ11" s="177">
        <f>IFERROR(BR11/BP$3,0)</f>
        <v>0</v>
      </c>
      <c r="BR11" s="178">
        <f>SUM(BR12:BR23)</f>
        <v>0</v>
      </c>
      <c r="BS11" s="176"/>
      <c r="BT11" s="177"/>
      <c r="BU11" s="177">
        <f>IFERROR(BV11/BT$3,0)</f>
        <v>0</v>
      </c>
      <c r="BV11" s="178">
        <f>SUM(BV12:BV23)</f>
        <v>0</v>
      </c>
      <c r="BW11" s="176"/>
      <c r="BX11" s="177"/>
      <c r="BY11" s="177">
        <f>IFERROR(BZ11/BX$3,0)</f>
        <v>0</v>
      </c>
      <c r="BZ11" s="178">
        <f>SUM(BZ12:BZ23)</f>
        <v>0</v>
      </c>
      <c r="CA11" s="176"/>
      <c r="CB11" s="177"/>
      <c r="CC11" s="177">
        <f>IFERROR(CD11/CB$3,0)</f>
        <v>0</v>
      </c>
      <c r="CD11" s="178">
        <f>SUM(CD12:CD23)</f>
        <v>0</v>
      </c>
    </row>
    <row r="12" spans="1:82" x14ac:dyDescent="0.3">
      <c r="B12" s="53"/>
      <c r="C12" s="53" t="str">
        <f t="shared" si="0"/>
        <v>CPU_Cerca</v>
      </c>
      <c r="D12" s="278">
        <f t="shared" si="1"/>
        <v>200</v>
      </c>
      <c r="E12" s="278">
        <f t="shared" si="2"/>
        <v>31875</v>
      </c>
      <c r="F12" s="46" t="s">
        <v>757</v>
      </c>
      <c r="G12" s="28" t="str">
        <f>IFERROR(VLOOKUP(F12,Tabela7[[RECURSO]:[CUSTO]],2,FALSE),"")</f>
        <v>DIA</v>
      </c>
      <c r="H12" s="92">
        <v>1</v>
      </c>
      <c r="I12" s="90">
        <f>30/22</f>
        <v>1.3636363636363635</v>
      </c>
      <c r="J12" s="45">
        <f>IFERROR(VLOOKUP(F12,Tabela7[[RECURSO]:[CUSTO]],3,FALSE),0)</f>
        <v>500</v>
      </c>
      <c r="K12" s="45">
        <f>I12*J12*CPU_59[[#This Row],[Nº]]</f>
        <v>681.81818181818176</v>
      </c>
      <c r="M12" s="31">
        <f>80*2/5</f>
        <v>32</v>
      </c>
      <c r="N12" s="297">
        <v>1</v>
      </c>
      <c r="O12" s="60">
        <f>IFERROR($B$6/(H12*I12*N12),0)</f>
        <v>146.66666666666669</v>
      </c>
      <c r="AD12" s="144" t="str">
        <f t="shared" ref="AD12:AD62" si="3">$B$3</f>
        <v>Cerca</v>
      </c>
      <c r="AE12" s="179"/>
      <c r="AF12" s="180">
        <f>AJ12+AN12+AR12+AV12+AZ12+BD12+BH12+BL12+BP12+BT12+BX12+CB12</f>
        <v>0</v>
      </c>
      <c r="AG12" s="180">
        <f>IFERROR(AH12/AF12,0)</f>
        <v>0</v>
      </c>
      <c r="AH12" s="181">
        <f>AL12+AP12+AT12+AX12+BB12+BF12+BJ12+BN12+BR12+BV12+BZ12+CD12</f>
        <v>0</v>
      </c>
      <c r="AI12" s="182"/>
      <c r="AJ12" s="90"/>
      <c r="AK12" s="90"/>
      <c r="AL12" s="183">
        <f>AJ12*AK12</f>
        <v>0</v>
      </c>
      <c r="AM12" s="182"/>
      <c r="AN12" s="90"/>
      <c r="AO12" s="90"/>
      <c r="AP12" s="183">
        <f t="shared" ref="AP12:AP23" si="4">AN12*AO12</f>
        <v>0</v>
      </c>
      <c r="AQ12" s="182"/>
      <c r="AR12" s="90"/>
      <c r="AS12" s="90"/>
      <c r="AT12" s="183">
        <f t="shared" ref="AT12:AT23" si="5">AR12*AS12</f>
        <v>0</v>
      </c>
      <c r="AU12" s="182"/>
      <c r="AV12" s="90"/>
      <c r="AW12" s="90"/>
      <c r="AX12" s="183">
        <f t="shared" ref="AX12:AX23" si="6">AV12*AW12</f>
        <v>0</v>
      </c>
      <c r="AY12" s="182"/>
      <c r="AZ12" s="90"/>
      <c r="BA12" s="90"/>
      <c r="BB12" s="183">
        <f t="shared" ref="BB12:BB23" si="7">AZ12*BA12</f>
        <v>0</v>
      </c>
      <c r="BC12" s="182"/>
      <c r="BD12" s="90"/>
      <c r="BE12" s="90"/>
      <c r="BF12" s="183">
        <f t="shared" ref="BF12:BF23" si="8">BD12*BE12</f>
        <v>0</v>
      </c>
      <c r="BG12" s="182"/>
      <c r="BH12" s="90"/>
      <c r="BI12" s="90"/>
      <c r="BJ12" s="183">
        <f t="shared" ref="BJ12:BJ23" si="9">BH12*BI12</f>
        <v>0</v>
      </c>
      <c r="BK12" s="182"/>
      <c r="BL12" s="90"/>
      <c r="BM12" s="90"/>
      <c r="BN12" s="183">
        <f t="shared" ref="BN12:BN23" si="10">BL12*BM12</f>
        <v>0</v>
      </c>
      <c r="BO12" s="182"/>
      <c r="BP12" s="90"/>
      <c r="BQ12" s="90"/>
      <c r="BR12" s="183">
        <f t="shared" ref="BR12:BR23" si="11">BP12*BQ12</f>
        <v>0</v>
      </c>
      <c r="BS12" s="182"/>
      <c r="BT12" s="90"/>
      <c r="BU12" s="90"/>
      <c r="BV12" s="183">
        <f t="shared" ref="BV12:BV23" si="12">BT12*BU12</f>
        <v>0</v>
      </c>
      <c r="BW12" s="182"/>
      <c r="BX12" s="90"/>
      <c r="BY12" s="90"/>
      <c r="BZ12" s="183">
        <f t="shared" ref="BZ12:BZ23" si="13">BX12*BY12</f>
        <v>0</v>
      </c>
      <c r="CA12" s="182"/>
      <c r="CB12" s="90"/>
      <c r="CC12" s="90"/>
      <c r="CD12" s="183">
        <f t="shared" ref="CD12:CD23" si="14">CB12*CC12</f>
        <v>0</v>
      </c>
    </row>
    <row r="13" spans="1:82" x14ac:dyDescent="0.3">
      <c r="B13" s="53"/>
      <c r="C13" s="53" t="str">
        <f t="shared" si="0"/>
        <v>CPU_Cerca</v>
      </c>
      <c r="D13" s="278">
        <f t="shared" si="1"/>
        <v>200</v>
      </c>
      <c r="E13" s="278">
        <f t="shared" si="2"/>
        <v>31875</v>
      </c>
      <c r="F13" s="1"/>
      <c r="G13" s="28" t="str">
        <f>IFERROR(VLOOKUP(F13,Tabela7[[RECURSO]:[CUSTO]],2,FALSE),"")</f>
        <v/>
      </c>
      <c r="H13" s="92"/>
      <c r="I13" s="90"/>
      <c r="J13" s="45">
        <f>IFERROR(VLOOKUP(F13,Tabela7[[RECURSO]:[CUSTO]],3,FALSE),0)</f>
        <v>0</v>
      </c>
      <c r="K13" s="45">
        <f>I13*J13*CPU_59[[#This Row],[Nº]]</f>
        <v>0</v>
      </c>
      <c r="M13" s="31"/>
      <c r="N13" s="297"/>
      <c r="O13" s="60">
        <f t="shared" ref="O13:O23" si="15">IFERROR($B$6/(H13*I13),0)</f>
        <v>0</v>
      </c>
      <c r="AD13" s="144" t="str">
        <f t="shared" si="3"/>
        <v>Cerca</v>
      </c>
      <c r="AE13" s="179"/>
      <c r="AF13" s="180">
        <f t="shared" ref="AF13:AF23" si="16">AJ13+AN13+AR13+AV13+AZ13+BD13+BH13+BL13+BP13+BT13+BX13+CB13</f>
        <v>0</v>
      </c>
      <c r="AG13" s="180">
        <f t="shared" ref="AG13:AG62" si="17">IFERROR(AH13/AF13,0)</f>
        <v>0</v>
      </c>
      <c r="AH13" s="181">
        <f t="shared" ref="AH13:AH23" si="18">AL13+AP13+AT13+AX13+BB13+BF13+BJ13+BN13+BR13+BV13+BZ13+CD13</f>
        <v>0</v>
      </c>
      <c r="AI13" s="182"/>
      <c r="AJ13" s="90"/>
      <c r="AK13" s="90"/>
      <c r="AL13" s="183">
        <f t="shared" ref="AL13:AL23" si="19">AJ13*AK13</f>
        <v>0</v>
      </c>
      <c r="AM13" s="182"/>
      <c r="AN13" s="90"/>
      <c r="AO13" s="90"/>
      <c r="AP13" s="183">
        <f t="shared" si="4"/>
        <v>0</v>
      </c>
      <c r="AQ13" s="182"/>
      <c r="AR13" s="90"/>
      <c r="AS13" s="90"/>
      <c r="AT13" s="183">
        <f t="shared" si="5"/>
        <v>0</v>
      </c>
      <c r="AU13" s="182"/>
      <c r="AV13" s="90"/>
      <c r="AW13" s="90"/>
      <c r="AX13" s="183">
        <f t="shared" si="6"/>
        <v>0</v>
      </c>
      <c r="AY13" s="182"/>
      <c r="AZ13" s="90"/>
      <c r="BA13" s="90"/>
      <c r="BB13" s="183">
        <f t="shared" si="7"/>
        <v>0</v>
      </c>
      <c r="BC13" s="182"/>
      <c r="BD13" s="90"/>
      <c r="BE13" s="90"/>
      <c r="BF13" s="183">
        <f t="shared" si="8"/>
        <v>0</v>
      </c>
      <c r="BG13" s="182"/>
      <c r="BH13" s="90"/>
      <c r="BI13" s="90"/>
      <c r="BJ13" s="183">
        <f t="shared" si="9"/>
        <v>0</v>
      </c>
      <c r="BK13" s="182"/>
      <c r="BL13" s="90"/>
      <c r="BM13" s="90"/>
      <c r="BN13" s="183">
        <f t="shared" si="10"/>
        <v>0</v>
      </c>
      <c r="BO13" s="182"/>
      <c r="BP13" s="90"/>
      <c r="BQ13" s="90"/>
      <c r="BR13" s="183">
        <f t="shared" si="11"/>
        <v>0</v>
      </c>
      <c r="BS13" s="182"/>
      <c r="BT13" s="90"/>
      <c r="BU13" s="90"/>
      <c r="BV13" s="183">
        <f t="shared" si="12"/>
        <v>0</v>
      </c>
      <c r="BW13" s="182"/>
      <c r="BX13" s="90"/>
      <c r="BY13" s="90"/>
      <c r="BZ13" s="183">
        <f t="shared" si="13"/>
        <v>0</v>
      </c>
      <c r="CA13" s="182"/>
      <c r="CB13" s="90"/>
      <c r="CC13" s="90"/>
      <c r="CD13" s="183">
        <f t="shared" si="14"/>
        <v>0</v>
      </c>
    </row>
    <row r="14" spans="1:82" x14ac:dyDescent="0.3">
      <c r="B14" s="53"/>
      <c r="C14" s="53" t="str">
        <f t="shared" si="0"/>
        <v>CPU_Cerca</v>
      </c>
      <c r="D14" s="278">
        <f t="shared" si="1"/>
        <v>200</v>
      </c>
      <c r="E14" s="278">
        <f t="shared" si="2"/>
        <v>31875</v>
      </c>
      <c r="F14" s="1"/>
      <c r="G14" s="28" t="str">
        <f>IFERROR(VLOOKUP(F14,Tabela7[[RECURSO]:[CUSTO]],2,FALSE),"")</f>
        <v/>
      </c>
      <c r="H14" s="92"/>
      <c r="I14" s="90"/>
      <c r="J14" s="45">
        <f>IFERROR(VLOOKUP(F14,Tabela7[[RECURSO]:[CUSTO]],3,FALSE),0)</f>
        <v>0</v>
      </c>
      <c r="K14" s="45">
        <f>I14*J14*CPU_59[[#This Row],[Nº]]</f>
        <v>0</v>
      </c>
      <c r="M14" s="31"/>
      <c r="N14" s="297"/>
      <c r="O14" s="60">
        <f t="shared" si="15"/>
        <v>0</v>
      </c>
      <c r="AD14" s="144" t="str">
        <f t="shared" si="3"/>
        <v>Cerca</v>
      </c>
      <c r="AE14" s="179"/>
      <c r="AF14" s="180">
        <f t="shared" si="16"/>
        <v>0</v>
      </c>
      <c r="AG14" s="180">
        <f t="shared" si="17"/>
        <v>0</v>
      </c>
      <c r="AH14" s="181">
        <f t="shared" si="18"/>
        <v>0</v>
      </c>
      <c r="AI14" s="182"/>
      <c r="AJ14" s="90"/>
      <c r="AK14" s="90"/>
      <c r="AL14" s="183">
        <f t="shared" si="19"/>
        <v>0</v>
      </c>
      <c r="AM14" s="182"/>
      <c r="AN14" s="90"/>
      <c r="AO14" s="90"/>
      <c r="AP14" s="183">
        <f t="shared" si="4"/>
        <v>0</v>
      </c>
      <c r="AQ14" s="182"/>
      <c r="AR14" s="90"/>
      <c r="AS14" s="90"/>
      <c r="AT14" s="183">
        <f t="shared" si="5"/>
        <v>0</v>
      </c>
      <c r="AU14" s="182"/>
      <c r="AV14" s="90"/>
      <c r="AW14" s="90"/>
      <c r="AX14" s="183">
        <f t="shared" si="6"/>
        <v>0</v>
      </c>
      <c r="AY14" s="182"/>
      <c r="AZ14" s="90"/>
      <c r="BA14" s="90"/>
      <c r="BB14" s="183">
        <f t="shared" si="7"/>
        <v>0</v>
      </c>
      <c r="BC14" s="182"/>
      <c r="BD14" s="90"/>
      <c r="BE14" s="90"/>
      <c r="BF14" s="183">
        <f t="shared" si="8"/>
        <v>0</v>
      </c>
      <c r="BG14" s="182"/>
      <c r="BH14" s="90"/>
      <c r="BI14" s="90"/>
      <c r="BJ14" s="183">
        <f t="shared" si="9"/>
        <v>0</v>
      </c>
      <c r="BK14" s="182"/>
      <c r="BL14" s="90"/>
      <c r="BM14" s="90"/>
      <c r="BN14" s="183">
        <f t="shared" si="10"/>
        <v>0</v>
      </c>
      <c r="BO14" s="182"/>
      <c r="BP14" s="90"/>
      <c r="BQ14" s="90"/>
      <c r="BR14" s="183">
        <f t="shared" si="11"/>
        <v>0</v>
      </c>
      <c r="BS14" s="182"/>
      <c r="BT14" s="90"/>
      <c r="BU14" s="90"/>
      <c r="BV14" s="183">
        <f t="shared" si="12"/>
        <v>0</v>
      </c>
      <c r="BW14" s="182"/>
      <c r="BX14" s="90"/>
      <c r="BY14" s="90"/>
      <c r="BZ14" s="183">
        <f t="shared" si="13"/>
        <v>0</v>
      </c>
      <c r="CA14" s="182"/>
      <c r="CB14" s="90"/>
      <c r="CC14" s="90"/>
      <c r="CD14" s="183">
        <f t="shared" si="14"/>
        <v>0</v>
      </c>
    </row>
    <row r="15" spans="1:82" x14ac:dyDescent="0.3">
      <c r="B15" s="153"/>
      <c r="C15" s="153" t="str">
        <f t="shared" si="0"/>
        <v>CPU_Cerca</v>
      </c>
      <c r="D15" s="279">
        <f t="shared" si="1"/>
        <v>200</v>
      </c>
      <c r="E15" s="279">
        <f t="shared" si="2"/>
        <v>31875</v>
      </c>
      <c r="F15" s="1"/>
      <c r="G15" s="28" t="str">
        <f>IFERROR(VLOOKUP(F15,Tabela7[[RECURSO]:[CUSTO]],2,FALSE),"")</f>
        <v/>
      </c>
      <c r="H15" s="92"/>
      <c r="I15" s="90"/>
      <c r="J15" s="45">
        <f>IFERROR(VLOOKUP(F15,Tabela7[[RECURSO]:[CUSTO]],3,FALSE),0)</f>
        <v>0</v>
      </c>
      <c r="K15" s="45">
        <f>I15*J15*CPU_59[[#This Row],[Nº]]</f>
        <v>0</v>
      </c>
      <c r="M15" s="31"/>
      <c r="N15" s="297"/>
      <c r="O15" s="60">
        <f t="shared" si="15"/>
        <v>0</v>
      </c>
      <c r="AD15" s="144" t="str">
        <f t="shared" si="3"/>
        <v>Cerca</v>
      </c>
      <c r="AE15" s="179"/>
      <c r="AF15" s="180">
        <f t="shared" si="16"/>
        <v>0</v>
      </c>
      <c r="AG15" s="180">
        <f t="shared" si="17"/>
        <v>0</v>
      </c>
      <c r="AH15" s="181">
        <f t="shared" si="18"/>
        <v>0</v>
      </c>
      <c r="AI15" s="182"/>
      <c r="AJ15" s="90"/>
      <c r="AK15" s="90"/>
      <c r="AL15" s="183">
        <f t="shared" si="19"/>
        <v>0</v>
      </c>
      <c r="AM15" s="182"/>
      <c r="AN15" s="90"/>
      <c r="AO15" s="90"/>
      <c r="AP15" s="183">
        <f t="shared" si="4"/>
        <v>0</v>
      </c>
      <c r="AQ15" s="182"/>
      <c r="AR15" s="90"/>
      <c r="AS15" s="90"/>
      <c r="AT15" s="183">
        <f t="shared" si="5"/>
        <v>0</v>
      </c>
      <c r="AU15" s="182"/>
      <c r="AV15" s="90"/>
      <c r="AW15" s="90"/>
      <c r="AX15" s="183">
        <f t="shared" si="6"/>
        <v>0</v>
      </c>
      <c r="AY15" s="182"/>
      <c r="AZ15" s="90"/>
      <c r="BA15" s="90"/>
      <c r="BB15" s="183">
        <f t="shared" si="7"/>
        <v>0</v>
      </c>
      <c r="BC15" s="182"/>
      <c r="BD15" s="90"/>
      <c r="BE15" s="90"/>
      <c r="BF15" s="183">
        <f t="shared" si="8"/>
        <v>0</v>
      </c>
      <c r="BG15" s="182"/>
      <c r="BH15" s="90"/>
      <c r="BI15" s="90"/>
      <c r="BJ15" s="183">
        <f t="shared" si="9"/>
        <v>0</v>
      </c>
      <c r="BK15" s="182"/>
      <c r="BL15" s="90"/>
      <c r="BM15" s="90"/>
      <c r="BN15" s="183">
        <f t="shared" si="10"/>
        <v>0</v>
      </c>
      <c r="BO15" s="182"/>
      <c r="BP15" s="90"/>
      <c r="BQ15" s="90"/>
      <c r="BR15" s="183">
        <f t="shared" si="11"/>
        <v>0</v>
      </c>
      <c r="BS15" s="182"/>
      <c r="BT15" s="90"/>
      <c r="BU15" s="90"/>
      <c r="BV15" s="183">
        <f t="shared" si="12"/>
        <v>0</v>
      </c>
      <c r="BW15" s="182"/>
      <c r="BX15" s="90"/>
      <c r="BY15" s="90"/>
      <c r="BZ15" s="183">
        <f t="shared" si="13"/>
        <v>0</v>
      </c>
      <c r="CA15" s="182"/>
      <c r="CB15" s="90"/>
      <c r="CC15" s="90"/>
      <c r="CD15" s="183">
        <f t="shared" si="14"/>
        <v>0</v>
      </c>
    </row>
    <row r="16" spans="1:82" x14ac:dyDescent="0.3">
      <c r="B16" s="53"/>
      <c r="C16" s="53" t="str">
        <f t="shared" si="0"/>
        <v>CPU_Cerca</v>
      </c>
      <c r="D16" s="278">
        <f t="shared" si="1"/>
        <v>200</v>
      </c>
      <c r="E16" s="278">
        <f t="shared" si="2"/>
        <v>31875</v>
      </c>
      <c r="F16" s="1"/>
      <c r="G16" s="28" t="str">
        <f>IFERROR(VLOOKUP(F16,Tabela7[[RECURSO]:[CUSTO]],2,FALSE),"")</f>
        <v/>
      </c>
      <c r="H16" s="92"/>
      <c r="I16" s="90"/>
      <c r="J16" s="45">
        <f>IFERROR(VLOOKUP(F16,Tabela7[[RECURSO]:[CUSTO]],3,FALSE),0)</f>
        <v>0</v>
      </c>
      <c r="K16" s="45">
        <f>I16*J16*CPU_59[[#This Row],[Nº]]</f>
        <v>0</v>
      </c>
      <c r="M16" s="31"/>
      <c r="N16" s="297"/>
      <c r="O16" s="60">
        <f t="shared" si="15"/>
        <v>0</v>
      </c>
      <c r="AD16" s="144" t="str">
        <f t="shared" si="3"/>
        <v>Cerca</v>
      </c>
      <c r="AE16" s="179"/>
      <c r="AF16" s="180">
        <f t="shared" si="16"/>
        <v>0</v>
      </c>
      <c r="AG16" s="180">
        <f t="shared" si="17"/>
        <v>0</v>
      </c>
      <c r="AH16" s="181">
        <f t="shared" si="18"/>
        <v>0</v>
      </c>
      <c r="AI16" s="182"/>
      <c r="AJ16" s="90"/>
      <c r="AK16" s="90"/>
      <c r="AL16" s="183">
        <f t="shared" si="19"/>
        <v>0</v>
      </c>
      <c r="AM16" s="182"/>
      <c r="AN16" s="90"/>
      <c r="AO16" s="90"/>
      <c r="AP16" s="183">
        <f t="shared" si="4"/>
        <v>0</v>
      </c>
      <c r="AQ16" s="182"/>
      <c r="AR16" s="90"/>
      <c r="AS16" s="90"/>
      <c r="AT16" s="183">
        <f t="shared" si="5"/>
        <v>0</v>
      </c>
      <c r="AU16" s="182"/>
      <c r="AV16" s="90"/>
      <c r="AW16" s="90"/>
      <c r="AX16" s="183">
        <f t="shared" si="6"/>
        <v>0</v>
      </c>
      <c r="AY16" s="182"/>
      <c r="AZ16" s="90"/>
      <c r="BA16" s="90"/>
      <c r="BB16" s="183">
        <f t="shared" si="7"/>
        <v>0</v>
      </c>
      <c r="BC16" s="182"/>
      <c r="BD16" s="90"/>
      <c r="BE16" s="90"/>
      <c r="BF16" s="183">
        <f t="shared" si="8"/>
        <v>0</v>
      </c>
      <c r="BG16" s="182"/>
      <c r="BH16" s="90"/>
      <c r="BI16" s="90"/>
      <c r="BJ16" s="183">
        <f t="shared" si="9"/>
        <v>0</v>
      </c>
      <c r="BK16" s="182"/>
      <c r="BL16" s="90"/>
      <c r="BM16" s="90"/>
      <c r="BN16" s="183">
        <f t="shared" si="10"/>
        <v>0</v>
      </c>
      <c r="BO16" s="182"/>
      <c r="BP16" s="90"/>
      <c r="BQ16" s="90"/>
      <c r="BR16" s="183">
        <f t="shared" si="11"/>
        <v>0</v>
      </c>
      <c r="BS16" s="182"/>
      <c r="BT16" s="90"/>
      <c r="BU16" s="90"/>
      <c r="BV16" s="183">
        <f t="shared" si="12"/>
        <v>0</v>
      </c>
      <c r="BW16" s="182"/>
      <c r="BX16" s="90"/>
      <c r="BY16" s="90"/>
      <c r="BZ16" s="183">
        <f t="shared" si="13"/>
        <v>0</v>
      </c>
      <c r="CA16" s="182"/>
      <c r="CB16" s="90"/>
      <c r="CC16" s="90"/>
      <c r="CD16" s="183">
        <f t="shared" si="14"/>
        <v>0</v>
      </c>
    </row>
    <row r="17" spans="2:82" x14ac:dyDescent="0.3">
      <c r="B17" s="53"/>
      <c r="C17" s="53" t="str">
        <f t="shared" si="0"/>
        <v>CPU_Cerca</v>
      </c>
      <c r="D17" s="278">
        <f t="shared" si="1"/>
        <v>200</v>
      </c>
      <c r="E17" s="278">
        <f t="shared" si="2"/>
        <v>31875</v>
      </c>
      <c r="F17" s="1"/>
      <c r="G17" s="28" t="str">
        <f>IFERROR(VLOOKUP(F17,Tabela7[[RECURSO]:[CUSTO]],2,FALSE),"")</f>
        <v/>
      </c>
      <c r="H17" s="92"/>
      <c r="I17" s="90"/>
      <c r="J17" s="45">
        <f>IFERROR(VLOOKUP(F17,Tabela7[[RECURSO]:[CUSTO]],3,FALSE),0)</f>
        <v>0</v>
      </c>
      <c r="K17" s="45">
        <f>I17*J17*CPU_59[[#This Row],[Nº]]</f>
        <v>0</v>
      </c>
      <c r="M17" s="31"/>
      <c r="N17" s="297"/>
      <c r="O17" s="60">
        <f t="shared" si="15"/>
        <v>0</v>
      </c>
      <c r="AD17" s="144" t="str">
        <f t="shared" si="3"/>
        <v>Cerca</v>
      </c>
      <c r="AE17" s="179"/>
      <c r="AF17" s="180">
        <f t="shared" si="16"/>
        <v>0</v>
      </c>
      <c r="AG17" s="180">
        <f t="shared" si="17"/>
        <v>0</v>
      </c>
      <c r="AH17" s="181">
        <f t="shared" si="18"/>
        <v>0</v>
      </c>
      <c r="AI17" s="182"/>
      <c r="AJ17" s="90"/>
      <c r="AK17" s="90"/>
      <c r="AL17" s="183">
        <f t="shared" si="19"/>
        <v>0</v>
      </c>
      <c r="AM17" s="182"/>
      <c r="AN17" s="90"/>
      <c r="AO17" s="90"/>
      <c r="AP17" s="183">
        <f t="shared" si="4"/>
        <v>0</v>
      </c>
      <c r="AQ17" s="182"/>
      <c r="AR17" s="90"/>
      <c r="AS17" s="90"/>
      <c r="AT17" s="183">
        <f t="shared" si="5"/>
        <v>0</v>
      </c>
      <c r="AU17" s="182"/>
      <c r="AV17" s="90"/>
      <c r="AW17" s="90"/>
      <c r="AX17" s="183">
        <f t="shared" si="6"/>
        <v>0</v>
      </c>
      <c r="AY17" s="182"/>
      <c r="AZ17" s="90"/>
      <c r="BA17" s="90"/>
      <c r="BB17" s="183">
        <f t="shared" si="7"/>
        <v>0</v>
      </c>
      <c r="BC17" s="182"/>
      <c r="BD17" s="90"/>
      <c r="BE17" s="90"/>
      <c r="BF17" s="183">
        <f t="shared" si="8"/>
        <v>0</v>
      </c>
      <c r="BG17" s="182"/>
      <c r="BH17" s="90"/>
      <c r="BI17" s="90"/>
      <c r="BJ17" s="183">
        <f t="shared" si="9"/>
        <v>0</v>
      </c>
      <c r="BK17" s="182"/>
      <c r="BL17" s="90"/>
      <c r="BM17" s="90"/>
      <c r="BN17" s="183">
        <f t="shared" si="10"/>
        <v>0</v>
      </c>
      <c r="BO17" s="182"/>
      <c r="BP17" s="90"/>
      <c r="BQ17" s="90"/>
      <c r="BR17" s="183">
        <f t="shared" si="11"/>
        <v>0</v>
      </c>
      <c r="BS17" s="182"/>
      <c r="BT17" s="90"/>
      <c r="BU17" s="90"/>
      <c r="BV17" s="183">
        <f t="shared" si="12"/>
        <v>0</v>
      </c>
      <c r="BW17" s="182"/>
      <c r="BX17" s="90"/>
      <c r="BY17" s="90"/>
      <c r="BZ17" s="183">
        <f t="shared" si="13"/>
        <v>0</v>
      </c>
      <c r="CA17" s="182"/>
      <c r="CB17" s="90"/>
      <c r="CC17" s="90"/>
      <c r="CD17" s="183">
        <f t="shared" si="14"/>
        <v>0</v>
      </c>
    </row>
    <row r="18" spans="2:82" x14ac:dyDescent="0.3">
      <c r="B18" s="53"/>
      <c r="C18" s="53" t="str">
        <f t="shared" si="0"/>
        <v>CPU_Cerca</v>
      </c>
      <c r="D18" s="278">
        <f t="shared" si="1"/>
        <v>200</v>
      </c>
      <c r="E18" s="278">
        <f t="shared" si="2"/>
        <v>31875</v>
      </c>
      <c r="F18" s="1"/>
      <c r="G18" s="28" t="str">
        <f>IFERROR(VLOOKUP(F18,Tabela7[[RECURSO]:[CUSTO]],2,FALSE),"")</f>
        <v/>
      </c>
      <c r="H18" s="92"/>
      <c r="I18" s="90"/>
      <c r="J18" s="45">
        <f>IFERROR(VLOOKUP(F18,Tabela7[[RECURSO]:[CUSTO]],3,FALSE),0)</f>
        <v>0</v>
      </c>
      <c r="K18" s="45">
        <f>I18*J18*CPU_59[[#This Row],[Nº]]</f>
        <v>0</v>
      </c>
      <c r="M18" s="31"/>
      <c r="N18" s="297"/>
      <c r="O18" s="60">
        <f t="shared" si="15"/>
        <v>0</v>
      </c>
      <c r="AD18" s="144" t="str">
        <f t="shared" si="3"/>
        <v>Cerca</v>
      </c>
      <c r="AE18" s="179"/>
      <c r="AF18" s="180">
        <f t="shared" si="16"/>
        <v>0</v>
      </c>
      <c r="AG18" s="180">
        <f t="shared" si="17"/>
        <v>0</v>
      </c>
      <c r="AH18" s="181">
        <f t="shared" si="18"/>
        <v>0</v>
      </c>
      <c r="AI18" s="182"/>
      <c r="AJ18" s="90"/>
      <c r="AK18" s="90"/>
      <c r="AL18" s="183">
        <f t="shared" si="19"/>
        <v>0</v>
      </c>
      <c r="AM18" s="182"/>
      <c r="AN18" s="90"/>
      <c r="AO18" s="90"/>
      <c r="AP18" s="183">
        <f t="shared" si="4"/>
        <v>0</v>
      </c>
      <c r="AQ18" s="182"/>
      <c r="AR18" s="90"/>
      <c r="AS18" s="90"/>
      <c r="AT18" s="183">
        <f t="shared" si="5"/>
        <v>0</v>
      </c>
      <c r="AU18" s="182"/>
      <c r="AV18" s="90"/>
      <c r="AW18" s="90"/>
      <c r="AX18" s="183">
        <f t="shared" si="6"/>
        <v>0</v>
      </c>
      <c r="AY18" s="182"/>
      <c r="AZ18" s="90"/>
      <c r="BA18" s="90"/>
      <c r="BB18" s="183">
        <f t="shared" si="7"/>
        <v>0</v>
      </c>
      <c r="BC18" s="182"/>
      <c r="BD18" s="90"/>
      <c r="BE18" s="90"/>
      <c r="BF18" s="183">
        <f t="shared" si="8"/>
        <v>0</v>
      </c>
      <c r="BG18" s="182"/>
      <c r="BH18" s="90"/>
      <c r="BI18" s="90"/>
      <c r="BJ18" s="183">
        <f t="shared" si="9"/>
        <v>0</v>
      </c>
      <c r="BK18" s="182"/>
      <c r="BL18" s="90"/>
      <c r="BM18" s="90"/>
      <c r="BN18" s="183">
        <f t="shared" si="10"/>
        <v>0</v>
      </c>
      <c r="BO18" s="182"/>
      <c r="BP18" s="90"/>
      <c r="BQ18" s="90"/>
      <c r="BR18" s="183">
        <f t="shared" si="11"/>
        <v>0</v>
      </c>
      <c r="BS18" s="182"/>
      <c r="BT18" s="90"/>
      <c r="BU18" s="90"/>
      <c r="BV18" s="183">
        <f t="shared" si="12"/>
        <v>0</v>
      </c>
      <c r="BW18" s="182"/>
      <c r="BX18" s="90"/>
      <c r="BY18" s="90"/>
      <c r="BZ18" s="183">
        <f t="shared" si="13"/>
        <v>0</v>
      </c>
      <c r="CA18" s="182"/>
      <c r="CB18" s="90"/>
      <c r="CC18" s="90"/>
      <c r="CD18" s="183">
        <f t="shared" si="14"/>
        <v>0</v>
      </c>
    </row>
    <row r="19" spans="2:82" x14ac:dyDescent="0.3">
      <c r="B19" s="53"/>
      <c r="C19" s="53" t="str">
        <f t="shared" si="0"/>
        <v>CPU_Cerca</v>
      </c>
      <c r="D19" s="278">
        <f t="shared" si="1"/>
        <v>200</v>
      </c>
      <c r="E19" s="278">
        <f t="shared" si="2"/>
        <v>31875</v>
      </c>
      <c r="F19" s="1"/>
      <c r="G19" s="28" t="str">
        <f>IFERROR(VLOOKUP(F19,Tabela7[[RECURSO]:[CUSTO]],2,FALSE),"")</f>
        <v/>
      </c>
      <c r="H19" s="92"/>
      <c r="I19" s="90"/>
      <c r="J19" s="45">
        <f>IFERROR(VLOOKUP(F19,Tabela7[[RECURSO]:[CUSTO]],3,FALSE),0)</f>
        <v>0</v>
      </c>
      <c r="K19" s="45">
        <f>I19*J19*CPU_59[[#This Row],[Nº]]</f>
        <v>0</v>
      </c>
      <c r="M19" s="31"/>
      <c r="N19" s="297"/>
      <c r="O19" s="60">
        <f t="shared" si="15"/>
        <v>0</v>
      </c>
      <c r="AD19" s="144" t="str">
        <f t="shared" si="3"/>
        <v>Cerca</v>
      </c>
      <c r="AE19" s="179"/>
      <c r="AF19" s="180">
        <f t="shared" si="16"/>
        <v>0</v>
      </c>
      <c r="AG19" s="180">
        <f t="shared" si="17"/>
        <v>0</v>
      </c>
      <c r="AH19" s="181">
        <f t="shared" si="18"/>
        <v>0</v>
      </c>
      <c r="AI19" s="182"/>
      <c r="AJ19" s="90"/>
      <c r="AK19" s="90"/>
      <c r="AL19" s="183">
        <f t="shared" si="19"/>
        <v>0</v>
      </c>
      <c r="AM19" s="182"/>
      <c r="AN19" s="90"/>
      <c r="AO19" s="90"/>
      <c r="AP19" s="183">
        <f t="shared" si="4"/>
        <v>0</v>
      </c>
      <c r="AQ19" s="182"/>
      <c r="AR19" s="90"/>
      <c r="AS19" s="90"/>
      <c r="AT19" s="183">
        <f t="shared" si="5"/>
        <v>0</v>
      </c>
      <c r="AU19" s="182"/>
      <c r="AV19" s="90"/>
      <c r="AW19" s="90"/>
      <c r="AX19" s="183">
        <f t="shared" si="6"/>
        <v>0</v>
      </c>
      <c r="AY19" s="182"/>
      <c r="AZ19" s="90"/>
      <c r="BA19" s="90"/>
      <c r="BB19" s="183">
        <f t="shared" si="7"/>
        <v>0</v>
      </c>
      <c r="BC19" s="182"/>
      <c r="BD19" s="90"/>
      <c r="BE19" s="90"/>
      <c r="BF19" s="183">
        <f t="shared" si="8"/>
        <v>0</v>
      </c>
      <c r="BG19" s="182"/>
      <c r="BH19" s="90"/>
      <c r="BI19" s="90"/>
      <c r="BJ19" s="183">
        <f t="shared" si="9"/>
        <v>0</v>
      </c>
      <c r="BK19" s="182"/>
      <c r="BL19" s="90"/>
      <c r="BM19" s="90"/>
      <c r="BN19" s="183">
        <f t="shared" si="10"/>
        <v>0</v>
      </c>
      <c r="BO19" s="182"/>
      <c r="BP19" s="90"/>
      <c r="BQ19" s="90"/>
      <c r="BR19" s="183">
        <f t="shared" si="11"/>
        <v>0</v>
      </c>
      <c r="BS19" s="182"/>
      <c r="BT19" s="90"/>
      <c r="BU19" s="90"/>
      <c r="BV19" s="183">
        <f t="shared" si="12"/>
        <v>0</v>
      </c>
      <c r="BW19" s="182"/>
      <c r="BX19" s="90"/>
      <c r="BY19" s="90"/>
      <c r="BZ19" s="183">
        <f t="shared" si="13"/>
        <v>0</v>
      </c>
      <c r="CA19" s="182"/>
      <c r="CB19" s="90"/>
      <c r="CC19" s="90"/>
      <c r="CD19" s="183">
        <f t="shared" si="14"/>
        <v>0</v>
      </c>
    </row>
    <row r="20" spans="2:82" x14ac:dyDescent="0.3">
      <c r="B20" s="53"/>
      <c r="C20" s="53" t="str">
        <f t="shared" si="0"/>
        <v>CPU_Cerca</v>
      </c>
      <c r="D20" s="278">
        <f t="shared" si="1"/>
        <v>200</v>
      </c>
      <c r="E20" s="278">
        <f t="shared" si="2"/>
        <v>31875</v>
      </c>
      <c r="F20" s="1"/>
      <c r="G20" s="28" t="str">
        <f>IFERROR(VLOOKUP(F20,Tabela7[[RECURSO]:[CUSTO]],2,FALSE),"")</f>
        <v/>
      </c>
      <c r="H20" s="92"/>
      <c r="I20" s="90"/>
      <c r="J20" s="45">
        <f>IFERROR(VLOOKUP(F20,Tabela7[[RECURSO]:[CUSTO]],3,FALSE),0)</f>
        <v>0</v>
      </c>
      <c r="K20" s="45">
        <f>I20*J20*CPU_59[[#This Row],[Nº]]</f>
        <v>0</v>
      </c>
      <c r="M20" s="31"/>
      <c r="N20" s="297"/>
      <c r="O20" s="60">
        <f t="shared" si="15"/>
        <v>0</v>
      </c>
      <c r="AD20" s="144" t="str">
        <f t="shared" si="3"/>
        <v>Cerca</v>
      </c>
      <c r="AE20" s="179"/>
      <c r="AF20" s="180">
        <f t="shared" si="16"/>
        <v>0</v>
      </c>
      <c r="AG20" s="180">
        <f t="shared" si="17"/>
        <v>0</v>
      </c>
      <c r="AH20" s="181">
        <f t="shared" si="18"/>
        <v>0</v>
      </c>
      <c r="AI20" s="182"/>
      <c r="AJ20" s="90"/>
      <c r="AK20" s="90"/>
      <c r="AL20" s="183">
        <f t="shared" si="19"/>
        <v>0</v>
      </c>
      <c r="AM20" s="182"/>
      <c r="AN20" s="90"/>
      <c r="AO20" s="90"/>
      <c r="AP20" s="183">
        <f t="shared" si="4"/>
        <v>0</v>
      </c>
      <c r="AQ20" s="182"/>
      <c r="AR20" s="90"/>
      <c r="AS20" s="90"/>
      <c r="AT20" s="183">
        <f t="shared" si="5"/>
        <v>0</v>
      </c>
      <c r="AU20" s="182"/>
      <c r="AV20" s="90"/>
      <c r="AW20" s="90"/>
      <c r="AX20" s="183">
        <f t="shared" si="6"/>
        <v>0</v>
      </c>
      <c r="AY20" s="182"/>
      <c r="AZ20" s="90"/>
      <c r="BA20" s="90"/>
      <c r="BB20" s="183">
        <f t="shared" si="7"/>
        <v>0</v>
      </c>
      <c r="BC20" s="182"/>
      <c r="BD20" s="90"/>
      <c r="BE20" s="90"/>
      <c r="BF20" s="183">
        <f t="shared" si="8"/>
        <v>0</v>
      </c>
      <c r="BG20" s="182"/>
      <c r="BH20" s="90"/>
      <c r="BI20" s="90"/>
      <c r="BJ20" s="183">
        <f t="shared" si="9"/>
        <v>0</v>
      </c>
      <c r="BK20" s="182"/>
      <c r="BL20" s="90"/>
      <c r="BM20" s="90"/>
      <c r="BN20" s="183">
        <f t="shared" si="10"/>
        <v>0</v>
      </c>
      <c r="BO20" s="182"/>
      <c r="BP20" s="90"/>
      <c r="BQ20" s="90"/>
      <c r="BR20" s="183">
        <f t="shared" si="11"/>
        <v>0</v>
      </c>
      <c r="BS20" s="182"/>
      <c r="BT20" s="90"/>
      <c r="BU20" s="90"/>
      <c r="BV20" s="183">
        <f t="shared" si="12"/>
        <v>0</v>
      </c>
      <c r="BW20" s="182"/>
      <c r="BX20" s="90"/>
      <c r="BY20" s="90"/>
      <c r="BZ20" s="183">
        <f t="shared" si="13"/>
        <v>0</v>
      </c>
      <c r="CA20" s="182"/>
      <c r="CB20" s="90"/>
      <c r="CC20" s="90"/>
      <c r="CD20" s="183">
        <f t="shared" si="14"/>
        <v>0</v>
      </c>
    </row>
    <row r="21" spans="2:82" x14ac:dyDescent="0.3">
      <c r="B21" s="53"/>
      <c r="C21" s="53" t="str">
        <f t="shared" si="0"/>
        <v>CPU_Cerca</v>
      </c>
      <c r="D21" s="278">
        <f t="shared" si="1"/>
        <v>200</v>
      </c>
      <c r="E21" s="278">
        <f t="shared" si="2"/>
        <v>31875</v>
      </c>
      <c r="F21" s="1"/>
      <c r="G21" s="28" t="str">
        <f>IFERROR(VLOOKUP(F21,Tabela7[[RECURSO]:[CUSTO]],2,FALSE),"")</f>
        <v/>
      </c>
      <c r="H21" s="92"/>
      <c r="I21" s="90"/>
      <c r="J21" s="45">
        <f>IFERROR(VLOOKUP(F21,Tabela7[[RECURSO]:[CUSTO]],3,FALSE),0)</f>
        <v>0</v>
      </c>
      <c r="K21" s="45">
        <f>I21*J21*CPU_59[[#This Row],[Nº]]</f>
        <v>0</v>
      </c>
      <c r="M21" s="31"/>
      <c r="N21" s="297"/>
      <c r="O21" s="60">
        <f t="shared" si="15"/>
        <v>0</v>
      </c>
      <c r="AD21" s="144" t="str">
        <f t="shared" si="3"/>
        <v>Cerca</v>
      </c>
      <c r="AE21" s="179"/>
      <c r="AF21" s="180">
        <f t="shared" si="16"/>
        <v>0</v>
      </c>
      <c r="AG21" s="180">
        <f t="shared" si="17"/>
        <v>0</v>
      </c>
      <c r="AH21" s="181">
        <f t="shared" si="18"/>
        <v>0</v>
      </c>
      <c r="AI21" s="182"/>
      <c r="AJ21" s="90"/>
      <c r="AK21" s="90"/>
      <c r="AL21" s="183">
        <f t="shared" si="19"/>
        <v>0</v>
      </c>
      <c r="AM21" s="182"/>
      <c r="AN21" s="90"/>
      <c r="AO21" s="90"/>
      <c r="AP21" s="183">
        <f t="shared" si="4"/>
        <v>0</v>
      </c>
      <c r="AQ21" s="182"/>
      <c r="AR21" s="90"/>
      <c r="AS21" s="90"/>
      <c r="AT21" s="183">
        <f t="shared" si="5"/>
        <v>0</v>
      </c>
      <c r="AU21" s="182"/>
      <c r="AV21" s="90"/>
      <c r="AW21" s="90"/>
      <c r="AX21" s="183">
        <f t="shared" si="6"/>
        <v>0</v>
      </c>
      <c r="AY21" s="182"/>
      <c r="AZ21" s="90"/>
      <c r="BA21" s="90"/>
      <c r="BB21" s="183">
        <f t="shared" si="7"/>
        <v>0</v>
      </c>
      <c r="BC21" s="182"/>
      <c r="BD21" s="90"/>
      <c r="BE21" s="90"/>
      <c r="BF21" s="183">
        <f t="shared" si="8"/>
        <v>0</v>
      </c>
      <c r="BG21" s="182"/>
      <c r="BH21" s="90"/>
      <c r="BI21" s="90"/>
      <c r="BJ21" s="183">
        <f t="shared" si="9"/>
        <v>0</v>
      </c>
      <c r="BK21" s="182"/>
      <c r="BL21" s="90"/>
      <c r="BM21" s="90"/>
      <c r="BN21" s="183">
        <f t="shared" si="10"/>
        <v>0</v>
      </c>
      <c r="BO21" s="182"/>
      <c r="BP21" s="90"/>
      <c r="BQ21" s="90"/>
      <c r="BR21" s="183">
        <f t="shared" si="11"/>
        <v>0</v>
      </c>
      <c r="BS21" s="182"/>
      <c r="BT21" s="90"/>
      <c r="BU21" s="90"/>
      <c r="BV21" s="183">
        <f t="shared" si="12"/>
        <v>0</v>
      </c>
      <c r="BW21" s="182"/>
      <c r="BX21" s="90"/>
      <c r="BY21" s="90"/>
      <c r="BZ21" s="183">
        <f t="shared" si="13"/>
        <v>0</v>
      </c>
      <c r="CA21" s="182"/>
      <c r="CB21" s="90"/>
      <c r="CC21" s="90"/>
      <c r="CD21" s="183">
        <f t="shared" si="14"/>
        <v>0</v>
      </c>
    </row>
    <row r="22" spans="2:82" x14ac:dyDescent="0.3">
      <c r="B22" s="53"/>
      <c r="C22" s="53" t="str">
        <f t="shared" si="0"/>
        <v>CPU_Cerca</v>
      </c>
      <c r="D22" s="278">
        <f t="shared" si="1"/>
        <v>200</v>
      </c>
      <c r="E22" s="278">
        <f t="shared" si="2"/>
        <v>31875</v>
      </c>
      <c r="F22" s="1"/>
      <c r="G22" s="28" t="str">
        <f>IFERROR(VLOOKUP(F22,Tabela7[[RECURSO]:[CUSTO]],2,FALSE),"")</f>
        <v/>
      </c>
      <c r="H22" s="92"/>
      <c r="I22" s="90"/>
      <c r="J22" s="45">
        <f>IFERROR(VLOOKUP(F22,Tabela7[[RECURSO]:[CUSTO]],3,FALSE),0)</f>
        <v>0</v>
      </c>
      <c r="K22" s="45">
        <f>I22*J22*CPU_59[[#This Row],[Nº]]</f>
        <v>0</v>
      </c>
      <c r="M22" s="31"/>
      <c r="N22" s="297"/>
      <c r="O22" s="60">
        <f t="shared" si="15"/>
        <v>0</v>
      </c>
      <c r="AD22" s="144" t="str">
        <f t="shared" si="3"/>
        <v>Cerca</v>
      </c>
      <c r="AE22" s="179"/>
      <c r="AF22" s="180">
        <f t="shared" si="16"/>
        <v>0</v>
      </c>
      <c r="AG22" s="180">
        <f t="shared" si="17"/>
        <v>0</v>
      </c>
      <c r="AH22" s="181">
        <f t="shared" si="18"/>
        <v>0</v>
      </c>
      <c r="AI22" s="182"/>
      <c r="AJ22" s="90"/>
      <c r="AK22" s="90"/>
      <c r="AL22" s="183">
        <f t="shared" si="19"/>
        <v>0</v>
      </c>
      <c r="AM22" s="182"/>
      <c r="AN22" s="90"/>
      <c r="AO22" s="90"/>
      <c r="AP22" s="183">
        <f t="shared" si="4"/>
        <v>0</v>
      </c>
      <c r="AQ22" s="182"/>
      <c r="AR22" s="90"/>
      <c r="AS22" s="90"/>
      <c r="AT22" s="183">
        <f t="shared" si="5"/>
        <v>0</v>
      </c>
      <c r="AU22" s="182"/>
      <c r="AV22" s="90"/>
      <c r="AW22" s="90"/>
      <c r="AX22" s="183">
        <f t="shared" si="6"/>
        <v>0</v>
      </c>
      <c r="AY22" s="182"/>
      <c r="AZ22" s="90"/>
      <c r="BA22" s="90"/>
      <c r="BB22" s="183">
        <f t="shared" si="7"/>
        <v>0</v>
      </c>
      <c r="BC22" s="182"/>
      <c r="BD22" s="90"/>
      <c r="BE22" s="90"/>
      <c r="BF22" s="183">
        <f t="shared" si="8"/>
        <v>0</v>
      </c>
      <c r="BG22" s="182"/>
      <c r="BH22" s="90"/>
      <c r="BI22" s="90"/>
      <c r="BJ22" s="183">
        <f t="shared" si="9"/>
        <v>0</v>
      </c>
      <c r="BK22" s="182"/>
      <c r="BL22" s="90"/>
      <c r="BM22" s="90"/>
      <c r="BN22" s="183">
        <f t="shared" si="10"/>
        <v>0</v>
      </c>
      <c r="BO22" s="182"/>
      <c r="BP22" s="90"/>
      <c r="BQ22" s="90"/>
      <c r="BR22" s="183">
        <f t="shared" si="11"/>
        <v>0</v>
      </c>
      <c r="BS22" s="182"/>
      <c r="BT22" s="90"/>
      <c r="BU22" s="90"/>
      <c r="BV22" s="183">
        <f t="shared" si="12"/>
        <v>0</v>
      </c>
      <c r="BW22" s="182"/>
      <c r="BX22" s="90"/>
      <c r="BY22" s="90"/>
      <c r="BZ22" s="183">
        <f t="shared" si="13"/>
        <v>0</v>
      </c>
      <c r="CA22" s="182"/>
      <c r="CB22" s="90"/>
      <c r="CC22" s="90"/>
      <c r="CD22" s="183">
        <f t="shared" si="14"/>
        <v>0</v>
      </c>
    </row>
    <row r="23" spans="2:82" ht="15" thickBot="1" x14ac:dyDescent="0.35">
      <c r="B23" s="53"/>
      <c r="C23" s="53" t="str">
        <f t="shared" si="0"/>
        <v>CPU_Cerca</v>
      </c>
      <c r="D23" s="278">
        <f t="shared" si="1"/>
        <v>200</v>
      </c>
      <c r="E23" s="278">
        <f t="shared" si="2"/>
        <v>31875</v>
      </c>
      <c r="F23" s="1"/>
      <c r="G23" s="28" t="str">
        <f>IFERROR(VLOOKUP(F23,Tabela7[[RECURSO]:[CUSTO]],2,FALSE),"")</f>
        <v/>
      </c>
      <c r="H23" s="92"/>
      <c r="I23" s="90"/>
      <c r="J23" s="45">
        <f>IFERROR(VLOOKUP(F23,Tabela7[[RECURSO]:[CUSTO]],3,FALSE),0)</f>
        <v>0</v>
      </c>
      <c r="K23" s="45">
        <f>I23*J23*CPU_59[[#This Row],[Nº]]</f>
        <v>0</v>
      </c>
      <c r="M23" s="51"/>
      <c r="N23" s="298"/>
      <c r="O23" s="61">
        <f t="shared" si="15"/>
        <v>0</v>
      </c>
      <c r="AD23" s="144" t="str">
        <f t="shared" si="3"/>
        <v>Cerca</v>
      </c>
      <c r="AE23" s="179"/>
      <c r="AF23" s="180">
        <f t="shared" si="16"/>
        <v>0</v>
      </c>
      <c r="AG23" s="180">
        <f t="shared" si="17"/>
        <v>0</v>
      </c>
      <c r="AH23" s="181">
        <f t="shared" si="18"/>
        <v>0</v>
      </c>
      <c r="AI23" s="182"/>
      <c r="AJ23" s="90"/>
      <c r="AK23" s="90"/>
      <c r="AL23" s="183">
        <f t="shared" si="19"/>
        <v>0</v>
      </c>
      <c r="AM23" s="182"/>
      <c r="AN23" s="90"/>
      <c r="AO23" s="90"/>
      <c r="AP23" s="183">
        <f t="shared" si="4"/>
        <v>0</v>
      </c>
      <c r="AQ23" s="182"/>
      <c r="AR23" s="90"/>
      <c r="AS23" s="90"/>
      <c r="AT23" s="183">
        <f t="shared" si="5"/>
        <v>0</v>
      </c>
      <c r="AU23" s="182"/>
      <c r="AV23" s="90"/>
      <c r="AW23" s="90"/>
      <c r="AX23" s="183">
        <f t="shared" si="6"/>
        <v>0</v>
      </c>
      <c r="AY23" s="182"/>
      <c r="AZ23" s="90"/>
      <c r="BA23" s="90"/>
      <c r="BB23" s="183">
        <f t="shared" si="7"/>
        <v>0</v>
      </c>
      <c r="BC23" s="182"/>
      <c r="BD23" s="90"/>
      <c r="BE23" s="90"/>
      <c r="BF23" s="183">
        <f t="shared" si="8"/>
        <v>0</v>
      </c>
      <c r="BG23" s="182"/>
      <c r="BH23" s="90"/>
      <c r="BI23" s="90"/>
      <c r="BJ23" s="183">
        <f t="shared" si="9"/>
        <v>0</v>
      </c>
      <c r="BK23" s="182"/>
      <c r="BL23" s="90"/>
      <c r="BM23" s="90"/>
      <c r="BN23" s="183">
        <f t="shared" si="10"/>
        <v>0</v>
      </c>
      <c r="BO23" s="182"/>
      <c r="BP23" s="90"/>
      <c r="BQ23" s="90"/>
      <c r="BR23" s="183">
        <f t="shared" si="11"/>
        <v>0</v>
      </c>
      <c r="BS23" s="182"/>
      <c r="BT23" s="90"/>
      <c r="BU23" s="90"/>
      <c r="BV23" s="183">
        <f t="shared" si="12"/>
        <v>0</v>
      </c>
      <c r="BW23" s="182"/>
      <c r="BX23" s="90"/>
      <c r="BY23" s="90"/>
      <c r="BZ23" s="183">
        <f t="shared" si="13"/>
        <v>0</v>
      </c>
      <c r="CA23" s="182"/>
      <c r="CB23" s="90"/>
      <c r="CC23" s="90"/>
      <c r="CD23" s="183">
        <f t="shared" si="14"/>
        <v>0</v>
      </c>
    </row>
    <row r="24" spans="2:82" x14ac:dyDescent="0.3">
      <c r="B24" s="52" t="s">
        <v>686</v>
      </c>
      <c r="C24" s="52" t="str">
        <f t="shared" si="0"/>
        <v>CPU_Cerca</v>
      </c>
      <c r="D24" s="277">
        <f t="shared" si="1"/>
        <v>200</v>
      </c>
      <c r="E24" s="277">
        <f t="shared" si="2"/>
        <v>31875</v>
      </c>
      <c r="F24" s="37"/>
      <c r="G24" s="38"/>
      <c r="H24" s="91"/>
      <c r="I24" s="40"/>
      <c r="J24" s="40">
        <f>IFERROR(K24/$B$6,0)</f>
        <v>0</v>
      </c>
      <c r="K24" s="40">
        <f>SUM(K25:K36)</f>
        <v>0</v>
      </c>
      <c r="AD24" s="144" t="str">
        <f t="shared" si="3"/>
        <v>Cerca</v>
      </c>
      <c r="AE24" s="184"/>
      <c r="AF24" s="40"/>
      <c r="AG24" s="40">
        <f>IFERROR(AH24/AF$3,0)</f>
        <v>0</v>
      </c>
      <c r="AH24" s="185">
        <f>SUM(AH25:AH36)</f>
        <v>0</v>
      </c>
      <c r="AI24" s="184"/>
      <c r="AJ24" s="40"/>
      <c r="AK24" s="40">
        <f>IFERROR(AL24/AJ$3,0)</f>
        <v>0</v>
      </c>
      <c r="AL24" s="185">
        <f>SUM(AL25:AL36)</f>
        <v>0</v>
      </c>
      <c r="AM24" s="184"/>
      <c r="AN24" s="40"/>
      <c r="AO24" s="40">
        <f>IFERROR(AP24/AN$3,0)</f>
        <v>0</v>
      </c>
      <c r="AP24" s="185">
        <f>SUM(AP25:AP36)</f>
        <v>0</v>
      </c>
      <c r="AQ24" s="184"/>
      <c r="AR24" s="40"/>
      <c r="AS24" s="40">
        <f>IFERROR(AT24/AR$3,0)</f>
        <v>0</v>
      </c>
      <c r="AT24" s="185">
        <f>SUM(AT25:AT36)</f>
        <v>0</v>
      </c>
      <c r="AU24" s="184"/>
      <c r="AV24" s="40"/>
      <c r="AW24" s="40">
        <f>IFERROR(AX24/AV$3,0)</f>
        <v>0</v>
      </c>
      <c r="AX24" s="185">
        <f>SUM(AX25:AX36)</f>
        <v>0</v>
      </c>
      <c r="AY24" s="184"/>
      <c r="AZ24" s="40"/>
      <c r="BA24" s="40">
        <f>IFERROR(BB24/AZ$3,0)</f>
        <v>0</v>
      </c>
      <c r="BB24" s="185">
        <f>SUM(BB25:BB36)</f>
        <v>0</v>
      </c>
      <c r="BC24" s="184"/>
      <c r="BD24" s="40"/>
      <c r="BE24" s="40">
        <f>IFERROR(BF24/BD$3,0)</f>
        <v>0</v>
      </c>
      <c r="BF24" s="185">
        <f>SUM(BF25:BF36)</f>
        <v>0</v>
      </c>
      <c r="BG24" s="184"/>
      <c r="BH24" s="40"/>
      <c r="BI24" s="40">
        <f>IFERROR(BJ24/BH$3,0)</f>
        <v>0</v>
      </c>
      <c r="BJ24" s="185">
        <f>SUM(BJ25:BJ36)</f>
        <v>0</v>
      </c>
      <c r="BK24" s="184"/>
      <c r="BL24" s="40"/>
      <c r="BM24" s="40">
        <f>IFERROR(BN24/BL$3,0)</f>
        <v>0</v>
      </c>
      <c r="BN24" s="185">
        <f>SUM(BN25:BN36)</f>
        <v>0</v>
      </c>
      <c r="BO24" s="184"/>
      <c r="BP24" s="40"/>
      <c r="BQ24" s="40">
        <f>IFERROR(BR24/BP$3,0)</f>
        <v>0</v>
      </c>
      <c r="BR24" s="185">
        <f>SUM(BR25:BR36)</f>
        <v>0</v>
      </c>
      <c r="BS24" s="184"/>
      <c r="BT24" s="40"/>
      <c r="BU24" s="40">
        <f>IFERROR(BV24/BT$3,0)</f>
        <v>0</v>
      </c>
      <c r="BV24" s="185">
        <f>SUM(BV25:BV36)</f>
        <v>0</v>
      </c>
      <c r="BW24" s="184"/>
      <c r="BX24" s="40"/>
      <c r="BY24" s="40">
        <f>IFERROR(BZ24/BX$3,0)</f>
        <v>0</v>
      </c>
      <c r="BZ24" s="185">
        <f>SUM(BZ25:BZ36)</f>
        <v>0</v>
      </c>
      <c r="CA24" s="184"/>
      <c r="CB24" s="40"/>
      <c r="CC24" s="40">
        <f>IFERROR(CD24/CB$3,0)</f>
        <v>0</v>
      </c>
      <c r="CD24" s="185">
        <f>SUM(CD25:CD36)</f>
        <v>0</v>
      </c>
    </row>
    <row r="25" spans="2:82" x14ac:dyDescent="0.3">
      <c r="B25" s="53"/>
      <c r="C25" s="53" t="str">
        <f t="shared" si="0"/>
        <v>CPU_Cerca</v>
      </c>
      <c r="D25" s="278">
        <f t="shared" si="1"/>
        <v>200</v>
      </c>
      <c r="E25" s="278">
        <f t="shared" si="2"/>
        <v>31875</v>
      </c>
      <c r="F25" s="1" t="s">
        <v>1034</v>
      </c>
      <c r="G25" s="28" t="str">
        <f>IFERROR(VLOOKUP(F25,Tabela7[[RECURSO]:[CUSTO]],2,FALSE),"")</f>
        <v>L</v>
      </c>
      <c r="H25" s="93"/>
      <c r="I25" s="90">
        <f>IFERROR(SUMPRODUCT(I12:I23,M12:M23,H12:H23,N12:N23),0)</f>
        <v>43.636363636363633</v>
      </c>
      <c r="J25" s="45">
        <f>IFERROR(VLOOKUP(F25,Tabela7[[RECURSO]:[CUSTO]],3,FALSE),0)</f>
        <v>0</v>
      </c>
      <c r="K25" s="45">
        <f>I25*J25</f>
        <v>0</v>
      </c>
      <c r="AD25" s="144" t="str">
        <f t="shared" si="3"/>
        <v>Cerca</v>
      </c>
      <c r="AE25" s="179"/>
      <c r="AF25" s="180">
        <f t="shared" ref="AF25:AF36" si="20">AJ25+AN25+AR25+AV25+AZ25+BD25+BH25+BL25+BP25+BT25+BX25+CB25</f>
        <v>0</v>
      </c>
      <c r="AG25" s="180">
        <f t="shared" si="17"/>
        <v>0</v>
      </c>
      <c r="AH25" s="181">
        <f t="shared" ref="AH25:AH36" si="21">AL25+AP25+AT25+AX25+BB25+BF25+BJ25+BN25+BR25+BV25+BZ25+CD25</f>
        <v>0</v>
      </c>
      <c r="AI25" s="182"/>
      <c r="AJ25" s="90"/>
      <c r="AK25" s="90"/>
      <c r="AL25" s="183">
        <f t="shared" ref="AL25:AL36" si="22">AJ25*AK25</f>
        <v>0</v>
      </c>
      <c r="AM25" s="182"/>
      <c r="AN25" s="90"/>
      <c r="AO25" s="90"/>
      <c r="AP25" s="183">
        <f t="shared" ref="AP25:AP62" si="23">AN25*AO25</f>
        <v>0</v>
      </c>
      <c r="AQ25" s="182"/>
      <c r="AR25" s="90"/>
      <c r="AS25" s="90"/>
      <c r="AT25" s="183">
        <f t="shared" ref="AT25:AT62" si="24">AR25*AS25</f>
        <v>0</v>
      </c>
      <c r="AU25" s="182"/>
      <c r="AV25" s="90"/>
      <c r="AW25" s="90"/>
      <c r="AX25" s="183">
        <f t="shared" ref="AX25:AX62" si="25">AV25*AW25</f>
        <v>0</v>
      </c>
      <c r="AY25" s="182"/>
      <c r="AZ25" s="90"/>
      <c r="BA25" s="90"/>
      <c r="BB25" s="183">
        <f t="shared" ref="BB25:BB62" si="26">AZ25*BA25</f>
        <v>0</v>
      </c>
      <c r="BC25" s="182"/>
      <c r="BD25" s="90"/>
      <c r="BE25" s="90"/>
      <c r="BF25" s="183">
        <f t="shared" ref="BF25:BF62" si="27">BD25*BE25</f>
        <v>0</v>
      </c>
      <c r="BG25" s="182"/>
      <c r="BH25" s="90"/>
      <c r="BI25" s="90"/>
      <c r="BJ25" s="183">
        <f t="shared" ref="BJ25:BJ62" si="28">BH25*BI25</f>
        <v>0</v>
      </c>
      <c r="BK25" s="182"/>
      <c r="BL25" s="90"/>
      <c r="BM25" s="90"/>
      <c r="BN25" s="183">
        <f t="shared" ref="BN25:BN62" si="29">BL25*BM25</f>
        <v>0</v>
      </c>
      <c r="BO25" s="182"/>
      <c r="BP25" s="90"/>
      <c r="BQ25" s="90"/>
      <c r="BR25" s="183">
        <f t="shared" ref="BR25:BR62" si="30">BP25*BQ25</f>
        <v>0</v>
      </c>
      <c r="BS25" s="182"/>
      <c r="BT25" s="90"/>
      <c r="BU25" s="90"/>
      <c r="BV25" s="183">
        <f t="shared" ref="BV25:BV62" si="31">BT25*BU25</f>
        <v>0</v>
      </c>
      <c r="BW25" s="182"/>
      <c r="BX25" s="90"/>
      <c r="BY25" s="90"/>
      <c r="BZ25" s="183">
        <f t="shared" ref="BZ25:BZ62" si="32">BX25*BY25</f>
        <v>0</v>
      </c>
      <c r="CA25" s="182"/>
      <c r="CB25" s="90"/>
      <c r="CC25" s="90"/>
      <c r="CD25" s="183">
        <f t="shared" ref="CD25:CD62" si="33">CB25*CC25</f>
        <v>0</v>
      </c>
    </row>
    <row r="26" spans="2:82" x14ac:dyDescent="0.3">
      <c r="B26" s="53"/>
      <c r="C26" s="53" t="str">
        <f t="shared" si="0"/>
        <v>CPU_Cerca</v>
      </c>
      <c r="D26" s="278">
        <f t="shared" si="1"/>
        <v>200</v>
      </c>
      <c r="E26" s="278">
        <f t="shared" si="2"/>
        <v>31875</v>
      </c>
      <c r="F26" s="1"/>
      <c r="G26" s="28" t="str">
        <f>IFERROR(VLOOKUP(F26,Tabela7[[RECURSO]:[CUSTO]],2,FALSE),"")</f>
        <v/>
      </c>
      <c r="H26" s="93"/>
      <c r="I26" s="90"/>
      <c r="J26" s="45">
        <f>IFERROR(VLOOKUP(F26,Tabela7[[RECURSO]:[CUSTO]],3,FALSE),0)</f>
        <v>0</v>
      </c>
      <c r="K26" s="45">
        <f t="shared" ref="K26:K36" si="34">I26*J26</f>
        <v>0</v>
      </c>
      <c r="AD26" s="144" t="str">
        <f t="shared" si="3"/>
        <v>Cerca</v>
      </c>
      <c r="AE26" s="179"/>
      <c r="AF26" s="180">
        <f t="shared" si="20"/>
        <v>0</v>
      </c>
      <c r="AG26" s="180">
        <f t="shared" si="17"/>
        <v>0</v>
      </c>
      <c r="AH26" s="181">
        <f t="shared" si="21"/>
        <v>0</v>
      </c>
      <c r="AI26" s="182"/>
      <c r="AJ26" s="90"/>
      <c r="AK26" s="90"/>
      <c r="AL26" s="183">
        <f t="shared" si="22"/>
        <v>0</v>
      </c>
      <c r="AM26" s="182"/>
      <c r="AN26" s="90"/>
      <c r="AO26" s="90"/>
      <c r="AP26" s="183">
        <f t="shared" si="23"/>
        <v>0</v>
      </c>
      <c r="AQ26" s="182"/>
      <c r="AR26" s="90"/>
      <c r="AS26" s="90"/>
      <c r="AT26" s="183">
        <f t="shared" si="24"/>
        <v>0</v>
      </c>
      <c r="AU26" s="182"/>
      <c r="AV26" s="90"/>
      <c r="AW26" s="90"/>
      <c r="AX26" s="183">
        <f t="shared" si="25"/>
        <v>0</v>
      </c>
      <c r="AY26" s="182"/>
      <c r="AZ26" s="90"/>
      <c r="BA26" s="90"/>
      <c r="BB26" s="183">
        <f t="shared" si="26"/>
        <v>0</v>
      </c>
      <c r="BC26" s="182"/>
      <c r="BD26" s="90"/>
      <c r="BE26" s="90"/>
      <c r="BF26" s="183">
        <f t="shared" si="27"/>
        <v>0</v>
      </c>
      <c r="BG26" s="182"/>
      <c r="BH26" s="90"/>
      <c r="BI26" s="90"/>
      <c r="BJ26" s="183">
        <f t="shared" si="28"/>
        <v>0</v>
      </c>
      <c r="BK26" s="182"/>
      <c r="BL26" s="90"/>
      <c r="BM26" s="90"/>
      <c r="BN26" s="183">
        <f t="shared" si="29"/>
        <v>0</v>
      </c>
      <c r="BO26" s="182"/>
      <c r="BP26" s="90"/>
      <c r="BQ26" s="90"/>
      <c r="BR26" s="183">
        <f t="shared" si="30"/>
        <v>0</v>
      </c>
      <c r="BS26" s="182"/>
      <c r="BT26" s="90"/>
      <c r="BU26" s="90"/>
      <c r="BV26" s="183">
        <f t="shared" si="31"/>
        <v>0</v>
      </c>
      <c r="BW26" s="182"/>
      <c r="BX26" s="90"/>
      <c r="BY26" s="90"/>
      <c r="BZ26" s="183">
        <f t="shared" si="32"/>
        <v>0</v>
      </c>
      <c r="CA26" s="182"/>
      <c r="CB26" s="90"/>
      <c r="CC26" s="90"/>
      <c r="CD26" s="183">
        <f t="shared" si="33"/>
        <v>0</v>
      </c>
    </row>
    <row r="27" spans="2:82" x14ac:dyDescent="0.3">
      <c r="B27" s="53"/>
      <c r="C27" s="53" t="str">
        <f t="shared" si="0"/>
        <v>CPU_Cerca</v>
      </c>
      <c r="D27" s="278">
        <f t="shared" si="1"/>
        <v>200</v>
      </c>
      <c r="E27" s="278">
        <f t="shared" si="2"/>
        <v>31875</v>
      </c>
      <c r="F27" s="1"/>
      <c r="G27" s="28" t="str">
        <f>IFERROR(VLOOKUP(F27,Tabela7[[RECURSO]:[CUSTO]],2,FALSE),"")</f>
        <v/>
      </c>
      <c r="H27" s="93"/>
      <c r="I27" s="90"/>
      <c r="J27" s="45">
        <f>IFERROR(VLOOKUP(F27,Tabela7[[RECURSO]:[CUSTO]],3,FALSE),0)</f>
        <v>0</v>
      </c>
      <c r="K27" s="45">
        <f t="shared" si="34"/>
        <v>0</v>
      </c>
      <c r="AD27" s="144" t="str">
        <f t="shared" si="3"/>
        <v>Cerca</v>
      </c>
      <c r="AE27" s="179"/>
      <c r="AF27" s="180">
        <f t="shared" si="20"/>
        <v>0</v>
      </c>
      <c r="AG27" s="180">
        <f t="shared" si="17"/>
        <v>0</v>
      </c>
      <c r="AH27" s="181">
        <f t="shared" si="21"/>
        <v>0</v>
      </c>
      <c r="AI27" s="182"/>
      <c r="AJ27" s="90"/>
      <c r="AK27" s="90"/>
      <c r="AL27" s="183">
        <f t="shared" si="22"/>
        <v>0</v>
      </c>
      <c r="AM27" s="182"/>
      <c r="AN27" s="90"/>
      <c r="AO27" s="90"/>
      <c r="AP27" s="183">
        <f t="shared" si="23"/>
        <v>0</v>
      </c>
      <c r="AQ27" s="182"/>
      <c r="AR27" s="90"/>
      <c r="AS27" s="90"/>
      <c r="AT27" s="183">
        <f t="shared" si="24"/>
        <v>0</v>
      </c>
      <c r="AU27" s="182"/>
      <c r="AV27" s="90"/>
      <c r="AW27" s="90"/>
      <c r="AX27" s="183">
        <f t="shared" si="25"/>
        <v>0</v>
      </c>
      <c r="AY27" s="182"/>
      <c r="AZ27" s="90"/>
      <c r="BA27" s="90"/>
      <c r="BB27" s="183">
        <f t="shared" si="26"/>
        <v>0</v>
      </c>
      <c r="BC27" s="182"/>
      <c r="BD27" s="90"/>
      <c r="BE27" s="90"/>
      <c r="BF27" s="183">
        <f t="shared" si="27"/>
        <v>0</v>
      </c>
      <c r="BG27" s="182"/>
      <c r="BH27" s="90"/>
      <c r="BI27" s="90"/>
      <c r="BJ27" s="183">
        <f t="shared" si="28"/>
        <v>0</v>
      </c>
      <c r="BK27" s="182"/>
      <c r="BL27" s="90"/>
      <c r="BM27" s="90"/>
      <c r="BN27" s="183">
        <f t="shared" si="29"/>
        <v>0</v>
      </c>
      <c r="BO27" s="182"/>
      <c r="BP27" s="90"/>
      <c r="BQ27" s="90"/>
      <c r="BR27" s="183">
        <f t="shared" si="30"/>
        <v>0</v>
      </c>
      <c r="BS27" s="182"/>
      <c r="BT27" s="90"/>
      <c r="BU27" s="90"/>
      <c r="BV27" s="183">
        <f t="shared" si="31"/>
        <v>0</v>
      </c>
      <c r="BW27" s="182"/>
      <c r="BX27" s="90"/>
      <c r="BY27" s="90"/>
      <c r="BZ27" s="183">
        <f t="shared" si="32"/>
        <v>0</v>
      </c>
      <c r="CA27" s="182"/>
      <c r="CB27" s="90"/>
      <c r="CC27" s="90"/>
      <c r="CD27" s="183">
        <f t="shared" si="33"/>
        <v>0</v>
      </c>
    </row>
    <row r="28" spans="2:82" x14ac:dyDescent="0.3">
      <c r="B28" s="53"/>
      <c r="C28" s="53" t="str">
        <f t="shared" si="0"/>
        <v>CPU_Cerca</v>
      </c>
      <c r="D28" s="278">
        <f t="shared" si="1"/>
        <v>200</v>
      </c>
      <c r="E28" s="278">
        <f t="shared" si="2"/>
        <v>31875</v>
      </c>
      <c r="F28" s="1"/>
      <c r="G28" s="28" t="str">
        <f>IFERROR(VLOOKUP(F28,Tabela7[[RECURSO]:[CUSTO]],2,FALSE),"")</f>
        <v/>
      </c>
      <c r="H28" s="93"/>
      <c r="I28" s="90"/>
      <c r="J28" s="45">
        <f>IFERROR(VLOOKUP(F28,Tabela7[[RECURSO]:[CUSTO]],3,FALSE),0)</f>
        <v>0</v>
      </c>
      <c r="K28" s="45">
        <f t="shared" si="34"/>
        <v>0</v>
      </c>
      <c r="AD28" s="144" t="str">
        <f t="shared" si="3"/>
        <v>Cerca</v>
      </c>
      <c r="AE28" s="179"/>
      <c r="AF28" s="180">
        <f t="shared" si="20"/>
        <v>0</v>
      </c>
      <c r="AG28" s="180">
        <f t="shared" si="17"/>
        <v>0</v>
      </c>
      <c r="AH28" s="181">
        <f t="shared" si="21"/>
        <v>0</v>
      </c>
      <c r="AI28" s="182"/>
      <c r="AJ28" s="90"/>
      <c r="AK28" s="90"/>
      <c r="AL28" s="183">
        <f t="shared" si="22"/>
        <v>0</v>
      </c>
      <c r="AM28" s="182"/>
      <c r="AN28" s="90"/>
      <c r="AO28" s="90"/>
      <c r="AP28" s="183">
        <f t="shared" si="23"/>
        <v>0</v>
      </c>
      <c r="AQ28" s="182"/>
      <c r="AR28" s="90"/>
      <c r="AS28" s="90"/>
      <c r="AT28" s="183">
        <f t="shared" si="24"/>
        <v>0</v>
      </c>
      <c r="AU28" s="182"/>
      <c r="AV28" s="90"/>
      <c r="AW28" s="90"/>
      <c r="AX28" s="183">
        <f t="shared" si="25"/>
        <v>0</v>
      </c>
      <c r="AY28" s="182"/>
      <c r="AZ28" s="90"/>
      <c r="BA28" s="90"/>
      <c r="BB28" s="183">
        <f t="shared" si="26"/>
        <v>0</v>
      </c>
      <c r="BC28" s="182"/>
      <c r="BD28" s="90"/>
      <c r="BE28" s="90"/>
      <c r="BF28" s="183">
        <f t="shared" si="27"/>
        <v>0</v>
      </c>
      <c r="BG28" s="182"/>
      <c r="BH28" s="90"/>
      <c r="BI28" s="90"/>
      <c r="BJ28" s="183">
        <f t="shared" si="28"/>
        <v>0</v>
      </c>
      <c r="BK28" s="182"/>
      <c r="BL28" s="90"/>
      <c r="BM28" s="90"/>
      <c r="BN28" s="183">
        <f t="shared" si="29"/>
        <v>0</v>
      </c>
      <c r="BO28" s="182"/>
      <c r="BP28" s="90"/>
      <c r="BQ28" s="90"/>
      <c r="BR28" s="183">
        <f t="shared" si="30"/>
        <v>0</v>
      </c>
      <c r="BS28" s="182"/>
      <c r="BT28" s="90"/>
      <c r="BU28" s="90"/>
      <c r="BV28" s="183">
        <f t="shared" si="31"/>
        <v>0</v>
      </c>
      <c r="BW28" s="182"/>
      <c r="BX28" s="90"/>
      <c r="BY28" s="90"/>
      <c r="BZ28" s="183">
        <f t="shared" si="32"/>
        <v>0</v>
      </c>
      <c r="CA28" s="182"/>
      <c r="CB28" s="90"/>
      <c r="CC28" s="90"/>
      <c r="CD28" s="183">
        <f t="shared" si="33"/>
        <v>0</v>
      </c>
    </row>
    <row r="29" spans="2:82" x14ac:dyDescent="0.3">
      <c r="B29" s="53"/>
      <c r="C29" s="53" t="str">
        <f t="shared" si="0"/>
        <v>CPU_Cerca</v>
      </c>
      <c r="D29" s="278">
        <f t="shared" si="1"/>
        <v>200</v>
      </c>
      <c r="E29" s="278">
        <f t="shared" si="2"/>
        <v>31875</v>
      </c>
      <c r="F29" s="1"/>
      <c r="G29" s="28" t="str">
        <f>IFERROR(VLOOKUP(F29,Tabela7[[RECURSO]:[CUSTO]],2,FALSE),"")</f>
        <v/>
      </c>
      <c r="H29" s="93"/>
      <c r="I29" s="90"/>
      <c r="J29" s="45">
        <f>IFERROR(VLOOKUP(F29,Tabela7[[RECURSO]:[CUSTO]],3,FALSE),0)</f>
        <v>0</v>
      </c>
      <c r="K29" s="45">
        <f t="shared" si="34"/>
        <v>0</v>
      </c>
      <c r="AD29" s="144" t="str">
        <f t="shared" si="3"/>
        <v>Cerca</v>
      </c>
      <c r="AE29" s="179"/>
      <c r="AF29" s="180">
        <f t="shared" si="20"/>
        <v>0</v>
      </c>
      <c r="AG29" s="180">
        <f t="shared" si="17"/>
        <v>0</v>
      </c>
      <c r="AH29" s="181">
        <f t="shared" si="21"/>
        <v>0</v>
      </c>
      <c r="AI29" s="182"/>
      <c r="AJ29" s="90"/>
      <c r="AK29" s="90"/>
      <c r="AL29" s="183">
        <f t="shared" si="22"/>
        <v>0</v>
      </c>
      <c r="AM29" s="182"/>
      <c r="AN29" s="90"/>
      <c r="AO29" s="90"/>
      <c r="AP29" s="183">
        <f t="shared" si="23"/>
        <v>0</v>
      </c>
      <c r="AQ29" s="182"/>
      <c r="AR29" s="90"/>
      <c r="AS29" s="90"/>
      <c r="AT29" s="183">
        <f t="shared" si="24"/>
        <v>0</v>
      </c>
      <c r="AU29" s="182"/>
      <c r="AV29" s="90"/>
      <c r="AW29" s="90"/>
      <c r="AX29" s="183">
        <f t="shared" si="25"/>
        <v>0</v>
      </c>
      <c r="AY29" s="182"/>
      <c r="AZ29" s="90"/>
      <c r="BA29" s="90"/>
      <c r="BB29" s="183">
        <f t="shared" si="26"/>
        <v>0</v>
      </c>
      <c r="BC29" s="182"/>
      <c r="BD29" s="90"/>
      <c r="BE29" s="90"/>
      <c r="BF29" s="183">
        <f t="shared" si="27"/>
        <v>0</v>
      </c>
      <c r="BG29" s="182"/>
      <c r="BH29" s="90"/>
      <c r="BI29" s="90"/>
      <c r="BJ29" s="183">
        <f t="shared" si="28"/>
        <v>0</v>
      </c>
      <c r="BK29" s="182"/>
      <c r="BL29" s="90"/>
      <c r="BM29" s="90"/>
      <c r="BN29" s="183">
        <f t="shared" si="29"/>
        <v>0</v>
      </c>
      <c r="BO29" s="182"/>
      <c r="BP29" s="90"/>
      <c r="BQ29" s="90"/>
      <c r="BR29" s="183">
        <f t="shared" si="30"/>
        <v>0</v>
      </c>
      <c r="BS29" s="182"/>
      <c r="BT29" s="90"/>
      <c r="BU29" s="90"/>
      <c r="BV29" s="183">
        <f t="shared" si="31"/>
        <v>0</v>
      </c>
      <c r="BW29" s="182"/>
      <c r="BX29" s="90"/>
      <c r="BY29" s="90"/>
      <c r="BZ29" s="183">
        <f t="shared" si="32"/>
        <v>0</v>
      </c>
      <c r="CA29" s="182"/>
      <c r="CB29" s="90"/>
      <c r="CC29" s="90"/>
      <c r="CD29" s="183">
        <f t="shared" si="33"/>
        <v>0</v>
      </c>
    </row>
    <row r="30" spans="2:82" x14ac:dyDescent="0.3">
      <c r="B30" s="53"/>
      <c r="C30" s="53" t="str">
        <f t="shared" si="0"/>
        <v>CPU_Cerca</v>
      </c>
      <c r="D30" s="278">
        <f t="shared" si="1"/>
        <v>200</v>
      </c>
      <c r="E30" s="278">
        <f t="shared" si="2"/>
        <v>31875</v>
      </c>
      <c r="F30" s="1"/>
      <c r="G30" s="28" t="str">
        <f>IFERROR(VLOOKUP(F30,Tabela7[[RECURSO]:[CUSTO]],2,FALSE),"")</f>
        <v/>
      </c>
      <c r="H30" s="93"/>
      <c r="I30" s="90"/>
      <c r="J30" s="45">
        <f>IFERROR(VLOOKUP(F30,Tabela7[[RECURSO]:[CUSTO]],3,FALSE),0)</f>
        <v>0</v>
      </c>
      <c r="K30" s="45">
        <f t="shared" si="34"/>
        <v>0</v>
      </c>
      <c r="AD30" s="144" t="str">
        <f t="shared" si="3"/>
        <v>Cerca</v>
      </c>
      <c r="AE30" s="179"/>
      <c r="AF30" s="180">
        <f t="shared" si="20"/>
        <v>0</v>
      </c>
      <c r="AG30" s="180">
        <f t="shared" si="17"/>
        <v>0</v>
      </c>
      <c r="AH30" s="181">
        <f t="shared" si="21"/>
        <v>0</v>
      </c>
      <c r="AI30" s="182"/>
      <c r="AJ30" s="90"/>
      <c r="AK30" s="90"/>
      <c r="AL30" s="183">
        <f t="shared" si="22"/>
        <v>0</v>
      </c>
      <c r="AM30" s="182"/>
      <c r="AN30" s="90"/>
      <c r="AO30" s="90"/>
      <c r="AP30" s="183">
        <f t="shared" si="23"/>
        <v>0</v>
      </c>
      <c r="AQ30" s="182"/>
      <c r="AR30" s="90"/>
      <c r="AS30" s="90"/>
      <c r="AT30" s="183">
        <f t="shared" si="24"/>
        <v>0</v>
      </c>
      <c r="AU30" s="182"/>
      <c r="AV30" s="90"/>
      <c r="AW30" s="90"/>
      <c r="AX30" s="183">
        <f t="shared" si="25"/>
        <v>0</v>
      </c>
      <c r="AY30" s="182"/>
      <c r="AZ30" s="90"/>
      <c r="BA30" s="90"/>
      <c r="BB30" s="183">
        <f t="shared" si="26"/>
        <v>0</v>
      </c>
      <c r="BC30" s="182"/>
      <c r="BD30" s="90"/>
      <c r="BE30" s="90"/>
      <c r="BF30" s="183">
        <f t="shared" si="27"/>
        <v>0</v>
      </c>
      <c r="BG30" s="182"/>
      <c r="BH30" s="90"/>
      <c r="BI30" s="90"/>
      <c r="BJ30" s="183">
        <f t="shared" si="28"/>
        <v>0</v>
      </c>
      <c r="BK30" s="182"/>
      <c r="BL30" s="90"/>
      <c r="BM30" s="90"/>
      <c r="BN30" s="183">
        <f t="shared" si="29"/>
        <v>0</v>
      </c>
      <c r="BO30" s="182"/>
      <c r="BP30" s="90"/>
      <c r="BQ30" s="90"/>
      <c r="BR30" s="183">
        <f t="shared" si="30"/>
        <v>0</v>
      </c>
      <c r="BS30" s="182"/>
      <c r="BT30" s="90"/>
      <c r="BU30" s="90"/>
      <c r="BV30" s="183">
        <f t="shared" si="31"/>
        <v>0</v>
      </c>
      <c r="BW30" s="182"/>
      <c r="BX30" s="90"/>
      <c r="BY30" s="90"/>
      <c r="BZ30" s="183">
        <f t="shared" si="32"/>
        <v>0</v>
      </c>
      <c r="CA30" s="182"/>
      <c r="CB30" s="90"/>
      <c r="CC30" s="90"/>
      <c r="CD30" s="183">
        <f t="shared" si="33"/>
        <v>0</v>
      </c>
    </row>
    <row r="31" spans="2:82" x14ac:dyDescent="0.3">
      <c r="B31" s="53"/>
      <c r="C31" s="53" t="str">
        <f t="shared" si="0"/>
        <v>CPU_Cerca</v>
      </c>
      <c r="D31" s="278">
        <f t="shared" si="1"/>
        <v>200</v>
      </c>
      <c r="E31" s="278">
        <f t="shared" si="2"/>
        <v>31875</v>
      </c>
      <c r="F31" s="1"/>
      <c r="G31" s="28" t="str">
        <f>IFERROR(VLOOKUP(F31,Tabela7[[RECURSO]:[CUSTO]],2,FALSE),"")</f>
        <v/>
      </c>
      <c r="H31" s="93"/>
      <c r="I31" s="90"/>
      <c r="J31" s="45">
        <f>IFERROR(VLOOKUP(F31,Tabela7[[RECURSO]:[CUSTO]],3,FALSE),0)</f>
        <v>0</v>
      </c>
      <c r="K31" s="45">
        <f t="shared" si="34"/>
        <v>0</v>
      </c>
      <c r="AD31" s="144" t="str">
        <f t="shared" si="3"/>
        <v>Cerca</v>
      </c>
      <c r="AE31" s="179"/>
      <c r="AF31" s="180">
        <f t="shared" si="20"/>
        <v>0</v>
      </c>
      <c r="AG31" s="180">
        <f t="shared" si="17"/>
        <v>0</v>
      </c>
      <c r="AH31" s="181">
        <f t="shared" si="21"/>
        <v>0</v>
      </c>
      <c r="AI31" s="182"/>
      <c r="AJ31" s="90"/>
      <c r="AK31" s="90"/>
      <c r="AL31" s="183">
        <f t="shared" si="22"/>
        <v>0</v>
      </c>
      <c r="AM31" s="182"/>
      <c r="AN31" s="90"/>
      <c r="AO31" s="90"/>
      <c r="AP31" s="183">
        <f t="shared" si="23"/>
        <v>0</v>
      </c>
      <c r="AQ31" s="182"/>
      <c r="AR31" s="90"/>
      <c r="AS31" s="90"/>
      <c r="AT31" s="183">
        <f t="shared" si="24"/>
        <v>0</v>
      </c>
      <c r="AU31" s="182"/>
      <c r="AV31" s="90"/>
      <c r="AW31" s="90"/>
      <c r="AX31" s="183">
        <f t="shared" si="25"/>
        <v>0</v>
      </c>
      <c r="AY31" s="182"/>
      <c r="AZ31" s="90"/>
      <c r="BA31" s="90"/>
      <c r="BB31" s="183">
        <f t="shared" si="26"/>
        <v>0</v>
      </c>
      <c r="BC31" s="182"/>
      <c r="BD31" s="90"/>
      <c r="BE31" s="90"/>
      <c r="BF31" s="183">
        <f t="shared" si="27"/>
        <v>0</v>
      </c>
      <c r="BG31" s="182"/>
      <c r="BH31" s="90"/>
      <c r="BI31" s="90"/>
      <c r="BJ31" s="183">
        <f t="shared" si="28"/>
        <v>0</v>
      </c>
      <c r="BK31" s="182"/>
      <c r="BL31" s="90"/>
      <c r="BM31" s="90"/>
      <c r="BN31" s="183">
        <f t="shared" si="29"/>
        <v>0</v>
      </c>
      <c r="BO31" s="182"/>
      <c r="BP31" s="90"/>
      <c r="BQ31" s="90"/>
      <c r="BR31" s="183">
        <f t="shared" si="30"/>
        <v>0</v>
      </c>
      <c r="BS31" s="182"/>
      <c r="BT31" s="90"/>
      <c r="BU31" s="90"/>
      <c r="BV31" s="183">
        <f t="shared" si="31"/>
        <v>0</v>
      </c>
      <c r="BW31" s="182"/>
      <c r="BX31" s="90"/>
      <c r="BY31" s="90"/>
      <c r="BZ31" s="183">
        <f t="shared" si="32"/>
        <v>0</v>
      </c>
      <c r="CA31" s="182"/>
      <c r="CB31" s="90"/>
      <c r="CC31" s="90"/>
      <c r="CD31" s="183">
        <f t="shared" si="33"/>
        <v>0</v>
      </c>
    </row>
    <row r="32" spans="2:82" x14ac:dyDescent="0.3">
      <c r="B32" s="53"/>
      <c r="C32" s="53" t="str">
        <f t="shared" si="0"/>
        <v>CPU_Cerca</v>
      </c>
      <c r="D32" s="278">
        <f t="shared" si="1"/>
        <v>200</v>
      </c>
      <c r="E32" s="278">
        <f t="shared" si="2"/>
        <v>31875</v>
      </c>
      <c r="F32" s="1"/>
      <c r="G32" s="28" t="str">
        <f>IFERROR(VLOOKUP(F32,Tabela7[[RECURSO]:[CUSTO]],2,FALSE),"")</f>
        <v/>
      </c>
      <c r="H32" s="93"/>
      <c r="I32" s="90"/>
      <c r="J32" s="45">
        <f>IFERROR(VLOOKUP(F32,Tabela7[[RECURSO]:[CUSTO]],3,FALSE),0)</f>
        <v>0</v>
      </c>
      <c r="K32" s="45">
        <f t="shared" si="34"/>
        <v>0</v>
      </c>
      <c r="AD32" s="144" t="str">
        <f t="shared" si="3"/>
        <v>Cerca</v>
      </c>
      <c r="AE32" s="179"/>
      <c r="AF32" s="180">
        <f t="shared" si="20"/>
        <v>0</v>
      </c>
      <c r="AG32" s="180">
        <f t="shared" si="17"/>
        <v>0</v>
      </c>
      <c r="AH32" s="181">
        <f t="shared" si="21"/>
        <v>0</v>
      </c>
      <c r="AI32" s="182"/>
      <c r="AJ32" s="90"/>
      <c r="AK32" s="90"/>
      <c r="AL32" s="183">
        <f t="shared" si="22"/>
        <v>0</v>
      </c>
      <c r="AM32" s="182"/>
      <c r="AN32" s="90"/>
      <c r="AO32" s="90"/>
      <c r="AP32" s="183">
        <f t="shared" si="23"/>
        <v>0</v>
      </c>
      <c r="AQ32" s="182"/>
      <c r="AR32" s="90"/>
      <c r="AS32" s="90"/>
      <c r="AT32" s="183">
        <f t="shared" si="24"/>
        <v>0</v>
      </c>
      <c r="AU32" s="182"/>
      <c r="AV32" s="90"/>
      <c r="AW32" s="90"/>
      <c r="AX32" s="183">
        <f t="shared" si="25"/>
        <v>0</v>
      </c>
      <c r="AY32" s="182"/>
      <c r="AZ32" s="90"/>
      <c r="BA32" s="90"/>
      <c r="BB32" s="183">
        <f t="shared" si="26"/>
        <v>0</v>
      </c>
      <c r="BC32" s="182"/>
      <c r="BD32" s="90"/>
      <c r="BE32" s="90"/>
      <c r="BF32" s="183">
        <f t="shared" si="27"/>
        <v>0</v>
      </c>
      <c r="BG32" s="182"/>
      <c r="BH32" s="90"/>
      <c r="BI32" s="90"/>
      <c r="BJ32" s="183">
        <f t="shared" si="28"/>
        <v>0</v>
      </c>
      <c r="BK32" s="182"/>
      <c r="BL32" s="90"/>
      <c r="BM32" s="90"/>
      <c r="BN32" s="183">
        <f t="shared" si="29"/>
        <v>0</v>
      </c>
      <c r="BO32" s="182"/>
      <c r="BP32" s="90"/>
      <c r="BQ32" s="90"/>
      <c r="BR32" s="183">
        <f t="shared" si="30"/>
        <v>0</v>
      </c>
      <c r="BS32" s="182"/>
      <c r="BT32" s="90"/>
      <c r="BU32" s="90"/>
      <c r="BV32" s="183">
        <f t="shared" si="31"/>
        <v>0</v>
      </c>
      <c r="BW32" s="182"/>
      <c r="BX32" s="90"/>
      <c r="BY32" s="90"/>
      <c r="BZ32" s="183">
        <f t="shared" si="32"/>
        <v>0</v>
      </c>
      <c r="CA32" s="182"/>
      <c r="CB32" s="90"/>
      <c r="CC32" s="90"/>
      <c r="CD32" s="183">
        <f t="shared" si="33"/>
        <v>0</v>
      </c>
    </row>
    <row r="33" spans="2:82" x14ac:dyDescent="0.3">
      <c r="B33" s="53"/>
      <c r="C33" s="53" t="str">
        <f t="shared" si="0"/>
        <v>CPU_Cerca</v>
      </c>
      <c r="D33" s="278">
        <f t="shared" si="1"/>
        <v>200</v>
      </c>
      <c r="E33" s="278">
        <f t="shared" si="2"/>
        <v>31875</v>
      </c>
      <c r="F33" s="1"/>
      <c r="G33" s="28" t="str">
        <f>IFERROR(VLOOKUP(F33,Tabela7[[RECURSO]:[CUSTO]],2,FALSE),"")</f>
        <v/>
      </c>
      <c r="H33" s="93"/>
      <c r="I33" s="90"/>
      <c r="J33" s="45">
        <f>IFERROR(VLOOKUP(F33,Tabela7[[RECURSO]:[CUSTO]],3,FALSE),0)</f>
        <v>0</v>
      </c>
      <c r="K33" s="45">
        <f t="shared" si="34"/>
        <v>0</v>
      </c>
      <c r="AD33" s="144" t="str">
        <f t="shared" si="3"/>
        <v>Cerca</v>
      </c>
      <c r="AE33" s="179"/>
      <c r="AF33" s="180">
        <f t="shared" si="20"/>
        <v>0</v>
      </c>
      <c r="AG33" s="180">
        <f t="shared" si="17"/>
        <v>0</v>
      </c>
      <c r="AH33" s="181">
        <f t="shared" si="21"/>
        <v>0</v>
      </c>
      <c r="AI33" s="182"/>
      <c r="AJ33" s="90"/>
      <c r="AK33" s="90"/>
      <c r="AL33" s="183">
        <f t="shared" si="22"/>
        <v>0</v>
      </c>
      <c r="AM33" s="182"/>
      <c r="AN33" s="90"/>
      <c r="AO33" s="90"/>
      <c r="AP33" s="183">
        <f t="shared" si="23"/>
        <v>0</v>
      </c>
      <c r="AQ33" s="182"/>
      <c r="AR33" s="90"/>
      <c r="AS33" s="90"/>
      <c r="AT33" s="183">
        <f t="shared" si="24"/>
        <v>0</v>
      </c>
      <c r="AU33" s="182"/>
      <c r="AV33" s="90"/>
      <c r="AW33" s="90"/>
      <c r="AX33" s="183">
        <f t="shared" si="25"/>
        <v>0</v>
      </c>
      <c r="AY33" s="182"/>
      <c r="AZ33" s="90"/>
      <c r="BA33" s="90"/>
      <c r="BB33" s="183">
        <f t="shared" si="26"/>
        <v>0</v>
      </c>
      <c r="BC33" s="182"/>
      <c r="BD33" s="90"/>
      <c r="BE33" s="90"/>
      <c r="BF33" s="183">
        <f t="shared" si="27"/>
        <v>0</v>
      </c>
      <c r="BG33" s="182"/>
      <c r="BH33" s="90"/>
      <c r="BI33" s="90"/>
      <c r="BJ33" s="183">
        <f t="shared" si="28"/>
        <v>0</v>
      </c>
      <c r="BK33" s="182"/>
      <c r="BL33" s="90"/>
      <c r="BM33" s="90"/>
      <c r="BN33" s="183">
        <f t="shared" si="29"/>
        <v>0</v>
      </c>
      <c r="BO33" s="182"/>
      <c r="BP33" s="90"/>
      <c r="BQ33" s="90"/>
      <c r="BR33" s="183">
        <f t="shared" si="30"/>
        <v>0</v>
      </c>
      <c r="BS33" s="182"/>
      <c r="BT33" s="90"/>
      <c r="BU33" s="90"/>
      <c r="BV33" s="183">
        <f t="shared" si="31"/>
        <v>0</v>
      </c>
      <c r="BW33" s="182"/>
      <c r="BX33" s="90"/>
      <c r="BY33" s="90"/>
      <c r="BZ33" s="183">
        <f t="shared" si="32"/>
        <v>0</v>
      </c>
      <c r="CA33" s="182"/>
      <c r="CB33" s="90"/>
      <c r="CC33" s="90"/>
      <c r="CD33" s="183">
        <f t="shared" si="33"/>
        <v>0</v>
      </c>
    </row>
    <row r="34" spans="2:82" x14ac:dyDescent="0.3">
      <c r="B34" s="53"/>
      <c r="C34" s="53" t="str">
        <f t="shared" si="0"/>
        <v>CPU_Cerca</v>
      </c>
      <c r="D34" s="278">
        <f t="shared" si="1"/>
        <v>200</v>
      </c>
      <c r="E34" s="278">
        <f t="shared" si="2"/>
        <v>31875</v>
      </c>
      <c r="F34" s="1"/>
      <c r="G34" s="28" t="str">
        <f>IFERROR(VLOOKUP(F34,Tabela7[[RECURSO]:[CUSTO]],2,FALSE),"")</f>
        <v/>
      </c>
      <c r="H34" s="93"/>
      <c r="I34" s="90"/>
      <c r="J34" s="45">
        <f>IFERROR(VLOOKUP(F34,Tabela7[[RECURSO]:[CUSTO]],3,FALSE),0)</f>
        <v>0</v>
      </c>
      <c r="K34" s="45">
        <f t="shared" si="34"/>
        <v>0</v>
      </c>
      <c r="AD34" s="144" t="str">
        <f t="shared" si="3"/>
        <v>Cerca</v>
      </c>
      <c r="AE34" s="179"/>
      <c r="AF34" s="180">
        <f t="shared" si="20"/>
        <v>0</v>
      </c>
      <c r="AG34" s="180">
        <f t="shared" si="17"/>
        <v>0</v>
      </c>
      <c r="AH34" s="181">
        <f t="shared" si="21"/>
        <v>0</v>
      </c>
      <c r="AI34" s="182"/>
      <c r="AJ34" s="90"/>
      <c r="AK34" s="90"/>
      <c r="AL34" s="183">
        <f t="shared" si="22"/>
        <v>0</v>
      </c>
      <c r="AM34" s="182"/>
      <c r="AN34" s="90"/>
      <c r="AO34" s="90"/>
      <c r="AP34" s="183">
        <f t="shared" si="23"/>
        <v>0</v>
      </c>
      <c r="AQ34" s="182"/>
      <c r="AR34" s="90"/>
      <c r="AS34" s="90"/>
      <c r="AT34" s="183">
        <f t="shared" si="24"/>
        <v>0</v>
      </c>
      <c r="AU34" s="182"/>
      <c r="AV34" s="90"/>
      <c r="AW34" s="90"/>
      <c r="AX34" s="183">
        <f t="shared" si="25"/>
        <v>0</v>
      </c>
      <c r="AY34" s="182"/>
      <c r="AZ34" s="90"/>
      <c r="BA34" s="90"/>
      <c r="BB34" s="183">
        <f t="shared" si="26"/>
        <v>0</v>
      </c>
      <c r="BC34" s="182"/>
      <c r="BD34" s="90"/>
      <c r="BE34" s="90"/>
      <c r="BF34" s="183">
        <f t="shared" si="27"/>
        <v>0</v>
      </c>
      <c r="BG34" s="182"/>
      <c r="BH34" s="90"/>
      <c r="BI34" s="90"/>
      <c r="BJ34" s="183">
        <f t="shared" si="28"/>
        <v>0</v>
      </c>
      <c r="BK34" s="182"/>
      <c r="BL34" s="90"/>
      <c r="BM34" s="90"/>
      <c r="BN34" s="183">
        <f t="shared" si="29"/>
        <v>0</v>
      </c>
      <c r="BO34" s="182"/>
      <c r="BP34" s="90"/>
      <c r="BQ34" s="90"/>
      <c r="BR34" s="183">
        <f t="shared" si="30"/>
        <v>0</v>
      </c>
      <c r="BS34" s="182"/>
      <c r="BT34" s="90"/>
      <c r="BU34" s="90"/>
      <c r="BV34" s="183">
        <f t="shared" si="31"/>
        <v>0</v>
      </c>
      <c r="BW34" s="182"/>
      <c r="BX34" s="90"/>
      <c r="BY34" s="90"/>
      <c r="BZ34" s="183">
        <f t="shared" si="32"/>
        <v>0</v>
      </c>
      <c r="CA34" s="182"/>
      <c r="CB34" s="90"/>
      <c r="CC34" s="90"/>
      <c r="CD34" s="183">
        <f t="shared" si="33"/>
        <v>0</v>
      </c>
    </row>
    <row r="35" spans="2:82" x14ac:dyDescent="0.3">
      <c r="B35" s="53"/>
      <c r="C35" s="53" t="str">
        <f t="shared" si="0"/>
        <v>CPU_Cerca</v>
      </c>
      <c r="D35" s="278">
        <f t="shared" si="1"/>
        <v>200</v>
      </c>
      <c r="E35" s="278">
        <f t="shared" si="2"/>
        <v>31875</v>
      </c>
      <c r="F35" s="1"/>
      <c r="G35" s="28" t="str">
        <f>IFERROR(VLOOKUP(F35,Tabela7[[RECURSO]:[CUSTO]],2,FALSE),"")</f>
        <v/>
      </c>
      <c r="H35" s="93"/>
      <c r="I35" s="90"/>
      <c r="J35" s="45">
        <f>IFERROR(VLOOKUP(F35,Tabela7[[RECURSO]:[CUSTO]],3,FALSE),0)</f>
        <v>0</v>
      </c>
      <c r="K35" s="45">
        <f t="shared" si="34"/>
        <v>0</v>
      </c>
      <c r="AD35" s="144" t="str">
        <f t="shared" si="3"/>
        <v>Cerca</v>
      </c>
      <c r="AE35" s="179"/>
      <c r="AF35" s="180">
        <f t="shared" si="20"/>
        <v>0</v>
      </c>
      <c r="AG35" s="180">
        <f t="shared" si="17"/>
        <v>0</v>
      </c>
      <c r="AH35" s="181">
        <f t="shared" si="21"/>
        <v>0</v>
      </c>
      <c r="AI35" s="182"/>
      <c r="AJ35" s="90"/>
      <c r="AK35" s="90"/>
      <c r="AL35" s="183">
        <f t="shared" si="22"/>
        <v>0</v>
      </c>
      <c r="AM35" s="182"/>
      <c r="AN35" s="90"/>
      <c r="AO35" s="90"/>
      <c r="AP35" s="183">
        <f t="shared" si="23"/>
        <v>0</v>
      </c>
      <c r="AQ35" s="182"/>
      <c r="AR35" s="90"/>
      <c r="AS35" s="90"/>
      <c r="AT35" s="183">
        <f t="shared" si="24"/>
        <v>0</v>
      </c>
      <c r="AU35" s="182"/>
      <c r="AV35" s="90"/>
      <c r="AW35" s="90"/>
      <c r="AX35" s="183">
        <f t="shared" si="25"/>
        <v>0</v>
      </c>
      <c r="AY35" s="182"/>
      <c r="AZ35" s="90"/>
      <c r="BA35" s="90"/>
      <c r="BB35" s="183">
        <f t="shared" si="26"/>
        <v>0</v>
      </c>
      <c r="BC35" s="182"/>
      <c r="BD35" s="90"/>
      <c r="BE35" s="90"/>
      <c r="BF35" s="183">
        <f t="shared" si="27"/>
        <v>0</v>
      </c>
      <c r="BG35" s="182"/>
      <c r="BH35" s="90"/>
      <c r="BI35" s="90"/>
      <c r="BJ35" s="183">
        <f t="shared" si="28"/>
        <v>0</v>
      </c>
      <c r="BK35" s="182"/>
      <c r="BL35" s="90"/>
      <c r="BM35" s="90"/>
      <c r="BN35" s="183">
        <f t="shared" si="29"/>
        <v>0</v>
      </c>
      <c r="BO35" s="182"/>
      <c r="BP35" s="90"/>
      <c r="BQ35" s="90"/>
      <c r="BR35" s="183">
        <f t="shared" si="30"/>
        <v>0</v>
      </c>
      <c r="BS35" s="182"/>
      <c r="BT35" s="90"/>
      <c r="BU35" s="90"/>
      <c r="BV35" s="183">
        <f t="shared" si="31"/>
        <v>0</v>
      </c>
      <c r="BW35" s="182"/>
      <c r="BX35" s="90"/>
      <c r="BY35" s="90"/>
      <c r="BZ35" s="183">
        <f t="shared" si="32"/>
        <v>0</v>
      </c>
      <c r="CA35" s="182"/>
      <c r="CB35" s="90"/>
      <c r="CC35" s="90"/>
      <c r="CD35" s="183">
        <f t="shared" si="33"/>
        <v>0</v>
      </c>
    </row>
    <row r="36" spans="2:82" x14ac:dyDescent="0.3">
      <c r="B36" s="53"/>
      <c r="C36" s="53" t="str">
        <f t="shared" si="0"/>
        <v>CPU_Cerca</v>
      </c>
      <c r="D36" s="278">
        <f t="shared" si="1"/>
        <v>200</v>
      </c>
      <c r="E36" s="278">
        <f t="shared" si="2"/>
        <v>31875</v>
      </c>
      <c r="F36" s="1"/>
      <c r="G36" s="28" t="str">
        <f>IFERROR(VLOOKUP(F36,Tabela7[[RECURSO]:[CUSTO]],2,FALSE),"")</f>
        <v/>
      </c>
      <c r="H36" s="93"/>
      <c r="I36" s="90"/>
      <c r="J36" s="45">
        <f>IFERROR(VLOOKUP(F36,Tabela7[[RECURSO]:[CUSTO]],3,FALSE),0)</f>
        <v>0</v>
      </c>
      <c r="K36" s="45">
        <f t="shared" si="34"/>
        <v>0</v>
      </c>
      <c r="AD36" s="144" t="str">
        <f t="shared" si="3"/>
        <v>Cerca</v>
      </c>
      <c r="AE36" s="179"/>
      <c r="AF36" s="180">
        <f t="shared" si="20"/>
        <v>0</v>
      </c>
      <c r="AG36" s="180">
        <f t="shared" si="17"/>
        <v>0</v>
      </c>
      <c r="AH36" s="181">
        <f t="shared" si="21"/>
        <v>0</v>
      </c>
      <c r="AI36" s="182"/>
      <c r="AJ36" s="90"/>
      <c r="AK36" s="90"/>
      <c r="AL36" s="183">
        <f t="shared" si="22"/>
        <v>0</v>
      </c>
      <c r="AM36" s="182"/>
      <c r="AN36" s="90"/>
      <c r="AO36" s="90"/>
      <c r="AP36" s="183">
        <f t="shared" si="23"/>
        <v>0</v>
      </c>
      <c r="AQ36" s="182"/>
      <c r="AR36" s="90"/>
      <c r="AS36" s="90"/>
      <c r="AT36" s="183">
        <f t="shared" si="24"/>
        <v>0</v>
      </c>
      <c r="AU36" s="182"/>
      <c r="AV36" s="90"/>
      <c r="AW36" s="90"/>
      <c r="AX36" s="183">
        <f t="shared" si="25"/>
        <v>0</v>
      </c>
      <c r="AY36" s="182"/>
      <c r="AZ36" s="90"/>
      <c r="BA36" s="90"/>
      <c r="BB36" s="183">
        <f t="shared" si="26"/>
        <v>0</v>
      </c>
      <c r="BC36" s="182"/>
      <c r="BD36" s="90"/>
      <c r="BE36" s="90"/>
      <c r="BF36" s="183">
        <f t="shared" si="27"/>
        <v>0</v>
      </c>
      <c r="BG36" s="182"/>
      <c r="BH36" s="90"/>
      <c r="BI36" s="90"/>
      <c r="BJ36" s="183">
        <f t="shared" si="28"/>
        <v>0</v>
      </c>
      <c r="BK36" s="182"/>
      <c r="BL36" s="90"/>
      <c r="BM36" s="90"/>
      <c r="BN36" s="183">
        <f t="shared" si="29"/>
        <v>0</v>
      </c>
      <c r="BO36" s="182"/>
      <c r="BP36" s="90"/>
      <c r="BQ36" s="90"/>
      <c r="BR36" s="183">
        <f t="shared" si="30"/>
        <v>0</v>
      </c>
      <c r="BS36" s="182"/>
      <c r="BT36" s="90"/>
      <c r="BU36" s="90"/>
      <c r="BV36" s="183">
        <f t="shared" si="31"/>
        <v>0</v>
      </c>
      <c r="BW36" s="182"/>
      <c r="BX36" s="90"/>
      <c r="BY36" s="90"/>
      <c r="BZ36" s="183">
        <f t="shared" si="32"/>
        <v>0</v>
      </c>
      <c r="CA36" s="182"/>
      <c r="CB36" s="90"/>
      <c r="CC36" s="90"/>
      <c r="CD36" s="183">
        <f t="shared" si="33"/>
        <v>0</v>
      </c>
    </row>
    <row r="37" spans="2:82" x14ac:dyDescent="0.3">
      <c r="B37" s="52" t="s">
        <v>692</v>
      </c>
      <c r="C37" s="52" t="str">
        <f t="shared" si="0"/>
        <v>CPU_Cerca</v>
      </c>
      <c r="D37" s="277">
        <f t="shared" si="1"/>
        <v>200</v>
      </c>
      <c r="E37" s="277">
        <f t="shared" si="2"/>
        <v>31875</v>
      </c>
      <c r="F37" s="37"/>
      <c r="G37" s="38"/>
      <c r="H37" s="91"/>
      <c r="I37" s="40"/>
      <c r="J37" s="40">
        <f>IFERROR(K37/$B$6,0)</f>
        <v>6.6157529654710903</v>
      </c>
      <c r="K37" s="40">
        <f>SUM(K38:K49)</f>
        <v>1323.150593094218</v>
      </c>
      <c r="N37" s="39"/>
      <c r="AD37" s="144" t="str">
        <f t="shared" si="3"/>
        <v>Cerca</v>
      </c>
      <c r="AE37" s="184"/>
      <c r="AF37" s="40"/>
      <c r="AG37" s="40">
        <f>IFERROR(AH37/AF$3,0)</f>
        <v>0</v>
      </c>
      <c r="AH37" s="185">
        <f>SUM(AH38:AH49)</f>
        <v>0</v>
      </c>
      <c r="AI37" s="184"/>
      <c r="AJ37" s="40"/>
      <c r="AK37" s="40">
        <f>IFERROR(AL37/AJ$3,0)</f>
        <v>0</v>
      </c>
      <c r="AL37" s="185">
        <f>SUM(AL38:AL49)</f>
        <v>0</v>
      </c>
      <c r="AM37" s="184"/>
      <c r="AN37" s="40"/>
      <c r="AO37" s="40">
        <f>IFERROR(AP37/AN$3,0)</f>
        <v>0</v>
      </c>
      <c r="AP37" s="185">
        <f>SUM(AP38:AP49)</f>
        <v>0</v>
      </c>
      <c r="AQ37" s="184"/>
      <c r="AR37" s="40"/>
      <c r="AS37" s="40">
        <f>IFERROR(AT37/AR$3,0)</f>
        <v>0</v>
      </c>
      <c r="AT37" s="185">
        <f>SUM(AT38:AT49)</f>
        <v>0</v>
      </c>
      <c r="AU37" s="184"/>
      <c r="AV37" s="40"/>
      <c r="AW37" s="40">
        <f>IFERROR(AX37/AV$3,0)</f>
        <v>0</v>
      </c>
      <c r="AX37" s="185">
        <f>SUM(AX38:AX49)</f>
        <v>0</v>
      </c>
      <c r="AY37" s="184"/>
      <c r="AZ37" s="40"/>
      <c r="BA37" s="40">
        <f>IFERROR(BB37/AZ$3,0)</f>
        <v>0</v>
      </c>
      <c r="BB37" s="185">
        <f>SUM(BB38:BB49)</f>
        <v>0</v>
      </c>
      <c r="BC37" s="184"/>
      <c r="BD37" s="40"/>
      <c r="BE37" s="40">
        <f>IFERROR(BF37/BD$3,0)</f>
        <v>0</v>
      </c>
      <c r="BF37" s="185">
        <f>SUM(BF38:BF49)</f>
        <v>0</v>
      </c>
      <c r="BG37" s="184"/>
      <c r="BH37" s="40"/>
      <c r="BI37" s="40">
        <f>IFERROR(BJ37/BH$3,0)</f>
        <v>0</v>
      </c>
      <c r="BJ37" s="185">
        <f>SUM(BJ38:BJ49)</f>
        <v>0</v>
      </c>
      <c r="BK37" s="184"/>
      <c r="BL37" s="40"/>
      <c r="BM37" s="40">
        <f>IFERROR(BN37/BL$3,0)</f>
        <v>0</v>
      </c>
      <c r="BN37" s="185">
        <f>SUM(BN38:BN49)</f>
        <v>0</v>
      </c>
      <c r="BO37" s="184"/>
      <c r="BP37" s="40"/>
      <c r="BQ37" s="40">
        <f>IFERROR(BR37/BP$3,0)</f>
        <v>0</v>
      </c>
      <c r="BR37" s="185">
        <f>SUM(BR38:BR49)</f>
        <v>0</v>
      </c>
      <c r="BS37" s="184"/>
      <c r="BT37" s="40"/>
      <c r="BU37" s="40">
        <f>IFERROR(BV37/BT$3,0)</f>
        <v>0</v>
      </c>
      <c r="BV37" s="185">
        <f>SUM(BV38:BV49)</f>
        <v>0</v>
      </c>
      <c r="BW37" s="184"/>
      <c r="BX37" s="40"/>
      <c r="BY37" s="40">
        <f>IFERROR(BZ37/BX$3,0)</f>
        <v>0</v>
      </c>
      <c r="BZ37" s="185">
        <f>SUM(BZ38:BZ49)</f>
        <v>0</v>
      </c>
      <c r="CA37" s="184"/>
      <c r="CB37" s="40"/>
      <c r="CC37" s="40">
        <f>IFERROR(CD37/CB$3,0)</f>
        <v>0</v>
      </c>
      <c r="CD37" s="185">
        <f>SUM(CD38:CD49)</f>
        <v>0</v>
      </c>
    </row>
    <row r="38" spans="2:82" x14ac:dyDescent="0.3">
      <c r="B38" s="54"/>
      <c r="C38" s="54" t="str">
        <f t="shared" si="0"/>
        <v>CPU_Cerca</v>
      </c>
      <c r="D38" s="280">
        <f t="shared" si="1"/>
        <v>200</v>
      </c>
      <c r="E38" s="280">
        <f t="shared" si="2"/>
        <v>31875</v>
      </c>
      <c r="F38" s="1" t="s">
        <v>758</v>
      </c>
      <c r="G38" s="28" t="str">
        <f>IFERROR(VLOOKUP(F38,Tabela7[[RECURSO]:[CUSTO]],2,FALSE),"")</f>
        <v>H</v>
      </c>
      <c r="H38" s="92">
        <v>1</v>
      </c>
      <c r="I38" s="90">
        <v>11</v>
      </c>
      <c r="J38" s="45">
        <f>IFERROR(VLOOKUP(F38,Tabela7[[RECURSO]:[CUSTO]],3,FALSE),0)</f>
        <v>40.546465252092652</v>
      </c>
      <c r="K38" s="45">
        <f>I38*J38*CPU_59[[#This Row],[Nº]]</f>
        <v>446.01111777301918</v>
      </c>
      <c r="AD38" s="144" t="str">
        <f t="shared" si="3"/>
        <v>Cerca</v>
      </c>
      <c r="AE38" s="186"/>
      <c r="AF38" s="180">
        <f t="shared" ref="AF38:AF49" si="35">AJ38+AN38+AR38+AV38+AZ38+BD38+BH38+BL38+BP38+BT38+BX38+CB38</f>
        <v>0</v>
      </c>
      <c r="AG38" s="180">
        <f t="shared" si="17"/>
        <v>0</v>
      </c>
      <c r="AH38" s="181">
        <f t="shared" ref="AH38:AH49" si="36">AL38+AP38+AT38+AX38+BB38+BF38+BJ38+BN38+BR38+BV38+BZ38+CD38</f>
        <v>0</v>
      </c>
      <c r="AI38" s="187"/>
      <c r="AJ38" s="90"/>
      <c r="AK38" s="90"/>
      <c r="AL38" s="183">
        <f t="shared" ref="AL38:AL49" si="37">AJ38*AK38</f>
        <v>0</v>
      </c>
      <c r="AM38" s="187"/>
      <c r="AN38" s="90"/>
      <c r="AO38" s="90"/>
      <c r="AP38" s="183">
        <f t="shared" si="23"/>
        <v>0</v>
      </c>
      <c r="AQ38" s="187"/>
      <c r="AR38" s="90"/>
      <c r="AS38" s="90"/>
      <c r="AT38" s="183">
        <f t="shared" si="24"/>
        <v>0</v>
      </c>
      <c r="AU38" s="187"/>
      <c r="AV38" s="90"/>
      <c r="AW38" s="90"/>
      <c r="AX38" s="183">
        <f t="shared" si="25"/>
        <v>0</v>
      </c>
      <c r="AY38" s="187"/>
      <c r="AZ38" s="90"/>
      <c r="BA38" s="90"/>
      <c r="BB38" s="183">
        <f t="shared" si="26"/>
        <v>0</v>
      </c>
      <c r="BC38" s="187"/>
      <c r="BD38" s="90"/>
      <c r="BE38" s="90"/>
      <c r="BF38" s="183">
        <f t="shared" si="27"/>
        <v>0</v>
      </c>
      <c r="BG38" s="187"/>
      <c r="BH38" s="90"/>
      <c r="BI38" s="90"/>
      <c r="BJ38" s="183">
        <f t="shared" si="28"/>
        <v>0</v>
      </c>
      <c r="BK38" s="187"/>
      <c r="BL38" s="90"/>
      <c r="BM38" s="90"/>
      <c r="BN38" s="183">
        <f t="shared" si="29"/>
        <v>0</v>
      </c>
      <c r="BO38" s="187"/>
      <c r="BP38" s="90"/>
      <c r="BQ38" s="90"/>
      <c r="BR38" s="183">
        <f t="shared" si="30"/>
        <v>0</v>
      </c>
      <c r="BS38" s="187"/>
      <c r="BT38" s="90"/>
      <c r="BU38" s="90"/>
      <c r="BV38" s="183">
        <f t="shared" si="31"/>
        <v>0</v>
      </c>
      <c r="BW38" s="187"/>
      <c r="BX38" s="90"/>
      <c r="BY38" s="90"/>
      <c r="BZ38" s="183">
        <f t="shared" si="32"/>
        <v>0</v>
      </c>
      <c r="CA38" s="187"/>
      <c r="CB38" s="90"/>
      <c r="CC38" s="90"/>
      <c r="CD38" s="183">
        <f t="shared" si="33"/>
        <v>0</v>
      </c>
    </row>
    <row r="39" spans="2:82" x14ac:dyDescent="0.3">
      <c r="B39" s="54"/>
      <c r="C39" s="54" t="str">
        <f t="shared" si="0"/>
        <v>CPU_Cerca</v>
      </c>
      <c r="D39" s="280">
        <f t="shared" si="1"/>
        <v>200</v>
      </c>
      <c r="E39" s="280">
        <f t="shared" si="2"/>
        <v>31875</v>
      </c>
      <c r="F39" s="1" t="s">
        <v>361</v>
      </c>
      <c r="G39" s="28" t="str">
        <f>IFERROR(VLOOKUP(F39,Tabela7[[RECURSO]:[CUSTO]],2,FALSE),"")</f>
        <v>H</v>
      </c>
      <c r="H39" s="92">
        <v>3</v>
      </c>
      <c r="I39" s="90">
        <v>11</v>
      </c>
      <c r="J39" s="45">
        <f>IFERROR(VLOOKUP(F39,Tabela7[[RECURSO]:[CUSTO]],3,FALSE),0)</f>
        <v>26.579984100642395</v>
      </c>
      <c r="K39" s="45">
        <f>I39*J39*CPU_59[[#This Row],[Nº]]</f>
        <v>877.13947532119892</v>
      </c>
      <c r="AD39" s="144" t="str">
        <f t="shared" si="3"/>
        <v>Cerca</v>
      </c>
      <c r="AE39" s="186"/>
      <c r="AF39" s="180">
        <f t="shared" si="35"/>
        <v>0</v>
      </c>
      <c r="AG39" s="180">
        <f t="shared" si="17"/>
        <v>0</v>
      </c>
      <c r="AH39" s="181">
        <f t="shared" si="36"/>
        <v>0</v>
      </c>
      <c r="AI39" s="187"/>
      <c r="AJ39" s="90"/>
      <c r="AK39" s="90"/>
      <c r="AL39" s="183">
        <f t="shared" si="37"/>
        <v>0</v>
      </c>
      <c r="AM39" s="187"/>
      <c r="AN39" s="90"/>
      <c r="AO39" s="90"/>
      <c r="AP39" s="183">
        <f t="shared" si="23"/>
        <v>0</v>
      </c>
      <c r="AQ39" s="187"/>
      <c r="AR39" s="90"/>
      <c r="AS39" s="90"/>
      <c r="AT39" s="183">
        <f t="shared" si="24"/>
        <v>0</v>
      </c>
      <c r="AU39" s="187"/>
      <c r="AV39" s="90"/>
      <c r="AW39" s="90"/>
      <c r="AX39" s="183">
        <f t="shared" si="25"/>
        <v>0</v>
      </c>
      <c r="AY39" s="187"/>
      <c r="AZ39" s="90"/>
      <c r="BA39" s="90"/>
      <c r="BB39" s="183">
        <f t="shared" si="26"/>
        <v>0</v>
      </c>
      <c r="BC39" s="187"/>
      <c r="BD39" s="90"/>
      <c r="BE39" s="90"/>
      <c r="BF39" s="183">
        <f t="shared" si="27"/>
        <v>0</v>
      </c>
      <c r="BG39" s="187"/>
      <c r="BH39" s="90"/>
      <c r="BI39" s="90"/>
      <c r="BJ39" s="183">
        <f t="shared" si="28"/>
        <v>0</v>
      </c>
      <c r="BK39" s="187"/>
      <c r="BL39" s="90"/>
      <c r="BM39" s="90"/>
      <c r="BN39" s="183">
        <f t="shared" si="29"/>
        <v>0</v>
      </c>
      <c r="BO39" s="187"/>
      <c r="BP39" s="90"/>
      <c r="BQ39" s="90"/>
      <c r="BR39" s="183">
        <f t="shared" si="30"/>
        <v>0</v>
      </c>
      <c r="BS39" s="187"/>
      <c r="BT39" s="90"/>
      <c r="BU39" s="90"/>
      <c r="BV39" s="183">
        <f t="shared" si="31"/>
        <v>0</v>
      </c>
      <c r="BW39" s="187"/>
      <c r="BX39" s="90"/>
      <c r="BY39" s="90"/>
      <c r="BZ39" s="183">
        <f t="shared" si="32"/>
        <v>0</v>
      </c>
      <c r="CA39" s="187"/>
      <c r="CB39" s="90"/>
      <c r="CC39" s="90"/>
      <c r="CD39" s="183">
        <f t="shared" si="33"/>
        <v>0</v>
      </c>
    </row>
    <row r="40" spans="2:82" x14ac:dyDescent="0.3">
      <c r="B40" s="54"/>
      <c r="C40" s="54" t="str">
        <f t="shared" si="0"/>
        <v>CPU_Cerca</v>
      </c>
      <c r="D40" s="280">
        <f t="shared" si="1"/>
        <v>200</v>
      </c>
      <c r="E40" s="280">
        <f t="shared" si="2"/>
        <v>31875</v>
      </c>
      <c r="F40" s="1"/>
      <c r="G40" s="28" t="str">
        <f>IFERROR(VLOOKUP(F40,Tabela7[[RECURSO]:[CUSTO]],2,FALSE),"")</f>
        <v/>
      </c>
      <c r="H40" s="92"/>
      <c r="I40" s="90"/>
      <c r="J40" s="45">
        <f>IFERROR(VLOOKUP(F40,Tabela7[[RECURSO]:[CUSTO]],3,FALSE),0)</f>
        <v>0</v>
      </c>
      <c r="K40" s="45">
        <f>I40*J40*CPU_59[[#This Row],[Nº]]</f>
        <v>0</v>
      </c>
      <c r="AD40" s="144" t="str">
        <f t="shared" si="3"/>
        <v>Cerca</v>
      </c>
      <c r="AE40" s="186"/>
      <c r="AF40" s="180">
        <f t="shared" si="35"/>
        <v>0</v>
      </c>
      <c r="AG40" s="180">
        <f t="shared" si="17"/>
        <v>0</v>
      </c>
      <c r="AH40" s="181">
        <f t="shared" si="36"/>
        <v>0</v>
      </c>
      <c r="AI40" s="187"/>
      <c r="AJ40" s="90"/>
      <c r="AK40" s="90"/>
      <c r="AL40" s="183">
        <f t="shared" si="37"/>
        <v>0</v>
      </c>
      <c r="AM40" s="187"/>
      <c r="AN40" s="90"/>
      <c r="AO40" s="90"/>
      <c r="AP40" s="183">
        <f t="shared" si="23"/>
        <v>0</v>
      </c>
      <c r="AQ40" s="187"/>
      <c r="AR40" s="90"/>
      <c r="AS40" s="90"/>
      <c r="AT40" s="183">
        <f t="shared" si="24"/>
        <v>0</v>
      </c>
      <c r="AU40" s="187"/>
      <c r="AV40" s="90"/>
      <c r="AW40" s="90"/>
      <c r="AX40" s="183">
        <f t="shared" si="25"/>
        <v>0</v>
      </c>
      <c r="AY40" s="187"/>
      <c r="AZ40" s="90"/>
      <c r="BA40" s="90"/>
      <c r="BB40" s="183">
        <f t="shared" si="26"/>
        <v>0</v>
      </c>
      <c r="BC40" s="187"/>
      <c r="BD40" s="90"/>
      <c r="BE40" s="90"/>
      <c r="BF40" s="183">
        <f t="shared" si="27"/>
        <v>0</v>
      </c>
      <c r="BG40" s="187"/>
      <c r="BH40" s="90"/>
      <c r="BI40" s="90"/>
      <c r="BJ40" s="183">
        <f t="shared" si="28"/>
        <v>0</v>
      </c>
      <c r="BK40" s="187"/>
      <c r="BL40" s="90"/>
      <c r="BM40" s="90"/>
      <c r="BN40" s="183">
        <f t="shared" si="29"/>
        <v>0</v>
      </c>
      <c r="BO40" s="187"/>
      <c r="BP40" s="90"/>
      <c r="BQ40" s="90"/>
      <c r="BR40" s="183">
        <f t="shared" si="30"/>
        <v>0</v>
      </c>
      <c r="BS40" s="187"/>
      <c r="BT40" s="90"/>
      <c r="BU40" s="90"/>
      <c r="BV40" s="183">
        <f t="shared" si="31"/>
        <v>0</v>
      </c>
      <c r="BW40" s="187"/>
      <c r="BX40" s="90"/>
      <c r="BY40" s="90"/>
      <c r="BZ40" s="183">
        <f t="shared" si="32"/>
        <v>0</v>
      </c>
      <c r="CA40" s="187"/>
      <c r="CB40" s="90"/>
      <c r="CC40" s="90"/>
      <c r="CD40" s="183">
        <f t="shared" si="33"/>
        <v>0</v>
      </c>
    </row>
    <row r="41" spans="2:82" x14ac:dyDescent="0.3">
      <c r="B41" s="54"/>
      <c r="C41" s="54" t="str">
        <f t="shared" si="0"/>
        <v>CPU_Cerca</v>
      </c>
      <c r="D41" s="280">
        <f t="shared" si="1"/>
        <v>200</v>
      </c>
      <c r="E41" s="280">
        <f t="shared" si="2"/>
        <v>31875</v>
      </c>
      <c r="F41" s="1"/>
      <c r="G41" s="28" t="str">
        <f>IFERROR(VLOOKUP(F41,Tabela7[[RECURSO]:[CUSTO]],2,FALSE),"")</f>
        <v/>
      </c>
      <c r="H41" s="92"/>
      <c r="I41" s="90"/>
      <c r="J41" s="45">
        <f>IFERROR(VLOOKUP(F41,Tabela7[[RECURSO]:[CUSTO]],3,FALSE),0)</f>
        <v>0</v>
      </c>
      <c r="K41" s="45">
        <f>I41*J41*CPU_59[[#This Row],[Nº]]</f>
        <v>0</v>
      </c>
      <c r="AD41" s="144" t="str">
        <f t="shared" si="3"/>
        <v>Cerca</v>
      </c>
      <c r="AE41" s="186"/>
      <c r="AF41" s="180">
        <f t="shared" si="35"/>
        <v>0</v>
      </c>
      <c r="AG41" s="180">
        <f t="shared" si="17"/>
        <v>0</v>
      </c>
      <c r="AH41" s="181">
        <f t="shared" si="36"/>
        <v>0</v>
      </c>
      <c r="AI41" s="187"/>
      <c r="AJ41" s="90"/>
      <c r="AK41" s="90"/>
      <c r="AL41" s="183">
        <f t="shared" si="37"/>
        <v>0</v>
      </c>
      <c r="AM41" s="187"/>
      <c r="AN41" s="90"/>
      <c r="AO41" s="90"/>
      <c r="AP41" s="183">
        <f t="shared" si="23"/>
        <v>0</v>
      </c>
      <c r="AQ41" s="187"/>
      <c r="AR41" s="90"/>
      <c r="AS41" s="90"/>
      <c r="AT41" s="183">
        <f t="shared" si="24"/>
        <v>0</v>
      </c>
      <c r="AU41" s="187"/>
      <c r="AV41" s="90"/>
      <c r="AW41" s="90"/>
      <c r="AX41" s="183">
        <f t="shared" si="25"/>
        <v>0</v>
      </c>
      <c r="AY41" s="187"/>
      <c r="AZ41" s="90"/>
      <c r="BA41" s="90"/>
      <c r="BB41" s="183">
        <f t="shared" si="26"/>
        <v>0</v>
      </c>
      <c r="BC41" s="187"/>
      <c r="BD41" s="90"/>
      <c r="BE41" s="90"/>
      <c r="BF41" s="183">
        <f t="shared" si="27"/>
        <v>0</v>
      </c>
      <c r="BG41" s="187"/>
      <c r="BH41" s="90"/>
      <c r="BI41" s="90"/>
      <c r="BJ41" s="183">
        <f t="shared" si="28"/>
        <v>0</v>
      </c>
      <c r="BK41" s="187"/>
      <c r="BL41" s="90"/>
      <c r="BM41" s="90"/>
      <c r="BN41" s="183">
        <f t="shared" si="29"/>
        <v>0</v>
      </c>
      <c r="BO41" s="187"/>
      <c r="BP41" s="90"/>
      <c r="BQ41" s="90"/>
      <c r="BR41" s="183">
        <f t="shared" si="30"/>
        <v>0</v>
      </c>
      <c r="BS41" s="187"/>
      <c r="BT41" s="90"/>
      <c r="BU41" s="90"/>
      <c r="BV41" s="183">
        <f t="shared" si="31"/>
        <v>0</v>
      </c>
      <c r="BW41" s="187"/>
      <c r="BX41" s="90"/>
      <c r="BY41" s="90"/>
      <c r="BZ41" s="183">
        <f t="shared" si="32"/>
        <v>0</v>
      </c>
      <c r="CA41" s="187"/>
      <c r="CB41" s="90"/>
      <c r="CC41" s="90"/>
      <c r="CD41" s="183">
        <f t="shared" si="33"/>
        <v>0</v>
      </c>
    </row>
    <row r="42" spans="2:82" x14ac:dyDescent="0.3">
      <c r="B42" s="54"/>
      <c r="C42" s="54" t="str">
        <f t="shared" si="0"/>
        <v>CPU_Cerca</v>
      </c>
      <c r="D42" s="280">
        <f t="shared" si="1"/>
        <v>200</v>
      </c>
      <c r="E42" s="280">
        <f t="shared" si="2"/>
        <v>31875</v>
      </c>
      <c r="F42" s="1"/>
      <c r="G42" s="28" t="str">
        <f>IFERROR(VLOOKUP(F42,Tabela7[[RECURSO]:[CUSTO]],2,FALSE),"")</f>
        <v/>
      </c>
      <c r="H42" s="92"/>
      <c r="I42" s="90"/>
      <c r="J42" s="45">
        <f>IFERROR(VLOOKUP(F42,Tabela7[[RECURSO]:[CUSTO]],3,FALSE),0)</f>
        <v>0</v>
      </c>
      <c r="K42" s="45">
        <f>I42*J42*CPU_59[[#This Row],[Nº]]</f>
        <v>0</v>
      </c>
      <c r="AD42" s="144" t="str">
        <f t="shared" si="3"/>
        <v>Cerca</v>
      </c>
      <c r="AE42" s="186"/>
      <c r="AF42" s="180">
        <f t="shared" si="35"/>
        <v>0</v>
      </c>
      <c r="AG42" s="180">
        <f t="shared" si="17"/>
        <v>0</v>
      </c>
      <c r="AH42" s="181">
        <f t="shared" si="36"/>
        <v>0</v>
      </c>
      <c r="AI42" s="187"/>
      <c r="AJ42" s="90"/>
      <c r="AK42" s="90"/>
      <c r="AL42" s="183">
        <f t="shared" si="37"/>
        <v>0</v>
      </c>
      <c r="AM42" s="187"/>
      <c r="AN42" s="90"/>
      <c r="AO42" s="90"/>
      <c r="AP42" s="183">
        <f t="shared" si="23"/>
        <v>0</v>
      </c>
      <c r="AQ42" s="187"/>
      <c r="AR42" s="90"/>
      <c r="AS42" s="90"/>
      <c r="AT42" s="183">
        <f t="shared" si="24"/>
        <v>0</v>
      </c>
      <c r="AU42" s="187"/>
      <c r="AV42" s="90"/>
      <c r="AW42" s="90"/>
      <c r="AX42" s="183">
        <f t="shared" si="25"/>
        <v>0</v>
      </c>
      <c r="AY42" s="187"/>
      <c r="AZ42" s="90"/>
      <c r="BA42" s="90"/>
      <c r="BB42" s="183">
        <f t="shared" si="26"/>
        <v>0</v>
      </c>
      <c r="BC42" s="187"/>
      <c r="BD42" s="90"/>
      <c r="BE42" s="90"/>
      <c r="BF42" s="183">
        <f t="shared" si="27"/>
        <v>0</v>
      </c>
      <c r="BG42" s="187"/>
      <c r="BH42" s="90"/>
      <c r="BI42" s="90"/>
      <c r="BJ42" s="183">
        <f t="shared" si="28"/>
        <v>0</v>
      </c>
      <c r="BK42" s="187"/>
      <c r="BL42" s="90"/>
      <c r="BM42" s="90"/>
      <c r="BN42" s="183">
        <f t="shared" si="29"/>
        <v>0</v>
      </c>
      <c r="BO42" s="187"/>
      <c r="BP42" s="90"/>
      <c r="BQ42" s="90"/>
      <c r="BR42" s="183">
        <f t="shared" si="30"/>
        <v>0</v>
      </c>
      <c r="BS42" s="187"/>
      <c r="BT42" s="90"/>
      <c r="BU42" s="90"/>
      <c r="BV42" s="183">
        <f t="shared" si="31"/>
        <v>0</v>
      </c>
      <c r="BW42" s="187"/>
      <c r="BX42" s="90"/>
      <c r="BY42" s="90"/>
      <c r="BZ42" s="183">
        <f t="shared" si="32"/>
        <v>0</v>
      </c>
      <c r="CA42" s="187"/>
      <c r="CB42" s="90"/>
      <c r="CC42" s="90"/>
      <c r="CD42" s="183">
        <f t="shared" si="33"/>
        <v>0</v>
      </c>
    </row>
    <row r="43" spans="2:82" x14ac:dyDescent="0.3">
      <c r="B43" s="54"/>
      <c r="C43" s="54" t="str">
        <f t="shared" si="0"/>
        <v>CPU_Cerca</v>
      </c>
      <c r="D43" s="280">
        <f t="shared" si="1"/>
        <v>200</v>
      </c>
      <c r="E43" s="280">
        <f t="shared" si="2"/>
        <v>31875</v>
      </c>
      <c r="F43" s="1"/>
      <c r="G43" s="28" t="str">
        <f>IFERROR(VLOOKUP(F43,Tabela7[[RECURSO]:[CUSTO]],2,FALSE),"")</f>
        <v/>
      </c>
      <c r="H43" s="92"/>
      <c r="I43" s="90"/>
      <c r="J43" s="45">
        <f>IFERROR(VLOOKUP(F43,Tabela7[[RECURSO]:[CUSTO]],3,FALSE),0)</f>
        <v>0</v>
      </c>
      <c r="K43" s="45">
        <f>I43*J43*CPU_59[[#This Row],[Nº]]</f>
        <v>0</v>
      </c>
      <c r="AD43" s="144" t="str">
        <f t="shared" si="3"/>
        <v>Cerca</v>
      </c>
      <c r="AE43" s="186"/>
      <c r="AF43" s="180">
        <f t="shared" si="35"/>
        <v>0</v>
      </c>
      <c r="AG43" s="180">
        <f t="shared" si="17"/>
        <v>0</v>
      </c>
      <c r="AH43" s="181">
        <f t="shared" si="36"/>
        <v>0</v>
      </c>
      <c r="AI43" s="187"/>
      <c r="AJ43" s="90"/>
      <c r="AK43" s="90"/>
      <c r="AL43" s="183">
        <f t="shared" si="37"/>
        <v>0</v>
      </c>
      <c r="AM43" s="187"/>
      <c r="AN43" s="90"/>
      <c r="AO43" s="90"/>
      <c r="AP43" s="183">
        <f t="shared" si="23"/>
        <v>0</v>
      </c>
      <c r="AQ43" s="187"/>
      <c r="AR43" s="90"/>
      <c r="AS43" s="90"/>
      <c r="AT43" s="183">
        <f t="shared" si="24"/>
        <v>0</v>
      </c>
      <c r="AU43" s="187"/>
      <c r="AV43" s="90"/>
      <c r="AW43" s="90"/>
      <c r="AX43" s="183">
        <f t="shared" si="25"/>
        <v>0</v>
      </c>
      <c r="AY43" s="187"/>
      <c r="AZ43" s="90"/>
      <c r="BA43" s="90"/>
      <c r="BB43" s="183">
        <f t="shared" si="26"/>
        <v>0</v>
      </c>
      <c r="BC43" s="187"/>
      <c r="BD43" s="90"/>
      <c r="BE43" s="90"/>
      <c r="BF43" s="183">
        <f t="shared" si="27"/>
        <v>0</v>
      </c>
      <c r="BG43" s="187"/>
      <c r="BH43" s="90"/>
      <c r="BI43" s="90"/>
      <c r="BJ43" s="183">
        <f t="shared" si="28"/>
        <v>0</v>
      </c>
      <c r="BK43" s="187"/>
      <c r="BL43" s="90"/>
      <c r="BM43" s="90"/>
      <c r="BN43" s="183">
        <f t="shared" si="29"/>
        <v>0</v>
      </c>
      <c r="BO43" s="187"/>
      <c r="BP43" s="90"/>
      <c r="BQ43" s="90"/>
      <c r="BR43" s="183">
        <f t="shared" si="30"/>
        <v>0</v>
      </c>
      <c r="BS43" s="187"/>
      <c r="BT43" s="90"/>
      <c r="BU43" s="90"/>
      <c r="BV43" s="183">
        <f t="shared" si="31"/>
        <v>0</v>
      </c>
      <c r="BW43" s="187"/>
      <c r="BX43" s="90"/>
      <c r="BY43" s="90"/>
      <c r="BZ43" s="183">
        <f t="shared" si="32"/>
        <v>0</v>
      </c>
      <c r="CA43" s="187"/>
      <c r="CB43" s="90"/>
      <c r="CC43" s="90"/>
      <c r="CD43" s="183">
        <f t="shared" si="33"/>
        <v>0</v>
      </c>
    </row>
    <row r="44" spans="2:82" x14ac:dyDescent="0.3">
      <c r="B44" s="54"/>
      <c r="C44" s="54" t="str">
        <f t="shared" si="0"/>
        <v>CPU_Cerca</v>
      </c>
      <c r="D44" s="280">
        <f t="shared" si="1"/>
        <v>200</v>
      </c>
      <c r="E44" s="280">
        <f t="shared" si="2"/>
        <v>31875</v>
      </c>
      <c r="F44" s="1"/>
      <c r="G44" s="28" t="str">
        <f>IFERROR(VLOOKUP(F44,Tabela7[[RECURSO]:[CUSTO]],2,FALSE),"")</f>
        <v/>
      </c>
      <c r="H44" s="92"/>
      <c r="I44" s="90"/>
      <c r="J44" s="45">
        <f>IFERROR(VLOOKUP(F44,Tabela7[[RECURSO]:[CUSTO]],3,FALSE),0)</f>
        <v>0</v>
      </c>
      <c r="K44" s="45">
        <f>I44*J44*CPU_59[[#This Row],[Nº]]</f>
        <v>0</v>
      </c>
      <c r="AD44" s="144" t="str">
        <f t="shared" si="3"/>
        <v>Cerca</v>
      </c>
      <c r="AE44" s="186"/>
      <c r="AF44" s="180">
        <f t="shared" si="35"/>
        <v>0</v>
      </c>
      <c r="AG44" s="180">
        <f t="shared" si="17"/>
        <v>0</v>
      </c>
      <c r="AH44" s="181">
        <f t="shared" si="36"/>
        <v>0</v>
      </c>
      <c r="AI44" s="187"/>
      <c r="AJ44" s="90"/>
      <c r="AK44" s="90"/>
      <c r="AL44" s="183">
        <f t="shared" si="37"/>
        <v>0</v>
      </c>
      <c r="AM44" s="187"/>
      <c r="AN44" s="90"/>
      <c r="AO44" s="90"/>
      <c r="AP44" s="183">
        <f t="shared" si="23"/>
        <v>0</v>
      </c>
      <c r="AQ44" s="187"/>
      <c r="AR44" s="90"/>
      <c r="AS44" s="90"/>
      <c r="AT44" s="183">
        <f t="shared" si="24"/>
        <v>0</v>
      </c>
      <c r="AU44" s="187"/>
      <c r="AV44" s="90"/>
      <c r="AW44" s="90"/>
      <c r="AX44" s="183">
        <f t="shared" si="25"/>
        <v>0</v>
      </c>
      <c r="AY44" s="187"/>
      <c r="AZ44" s="90"/>
      <c r="BA44" s="90"/>
      <c r="BB44" s="183">
        <f t="shared" si="26"/>
        <v>0</v>
      </c>
      <c r="BC44" s="187"/>
      <c r="BD44" s="90"/>
      <c r="BE44" s="90"/>
      <c r="BF44" s="183">
        <f t="shared" si="27"/>
        <v>0</v>
      </c>
      <c r="BG44" s="187"/>
      <c r="BH44" s="90"/>
      <c r="BI44" s="90"/>
      <c r="BJ44" s="183">
        <f t="shared" si="28"/>
        <v>0</v>
      </c>
      <c r="BK44" s="187"/>
      <c r="BL44" s="90"/>
      <c r="BM44" s="90"/>
      <c r="BN44" s="183">
        <f t="shared" si="29"/>
        <v>0</v>
      </c>
      <c r="BO44" s="187"/>
      <c r="BP44" s="90"/>
      <c r="BQ44" s="90"/>
      <c r="BR44" s="183">
        <f t="shared" si="30"/>
        <v>0</v>
      </c>
      <c r="BS44" s="187"/>
      <c r="BT44" s="90"/>
      <c r="BU44" s="90"/>
      <c r="BV44" s="183">
        <f t="shared" si="31"/>
        <v>0</v>
      </c>
      <c r="BW44" s="187"/>
      <c r="BX44" s="90"/>
      <c r="BY44" s="90"/>
      <c r="BZ44" s="183">
        <f t="shared" si="32"/>
        <v>0</v>
      </c>
      <c r="CA44" s="187"/>
      <c r="CB44" s="90"/>
      <c r="CC44" s="90"/>
      <c r="CD44" s="183">
        <f t="shared" si="33"/>
        <v>0</v>
      </c>
    </row>
    <row r="45" spans="2:82" x14ac:dyDescent="0.3">
      <c r="B45" s="53"/>
      <c r="C45" s="53" t="str">
        <f t="shared" si="0"/>
        <v>CPU_Cerca</v>
      </c>
      <c r="D45" s="278">
        <f t="shared" si="1"/>
        <v>200</v>
      </c>
      <c r="E45" s="278">
        <f t="shared" si="2"/>
        <v>31875</v>
      </c>
      <c r="F45" s="1"/>
      <c r="G45" s="28" t="str">
        <f>IFERROR(VLOOKUP(F45,Tabela7[[RECURSO]:[CUSTO]],2,FALSE),"")</f>
        <v/>
      </c>
      <c r="H45" s="92"/>
      <c r="I45" s="90"/>
      <c r="J45" s="45">
        <f>IFERROR(VLOOKUP(F45,Tabela7[[RECURSO]:[CUSTO]],3,FALSE),0)</f>
        <v>0</v>
      </c>
      <c r="K45" s="45">
        <f>I45*J45*CPU_59[[#This Row],[Nº]]</f>
        <v>0</v>
      </c>
      <c r="AD45" s="144" t="str">
        <f t="shared" si="3"/>
        <v>Cerca</v>
      </c>
      <c r="AE45" s="188"/>
      <c r="AF45" s="180">
        <f t="shared" si="35"/>
        <v>0</v>
      </c>
      <c r="AG45" s="180">
        <f t="shared" si="17"/>
        <v>0</v>
      </c>
      <c r="AH45" s="181">
        <f t="shared" si="36"/>
        <v>0</v>
      </c>
      <c r="AI45" s="189"/>
      <c r="AJ45" s="90"/>
      <c r="AK45" s="90"/>
      <c r="AL45" s="183">
        <f t="shared" si="37"/>
        <v>0</v>
      </c>
      <c r="AM45" s="189"/>
      <c r="AN45" s="90"/>
      <c r="AO45" s="90"/>
      <c r="AP45" s="183">
        <f t="shared" si="23"/>
        <v>0</v>
      </c>
      <c r="AQ45" s="189"/>
      <c r="AR45" s="90"/>
      <c r="AS45" s="90"/>
      <c r="AT45" s="183">
        <f t="shared" si="24"/>
        <v>0</v>
      </c>
      <c r="AU45" s="189"/>
      <c r="AV45" s="90"/>
      <c r="AW45" s="90"/>
      <c r="AX45" s="183">
        <f t="shared" si="25"/>
        <v>0</v>
      </c>
      <c r="AY45" s="189"/>
      <c r="AZ45" s="90"/>
      <c r="BA45" s="90"/>
      <c r="BB45" s="183">
        <f t="shared" si="26"/>
        <v>0</v>
      </c>
      <c r="BC45" s="189"/>
      <c r="BD45" s="90"/>
      <c r="BE45" s="90"/>
      <c r="BF45" s="183">
        <f t="shared" si="27"/>
        <v>0</v>
      </c>
      <c r="BG45" s="189"/>
      <c r="BH45" s="90"/>
      <c r="BI45" s="90"/>
      <c r="BJ45" s="183">
        <f t="shared" si="28"/>
        <v>0</v>
      </c>
      <c r="BK45" s="189"/>
      <c r="BL45" s="90"/>
      <c r="BM45" s="90"/>
      <c r="BN45" s="183">
        <f t="shared" si="29"/>
        <v>0</v>
      </c>
      <c r="BO45" s="189"/>
      <c r="BP45" s="90"/>
      <c r="BQ45" s="90"/>
      <c r="BR45" s="183">
        <f t="shared" si="30"/>
        <v>0</v>
      </c>
      <c r="BS45" s="189"/>
      <c r="BT45" s="90"/>
      <c r="BU45" s="90"/>
      <c r="BV45" s="183">
        <f t="shared" si="31"/>
        <v>0</v>
      </c>
      <c r="BW45" s="189"/>
      <c r="BX45" s="90"/>
      <c r="BY45" s="90"/>
      <c r="BZ45" s="183">
        <f t="shared" si="32"/>
        <v>0</v>
      </c>
      <c r="CA45" s="189"/>
      <c r="CB45" s="90"/>
      <c r="CC45" s="90"/>
      <c r="CD45" s="183">
        <f t="shared" si="33"/>
        <v>0</v>
      </c>
    </row>
    <row r="46" spans="2:82" x14ac:dyDescent="0.3">
      <c r="B46" s="53"/>
      <c r="C46" s="53" t="str">
        <f t="shared" si="0"/>
        <v>CPU_Cerca</v>
      </c>
      <c r="D46" s="278">
        <f t="shared" si="1"/>
        <v>200</v>
      </c>
      <c r="E46" s="278">
        <f t="shared" si="2"/>
        <v>31875</v>
      </c>
      <c r="F46" s="1"/>
      <c r="G46" s="28" t="str">
        <f>IFERROR(VLOOKUP(F46,Tabela7[[RECURSO]:[CUSTO]],2,FALSE),"")</f>
        <v/>
      </c>
      <c r="H46" s="92"/>
      <c r="I46" s="90"/>
      <c r="J46" s="45">
        <f>IFERROR(VLOOKUP(F46,Tabela7[[RECURSO]:[CUSTO]],3,FALSE),0)</f>
        <v>0</v>
      </c>
      <c r="K46" s="45">
        <f>I46*J46*CPU_59[[#This Row],[Nº]]</f>
        <v>0</v>
      </c>
      <c r="AD46" s="144" t="str">
        <f t="shared" si="3"/>
        <v>Cerca</v>
      </c>
      <c r="AE46" s="188"/>
      <c r="AF46" s="180">
        <f t="shared" si="35"/>
        <v>0</v>
      </c>
      <c r="AG46" s="180">
        <f t="shared" si="17"/>
        <v>0</v>
      </c>
      <c r="AH46" s="181">
        <f t="shared" si="36"/>
        <v>0</v>
      </c>
      <c r="AI46" s="189"/>
      <c r="AJ46" s="90"/>
      <c r="AK46" s="90"/>
      <c r="AL46" s="183">
        <f t="shared" si="37"/>
        <v>0</v>
      </c>
      <c r="AM46" s="189"/>
      <c r="AN46" s="90"/>
      <c r="AO46" s="90"/>
      <c r="AP46" s="183">
        <f t="shared" si="23"/>
        <v>0</v>
      </c>
      <c r="AQ46" s="189"/>
      <c r="AR46" s="90"/>
      <c r="AS46" s="90"/>
      <c r="AT46" s="183">
        <f t="shared" si="24"/>
        <v>0</v>
      </c>
      <c r="AU46" s="189"/>
      <c r="AV46" s="90"/>
      <c r="AW46" s="90"/>
      <c r="AX46" s="183">
        <f t="shared" si="25"/>
        <v>0</v>
      </c>
      <c r="AY46" s="189"/>
      <c r="AZ46" s="90"/>
      <c r="BA46" s="90"/>
      <c r="BB46" s="183">
        <f t="shared" si="26"/>
        <v>0</v>
      </c>
      <c r="BC46" s="189"/>
      <c r="BD46" s="90"/>
      <c r="BE46" s="90"/>
      <c r="BF46" s="183">
        <f t="shared" si="27"/>
        <v>0</v>
      </c>
      <c r="BG46" s="189"/>
      <c r="BH46" s="90"/>
      <c r="BI46" s="90"/>
      <c r="BJ46" s="183">
        <f t="shared" si="28"/>
        <v>0</v>
      </c>
      <c r="BK46" s="189"/>
      <c r="BL46" s="90"/>
      <c r="BM46" s="90"/>
      <c r="BN46" s="183">
        <f t="shared" si="29"/>
        <v>0</v>
      </c>
      <c r="BO46" s="189"/>
      <c r="BP46" s="90"/>
      <c r="BQ46" s="90"/>
      <c r="BR46" s="183">
        <f t="shared" si="30"/>
        <v>0</v>
      </c>
      <c r="BS46" s="189"/>
      <c r="BT46" s="90"/>
      <c r="BU46" s="90"/>
      <c r="BV46" s="183">
        <f t="shared" si="31"/>
        <v>0</v>
      </c>
      <c r="BW46" s="189"/>
      <c r="BX46" s="90"/>
      <c r="BY46" s="90"/>
      <c r="BZ46" s="183">
        <f t="shared" si="32"/>
        <v>0</v>
      </c>
      <c r="CA46" s="189"/>
      <c r="CB46" s="90"/>
      <c r="CC46" s="90"/>
      <c r="CD46" s="183">
        <f t="shared" si="33"/>
        <v>0</v>
      </c>
    </row>
    <row r="47" spans="2:82" x14ac:dyDescent="0.3">
      <c r="B47" s="53"/>
      <c r="C47" s="53" t="str">
        <f t="shared" si="0"/>
        <v>CPU_Cerca</v>
      </c>
      <c r="D47" s="278">
        <f t="shared" si="1"/>
        <v>200</v>
      </c>
      <c r="E47" s="278">
        <f t="shared" si="2"/>
        <v>31875</v>
      </c>
      <c r="F47" s="1"/>
      <c r="G47" s="28" t="str">
        <f>IFERROR(VLOOKUP(F47,Tabela7[[RECURSO]:[CUSTO]],2,FALSE),"")</f>
        <v/>
      </c>
      <c r="H47" s="92"/>
      <c r="I47" s="90"/>
      <c r="J47" s="45">
        <f>IFERROR(VLOOKUP(F47,Tabela7[[RECURSO]:[CUSTO]],3,FALSE),0)</f>
        <v>0</v>
      </c>
      <c r="K47" s="45">
        <f>I47*J47*CPU_59[[#This Row],[Nº]]</f>
        <v>0</v>
      </c>
      <c r="AD47" s="144" t="str">
        <f t="shared" si="3"/>
        <v>Cerca</v>
      </c>
      <c r="AE47" s="188"/>
      <c r="AF47" s="180">
        <f t="shared" si="35"/>
        <v>0</v>
      </c>
      <c r="AG47" s="180">
        <f t="shared" si="17"/>
        <v>0</v>
      </c>
      <c r="AH47" s="181">
        <f t="shared" si="36"/>
        <v>0</v>
      </c>
      <c r="AI47" s="189"/>
      <c r="AJ47" s="90"/>
      <c r="AK47" s="90"/>
      <c r="AL47" s="183">
        <f t="shared" si="37"/>
        <v>0</v>
      </c>
      <c r="AM47" s="189"/>
      <c r="AN47" s="90"/>
      <c r="AO47" s="90"/>
      <c r="AP47" s="183">
        <f t="shared" si="23"/>
        <v>0</v>
      </c>
      <c r="AQ47" s="189"/>
      <c r="AR47" s="90"/>
      <c r="AS47" s="90"/>
      <c r="AT47" s="183">
        <f t="shared" si="24"/>
        <v>0</v>
      </c>
      <c r="AU47" s="189"/>
      <c r="AV47" s="90"/>
      <c r="AW47" s="90"/>
      <c r="AX47" s="183">
        <f t="shared" si="25"/>
        <v>0</v>
      </c>
      <c r="AY47" s="189"/>
      <c r="AZ47" s="90"/>
      <c r="BA47" s="90"/>
      <c r="BB47" s="183">
        <f t="shared" si="26"/>
        <v>0</v>
      </c>
      <c r="BC47" s="189"/>
      <c r="BD47" s="90"/>
      <c r="BE47" s="90"/>
      <c r="BF47" s="183">
        <f t="shared" si="27"/>
        <v>0</v>
      </c>
      <c r="BG47" s="189"/>
      <c r="BH47" s="90"/>
      <c r="BI47" s="90"/>
      <c r="BJ47" s="183">
        <f t="shared" si="28"/>
        <v>0</v>
      </c>
      <c r="BK47" s="189"/>
      <c r="BL47" s="90"/>
      <c r="BM47" s="90"/>
      <c r="BN47" s="183">
        <f t="shared" si="29"/>
        <v>0</v>
      </c>
      <c r="BO47" s="189"/>
      <c r="BP47" s="90"/>
      <c r="BQ47" s="90"/>
      <c r="BR47" s="183">
        <f t="shared" si="30"/>
        <v>0</v>
      </c>
      <c r="BS47" s="189"/>
      <c r="BT47" s="90"/>
      <c r="BU47" s="90"/>
      <c r="BV47" s="183">
        <f t="shared" si="31"/>
        <v>0</v>
      </c>
      <c r="BW47" s="189"/>
      <c r="BX47" s="90"/>
      <c r="BY47" s="90"/>
      <c r="BZ47" s="183">
        <f t="shared" si="32"/>
        <v>0</v>
      </c>
      <c r="CA47" s="189"/>
      <c r="CB47" s="90"/>
      <c r="CC47" s="90"/>
      <c r="CD47" s="183">
        <f t="shared" si="33"/>
        <v>0</v>
      </c>
    </row>
    <row r="48" spans="2:82" x14ac:dyDescent="0.3">
      <c r="B48" s="53"/>
      <c r="C48" s="53" t="str">
        <f t="shared" si="0"/>
        <v>CPU_Cerca</v>
      </c>
      <c r="D48" s="278">
        <f t="shared" si="1"/>
        <v>200</v>
      </c>
      <c r="E48" s="278">
        <f t="shared" si="2"/>
        <v>31875</v>
      </c>
      <c r="F48" s="1"/>
      <c r="G48" s="28" t="str">
        <f>IFERROR(VLOOKUP(F48,Tabela7[[RECURSO]:[CUSTO]],2,FALSE),"")</f>
        <v/>
      </c>
      <c r="H48" s="92"/>
      <c r="I48" s="90"/>
      <c r="J48" s="45">
        <f>IFERROR(VLOOKUP(F48,Tabela7[[RECURSO]:[CUSTO]],3,FALSE),0)</f>
        <v>0</v>
      </c>
      <c r="K48" s="45">
        <f>I48*J48*CPU_59[[#This Row],[Nº]]</f>
        <v>0</v>
      </c>
      <c r="AD48" s="144" t="str">
        <f t="shared" si="3"/>
        <v>Cerca</v>
      </c>
      <c r="AE48" s="188"/>
      <c r="AF48" s="180">
        <f t="shared" si="35"/>
        <v>0</v>
      </c>
      <c r="AG48" s="180">
        <f t="shared" si="17"/>
        <v>0</v>
      </c>
      <c r="AH48" s="181">
        <f t="shared" si="36"/>
        <v>0</v>
      </c>
      <c r="AI48" s="189"/>
      <c r="AJ48" s="90"/>
      <c r="AK48" s="90"/>
      <c r="AL48" s="183">
        <f t="shared" si="37"/>
        <v>0</v>
      </c>
      <c r="AM48" s="189"/>
      <c r="AN48" s="90"/>
      <c r="AO48" s="90"/>
      <c r="AP48" s="183">
        <f t="shared" si="23"/>
        <v>0</v>
      </c>
      <c r="AQ48" s="189"/>
      <c r="AR48" s="90"/>
      <c r="AS48" s="90"/>
      <c r="AT48" s="183">
        <f t="shared" si="24"/>
        <v>0</v>
      </c>
      <c r="AU48" s="189"/>
      <c r="AV48" s="90"/>
      <c r="AW48" s="90"/>
      <c r="AX48" s="183">
        <f t="shared" si="25"/>
        <v>0</v>
      </c>
      <c r="AY48" s="189"/>
      <c r="AZ48" s="90"/>
      <c r="BA48" s="90"/>
      <c r="BB48" s="183">
        <f t="shared" si="26"/>
        <v>0</v>
      </c>
      <c r="BC48" s="189"/>
      <c r="BD48" s="90"/>
      <c r="BE48" s="90"/>
      <c r="BF48" s="183">
        <f t="shared" si="27"/>
        <v>0</v>
      </c>
      <c r="BG48" s="189"/>
      <c r="BH48" s="90"/>
      <c r="BI48" s="90"/>
      <c r="BJ48" s="183">
        <f t="shared" si="28"/>
        <v>0</v>
      </c>
      <c r="BK48" s="189"/>
      <c r="BL48" s="90"/>
      <c r="BM48" s="90"/>
      <c r="BN48" s="183">
        <f t="shared" si="29"/>
        <v>0</v>
      </c>
      <c r="BO48" s="189"/>
      <c r="BP48" s="90"/>
      <c r="BQ48" s="90"/>
      <c r="BR48" s="183">
        <f t="shared" si="30"/>
        <v>0</v>
      </c>
      <c r="BS48" s="189"/>
      <c r="BT48" s="90"/>
      <c r="BU48" s="90"/>
      <c r="BV48" s="183">
        <f t="shared" si="31"/>
        <v>0</v>
      </c>
      <c r="BW48" s="189"/>
      <c r="BX48" s="90"/>
      <c r="BY48" s="90"/>
      <c r="BZ48" s="183">
        <f t="shared" si="32"/>
        <v>0</v>
      </c>
      <c r="CA48" s="189"/>
      <c r="CB48" s="90"/>
      <c r="CC48" s="90"/>
      <c r="CD48" s="183">
        <f t="shared" si="33"/>
        <v>0</v>
      </c>
    </row>
    <row r="49" spans="2:82" ht="15" thickBot="1" x14ac:dyDescent="0.35">
      <c r="B49" s="53"/>
      <c r="C49" s="53" t="str">
        <f t="shared" si="0"/>
        <v>CPU_Cerca</v>
      </c>
      <c r="D49" s="278">
        <f t="shared" si="1"/>
        <v>200</v>
      </c>
      <c r="E49" s="278">
        <f t="shared" si="2"/>
        <v>31875</v>
      </c>
      <c r="F49" s="1"/>
      <c r="G49" s="28" t="str">
        <f>IFERROR(VLOOKUP(F49,Tabela7[[RECURSO]:[CUSTO]],2,FALSE),"")</f>
        <v/>
      </c>
      <c r="H49" s="92"/>
      <c r="I49" s="90"/>
      <c r="J49" s="45">
        <f>IFERROR(VLOOKUP(F49,Tabela7[[RECURSO]:[CUSTO]],3,FALSE),0)</f>
        <v>0</v>
      </c>
      <c r="K49" s="45">
        <f>I49*J49*CPU_59[[#This Row],[Nº]]</f>
        <v>0</v>
      </c>
      <c r="M49" s="83" t="s">
        <v>701</v>
      </c>
      <c r="N49" s="87" t="s">
        <v>702</v>
      </c>
      <c r="AD49" s="144" t="str">
        <f t="shared" si="3"/>
        <v>Cerca</v>
      </c>
      <c r="AE49" s="188"/>
      <c r="AF49" s="180">
        <f t="shared" si="35"/>
        <v>0</v>
      </c>
      <c r="AG49" s="180">
        <f t="shared" si="17"/>
        <v>0</v>
      </c>
      <c r="AH49" s="181">
        <f t="shared" si="36"/>
        <v>0</v>
      </c>
      <c r="AI49" s="189"/>
      <c r="AJ49" s="90"/>
      <c r="AK49" s="90"/>
      <c r="AL49" s="183">
        <f t="shared" si="37"/>
        <v>0</v>
      </c>
      <c r="AM49" s="189"/>
      <c r="AN49" s="90"/>
      <c r="AO49" s="90"/>
      <c r="AP49" s="183">
        <f t="shared" si="23"/>
        <v>0</v>
      </c>
      <c r="AQ49" s="189"/>
      <c r="AR49" s="90"/>
      <c r="AS49" s="90"/>
      <c r="AT49" s="183">
        <f t="shared" si="24"/>
        <v>0</v>
      </c>
      <c r="AU49" s="189"/>
      <c r="AV49" s="90"/>
      <c r="AW49" s="90"/>
      <c r="AX49" s="183">
        <f t="shared" si="25"/>
        <v>0</v>
      </c>
      <c r="AY49" s="189"/>
      <c r="AZ49" s="90"/>
      <c r="BA49" s="90"/>
      <c r="BB49" s="183">
        <f t="shared" si="26"/>
        <v>0</v>
      </c>
      <c r="BC49" s="189"/>
      <c r="BD49" s="90"/>
      <c r="BE49" s="90"/>
      <c r="BF49" s="183">
        <f t="shared" si="27"/>
        <v>0</v>
      </c>
      <c r="BG49" s="189"/>
      <c r="BH49" s="90"/>
      <c r="BI49" s="90"/>
      <c r="BJ49" s="183">
        <f t="shared" si="28"/>
        <v>0</v>
      </c>
      <c r="BK49" s="189"/>
      <c r="BL49" s="90"/>
      <c r="BM49" s="90"/>
      <c r="BN49" s="183">
        <f t="shared" si="29"/>
        <v>0</v>
      </c>
      <c r="BO49" s="189"/>
      <c r="BP49" s="90"/>
      <c r="BQ49" s="90"/>
      <c r="BR49" s="183">
        <f t="shared" si="30"/>
        <v>0</v>
      </c>
      <c r="BS49" s="189"/>
      <c r="BT49" s="90"/>
      <c r="BU49" s="90"/>
      <c r="BV49" s="183">
        <f t="shared" si="31"/>
        <v>0</v>
      </c>
      <c r="BW49" s="189"/>
      <c r="BX49" s="90"/>
      <c r="BY49" s="90"/>
      <c r="BZ49" s="183">
        <f t="shared" si="32"/>
        <v>0</v>
      </c>
      <c r="CA49" s="189"/>
      <c r="CB49" s="90"/>
      <c r="CC49" s="90"/>
      <c r="CD49" s="183">
        <f t="shared" si="33"/>
        <v>0</v>
      </c>
    </row>
    <row r="50" spans="2:82" x14ac:dyDescent="0.3">
      <c r="B50" s="52" t="s">
        <v>693</v>
      </c>
      <c r="C50" s="52" t="str">
        <f t="shared" si="0"/>
        <v>CPU_Cerca</v>
      </c>
      <c r="D50" s="277">
        <f t="shared" si="1"/>
        <v>200</v>
      </c>
      <c r="E50" s="277">
        <f t="shared" si="2"/>
        <v>31875</v>
      </c>
      <c r="F50" s="37"/>
      <c r="G50" s="38"/>
      <c r="H50" s="38"/>
      <c r="I50" s="37"/>
      <c r="J50" s="40">
        <f>IFERROR(K50/$B$6,0)</f>
        <v>16.658750000000001</v>
      </c>
      <c r="K50" s="40">
        <f>SUM(K51:K62)</f>
        <v>3331.75</v>
      </c>
      <c r="M50" s="84" t="str">
        <f>"Consumo por "&amp;J3</f>
        <v>Consumo por M</v>
      </c>
      <c r="N50" s="89"/>
      <c r="AD50" s="144" t="str">
        <f t="shared" si="3"/>
        <v>Cerca</v>
      </c>
      <c r="AE50" s="190"/>
      <c r="AF50" s="191"/>
      <c r="AG50" s="40">
        <f>IFERROR(AH50/AF$3,0)</f>
        <v>0</v>
      </c>
      <c r="AH50" s="185">
        <f>SUM(AH51:AH62)</f>
        <v>0</v>
      </c>
      <c r="AI50" s="190"/>
      <c r="AJ50" s="37"/>
      <c r="AK50" s="40">
        <f>IFERROR(AL50/AJ$3,0)</f>
        <v>0</v>
      </c>
      <c r="AL50" s="185">
        <f>SUM(AL51:AL62)</f>
        <v>0</v>
      </c>
      <c r="AM50" s="190"/>
      <c r="AN50" s="37"/>
      <c r="AO50" s="40">
        <f>IFERROR(AP50/AN$3,0)</f>
        <v>0</v>
      </c>
      <c r="AP50" s="185">
        <f>SUM(AP51:AP62)</f>
        <v>0</v>
      </c>
      <c r="AQ50" s="190"/>
      <c r="AR50" s="37"/>
      <c r="AS50" s="40">
        <f>IFERROR(AT50/AR$3,0)</f>
        <v>0</v>
      </c>
      <c r="AT50" s="185">
        <f>SUM(AT51:AT62)</f>
        <v>0</v>
      </c>
      <c r="AU50" s="190"/>
      <c r="AV50" s="37"/>
      <c r="AW50" s="40">
        <f>IFERROR(AX50/AV$3,0)</f>
        <v>0</v>
      </c>
      <c r="AX50" s="185">
        <f>SUM(AX51:AX62)</f>
        <v>0</v>
      </c>
      <c r="AY50" s="190"/>
      <c r="AZ50" s="37"/>
      <c r="BA50" s="40">
        <f>IFERROR(BB50/AZ$3,0)</f>
        <v>0</v>
      </c>
      <c r="BB50" s="185">
        <f>SUM(BB51:BB62)</f>
        <v>0</v>
      </c>
      <c r="BC50" s="190"/>
      <c r="BD50" s="37"/>
      <c r="BE50" s="40">
        <f>IFERROR(BF50/BD$3,0)</f>
        <v>0</v>
      </c>
      <c r="BF50" s="185">
        <f>SUM(BF51:BF62)</f>
        <v>0</v>
      </c>
      <c r="BG50" s="190"/>
      <c r="BH50" s="37"/>
      <c r="BI50" s="40">
        <f>IFERROR(BJ50/BH$3,0)</f>
        <v>0</v>
      </c>
      <c r="BJ50" s="185">
        <f>SUM(BJ51:BJ62)</f>
        <v>0</v>
      </c>
      <c r="BK50" s="190"/>
      <c r="BL50" s="37"/>
      <c r="BM50" s="40">
        <f>IFERROR(BN50/BL$3,0)</f>
        <v>0</v>
      </c>
      <c r="BN50" s="185">
        <f>SUM(BN51:BN62)</f>
        <v>0</v>
      </c>
      <c r="BO50" s="190"/>
      <c r="BP50" s="37"/>
      <c r="BQ50" s="40">
        <f>IFERROR(BR50/BP$3,0)</f>
        <v>0</v>
      </c>
      <c r="BR50" s="185">
        <f>SUM(BR51:BR62)</f>
        <v>0</v>
      </c>
      <c r="BS50" s="190"/>
      <c r="BT50" s="37"/>
      <c r="BU50" s="40">
        <f>IFERROR(BV50/BT$3,0)</f>
        <v>0</v>
      </c>
      <c r="BV50" s="185">
        <f>SUM(BV51:BV62)</f>
        <v>0</v>
      </c>
      <c r="BW50" s="190"/>
      <c r="BX50" s="37"/>
      <c r="BY50" s="40">
        <f>IFERROR(BZ50/BX$3,0)</f>
        <v>0</v>
      </c>
      <c r="BZ50" s="185">
        <f>SUM(BZ51:BZ62)</f>
        <v>0</v>
      </c>
      <c r="CA50" s="190"/>
      <c r="CB50" s="37"/>
      <c r="CC50" s="40">
        <f>IFERROR(CD50/CB$3,0)</f>
        <v>0</v>
      </c>
      <c r="CD50" s="185">
        <f>SUM(CD51:CD62)</f>
        <v>0</v>
      </c>
    </row>
    <row r="51" spans="2:82" x14ac:dyDescent="0.3">
      <c r="B51" s="53"/>
      <c r="C51" s="53" t="str">
        <f t="shared" si="0"/>
        <v>CPU_Cerca</v>
      </c>
      <c r="D51" s="278">
        <f t="shared" si="1"/>
        <v>200</v>
      </c>
      <c r="E51" s="278">
        <f t="shared" si="2"/>
        <v>31875</v>
      </c>
      <c r="F51" s="1" t="s">
        <v>760</v>
      </c>
      <c r="G51" s="28" t="str">
        <f>IFERROR(VLOOKUP(F51,Tabela7[[RECURSO]:[CUSTO]],2,FALSE),"")</f>
        <v>unid</v>
      </c>
      <c r="I51" s="90">
        <f>IFERROR(M51*$B$6,0)</f>
        <v>80</v>
      </c>
      <c r="J51" s="45">
        <f>IFERROR(VLOOKUP(F51,Tabela7[[RECURSO]:[CUSTO]],3,FALSE),0)</f>
        <v>37.9</v>
      </c>
      <c r="K51" s="45">
        <f>I51*J51</f>
        <v>3032</v>
      </c>
      <c r="M51" s="85">
        <f>1/2.5</f>
        <v>0.4</v>
      </c>
      <c r="N51" s="88"/>
      <c r="AD51" s="144" t="str">
        <f t="shared" si="3"/>
        <v>Cerca</v>
      </c>
      <c r="AE51" s="192"/>
      <c r="AF51" s="180">
        <f t="shared" ref="AF51:AF62" si="38">AJ51+AN51+AR51+AV51+AZ51+BD51+BH51+BL51+BP51+BT51+BX51+CB51</f>
        <v>0</v>
      </c>
      <c r="AG51" s="180">
        <f t="shared" si="17"/>
        <v>0</v>
      </c>
      <c r="AH51" s="181">
        <f t="shared" ref="AH51:AH62" si="39">AL51+AP51+AT51+AX51+BB51+BF51+BJ51+BN51+BR51+BV51+BZ51+CD51</f>
        <v>0</v>
      </c>
      <c r="AI51" s="193"/>
      <c r="AJ51" s="90"/>
      <c r="AK51" s="90"/>
      <c r="AL51" s="183">
        <f t="shared" ref="AL51:AL62" si="40">AJ51*AK51</f>
        <v>0</v>
      </c>
      <c r="AM51" s="193"/>
      <c r="AN51" s="90"/>
      <c r="AO51" s="90"/>
      <c r="AP51" s="183">
        <f t="shared" si="23"/>
        <v>0</v>
      </c>
      <c r="AQ51" s="193"/>
      <c r="AR51" s="90"/>
      <c r="AS51" s="90"/>
      <c r="AT51" s="183">
        <f t="shared" si="24"/>
        <v>0</v>
      </c>
      <c r="AU51" s="193"/>
      <c r="AV51" s="90"/>
      <c r="AW51" s="90"/>
      <c r="AX51" s="183">
        <f t="shared" si="25"/>
        <v>0</v>
      </c>
      <c r="AY51" s="193"/>
      <c r="AZ51" s="90"/>
      <c r="BA51" s="90"/>
      <c r="BB51" s="183">
        <f t="shared" si="26"/>
        <v>0</v>
      </c>
      <c r="BC51" s="193"/>
      <c r="BD51" s="90"/>
      <c r="BE51" s="90"/>
      <c r="BF51" s="183">
        <f t="shared" si="27"/>
        <v>0</v>
      </c>
      <c r="BG51" s="193"/>
      <c r="BH51" s="90"/>
      <c r="BI51" s="90"/>
      <c r="BJ51" s="183">
        <f t="shared" si="28"/>
        <v>0</v>
      </c>
      <c r="BK51" s="193"/>
      <c r="BL51" s="90"/>
      <c r="BM51" s="90"/>
      <c r="BN51" s="183">
        <f t="shared" si="29"/>
        <v>0</v>
      </c>
      <c r="BO51" s="193"/>
      <c r="BP51" s="90"/>
      <c r="BQ51" s="90"/>
      <c r="BR51" s="183">
        <f t="shared" si="30"/>
        <v>0</v>
      </c>
      <c r="BS51" s="193"/>
      <c r="BT51" s="90"/>
      <c r="BU51" s="90"/>
      <c r="BV51" s="183">
        <f t="shared" si="31"/>
        <v>0</v>
      </c>
      <c r="BW51" s="193"/>
      <c r="BX51" s="90"/>
      <c r="BY51" s="90"/>
      <c r="BZ51" s="183">
        <f t="shared" si="32"/>
        <v>0</v>
      </c>
      <c r="CA51" s="193"/>
      <c r="CB51" s="90"/>
      <c r="CC51" s="90"/>
      <c r="CD51" s="183">
        <f t="shared" si="33"/>
        <v>0</v>
      </c>
    </row>
    <row r="52" spans="2:82" x14ac:dyDescent="0.3">
      <c r="B52" s="53"/>
      <c r="C52" s="53" t="str">
        <f t="shared" si="0"/>
        <v>CPU_Cerca</v>
      </c>
      <c r="D52" s="278">
        <f t="shared" si="1"/>
        <v>200</v>
      </c>
      <c r="E52" s="278">
        <f t="shared" si="2"/>
        <v>31875</v>
      </c>
      <c r="F52" s="1" t="s">
        <v>761</v>
      </c>
      <c r="G52" s="28" t="str">
        <f>IFERROR(VLOOKUP(F52,Tabela7[[RECURSO]:[CUSTO]],2,FALSE),"")</f>
        <v>unid</v>
      </c>
      <c r="I52" s="90">
        <f t="shared" ref="I52:I62" si="41">IFERROR(M52*$B$6,0)</f>
        <v>2.5</v>
      </c>
      <c r="J52" s="45">
        <f>IFERROR(VLOOKUP(F52,Tabela7[[RECURSO]:[CUSTO]],3,FALSE),0)</f>
        <v>119.9</v>
      </c>
      <c r="K52" s="45">
        <f t="shared" ref="K52:K62" si="42">I52*J52</f>
        <v>299.75</v>
      </c>
      <c r="M52" s="85">
        <f>1/80</f>
        <v>1.2500000000000001E-2</v>
      </c>
      <c r="N52" s="88"/>
      <c r="AD52" s="144" t="str">
        <f t="shared" si="3"/>
        <v>Cerca</v>
      </c>
      <c r="AE52" s="192"/>
      <c r="AF52" s="180">
        <f t="shared" si="38"/>
        <v>0</v>
      </c>
      <c r="AG52" s="180">
        <f t="shared" si="17"/>
        <v>0</v>
      </c>
      <c r="AH52" s="181">
        <f t="shared" si="39"/>
        <v>0</v>
      </c>
      <c r="AI52" s="193"/>
      <c r="AJ52" s="90"/>
      <c r="AK52" s="90"/>
      <c r="AL52" s="183">
        <f t="shared" si="40"/>
        <v>0</v>
      </c>
      <c r="AM52" s="193"/>
      <c r="AN52" s="90"/>
      <c r="AO52" s="90"/>
      <c r="AP52" s="183">
        <f t="shared" si="23"/>
        <v>0</v>
      </c>
      <c r="AQ52" s="193"/>
      <c r="AR52" s="90"/>
      <c r="AS52" s="90"/>
      <c r="AT52" s="183">
        <f t="shared" si="24"/>
        <v>0</v>
      </c>
      <c r="AU52" s="193"/>
      <c r="AV52" s="90"/>
      <c r="AW52" s="90"/>
      <c r="AX52" s="183">
        <f t="shared" si="25"/>
        <v>0</v>
      </c>
      <c r="AY52" s="193"/>
      <c r="AZ52" s="90"/>
      <c r="BA52" s="90"/>
      <c r="BB52" s="183">
        <f t="shared" si="26"/>
        <v>0</v>
      </c>
      <c r="BC52" s="193"/>
      <c r="BD52" s="90"/>
      <c r="BE52" s="90"/>
      <c r="BF52" s="183">
        <f t="shared" si="27"/>
        <v>0</v>
      </c>
      <c r="BG52" s="193"/>
      <c r="BH52" s="90"/>
      <c r="BI52" s="90"/>
      <c r="BJ52" s="183">
        <f t="shared" si="28"/>
        <v>0</v>
      </c>
      <c r="BK52" s="193"/>
      <c r="BL52" s="90"/>
      <c r="BM52" s="90"/>
      <c r="BN52" s="183">
        <f t="shared" si="29"/>
        <v>0</v>
      </c>
      <c r="BO52" s="193"/>
      <c r="BP52" s="90"/>
      <c r="BQ52" s="90"/>
      <c r="BR52" s="183">
        <f t="shared" si="30"/>
        <v>0</v>
      </c>
      <c r="BS52" s="193"/>
      <c r="BT52" s="90"/>
      <c r="BU52" s="90"/>
      <c r="BV52" s="183">
        <f t="shared" si="31"/>
        <v>0</v>
      </c>
      <c r="BW52" s="193"/>
      <c r="BX52" s="90"/>
      <c r="BY52" s="90"/>
      <c r="BZ52" s="183">
        <f t="shared" si="32"/>
        <v>0</v>
      </c>
      <c r="CA52" s="193"/>
      <c r="CB52" s="90"/>
      <c r="CC52" s="90"/>
      <c r="CD52" s="183">
        <f t="shared" si="33"/>
        <v>0</v>
      </c>
    </row>
    <row r="53" spans="2:82" x14ac:dyDescent="0.3">
      <c r="B53" s="53"/>
      <c r="C53" s="53" t="str">
        <f t="shared" si="0"/>
        <v>CPU_Cerca</v>
      </c>
      <c r="D53" s="278">
        <f t="shared" si="1"/>
        <v>200</v>
      </c>
      <c r="E53" s="278">
        <f t="shared" si="2"/>
        <v>31875</v>
      </c>
      <c r="F53" s="1" t="s">
        <v>762</v>
      </c>
      <c r="G53" s="28" t="str">
        <f>IFERROR(VLOOKUP(F53,Tabela7[[RECURSO]:[CUSTO]],2,FALSE),"")</f>
        <v>m</v>
      </c>
      <c r="I53" s="90">
        <f t="shared" si="41"/>
        <v>0</v>
      </c>
      <c r="J53" s="45">
        <f>IFERROR(VLOOKUP(F53,Tabela7[[RECURSO]:[CUSTO]],3,FALSE),0)</f>
        <v>0.55000000000000004</v>
      </c>
      <c r="K53" s="45">
        <f t="shared" si="42"/>
        <v>0</v>
      </c>
      <c r="M53" s="85"/>
      <c r="N53" s="88"/>
      <c r="AD53" s="144" t="str">
        <f t="shared" si="3"/>
        <v>Cerca</v>
      </c>
      <c r="AE53" s="192"/>
      <c r="AF53" s="180">
        <f t="shared" si="38"/>
        <v>0</v>
      </c>
      <c r="AG53" s="180">
        <f t="shared" si="17"/>
        <v>0</v>
      </c>
      <c r="AH53" s="181">
        <f t="shared" si="39"/>
        <v>0</v>
      </c>
      <c r="AI53" s="193"/>
      <c r="AJ53" s="90"/>
      <c r="AK53" s="90"/>
      <c r="AL53" s="183">
        <f t="shared" si="40"/>
        <v>0</v>
      </c>
      <c r="AM53" s="193"/>
      <c r="AN53" s="90"/>
      <c r="AO53" s="90"/>
      <c r="AP53" s="183">
        <f t="shared" si="23"/>
        <v>0</v>
      </c>
      <c r="AQ53" s="193"/>
      <c r="AR53" s="90"/>
      <c r="AS53" s="90"/>
      <c r="AT53" s="183">
        <f t="shared" si="24"/>
        <v>0</v>
      </c>
      <c r="AU53" s="193"/>
      <c r="AV53" s="90"/>
      <c r="AW53" s="90"/>
      <c r="AX53" s="183">
        <f t="shared" si="25"/>
        <v>0</v>
      </c>
      <c r="AY53" s="193"/>
      <c r="AZ53" s="90"/>
      <c r="BA53" s="90"/>
      <c r="BB53" s="183">
        <f t="shared" si="26"/>
        <v>0</v>
      </c>
      <c r="BC53" s="193"/>
      <c r="BD53" s="90"/>
      <c r="BE53" s="90"/>
      <c r="BF53" s="183">
        <f t="shared" si="27"/>
        <v>0</v>
      </c>
      <c r="BG53" s="193"/>
      <c r="BH53" s="90"/>
      <c r="BI53" s="90"/>
      <c r="BJ53" s="183">
        <f t="shared" si="28"/>
        <v>0</v>
      </c>
      <c r="BK53" s="193"/>
      <c r="BL53" s="90"/>
      <c r="BM53" s="90"/>
      <c r="BN53" s="183">
        <f t="shared" si="29"/>
        <v>0</v>
      </c>
      <c r="BO53" s="193"/>
      <c r="BP53" s="90"/>
      <c r="BQ53" s="90"/>
      <c r="BR53" s="183">
        <f t="shared" si="30"/>
        <v>0</v>
      </c>
      <c r="BS53" s="193"/>
      <c r="BT53" s="90"/>
      <c r="BU53" s="90"/>
      <c r="BV53" s="183">
        <f t="shared" si="31"/>
        <v>0</v>
      </c>
      <c r="BW53" s="193"/>
      <c r="BX53" s="90"/>
      <c r="BY53" s="90"/>
      <c r="BZ53" s="183">
        <f t="shared" si="32"/>
        <v>0</v>
      </c>
      <c r="CA53" s="193"/>
      <c r="CB53" s="90"/>
      <c r="CC53" s="90"/>
      <c r="CD53" s="183">
        <f t="shared" si="33"/>
        <v>0</v>
      </c>
    </row>
    <row r="54" spans="2:82" x14ac:dyDescent="0.3">
      <c r="B54" s="53"/>
      <c r="C54" s="53" t="str">
        <f t="shared" si="0"/>
        <v>CPU_Cerca</v>
      </c>
      <c r="D54" s="278">
        <f t="shared" si="1"/>
        <v>200</v>
      </c>
      <c r="E54" s="278">
        <f t="shared" si="2"/>
        <v>31875</v>
      </c>
      <c r="F54" s="1"/>
      <c r="G54" s="28" t="str">
        <f>IFERROR(VLOOKUP(F54,Tabela7[[RECURSO]:[CUSTO]],2,FALSE),"")</f>
        <v/>
      </c>
      <c r="I54" s="90">
        <f t="shared" si="41"/>
        <v>0</v>
      </c>
      <c r="J54" s="45">
        <f>IFERROR(VLOOKUP(F54,Tabela7[[RECURSO]:[CUSTO]],3,FALSE),0)</f>
        <v>0</v>
      </c>
      <c r="K54" s="45">
        <f>I54*J54</f>
        <v>0</v>
      </c>
      <c r="M54" s="85"/>
      <c r="N54" s="88"/>
      <c r="AD54" s="144" t="str">
        <f>$B$3</f>
        <v>Cerca</v>
      </c>
      <c r="AE54" s="192"/>
      <c r="AF54" s="180">
        <f t="shared" si="38"/>
        <v>0</v>
      </c>
      <c r="AG54" s="180">
        <f t="shared" si="17"/>
        <v>0</v>
      </c>
      <c r="AH54" s="181">
        <f t="shared" si="39"/>
        <v>0</v>
      </c>
      <c r="AI54" s="193"/>
      <c r="AJ54" s="90"/>
      <c r="AK54" s="90"/>
      <c r="AL54" s="183">
        <f t="shared" si="40"/>
        <v>0</v>
      </c>
      <c r="AM54" s="193"/>
      <c r="AN54" s="90"/>
      <c r="AO54" s="90"/>
      <c r="AP54" s="183">
        <f t="shared" si="23"/>
        <v>0</v>
      </c>
      <c r="AQ54" s="193"/>
      <c r="AR54" s="90"/>
      <c r="AS54" s="90"/>
      <c r="AT54" s="183">
        <f t="shared" si="24"/>
        <v>0</v>
      </c>
      <c r="AU54" s="193"/>
      <c r="AV54" s="90"/>
      <c r="AW54" s="90"/>
      <c r="AX54" s="183">
        <f t="shared" si="25"/>
        <v>0</v>
      </c>
      <c r="AY54" s="193"/>
      <c r="AZ54" s="90"/>
      <c r="BA54" s="90"/>
      <c r="BB54" s="183">
        <f t="shared" si="26"/>
        <v>0</v>
      </c>
      <c r="BC54" s="193"/>
      <c r="BD54" s="90"/>
      <c r="BE54" s="90"/>
      <c r="BF54" s="183">
        <f t="shared" si="27"/>
        <v>0</v>
      </c>
      <c r="BG54" s="193"/>
      <c r="BH54" s="90"/>
      <c r="BI54" s="90"/>
      <c r="BJ54" s="183">
        <f t="shared" si="28"/>
        <v>0</v>
      </c>
      <c r="BK54" s="193"/>
      <c r="BL54" s="90"/>
      <c r="BM54" s="90"/>
      <c r="BN54" s="183">
        <f t="shared" si="29"/>
        <v>0</v>
      </c>
      <c r="BO54" s="193"/>
      <c r="BP54" s="90"/>
      <c r="BQ54" s="90"/>
      <c r="BR54" s="183">
        <f t="shared" si="30"/>
        <v>0</v>
      </c>
      <c r="BS54" s="193"/>
      <c r="BT54" s="90"/>
      <c r="BU54" s="90"/>
      <c r="BV54" s="183">
        <f t="shared" si="31"/>
        <v>0</v>
      </c>
      <c r="BW54" s="193"/>
      <c r="BX54" s="90"/>
      <c r="BY54" s="90"/>
      <c r="BZ54" s="183">
        <f t="shared" si="32"/>
        <v>0</v>
      </c>
      <c r="CA54" s="193"/>
      <c r="CB54" s="90"/>
      <c r="CC54" s="90"/>
      <c r="CD54" s="183">
        <f t="shared" si="33"/>
        <v>0</v>
      </c>
    </row>
    <row r="55" spans="2:82" x14ac:dyDescent="0.3">
      <c r="B55" s="53"/>
      <c r="C55" s="53" t="str">
        <f t="shared" si="0"/>
        <v>CPU_Cerca</v>
      </c>
      <c r="D55" s="278">
        <f t="shared" si="1"/>
        <v>200</v>
      </c>
      <c r="E55" s="278">
        <f t="shared" si="2"/>
        <v>31875</v>
      </c>
      <c r="F55" s="1"/>
      <c r="G55" s="28" t="str">
        <f>IFERROR(VLOOKUP(F55,Tabela7[[RECURSO]:[CUSTO]],2,FALSE),"")</f>
        <v/>
      </c>
      <c r="I55" s="90">
        <f t="shared" si="41"/>
        <v>0</v>
      </c>
      <c r="J55" s="45">
        <f>IFERROR(VLOOKUP(F55,Tabela7[[RECURSO]:[CUSTO]],3,FALSE),0)</f>
        <v>0</v>
      </c>
      <c r="K55" s="45">
        <f t="shared" si="42"/>
        <v>0</v>
      </c>
      <c r="M55" s="85"/>
      <c r="N55" s="88"/>
      <c r="AD55" s="144" t="str">
        <f t="shared" si="3"/>
        <v>Cerca</v>
      </c>
      <c r="AE55" s="192"/>
      <c r="AF55" s="180">
        <f t="shared" si="38"/>
        <v>0</v>
      </c>
      <c r="AG55" s="180">
        <f t="shared" si="17"/>
        <v>0</v>
      </c>
      <c r="AH55" s="181">
        <f t="shared" si="39"/>
        <v>0</v>
      </c>
      <c r="AI55" s="193"/>
      <c r="AJ55" s="90"/>
      <c r="AK55" s="90"/>
      <c r="AL55" s="183">
        <f t="shared" si="40"/>
        <v>0</v>
      </c>
      <c r="AM55" s="193"/>
      <c r="AN55" s="90"/>
      <c r="AO55" s="90"/>
      <c r="AP55" s="183">
        <f t="shared" si="23"/>
        <v>0</v>
      </c>
      <c r="AQ55" s="193"/>
      <c r="AR55" s="90"/>
      <c r="AS55" s="90"/>
      <c r="AT55" s="183">
        <f t="shared" si="24"/>
        <v>0</v>
      </c>
      <c r="AU55" s="193"/>
      <c r="AV55" s="90"/>
      <c r="AW55" s="90"/>
      <c r="AX55" s="183">
        <f t="shared" si="25"/>
        <v>0</v>
      </c>
      <c r="AY55" s="193"/>
      <c r="AZ55" s="90"/>
      <c r="BA55" s="90"/>
      <c r="BB55" s="183">
        <f t="shared" si="26"/>
        <v>0</v>
      </c>
      <c r="BC55" s="193"/>
      <c r="BD55" s="90"/>
      <c r="BE55" s="90"/>
      <c r="BF55" s="183">
        <f t="shared" si="27"/>
        <v>0</v>
      </c>
      <c r="BG55" s="193"/>
      <c r="BH55" s="90"/>
      <c r="BI55" s="90"/>
      <c r="BJ55" s="183">
        <f t="shared" si="28"/>
        <v>0</v>
      </c>
      <c r="BK55" s="193"/>
      <c r="BL55" s="90"/>
      <c r="BM55" s="90"/>
      <c r="BN55" s="183">
        <f t="shared" si="29"/>
        <v>0</v>
      </c>
      <c r="BO55" s="193"/>
      <c r="BP55" s="90"/>
      <c r="BQ55" s="90"/>
      <c r="BR55" s="183">
        <f t="shared" si="30"/>
        <v>0</v>
      </c>
      <c r="BS55" s="193"/>
      <c r="BT55" s="90"/>
      <c r="BU55" s="90"/>
      <c r="BV55" s="183">
        <f t="shared" si="31"/>
        <v>0</v>
      </c>
      <c r="BW55" s="193"/>
      <c r="BX55" s="90"/>
      <c r="BY55" s="90"/>
      <c r="BZ55" s="183">
        <f t="shared" si="32"/>
        <v>0</v>
      </c>
      <c r="CA55" s="193"/>
      <c r="CB55" s="90"/>
      <c r="CC55" s="90"/>
      <c r="CD55" s="183">
        <f t="shared" si="33"/>
        <v>0</v>
      </c>
    </row>
    <row r="56" spans="2:82" x14ac:dyDescent="0.3">
      <c r="B56" s="53"/>
      <c r="C56" s="53" t="str">
        <f t="shared" si="0"/>
        <v>CPU_Cerca</v>
      </c>
      <c r="D56" s="278">
        <f t="shared" si="1"/>
        <v>200</v>
      </c>
      <c r="E56" s="278">
        <f t="shared" si="2"/>
        <v>31875</v>
      </c>
      <c r="F56" s="1"/>
      <c r="G56" s="28" t="str">
        <f>IFERROR(VLOOKUP(F56,Tabela7[[RECURSO]:[CUSTO]],2,FALSE),"")</f>
        <v/>
      </c>
      <c r="I56" s="90">
        <f t="shared" si="41"/>
        <v>0</v>
      </c>
      <c r="J56" s="45">
        <f>IFERROR(VLOOKUP(F56,Tabela7[[RECURSO]:[CUSTO]],3,FALSE),0)</f>
        <v>0</v>
      </c>
      <c r="K56" s="45">
        <f t="shared" si="42"/>
        <v>0</v>
      </c>
      <c r="M56" s="85"/>
      <c r="N56" s="88"/>
      <c r="AD56" s="144" t="str">
        <f t="shared" si="3"/>
        <v>Cerca</v>
      </c>
      <c r="AE56" s="192"/>
      <c r="AF56" s="180">
        <f t="shared" si="38"/>
        <v>0</v>
      </c>
      <c r="AG56" s="180">
        <f t="shared" si="17"/>
        <v>0</v>
      </c>
      <c r="AH56" s="181">
        <f t="shared" si="39"/>
        <v>0</v>
      </c>
      <c r="AI56" s="193"/>
      <c r="AJ56" s="90"/>
      <c r="AK56" s="90"/>
      <c r="AL56" s="183">
        <f t="shared" si="40"/>
        <v>0</v>
      </c>
      <c r="AM56" s="193"/>
      <c r="AN56" s="90"/>
      <c r="AO56" s="90"/>
      <c r="AP56" s="183">
        <f t="shared" si="23"/>
        <v>0</v>
      </c>
      <c r="AQ56" s="193"/>
      <c r="AR56" s="90"/>
      <c r="AS56" s="90"/>
      <c r="AT56" s="183">
        <f t="shared" si="24"/>
        <v>0</v>
      </c>
      <c r="AU56" s="193"/>
      <c r="AV56" s="90"/>
      <c r="AW56" s="90"/>
      <c r="AX56" s="183">
        <f t="shared" si="25"/>
        <v>0</v>
      </c>
      <c r="AY56" s="193"/>
      <c r="AZ56" s="90"/>
      <c r="BA56" s="90"/>
      <c r="BB56" s="183">
        <f t="shared" si="26"/>
        <v>0</v>
      </c>
      <c r="BC56" s="193"/>
      <c r="BD56" s="90"/>
      <c r="BE56" s="90"/>
      <c r="BF56" s="183">
        <f t="shared" si="27"/>
        <v>0</v>
      </c>
      <c r="BG56" s="193"/>
      <c r="BH56" s="90"/>
      <c r="BI56" s="90"/>
      <c r="BJ56" s="183">
        <f t="shared" si="28"/>
        <v>0</v>
      </c>
      <c r="BK56" s="193"/>
      <c r="BL56" s="90"/>
      <c r="BM56" s="90"/>
      <c r="BN56" s="183">
        <f t="shared" si="29"/>
        <v>0</v>
      </c>
      <c r="BO56" s="193"/>
      <c r="BP56" s="90"/>
      <c r="BQ56" s="90"/>
      <c r="BR56" s="183">
        <f t="shared" si="30"/>
        <v>0</v>
      </c>
      <c r="BS56" s="193"/>
      <c r="BT56" s="90"/>
      <c r="BU56" s="90"/>
      <c r="BV56" s="183">
        <f t="shared" si="31"/>
        <v>0</v>
      </c>
      <c r="BW56" s="193"/>
      <c r="BX56" s="90"/>
      <c r="BY56" s="90"/>
      <c r="BZ56" s="183">
        <f t="shared" si="32"/>
        <v>0</v>
      </c>
      <c r="CA56" s="193"/>
      <c r="CB56" s="90"/>
      <c r="CC56" s="90"/>
      <c r="CD56" s="183">
        <f t="shared" si="33"/>
        <v>0</v>
      </c>
    </row>
    <row r="57" spans="2:82" x14ac:dyDescent="0.3">
      <c r="B57" s="53"/>
      <c r="C57" s="53" t="str">
        <f t="shared" si="0"/>
        <v>CPU_Cerca</v>
      </c>
      <c r="D57" s="278">
        <f t="shared" si="1"/>
        <v>200</v>
      </c>
      <c r="E57" s="278">
        <f t="shared" si="2"/>
        <v>31875</v>
      </c>
      <c r="F57" s="1"/>
      <c r="G57" s="28" t="str">
        <f>IFERROR(VLOOKUP(F57,Tabela7[[RECURSO]:[CUSTO]],2,FALSE),"")</f>
        <v/>
      </c>
      <c r="I57" s="90">
        <f t="shared" si="41"/>
        <v>0</v>
      </c>
      <c r="J57" s="45">
        <f>IFERROR(VLOOKUP(F57,Tabela7[[RECURSO]:[CUSTO]],3,FALSE),0)</f>
        <v>0</v>
      </c>
      <c r="K57" s="45">
        <f t="shared" si="42"/>
        <v>0</v>
      </c>
      <c r="M57" s="85"/>
      <c r="N57" s="88"/>
      <c r="AD57" s="144" t="str">
        <f t="shared" si="3"/>
        <v>Cerca</v>
      </c>
      <c r="AE57" s="192"/>
      <c r="AF57" s="180">
        <f t="shared" si="38"/>
        <v>0</v>
      </c>
      <c r="AG57" s="180">
        <f t="shared" si="17"/>
        <v>0</v>
      </c>
      <c r="AH57" s="181">
        <f t="shared" si="39"/>
        <v>0</v>
      </c>
      <c r="AI57" s="193"/>
      <c r="AJ57" s="90"/>
      <c r="AK57" s="90"/>
      <c r="AL57" s="183">
        <f t="shared" si="40"/>
        <v>0</v>
      </c>
      <c r="AM57" s="193"/>
      <c r="AN57" s="90"/>
      <c r="AO57" s="90"/>
      <c r="AP57" s="183">
        <f t="shared" si="23"/>
        <v>0</v>
      </c>
      <c r="AQ57" s="193"/>
      <c r="AR57" s="90"/>
      <c r="AS57" s="90"/>
      <c r="AT57" s="183">
        <f t="shared" si="24"/>
        <v>0</v>
      </c>
      <c r="AU57" s="193"/>
      <c r="AV57" s="90"/>
      <c r="AW57" s="90"/>
      <c r="AX57" s="183">
        <f t="shared" si="25"/>
        <v>0</v>
      </c>
      <c r="AY57" s="193"/>
      <c r="AZ57" s="90"/>
      <c r="BA57" s="90"/>
      <c r="BB57" s="183">
        <f t="shared" si="26"/>
        <v>0</v>
      </c>
      <c r="BC57" s="193"/>
      <c r="BD57" s="90"/>
      <c r="BE57" s="90"/>
      <c r="BF57" s="183">
        <f t="shared" si="27"/>
        <v>0</v>
      </c>
      <c r="BG57" s="193"/>
      <c r="BH57" s="90"/>
      <c r="BI57" s="90"/>
      <c r="BJ57" s="183">
        <f t="shared" si="28"/>
        <v>0</v>
      </c>
      <c r="BK57" s="193"/>
      <c r="BL57" s="90"/>
      <c r="BM57" s="90"/>
      <c r="BN57" s="183">
        <f t="shared" si="29"/>
        <v>0</v>
      </c>
      <c r="BO57" s="193"/>
      <c r="BP57" s="90"/>
      <c r="BQ57" s="90"/>
      <c r="BR57" s="183">
        <f t="shared" si="30"/>
        <v>0</v>
      </c>
      <c r="BS57" s="193"/>
      <c r="BT57" s="90"/>
      <c r="BU57" s="90"/>
      <c r="BV57" s="183">
        <f t="shared" si="31"/>
        <v>0</v>
      </c>
      <c r="BW57" s="193"/>
      <c r="BX57" s="90"/>
      <c r="BY57" s="90"/>
      <c r="BZ57" s="183">
        <f t="shared" si="32"/>
        <v>0</v>
      </c>
      <c r="CA57" s="193"/>
      <c r="CB57" s="90"/>
      <c r="CC57" s="90"/>
      <c r="CD57" s="183">
        <f t="shared" si="33"/>
        <v>0</v>
      </c>
    </row>
    <row r="58" spans="2:82" x14ac:dyDescent="0.3">
      <c r="B58" s="53"/>
      <c r="C58" s="53" t="str">
        <f t="shared" si="0"/>
        <v>CPU_Cerca</v>
      </c>
      <c r="D58" s="278">
        <f t="shared" si="1"/>
        <v>200</v>
      </c>
      <c r="E58" s="278">
        <f t="shared" si="2"/>
        <v>31875</v>
      </c>
      <c r="F58" s="1"/>
      <c r="G58" s="28" t="str">
        <f>IFERROR(VLOOKUP(F58,Tabela7[[RECURSO]:[CUSTO]],2,FALSE),"")</f>
        <v/>
      </c>
      <c r="I58" s="90">
        <f t="shared" si="41"/>
        <v>0</v>
      </c>
      <c r="J58" s="45">
        <f>IFERROR(VLOOKUP(F58,Tabela7[[RECURSO]:[CUSTO]],3,FALSE),0)</f>
        <v>0</v>
      </c>
      <c r="K58" s="45">
        <f t="shared" si="42"/>
        <v>0</v>
      </c>
      <c r="M58" s="85"/>
      <c r="N58" s="88"/>
      <c r="AD58" s="144" t="str">
        <f t="shared" si="3"/>
        <v>Cerca</v>
      </c>
      <c r="AE58" s="192"/>
      <c r="AF58" s="180">
        <f t="shared" si="38"/>
        <v>0</v>
      </c>
      <c r="AG58" s="180">
        <f t="shared" si="17"/>
        <v>0</v>
      </c>
      <c r="AH58" s="181">
        <f t="shared" si="39"/>
        <v>0</v>
      </c>
      <c r="AI58" s="193"/>
      <c r="AJ58" s="90"/>
      <c r="AK58" s="90"/>
      <c r="AL58" s="183">
        <f t="shared" si="40"/>
        <v>0</v>
      </c>
      <c r="AM58" s="193"/>
      <c r="AN58" s="90"/>
      <c r="AO58" s="90"/>
      <c r="AP58" s="183">
        <f t="shared" si="23"/>
        <v>0</v>
      </c>
      <c r="AQ58" s="193"/>
      <c r="AR58" s="90"/>
      <c r="AS58" s="90"/>
      <c r="AT58" s="183">
        <f t="shared" si="24"/>
        <v>0</v>
      </c>
      <c r="AU58" s="193"/>
      <c r="AV58" s="90"/>
      <c r="AW58" s="90"/>
      <c r="AX58" s="183">
        <f t="shared" si="25"/>
        <v>0</v>
      </c>
      <c r="AY58" s="193"/>
      <c r="AZ58" s="90"/>
      <c r="BA58" s="90"/>
      <c r="BB58" s="183">
        <f t="shared" si="26"/>
        <v>0</v>
      </c>
      <c r="BC58" s="193"/>
      <c r="BD58" s="90"/>
      <c r="BE58" s="90"/>
      <c r="BF58" s="183">
        <f t="shared" si="27"/>
        <v>0</v>
      </c>
      <c r="BG58" s="193"/>
      <c r="BH58" s="90"/>
      <c r="BI58" s="90"/>
      <c r="BJ58" s="183">
        <f t="shared" si="28"/>
        <v>0</v>
      </c>
      <c r="BK58" s="193"/>
      <c r="BL58" s="90"/>
      <c r="BM58" s="90"/>
      <c r="BN58" s="183">
        <f t="shared" si="29"/>
        <v>0</v>
      </c>
      <c r="BO58" s="193"/>
      <c r="BP58" s="90"/>
      <c r="BQ58" s="90"/>
      <c r="BR58" s="183">
        <f t="shared" si="30"/>
        <v>0</v>
      </c>
      <c r="BS58" s="193"/>
      <c r="BT58" s="90"/>
      <c r="BU58" s="90"/>
      <c r="BV58" s="183">
        <f t="shared" si="31"/>
        <v>0</v>
      </c>
      <c r="BW58" s="193"/>
      <c r="BX58" s="90"/>
      <c r="BY58" s="90"/>
      <c r="BZ58" s="183">
        <f t="shared" si="32"/>
        <v>0</v>
      </c>
      <c r="CA58" s="193"/>
      <c r="CB58" s="90"/>
      <c r="CC58" s="90"/>
      <c r="CD58" s="183">
        <f t="shared" si="33"/>
        <v>0</v>
      </c>
    </row>
    <row r="59" spans="2:82" x14ac:dyDescent="0.3">
      <c r="B59" s="53"/>
      <c r="C59" s="53" t="str">
        <f t="shared" si="0"/>
        <v>CPU_Cerca</v>
      </c>
      <c r="D59" s="278">
        <f t="shared" si="1"/>
        <v>200</v>
      </c>
      <c r="E59" s="278">
        <f t="shared" si="2"/>
        <v>31875</v>
      </c>
      <c r="F59" s="1"/>
      <c r="G59" s="28" t="str">
        <f>IFERROR(VLOOKUP(F59,Tabela7[[RECURSO]:[CUSTO]],2,FALSE),"")</f>
        <v/>
      </c>
      <c r="I59" s="90">
        <f t="shared" si="41"/>
        <v>0</v>
      </c>
      <c r="J59" s="45">
        <f>IFERROR(VLOOKUP(F59,Tabela7[[RECURSO]:[CUSTO]],3,FALSE),0)</f>
        <v>0</v>
      </c>
      <c r="K59" s="45">
        <f t="shared" si="42"/>
        <v>0</v>
      </c>
      <c r="M59" s="85"/>
      <c r="N59" s="88"/>
      <c r="AD59" s="144" t="str">
        <f t="shared" si="3"/>
        <v>Cerca</v>
      </c>
      <c r="AE59" s="192"/>
      <c r="AF59" s="180">
        <f t="shared" si="38"/>
        <v>0</v>
      </c>
      <c r="AG59" s="180">
        <f t="shared" si="17"/>
        <v>0</v>
      </c>
      <c r="AH59" s="181">
        <f t="shared" si="39"/>
        <v>0</v>
      </c>
      <c r="AI59" s="193"/>
      <c r="AJ59" s="90"/>
      <c r="AK59" s="90"/>
      <c r="AL59" s="183">
        <f t="shared" si="40"/>
        <v>0</v>
      </c>
      <c r="AM59" s="193"/>
      <c r="AN59" s="90"/>
      <c r="AO59" s="90"/>
      <c r="AP59" s="183">
        <f t="shared" si="23"/>
        <v>0</v>
      </c>
      <c r="AQ59" s="193"/>
      <c r="AR59" s="90"/>
      <c r="AS59" s="90"/>
      <c r="AT59" s="183">
        <f t="shared" si="24"/>
        <v>0</v>
      </c>
      <c r="AU59" s="193"/>
      <c r="AV59" s="90"/>
      <c r="AW59" s="90"/>
      <c r="AX59" s="183">
        <f t="shared" si="25"/>
        <v>0</v>
      </c>
      <c r="AY59" s="193"/>
      <c r="AZ59" s="90"/>
      <c r="BA59" s="90"/>
      <c r="BB59" s="183">
        <f t="shared" si="26"/>
        <v>0</v>
      </c>
      <c r="BC59" s="193"/>
      <c r="BD59" s="90"/>
      <c r="BE59" s="90"/>
      <c r="BF59" s="183">
        <f t="shared" si="27"/>
        <v>0</v>
      </c>
      <c r="BG59" s="193"/>
      <c r="BH59" s="90"/>
      <c r="BI59" s="90"/>
      <c r="BJ59" s="183">
        <f t="shared" si="28"/>
        <v>0</v>
      </c>
      <c r="BK59" s="193"/>
      <c r="BL59" s="90"/>
      <c r="BM59" s="90"/>
      <c r="BN59" s="183">
        <f t="shared" si="29"/>
        <v>0</v>
      </c>
      <c r="BO59" s="193"/>
      <c r="BP59" s="90"/>
      <c r="BQ59" s="90"/>
      <c r="BR59" s="183">
        <f t="shared" si="30"/>
        <v>0</v>
      </c>
      <c r="BS59" s="193"/>
      <c r="BT59" s="90"/>
      <c r="BU59" s="90"/>
      <c r="BV59" s="183">
        <f t="shared" si="31"/>
        <v>0</v>
      </c>
      <c r="BW59" s="193"/>
      <c r="BX59" s="90"/>
      <c r="BY59" s="90"/>
      <c r="BZ59" s="183">
        <f t="shared" si="32"/>
        <v>0</v>
      </c>
      <c r="CA59" s="193"/>
      <c r="CB59" s="90"/>
      <c r="CC59" s="90"/>
      <c r="CD59" s="183">
        <f t="shared" si="33"/>
        <v>0</v>
      </c>
    </row>
    <row r="60" spans="2:82" x14ac:dyDescent="0.3">
      <c r="B60" s="53"/>
      <c r="C60" s="53" t="str">
        <f t="shared" si="0"/>
        <v>CPU_Cerca</v>
      </c>
      <c r="D60" s="278">
        <f t="shared" si="1"/>
        <v>200</v>
      </c>
      <c r="E60" s="278">
        <f t="shared" si="2"/>
        <v>31875</v>
      </c>
      <c r="F60" s="1"/>
      <c r="G60" s="28" t="str">
        <f>IFERROR(VLOOKUP(F60,Tabela7[[RECURSO]:[CUSTO]],2,FALSE),"")</f>
        <v/>
      </c>
      <c r="I60" s="90">
        <f t="shared" si="41"/>
        <v>0</v>
      </c>
      <c r="J60" s="45">
        <f>IFERROR(VLOOKUP(F60,Tabela7[[RECURSO]:[CUSTO]],3,FALSE),0)</f>
        <v>0</v>
      </c>
      <c r="K60" s="45">
        <f t="shared" si="42"/>
        <v>0</v>
      </c>
      <c r="M60" s="85"/>
      <c r="N60" s="88"/>
      <c r="AD60" s="144" t="str">
        <f t="shared" si="3"/>
        <v>Cerca</v>
      </c>
      <c r="AE60" s="192"/>
      <c r="AF60" s="180">
        <f t="shared" si="38"/>
        <v>0</v>
      </c>
      <c r="AG60" s="180">
        <f t="shared" si="17"/>
        <v>0</v>
      </c>
      <c r="AH60" s="181">
        <f t="shared" si="39"/>
        <v>0</v>
      </c>
      <c r="AI60" s="193"/>
      <c r="AJ60" s="90"/>
      <c r="AK60" s="90"/>
      <c r="AL60" s="183">
        <f t="shared" si="40"/>
        <v>0</v>
      </c>
      <c r="AM60" s="193"/>
      <c r="AN60" s="90"/>
      <c r="AO60" s="90"/>
      <c r="AP60" s="183">
        <f t="shared" si="23"/>
        <v>0</v>
      </c>
      <c r="AQ60" s="193"/>
      <c r="AR60" s="90"/>
      <c r="AS60" s="90"/>
      <c r="AT60" s="183">
        <f t="shared" si="24"/>
        <v>0</v>
      </c>
      <c r="AU60" s="193"/>
      <c r="AV60" s="90"/>
      <c r="AW60" s="90"/>
      <c r="AX60" s="183">
        <f t="shared" si="25"/>
        <v>0</v>
      </c>
      <c r="AY60" s="193"/>
      <c r="AZ60" s="90"/>
      <c r="BA60" s="90"/>
      <c r="BB60" s="183">
        <f t="shared" si="26"/>
        <v>0</v>
      </c>
      <c r="BC60" s="193"/>
      <c r="BD60" s="90"/>
      <c r="BE60" s="90"/>
      <c r="BF60" s="183">
        <f t="shared" si="27"/>
        <v>0</v>
      </c>
      <c r="BG60" s="193"/>
      <c r="BH60" s="90"/>
      <c r="BI60" s="90"/>
      <c r="BJ60" s="183">
        <f t="shared" si="28"/>
        <v>0</v>
      </c>
      <c r="BK60" s="193"/>
      <c r="BL60" s="90"/>
      <c r="BM60" s="90"/>
      <c r="BN60" s="183">
        <f t="shared" si="29"/>
        <v>0</v>
      </c>
      <c r="BO60" s="193"/>
      <c r="BP60" s="90"/>
      <c r="BQ60" s="90"/>
      <c r="BR60" s="183">
        <f t="shared" si="30"/>
        <v>0</v>
      </c>
      <c r="BS60" s="193"/>
      <c r="BT60" s="90"/>
      <c r="BU60" s="90"/>
      <c r="BV60" s="183">
        <f t="shared" si="31"/>
        <v>0</v>
      </c>
      <c r="BW60" s="193"/>
      <c r="BX60" s="90"/>
      <c r="BY60" s="90"/>
      <c r="BZ60" s="183">
        <f t="shared" si="32"/>
        <v>0</v>
      </c>
      <c r="CA60" s="193"/>
      <c r="CB60" s="90"/>
      <c r="CC60" s="90"/>
      <c r="CD60" s="183">
        <f t="shared" si="33"/>
        <v>0</v>
      </c>
    </row>
    <row r="61" spans="2:82" x14ac:dyDescent="0.3">
      <c r="B61" s="53"/>
      <c r="C61" s="53" t="str">
        <f t="shared" si="0"/>
        <v>CPU_Cerca</v>
      </c>
      <c r="D61" s="278">
        <f t="shared" si="1"/>
        <v>200</v>
      </c>
      <c r="E61" s="278">
        <f t="shared" si="2"/>
        <v>31875</v>
      </c>
      <c r="F61" s="1"/>
      <c r="G61" s="28" t="str">
        <f>IFERROR(VLOOKUP(F61,Tabela7[[RECURSO]:[CUSTO]],2,FALSE),"")</f>
        <v/>
      </c>
      <c r="I61" s="90">
        <f t="shared" si="41"/>
        <v>0</v>
      </c>
      <c r="J61" s="45">
        <f>IFERROR(VLOOKUP(F61,Tabela7[[RECURSO]:[CUSTO]],3,FALSE),0)</f>
        <v>0</v>
      </c>
      <c r="K61" s="45">
        <f t="shared" si="42"/>
        <v>0</v>
      </c>
      <c r="M61" s="85"/>
      <c r="N61" s="88"/>
      <c r="AD61" s="144" t="str">
        <f t="shared" si="3"/>
        <v>Cerca</v>
      </c>
      <c r="AE61" s="192"/>
      <c r="AF61" s="180">
        <f t="shared" si="38"/>
        <v>0</v>
      </c>
      <c r="AG61" s="180">
        <f t="shared" si="17"/>
        <v>0</v>
      </c>
      <c r="AH61" s="181">
        <f t="shared" si="39"/>
        <v>0</v>
      </c>
      <c r="AI61" s="193"/>
      <c r="AJ61" s="90"/>
      <c r="AK61" s="90"/>
      <c r="AL61" s="183">
        <f t="shared" si="40"/>
        <v>0</v>
      </c>
      <c r="AM61" s="193"/>
      <c r="AN61" s="90"/>
      <c r="AO61" s="90"/>
      <c r="AP61" s="183">
        <f t="shared" si="23"/>
        <v>0</v>
      </c>
      <c r="AQ61" s="193"/>
      <c r="AR61" s="90"/>
      <c r="AS61" s="90"/>
      <c r="AT61" s="183">
        <f t="shared" si="24"/>
        <v>0</v>
      </c>
      <c r="AU61" s="193"/>
      <c r="AV61" s="90"/>
      <c r="AW61" s="90"/>
      <c r="AX61" s="183">
        <f t="shared" si="25"/>
        <v>0</v>
      </c>
      <c r="AY61" s="193"/>
      <c r="AZ61" s="90"/>
      <c r="BA61" s="90"/>
      <c r="BB61" s="183">
        <f t="shared" si="26"/>
        <v>0</v>
      </c>
      <c r="BC61" s="193"/>
      <c r="BD61" s="90"/>
      <c r="BE61" s="90"/>
      <c r="BF61" s="183">
        <f t="shared" si="27"/>
        <v>0</v>
      </c>
      <c r="BG61" s="193"/>
      <c r="BH61" s="90"/>
      <c r="BI61" s="90"/>
      <c r="BJ61" s="183">
        <f t="shared" si="28"/>
        <v>0</v>
      </c>
      <c r="BK61" s="193"/>
      <c r="BL61" s="90"/>
      <c r="BM61" s="90"/>
      <c r="BN61" s="183">
        <f t="shared" si="29"/>
        <v>0</v>
      </c>
      <c r="BO61" s="193"/>
      <c r="BP61" s="90"/>
      <c r="BQ61" s="90"/>
      <c r="BR61" s="183">
        <f t="shared" si="30"/>
        <v>0</v>
      </c>
      <c r="BS61" s="193"/>
      <c r="BT61" s="90"/>
      <c r="BU61" s="90"/>
      <c r="BV61" s="183">
        <f t="shared" si="31"/>
        <v>0</v>
      </c>
      <c r="BW61" s="193"/>
      <c r="BX61" s="90"/>
      <c r="BY61" s="90"/>
      <c r="BZ61" s="183">
        <f t="shared" si="32"/>
        <v>0</v>
      </c>
      <c r="CA61" s="193"/>
      <c r="CB61" s="90"/>
      <c r="CC61" s="90"/>
      <c r="CD61" s="183">
        <f t="shared" si="33"/>
        <v>0</v>
      </c>
    </row>
    <row r="62" spans="2:82" ht="15" thickBot="1" x14ac:dyDescent="0.35">
      <c r="B62" s="53"/>
      <c r="C62" s="53" t="str">
        <f t="shared" si="0"/>
        <v>CPU_Cerca</v>
      </c>
      <c r="D62" s="278">
        <f t="shared" si="1"/>
        <v>200</v>
      </c>
      <c r="E62" s="278">
        <f t="shared" si="2"/>
        <v>31875</v>
      </c>
      <c r="F62" s="1"/>
      <c r="G62" s="28" t="str">
        <f>IFERROR(VLOOKUP(F62,Tabela7[[RECURSO]:[CUSTO]],2,FALSE),"")</f>
        <v/>
      </c>
      <c r="I62" s="90">
        <f t="shared" si="41"/>
        <v>0</v>
      </c>
      <c r="J62" s="45">
        <f>IFERROR(VLOOKUP(F62,Tabela7[[RECURSO]:[CUSTO]],3,FALSE),0)</f>
        <v>0</v>
      </c>
      <c r="K62" s="45">
        <f t="shared" si="42"/>
        <v>0</v>
      </c>
      <c r="M62" s="86"/>
      <c r="N62" s="88"/>
      <c r="AD62" s="144" t="str">
        <f t="shared" si="3"/>
        <v>Cerca</v>
      </c>
      <c r="AE62" s="194"/>
      <c r="AF62" s="195">
        <f t="shared" si="38"/>
        <v>0</v>
      </c>
      <c r="AG62" s="195">
        <f t="shared" si="17"/>
        <v>0</v>
      </c>
      <c r="AH62" s="196">
        <f t="shared" si="39"/>
        <v>0</v>
      </c>
      <c r="AI62" s="197"/>
      <c r="AJ62" s="198"/>
      <c r="AK62" s="198"/>
      <c r="AL62" s="199">
        <f t="shared" si="40"/>
        <v>0</v>
      </c>
      <c r="AM62" s="197"/>
      <c r="AN62" s="198"/>
      <c r="AO62" s="198"/>
      <c r="AP62" s="199">
        <f t="shared" si="23"/>
        <v>0</v>
      </c>
      <c r="AQ62" s="197"/>
      <c r="AR62" s="198"/>
      <c r="AS62" s="198"/>
      <c r="AT62" s="199">
        <f t="shared" si="24"/>
        <v>0</v>
      </c>
      <c r="AU62" s="197"/>
      <c r="AV62" s="198"/>
      <c r="AW62" s="198"/>
      <c r="AX62" s="199">
        <f t="shared" si="25"/>
        <v>0</v>
      </c>
      <c r="AY62" s="197"/>
      <c r="AZ62" s="198"/>
      <c r="BA62" s="198"/>
      <c r="BB62" s="199">
        <f t="shared" si="26"/>
        <v>0</v>
      </c>
      <c r="BC62" s="197"/>
      <c r="BD62" s="198"/>
      <c r="BE62" s="198"/>
      <c r="BF62" s="199">
        <f t="shared" si="27"/>
        <v>0</v>
      </c>
      <c r="BG62" s="197"/>
      <c r="BH62" s="198"/>
      <c r="BI62" s="198"/>
      <c r="BJ62" s="199">
        <f t="shared" si="28"/>
        <v>0</v>
      </c>
      <c r="BK62" s="197"/>
      <c r="BL62" s="198"/>
      <c r="BM62" s="198"/>
      <c r="BN62" s="199">
        <f t="shared" si="29"/>
        <v>0</v>
      </c>
      <c r="BO62" s="197"/>
      <c r="BP62" s="198"/>
      <c r="BQ62" s="198"/>
      <c r="BR62" s="199">
        <f t="shared" si="30"/>
        <v>0</v>
      </c>
      <c r="BS62" s="197"/>
      <c r="BT62" s="198"/>
      <c r="BU62" s="198"/>
      <c r="BV62" s="199">
        <f t="shared" si="31"/>
        <v>0</v>
      </c>
      <c r="BW62" s="197"/>
      <c r="BX62" s="198"/>
      <c r="BY62" s="198"/>
      <c r="BZ62" s="199">
        <f t="shared" si="32"/>
        <v>0</v>
      </c>
      <c r="CA62" s="197"/>
      <c r="CB62" s="198"/>
      <c r="CC62" s="198"/>
      <c r="CD62" s="199">
        <f t="shared" si="33"/>
        <v>0</v>
      </c>
    </row>
  </sheetData>
  <conditionalFormatting sqref="K6:K7">
    <cfRule type="iconSet" priority="14">
      <iconSet>
        <cfvo type="percent" val="0"/>
        <cfvo type="num" val="0"/>
        <cfvo type="num" val="0.02"/>
      </iconSet>
    </cfRule>
  </conditionalFormatting>
  <conditionalFormatting sqref="AH6:AH7">
    <cfRule type="iconSet" priority="13">
      <iconSet>
        <cfvo type="percent" val="0"/>
        <cfvo type="num" val="0"/>
        <cfvo type="num" val="0.02"/>
      </iconSet>
    </cfRule>
  </conditionalFormatting>
  <conditionalFormatting sqref="AL6:AL7">
    <cfRule type="iconSet" priority="12">
      <iconSet>
        <cfvo type="percent" val="0"/>
        <cfvo type="num" val="0"/>
        <cfvo type="num" val="0.02"/>
      </iconSet>
    </cfRule>
  </conditionalFormatting>
  <conditionalFormatting sqref="AP6:AP7">
    <cfRule type="iconSet" priority="11">
      <iconSet>
        <cfvo type="percent" val="0"/>
        <cfvo type="num" val="0"/>
        <cfvo type="num" val="0.02"/>
      </iconSet>
    </cfRule>
  </conditionalFormatting>
  <conditionalFormatting sqref="AT6:AT7">
    <cfRule type="iconSet" priority="10">
      <iconSet>
        <cfvo type="percent" val="0"/>
        <cfvo type="num" val="0"/>
        <cfvo type="num" val="0.02"/>
      </iconSet>
    </cfRule>
  </conditionalFormatting>
  <conditionalFormatting sqref="AX6:AX7">
    <cfRule type="iconSet" priority="9">
      <iconSet>
        <cfvo type="percent" val="0"/>
        <cfvo type="num" val="0"/>
        <cfvo type="num" val="0.02"/>
      </iconSet>
    </cfRule>
  </conditionalFormatting>
  <conditionalFormatting sqref="BB6:BB7">
    <cfRule type="iconSet" priority="8">
      <iconSet>
        <cfvo type="percent" val="0"/>
        <cfvo type="num" val="0"/>
        <cfvo type="num" val="0.02"/>
      </iconSet>
    </cfRule>
  </conditionalFormatting>
  <conditionalFormatting sqref="BF6:BF7">
    <cfRule type="iconSet" priority="7">
      <iconSet>
        <cfvo type="percent" val="0"/>
        <cfvo type="num" val="0"/>
        <cfvo type="num" val="0.02"/>
      </iconSet>
    </cfRule>
  </conditionalFormatting>
  <conditionalFormatting sqref="BJ6:BJ7">
    <cfRule type="iconSet" priority="6">
      <iconSet>
        <cfvo type="percent" val="0"/>
        <cfvo type="num" val="0"/>
        <cfvo type="num" val="0.02"/>
      </iconSet>
    </cfRule>
  </conditionalFormatting>
  <conditionalFormatting sqref="BN6:BN7">
    <cfRule type="iconSet" priority="5">
      <iconSet>
        <cfvo type="percent" val="0"/>
        <cfvo type="num" val="0"/>
        <cfvo type="num" val="0.02"/>
      </iconSet>
    </cfRule>
  </conditionalFormatting>
  <conditionalFormatting sqref="BR6:BR7">
    <cfRule type="iconSet" priority="4">
      <iconSet>
        <cfvo type="percent" val="0"/>
        <cfvo type="num" val="0"/>
        <cfvo type="num" val="0.02"/>
      </iconSet>
    </cfRule>
  </conditionalFormatting>
  <conditionalFormatting sqref="BV6:BV7">
    <cfRule type="iconSet" priority="3">
      <iconSet>
        <cfvo type="percent" val="0"/>
        <cfvo type="num" val="0"/>
        <cfvo type="num" val="0.02"/>
      </iconSet>
    </cfRule>
  </conditionalFormatting>
  <conditionalFormatting sqref="BZ6:BZ7">
    <cfRule type="iconSet" priority="2">
      <iconSet>
        <cfvo type="percent" val="0"/>
        <cfvo type="num" val="0"/>
        <cfvo type="num" val="0.02"/>
      </iconSet>
    </cfRule>
  </conditionalFormatting>
  <conditionalFormatting sqref="CD6:CD7">
    <cfRule type="iconSet" priority="1">
      <iconSet>
        <cfvo type="percent" val="0"/>
        <cfvo type="num" val="0"/>
        <cfvo type="num" val="0.02"/>
      </iconSet>
    </cfRule>
  </conditionalFormatting>
  <dataValidations count="5">
    <dataValidation type="list" allowBlank="1" showInputMessage="1" showErrorMessage="1" sqref="F51:F62" xr:uid="{9680824B-2094-4C1B-AEB3-E0FA2B477464}">
      <formula1>INDIRECT($B$50)</formula1>
    </dataValidation>
    <dataValidation type="list" allowBlank="1" showInputMessage="1" showErrorMessage="1" sqref="F38:F49" xr:uid="{EAFC15BF-0D82-4819-8A03-D7B4B89BDF7C}">
      <formula1>INDIRECT($B$37)</formula1>
    </dataValidation>
    <dataValidation type="list" allowBlank="1" showInputMessage="1" showErrorMessage="1" sqref="F25:F36" xr:uid="{95CF30A3-3F54-4A28-9E51-374C7B1ABEB2}">
      <formula1>INDIRECT($B$24)</formula1>
    </dataValidation>
    <dataValidation type="list" allowBlank="1" showInputMessage="1" showErrorMessage="1" sqref="F12:F23" xr:uid="{BFE53419-2F73-41B6-9866-CFE4783BDA06}">
      <formula1>INDIRECT($B$11)</formula1>
    </dataValidation>
    <dataValidation type="list" allowBlank="1" showInputMessage="1" showErrorMessage="1" sqref="B3:E3" xr:uid="{C1E31CA5-2653-4134-892F-50CBC2DF305C}">
      <formula1>INDIRECT($B$2)</formula1>
    </dataValidation>
  </dataValidations>
  <pageMargins left="0.51181102362204722" right="0.51181102362204722" top="0.19685039370078741" bottom="0.19685039370078741" header="0.31496062992125984" footer="0.31496062992125984"/>
  <pageSetup paperSize="9" scale="82" orientation="portrait" r:id="rId1"/>
  <colBreaks count="1" manualBreakCount="1">
    <brk id="11" max="1048575" man="1"/>
  </colBreaks>
  <drawing r:id="rId2"/>
  <legacyDrawing r:id="rId3"/>
  <tableParts count="2"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9E487-FBBD-47D8-873E-405E96833EDA}">
  <sheetPr codeName="Plan37"/>
  <dimension ref="A1:CD62"/>
  <sheetViews>
    <sheetView showGridLines="0" zoomScaleNormal="100" workbookViewId="0">
      <pane xSplit="14" ySplit="10" topLeftCell="O24" activePane="bottomRight" state="frozen"/>
      <selection pane="topRight" activeCell="C28" activeCellId="1" sqref="E13 C28"/>
      <selection pane="bottomLeft" activeCell="C28" activeCellId="1" sqref="E13 C28"/>
      <selection pane="bottomRight" activeCell="B3" sqref="B3"/>
    </sheetView>
  </sheetViews>
  <sheetFormatPr defaultRowHeight="14.4" x14ac:dyDescent="0.3"/>
  <cols>
    <col min="1" max="1" width="4.109375" customWidth="1"/>
    <col min="2" max="2" width="16.109375" customWidth="1"/>
    <col min="3" max="5" width="16.109375" hidden="1" customWidth="1"/>
    <col min="6" max="6" width="40.6640625" customWidth="1"/>
    <col min="7" max="7" width="10.6640625" style="28" customWidth="1"/>
    <col min="8" max="8" width="7.6640625" style="28" customWidth="1"/>
    <col min="9" max="11" width="10.6640625" customWidth="1"/>
    <col min="12" max="12" width="2.33203125" customWidth="1"/>
    <col min="13" max="14" width="12.6640625" customWidth="1"/>
    <col min="15" max="15" width="14" bestFit="1" customWidth="1"/>
    <col min="30" max="30" width="12.44140625" bestFit="1" customWidth="1"/>
    <col min="31" max="31" width="7.6640625" customWidth="1"/>
    <col min="32" max="32" width="9.33203125" bestFit="1" customWidth="1"/>
    <col min="33" max="34" width="10.6640625" customWidth="1"/>
    <col min="35" max="35" width="7.6640625" customWidth="1"/>
    <col min="36" max="36" width="9.33203125" customWidth="1"/>
    <col min="37" max="38" width="10.6640625" customWidth="1"/>
    <col min="40" max="40" width="9.33203125" customWidth="1"/>
    <col min="42" max="42" width="9.6640625" customWidth="1"/>
    <col min="44" max="44" width="9.33203125" customWidth="1"/>
    <col min="46" max="46" width="9.6640625" customWidth="1"/>
    <col min="48" max="48" width="9.33203125" customWidth="1"/>
    <col min="50" max="50" width="9.6640625" customWidth="1"/>
    <col min="52" max="52" width="9.33203125" customWidth="1"/>
    <col min="54" max="54" width="9.6640625" customWidth="1"/>
    <col min="56" max="56" width="9.33203125" customWidth="1"/>
    <col min="58" max="58" width="9.6640625" customWidth="1"/>
    <col min="60" max="60" width="9.33203125" customWidth="1"/>
    <col min="62" max="62" width="9.6640625" customWidth="1"/>
    <col min="64" max="64" width="9.33203125" customWidth="1"/>
    <col min="66" max="66" width="9.6640625" customWidth="1"/>
    <col min="68" max="68" width="9.33203125" customWidth="1"/>
    <col min="70" max="70" width="9.6640625" customWidth="1"/>
    <col min="72" max="72" width="10" customWidth="1"/>
    <col min="73" max="73" width="9.5546875" customWidth="1"/>
    <col min="74" max="74" width="10.44140625" customWidth="1"/>
    <col min="76" max="76" width="10" customWidth="1"/>
    <col min="77" max="77" width="9.5546875" customWidth="1"/>
    <col min="78" max="78" width="10.44140625" customWidth="1"/>
    <col min="80" max="80" width="10" customWidth="1"/>
    <col min="81" max="81" width="9.5546875" customWidth="1"/>
    <col min="82" max="82" width="10.44140625" customWidth="1"/>
  </cols>
  <sheetData>
    <row r="1" spans="1:82" ht="26.4" customHeight="1" thickBot="1" x14ac:dyDescent="0.35">
      <c r="AE1" s="163" t="s">
        <v>678</v>
      </c>
    </row>
    <row r="2" spans="1:82" x14ac:dyDescent="0.3">
      <c r="B2" s="64" t="s">
        <v>679</v>
      </c>
      <c r="C2" s="67"/>
      <c r="D2" s="67"/>
      <c r="E2" s="67"/>
      <c r="F2" s="65"/>
      <c r="G2" s="66"/>
      <c r="H2" s="66"/>
      <c r="I2" s="65"/>
      <c r="J2" s="67" t="s">
        <v>680</v>
      </c>
      <c r="K2" s="68" t="s">
        <v>681</v>
      </c>
      <c r="M2" s="227" t="s">
        <v>682</v>
      </c>
      <c r="N2" s="228" t="s">
        <v>683</v>
      </c>
      <c r="O2" s="234" t="s">
        <v>684</v>
      </c>
      <c r="AE2" s="164" t="s">
        <v>590</v>
      </c>
      <c r="AF2" s="165" t="s">
        <v>20</v>
      </c>
      <c r="AG2" s="67"/>
      <c r="AH2" s="68" t="s">
        <v>681</v>
      </c>
      <c r="AI2" s="166">
        <v>44927</v>
      </c>
      <c r="AJ2" s="165" t="s">
        <v>20</v>
      </c>
      <c r="AK2" s="67"/>
      <c r="AL2" s="68" t="s">
        <v>681</v>
      </c>
      <c r="AM2" s="166">
        <v>44958</v>
      </c>
      <c r="AN2" s="165" t="s">
        <v>20</v>
      </c>
      <c r="AO2" s="67"/>
      <c r="AP2" s="68" t="s">
        <v>681</v>
      </c>
      <c r="AQ2" s="166">
        <v>44986</v>
      </c>
      <c r="AR2" s="165" t="s">
        <v>20</v>
      </c>
      <c r="AS2" s="67"/>
      <c r="AT2" s="68" t="s">
        <v>681</v>
      </c>
      <c r="AU2" s="166">
        <v>45017</v>
      </c>
      <c r="AV2" s="165" t="s">
        <v>20</v>
      </c>
      <c r="AW2" s="67"/>
      <c r="AX2" s="68" t="s">
        <v>681</v>
      </c>
      <c r="AY2" s="166">
        <v>45047</v>
      </c>
      <c r="AZ2" s="165" t="s">
        <v>20</v>
      </c>
      <c r="BA2" s="67"/>
      <c r="BB2" s="68" t="s">
        <v>681</v>
      </c>
      <c r="BC2" s="166">
        <v>45078</v>
      </c>
      <c r="BD2" s="165" t="s">
        <v>20</v>
      </c>
      <c r="BE2" s="67"/>
      <c r="BF2" s="68" t="s">
        <v>681</v>
      </c>
      <c r="BG2" s="166">
        <v>45108</v>
      </c>
      <c r="BH2" s="165" t="s">
        <v>20</v>
      </c>
      <c r="BI2" s="67"/>
      <c r="BJ2" s="68" t="s">
        <v>681</v>
      </c>
      <c r="BK2" s="166">
        <v>45139</v>
      </c>
      <c r="BL2" s="165" t="s">
        <v>20</v>
      </c>
      <c r="BM2" s="67"/>
      <c r="BN2" s="68" t="s">
        <v>681</v>
      </c>
      <c r="BO2" s="166">
        <v>45170</v>
      </c>
      <c r="BP2" s="165" t="s">
        <v>20</v>
      </c>
      <c r="BQ2" s="67"/>
      <c r="BR2" s="68" t="s">
        <v>681</v>
      </c>
      <c r="BS2" s="166">
        <v>45200</v>
      </c>
      <c r="BT2" s="165" t="s">
        <v>20</v>
      </c>
      <c r="BU2" s="67"/>
      <c r="BV2" s="68" t="s">
        <v>681</v>
      </c>
      <c r="BW2" s="166">
        <v>45231</v>
      </c>
      <c r="BX2" s="165" t="s">
        <v>20</v>
      </c>
      <c r="BY2" s="67"/>
      <c r="BZ2" s="68" t="s">
        <v>681</v>
      </c>
      <c r="CA2" s="166">
        <v>45261</v>
      </c>
      <c r="CB2" s="165" t="s">
        <v>20</v>
      </c>
      <c r="CC2" s="67"/>
      <c r="CD2" s="68" t="s">
        <v>681</v>
      </c>
    </row>
    <row r="3" spans="1:82" x14ac:dyDescent="0.3">
      <c r="A3" s="42" t="str">
        <f>"CPU_"&amp;LEFT(SUBSTITUTE(SUBSTITUTE(B3," ",""),"-",""),20)</f>
        <v>CPU_Transportecbuq</v>
      </c>
      <c r="B3" s="31" t="s">
        <v>764</v>
      </c>
      <c r="C3" s="1"/>
      <c r="D3" s="1"/>
      <c r="E3" s="1"/>
      <c r="F3" s="73"/>
      <c r="G3" s="74"/>
      <c r="H3" s="74"/>
      <c r="I3" s="73"/>
      <c r="J3" s="74" t="str">
        <f>IFERROR(VLOOKUP(B3,Tabela1[[NOME SERVIÇO]:[UNID]],4,0),"")</f>
        <v>TXKM</v>
      </c>
      <c r="K3" s="75">
        <f>IFERROR(J6/B6,0)</f>
        <v>0</v>
      </c>
      <c r="M3" s="229" t="s">
        <v>685</v>
      </c>
      <c r="N3" s="230">
        <f>K11</f>
        <v>0</v>
      </c>
      <c r="O3" s="235">
        <f>IFERROR(N3/$N$7,0)</f>
        <v>0</v>
      </c>
      <c r="AE3" s="167"/>
      <c r="AF3" s="168">
        <f>AJ3+AN3+AR3+AV3+AZ3+BD3+BH3+BL3+BP3+BT3+BX3+CB3</f>
        <v>0</v>
      </c>
      <c r="AG3" s="74"/>
      <c r="AH3" s="75">
        <f>IFERROR((AG6/AF3),0)</f>
        <v>0</v>
      </c>
      <c r="AI3" s="167"/>
      <c r="AJ3" s="168">
        <f>IFERROR(SUMPRODUCT(Plan_Orc!$I$4:$I$2002*Plan_Orc!$AB$4:$AB$2002*(Plan_Orc!$D$4:$D$2002=$B3)),0)</f>
        <v>0</v>
      </c>
      <c r="AK3" s="74"/>
      <c r="AL3" s="75">
        <f>IFERROR((AK6/AJ3),0)</f>
        <v>0</v>
      </c>
      <c r="AM3" s="167"/>
      <c r="AN3" s="168">
        <f>IFERROR(SUMPRODUCT(Plan_Orc!$I$4:$I$2002*Plan_Orc!$AC$4:$AC$2002*(Plan_Orc!$D$4:$D$2002=$B3)),0)</f>
        <v>0</v>
      </c>
      <c r="AO3" s="74"/>
      <c r="AP3" s="75">
        <f>IFERROR((AO6/AN3),0)</f>
        <v>0</v>
      </c>
      <c r="AQ3" s="167"/>
      <c r="AR3" s="168">
        <f>IFERROR(SUMPRODUCT(Plan_Orc!$I$4:$I$2002*Plan_Orc!$AD$4:$AD$2002*(Plan_Orc!$D$4:$D$2002=$B3)),0)</f>
        <v>0</v>
      </c>
      <c r="AS3" s="74"/>
      <c r="AT3" s="75">
        <f>IFERROR((AS6/AR3),0)</f>
        <v>0</v>
      </c>
      <c r="AU3" s="167"/>
      <c r="AV3" s="168">
        <f>IFERROR(SUMPRODUCT(Plan_Orc!$I$4:$I$2002*Plan_Orc!$AE$4:$AE$2002*(Plan_Orc!$D$4:$D$2002=$B3)),0)</f>
        <v>0</v>
      </c>
      <c r="AW3" s="74"/>
      <c r="AX3" s="75">
        <f>IFERROR((AW6/AV3),0)</f>
        <v>0</v>
      </c>
      <c r="AY3" s="167"/>
      <c r="AZ3" s="168">
        <f>IFERROR(SUMPRODUCT(Plan_Orc!$I$4:$I$2002*Plan_Orc!$AF$4:$AF$2002*(Plan_Orc!$D$4:$D$2002=$B3)),0)</f>
        <v>0</v>
      </c>
      <c r="BA3" s="74"/>
      <c r="BB3" s="75">
        <f>IFERROR((BA6/AZ3),0)</f>
        <v>0</v>
      </c>
      <c r="BC3" s="167"/>
      <c r="BD3" s="168">
        <f>IFERROR(SUMPRODUCT(Plan_Orc!$I$4:$I$2002*Plan_Orc!$AG$4:$AG$2002*(Plan_Orc!$D$4:$D$2002=$B3)),0)</f>
        <v>0</v>
      </c>
      <c r="BE3" s="74"/>
      <c r="BF3" s="75">
        <f>IFERROR((BE6/BD3),0)</f>
        <v>0</v>
      </c>
      <c r="BG3" s="167"/>
      <c r="BH3" s="168">
        <f>IFERROR(SUMPRODUCT(Plan_Orc!$I$4:$I$2002*Plan_Orc!$AH$4:$AH$2002*(Plan_Orc!$D$4:$D$2002=$B3)),0)</f>
        <v>0</v>
      </c>
      <c r="BI3" s="74"/>
      <c r="BJ3" s="75">
        <f>IFERROR((BI6/BH3),0)</f>
        <v>0</v>
      </c>
      <c r="BK3" s="167"/>
      <c r="BL3" s="168">
        <f>IFERROR(SUMPRODUCT(Plan_Orc!$I$4:$I$2002*Plan_Orc!$AI$4:$AI$2002*(Plan_Orc!$D$4:$D$2002=$B3)),0)</f>
        <v>0</v>
      </c>
      <c r="BM3" s="74"/>
      <c r="BN3" s="75">
        <f>IFERROR((BM6/BL3),0)</f>
        <v>0</v>
      </c>
      <c r="BO3" s="167"/>
      <c r="BP3" s="168">
        <f>IFERROR(SUMPRODUCT(Plan_Orc!$I$4:$I$2002*Plan_Orc!$AJ$4:$AJ$2002*(Plan_Orc!$D$4:$D$2002=$B3)),0)</f>
        <v>0</v>
      </c>
      <c r="BQ3" s="74"/>
      <c r="BR3" s="75">
        <f>IFERROR((BQ6/BP3),0)</f>
        <v>0</v>
      </c>
      <c r="BS3" s="167"/>
      <c r="BT3" s="168">
        <f>IFERROR(SUMPRODUCT(Plan_Orc!$I$4:$I$2002*Plan_Orc!$AK$4:$AK$2002*(Plan_Orc!$D$4:$D$2002=$B3)),0)</f>
        <v>0</v>
      </c>
      <c r="BU3" s="74"/>
      <c r="BV3" s="75">
        <f>IFERROR((BU6/BT3),0)</f>
        <v>0</v>
      </c>
      <c r="BW3" s="167"/>
      <c r="BX3" s="168">
        <f>IFERROR(SUMPRODUCT(Plan_Orc!$I$4:$I$2002*Plan_Orc!$AL$4:$AL$2002*(Plan_Orc!$D$4:$D$2002=$B3)),0)</f>
        <v>0</v>
      </c>
      <c r="BY3" s="74"/>
      <c r="BZ3" s="75">
        <f>IFERROR((BY6/BX3),0)</f>
        <v>0</v>
      </c>
      <c r="CA3" s="167"/>
      <c r="CB3" s="168">
        <f>IFERROR(SUMPRODUCT(Plan_Orc!$I$4:$I$2002*Plan_Orc!$AM$4:$AM$2002*(Plan_Orc!$D$4:$D$2002=$B3)),0)</f>
        <v>0</v>
      </c>
      <c r="CC3" s="74"/>
      <c r="CD3" s="75">
        <f>IFERROR((CC6/CB3),0)</f>
        <v>0</v>
      </c>
    </row>
    <row r="4" spans="1:82" x14ac:dyDescent="0.3">
      <c r="B4" s="32"/>
      <c r="K4" s="30"/>
      <c r="M4" s="229" t="s">
        <v>686</v>
      </c>
      <c r="N4" s="230">
        <f>+K24</f>
        <v>0</v>
      </c>
      <c r="O4" s="235">
        <f>IFERROR(N4/$N$7,0)</f>
        <v>0</v>
      </c>
      <c r="AE4" s="169"/>
      <c r="AH4" s="30"/>
      <c r="AI4" s="169"/>
      <c r="AL4" s="30"/>
      <c r="AM4" s="169"/>
      <c r="AP4" s="30"/>
      <c r="AQ4" s="169"/>
      <c r="AT4" s="30"/>
      <c r="AU4" s="169"/>
      <c r="AX4" s="30"/>
      <c r="AY4" s="169"/>
      <c r="BB4" s="30"/>
      <c r="BC4" s="169"/>
      <c r="BF4" s="30"/>
      <c r="BG4" s="169"/>
      <c r="BJ4" s="30"/>
      <c r="BK4" s="169"/>
      <c r="BN4" s="30"/>
      <c r="BO4" s="169"/>
      <c r="BR4" s="30"/>
      <c r="BS4" s="169"/>
      <c r="BV4" s="30"/>
      <c r="BW4" s="169"/>
      <c r="BZ4" s="30"/>
      <c r="CA4" s="169"/>
      <c r="CD4" s="30"/>
    </row>
    <row r="5" spans="1:82" x14ac:dyDescent="0.3">
      <c r="B5" s="69" t="s">
        <v>687</v>
      </c>
      <c r="C5" s="72"/>
      <c r="D5" s="72"/>
      <c r="E5" s="72"/>
      <c r="F5" s="70" t="s">
        <v>688</v>
      </c>
      <c r="G5" s="70" t="s">
        <v>689</v>
      </c>
      <c r="H5" s="70" t="s">
        <v>690</v>
      </c>
      <c r="I5" s="70" t="s">
        <v>691</v>
      </c>
      <c r="J5" s="70" t="s">
        <v>683</v>
      </c>
      <c r="K5" s="71" t="s">
        <v>593</v>
      </c>
      <c r="M5" s="229" t="s">
        <v>692</v>
      </c>
      <c r="N5" s="230">
        <f>+K37</f>
        <v>0</v>
      </c>
      <c r="O5" s="235">
        <f>IFERROR(N5/$N$7,0)</f>
        <v>0</v>
      </c>
      <c r="AE5" s="170"/>
      <c r="AF5" s="70" t="s">
        <v>691</v>
      </c>
      <c r="AG5" s="70" t="s">
        <v>683</v>
      </c>
      <c r="AH5" s="71" t="s">
        <v>593</v>
      </c>
      <c r="AI5" s="170"/>
      <c r="AJ5" s="70" t="s">
        <v>691</v>
      </c>
      <c r="AK5" s="70" t="s">
        <v>683</v>
      </c>
      <c r="AL5" s="71" t="s">
        <v>593</v>
      </c>
      <c r="AM5" s="170"/>
      <c r="AN5" s="70" t="s">
        <v>691</v>
      </c>
      <c r="AO5" s="70" t="s">
        <v>683</v>
      </c>
      <c r="AP5" s="71" t="s">
        <v>593</v>
      </c>
      <c r="AQ5" s="170"/>
      <c r="AR5" s="70" t="s">
        <v>691</v>
      </c>
      <c r="AS5" s="70" t="s">
        <v>683</v>
      </c>
      <c r="AT5" s="71" t="s">
        <v>593</v>
      </c>
      <c r="AU5" s="170"/>
      <c r="AV5" s="70" t="s">
        <v>691</v>
      </c>
      <c r="AW5" s="70" t="s">
        <v>683</v>
      </c>
      <c r="AX5" s="71" t="s">
        <v>593</v>
      </c>
      <c r="AY5" s="170"/>
      <c r="AZ5" s="70" t="s">
        <v>691</v>
      </c>
      <c r="BA5" s="70" t="s">
        <v>683</v>
      </c>
      <c r="BB5" s="71" t="s">
        <v>593</v>
      </c>
      <c r="BC5" s="170"/>
      <c r="BD5" s="70" t="s">
        <v>691</v>
      </c>
      <c r="BE5" s="70" t="s">
        <v>683</v>
      </c>
      <c r="BF5" s="71" t="s">
        <v>593</v>
      </c>
      <c r="BG5" s="170"/>
      <c r="BH5" s="70" t="s">
        <v>691</v>
      </c>
      <c r="BI5" s="70" t="s">
        <v>683</v>
      </c>
      <c r="BJ5" s="71" t="s">
        <v>593</v>
      </c>
      <c r="BK5" s="170"/>
      <c r="BL5" s="70" t="s">
        <v>691</v>
      </c>
      <c r="BM5" s="70" t="s">
        <v>683</v>
      </c>
      <c r="BN5" s="71" t="s">
        <v>593</v>
      </c>
      <c r="BO5" s="170"/>
      <c r="BP5" s="70" t="s">
        <v>691</v>
      </c>
      <c r="BQ5" s="70" t="s">
        <v>683</v>
      </c>
      <c r="BR5" s="71" t="s">
        <v>593</v>
      </c>
      <c r="BS5" s="170"/>
      <c r="BT5" s="70" t="s">
        <v>691</v>
      </c>
      <c r="BU5" s="70" t="s">
        <v>683</v>
      </c>
      <c r="BV5" s="71" t="s">
        <v>593</v>
      </c>
      <c r="BW5" s="170"/>
      <c r="BX5" s="70" t="s">
        <v>691</v>
      </c>
      <c r="BY5" s="70" t="s">
        <v>683</v>
      </c>
      <c r="BZ5" s="71" t="s">
        <v>593</v>
      </c>
      <c r="CA5" s="170"/>
      <c r="CB5" s="70" t="s">
        <v>691</v>
      </c>
      <c r="CC5" s="70" t="s">
        <v>683</v>
      </c>
      <c r="CD5" s="71" t="s">
        <v>593</v>
      </c>
    </row>
    <row r="6" spans="1:82" s="2" customFormat="1" ht="30" customHeight="1" x14ac:dyDescent="0.3">
      <c r="B6" s="33">
        <v>1</v>
      </c>
      <c r="C6" s="275"/>
      <c r="D6" s="275"/>
      <c r="E6" s="275"/>
      <c r="F6" s="27"/>
      <c r="G6" s="35">
        <v>1</v>
      </c>
      <c r="H6" s="81" t="s">
        <v>347</v>
      </c>
      <c r="I6" s="55">
        <f>IFERROR(I7/B7*B6,0)</f>
        <v>0</v>
      </c>
      <c r="J6" s="55">
        <f>K11+K24+K37+K50</f>
        <v>0</v>
      </c>
      <c r="K6" s="56">
        <f>IFERROR((I6-J6)/I6-PARAMETROS!C19,0)</f>
        <v>0</v>
      </c>
      <c r="M6" s="229" t="s">
        <v>693</v>
      </c>
      <c r="N6" s="230">
        <f>+K50</f>
        <v>0</v>
      </c>
      <c r="O6" s="235">
        <f>IFERROR(N6/$N$7,0)</f>
        <v>0</v>
      </c>
      <c r="AE6" s="171"/>
      <c r="AF6" s="55">
        <f>AJ6+AN6+AR6+AV6+AZ6+BD6+BH6+BL6+BP6+BT6+BX6+CB6</f>
        <v>0</v>
      </c>
      <c r="AG6" s="55">
        <f>AH11+AH24+AH37+AH50</f>
        <v>0</v>
      </c>
      <c r="AH6" s="56">
        <f>IFERROR((AF6-AG6)/AF6,0)</f>
        <v>0</v>
      </c>
      <c r="AI6" s="171"/>
      <c r="AJ6" s="55"/>
      <c r="AK6" s="55">
        <f>AL11+AL24+AL37+AL50</f>
        <v>0</v>
      </c>
      <c r="AL6" s="56">
        <f>IFERROR((AJ6-AK6)/AJ6,0)</f>
        <v>0</v>
      </c>
      <c r="AM6" s="171"/>
      <c r="AN6" s="55"/>
      <c r="AO6" s="55">
        <f>AP11+AP24+AP37+AP50</f>
        <v>0</v>
      </c>
      <c r="AP6" s="56">
        <f>IFERROR((AN6-AO6)/AN6,0)</f>
        <v>0</v>
      </c>
      <c r="AQ6" s="171"/>
      <c r="AR6" s="55"/>
      <c r="AS6" s="55">
        <f>AT11+AT24+AT37+AT50</f>
        <v>0</v>
      </c>
      <c r="AT6" s="56">
        <f>IFERROR((AR6-AS6)/AR6,0)</f>
        <v>0</v>
      </c>
      <c r="AU6" s="171"/>
      <c r="AV6" s="55"/>
      <c r="AW6" s="55">
        <f>AX11+AX24+AX37+AX50</f>
        <v>0</v>
      </c>
      <c r="AX6" s="56">
        <f>IFERROR((AV6-AW6)/AV6,0)</f>
        <v>0</v>
      </c>
      <c r="AY6" s="171"/>
      <c r="AZ6" s="55"/>
      <c r="BA6" s="55">
        <f>BB11+BB24+BB37+BB50</f>
        <v>0</v>
      </c>
      <c r="BB6" s="56">
        <f>IFERROR((AZ6-BA6)/AZ6,0)</f>
        <v>0</v>
      </c>
      <c r="BC6" s="171"/>
      <c r="BD6" s="55"/>
      <c r="BE6" s="55">
        <f>BF11+BF24+BF37+BF50</f>
        <v>0</v>
      </c>
      <c r="BF6" s="56">
        <f>IFERROR((BD6-BE6)/BD6,0)</f>
        <v>0</v>
      </c>
      <c r="BG6" s="171"/>
      <c r="BH6" s="55"/>
      <c r="BI6" s="55">
        <f>BJ11+BJ24+BJ37+BJ50</f>
        <v>0</v>
      </c>
      <c r="BJ6" s="56">
        <f>IFERROR((BH6-BI6)/BH6,0)</f>
        <v>0</v>
      </c>
      <c r="BK6" s="171"/>
      <c r="BL6" s="55"/>
      <c r="BM6" s="55">
        <f>BN11+BN24+BN37+BN50</f>
        <v>0</v>
      </c>
      <c r="BN6" s="56">
        <f>IFERROR((BL6-BM6)/BL6,0)</f>
        <v>0</v>
      </c>
      <c r="BO6" s="171"/>
      <c r="BP6" s="55"/>
      <c r="BQ6" s="55">
        <f>BR11+BR24+BR37+BR50</f>
        <v>0</v>
      </c>
      <c r="BR6" s="56">
        <f>IFERROR((BP6-BQ6)/BP6,0)</f>
        <v>0</v>
      </c>
      <c r="BS6" s="171"/>
      <c r="BT6" s="55"/>
      <c r="BU6" s="55">
        <f>BV11+BV24+BV37+BV50</f>
        <v>0</v>
      </c>
      <c r="BV6" s="56">
        <f>IFERROR((BT6-BU6)/BT6,0)</f>
        <v>0</v>
      </c>
      <c r="BW6" s="171"/>
      <c r="BX6" s="55"/>
      <c r="BY6" s="55">
        <f>BZ11+BZ24+BZ37+BZ50</f>
        <v>0</v>
      </c>
      <c r="BZ6" s="56">
        <f>IFERROR((BX6-BY6)/BX6,0)</f>
        <v>0</v>
      </c>
      <c r="CA6" s="171"/>
      <c r="CB6" s="55"/>
      <c r="CC6" s="55">
        <f>CD11+CD24+CD37+CD50</f>
        <v>0</v>
      </c>
      <c r="CD6" s="56">
        <f>IFERROR((CB6-CC6)/CB6,0)</f>
        <v>0</v>
      </c>
    </row>
    <row r="7" spans="1:82" s="2" customFormat="1" ht="30" customHeight="1" thickBot="1" x14ac:dyDescent="0.35">
      <c r="B7" s="34">
        <f>IFERROR(VLOOKUP(B3,Lucratividade!G4:N853,2,0),0)</f>
        <v>2210000</v>
      </c>
      <c r="C7" s="276"/>
      <c r="D7" s="276"/>
      <c r="E7" s="276"/>
      <c r="F7" s="50"/>
      <c r="G7" s="36">
        <f>IFERROR(B7/B6,0)</f>
        <v>2210000</v>
      </c>
      <c r="H7" s="82" t="s">
        <v>347</v>
      </c>
      <c r="I7" s="57">
        <f>IFERROR(VLOOKUP(B3,Lucratividade!G4:N132,6,0),0)</f>
        <v>0</v>
      </c>
      <c r="J7" s="58">
        <f>B7*K3</f>
        <v>0</v>
      </c>
      <c r="K7" s="59">
        <f>IFERROR((I7-J7)/I7-PARAMETROS!C19,0)</f>
        <v>0</v>
      </c>
      <c r="M7" s="231" t="s">
        <v>694</v>
      </c>
      <c r="N7" s="232">
        <f>SUM(N3:N6)</f>
        <v>0</v>
      </c>
      <c r="O7" s="236"/>
      <c r="AE7" s="172"/>
      <c r="AF7" s="57"/>
      <c r="AG7" s="58"/>
      <c r="AH7" s="59"/>
      <c r="AI7" s="172"/>
      <c r="AJ7" s="57"/>
      <c r="AK7" s="58"/>
      <c r="AL7" s="59"/>
      <c r="AM7" s="172"/>
      <c r="AN7" s="57"/>
      <c r="AO7" s="58"/>
      <c r="AP7" s="59"/>
      <c r="AQ7" s="172"/>
      <c r="AR7" s="57"/>
      <c r="AS7" s="58"/>
      <c r="AT7" s="59"/>
      <c r="AU7" s="172"/>
      <c r="AV7" s="57"/>
      <c r="AW7" s="58"/>
      <c r="AX7" s="59"/>
      <c r="AY7" s="172"/>
      <c r="AZ7" s="57"/>
      <c r="BA7" s="58"/>
      <c r="BB7" s="59"/>
      <c r="BC7" s="172"/>
      <c r="BD7" s="57"/>
      <c r="BE7" s="58"/>
      <c r="BF7" s="59"/>
      <c r="BG7" s="172"/>
      <c r="BH7" s="57"/>
      <c r="BI7" s="58"/>
      <c r="BJ7" s="59"/>
      <c r="BK7" s="172"/>
      <c r="BL7" s="57"/>
      <c r="BM7" s="58"/>
      <c r="BN7" s="59"/>
      <c r="BO7" s="172"/>
      <c r="BP7" s="57"/>
      <c r="BQ7" s="58"/>
      <c r="BR7" s="59"/>
      <c r="BS7" s="172"/>
      <c r="BT7" s="57"/>
      <c r="BU7" s="58"/>
      <c r="BV7" s="59"/>
      <c r="BW7" s="172"/>
      <c r="BX7" s="57"/>
      <c r="BY7" s="58"/>
      <c r="BZ7" s="59"/>
      <c r="CA7" s="172"/>
      <c r="CB7" s="57"/>
      <c r="CC7" s="58"/>
      <c r="CD7" s="59"/>
    </row>
    <row r="8" spans="1:82" ht="4.2" customHeight="1" x14ac:dyDescent="0.3">
      <c r="AE8" s="28"/>
      <c r="AI8" s="28"/>
      <c r="AM8" s="28"/>
      <c r="AQ8" s="28"/>
      <c r="AU8" s="28"/>
      <c r="AY8" s="28"/>
      <c r="BC8" s="28"/>
      <c r="BG8" s="28"/>
      <c r="BK8" s="28"/>
      <c r="BO8" s="28"/>
      <c r="BS8" s="28"/>
      <c r="BW8" s="28"/>
      <c r="CA8" s="28"/>
    </row>
    <row r="9" spans="1:82" ht="4.95" customHeight="1" thickBot="1" x14ac:dyDescent="0.35">
      <c r="AE9" s="28"/>
      <c r="AI9" s="28"/>
      <c r="AM9" s="28"/>
      <c r="AQ9" s="28"/>
      <c r="AU9" s="28"/>
      <c r="AY9" s="28"/>
      <c r="BC9" s="28"/>
      <c r="BG9" s="28"/>
      <c r="BK9" s="28"/>
      <c r="BO9" s="28"/>
      <c r="BS9" s="28"/>
      <c r="BW9" s="28"/>
      <c r="CA9" s="28"/>
    </row>
    <row r="10" spans="1:82" ht="15" thickBot="1" x14ac:dyDescent="0.35">
      <c r="B10" s="72" t="s">
        <v>695</v>
      </c>
      <c r="C10" s="72" t="s">
        <v>679</v>
      </c>
      <c r="D10" s="72" t="s">
        <v>696</v>
      </c>
      <c r="E10" s="72" t="s">
        <v>697</v>
      </c>
      <c r="F10" s="72" t="s">
        <v>17</v>
      </c>
      <c r="G10" s="70" t="s">
        <v>690</v>
      </c>
      <c r="H10" s="70" t="s">
        <v>698</v>
      </c>
      <c r="I10" s="72" t="s">
        <v>20</v>
      </c>
      <c r="J10" s="72" t="s">
        <v>699</v>
      </c>
      <c r="K10" s="72" t="s">
        <v>700</v>
      </c>
      <c r="M10" s="83" t="s">
        <v>701</v>
      </c>
      <c r="N10" s="87" t="s">
        <v>702</v>
      </c>
      <c r="AD10" s="173" t="s">
        <v>703</v>
      </c>
      <c r="AE10" s="170" t="s">
        <v>698</v>
      </c>
      <c r="AF10" s="70" t="s">
        <v>20</v>
      </c>
      <c r="AG10" s="70" t="s">
        <v>699</v>
      </c>
      <c r="AH10" s="70" t="s">
        <v>700</v>
      </c>
      <c r="AI10" s="173" t="s">
        <v>704</v>
      </c>
      <c r="AJ10" s="174" t="s">
        <v>705</v>
      </c>
      <c r="AK10" s="174" t="s">
        <v>706</v>
      </c>
      <c r="AL10" s="175" t="s">
        <v>707</v>
      </c>
      <c r="AM10" s="173" t="s">
        <v>708</v>
      </c>
      <c r="AN10" s="174" t="s">
        <v>709</v>
      </c>
      <c r="AO10" s="174" t="s">
        <v>710</v>
      </c>
      <c r="AP10" s="175" t="s">
        <v>711</v>
      </c>
      <c r="AQ10" s="173" t="s">
        <v>712</v>
      </c>
      <c r="AR10" s="174" t="s">
        <v>713</v>
      </c>
      <c r="AS10" s="174" t="s">
        <v>714</v>
      </c>
      <c r="AT10" s="175" t="s">
        <v>715</v>
      </c>
      <c r="AU10" s="173" t="s">
        <v>716</v>
      </c>
      <c r="AV10" s="174" t="s">
        <v>717</v>
      </c>
      <c r="AW10" s="174" t="s">
        <v>718</v>
      </c>
      <c r="AX10" s="175" t="s">
        <v>719</v>
      </c>
      <c r="AY10" s="173" t="s">
        <v>720</v>
      </c>
      <c r="AZ10" s="174" t="s">
        <v>721</v>
      </c>
      <c r="BA10" s="174" t="s">
        <v>722</v>
      </c>
      <c r="BB10" s="175" t="s">
        <v>723</v>
      </c>
      <c r="BC10" s="173" t="s">
        <v>724</v>
      </c>
      <c r="BD10" s="174" t="s">
        <v>725</v>
      </c>
      <c r="BE10" s="174" t="s">
        <v>726</v>
      </c>
      <c r="BF10" s="175" t="s">
        <v>727</v>
      </c>
      <c r="BG10" s="173" t="s">
        <v>728</v>
      </c>
      <c r="BH10" s="174" t="s">
        <v>729</v>
      </c>
      <c r="BI10" s="174" t="s">
        <v>730</v>
      </c>
      <c r="BJ10" s="175" t="s">
        <v>731</v>
      </c>
      <c r="BK10" s="173" t="s">
        <v>732</v>
      </c>
      <c r="BL10" s="174" t="s">
        <v>733</v>
      </c>
      <c r="BM10" s="174" t="s">
        <v>734</v>
      </c>
      <c r="BN10" s="175" t="s">
        <v>735</v>
      </c>
      <c r="BO10" s="173" t="s">
        <v>736</v>
      </c>
      <c r="BP10" s="174" t="s">
        <v>737</v>
      </c>
      <c r="BQ10" s="174" t="s">
        <v>738</v>
      </c>
      <c r="BR10" s="175" t="s">
        <v>739</v>
      </c>
      <c r="BS10" s="173" t="s">
        <v>740</v>
      </c>
      <c r="BT10" s="174" t="s">
        <v>741</v>
      </c>
      <c r="BU10" s="174" t="s">
        <v>742</v>
      </c>
      <c r="BV10" s="175" t="s">
        <v>743</v>
      </c>
      <c r="BW10" s="173" t="s">
        <v>744</v>
      </c>
      <c r="BX10" s="174" t="s">
        <v>745</v>
      </c>
      <c r="BY10" s="174" t="s">
        <v>746</v>
      </c>
      <c r="BZ10" s="175" t="s">
        <v>747</v>
      </c>
      <c r="CA10" s="173" t="s">
        <v>748</v>
      </c>
      <c r="CB10" s="174" t="s">
        <v>749</v>
      </c>
      <c r="CC10" s="174" t="s">
        <v>750</v>
      </c>
      <c r="CD10" s="174" t="s">
        <v>751</v>
      </c>
    </row>
    <row r="11" spans="1:82" x14ac:dyDescent="0.3">
      <c r="B11" s="52" t="s">
        <v>752</v>
      </c>
      <c r="C11" s="52" t="str">
        <f t="shared" ref="C11:C62" si="0">$A$3</f>
        <v>CPU_Transportecbuq</v>
      </c>
      <c r="D11" s="277">
        <f t="shared" ref="D11:D62" si="1">$B$6</f>
        <v>1</v>
      </c>
      <c r="E11" s="277">
        <f t="shared" ref="E11:E62" si="2">$B$7</f>
        <v>2210000</v>
      </c>
      <c r="F11" s="37"/>
      <c r="G11" s="38"/>
      <c r="H11" s="91"/>
      <c r="I11" s="40"/>
      <c r="J11" s="40">
        <f>IFERROR(K11/$B$6,0)</f>
        <v>0</v>
      </c>
      <c r="K11" s="40">
        <f>SUM(K12:K23)</f>
        <v>0</v>
      </c>
      <c r="M11" s="294" t="s">
        <v>753</v>
      </c>
      <c r="N11" s="295" t="s">
        <v>754</v>
      </c>
      <c r="O11" s="296" t="s">
        <v>755</v>
      </c>
      <c r="AD11" s="144" t="str">
        <f>$B$3</f>
        <v>Transporte cbuq</v>
      </c>
      <c r="AE11" s="176"/>
      <c r="AF11" s="177"/>
      <c r="AG11" s="177">
        <f>IFERROR(AH11/AF$3,0)</f>
        <v>0</v>
      </c>
      <c r="AH11" s="178">
        <f>SUM(AH12:AH23)</f>
        <v>0</v>
      </c>
      <c r="AI11" s="176"/>
      <c r="AJ11" s="177"/>
      <c r="AK11" s="177">
        <f>IFERROR(AL11/AJ$3,0)</f>
        <v>0</v>
      </c>
      <c r="AL11" s="178">
        <f>SUM(AL12:AL23)</f>
        <v>0</v>
      </c>
      <c r="AM11" s="176"/>
      <c r="AN11" s="177"/>
      <c r="AO11" s="177">
        <f>IFERROR(AP11/AN$3,0)</f>
        <v>0</v>
      </c>
      <c r="AP11" s="178">
        <f>SUM(AP12:AP23)</f>
        <v>0</v>
      </c>
      <c r="AQ11" s="176"/>
      <c r="AR11" s="177"/>
      <c r="AS11" s="177">
        <f>IFERROR(AT11/AR$3,0)</f>
        <v>0</v>
      </c>
      <c r="AT11" s="178">
        <f>SUM(AT12:AT23)</f>
        <v>0</v>
      </c>
      <c r="AU11" s="176"/>
      <c r="AV11" s="177"/>
      <c r="AW11" s="177">
        <f>IFERROR(AX11/AV$3,0)</f>
        <v>0</v>
      </c>
      <c r="AX11" s="178">
        <f>SUM(AX12:AX23)</f>
        <v>0</v>
      </c>
      <c r="AY11" s="176"/>
      <c r="AZ11" s="177"/>
      <c r="BA11" s="177">
        <f>IFERROR(BB11/AZ$3,0)</f>
        <v>0</v>
      </c>
      <c r="BB11" s="178">
        <f>SUM(BB12:BB23)</f>
        <v>0</v>
      </c>
      <c r="BC11" s="176"/>
      <c r="BD11" s="177"/>
      <c r="BE11" s="177">
        <f>IFERROR(BF11/BD$3,0)</f>
        <v>0</v>
      </c>
      <c r="BF11" s="178">
        <f>SUM(BF12:BF23)</f>
        <v>0</v>
      </c>
      <c r="BG11" s="176"/>
      <c r="BH11" s="177"/>
      <c r="BI11" s="177">
        <f>IFERROR(BJ11/BH$3,0)</f>
        <v>0</v>
      </c>
      <c r="BJ11" s="178">
        <f>SUM(BJ12:BJ23)</f>
        <v>0</v>
      </c>
      <c r="BK11" s="176"/>
      <c r="BL11" s="177"/>
      <c r="BM11" s="177">
        <f>IFERROR(BN11/BL$3,0)</f>
        <v>0</v>
      </c>
      <c r="BN11" s="178">
        <f>SUM(BN12:BN23)</f>
        <v>0</v>
      </c>
      <c r="BO11" s="176"/>
      <c r="BP11" s="177"/>
      <c r="BQ11" s="177">
        <f>IFERROR(BR11/BP$3,0)</f>
        <v>0</v>
      </c>
      <c r="BR11" s="178">
        <f>SUM(BR12:BR23)</f>
        <v>0</v>
      </c>
      <c r="BS11" s="176"/>
      <c r="BT11" s="177"/>
      <c r="BU11" s="177">
        <f>IFERROR(BV11/BT$3,0)</f>
        <v>0</v>
      </c>
      <c r="BV11" s="178">
        <f>SUM(BV12:BV23)</f>
        <v>0</v>
      </c>
      <c r="BW11" s="176"/>
      <c r="BX11" s="177"/>
      <c r="BY11" s="177">
        <f>IFERROR(BZ11/BX$3,0)</f>
        <v>0</v>
      </c>
      <c r="BZ11" s="178">
        <f>SUM(BZ12:BZ23)</f>
        <v>0</v>
      </c>
      <c r="CA11" s="176"/>
      <c r="CB11" s="177"/>
      <c r="CC11" s="177">
        <f>IFERROR(CD11/CB$3,0)</f>
        <v>0</v>
      </c>
      <c r="CD11" s="178">
        <f>SUM(CD12:CD23)</f>
        <v>0</v>
      </c>
    </row>
    <row r="12" spans="1:82" x14ac:dyDescent="0.3">
      <c r="B12" s="53"/>
      <c r="C12" s="53" t="str">
        <f t="shared" si="0"/>
        <v>CPU_Transportecbuq</v>
      </c>
      <c r="D12" s="278">
        <f t="shared" si="1"/>
        <v>1</v>
      </c>
      <c r="E12" s="278">
        <f t="shared" si="2"/>
        <v>2210000</v>
      </c>
      <c r="F12" s="46"/>
      <c r="G12" s="28" t="str">
        <f>IFERROR(VLOOKUP(F12,Tabela7[[RECURSO]:[CUSTO]],2,FALSE),"")</f>
        <v/>
      </c>
      <c r="H12" s="92"/>
      <c r="I12" s="90"/>
      <c r="J12" s="45">
        <f>IFERROR(VLOOKUP(F12,Tabela7[[RECURSO]:[CUSTO]],3,FALSE),0)</f>
        <v>0</v>
      </c>
      <c r="K12" s="45">
        <f>I12*J12*CPU_57[[#This Row],[Nº]]</f>
        <v>0</v>
      </c>
      <c r="M12" s="31"/>
      <c r="N12" s="297"/>
      <c r="O12" s="60">
        <f>IFERROR($B$6/(H12*I12*N12),0)</f>
        <v>0</v>
      </c>
      <c r="AD12" s="144" t="str">
        <f t="shared" ref="AD12:AD62" si="3">$B$3</f>
        <v>Transporte cbuq</v>
      </c>
      <c r="AE12" s="179"/>
      <c r="AF12" s="180">
        <f>AJ12+AN12+AR12+AV12+AZ12+BD12+BH12+BL12+BP12+BT12+BX12+CB12</f>
        <v>0</v>
      </c>
      <c r="AG12" s="180">
        <f>IFERROR(AH12/AF12,0)</f>
        <v>0</v>
      </c>
      <c r="AH12" s="181">
        <f>AL12+AP12+AT12+AX12+BB12+BF12+BJ12+BN12+BR12+BV12+BZ12+CD12</f>
        <v>0</v>
      </c>
      <c r="AI12" s="182"/>
      <c r="AJ12" s="90"/>
      <c r="AK12" s="90"/>
      <c r="AL12" s="183">
        <f>AJ12*AK12</f>
        <v>0</v>
      </c>
      <c r="AM12" s="182"/>
      <c r="AN12" s="90"/>
      <c r="AO12" s="90"/>
      <c r="AP12" s="183">
        <f t="shared" ref="AP12:AP23" si="4">AN12*AO12</f>
        <v>0</v>
      </c>
      <c r="AQ12" s="182"/>
      <c r="AR12" s="90"/>
      <c r="AS12" s="90"/>
      <c r="AT12" s="183">
        <f t="shared" ref="AT12:AT23" si="5">AR12*AS12</f>
        <v>0</v>
      </c>
      <c r="AU12" s="182"/>
      <c r="AV12" s="90"/>
      <c r="AW12" s="90"/>
      <c r="AX12" s="183">
        <f t="shared" ref="AX12:AX23" si="6">AV12*AW12</f>
        <v>0</v>
      </c>
      <c r="AY12" s="182"/>
      <c r="AZ12" s="90"/>
      <c r="BA12" s="90"/>
      <c r="BB12" s="183">
        <f t="shared" ref="BB12:BB23" si="7">AZ12*BA12</f>
        <v>0</v>
      </c>
      <c r="BC12" s="182"/>
      <c r="BD12" s="90"/>
      <c r="BE12" s="90"/>
      <c r="BF12" s="183">
        <f t="shared" ref="BF12:BF23" si="8">BD12*BE12</f>
        <v>0</v>
      </c>
      <c r="BG12" s="182"/>
      <c r="BH12" s="90"/>
      <c r="BI12" s="90"/>
      <c r="BJ12" s="183">
        <f t="shared" ref="BJ12:BJ23" si="9">BH12*BI12</f>
        <v>0</v>
      </c>
      <c r="BK12" s="182"/>
      <c r="BL12" s="90"/>
      <c r="BM12" s="90"/>
      <c r="BN12" s="183">
        <f t="shared" ref="BN12:BN23" si="10">BL12*BM12</f>
        <v>0</v>
      </c>
      <c r="BO12" s="182"/>
      <c r="BP12" s="90"/>
      <c r="BQ12" s="90"/>
      <c r="BR12" s="183">
        <f t="shared" ref="BR12:BR23" si="11">BP12*BQ12</f>
        <v>0</v>
      </c>
      <c r="BS12" s="182"/>
      <c r="BT12" s="90"/>
      <c r="BU12" s="90"/>
      <c r="BV12" s="183">
        <f t="shared" ref="BV12:BV23" si="12">BT12*BU12</f>
        <v>0</v>
      </c>
      <c r="BW12" s="182"/>
      <c r="BX12" s="90"/>
      <c r="BY12" s="90"/>
      <c r="BZ12" s="183">
        <f t="shared" ref="BZ12:BZ23" si="13">BX12*BY12</f>
        <v>0</v>
      </c>
      <c r="CA12" s="182"/>
      <c r="CB12" s="90"/>
      <c r="CC12" s="90"/>
      <c r="CD12" s="183">
        <f t="shared" ref="CD12:CD23" si="14">CB12*CC12</f>
        <v>0</v>
      </c>
    </row>
    <row r="13" spans="1:82" x14ac:dyDescent="0.3">
      <c r="B13" s="53"/>
      <c r="C13" s="53" t="str">
        <f t="shared" si="0"/>
        <v>CPU_Transportecbuq</v>
      </c>
      <c r="D13" s="278">
        <f t="shared" si="1"/>
        <v>1</v>
      </c>
      <c r="E13" s="278">
        <f t="shared" si="2"/>
        <v>2210000</v>
      </c>
      <c r="F13" s="1"/>
      <c r="G13" s="28" t="str">
        <f>IFERROR(VLOOKUP(F13,Tabela7[[RECURSO]:[CUSTO]],2,FALSE),"")</f>
        <v/>
      </c>
      <c r="H13" s="92"/>
      <c r="I13" s="90"/>
      <c r="J13" s="45">
        <f>IFERROR(VLOOKUP(F13,Tabela7[[RECURSO]:[CUSTO]],3,FALSE),0)</f>
        <v>0</v>
      </c>
      <c r="K13" s="45">
        <f>I13*J13*CPU_57[[#This Row],[Nº]]</f>
        <v>0</v>
      </c>
      <c r="M13" s="31"/>
      <c r="N13" s="297"/>
      <c r="O13" s="60">
        <f t="shared" ref="O13:O23" si="15">IFERROR($B$6/(H13*I13),0)</f>
        <v>0</v>
      </c>
      <c r="AD13" s="144" t="str">
        <f t="shared" si="3"/>
        <v>Transporte cbuq</v>
      </c>
      <c r="AE13" s="179"/>
      <c r="AF13" s="180">
        <f t="shared" ref="AF13:AF23" si="16">AJ13+AN13+AR13+AV13+AZ13+BD13+BH13+BL13+BP13+BT13+BX13+CB13</f>
        <v>0</v>
      </c>
      <c r="AG13" s="180">
        <f t="shared" ref="AG13:AG62" si="17">IFERROR(AH13/AF13,0)</f>
        <v>0</v>
      </c>
      <c r="AH13" s="181">
        <f t="shared" ref="AH13:AH23" si="18">AL13+AP13+AT13+AX13+BB13+BF13+BJ13+BN13+BR13+BV13+BZ13+CD13</f>
        <v>0</v>
      </c>
      <c r="AI13" s="182"/>
      <c r="AJ13" s="90"/>
      <c r="AK13" s="90"/>
      <c r="AL13" s="183">
        <f t="shared" ref="AL13:AL23" si="19">AJ13*AK13</f>
        <v>0</v>
      </c>
      <c r="AM13" s="182"/>
      <c r="AN13" s="90"/>
      <c r="AO13" s="90"/>
      <c r="AP13" s="183">
        <f t="shared" si="4"/>
        <v>0</v>
      </c>
      <c r="AQ13" s="182"/>
      <c r="AR13" s="90"/>
      <c r="AS13" s="90"/>
      <c r="AT13" s="183">
        <f t="shared" si="5"/>
        <v>0</v>
      </c>
      <c r="AU13" s="182"/>
      <c r="AV13" s="90"/>
      <c r="AW13" s="90"/>
      <c r="AX13" s="183">
        <f t="shared" si="6"/>
        <v>0</v>
      </c>
      <c r="AY13" s="182"/>
      <c r="AZ13" s="90"/>
      <c r="BA13" s="90"/>
      <c r="BB13" s="183">
        <f t="shared" si="7"/>
        <v>0</v>
      </c>
      <c r="BC13" s="182"/>
      <c r="BD13" s="90"/>
      <c r="BE13" s="90"/>
      <c r="BF13" s="183">
        <f t="shared" si="8"/>
        <v>0</v>
      </c>
      <c r="BG13" s="182"/>
      <c r="BH13" s="90"/>
      <c r="BI13" s="90"/>
      <c r="BJ13" s="183">
        <f t="shared" si="9"/>
        <v>0</v>
      </c>
      <c r="BK13" s="182"/>
      <c r="BL13" s="90"/>
      <c r="BM13" s="90"/>
      <c r="BN13" s="183">
        <f t="shared" si="10"/>
        <v>0</v>
      </c>
      <c r="BO13" s="182"/>
      <c r="BP13" s="90"/>
      <c r="BQ13" s="90"/>
      <c r="BR13" s="183">
        <f t="shared" si="11"/>
        <v>0</v>
      </c>
      <c r="BS13" s="182"/>
      <c r="BT13" s="90"/>
      <c r="BU13" s="90"/>
      <c r="BV13" s="183">
        <f t="shared" si="12"/>
        <v>0</v>
      </c>
      <c r="BW13" s="182"/>
      <c r="BX13" s="90"/>
      <c r="BY13" s="90"/>
      <c r="BZ13" s="183">
        <f t="shared" si="13"/>
        <v>0</v>
      </c>
      <c r="CA13" s="182"/>
      <c r="CB13" s="90"/>
      <c r="CC13" s="90"/>
      <c r="CD13" s="183">
        <f t="shared" si="14"/>
        <v>0</v>
      </c>
    </row>
    <row r="14" spans="1:82" x14ac:dyDescent="0.3">
      <c r="B14" s="53"/>
      <c r="C14" s="53" t="str">
        <f t="shared" si="0"/>
        <v>CPU_Transportecbuq</v>
      </c>
      <c r="D14" s="278">
        <f t="shared" si="1"/>
        <v>1</v>
      </c>
      <c r="E14" s="278">
        <f t="shared" si="2"/>
        <v>2210000</v>
      </c>
      <c r="F14" s="1"/>
      <c r="G14" s="28" t="str">
        <f>IFERROR(VLOOKUP(F14,Tabela7[[RECURSO]:[CUSTO]],2,FALSE),"")</f>
        <v/>
      </c>
      <c r="H14" s="92"/>
      <c r="I14" s="90"/>
      <c r="J14" s="45">
        <f>IFERROR(VLOOKUP(F14,Tabela7[[RECURSO]:[CUSTO]],3,FALSE),0)</f>
        <v>0</v>
      </c>
      <c r="K14" s="45">
        <f>I14*J14*CPU_57[[#This Row],[Nº]]</f>
        <v>0</v>
      </c>
      <c r="M14" s="31"/>
      <c r="N14" s="297"/>
      <c r="O14" s="60">
        <f t="shared" si="15"/>
        <v>0</v>
      </c>
      <c r="AD14" s="144" t="str">
        <f t="shared" si="3"/>
        <v>Transporte cbuq</v>
      </c>
      <c r="AE14" s="179"/>
      <c r="AF14" s="180">
        <f t="shared" si="16"/>
        <v>0</v>
      </c>
      <c r="AG14" s="180">
        <f t="shared" si="17"/>
        <v>0</v>
      </c>
      <c r="AH14" s="181">
        <f t="shared" si="18"/>
        <v>0</v>
      </c>
      <c r="AI14" s="182"/>
      <c r="AJ14" s="90"/>
      <c r="AK14" s="90"/>
      <c r="AL14" s="183">
        <f t="shared" si="19"/>
        <v>0</v>
      </c>
      <c r="AM14" s="182"/>
      <c r="AN14" s="90"/>
      <c r="AO14" s="90"/>
      <c r="AP14" s="183">
        <f t="shared" si="4"/>
        <v>0</v>
      </c>
      <c r="AQ14" s="182"/>
      <c r="AR14" s="90"/>
      <c r="AS14" s="90"/>
      <c r="AT14" s="183">
        <f t="shared" si="5"/>
        <v>0</v>
      </c>
      <c r="AU14" s="182"/>
      <c r="AV14" s="90"/>
      <c r="AW14" s="90"/>
      <c r="AX14" s="183">
        <f t="shared" si="6"/>
        <v>0</v>
      </c>
      <c r="AY14" s="182"/>
      <c r="AZ14" s="90"/>
      <c r="BA14" s="90"/>
      <c r="BB14" s="183">
        <f t="shared" si="7"/>
        <v>0</v>
      </c>
      <c r="BC14" s="182"/>
      <c r="BD14" s="90"/>
      <c r="BE14" s="90"/>
      <c r="BF14" s="183">
        <f t="shared" si="8"/>
        <v>0</v>
      </c>
      <c r="BG14" s="182"/>
      <c r="BH14" s="90"/>
      <c r="BI14" s="90"/>
      <c r="BJ14" s="183">
        <f t="shared" si="9"/>
        <v>0</v>
      </c>
      <c r="BK14" s="182"/>
      <c r="BL14" s="90"/>
      <c r="BM14" s="90"/>
      <c r="BN14" s="183">
        <f t="shared" si="10"/>
        <v>0</v>
      </c>
      <c r="BO14" s="182"/>
      <c r="BP14" s="90"/>
      <c r="BQ14" s="90"/>
      <c r="BR14" s="183">
        <f t="shared" si="11"/>
        <v>0</v>
      </c>
      <c r="BS14" s="182"/>
      <c r="BT14" s="90"/>
      <c r="BU14" s="90"/>
      <c r="BV14" s="183">
        <f t="shared" si="12"/>
        <v>0</v>
      </c>
      <c r="BW14" s="182"/>
      <c r="BX14" s="90"/>
      <c r="BY14" s="90"/>
      <c r="BZ14" s="183">
        <f t="shared" si="13"/>
        <v>0</v>
      </c>
      <c r="CA14" s="182"/>
      <c r="CB14" s="90"/>
      <c r="CC14" s="90"/>
      <c r="CD14" s="183">
        <f t="shared" si="14"/>
        <v>0</v>
      </c>
    </row>
    <row r="15" spans="1:82" x14ac:dyDescent="0.3">
      <c r="B15" s="153"/>
      <c r="C15" s="153" t="str">
        <f t="shared" si="0"/>
        <v>CPU_Transportecbuq</v>
      </c>
      <c r="D15" s="279">
        <f t="shared" si="1"/>
        <v>1</v>
      </c>
      <c r="E15" s="279">
        <f t="shared" si="2"/>
        <v>2210000</v>
      </c>
      <c r="F15" s="1"/>
      <c r="G15" s="28" t="str">
        <f>IFERROR(VLOOKUP(F15,Tabela7[[RECURSO]:[CUSTO]],2,FALSE),"")</f>
        <v/>
      </c>
      <c r="H15" s="92"/>
      <c r="I15" s="90"/>
      <c r="J15" s="45">
        <f>IFERROR(VLOOKUP(F15,Tabela7[[RECURSO]:[CUSTO]],3,FALSE),0)</f>
        <v>0</v>
      </c>
      <c r="K15" s="45">
        <f>I15*J15*CPU_57[[#This Row],[Nº]]</f>
        <v>0</v>
      </c>
      <c r="M15" s="31"/>
      <c r="N15" s="297"/>
      <c r="O15" s="60">
        <f t="shared" si="15"/>
        <v>0</v>
      </c>
      <c r="AD15" s="144" t="str">
        <f t="shared" si="3"/>
        <v>Transporte cbuq</v>
      </c>
      <c r="AE15" s="179"/>
      <c r="AF15" s="180">
        <f t="shared" si="16"/>
        <v>0</v>
      </c>
      <c r="AG15" s="180">
        <f t="shared" si="17"/>
        <v>0</v>
      </c>
      <c r="AH15" s="181">
        <f t="shared" si="18"/>
        <v>0</v>
      </c>
      <c r="AI15" s="182"/>
      <c r="AJ15" s="90"/>
      <c r="AK15" s="90"/>
      <c r="AL15" s="183">
        <f t="shared" si="19"/>
        <v>0</v>
      </c>
      <c r="AM15" s="182"/>
      <c r="AN15" s="90"/>
      <c r="AO15" s="90"/>
      <c r="AP15" s="183">
        <f t="shared" si="4"/>
        <v>0</v>
      </c>
      <c r="AQ15" s="182"/>
      <c r="AR15" s="90"/>
      <c r="AS15" s="90"/>
      <c r="AT15" s="183">
        <f t="shared" si="5"/>
        <v>0</v>
      </c>
      <c r="AU15" s="182"/>
      <c r="AV15" s="90"/>
      <c r="AW15" s="90"/>
      <c r="AX15" s="183">
        <f t="shared" si="6"/>
        <v>0</v>
      </c>
      <c r="AY15" s="182"/>
      <c r="AZ15" s="90"/>
      <c r="BA15" s="90"/>
      <c r="BB15" s="183">
        <f t="shared" si="7"/>
        <v>0</v>
      </c>
      <c r="BC15" s="182"/>
      <c r="BD15" s="90"/>
      <c r="BE15" s="90"/>
      <c r="BF15" s="183">
        <f t="shared" si="8"/>
        <v>0</v>
      </c>
      <c r="BG15" s="182"/>
      <c r="BH15" s="90"/>
      <c r="BI15" s="90"/>
      <c r="BJ15" s="183">
        <f t="shared" si="9"/>
        <v>0</v>
      </c>
      <c r="BK15" s="182"/>
      <c r="BL15" s="90"/>
      <c r="BM15" s="90"/>
      <c r="BN15" s="183">
        <f t="shared" si="10"/>
        <v>0</v>
      </c>
      <c r="BO15" s="182"/>
      <c r="BP15" s="90"/>
      <c r="BQ15" s="90"/>
      <c r="BR15" s="183">
        <f t="shared" si="11"/>
        <v>0</v>
      </c>
      <c r="BS15" s="182"/>
      <c r="BT15" s="90"/>
      <c r="BU15" s="90"/>
      <c r="BV15" s="183">
        <f t="shared" si="12"/>
        <v>0</v>
      </c>
      <c r="BW15" s="182"/>
      <c r="BX15" s="90"/>
      <c r="BY15" s="90"/>
      <c r="BZ15" s="183">
        <f t="shared" si="13"/>
        <v>0</v>
      </c>
      <c r="CA15" s="182"/>
      <c r="CB15" s="90"/>
      <c r="CC15" s="90"/>
      <c r="CD15" s="183">
        <f t="shared" si="14"/>
        <v>0</v>
      </c>
    </row>
    <row r="16" spans="1:82" x14ac:dyDescent="0.3">
      <c r="B16" s="53"/>
      <c r="C16" s="53" t="str">
        <f t="shared" si="0"/>
        <v>CPU_Transportecbuq</v>
      </c>
      <c r="D16" s="278">
        <f t="shared" si="1"/>
        <v>1</v>
      </c>
      <c r="E16" s="278">
        <f t="shared" si="2"/>
        <v>2210000</v>
      </c>
      <c r="F16" s="1"/>
      <c r="G16" s="28" t="str">
        <f>IFERROR(VLOOKUP(F16,Tabela7[[RECURSO]:[CUSTO]],2,FALSE),"")</f>
        <v/>
      </c>
      <c r="H16" s="92"/>
      <c r="I16" s="90"/>
      <c r="J16" s="45">
        <f>IFERROR(VLOOKUP(F16,Tabela7[[RECURSO]:[CUSTO]],3,FALSE),0)</f>
        <v>0</v>
      </c>
      <c r="K16" s="45">
        <f>I16*J16*CPU_57[[#This Row],[Nº]]</f>
        <v>0</v>
      </c>
      <c r="M16" s="31"/>
      <c r="N16" s="297"/>
      <c r="O16" s="60">
        <f t="shared" si="15"/>
        <v>0</v>
      </c>
      <c r="AD16" s="144" t="str">
        <f t="shared" si="3"/>
        <v>Transporte cbuq</v>
      </c>
      <c r="AE16" s="179"/>
      <c r="AF16" s="180">
        <f t="shared" si="16"/>
        <v>0</v>
      </c>
      <c r="AG16" s="180">
        <f t="shared" si="17"/>
        <v>0</v>
      </c>
      <c r="AH16" s="181">
        <f t="shared" si="18"/>
        <v>0</v>
      </c>
      <c r="AI16" s="182"/>
      <c r="AJ16" s="90"/>
      <c r="AK16" s="90"/>
      <c r="AL16" s="183">
        <f t="shared" si="19"/>
        <v>0</v>
      </c>
      <c r="AM16" s="182"/>
      <c r="AN16" s="90"/>
      <c r="AO16" s="90"/>
      <c r="AP16" s="183">
        <f t="shared" si="4"/>
        <v>0</v>
      </c>
      <c r="AQ16" s="182"/>
      <c r="AR16" s="90"/>
      <c r="AS16" s="90"/>
      <c r="AT16" s="183">
        <f t="shared" si="5"/>
        <v>0</v>
      </c>
      <c r="AU16" s="182"/>
      <c r="AV16" s="90"/>
      <c r="AW16" s="90"/>
      <c r="AX16" s="183">
        <f t="shared" si="6"/>
        <v>0</v>
      </c>
      <c r="AY16" s="182"/>
      <c r="AZ16" s="90"/>
      <c r="BA16" s="90"/>
      <c r="BB16" s="183">
        <f t="shared" si="7"/>
        <v>0</v>
      </c>
      <c r="BC16" s="182"/>
      <c r="BD16" s="90"/>
      <c r="BE16" s="90"/>
      <c r="BF16" s="183">
        <f t="shared" si="8"/>
        <v>0</v>
      </c>
      <c r="BG16" s="182"/>
      <c r="BH16" s="90"/>
      <c r="BI16" s="90"/>
      <c r="BJ16" s="183">
        <f t="shared" si="9"/>
        <v>0</v>
      </c>
      <c r="BK16" s="182"/>
      <c r="BL16" s="90"/>
      <c r="BM16" s="90"/>
      <c r="BN16" s="183">
        <f t="shared" si="10"/>
        <v>0</v>
      </c>
      <c r="BO16" s="182"/>
      <c r="BP16" s="90"/>
      <c r="BQ16" s="90"/>
      <c r="BR16" s="183">
        <f t="shared" si="11"/>
        <v>0</v>
      </c>
      <c r="BS16" s="182"/>
      <c r="BT16" s="90"/>
      <c r="BU16" s="90"/>
      <c r="BV16" s="183">
        <f t="shared" si="12"/>
        <v>0</v>
      </c>
      <c r="BW16" s="182"/>
      <c r="BX16" s="90"/>
      <c r="BY16" s="90"/>
      <c r="BZ16" s="183">
        <f t="shared" si="13"/>
        <v>0</v>
      </c>
      <c r="CA16" s="182"/>
      <c r="CB16" s="90"/>
      <c r="CC16" s="90"/>
      <c r="CD16" s="183">
        <f t="shared" si="14"/>
        <v>0</v>
      </c>
    </row>
    <row r="17" spans="2:82" x14ac:dyDescent="0.3">
      <c r="B17" s="53"/>
      <c r="C17" s="53" t="str">
        <f t="shared" si="0"/>
        <v>CPU_Transportecbuq</v>
      </c>
      <c r="D17" s="278">
        <f t="shared" si="1"/>
        <v>1</v>
      </c>
      <c r="E17" s="278">
        <f t="shared" si="2"/>
        <v>2210000</v>
      </c>
      <c r="F17" s="1"/>
      <c r="G17" s="28" t="str">
        <f>IFERROR(VLOOKUP(F17,Tabela7[[RECURSO]:[CUSTO]],2,FALSE),"")</f>
        <v/>
      </c>
      <c r="H17" s="92"/>
      <c r="I17" s="90"/>
      <c r="J17" s="45">
        <f>IFERROR(VLOOKUP(F17,Tabela7[[RECURSO]:[CUSTO]],3,FALSE),0)</f>
        <v>0</v>
      </c>
      <c r="K17" s="45">
        <f>I17*J17*CPU_57[[#This Row],[Nº]]</f>
        <v>0</v>
      </c>
      <c r="M17" s="31"/>
      <c r="N17" s="297"/>
      <c r="O17" s="60">
        <f t="shared" si="15"/>
        <v>0</v>
      </c>
      <c r="AD17" s="144" t="str">
        <f t="shared" si="3"/>
        <v>Transporte cbuq</v>
      </c>
      <c r="AE17" s="179"/>
      <c r="AF17" s="180">
        <f t="shared" si="16"/>
        <v>0</v>
      </c>
      <c r="AG17" s="180">
        <f t="shared" si="17"/>
        <v>0</v>
      </c>
      <c r="AH17" s="181">
        <f t="shared" si="18"/>
        <v>0</v>
      </c>
      <c r="AI17" s="182"/>
      <c r="AJ17" s="90"/>
      <c r="AK17" s="90"/>
      <c r="AL17" s="183">
        <f t="shared" si="19"/>
        <v>0</v>
      </c>
      <c r="AM17" s="182"/>
      <c r="AN17" s="90"/>
      <c r="AO17" s="90"/>
      <c r="AP17" s="183">
        <f t="shared" si="4"/>
        <v>0</v>
      </c>
      <c r="AQ17" s="182"/>
      <c r="AR17" s="90"/>
      <c r="AS17" s="90"/>
      <c r="AT17" s="183">
        <f t="shared" si="5"/>
        <v>0</v>
      </c>
      <c r="AU17" s="182"/>
      <c r="AV17" s="90"/>
      <c r="AW17" s="90"/>
      <c r="AX17" s="183">
        <f t="shared" si="6"/>
        <v>0</v>
      </c>
      <c r="AY17" s="182"/>
      <c r="AZ17" s="90"/>
      <c r="BA17" s="90"/>
      <c r="BB17" s="183">
        <f t="shared" si="7"/>
        <v>0</v>
      </c>
      <c r="BC17" s="182"/>
      <c r="BD17" s="90"/>
      <c r="BE17" s="90"/>
      <c r="BF17" s="183">
        <f t="shared" si="8"/>
        <v>0</v>
      </c>
      <c r="BG17" s="182"/>
      <c r="BH17" s="90"/>
      <c r="BI17" s="90"/>
      <c r="BJ17" s="183">
        <f t="shared" si="9"/>
        <v>0</v>
      </c>
      <c r="BK17" s="182"/>
      <c r="BL17" s="90"/>
      <c r="BM17" s="90"/>
      <c r="BN17" s="183">
        <f t="shared" si="10"/>
        <v>0</v>
      </c>
      <c r="BO17" s="182"/>
      <c r="BP17" s="90"/>
      <c r="BQ17" s="90"/>
      <c r="BR17" s="183">
        <f t="shared" si="11"/>
        <v>0</v>
      </c>
      <c r="BS17" s="182"/>
      <c r="BT17" s="90"/>
      <c r="BU17" s="90"/>
      <c r="BV17" s="183">
        <f t="shared" si="12"/>
        <v>0</v>
      </c>
      <c r="BW17" s="182"/>
      <c r="BX17" s="90"/>
      <c r="BY17" s="90"/>
      <c r="BZ17" s="183">
        <f t="shared" si="13"/>
        <v>0</v>
      </c>
      <c r="CA17" s="182"/>
      <c r="CB17" s="90"/>
      <c r="CC17" s="90"/>
      <c r="CD17" s="183">
        <f t="shared" si="14"/>
        <v>0</v>
      </c>
    </row>
    <row r="18" spans="2:82" x14ac:dyDescent="0.3">
      <c r="B18" s="53"/>
      <c r="C18" s="53" t="str">
        <f t="shared" si="0"/>
        <v>CPU_Transportecbuq</v>
      </c>
      <c r="D18" s="278">
        <f t="shared" si="1"/>
        <v>1</v>
      </c>
      <c r="E18" s="278">
        <f t="shared" si="2"/>
        <v>2210000</v>
      </c>
      <c r="F18" s="1"/>
      <c r="G18" s="28" t="str">
        <f>IFERROR(VLOOKUP(F18,Tabela7[[RECURSO]:[CUSTO]],2,FALSE),"")</f>
        <v/>
      </c>
      <c r="H18" s="92"/>
      <c r="I18" s="90"/>
      <c r="J18" s="45">
        <f>IFERROR(VLOOKUP(F18,Tabela7[[RECURSO]:[CUSTO]],3,FALSE),0)</f>
        <v>0</v>
      </c>
      <c r="K18" s="45">
        <f>I18*J18*CPU_57[[#This Row],[Nº]]</f>
        <v>0</v>
      </c>
      <c r="M18" s="31"/>
      <c r="N18" s="297"/>
      <c r="O18" s="60">
        <f t="shared" si="15"/>
        <v>0</v>
      </c>
      <c r="AD18" s="144" t="str">
        <f t="shared" si="3"/>
        <v>Transporte cbuq</v>
      </c>
      <c r="AE18" s="179"/>
      <c r="AF18" s="180">
        <f t="shared" si="16"/>
        <v>0</v>
      </c>
      <c r="AG18" s="180">
        <f t="shared" si="17"/>
        <v>0</v>
      </c>
      <c r="AH18" s="181">
        <f t="shared" si="18"/>
        <v>0</v>
      </c>
      <c r="AI18" s="182"/>
      <c r="AJ18" s="90"/>
      <c r="AK18" s="90"/>
      <c r="AL18" s="183">
        <f t="shared" si="19"/>
        <v>0</v>
      </c>
      <c r="AM18" s="182"/>
      <c r="AN18" s="90"/>
      <c r="AO18" s="90"/>
      <c r="AP18" s="183">
        <f t="shared" si="4"/>
        <v>0</v>
      </c>
      <c r="AQ18" s="182"/>
      <c r="AR18" s="90"/>
      <c r="AS18" s="90"/>
      <c r="AT18" s="183">
        <f t="shared" si="5"/>
        <v>0</v>
      </c>
      <c r="AU18" s="182"/>
      <c r="AV18" s="90"/>
      <c r="AW18" s="90"/>
      <c r="AX18" s="183">
        <f t="shared" si="6"/>
        <v>0</v>
      </c>
      <c r="AY18" s="182"/>
      <c r="AZ18" s="90"/>
      <c r="BA18" s="90"/>
      <c r="BB18" s="183">
        <f t="shared" si="7"/>
        <v>0</v>
      </c>
      <c r="BC18" s="182"/>
      <c r="BD18" s="90"/>
      <c r="BE18" s="90"/>
      <c r="BF18" s="183">
        <f t="shared" si="8"/>
        <v>0</v>
      </c>
      <c r="BG18" s="182"/>
      <c r="BH18" s="90"/>
      <c r="BI18" s="90"/>
      <c r="BJ18" s="183">
        <f t="shared" si="9"/>
        <v>0</v>
      </c>
      <c r="BK18" s="182"/>
      <c r="BL18" s="90"/>
      <c r="BM18" s="90"/>
      <c r="BN18" s="183">
        <f t="shared" si="10"/>
        <v>0</v>
      </c>
      <c r="BO18" s="182"/>
      <c r="BP18" s="90"/>
      <c r="BQ18" s="90"/>
      <c r="BR18" s="183">
        <f t="shared" si="11"/>
        <v>0</v>
      </c>
      <c r="BS18" s="182"/>
      <c r="BT18" s="90"/>
      <c r="BU18" s="90"/>
      <c r="BV18" s="183">
        <f t="shared" si="12"/>
        <v>0</v>
      </c>
      <c r="BW18" s="182"/>
      <c r="BX18" s="90"/>
      <c r="BY18" s="90"/>
      <c r="BZ18" s="183">
        <f t="shared" si="13"/>
        <v>0</v>
      </c>
      <c r="CA18" s="182"/>
      <c r="CB18" s="90"/>
      <c r="CC18" s="90"/>
      <c r="CD18" s="183">
        <f t="shared" si="14"/>
        <v>0</v>
      </c>
    </row>
    <row r="19" spans="2:82" x14ac:dyDescent="0.3">
      <c r="B19" s="53"/>
      <c r="C19" s="53" t="str">
        <f t="shared" si="0"/>
        <v>CPU_Transportecbuq</v>
      </c>
      <c r="D19" s="278">
        <f t="shared" si="1"/>
        <v>1</v>
      </c>
      <c r="E19" s="278">
        <f t="shared" si="2"/>
        <v>2210000</v>
      </c>
      <c r="F19" s="1"/>
      <c r="G19" s="28" t="str">
        <f>IFERROR(VLOOKUP(F19,Tabela7[[RECURSO]:[CUSTO]],2,FALSE),"")</f>
        <v/>
      </c>
      <c r="H19" s="92"/>
      <c r="I19" s="90"/>
      <c r="J19" s="45">
        <f>IFERROR(VLOOKUP(F19,Tabela7[[RECURSO]:[CUSTO]],3,FALSE),0)</f>
        <v>0</v>
      </c>
      <c r="K19" s="45">
        <f>I19*J19*CPU_57[[#This Row],[Nº]]</f>
        <v>0</v>
      </c>
      <c r="M19" s="31"/>
      <c r="N19" s="297"/>
      <c r="O19" s="60">
        <f t="shared" si="15"/>
        <v>0</v>
      </c>
      <c r="AD19" s="144" t="str">
        <f t="shared" si="3"/>
        <v>Transporte cbuq</v>
      </c>
      <c r="AE19" s="179"/>
      <c r="AF19" s="180">
        <f t="shared" si="16"/>
        <v>0</v>
      </c>
      <c r="AG19" s="180">
        <f t="shared" si="17"/>
        <v>0</v>
      </c>
      <c r="AH19" s="181">
        <f t="shared" si="18"/>
        <v>0</v>
      </c>
      <c r="AI19" s="182"/>
      <c r="AJ19" s="90"/>
      <c r="AK19" s="90"/>
      <c r="AL19" s="183">
        <f t="shared" si="19"/>
        <v>0</v>
      </c>
      <c r="AM19" s="182"/>
      <c r="AN19" s="90"/>
      <c r="AO19" s="90"/>
      <c r="AP19" s="183">
        <f t="shared" si="4"/>
        <v>0</v>
      </c>
      <c r="AQ19" s="182"/>
      <c r="AR19" s="90"/>
      <c r="AS19" s="90"/>
      <c r="AT19" s="183">
        <f t="shared" si="5"/>
        <v>0</v>
      </c>
      <c r="AU19" s="182"/>
      <c r="AV19" s="90"/>
      <c r="AW19" s="90"/>
      <c r="AX19" s="183">
        <f t="shared" si="6"/>
        <v>0</v>
      </c>
      <c r="AY19" s="182"/>
      <c r="AZ19" s="90"/>
      <c r="BA19" s="90"/>
      <c r="BB19" s="183">
        <f t="shared" si="7"/>
        <v>0</v>
      </c>
      <c r="BC19" s="182"/>
      <c r="BD19" s="90"/>
      <c r="BE19" s="90"/>
      <c r="BF19" s="183">
        <f t="shared" si="8"/>
        <v>0</v>
      </c>
      <c r="BG19" s="182"/>
      <c r="BH19" s="90"/>
      <c r="BI19" s="90"/>
      <c r="BJ19" s="183">
        <f t="shared" si="9"/>
        <v>0</v>
      </c>
      <c r="BK19" s="182"/>
      <c r="BL19" s="90"/>
      <c r="BM19" s="90"/>
      <c r="BN19" s="183">
        <f t="shared" si="10"/>
        <v>0</v>
      </c>
      <c r="BO19" s="182"/>
      <c r="BP19" s="90"/>
      <c r="BQ19" s="90"/>
      <c r="BR19" s="183">
        <f t="shared" si="11"/>
        <v>0</v>
      </c>
      <c r="BS19" s="182"/>
      <c r="BT19" s="90"/>
      <c r="BU19" s="90"/>
      <c r="BV19" s="183">
        <f t="shared" si="12"/>
        <v>0</v>
      </c>
      <c r="BW19" s="182"/>
      <c r="BX19" s="90"/>
      <c r="BY19" s="90"/>
      <c r="BZ19" s="183">
        <f t="shared" si="13"/>
        <v>0</v>
      </c>
      <c r="CA19" s="182"/>
      <c r="CB19" s="90"/>
      <c r="CC19" s="90"/>
      <c r="CD19" s="183">
        <f t="shared" si="14"/>
        <v>0</v>
      </c>
    </row>
    <row r="20" spans="2:82" x14ac:dyDescent="0.3">
      <c r="B20" s="53"/>
      <c r="C20" s="53" t="str">
        <f t="shared" si="0"/>
        <v>CPU_Transportecbuq</v>
      </c>
      <c r="D20" s="278">
        <f t="shared" si="1"/>
        <v>1</v>
      </c>
      <c r="E20" s="278">
        <f t="shared" si="2"/>
        <v>2210000</v>
      </c>
      <c r="F20" s="1"/>
      <c r="G20" s="28" t="str">
        <f>IFERROR(VLOOKUP(F20,Tabela7[[RECURSO]:[CUSTO]],2,FALSE),"")</f>
        <v/>
      </c>
      <c r="H20" s="92"/>
      <c r="I20" s="90"/>
      <c r="J20" s="45">
        <f>IFERROR(VLOOKUP(F20,Tabela7[[RECURSO]:[CUSTO]],3,FALSE),0)</f>
        <v>0</v>
      </c>
      <c r="K20" s="45">
        <f>I20*J20*CPU_57[[#This Row],[Nº]]</f>
        <v>0</v>
      </c>
      <c r="M20" s="31"/>
      <c r="N20" s="297"/>
      <c r="O20" s="60">
        <f t="shared" si="15"/>
        <v>0</v>
      </c>
      <c r="AD20" s="144" t="str">
        <f t="shared" si="3"/>
        <v>Transporte cbuq</v>
      </c>
      <c r="AE20" s="179"/>
      <c r="AF20" s="180">
        <f t="shared" si="16"/>
        <v>0</v>
      </c>
      <c r="AG20" s="180">
        <f t="shared" si="17"/>
        <v>0</v>
      </c>
      <c r="AH20" s="181">
        <f t="shared" si="18"/>
        <v>0</v>
      </c>
      <c r="AI20" s="182"/>
      <c r="AJ20" s="90"/>
      <c r="AK20" s="90"/>
      <c r="AL20" s="183">
        <f t="shared" si="19"/>
        <v>0</v>
      </c>
      <c r="AM20" s="182"/>
      <c r="AN20" s="90"/>
      <c r="AO20" s="90"/>
      <c r="AP20" s="183">
        <f t="shared" si="4"/>
        <v>0</v>
      </c>
      <c r="AQ20" s="182"/>
      <c r="AR20" s="90"/>
      <c r="AS20" s="90"/>
      <c r="AT20" s="183">
        <f t="shared" si="5"/>
        <v>0</v>
      </c>
      <c r="AU20" s="182"/>
      <c r="AV20" s="90"/>
      <c r="AW20" s="90"/>
      <c r="AX20" s="183">
        <f t="shared" si="6"/>
        <v>0</v>
      </c>
      <c r="AY20" s="182"/>
      <c r="AZ20" s="90"/>
      <c r="BA20" s="90"/>
      <c r="BB20" s="183">
        <f t="shared" si="7"/>
        <v>0</v>
      </c>
      <c r="BC20" s="182"/>
      <c r="BD20" s="90"/>
      <c r="BE20" s="90"/>
      <c r="BF20" s="183">
        <f t="shared" si="8"/>
        <v>0</v>
      </c>
      <c r="BG20" s="182"/>
      <c r="BH20" s="90"/>
      <c r="BI20" s="90"/>
      <c r="BJ20" s="183">
        <f t="shared" si="9"/>
        <v>0</v>
      </c>
      <c r="BK20" s="182"/>
      <c r="BL20" s="90"/>
      <c r="BM20" s="90"/>
      <c r="BN20" s="183">
        <f t="shared" si="10"/>
        <v>0</v>
      </c>
      <c r="BO20" s="182"/>
      <c r="BP20" s="90"/>
      <c r="BQ20" s="90"/>
      <c r="BR20" s="183">
        <f t="shared" si="11"/>
        <v>0</v>
      </c>
      <c r="BS20" s="182"/>
      <c r="BT20" s="90"/>
      <c r="BU20" s="90"/>
      <c r="BV20" s="183">
        <f t="shared" si="12"/>
        <v>0</v>
      </c>
      <c r="BW20" s="182"/>
      <c r="BX20" s="90"/>
      <c r="BY20" s="90"/>
      <c r="BZ20" s="183">
        <f t="shared" si="13"/>
        <v>0</v>
      </c>
      <c r="CA20" s="182"/>
      <c r="CB20" s="90"/>
      <c r="CC20" s="90"/>
      <c r="CD20" s="183">
        <f t="shared" si="14"/>
        <v>0</v>
      </c>
    </row>
    <row r="21" spans="2:82" x14ac:dyDescent="0.3">
      <c r="B21" s="53"/>
      <c r="C21" s="53" t="str">
        <f t="shared" si="0"/>
        <v>CPU_Transportecbuq</v>
      </c>
      <c r="D21" s="278">
        <f t="shared" si="1"/>
        <v>1</v>
      </c>
      <c r="E21" s="278">
        <f t="shared" si="2"/>
        <v>2210000</v>
      </c>
      <c r="F21" s="1"/>
      <c r="G21" s="28" t="str">
        <f>IFERROR(VLOOKUP(F21,Tabela7[[RECURSO]:[CUSTO]],2,FALSE),"")</f>
        <v/>
      </c>
      <c r="H21" s="92"/>
      <c r="I21" s="90"/>
      <c r="J21" s="45">
        <f>IFERROR(VLOOKUP(F21,Tabela7[[RECURSO]:[CUSTO]],3,FALSE),0)</f>
        <v>0</v>
      </c>
      <c r="K21" s="45">
        <f>I21*J21*CPU_57[[#This Row],[Nº]]</f>
        <v>0</v>
      </c>
      <c r="M21" s="31"/>
      <c r="N21" s="297"/>
      <c r="O21" s="60">
        <f t="shared" si="15"/>
        <v>0</v>
      </c>
      <c r="AD21" s="144" t="str">
        <f t="shared" si="3"/>
        <v>Transporte cbuq</v>
      </c>
      <c r="AE21" s="179"/>
      <c r="AF21" s="180">
        <f t="shared" si="16"/>
        <v>0</v>
      </c>
      <c r="AG21" s="180">
        <f t="shared" si="17"/>
        <v>0</v>
      </c>
      <c r="AH21" s="181">
        <f t="shared" si="18"/>
        <v>0</v>
      </c>
      <c r="AI21" s="182"/>
      <c r="AJ21" s="90"/>
      <c r="AK21" s="90"/>
      <c r="AL21" s="183">
        <f t="shared" si="19"/>
        <v>0</v>
      </c>
      <c r="AM21" s="182"/>
      <c r="AN21" s="90"/>
      <c r="AO21" s="90"/>
      <c r="AP21" s="183">
        <f t="shared" si="4"/>
        <v>0</v>
      </c>
      <c r="AQ21" s="182"/>
      <c r="AR21" s="90"/>
      <c r="AS21" s="90"/>
      <c r="AT21" s="183">
        <f t="shared" si="5"/>
        <v>0</v>
      </c>
      <c r="AU21" s="182"/>
      <c r="AV21" s="90"/>
      <c r="AW21" s="90"/>
      <c r="AX21" s="183">
        <f t="shared" si="6"/>
        <v>0</v>
      </c>
      <c r="AY21" s="182"/>
      <c r="AZ21" s="90"/>
      <c r="BA21" s="90"/>
      <c r="BB21" s="183">
        <f t="shared" si="7"/>
        <v>0</v>
      </c>
      <c r="BC21" s="182"/>
      <c r="BD21" s="90"/>
      <c r="BE21" s="90"/>
      <c r="BF21" s="183">
        <f t="shared" si="8"/>
        <v>0</v>
      </c>
      <c r="BG21" s="182"/>
      <c r="BH21" s="90"/>
      <c r="BI21" s="90"/>
      <c r="BJ21" s="183">
        <f t="shared" si="9"/>
        <v>0</v>
      </c>
      <c r="BK21" s="182"/>
      <c r="BL21" s="90"/>
      <c r="BM21" s="90"/>
      <c r="BN21" s="183">
        <f t="shared" si="10"/>
        <v>0</v>
      </c>
      <c r="BO21" s="182"/>
      <c r="BP21" s="90"/>
      <c r="BQ21" s="90"/>
      <c r="BR21" s="183">
        <f t="shared" si="11"/>
        <v>0</v>
      </c>
      <c r="BS21" s="182"/>
      <c r="BT21" s="90"/>
      <c r="BU21" s="90"/>
      <c r="BV21" s="183">
        <f t="shared" si="12"/>
        <v>0</v>
      </c>
      <c r="BW21" s="182"/>
      <c r="BX21" s="90"/>
      <c r="BY21" s="90"/>
      <c r="BZ21" s="183">
        <f t="shared" si="13"/>
        <v>0</v>
      </c>
      <c r="CA21" s="182"/>
      <c r="CB21" s="90"/>
      <c r="CC21" s="90"/>
      <c r="CD21" s="183">
        <f t="shared" si="14"/>
        <v>0</v>
      </c>
    </row>
    <row r="22" spans="2:82" x14ac:dyDescent="0.3">
      <c r="B22" s="53"/>
      <c r="C22" s="53" t="str">
        <f t="shared" si="0"/>
        <v>CPU_Transportecbuq</v>
      </c>
      <c r="D22" s="278">
        <f t="shared" si="1"/>
        <v>1</v>
      </c>
      <c r="E22" s="278">
        <f t="shared" si="2"/>
        <v>2210000</v>
      </c>
      <c r="F22" s="1"/>
      <c r="G22" s="28" t="str">
        <f>IFERROR(VLOOKUP(F22,Tabela7[[RECURSO]:[CUSTO]],2,FALSE),"")</f>
        <v/>
      </c>
      <c r="H22" s="92"/>
      <c r="I22" s="90"/>
      <c r="J22" s="45">
        <f>IFERROR(VLOOKUP(F22,Tabela7[[RECURSO]:[CUSTO]],3,FALSE),0)</f>
        <v>0</v>
      </c>
      <c r="K22" s="45">
        <f>I22*J22*CPU_57[[#This Row],[Nº]]</f>
        <v>0</v>
      </c>
      <c r="M22" s="31"/>
      <c r="N22" s="297"/>
      <c r="O22" s="60">
        <f t="shared" si="15"/>
        <v>0</v>
      </c>
      <c r="AD22" s="144" t="str">
        <f t="shared" si="3"/>
        <v>Transporte cbuq</v>
      </c>
      <c r="AE22" s="179"/>
      <c r="AF22" s="180">
        <f t="shared" si="16"/>
        <v>0</v>
      </c>
      <c r="AG22" s="180">
        <f t="shared" si="17"/>
        <v>0</v>
      </c>
      <c r="AH22" s="181">
        <f t="shared" si="18"/>
        <v>0</v>
      </c>
      <c r="AI22" s="182"/>
      <c r="AJ22" s="90"/>
      <c r="AK22" s="90"/>
      <c r="AL22" s="183">
        <f t="shared" si="19"/>
        <v>0</v>
      </c>
      <c r="AM22" s="182"/>
      <c r="AN22" s="90"/>
      <c r="AO22" s="90"/>
      <c r="AP22" s="183">
        <f t="shared" si="4"/>
        <v>0</v>
      </c>
      <c r="AQ22" s="182"/>
      <c r="AR22" s="90"/>
      <c r="AS22" s="90"/>
      <c r="AT22" s="183">
        <f t="shared" si="5"/>
        <v>0</v>
      </c>
      <c r="AU22" s="182"/>
      <c r="AV22" s="90"/>
      <c r="AW22" s="90"/>
      <c r="AX22" s="183">
        <f t="shared" si="6"/>
        <v>0</v>
      </c>
      <c r="AY22" s="182"/>
      <c r="AZ22" s="90"/>
      <c r="BA22" s="90"/>
      <c r="BB22" s="183">
        <f t="shared" si="7"/>
        <v>0</v>
      </c>
      <c r="BC22" s="182"/>
      <c r="BD22" s="90"/>
      <c r="BE22" s="90"/>
      <c r="BF22" s="183">
        <f t="shared" si="8"/>
        <v>0</v>
      </c>
      <c r="BG22" s="182"/>
      <c r="BH22" s="90"/>
      <c r="BI22" s="90"/>
      <c r="BJ22" s="183">
        <f t="shared" si="9"/>
        <v>0</v>
      </c>
      <c r="BK22" s="182"/>
      <c r="BL22" s="90"/>
      <c r="BM22" s="90"/>
      <c r="BN22" s="183">
        <f t="shared" si="10"/>
        <v>0</v>
      </c>
      <c r="BO22" s="182"/>
      <c r="BP22" s="90"/>
      <c r="BQ22" s="90"/>
      <c r="BR22" s="183">
        <f t="shared" si="11"/>
        <v>0</v>
      </c>
      <c r="BS22" s="182"/>
      <c r="BT22" s="90"/>
      <c r="BU22" s="90"/>
      <c r="BV22" s="183">
        <f t="shared" si="12"/>
        <v>0</v>
      </c>
      <c r="BW22" s="182"/>
      <c r="BX22" s="90"/>
      <c r="BY22" s="90"/>
      <c r="BZ22" s="183">
        <f t="shared" si="13"/>
        <v>0</v>
      </c>
      <c r="CA22" s="182"/>
      <c r="CB22" s="90"/>
      <c r="CC22" s="90"/>
      <c r="CD22" s="183">
        <f t="shared" si="14"/>
        <v>0</v>
      </c>
    </row>
    <row r="23" spans="2:82" ht="15" thickBot="1" x14ac:dyDescent="0.35">
      <c r="B23" s="53"/>
      <c r="C23" s="53" t="str">
        <f t="shared" si="0"/>
        <v>CPU_Transportecbuq</v>
      </c>
      <c r="D23" s="278">
        <f t="shared" si="1"/>
        <v>1</v>
      </c>
      <c r="E23" s="278">
        <f t="shared" si="2"/>
        <v>2210000</v>
      </c>
      <c r="F23" s="1"/>
      <c r="G23" s="28" t="str">
        <f>IFERROR(VLOOKUP(F23,Tabela7[[RECURSO]:[CUSTO]],2,FALSE),"")</f>
        <v/>
      </c>
      <c r="H23" s="92"/>
      <c r="I23" s="90"/>
      <c r="J23" s="45">
        <f>IFERROR(VLOOKUP(F23,Tabela7[[RECURSO]:[CUSTO]],3,FALSE),0)</f>
        <v>0</v>
      </c>
      <c r="K23" s="45">
        <f>I23*J23*CPU_57[[#This Row],[Nº]]</f>
        <v>0</v>
      </c>
      <c r="M23" s="51"/>
      <c r="N23" s="298"/>
      <c r="O23" s="61">
        <f t="shared" si="15"/>
        <v>0</v>
      </c>
      <c r="AD23" s="144" t="str">
        <f t="shared" si="3"/>
        <v>Transporte cbuq</v>
      </c>
      <c r="AE23" s="179"/>
      <c r="AF23" s="180">
        <f t="shared" si="16"/>
        <v>0</v>
      </c>
      <c r="AG23" s="180">
        <f t="shared" si="17"/>
        <v>0</v>
      </c>
      <c r="AH23" s="181">
        <f t="shared" si="18"/>
        <v>0</v>
      </c>
      <c r="AI23" s="182"/>
      <c r="AJ23" s="90"/>
      <c r="AK23" s="90"/>
      <c r="AL23" s="183">
        <f t="shared" si="19"/>
        <v>0</v>
      </c>
      <c r="AM23" s="182"/>
      <c r="AN23" s="90"/>
      <c r="AO23" s="90"/>
      <c r="AP23" s="183">
        <f t="shared" si="4"/>
        <v>0</v>
      </c>
      <c r="AQ23" s="182"/>
      <c r="AR23" s="90"/>
      <c r="AS23" s="90"/>
      <c r="AT23" s="183">
        <f t="shared" si="5"/>
        <v>0</v>
      </c>
      <c r="AU23" s="182"/>
      <c r="AV23" s="90"/>
      <c r="AW23" s="90"/>
      <c r="AX23" s="183">
        <f t="shared" si="6"/>
        <v>0</v>
      </c>
      <c r="AY23" s="182"/>
      <c r="AZ23" s="90"/>
      <c r="BA23" s="90"/>
      <c r="BB23" s="183">
        <f t="shared" si="7"/>
        <v>0</v>
      </c>
      <c r="BC23" s="182"/>
      <c r="BD23" s="90"/>
      <c r="BE23" s="90"/>
      <c r="BF23" s="183">
        <f t="shared" si="8"/>
        <v>0</v>
      </c>
      <c r="BG23" s="182"/>
      <c r="BH23" s="90"/>
      <c r="BI23" s="90"/>
      <c r="BJ23" s="183">
        <f t="shared" si="9"/>
        <v>0</v>
      </c>
      <c r="BK23" s="182"/>
      <c r="BL23" s="90"/>
      <c r="BM23" s="90"/>
      <c r="BN23" s="183">
        <f t="shared" si="10"/>
        <v>0</v>
      </c>
      <c r="BO23" s="182"/>
      <c r="BP23" s="90"/>
      <c r="BQ23" s="90"/>
      <c r="BR23" s="183">
        <f t="shared" si="11"/>
        <v>0</v>
      </c>
      <c r="BS23" s="182"/>
      <c r="BT23" s="90"/>
      <c r="BU23" s="90"/>
      <c r="BV23" s="183">
        <f t="shared" si="12"/>
        <v>0</v>
      </c>
      <c r="BW23" s="182"/>
      <c r="BX23" s="90"/>
      <c r="BY23" s="90"/>
      <c r="BZ23" s="183">
        <f t="shared" si="13"/>
        <v>0</v>
      </c>
      <c r="CA23" s="182"/>
      <c r="CB23" s="90"/>
      <c r="CC23" s="90"/>
      <c r="CD23" s="183">
        <f t="shared" si="14"/>
        <v>0</v>
      </c>
    </row>
    <row r="24" spans="2:82" x14ac:dyDescent="0.3">
      <c r="B24" s="52" t="s">
        <v>686</v>
      </c>
      <c r="C24" s="52" t="str">
        <f t="shared" si="0"/>
        <v>CPU_Transportecbuq</v>
      </c>
      <c r="D24" s="277">
        <f t="shared" si="1"/>
        <v>1</v>
      </c>
      <c r="E24" s="277">
        <f t="shared" si="2"/>
        <v>2210000</v>
      </c>
      <c r="F24" s="37"/>
      <c r="G24" s="38"/>
      <c r="H24" s="91"/>
      <c r="I24" s="40"/>
      <c r="J24" s="40">
        <f>IFERROR(K24/$B$6,0)</f>
        <v>0</v>
      </c>
      <c r="K24" s="40">
        <f>SUM(K25:K36)</f>
        <v>0</v>
      </c>
      <c r="AD24" s="144" t="str">
        <f t="shared" si="3"/>
        <v>Transporte cbuq</v>
      </c>
      <c r="AE24" s="184"/>
      <c r="AF24" s="40"/>
      <c r="AG24" s="40">
        <f>IFERROR(AH24/AF$3,0)</f>
        <v>0</v>
      </c>
      <c r="AH24" s="185">
        <f>SUM(AH25:AH36)</f>
        <v>0</v>
      </c>
      <c r="AI24" s="184"/>
      <c r="AJ24" s="40"/>
      <c r="AK24" s="40">
        <f>IFERROR(AL24/AJ$3,0)</f>
        <v>0</v>
      </c>
      <c r="AL24" s="185">
        <f>SUM(AL25:AL36)</f>
        <v>0</v>
      </c>
      <c r="AM24" s="184"/>
      <c r="AN24" s="40"/>
      <c r="AO24" s="40">
        <f>IFERROR(AP24/AN$3,0)</f>
        <v>0</v>
      </c>
      <c r="AP24" s="185">
        <f>SUM(AP25:AP36)</f>
        <v>0</v>
      </c>
      <c r="AQ24" s="184"/>
      <c r="AR24" s="40"/>
      <c r="AS24" s="40">
        <f>IFERROR(AT24/AR$3,0)</f>
        <v>0</v>
      </c>
      <c r="AT24" s="185">
        <f>SUM(AT25:AT36)</f>
        <v>0</v>
      </c>
      <c r="AU24" s="184"/>
      <c r="AV24" s="40"/>
      <c r="AW24" s="40">
        <f>IFERROR(AX24/AV$3,0)</f>
        <v>0</v>
      </c>
      <c r="AX24" s="185">
        <f>SUM(AX25:AX36)</f>
        <v>0</v>
      </c>
      <c r="AY24" s="184"/>
      <c r="AZ24" s="40"/>
      <c r="BA24" s="40">
        <f>IFERROR(BB24/AZ$3,0)</f>
        <v>0</v>
      </c>
      <c r="BB24" s="185">
        <f>SUM(BB25:BB36)</f>
        <v>0</v>
      </c>
      <c r="BC24" s="184"/>
      <c r="BD24" s="40"/>
      <c r="BE24" s="40">
        <f>IFERROR(BF24/BD$3,0)</f>
        <v>0</v>
      </c>
      <c r="BF24" s="185">
        <f>SUM(BF25:BF36)</f>
        <v>0</v>
      </c>
      <c r="BG24" s="184"/>
      <c r="BH24" s="40"/>
      <c r="BI24" s="40">
        <f>IFERROR(BJ24/BH$3,0)</f>
        <v>0</v>
      </c>
      <c r="BJ24" s="185">
        <f>SUM(BJ25:BJ36)</f>
        <v>0</v>
      </c>
      <c r="BK24" s="184"/>
      <c r="BL24" s="40"/>
      <c r="BM24" s="40">
        <f>IFERROR(BN24/BL$3,0)</f>
        <v>0</v>
      </c>
      <c r="BN24" s="185">
        <f>SUM(BN25:BN36)</f>
        <v>0</v>
      </c>
      <c r="BO24" s="184"/>
      <c r="BP24" s="40"/>
      <c r="BQ24" s="40">
        <f>IFERROR(BR24/BP$3,0)</f>
        <v>0</v>
      </c>
      <c r="BR24" s="185">
        <f>SUM(BR25:BR36)</f>
        <v>0</v>
      </c>
      <c r="BS24" s="184"/>
      <c r="BT24" s="40"/>
      <c r="BU24" s="40">
        <f>IFERROR(BV24/BT$3,0)</f>
        <v>0</v>
      </c>
      <c r="BV24" s="185">
        <f>SUM(BV25:BV36)</f>
        <v>0</v>
      </c>
      <c r="BW24" s="184"/>
      <c r="BX24" s="40"/>
      <c r="BY24" s="40">
        <f>IFERROR(BZ24/BX$3,0)</f>
        <v>0</v>
      </c>
      <c r="BZ24" s="185">
        <f>SUM(BZ25:BZ36)</f>
        <v>0</v>
      </c>
      <c r="CA24" s="184"/>
      <c r="CB24" s="40"/>
      <c r="CC24" s="40">
        <f>IFERROR(CD24/CB$3,0)</f>
        <v>0</v>
      </c>
      <c r="CD24" s="185">
        <f>SUM(CD25:CD36)</f>
        <v>0</v>
      </c>
    </row>
    <row r="25" spans="2:82" x14ac:dyDescent="0.3">
      <c r="B25" s="53"/>
      <c r="C25" s="53" t="str">
        <f t="shared" si="0"/>
        <v>CPU_Transportecbuq</v>
      </c>
      <c r="D25" s="278">
        <f t="shared" si="1"/>
        <v>1</v>
      </c>
      <c r="E25" s="278">
        <f t="shared" si="2"/>
        <v>2210000</v>
      </c>
      <c r="F25" s="1"/>
      <c r="G25" s="28" t="str">
        <f>IFERROR(VLOOKUP(F25,Tabela7[[RECURSO]:[CUSTO]],2,FALSE),"")</f>
        <v/>
      </c>
      <c r="H25" s="93"/>
      <c r="I25" s="90">
        <f>IFERROR(SUMPRODUCT(I12:I23,M12:M23,H12:H23,N12:N23),0)</f>
        <v>0</v>
      </c>
      <c r="J25" s="45">
        <f>IFERROR(VLOOKUP(F25,Tabela7[[RECURSO]:[CUSTO]],3,FALSE),0)</f>
        <v>0</v>
      </c>
      <c r="K25" s="45">
        <f>I25*J25</f>
        <v>0</v>
      </c>
      <c r="AD25" s="144" t="str">
        <f t="shared" si="3"/>
        <v>Transporte cbuq</v>
      </c>
      <c r="AE25" s="179"/>
      <c r="AF25" s="180">
        <f t="shared" ref="AF25:AF36" si="20">AJ25+AN25+AR25+AV25+AZ25+BD25+BH25+BL25+BP25+BT25+BX25+CB25</f>
        <v>0</v>
      </c>
      <c r="AG25" s="180">
        <f t="shared" si="17"/>
        <v>0</v>
      </c>
      <c r="AH25" s="181">
        <f t="shared" ref="AH25:AH36" si="21">AL25+AP25+AT25+AX25+BB25+BF25+BJ25+BN25+BR25+BV25+BZ25+CD25</f>
        <v>0</v>
      </c>
      <c r="AI25" s="182"/>
      <c r="AJ25" s="90"/>
      <c r="AK25" s="90"/>
      <c r="AL25" s="183">
        <f t="shared" ref="AL25:AL36" si="22">AJ25*AK25</f>
        <v>0</v>
      </c>
      <c r="AM25" s="182"/>
      <c r="AN25" s="90"/>
      <c r="AO25" s="90"/>
      <c r="AP25" s="183">
        <f t="shared" ref="AP25:AP62" si="23">AN25*AO25</f>
        <v>0</v>
      </c>
      <c r="AQ25" s="182"/>
      <c r="AR25" s="90"/>
      <c r="AS25" s="90"/>
      <c r="AT25" s="183">
        <f t="shared" ref="AT25:AT62" si="24">AR25*AS25</f>
        <v>0</v>
      </c>
      <c r="AU25" s="182"/>
      <c r="AV25" s="90"/>
      <c r="AW25" s="90"/>
      <c r="AX25" s="183">
        <f t="shared" ref="AX25:AX62" si="25">AV25*AW25</f>
        <v>0</v>
      </c>
      <c r="AY25" s="182"/>
      <c r="AZ25" s="90"/>
      <c r="BA25" s="90"/>
      <c r="BB25" s="183">
        <f t="shared" ref="BB25:BB62" si="26">AZ25*BA25</f>
        <v>0</v>
      </c>
      <c r="BC25" s="182"/>
      <c r="BD25" s="90"/>
      <c r="BE25" s="90"/>
      <c r="BF25" s="183">
        <f t="shared" ref="BF25:BF62" si="27">BD25*BE25</f>
        <v>0</v>
      </c>
      <c r="BG25" s="182"/>
      <c r="BH25" s="90"/>
      <c r="BI25" s="90"/>
      <c r="BJ25" s="183">
        <f t="shared" ref="BJ25:BJ62" si="28">BH25*BI25</f>
        <v>0</v>
      </c>
      <c r="BK25" s="182"/>
      <c r="BL25" s="90"/>
      <c r="BM25" s="90"/>
      <c r="BN25" s="183">
        <f t="shared" ref="BN25:BN62" si="29">BL25*BM25</f>
        <v>0</v>
      </c>
      <c r="BO25" s="182"/>
      <c r="BP25" s="90"/>
      <c r="BQ25" s="90"/>
      <c r="BR25" s="183">
        <f t="shared" ref="BR25:BR62" si="30">BP25*BQ25</f>
        <v>0</v>
      </c>
      <c r="BS25" s="182"/>
      <c r="BT25" s="90"/>
      <c r="BU25" s="90"/>
      <c r="BV25" s="183">
        <f t="shared" ref="BV25:BV62" si="31">BT25*BU25</f>
        <v>0</v>
      </c>
      <c r="BW25" s="182"/>
      <c r="BX25" s="90"/>
      <c r="BY25" s="90"/>
      <c r="BZ25" s="183">
        <f t="shared" ref="BZ25:BZ62" si="32">BX25*BY25</f>
        <v>0</v>
      </c>
      <c r="CA25" s="182"/>
      <c r="CB25" s="90"/>
      <c r="CC25" s="90"/>
      <c r="CD25" s="183">
        <f t="shared" ref="CD25:CD62" si="33">CB25*CC25</f>
        <v>0</v>
      </c>
    </row>
    <row r="26" spans="2:82" x14ac:dyDescent="0.3">
      <c r="B26" s="53"/>
      <c r="C26" s="53" t="str">
        <f t="shared" si="0"/>
        <v>CPU_Transportecbuq</v>
      </c>
      <c r="D26" s="278">
        <f t="shared" si="1"/>
        <v>1</v>
      </c>
      <c r="E26" s="278">
        <f t="shared" si="2"/>
        <v>2210000</v>
      </c>
      <c r="F26" s="1"/>
      <c r="G26" s="28" t="str">
        <f>IFERROR(VLOOKUP(F26,Tabela7[[RECURSO]:[CUSTO]],2,FALSE),"")</f>
        <v/>
      </c>
      <c r="H26" s="93"/>
      <c r="I26" s="90"/>
      <c r="J26" s="45">
        <f>IFERROR(VLOOKUP(F26,Tabela7[[RECURSO]:[CUSTO]],3,FALSE),0)</f>
        <v>0</v>
      </c>
      <c r="K26" s="45">
        <f t="shared" ref="K26:K36" si="34">I26*J26</f>
        <v>0</v>
      </c>
      <c r="AD26" s="144" t="str">
        <f t="shared" si="3"/>
        <v>Transporte cbuq</v>
      </c>
      <c r="AE26" s="179"/>
      <c r="AF26" s="180">
        <f t="shared" si="20"/>
        <v>0</v>
      </c>
      <c r="AG26" s="180">
        <f t="shared" si="17"/>
        <v>0</v>
      </c>
      <c r="AH26" s="181">
        <f t="shared" si="21"/>
        <v>0</v>
      </c>
      <c r="AI26" s="182"/>
      <c r="AJ26" s="90"/>
      <c r="AK26" s="90"/>
      <c r="AL26" s="183">
        <f t="shared" si="22"/>
        <v>0</v>
      </c>
      <c r="AM26" s="182"/>
      <c r="AN26" s="90"/>
      <c r="AO26" s="90"/>
      <c r="AP26" s="183">
        <f t="shared" si="23"/>
        <v>0</v>
      </c>
      <c r="AQ26" s="182"/>
      <c r="AR26" s="90"/>
      <c r="AS26" s="90"/>
      <c r="AT26" s="183">
        <f t="shared" si="24"/>
        <v>0</v>
      </c>
      <c r="AU26" s="182"/>
      <c r="AV26" s="90"/>
      <c r="AW26" s="90"/>
      <c r="AX26" s="183">
        <f t="shared" si="25"/>
        <v>0</v>
      </c>
      <c r="AY26" s="182"/>
      <c r="AZ26" s="90"/>
      <c r="BA26" s="90"/>
      <c r="BB26" s="183">
        <f t="shared" si="26"/>
        <v>0</v>
      </c>
      <c r="BC26" s="182"/>
      <c r="BD26" s="90"/>
      <c r="BE26" s="90"/>
      <c r="BF26" s="183">
        <f t="shared" si="27"/>
        <v>0</v>
      </c>
      <c r="BG26" s="182"/>
      <c r="BH26" s="90"/>
      <c r="BI26" s="90"/>
      <c r="BJ26" s="183">
        <f t="shared" si="28"/>
        <v>0</v>
      </c>
      <c r="BK26" s="182"/>
      <c r="BL26" s="90"/>
      <c r="BM26" s="90"/>
      <c r="BN26" s="183">
        <f t="shared" si="29"/>
        <v>0</v>
      </c>
      <c r="BO26" s="182"/>
      <c r="BP26" s="90"/>
      <c r="BQ26" s="90"/>
      <c r="BR26" s="183">
        <f t="shared" si="30"/>
        <v>0</v>
      </c>
      <c r="BS26" s="182"/>
      <c r="BT26" s="90"/>
      <c r="BU26" s="90"/>
      <c r="BV26" s="183">
        <f t="shared" si="31"/>
        <v>0</v>
      </c>
      <c r="BW26" s="182"/>
      <c r="BX26" s="90"/>
      <c r="BY26" s="90"/>
      <c r="BZ26" s="183">
        <f t="shared" si="32"/>
        <v>0</v>
      </c>
      <c r="CA26" s="182"/>
      <c r="CB26" s="90"/>
      <c r="CC26" s="90"/>
      <c r="CD26" s="183">
        <f t="shared" si="33"/>
        <v>0</v>
      </c>
    </row>
    <row r="27" spans="2:82" x14ac:dyDescent="0.3">
      <c r="B27" s="53"/>
      <c r="C27" s="53" t="str">
        <f t="shared" si="0"/>
        <v>CPU_Transportecbuq</v>
      </c>
      <c r="D27" s="278">
        <f t="shared" si="1"/>
        <v>1</v>
      </c>
      <c r="E27" s="278">
        <f t="shared" si="2"/>
        <v>2210000</v>
      </c>
      <c r="F27" s="1"/>
      <c r="G27" s="28" t="str">
        <f>IFERROR(VLOOKUP(F27,Tabela7[[RECURSO]:[CUSTO]],2,FALSE),"")</f>
        <v/>
      </c>
      <c r="H27" s="93"/>
      <c r="I27" s="90"/>
      <c r="J27" s="45">
        <f>IFERROR(VLOOKUP(F27,Tabela7[[RECURSO]:[CUSTO]],3,FALSE),0)</f>
        <v>0</v>
      </c>
      <c r="K27" s="45">
        <f t="shared" si="34"/>
        <v>0</v>
      </c>
      <c r="AD27" s="144" t="str">
        <f t="shared" si="3"/>
        <v>Transporte cbuq</v>
      </c>
      <c r="AE27" s="179"/>
      <c r="AF27" s="180">
        <f t="shared" si="20"/>
        <v>0</v>
      </c>
      <c r="AG27" s="180">
        <f t="shared" si="17"/>
        <v>0</v>
      </c>
      <c r="AH27" s="181">
        <f t="shared" si="21"/>
        <v>0</v>
      </c>
      <c r="AI27" s="182"/>
      <c r="AJ27" s="90"/>
      <c r="AK27" s="90"/>
      <c r="AL27" s="183">
        <f t="shared" si="22"/>
        <v>0</v>
      </c>
      <c r="AM27" s="182"/>
      <c r="AN27" s="90"/>
      <c r="AO27" s="90"/>
      <c r="AP27" s="183">
        <f t="shared" si="23"/>
        <v>0</v>
      </c>
      <c r="AQ27" s="182"/>
      <c r="AR27" s="90"/>
      <c r="AS27" s="90"/>
      <c r="AT27" s="183">
        <f t="shared" si="24"/>
        <v>0</v>
      </c>
      <c r="AU27" s="182"/>
      <c r="AV27" s="90"/>
      <c r="AW27" s="90"/>
      <c r="AX27" s="183">
        <f t="shared" si="25"/>
        <v>0</v>
      </c>
      <c r="AY27" s="182"/>
      <c r="AZ27" s="90"/>
      <c r="BA27" s="90"/>
      <c r="BB27" s="183">
        <f t="shared" si="26"/>
        <v>0</v>
      </c>
      <c r="BC27" s="182"/>
      <c r="BD27" s="90"/>
      <c r="BE27" s="90"/>
      <c r="BF27" s="183">
        <f t="shared" si="27"/>
        <v>0</v>
      </c>
      <c r="BG27" s="182"/>
      <c r="BH27" s="90"/>
      <c r="BI27" s="90"/>
      <c r="BJ27" s="183">
        <f t="shared" si="28"/>
        <v>0</v>
      </c>
      <c r="BK27" s="182"/>
      <c r="BL27" s="90"/>
      <c r="BM27" s="90"/>
      <c r="BN27" s="183">
        <f t="shared" si="29"/>
        <v>0</v>
      </c>
      <c r="BO27" s="182"/>
      <c r="BP27" s="90"/>
      <c r="BQ27" s="90"/>
      <c r="BR27" s="183">
        <f t="shared" si="30"/>
        <v>0</v>
      </c>
      <c r="BS27" s="182"/>
      <c r="BT27" s="90"/>
      <c r="BU27" s="90"/>
      <c r="BV27" s="183">
        <f t="shared" si="31"/>
        <v>0</v>
      </c>
      <c r="BW27" s="182"/>
      <c r="BX27" s="90"/>
      <c r="BY27" s="90"/>
      <c r="BZ27" s="183">
        <f t="shared" si="32"/>
        <v>0</v>
      </c>
      <c r="CA27" s="182"/>
      <c r="CB27" s="90"/>
      <c r="CC27" s="90"/>
      <c r="CD27" s="183">
        <f t="shared" si="33"/>
        <v>0</v>
      </c>
    </row>
    <row r="28" spans="2:82" x14ac:dyDescent="0.3">
      <c r="B28" s="53"/>
      <c r="C28" s="53" t="str">
        <f t="shared" si="0"/>
        <v>CPU_Transportecbuq</v>
      </c>
      <c r="D28" s="278">
        <f t="shared" si="1"/>
        <v>1</v>
      </c>
      <c r="E28" s="278">
        <f t="shared" si="2"/>
        <v>2210000</v>
      </c>
      <c r="F28" s="1"/>
      <c r="G28" s="28" t="str">
        <f>IFERROR(VLOOKUP(F28,Tabela7[[RECURSO]:[CUSTO]],2,FALSE),"")</f>
        <v/>
      </c>
      <c r="H28" s="93"/>
      <c r="I28" s="90"/>
      <c r="J28" s="45">
        <f>IFERROR(VLOOKUP(F28,Tabela7[[RECURSO]:[CUSTO]],3,FALSE),0)</f>
        <v>0</v>
      </c>
      <c r="K28" s="45">
        <f t="shared" si="34"/>
        <v>0</v>
      </c>
      <c r="AD28" s="144" t="str">
        <f t="shared" si="3"/>
        <v>Transporte cbuq</v>
      </c>
      <c r="AE28" s="179"/>
      <c r="AF28" s="180">
        <f t="shared" si="20"/>
        <v>0</v>
      </c>
      <c r="AG28" s="180">
        <f t="shared" si="17"/>
        <v>0</v>
      </c>
      <c r="AH28" s="181">
        <f t="shared" si="21"/>
        <v>0</v>
      </c>
      <c r="AI28" s="182"/>
      <c r="AJ28" s="90"/>
      <c r="AK28" s="90"/>
      <c r="AL28" s="183">
        <f t="shared" si="22"/>
        <v>0</v>
      </c>
      <c r="AM28" s="182"/>
      <c r="AN28" s="90"/>
      <c r="AO28" s="90"/>
      <c r="AP28" s="183">
        <f t="shared" si="23"/>
        <v>0</v>
      </c>
      <c r="AQ28" s="182"/>
      <c r="AR28" s="90"/>
      <c r="AS28" s="90"/>
      <c r="AT28" s="183">
        <f t="shared" si="24"/>
        <v>0</v>
      </c>
      <c r="AU28" s="182"/>
      <c r="AV28" s="90"/>
      <c r="AW28" s="90"/>
      <c r="AX28" s="183">
        <f t="shared" si="25"/>
        <v>0</v>
      </c>
      <c r="AY28" s="182"/>
      <c r="AZ28" s="90"/>
      <c r="BA28" s="90"/>
      <c r="BB28" s="183">
        <f t="shared" si="26"/>
        <v>0</v>
      </c>
      <c r="BC28" s="182"/>
      <c r="BD28" s="90"/>
      <c r="BE28" s="90"/>
      <c r="BF28" s="183">
        <f t="shared" si="27"/>
        <v>0</v>
      </c>
      <c r="BG28" s="182"/>
      <c r="BH28" s="90"/>
      <c r="BI28" s="90"/>
      <c r="BJ28" s="183">
        <f t="shared" si="28"/>
        <v>0</v>
      </c>
      <c r="BK28" s="182"/>
      <c r="BL28" s="90"/>
      <c r="BM28" s="90"/>
      <c r="BN28" s="183">
        <f t="shared" si="29"/>
        <v>0</v>
      </c>
      <c r="BO28" s="182"/>
      <c r="BP28" s="90"/>
      <c r="BQ28" s="90"/>
      <c r="BR28" s="183">
        <f t="shared" si="30"/>
        <v>0</v>
      </c>
      <c r="BS28" s="182"/>
      <c r="BT28" s="90"/>
      <c r="BU28" s="90"/>
      <c r="BV28" s="183">
        <f t="shared" si="31"/>
        <v>0</v>
      </c>
      <c r="BW28" s="182"/>
      <c r="BX28" s="90"/>
      <c r="BY28" s="90"/>
      <c r="BZ28" s="183">
        <f t="shared" si="32"/>
        <v>0</v>
      </c>
      <c r="CA28" s="182"/>
      <c r="CB28" s="90"/>
      <c r="CC28" s="90"/>
      <c r="CD28" s="183">
        <f t="shared" si="33"/>
        <v>0</v>
      </c>
    </row>
    <row r="29" spans="2:82" x14ac:dyDescent="0.3">
      <c r="B29" s="53"/>
      <c r="C29" s="53" t="str">
        <f t="shared" si="0"/>
        <v>CPU_Transportecbuq</v>
      </c>
      <c r="D29" s="278">
        <f t="shared" si="1"/>
        <v>1</v>
      </c>
      <c r="E29" s="278">
        <f t="shared" si="2"/>
        <v>2210000</v>
      </c>
      <c r="F29" s="1"/>
      <c r="G29" s="28" t="str">
        <f>IFERROR(VLOOKUP(F29,Tabela7[[RECURSO]:[CUSTO]],2,FALSE),"")</f>
        <v/>
      </c>
      <c r="H29" s="93"/>
      <c r="I29" s="90"/>
      <c r="J29" s="45">
        <f>IFERROR(VLOOKUP(F29,Tabela7[[RECURSO]:[CUSTO]],3,FALSE),0)</f>
        <v>0</v>
      </c>
      <c r="K29" s="45">
        <f t="shared" si="34"/>
        <v>0</v>
      </c>
      <c r="AD29" s="144" t="str">
        <f t="shared" si="3"/>
        <v>Transporte cbuq</v>
      </c>
      <c r="AE29" s="179"/>
      <c r="AF29" s="180">
        <f t="shared" si="20"/>
        <v>0</v>
      </c>
      <c r="AG29" s="180">
        <f t="shared" si="17"/>
        <v>0</v>
      </c>
      <c r="AH29" s="181">
        <f t="shared" si="21"/>
        <v>0</v>
      </c>
      <c r="AI29" s="182"/>
      <c r="AJ29" s="90"/>
      <c r="AK29" s="90"/>
      <c r="AL29" s="183">
        <f t="shared" si="22"/>
        <v>0</v>
      </c>
      <c r="AM29" s="182"/>
      <c r="AN29" s="90"/>
      <c r="AO29" s="90"/>
      <c r="AP29" s="183">
        <f t="shared" si="23"/>
        <v>0</v>
      </c>
      <c r="AQ29" s="182"/>
      <c r="AR29" s="90"/>
      <c r="AS29" s="90"/>
      <c r="AT29" s="183">
        <f t="shared" si="24"/>
        <v>0</v>
      </c>
      <c r="AU29" s="182"/>
      <c r="AV29" s="90"/>
      <c r="AW29" s="90"/>
      <c r="AX29" s="183">
        <f t="shared" si="25"/>
        <v>0</v>
      </c>
      <c r="AY29" s="182"/>
      <c r="AZ29" s="90"/>
      <c r="BA29" s="90"/>
      <c r="BB29" s="183">
        <f t="shared" si="26"/>
        <v>0</v>
      </c>
      <c r="BC29" s="182"/>
      <c r="BD29" s="90"/>
      <c r="BE29" s="90"/>
      <c r="BF29" s="183">
        <f t="shared" si="27"/>
        <v>0</v>
      </c>
      <c r="BG29" s="182"/>
      <c r="BH29" s="90"/>
      <c r="BI29" s="90"/>
      <c r="BJ29" s="183">
        <f t="shared" si="28"/>
        <v>0</v>
      </c>
      <c r="BK29" s="182"/>
      <c r="BL29" s="90"/>
      <c r="BM29" s="90"/>
      <c r="BN29" s="183">
        <f t="shared" si="29"/>
        <v>0</v>
      </c>
      <c r="BO29" s="182"/>
      <c r="BP29" s="90"/>
      <c r="BQ29" s="90"/>
      <c r="BR29" s="183">
        <f t="shared" si="30"/>
        <v>0</v>
      </c>
      <c r="BS29" s="182"/>
      <c r="BT29" s="90"/>
      <c r="BU29" s="90"/>
      <c r="BV29" s="183">
        <f t="shared" si="31"/>
        <v>0</v>
      </c>
      <c r="BW29" s="182"/>
      <c r="BX29" s="90"/>
      <c r="BY29" s="90"/>
      <c r="BZ29" s="183">
        <f t="shared" si="32"/>
        <v>0</v>
      </c>
      <c r="CA29" s="182"/>
      <c r="CB29" s="90"/>
      <c r="CC29" s="90"/>
      <c r="CD29" s="183">
        <f t="shared" si="33"/>
        <v>0</v>
      </c>
    </row>
    <row r="30" spans="2:82" x14ac:dyDescent="0.3">
      <c r="B30" s="53"/>
      <c r="C30" s="53" t="str">
        <f t="shared" si="0"/>
        <v>CPU_Transportecbuq</v>
      </c>
      <c r="D30" s="278">
        <f t="shared" si="1"/>
        <v>1</v>
      </c>
      <c r="E30" s="278">
        <f t="shared" si="2"/>
        <v>2210000</v>
      </c>
      <c r="F30" s="1"/>
      <c r="G30" s="28" t="str">
        <f>IFERROR(VLOOKUP(F30,Tabela7[[RECURSO]:[CUSTO]],2,FALSE),"")</f>
        <v/>
      </c>
      <c r="H30" s="93"/>
      <c r="I30" s="90"/>
      <c r="J30" s="45">
        <f>IFERROR(VLOOKUP(F30,Tabela7[[RECURSO]:[CUSTO]],3,FALSE),0)</f>
        <v>0</v>
      </c>
      <c r="K30" s="45">
        <f t="shared" si="34"/>
        <v>0</v>
      </c>
      <c r="AD30" s="144" t="str">
        <f t="shared" si="3"/>
        <v>Transporte cbuq</v>
      </c>
      <c r="AE30" s="179"/>
      <c r="AF30" s="180">
        <f t="shared" si="20"/>
        <v>0</v>
      </c>
      <c r="AG30" s="180">
        <f t="shared" si="17"/>
        <v>0</v>
      </c>
      <c r="AH30" s="181">
        <f t="shared" si="21"/>
        <v>0</v>
      </c>
      <c r="AI30" s="182"/>
      <c r="AJ30" s="90"/>
      <c r="AK30" s="90"/>
      <c r="AL30" s="183">
        <f t="shared" si="22"/>
        <v>0</v>
      </c>
      <c r="AM30" s="182"/>
      <c r="AN30" s="90"/>
      <c r="AO30" s="90"/>
      <c r="AP30" s="183">
        <f t="shared" si="23"/>
        <v>0</v>
      </c>
      <c r="AQ30" s="182"/>
      <c r="AR30" s="90"/>
      <c r="AS30" s="90"/>
      <c r="AT30" s="183">
        <f t="shared" si="24"/>
        <v>0</v>
      </c>
      <c r="AU30" s="182"/>
      <c r="AV30" s="90"/>
      <c r="AW30" s="90"/>
      <c r="AX30" s="183">
        <f t="shared" si="25"/>
        <v>0</v>
      </c>
      <c r="AY30" s="182"/>
      <c r="AZ30" s="90"/>
      <c r="BA30" s="90"/>
      <c r="BB30" s="183">
        <f t="shared" si="26"/>
        <v>0</v>
      </c>
      <c r="BC30" s="182"/>
      <c r="BD30" s="90"/>
      <c r="BE30" s="90"/>
      <c r="BF30" s="183">
        <f t="shared" si="27"/>
        <v>0</v>
      </c>
      <c r="BG30" s="182"/>
      <c r="BH30" s="90"/>
      <c r="BI30" s="90"/>
      <c r="BJ30" s="183">
        <f t="shared" si="28"/>
        <v>0</v>
      </c>
      <c r="BK30" s="182"/>
      <c r="BL30" s="90"/>
      <c r="BM30" s="90"/>
      <c r="BN30" s="183">
        <f t="shared" si="29"/>
        <v>0</v>
      </c>
      <c r="BO30" s="182"/>
      <c r="BP30" s="90"/>
      <c r="BQ30" s="90"/>
      <c r="BR30" s="183">
        <f t="shared" si="30"/>
        <v>0</v>
      </c>
      <c r="BS30" s="182"/>
      <c r="BT30" s="90"/>
      <c r="BU30" s="90"/>
      <c r="BV30" s="183">
        <f t="shared" si="31"/>
        <v>0</v>
      </c>
      <c r="BW30" s="182"/>
      <c r="BX30" s="90"/>
      <c r="BY30" s="90"/>
      <c r="BZ30" s="183">
        <f t="shared" si="32"/>
        <v>0</v>
      </c>
      <c r="CA30" s="182"/>
      <c r="CB30" s="90"/>
      <c r="CC30" s="90"/>
      <c r="CD30" s="183">
        <f t="shared" si="33"/>
        <v>0</v>
      </c>
    </row>
    <row r="31" spans="2:82" x14ac:dyDescent="0.3">
      <c r="B31" s="53"/>
      <c r="C31" s="53" t="str">
        <f t="shared" si="0"/>
        <v>CPU_Transportecbuq</v>
      </c>
      <c r="D31" s="278">
        <f t="shared" si="1"/>
        <v>1</v>
      </c>
      <c r="E31" s="278">
        <f t="shared" si="2"/>
        <v>2210000</v>
      </c>
      <c r="F31" s="1"/>
      <c r="G31" s="28" t="str">
        <f>IFERROR(VLOOKUP(F31,Tabela7[[RECURSO]:[CUSTO]],2,FALSE),"")</f>
        <v/>
      </c>
      <c r="H31" s="93"/>
      <c r="I31" s="90"/>
      <c r="J31" s="45">
        <f>IFERROR(VLOOKUP(F31,Tabela7[[RECURSO]:[CUSTO]],3,FALSE),0)</f>
        <v>0</v>
      </c>
      <c r="K31" s="45">
        <f t="shared" si="34"/>
        <v>0</v>
      </c>
      <c r="AD31" s="144" t="str">
        <f t="shared" si="3"/>
        <v>Transporte cbuq</v>
      </c>
      <c r="AE31" s="179"/>
      <c r="AF31" s="180">
        <f t="shared" si="20"/>
        <v>0</v>
      </c>
      <c r="AG31" s="180">
        <f t="shared" si="17"/>
        <v>0</v>
      </c>
      <c r="AH31" s="181">
        <f t="shared" si="21"/>
        <v>0</v>
      </c>
      <c r="AI31" s="182"/>
      <c r="AJ31" s="90"/>
      <c r="AK31" s="90"/>
      <c r="AL31" s="183">
        <f t="shared" si="22"/>
        <v>0</v>
      </c>
      <c r="AM31" s="182"/>
      <c r="AN31" s="90"/>
      <c r="AO31" s="90"/>
      <c r="AP31" s="183">
        <f t="shared" si="23"/>
        <v>0</v>
      </c>
      <c r="AQ31" s="182"/>
      <c r="AR31" s="90"/>
      <c r="AS31" s="90"/>
      <c r="AT31" s="183">
        <f t="shared" si="24"/>
        <v>0</v>
      </c>
      <c r="AU31" s="182"/>
      <c r="AV31" s="90"/>
      <c r="AW31" s="90"/>
      <c r="AX31" s="183">
        <f t="shared" si="25"/>
        <v>0</v>
      </c>
      <c r="AY31" s="182"/>
      <c r="AZ31" s="90"/>
      <c r="BA31" s="90"/>
      <c r="BB31" s="183">
        <f t="shared" si="26"/>
        <v>0</v>
      </c>
      <c r="BC31" s="182"/>
      <c r="BD31" s="90"/>
      <c r="BE31" s="90"/>
      <c r="BF31" s="183">
        <f t="shared" si="27"/>
        <v>0</v>
      </c>
      <c r="BG31" s="182"/>
      <c r="BH31" s="90"/>
      <c r="BI31" s="90"/>
      <c r="BJ31" s="183">
        <f t="shared" si="28"/>
        <v>0</v>
      </c>
      <c r="BK31" s="182"/>
      <c r="BL31" s="90"/>
      <c r="BM31" s="90"/>
      <c r="BN31" s="183">
        <f t="shared" si="29"/>
        <v>0</v>
      </c>
      <c r="BO31" s="182"/>
      <c r="BP31" s="90"/>
      <c r="BQ31" s="90"/>
      <c r="BR31" s="183">
        <f t="shared" si="30"/>
        <v>0</v>
      </c>
      <c r="BS31" s="182"/>
      <c r="BT31" s="90"/>
      <c r="BU31" s="90"/>
      <c r="BV31" s="183">
        <f t="shared" si="31"/>
        <v>0</v>
      </c>
      <c r="BW31" s="182"/>
      <c r="BX31" s="90"/>
      <c r="BY31" s="90"/>
      <c r="BZ31" s="183">
        <f t="shared" si="32"/>
        <v>0</v>
      </c>
      <c r="CA31" s="182"/>
      <c r="CB31" s="90"/>
      <c r="CC31" s="90"/>
      <c r="CD31" s="183">
        <f t="shared" si="33"/>
        <v>0</v>
      </c>
    </row>
    <row r="32" spans="2:82" x14ac:dyDescent="0.3">
      <c r="B32" s="53"/>
      <c r="C32" s="53" t="str">
        <f t="shared" si="0"/>
        <v>CPU_Transportecbuq</v>
      </c>
      <c r="D32" s="278">
        <f t="shared" si="1"/>
        <v>1</v>
      </c>
      <c r="E32" s="278">
        <f t="shared" si="2"/>
        <v>2210000</v>
      </c>
      <c r="F32" s="1"/>
      <c r="G32" s="28" t="str">
        <f>IFERROR(VLOOKUP(F32,Tabela7[[RECURSO]:[CUSTO]],2,FALSE),"")</f>
        <v/>
      </c>
      <c r="H32" s="93"/>
      <c r="I32" s="90"/>
      <c r="J32" s="45">
        <f>IFERROR(VLOOKUP(F32,Tabela7[[RECURSO]:[CUSTO]],3,FALSE),0)</f>
        <v>0</v>
      </c>
      <c r="K32" s="45">
        <f t="shared" si="34"/>
        <v>0</v>
      </c>
      <c r="AD32" s="144" t="str">
        <f t="shared" si="3"/>
        <v>Transporte cbuq</v>
      </c>
      <c r="AE32" s="179"/>
      <c r="AF32" s="180">
        <f t="shared" si="20"/>
        <v>0</v>
      </c>
      <c r="AG32" s="180">
        <f t="shared" si="17"/>
        <v>0</v>
      </c>
      <c r="AH32" s="181">
        <f t="shared" si="21"/>
        <v>0</v>
      </c>
      <c r="AI32" s="182"/>
      <c r="AJ32" s="90"/>
      <c r="AK32" s="90"/>
      <c r="AL32" s="183">
        <f t="shared" si="22"/>
        <v>0</v>
      </c>
      <c r="AM32" s="182"/>
      <c r="AN32" s="90"/>
      <c r="AO32" s="90"/>
      <c r="AP32" s="183">
        <f t="shared" si="23"/>
        <v>0</v>
      </c>
      <c r="AQ32" s="182"/>
      <c r="AR32" s="90"/>
      <c r="AS32" s="90"/>
      <c r="AT32" s="183">
        <f t="shared" si="24"/>
        <v>0</v>
      </c>
      <c r="AU32" s="182"/>
      <c r="AV32" s="90"/>
      <c r="AW32" s="90"/>
      <c r="AX32" s="183">
        <f t="shared" si="25"/>
        <v>0</v>
      </c>
      <c r="AY32" s="182"/>
      <c r="AZ32" s="90"/>
      <c r="BA32" s="90"/>
      <c r="BB32" s="183">
        <f t="shared" si="26"/>
        <v>0</v>
      </c>
      <c r="BC32" s="182"/>
      <c r="BD32" s="90"/>
      <c r="BE32" s="90"/>
      <c r="BF32" s="183">
        <f t="shared" si="27"/>
        <v>0</v>
      </c>
      <c r="BG32" s="182"/>
      <c r="BH32" s="90"/>
      <c r="BI32" s="90"/>
      <c r="BJ32" s="183">
        <f t="shared" si="28"/>
        <v>0</v>
      </c>
      <c r="BK32" s="182"/>
      <c r="BL32" s="90"/>
      <c r="BM32" s="90"/>
      <c r="BN32" s="183">
        <f t="shared" si="29"/>
        <v>0</v>
      </c>
      <c r="BO32" s="182"/>
      <c r="BP32" s="90"/>
      <c r="BQ32" s="90"/>
      <c r="BR32" s="183">
        <f t="shared" si="30"/>
        <v>0</v>
      </c>
      <c r="BS32" s="182"/>
      <c r="BT32" s="90"/>
      <c r="BU32" s="90"/>
      <c r="BV32" s="183">
        <f t="shared" si="31"/>
        <v>0</v>
      </c>
      <c r="BW32" s="182"/>
      <c r="BX32" s="90"/>
      <c r="BY32" s="90"/>
      <c r="BZ32" s="183">
        <f t="shared" si="32"/>
        <v>0</v>
      </c>
      <c r="CA32" s="182"/>
      <c r="CB32" s="90"/>
      <c r="CC32" s="90"/>
      <c r="CD32" s="183">
        <f t="shared" si="33"/>
        <v>0</v>
      </c>
    </row>
    <row r="33" spans="2:82" x14ac:dyDescent="0.3">
      <c r="B33" s="53"/>
      <c r="C33" s="53" t="str">
        <f t="shared" si="0"/>
        <v>CPU_Transportecbuq</v>
      </c>
      <c r="D33" s="278">
        <f t="shared" si="1"/>
        <v>1</v>
      </c>
      <c r="E33" s="278">
        <f t="shared" si="2"/>
        <v>2210000</v>
      </c>
      <c r="F33" s="1"/>
      <c r="G33" s="28" t="str">
        <f>IFERROR(VLOOKUP(F33,Tabela7[[RECURSO]:[CUSTO]],2,FALSE),"")</f>
        <v/>
      </c>
      <c r="H33" s="93"/>
      <c r="I33" s="90"/>
      <c r="J33" s="45">
        <f>IFERROR(VLOOKUP(F33,Tabela7[[RECURSO]:[CUSTO]],3,FALSE),0)</f>
        <v>0</v>
      </c>
      <c r="K33" s="45">
        <f t="shared" si="34"/>
        <v>0</v>
      </c>
      <c r="AD33" s="144" t="str">
        <f t="shared" si="3"/>
        <v>Transporte cbuq</v>
      </c>
      <c r="AE33" s="179"/>
      <c r="AF33" s="180">
        <f t="shared" si="20"/>
        <v>0</v>
      </c>
      <c r="AG33" s="180">
        <f t="shared" si="17"/>
        <v>0</v>
      </c>
      <c r="AH33" s="181">
        <f t="shared" si="21"/>
        <v>0</v>
      </c>
      <c r="AI33" s="182"/>
      <c r="AJ33" s="90"/>
      <c r="AK33" s="90"/>
      <c r="AL33" s="183">
        <f t="shared" si="22"/>
        <v>0</v>
      </c>
      <c r="AM33" s="182"/>
      <c r="AN33" s="90"/>
      <c r="AO33" s="90"/>
      <c r="AP33" s="183">
        <f t="shared" si="23"/>
        <v>0</v>
      </c>
      <c r="AQ33" s="182"/>
      <c r="AR33" s="90"/>
      <c r="AS33" s="90"/>
      <c r="AT33" s="183">
        <f t="shared" si="24"/>
        <v>0</v>
      </c>
      <c r="AU33" s="182"/>
      <c r="AV33" s="90"/>
      <c r="AW33" s="90"/>
      <c r="AX33" s="183">
        <f t="shared" si="25"/>
        <v>0</v>
      </c>
      <c r="AY33" s="182"/>
      <c r="AZ33" s="90"/>
      <c r="BA33" s="90"/>
      <c r="BB33" s="183">
        <f t="shared" si="26"/>
        <v>0</v>
      </c>
      <c r="BC33" s="182"/>
      <c r="BD33" s="90"/>
      <c r="BE33" s="90"/>
      <c r="BF33" s="183">
        <f t="shared" si="27"/>
        <v>0</v>
      </c>
      <c r="BG33" s="182"/>
      <c r="BH33" s="90"/>
      <c r="BI33" s="90"/>
      <c r="BJ33" s="183">
        <f t="shared" si="28"/>
        <v>0</v>
      </c>
      <c r="BK33" s="182"/>
      <c r="BL33" s="90"/>
      <c r="BM33" s="90"/>
      <c r="BN33" s="183">
        <f t="shared" si="29"/>
        <v>0</v>
      </c>
      <c r="BO33" s="182"/>
      <c r="BP33" s="90"/>
      <c r="BQ33" s="90"/>
      <c r="BR33" s="183">
        <f t="shared" si="30"/>
        <v>0</v>
      </c>
      <c r="BS33" s="182"/>
      <c r="BT33" s="90"/>
      <c r="BU33" s="90"/>
      <c r="BV33" s="183">
        <f t="shared" si="31"/>
        <v>0</v>
      </c>
      <c r="BW33" s="182"/>
      <c r="BX33" s="90"/>
      <c r="BY33" s="90"/>
      <c r="BZ33" s="183">
        <f t="shared" si="32"/>
        <v>0</v>
      </c>
      <c r="CA33" s="182"/>
      <c r="CB33" s="90"/>
      <c r="CC33" s="90"/>
      <c r="CD33" s="183">
        <f t="shared" si="33"/>
        <v>0</v>
      </c>
    </row>
    <row r="34" spans="2:82" x14ac:dyDescent="0.3">
      <c r="B34" s="53"/>
      <c r="C34" s="53" t="str">
        <f t="shared" si="0"/>
        <v>CPU_Transportecbuq</v>
      </c>
      <c r="D34" s="278">
        <f t="shared" si="1"/>
        <v>1</v>
      </c>
      <c r="E34" s="278">
        <f t="shared" si="2"/>
        <v>2210000</v>
      </c>
      <c r="F34" s="1"/>
      <c r="G34" s="28" t="str">
        <f>IFERROR(VLOOKUP(F34,Tabela7[[RECURSO]:[CUSTO]],2,FALSE),"")</f>
        <v/>
      </c>
      <c r="H34" s="93"/>
      <c r="I34" s="90"/>
      <c r="J34" s="45">
        <f>IFERROR(VLOOKUP(F34,Tabela7[[RECURSO]:[CUSTO]],3,FALSE),0)</f>
        <v>0</v>
      </c>
      <c r="K34" s="45">
        <f t="shared" si="34"/>
        <v>0</v>
      </c>
      <c r="AD34" s="144" t="str">
        <f t="shared" si="3"/>
        <v>Transporte cbuq</v>
      </c>
      <c r="AE34" s="179"/>
      <c r="AF34" s="180">
        <f t="shared" si="20"/>
        <v>0</v>
      </c>
      <c r="AG34" s="180">
        <f t="shared" si="17"/>
        <v>0</v>
      </c>
      <c r="AH34" s="181">
        <f t="shared" si="21"/>
        <v>0</v>
      </c>
      <c r="AI34" s="182"/>
      <c r="AJ34" s="90"/>
      <c r="AK34" s="90"/>
      <c r="AL34" s="183">
        <f t="shared" si="22"/>
        <v>0</v>
      </c>
      <c r="AM34" s="182"/>
      <c r="AN34" s="90"/>
      <c r="AO34" s="90"/>
      <c r="AP34" s="183">
        <f t="shared" si="23"/>
        <v>0</v>
      </c>
      <c r="AQ34" s="182"/>
      <c r="AR34" s="90"/>
      <c r="AS34" s="90"/>
      <c r="AT34" s="183">
        <f t="shared" si="24"/>
        <v>0</v>
      </c>
      <c r="AU34" s="182"/>
      <c r="AV34" s="90"/>
      <c r="AW34" s="90"/>
      <c r="AX34" s="183">
        <f t="shared" si="25"/>
        <v>0</v>
      </c>
      <c r="AY34" s="182"/>
      <c r="AZ34" s="90"/>
      <c r="BA34" s="90"/>
      <c r="BB34" s="183">
        <f t="shared" si="26"/>
        <v>0</v>
      </c>
      <c r="BC34" s="182"/>
      <c r="BD34" s="90"/>
      <c r="BE34" s="90"/>
      <c r="BF34" s="183">
        <f t="shared" si="27"/>
        <v>0</v>
      </c>
      <c r="BG34" s="182"/>
      <c r="BH34" s="90"/>
      <c r="BI34" s="90"/>
      <c r="BJ34" s="183">
        <f t="shared" si="28"/>
        <v>0</v>
      </c>
      <c r="BK34" s="182"/>
      <c r="BL34" s="90"/>
      <c r="BM34" s="90"/>
      <c r="BN34" s="183">
        <f t="shared" si="29"/>
        <v>0</v>
      </c>
      <c r="BO34" s="182"/>
      <c r="BP34" s="90"/>
      <c r="BQ34" s="90"/>
      <c r="BR34" s="183">
        <f t="shared" si="30"/>
        <v>0</v>
      </c>
      <c r="BS34" s="182"/>
      <c r="BT34" s="90"/>
      <c r="BU34" s="90"/>
      <c r="BV34" s="183">
        <f t="shared" si="31"/>
        <v>0</v>
      </c>
      <c r="BW34" s="182"/>
      <c r="BX34" s="90"/>
      <c r="BY34" s="90"/>
      <c r="BZ34" s="183">
        <f t="shared" si="32"/>
        <v>0</v>
      </c>
      <c r="CA34" s="182"/>
      <c r="CB34" s="90"/>
      <c r="CC34" s="90"/>
      <c r="CD34" s="183">
        <f t="shared" si="33"/>
        <v>0</v>
      </c>
    </row>
    <row r="35" spans="2:82" x14ac:dyDescent="0.3">
      <c r="B35" s="53"/>
      <c r="C35" s="53" t="str">
        <f t="shared" si="0"/>
        <v>CPU_Transportecbuq</v>
      </c>
      <c r="D35" s="278">
        <f t="shared" si="1"/>
        <v>1</v>
      </c>
      <c r="E35" s="278">
        <f t="shared" si="2"/>
        <v>2210000</v>
      </c>
      <c r="F35" s="1"/>
      <c r="G35" s="28" t="str">
        <f>IFERROR(VLOOKUP(F35,Tabela7[[RECURSO]:[CUSTO]],2,FALSE),"")</f>
        <v/>
      </c>
      <c r="H35" s="93"/>
      <c r="I35" s="90"/>
      <c r="J35" s="45">
        <f>IFERROR(VLOOKUP(F35,Tabela7[[RECURSO]:[CUSTO]],3,FALSE),0)</f>
        <v>0</v>
      </c>
      <c r="K35" s="45">
        <f t="shared" si="34"/>
        <v>0</v>
      </c>
      <c r="AD35" s="144" t="str">
        <f t="shared" si="3"/>
        <v>Transporte cbuq</v>
      </c>
      <c r="AE35" s="179"/>
      <c r="AF35" s="180">
        <f t="shared" si="20"/>
        <v>0</v>
      </c>
      <c r="AG35" s="180">
        <f t="shared" si="17"/>
        <v>0</v>
      </c>
      <c r="AH35" s="181">
        <f t="shared" si="21"/>
        <v>0</v>
      </c>
      <c r="AI35" s="182"/>
      <c r="AJ35" s="90"/>
      <c r="AK35" s="90"/>
      <c r="AL35" s="183">
        <f t="shared" si="22"/>
        <v>0</v>
      </c>
      <c r="AM35" s="182"/>
      <c r="AN35" s="90"/>
      <c r="AO35" s="90"/>
      <c r="AP35" s="183">
        <f t="shared" si="23"/>
        <v>0</v>
      </c>
      <c r="AQ35" s="182"/>
      <c r="AR35" s="90"/>
      <c r="AS35" s="90"/>
      <c r="AT35" s="183">
        <f t="shared" si="24"/>
        <v>0</v>
      </c>
      <c r="AU35" s="182"/>
      <c r="AV35" s="90"/>
      <c r="AW35" s="90"/>
      <c r="AX35" s="183">
        <f t="shared" si="25"/>
        <v>0</v>
      </c>
      <c r="AY35" s="182"/>
      <c r="AZ35" s="90"/>
      <c r="BA35" s="90"/>
      <c r="BB35" s="183">
        <f t="shared" si="26"/>
        <v>0</v>
      </c>
      <c r="BC35" s="182"/>
      <c r="BD35" s="90"/>
      <c r="BE35" s="90"/>
      <c r="BF35" s="183">
        <f t="shared" si="27"/>
        <v>0</v>
      </c>
      <c r="BG35" s="182"/>
      <c r="BH35" s="90"/>
      <c r="BI35" s="90"/>
      <c r="BJ35" s="183">
        <f t="shared" si="28"/>
        <v>0</v>
      </c>
      <c r="BK35" s="182"/>
      <c r="BL35" s="90"/>
      <c r="BM35" s="90"/>
      <c r="BN35" s="183">
        <f t="shared" si="29"/>
        <v>0</v>
      </c>
      <c r="BO35" s="182"/>
      <c r="BP35" s="90"/>
      <c r="BQ35" s="90"/>
      <c r="BR35" s="183">
        <f t="shared" si="30"/>
        <v>0</v>
      </c>
      <c r="BS35" s="182"/>
      <c r="BT35" s="90"/>
      <c r="BU35" s="90"/>
      <c r="BV35" s="183">
        <f t="shared" si="31"/>
        <v>0</v>
      </c>
      <c r="BW35" s="182"/>
      <c r="BX35" s="90"/>
      <c r="BY35" s="90"/>
      <c r="BZ35" s="183">
        <f t="shared" si="32"/>
        <v>0</v>
      </c>
      <c r="CA35" s="182"/>
      <c r="CB35" s="90"/>
      <c r="CC35" s="90"/>
      <c r="CD35" s="183">
        <f t="shared" si="33"/>
        <v>0</v>
      </c>
    </row>
    <row r="36" spans="2:82" x14ac:dyDescent="0.3">
      <c r="B36" s="53"/>
      <c r="C36" s="53" t="str">
        <f t="shared" si="0"/>
        <v>CPU_Transportecbuq</v>
      </c>
      <c r="D36" s="278">
        <f t="shared" si="1"/>
        <v>1</v>
      </c>
      <c r="E36" s="278">
        <f t="shared" si="2"/>
        <v>2210000</v>
      </c>
      <c r="F36" s="1"/>
      <c r="G36" s="28" t="str">
        <f>IFERROR(VLOOKUP(F36,Tabela7[[RECURSO]:[CUSTO]],2,FALSE),"")</f>
        <v/>
      </c>
      <c r="H36" s="93"/>
      <c r="I36" s="90"/>
      <c r="J36" s="45">
        <f>IFERROR(VLOOKUP(F36,Tabela7[[RECURSO]:[CUSTO]],3,FALSE),0)</f>
        <v>0</v>
      </c>
      <c r="K36" s="45">
        <f t="shared" si="34"/>
        <v>0</v>
      </c>
      <c r="AD36" s="144" t="str">
        <f t="shared" si="3"/>
        <v>Transporte cbuq</v>
      </c>
      <c r="AE36" s="179"/>
      <c r="AF36" s="180">
        <f t="shared" si="20"/>
        <v>0</v>
      </c>
      <c r="AG36" s="180">
        <f t="shared" si="17"/>
        <v>0</v>
      </c>
      <c r="AH36" s="181">
        <f t="shared" si="21"/>
        <v>0</v>
      </c>
      <c r="AI36" s="182"/>
      <c r="AJ36" s="90"/>
      <c r="AK36" s="90"/>
      <c r="AL36" s="183">
        <f t="shared" si="22"/>
        <v>0</v>
      </c>
      <c r="AM36" s="182"/>
      <c r="AN36" s="90"/>
      <c r="AO36" s="90"/>
      <c r="AP36" s="183">
        <f t="shared" si="23"/>
        <v>0</v>
      </c>
      <c r="AQ36" s="182"/>
      <c r="AR36" s="90"/>
      <c r="AS36" s="90"/>
      <c r="AT36" s="183">
        <f t="shared" si="24"/>
        <v>0</v>
      </c>
      <c r="AU36" s="182"/>
      <c r="AV36" s="90"/>
      <c r="AW36" s="90"/>
      <c r="AX36" s="183">
        <f t="shared" si="25"/>
        <v>0</v>
      </c>
      <c r="AY36" s="182"/>
      <c r="AZ36" s="90"/>
      <c r="BA36" s="90"/>
      <c r="BB36" s="183">
        <f t="shared" si="26"/>
        <v>0</v>
      </c>
      <c r="BC36" s="182"/>
      <c r="BD36" s="90"/>
      <c r="BE36" s="90"/>
      <c r="BF36" s="183">
        <f t="shared" si="27"/>
        <v>0</v>
      </c>
      <c r="BG36" s="182"/>
      <c r="BH36" s="90"/>
      <c r="BI36" s="90"/>
      <c r="BJ36" s="183">
        <f t="shared" si="28"/>
        <v>0</v>
      </c>
      <c r="BK36" s="182"/>
      <c r="BL36" s="90"/>
      <c r="BM36" s="90"/>
      <c r="BN36" s="183">
        <f t="shared" si="29"/>
        <v>0</v>
      </c>
      <c r="BO36" s="182"/>
      <c r="BP36" s="90"/>
      <c r="BQ36" s="90"/>
      <c r="BR36" s="183">
        <f t="shared" si="30"/>
        <v>0</v>
      </c>
      <c r="BS36" s="182"/>
      <c r="BT36" s="90"/>
      <c r="BU36" s="90"/>
      <c r="BV36" s="183">
        <f t="shared" si="31"/>
        <v>0</v>
      </c>
      <c r="BW36" s="182"/>
      <c r="BX36" s="90"/>
      <c r="BY36" s="90"/>
      <c r="BZ36" s="183">
        <f t="shared" si="32"/>
        <v>0</v>
      </c>
      <c r="CA36" s="182"/>
      <c r="CB36" s="90"/>
      <c r="CC36" s="90"/>
      <c r="CD36" s="183">
        <f t="shared" si="33"/>
        <v>0</v>
      </c>
    </row>
    <row r="37" spans="2:82" x14ac:dyDescent="0.3">
      <c r="B37" s="52" t="s">
        <v>692</v>
      </c>
      <c r="C37" s="52" t="str">
        <f t="shared" si="0"/>
        <v>CPU_Transportecbuq</v>
      </c>
      <c r="D37" s="277">
        <f t="shared" si="1"/>
        <v>1</v>
      </c>
      <c r="E37" s="277">
        <f t="shared" si="2"/>
        <v>2210000</v>
      </c>
      <c r="F37" s="37"/>
      <c r="G37" s="38"/>
      <c r="H37" s="91"/>
      <c r="I37" s="40"/>
      <c r="J37" s="40">
        <f>IFERROR(K37/$B$6,0)</f>
        <v>0</v>
      </c>
      <c r="K37" s="40">
        <f>SUM(K38:K49)</f>
        <v>0</v>
      </c>
      <c r="N37" s="39"/>
      <c r="AD37" s="144" t="str">
        <f t="shared" si="3"/>
        <v>Transporte cbuq</v>
      </c>
      <c r="AE37" s="184"/>
      <c r="AF37" s="40"/>
      <c r="AG37" s="40">
        <f>IFERROR(AH37/AF$3,0)</f>
        <v>0</v>
      </c>
      <c r="AH37" s="185">
        <f>SUM(AH38:AH49)</f>
        <v>0</v>
      </c>
      <c r="AI37" s="184"/>
      <c r="AJ37" s="40"/>
      <c r="AK37" s="40">
        <f>IFERROR(AL37/AJ$3,0)</f>
        <v>0</v>
      </c>
      <c r="AL37" s="185">
        <f>SUM(AL38:AL49)</f>
        <v>0</v>
      </c>
      <c r="AM37" s="184"/>
      <c r="AN37" s="40"/>
      <c r="AO37" s="40">
        <f>IFERROR(AP37/AN$3,0)</f>
        <v>0</v>
      </c>
      <c r="AP37" s="185">
        <f>SUM(AP38:AP49)</f>
        <v>0</v>
      </c>
      <c r="AQ37" s="184"/>
      <c r="AR37" s="40"/>
      <c r="AS37" s="40">
        <f>IFERROR(AT37/AR$3,0)</f>
        <v>0</v>
      </c>
      <c r="AT37" s="185">
        <f>SUM(AT38:AT49)</f>
        <v>0</v>
      </c>
      <c r="AU37" s="184"/>
      <c r="AV37" s="40"/>
      <c r="AW37" s="40">
        <f>IFERROR(AX37/AV$3,0)</f>
        <v>0</v>
      </c>
      <c r="AX37" s="185">
        <f>SUM(AX38:AX49)</f>
        <v>0</v>
      </c>
      <c r="AY37" s="184"/>
      <c r="AZ37" s="40"/>
      <c r="BA37" s="40">
        <f>IFERROR(BB37/AZ$3,0)</f>
        <v>0</v>
      </c>
      <c r="BB37" s="185">
        <f>SUM(BB38:BB49)</f>
        <v>0</v>
      </c>
      <c r="BC37" s="184"/>
      <c r="BD37" s="40"/>
      <c r="BE37" s="40">
        <f>IFERROR(BF37/BD$3,0)</f>
        <v>0</v>
      </c>
      <c r="BF37" s="185">
        <f>SUM(BF38:BF49)</f>
        <v>0</v>
      </c>
      <c r="BG37" s="184"/>
      <c r="BH37" s="40"/>
      <c r="BI37" s="40">
        <f>IFERROR(BJ37/BH$3,0)</f>
        <v>0</v>
      </c>
      <c r="BJ37" s="185">
        <f>SUM(BJ38:BJ49)</f>
        <v>0</v>
      </c>
      <c r="BK37" s="184"/>
      <c r="BL37" s="40"/>
      <c r="BM37" s="40">
        <f>IFERROR(BN37/BL$3,0)</f>
        <v>0</v>
      </c>
      <c r="BN37" s="185">
        <f>SUM(BN38:BN49)</f>
        <v>0</v>
      </c>
      <c r="BO37" s="184"/>
      <c r="BP37" s="40"/>
      <c r="BQ37" s="40">
        <f>IFERROR(BR37/BP$3,0)</f>
        <v>0</v>
      </c>
      <c r="BR37" s="185">
        <f>SUM(BR38:BR49)</f>
        <v>0</v>
      </c>
      <c r="BS37" s="184"/>
      <c r="BT37" s="40"/>
      <c r="BU37" s="40">
        <f>IFERROR(BV37/BT$3,0)</f>
        <v>0</v>
      </c>
      <c r="BV37" s="185">
        <f>SUM(BV38:BV49)</f>
        <v>0</v>
      </c>
      <c r="BW37" s="184"/>
      <c r="BX37" s="40"/>
      <c r="BY37" s="40">
        <f>IFERROR(BZ37/BX$3,0)</f>
        <v>0</v>
      </c>
      <c r="BZ37" s="185">
        <f>SUM(BZ38:BZ49)</f>
        <v>0</v>
      </c>
      <c r="CA37" s="184"/>
      <c r="CB37" s="40"/>
      <c r="CC37" s="40">
        <f>IFERROR(CD37/CB$3,0)</f>
        <v>0</v>
      </c>
      <c r="CD37" s="185">
        <f>SUM(CD38:CD49)</f>
        <v>0</v>
      </c>
    </row>
    <row r="38" spans="2:82" x14ac:dyDescent="0.3">
      <c r="B38" s="54"/>
      <c r="C38" s="54" t="str">
        <f t="shared" si="0"/>
        <v>CPU_Transportecbuq</v>
      </c>
      <c r="D38" s="280">
        <f t="shared" si="1"/>
        <v>1</v>
      </c>
      <c r="E38" s="280">
        <f t="shared" si="2"/>
        <v>2210000</v>
      </c>
      <c r="F38" s="1"/>
      <c r="G38" s="28" t="str">
        <f>IFERROR(VLOOKUP(F38,Tabela7[[RECURSO]:[CUSTO]],2,FALSE),"")</f>
        <v/>
      </c>
      <c r="H38" s="92"/>
      <c r="I38" s="90"/>
      <c r="J38" s="45">
        <f>IFERROR(VLOOKUP(F38,Tabela7[[RECURSO]:[CUSTO]],3,FALSE),0)</f>
        <v>0</v>
      </c>
      <c r="K38" s="45">
        <f>I38*J38*CPU_57[[#This Row],[Nº]]</f>
        <v>0</v>
      </c>
      <c r="AD38" s="144" t="str">
        <f t="shared" si="3"/>
        <v>Transporte cbuq</v>
      </c>
      <c r="AE38" s="186"/>
      <c r="AF38" s="180">
        <f t="shared" ref="AF38:AF49" si="35">AJ38+AN38+AR38+AV38+AZ38+BD38+BH38+BL38+BP38+BT38+BX38+CB38</f>
        <v>0</v>
      </c>
      <c r="AG38" s="180">
        <f t="shared" si="17"/>
        <v>0</v>
      </c>
      <c r="AH38" s="181">
        <f t="shared" ref="AH38:AH49" si="36">AL38+AP38+AT38+AX38+BB38+BF38+BJ38+BN38+BR38+BV38+BZ38+CD38</f>
        <v>0</v>
      </c>
      <c r="AI38" s="187"/>
      <c r="AJ38" s="90"/>
      <c r="AK38" s="90"/>
      <c r="AL38" s="183">
        <f t="shared" ref="AL38:AL49" si="37">AJ38*AK38</f>
        <v>0</v>
      </c>
      <c r="AM38" s="187"/>
      <c r="AN38" s="90"/>
      <c r="AO38" s="90"/>
      <c r="AP38" s="183">
        <f t="shared" si="23"/>
        <v>0</v>
      </c>
      <c r="AQ38" s="187"/>
      <c r="AR38" s="90"/>
      <c r="AS38" s="90"/>
      <c r="AT38" s="183">
        <f t="shared" si="24"/>
        <v>0</v>
      </c>
      <c r="AU38" s="187"/>
      <c r="AV38" s="90"/>
      <c r="AW38" s="90"/>
      <c r="AX38" s="183">
        <f t="shared" si="25"/>
        <v>0</v>
      </c>
      <c r="AY38" s="187"/>
      <c r="AZ38" s="90"/>
      <c r="BA38" s="90"/>
      <c r="BB38" s="183">
        <f t="shared" si="26"/>
        <v>0</v>
      </c>
      <c r="BC38" s="187"/>
      <c r="BD38" s="90"/>
      <c r="BE38" s="90"/>
      <c r="BF38" s="183">
        <f t="shared" si="27"/>
        <v>0</v>
      </c>
      <c r="BG38" s="187"/>
      <c r="BH38" s="90"/>
      <c r="BI38" s="90"/>
      <c r="BJ38" s="183">
        <f t="shared" si="28"/>
        <v>0</v>
      </c>
      <c r="BK38" s="187"/>
      <c r="BL38" s="90"/>
      <c r="BM38" s="90"/>
      <c r="BN38" s="183">
        <f t="shared" si="29"/>
        <v>0</v>
      </c>
      <c r="BO38" s="187"/>
      <c r="BP38" s="90"/>
      <c r="BQ38" s="90"/>
      <c r="BR38" s="183">
        <f t="shared" si="30"/>
        <v>0</v>
      </c>
      <c r="BS38" s="187"/>
      <c r="BT38" s="90"/>
      <c r="BU38" s="90"/>
      <c r="BV38" s="183">
        <f t="shared" si="31"/>
        <v>0</v>
      </c>
      <c r="BW38" s="187"/>
      <c r="BX38" s="90"/>
      <c r="BY38" s="90"/>
      <c r="BZ38" s="183">
        <f t="shared" si="32"/>
        <v>0</v>
      </c>
      <c r="CA38" s="187"/>
      <c r="CB38" s="90"/>
      <c r="CC38" s="90"/>
      <c r="CD38" s="183">
        <f t="shared" si="33"/>
        <v>0</v>
      </c>
    </row>
    <row r="39" spans="2:82" x14ac:dyDescent="0.3">
      <c r="B39" s="54"/>
      <c r="C39" s="54" t="str">
        <f t="shared" si="0"/>
        <v>CPU_Transportecbuq</v>
      </c>
      <c r="D39" s="280">
        <f t="shared" si="1"/>
        <v>1</v>
      </c>
      <c r="E39" s="280">
        <f t="shared" si="2"/>
        <v>2210000</v>
      </c>
      <c r="F39" s="1"/>
      <c r="G39" s="28" t="str">
        <f>IFERROR(VLOOKUP(F39,Tabela7[[RECURSO]:[CUSTO]],2,FALSE),"")</f>
        <v/>
      </c>
      <c r="H39" s="92"/>
      <c r="I39" s="90"/>
      <c r="J39" s="45">
        <f>IFERROR(VLOOKUP(F39,Tabela7[[RECURSO]:[CUSTO]],3,FALSE),0)</f>
        <v>0</v>
      </c>
      <c r="K39" s="45">
        <f>I39*J39*CPU_57[[#This Row],[Nº]]</f>
        <v>0</v>
      </c>
      <c r="AD39" s="144" t="str">
        <f t="shared" si="3"/>
        <v>Transporte cbuq</v>
      </c>
      <c r="AE39" s="186"/>
      <c r="AF39" s="180">
        <f t="shared" si="35"/>
        <v>0</v>
      </c>
      <c r="AG39" s="180">
        <f t="shared" si="17"/>
        <v>0</v>
      </c>
      <c r="AH39" s="181">
        <f t="shared" si="36"/>
        <v>0</v>
      </c>
      <c r="AI39" s="187"/>
      <c r="AJ39" s="90"/>
      <c r="AK39" s="90"/>
      <c r="AL39" s="183">
        <f t="shared" si="37"/>
        <v>0</v>
      </c>
      <c r="AM39" s="187"/>
      <c r="AN39" s="90"/>
      <c r="AO39" s="90"/>
      <c r="AP39" s="183">
        <f t="shared" si="23"/>
        <v>0</v>
      </c>
      <c r="AQ39" s="187"/>
      <c r="AR39" s="90"/>
      <c r="AS39" s="90"/>
      <c r="AT39" s="183">
        <f t="shared" si="24"/>
        <v>0</v>
      </c>
      <c r="AU39" s="187"/>
      <c r="AV39" s="90"/>
      <c r="AW39" s="90"/>
      <c r="AX39" s="183">
        <f t="shared" si="25"/>
        <v>0</v>
      </c>
      <c r="AY39" s="187"/>
      <c r="AZ39" s="90"/>
      <c r="BA39" s="90"/>
      <c r="BB39" s="183">
        <f t="shared" si="26"/>
        <v>0</v>
      </c>
      <c r="BC39" s="187"/>
      <c r="BD39" s="90"/>
      <c r="BE39" s="90"/>
      <c r="BF39" s="183">
        <f t="shared" si="27"/>
        <v>0</v>
      </c>
      <c r="BG39" s="187"/>
      <c r="BH39" s="90"/>
      <c r="BI39" s="90"/>
      <c r="BJ39" s="183">
        <f t="shared" si="28"/>
        <v>0</v>
      </c>
      <c r="BK39" s="187"/>
      <c r="BL39" s="90"/>
      <c r="BM39" s="90"/>
      <c r="BN39" s="183">
        <f t="shared" si="29"/>
        <v>0</v>
      </c>
      <c r="BO39" s="187"/>
      <c r="BP39" s="90"/>
      <c r="BQ39" s="90"/>
      <c r="BR39" s="183">
        <f t="shared" si="30"/>
        <v>0</v>
      </c>
      <c r="BS39" s="187"/>
      <c r="BT39" s="90"/>
      <c r="BU39" s="90"/>
      <c r="BV39" s="183">
        <f t="shared" si="31"/>
        <v>0</v>
      </c>
      <c r="BW39" s="187"/>
      <c r="BX39" s="90"/>
      <c r="BY39" s="90"/>
      <c r="BZ39" s="183">
        <f t="shared" si="32"/>
        <v>0</v>
      </c>
      <c r="CA39" s="187"/>
      <c r="CB39" s="90"/>
      <c r="CC39" s="90"/>
      <c r="CD39" s="183">
        <f t="shared" si="33"/>
        <v>0</v>
      </c>
    </row>
    <row r="40" spans="2:82" x14ac:dyDescent="0.3">
      <c r="B40" s="54"/>
      <c r="C40" s="54" t="str">
        <f t="shared" si="0"/>
        <v>CPU_Transportecbuq</v>
      </c>
      <c r="D40" s="280">
        <f t="shared" si="1"/>
        <v>1</v>
      </c>
      <c r="E40" s="280">
        <f t="shared" si="2"/>
        <v>2210000</v>
      </c>
      <c r="F40" s="1"/>
      <c r="G40" s="28" t="str">
        <f>IFERROR(VLOOKUP(F40,Tabela7[[RECURSO]:[CUSTO]],2,FALSE),"")</f>
        <v/>
      </c>
      <c r="H40" s="92"/>
      <c r="I40" s="90"/>
      <c r="J40" s="45">
        <f>IFERROR(VLOOKUP(F40,Tabela7[[RECURSO]:[CUSTO]],3,FALSE),0)</f>
        <v>0</v>
      </c>
      <c r="K40" s="45">
        <f>I40*J40*CPU_57[[#This Row],[Nº]]</f>
        <v>0</v>
      </c>
      <c r="AD40" s="144" t="str">
        <f t="shared" si="3"/>
        <v>Transporte cbuq</v>
      </c>
      <c r="AE40" s="186"/>
      <c r="AF40" s="180">
        <f t="shared" si="35"/>
        <v>0</v>
      </c>
      <c r="AG40" s="180">
        <f t="shared" si="17"/>
        <v>0</v>
      </c>
      <c r="AH40" s="181">
        <f t="shared" si="36"/>
        <v>0</v>
      </c>
      <c r="AI40" s="187"/>
      <c r="AJ40" s="90"/>
      <c r="AK40" s="90"/>
      <c r="AL40" s="183">
        <f t="shared" si="37"/>
        <v>0</v>
      </c>
      <c r="AM40" s="187"/>
      <c r="AN40" s="90"/>
      <c r="AO40" s="90"/>
      <c r="AP40" s="183">
        <f t="shared" si="23"/>
        <v>0</v>
      </c>
      <c r="AQ40" s="187"/>
      <c r="AR40" s="90"/>
      <c r="AS40" s="90"/>
      <c r="AT40" s="183">
        <f t="shared" si="24"/>
        <v>0</v>
      </c>
      <c r="AU40" s="187"/>
      <c r="AV40" s="90"/>
      <c r="AW40" s="90"/>
      <c r="AX40" s="183">
        <f t="shared" si="25"/>
        <v>0</v>
      </c>
      <c r="AY40" s="187"/>
      <c r="AZ40" s="90"/>
      <c r="BA40" s="90"/>
      <c r="BB40" s="183">
        <f t="shared" si="26"/>
        <v>0</v>
      </c>
      <c r="BC40" s="187"/>
      <c r="BD40" s="90"/>
      <c r="BE40" s="90"/>
      <c r="BF40" s="183">
        <f t="shared" si="27"/>
        <v>0</v>
      </c>
      <c r="BG40" s="187"/>
      <c r="BH40" s="90"/>
      <c r="BI40" s="90"/>
      <c r="BJ40" s="183">
        <f t="shared" si="28"/>
        <v>0</v>
      </c>
      <c r="BK40" s="187"/>
      <c r="BL40" s="90"/>
      <c r="BM40" s="90"/>
      <c r="BN40" s="183">
        <f t="shared" si="29"/>
        <v>0</v>
      </c>
      <c r="BO40" s="187"/>
      <c r="BP40" s="90"/>
      <c r="BQ40" s="90"/>
      <c r="BR40" s="183">
        <f t="shared" si="30"/>
        <v>0</v>
      </c>
      <c r="BS40" s="187"/>
      <c r="BT40" s="90"/>
      <c r="BU40" s="90"/>
      <c r="BV40" s="183">
        <f t="shared" si="31"/>
        <v>0</v>
      </c>
      <c r="BW40" s="187"/>
      <c r="BX40" s="90"/>
      <c r="BY40" s="90"/>
      <c r="BZ40" s="183">
        <f t="shared" si="32"/>
        <v>0</v>
      </c>
      <c r="CA40" s="187"/>
      <c r="CB40" s="90"/>
      <c r="CC40" s="90"/>
      <c r="CD40" s="183">
        <f t="shared" si="33"/>
        <v>0</v>
      </c>
    </row>
    <row r="41" spans="2:82" x14ac:dyDescent="0.3">
      <c r="B41" s="54"/>
      <c r="C41" s="54" t="str">
        <f t="shared" si="0"/>
        <v>CPU_Transportecbuq</v>
      </c>
      <c r="D41" s="280">
        <f t="shared" si="1"/>
        <v>1</v>
      </c>
      <c r="E41" s="280">
        <f t="shared" si="2"/>
        <v>2210000</v>
      </c>
      <c r="F41" s="1"/>
      <c r="G41" s="28" t="str">
        <f>IFERROR(VLOOKUP(F41,Tabela7[[RECURSO]:[CUSTO]],2,FALSE),"")</f>
        <v/>
      </c>
      <c r="H41" s="92"/>
      <c r="I41" s="90"/>
      <c r="J41" s="45">
        <f>IFERROR(VLOOKUP(F41,Tabela7[[RECURSO]:[CUSTO]],3,FALSE),0)</f>
        <v>0</v>
      </c>
      <c r="K41" s="45">
        <f>I41*J41*CPU_57[[#This Row],[Nº]]</f>
        <v>0</v>
      </c>
      <c r="AD41" s="144" t="str">
        <f t="shared" si="3"/>
        <v>Transporte cbuq</v>
      </c>
      <c r="AE41" s="186"/>
      <c r="AF41" s="180">
        <f t="shared" si="35"/>
        <v>0</v>
      </c>
      <c r="AG41" s="180">
        <f t="shared" si="17"/>
        <v>0</v>
      </c>
      <c r="AH41" s="181">
        <f t="shared" si="36"/>
        <v>0</v>
      </c>
      <c r="AI41" s="187"/>
      <c r="AJ41" s="90"/>
      <c r="AK41" s="90"/>
      <c r="AL41" s="183">
        <f t="shared" si="37"/>
        <v>0</v>
      </c>
      <c r="AM41" s="187"/>
      <c r="AN41" s="90"/>
      <c r="AO41" s="90"/>
      <c r="AP41" s="183">
        <f t="shared" si="23"/>
        <v>0</v>
      </c>
      <c r="AQ41" s="187"/>
      <c r="AR41" s="90"/>
      <c r="AS41" s="90"/>
      <c r="AT41" s="183">
        <f t="shared" si="24"/>
        <v>0</v>
      </c>
      <c r="AU41" s="187"/>
      <c r="AV41" s="90"/>
      <c r="AW41" s="90"/>
      <c r="AX41" s="183">
        <f t="shared" si="25"/>
        <v>0</v>
      </c>
      <c r="AY41" s="187"/>
      <c r="AZ41" s="90"/>
      <c r="BA41" s="90"/>
      <c r="BB41" s="183">
        <f t="shared" si="26"/>
        <v>0</v>
      </c>
      <c r="BC41" s="187"/>
      <c r="BD41" s="90"/>
      <c r="BE41" s="90"/>
      <c r="BF41" s="183">
        <f t="shared" si="27"/>
        <v>0</v>
      </c>
      <c r="BG41" s="187"/>
      <c r="BH41" s="90"/>
      <c r="BI41" s="90"/>
      <c r="BJ41" s="183">
        <f t="shared" si="28"/>
        <v>0</v>
      </c>
      <c r="BK41" s="187"/>
      <c r="BL41" s="90"/>
      <c r="BM41" s="90"/>
      <c r="BN41" s="183">
        <f t="shared" si="29"/>
        <v>0</v>
      </c>
      <c r="BO41" s="187"/>
      <c r="BP41" s="90"/>
      <c r="BQ41" s="90"/>
      <c r="BR41" s="183">
        <f t="shared" si="30"/>
        <v>0</v>
      </c>
      <c r="BS41" s="187"/>
      <c r="BT41" s="90"/>
      <c r="BU41" s="90"/>
      <c r="BV41" s="183">
        <f t="shared" si="31"/>
        <v>0</v>
      </c>
      <c r="BW41" s="187"/>
      <c r="BX41" s="90"/>
      <c r="BY41" s="90"/>
      <c r="BZ41" s="183">
        <f t="shared" si="32"/>
        <v>0</v>
      </c>
      <c r="CA41" s="187"/>
      <c r="CB41" s="90"/>
      <c r="CC41" s="90"/>
      <c r="CD41" s="183">
        <f t="shared" si="33"/>
        <v>0</v>
      </c>
    </row>
    <row r="42" spans="2:82" x14ac:dyDescent="0.3">
      <c r="B42" s="54"/>
      <c r="C42" s="54" t="str">
        <f t="shared" si="0"/>
        <v>CPU_Transportecbuq</v>
      </c>
      <c r="D42" s="280">
        <f t="shared" si="1"/>
        <v>1</v>
      </c>
      <c r="E42" s="280">
        <f t="shared" si="2"/>
        <v>2210000</v>
      </c>
      <c r="F42" s="1"/>
      <c r="G42" s="28" t="str">
        <f>IFERROR(VLOOKUP(F42,Tabela7[[RECURSO]:[CUSTO]],2,FALSE),"")</f>
        <v/>
      </c>
      <c r="H42" s="92"/>
      <c r="I42" s="90"/>
      <c r="J42" s="45">
        <f>IFERROR(VLOOKUP(F42,Tabela7[[RECURSO]:[CUSTO]],3,FALSE),0)</f>
        <v>0</v>
      </c>
      <c r="K42" s="45">
        <f>I42*J42*CPU_57[[#This Row],[Nº]]</f>
        <v>0</v>
      </c>
      <c r="AD42" s="144" t="str">
        <f t="shared" si="3"/>
        <v>Transporte cbuq</v>
      </c>
      <c r="AE42" s="186"/>
      <c r="AF42" s="180">
        <f t="shared" si="35"/>
        <v>0</v>
      </c>
      <c r="AG42" s="180">
        <f t="shared" si="17"/>
        <v>0</v>
      </c>
      <c r="AH42" s="181">
        <f t="shared" si="36"/>
        <v>0</v>
      </c>
      <c r="AI42" s="187"/>
      <c r="AJ42" s="90"/>
      <c r="AK42" s="90"/>
      <c r="AL42" s="183">
        <f t="shared" si="37"/>
        <v>0</v>
      </c>
      <c r="AM42" s="187"/>
      <c r="AN42" s="90"/>
      <c r="AO42" s="90"/>
      <c r="AP42" s="183">
        <f t="shared" si="23"/>
        <v>0</v>
      </c>
      <c r="AQ42" s="187"/>
      <c r="AR42" s="90"/>
      <c r="AS42" s="90"/>
      <c r="AT42" s="183">
        <f t="shared" si="24"/>
        <v>0</v>
      </c>
      <c r="AU42" s="187"/>
      <c r="AV42" s="90"/>
      <c r="AW42" s="90"/>
      <c r="AX42" s="183">
        <f t="shared" si="25"/>
        <v>0</v>
      </c>
      <c r="AY42" s="187"/>
      <c r="AZ42" s="90"/>
      <c r="BA42" s="90"/>
      <c r="BB42" s="183">
        <f t="shared" si="26"/>
        <v>0</v>
      </c>
      <c r="BC42" s="187"/>
      <c r="BD42" s="90"/>
      <c r="BE42" s="90"/>
      <c r="BF42" s="183">
        <f t="shared" si="27"/>
        <v>0</v>
      </c>
      <c r="BG42" s="187"/>
      <c r="BH42" s="90"/>
      <c r="BI42" s="90"/>
      <c r="BJ42" s="183">
        <f t="shared" si="28"/>
        <v>0</v>
      </c>
      <c r="BK42" s="187"/>
      <c r="BL42" s="90"/>
      <c r="BM42" s="90"/>
      <c r="BN42" s="183">
        <f t="shared" si="29"/>
        <v>0</v>
      </c>
      <c r="BO42" s="187"/>
      <c r="BP42" s="90"/>
      <c r="BQ42" s="90"/>
      <c r="BR42" s="183">
        <f t="shared" si="30"/>
        <v>0</v>
      </c>
      <c r="BS42" s="187"/>
      <c r="BT42" s="90"/>
      <c r="BU42" s="90"/>
      <c r="BV42" s="183">
        <f t="shared" si="31"/>
        <v>0</v>
      </c>
      <c r="BW42" s="187"/>
      <c r="BX42" s="90"/>
      <c r="BY42" s="90"/>
      <c r="BZ42" s="183">
        <f t="shared" si="32"/>
        <v>0</v>
      </c>
      <c r="CA42" s="187"/>
      <c r="CB42" s="90"/>
      <c r="CC42" s="90"/>
      <c r="CD42" s="183">
        <f t="shared" si="33"/>
        <v>0</v>
      </c>
    </row>
    <row r="43" spans="2:82" x14ac:dyDescent="0.3">
      <c r="B43" s="54"/>
      <c r="C43" s="54" t="str">
        <f t="shared" si="0"/>
        <v>CPU_Transportecbuq</v>
      </c>
      <c r="D43" s="280">
        <f t="shared" si="1"/>
        <v>1</v>
      </c>
      <c r="E43" s="280">
        <f t="shared" si="2"/>
        <v>2210000</v>
      </c>
      <c r="F43" s="1"/>
      <c r="G43" s="28" t="str">
        <f>IFERROR(VLOOKUP(F43,Tabela7[[RECURSO]:[CUSTO]],2,FALSE),"")</f>
        <v/>
      </c>
      <c r="H43" s="92"/>
      <c r="I43" s="90"/>
      <c r="J43" s="45">
        <f>IFERROR(VLOOKUP(F43,Tabela7[[RECURSO]:[CUSTO]],3,FALSE),0)</f>
        <v>0</v>
      </c>
      <c r="K43" s="45">
        <f>I43*J43*CPU_57[[#This Row],[Nº]]</f>
        <v>0</v>
      </c>
      <c r="AD43" s="144" t="str">
        <f t="shared" si="3"/>
        <v>Transporte cbuq</v>
      </c>
      <c r="AE43" s="186"/>
      <c r="AF43" s="180">
        <f t="shared" si="35"/>
        <v>0</v>
      </c>
      <c r="AG43" s="180">
        <f t="shared" si="17"/>
        <v>0</v>
      </c>
      <c r="AH43" s="181">
        <f t="shared" si="36"/>
        <v>0</v>
      </c>
      <c r="AI43" s="187"/>
      <c r="AJ43" s="90"/>
      <c r="AK43" s="90"/>
      <c r="AL43" s="183">
        <f t="shared" si="37"/>
        <v>0</v>
      </c>
      <c r="AM43" s="187"/>
      <c r="AN43" s="90"/>
      <c r="AO43" s="90"/>
      <c r="AP43" s="183">
        <f t="shared" si="23"/>
        <v>0</v>
      </c>
      <c r="AQ43" s="187"/>
      <c r="AR43" s="90"/>
      <c r="AS43" s="90"/>
      <c r="AT43" s="183">
        <f t="shared" si="24"/>
        <v>0</v>
      </c>
      <c r="AU43" s="187"/>
      <c r="AV43" s="90"/>
      <c r="AW43" s="90"/>
      <c r="AX43" s="183">
        <f t="shared" si="25"/>
        <v>0</v>
      </c>
      <c r="AY43" s="187"/>
      <c r="AZ43" s="90"/>
      <c r="BA43" s="90"/>
      <c r="BB43" s="183">
        <f t="shared" si="26"/>
        <v>0</v>
      </c>
      <c r="BC43" s="187"/>
      <c r="BD43" s="90"/>
      <c r="BE43" s="90"/>
      <c r="BF43" s="183">
        <f t="shared" si="27"/>
        <v>0</v>
      </c>
      <c r="BG43" s="187"/>
      <c r="BH43" s="90"/>
      <c r="BI43" s="90"/>
      <c r="BJ43" s="183">
        <f t="shared" si="28"/>
        <v>0</v>
      </c>
      <c r="BK43" s="187"/>
      <c r="BL43" s="90"/>
      <c r="BM43" s="90"/>
      <c r="BN43" s="183">
        <f t="shared" si="29"/>
        <v>0</v>
      </c>
      <c r="BO43" s="187"/>
      <c r="BP43" s="90"/>
      <c r="BQ43" s="90"/>
      <c r="BR43" s="183">
        <f t="shared" si="30"/>
        <v>0</v>
      </c>
      <c r="BS43" s="187"/>
      <c r="BT43" s="90"/>
      <c r="BU43" s="90"/>
      <c r="BV43" s="183">
        <f t="shared" si="31"/>
        <v>0</v>
      </c>
      <c r="BW43" s="187"/>
      <c r="BX43" s="90"/>
      <c r="BY43" s="90"/>
      <c r="BZ43" s="183">
        <f t="shared" si="32"/>
        <v>0</v>
      </c>
      <c r="CA43" s="187"/>
      <c r="CB43" s="90"/>
      <c r="CC43" s="90"/>
      <c r="CD43" s="183">
        <f t="shared" si="33"/>
        <v>0</v>
      </c>
    </row>
    <row r="44" spans="2:82" x14ac:dyDescent="0.3">
      <c r="B44" s="54"/>
      <c r="C44" s="54" t="str">
        <f t="shared" si="0"/>
        <v>CPU_Transportecbuq</v>
      </c>
      <c r="D44" s="280">
        <f t="shared" si="1"/>
        <v>1</v>
      </c>
      <c r="E44" s="280">
        <f t="shared" si="2"/>
        <v>2210000</v>
      </c>
      <c r="F44" s="1"/>
      <c r="G44" s="28" t="str">
        <f>IFERROR(VLOOKUP(F44,Tabela7[[RECURSO]:[CUSTO]],2,FALSE),"")</f>
        <v/>
      </c>
      <c r="H44" s="92"/>
      <c r="I44" s="90"/>
      <c r="J44" s="45">
        <f>IFERROR(VLOOKUP(F44,Tabela7[[RECURSO]:[CUSTO]],3,FALSE),0)</f>
        <v>0</v>
      </c>
      <c r="K44" s="45">
        <f>I44*J44*CPU_57[[#This Row],[Nº]]</f>
        <v>0</v>
      </c>
      <c r="AD44" s="144" t="str">
        <f t="shared" si="3"/>
        <v>Transporte cbuq</v>
      </c>
      <c r="AE44" s="186"/>
      <c r="AF44" s="180">
        <f t="shared" si="35"/>
        <v>0</v>
      </c>
      <c r="AG44" s="180">
        <f t="shared" si="17"/>
        <v>0</v>
      </c>
      <c r="AH44" s="181">
        <f t="shared" si="36"/>
        <v>0</v>
      </c>
      <c r="AI44" s="187"/>
      <c r="AJ44" s="90"/>
      <c r="AK44" s="90"/>
      <c r="AL44" s="183">
        <f t="shared" si="37"/>
        <v>0</v>
      </c>
      <c r="AM44" s="187"/>
      <c r="AN44" s="90"/>
      <c r="AO44" s="90"/>
      <c r="AP44" s="183">
        <f t="shared" si="23"/>
        <v>0</v>
      </c>
      <c r="AQ44" s="187"/>
      <c r="AR44" s="90"/>
      <c r="AS44" s="90"/>
      <c r="AT44" s="183">
        <f t="shared" si="24"/>
        <v>0</v>
      </c>
      <c r="AU44" s="187"/>
      <c r="AV44" s="90"/>
      <c r="AW44" s="90"/>
      <c r="AX44" s="183">
        <f t="shared" si="25"/>
        <v>0</v>
      </c>
      <c r="AY44" s="187"/>
      <c r="AZ44" s="90"/>
      <c r="BA44" s="90"/>
      <c r="BB44" s="183">
        <f t="shared" si="26"/>
        <v>0</v>
      </c>
      <c r="BC44" s="187"/>
      <c r="BD44" s="90"/>
      <c r="BE44" s="90"/>
      <c r="BF44" s="183">
        <f t="shared" si="27"/>
        <v>0</v>
      </c>
      <c r="BG44" s="187"/>
      <c r="BH44" s="90"/>
      <c r="BI44" s="90"/>
      <c r="BJ44" s="183">
        <f t="shared" si="28"/>
        <v>0</v>
      </c>
      <c r="BK44" s="187"/>
      <c r="BL44" s="90"/>
      <c r="BM44" s="90"/>
      <c r="BN44" s="183">
        <f t="shared" si="29"/>
        <v>0</v>
      </c>
      <c r="BO44" s="187"/>
      <c r="BP44" s="90"/>
      <c r="BQ44" s="90"/>
      <c r="BR44" s="183">
        <f t="shared" si="30"/>
        <v>0</v>
      </c>
      <c r="BS44" s="187"/>
      <c r="BT44" s="90"/>
      <c r="BU44" s="90"/>
      <c r="BV44" s="183">
        <f t="shared" si="31"/>
        <v>0</v>
      </c>
      <c r="BW44" s="187"/>
      <c r="BX44" s="90"/>
      <c r="BY44" s="90"/>
      <c r="BZ44" s="183">
        <f t="shared" si="32"/>
        <v>0</v>
      </c>
      <c r="CA44" s="187"/>
      <c r="CB44" s="90"/>
      <c r="CC44" s="90"/>
      <c r="CD44" s="183">
        <f t="shared" si="33"/>
        <v>0</v>
      </c>
    </row>
    <row r="45" spans="2:82" x14ac:dyDescent="0.3">
      <c r="B45" s="53"/>
      <c r="C45" s="53" t="str">
        <f t="shared" si="0"/>
        <v>CPU_Transportecbuq</v>
      </c>
      <c r="D45" s="278">
        <f t="shared" si="1"/>
        <v>1</v>
      </c>
      <c r="E45" s="278">
        <f t="shared" si="2"/>
        <v>2210000</v>
      </c>
      <c r="F45" s="1"/>
      <c r="G45" s="28" t="str">
        <f>IFERROR(VLOOKUP(F45,Tabela7[[RECURSO]:[CUSTO]],2,FALSE),"")</f>
        <v/>
      </c>
      <c r="H45" s="92"/>
      <c r="I45" s="90"/>
      <c r="J45" s="45">
        <f>IFERROR(VLOOKUP(F45,Tabela7[[RECURSO]:[CUSTO]],3,FALSE),0)</f>
        <v>0</v>
      </c>
      <c r="K45" s="45">
        <f>I45*J45*CPU_57[[#This Row],[Nº]]</f>
        <v>0</v>
      </c>
      <c r="AD45" s="144" t="str">
        <f t="shared" si="3"/>
        <v>Transporte cbuq</v>
      </c>
      <c r="AE45" s="188"/>
      <c r="AF45" s="180">
        <f t="shared" si="35"/>
        <v>0</v>
      </c>
      <c r="AG45" s="180">
        <f t="shared" si="17"/>
        <v>0</v>
      </c>
      <c r="AH45" s="181">
        <f t="shared" si="36"/>
        <v>0</v>
      </c>
      <c r="AI45" s="189"/>
      <c r="AJ45" s="90"/>
      <c r="AK45" s="90"/>
      <c r="AL45" s="183">
        <f t="shared" si="37"/>
        <v>0</v>
      </c>
      <c r="AM45" s="189"/>
      <c r="AN45" s="90"/>
      <c r="AO45" s="90"/>
      <c r="AP45" s="183">
        <f t="shared" si="23"/>
        <v>0</v>
      </c>
      <c r="AQ45" s="189"/>
      <c r="AR45" s="90"/>
      <c r="AS45" s="90"/>
      <c r="AT45" s="183">
        <f t="shared" si="24"/>
        <v>0</v>
      </c>
      <c r="AU45" s="189"/>
      <c r="AV45" s="90"/>
      <c r="AW45" s="90"/>
      <c r="AX45" s="183">
        <f t="shared" si="25"/>
        <v>0</v>
      </c>
      <c r="AY45" s="189"/>
      <c r="AZ45" s="90"/>
      <c r="BA45" s="90"/>
      <c r="BB45" s="183">
        <f t="shared" si="26"/>
        <v>0</v>
      </c>
      <c r="BC45" s="189"/>
      <c r="BD45" s="90"/>
      <c r="BE45" s="90"/>
      <c r="BF45" s="183">
        <f t="shared" si="27"/>
        <v>0</v>
      </c>
      <c r="BG45" s="189"/>
      <c r="BH45" s="90"/>
      <c r="BI45" s="90"/>
      <c r="BJ45" s="183">
        <f t="shared" si="28"/>
        <v>0</v>
      </c>
      <c r="BK45" s="189"/>
      <c r="BL45" s="90"/>
      <c r="BM45" s="90"/>
      <c r="BN45" s="183">
        <f t="shared" si="29"/>
        <v>0</v>
      </c>
      <c r="BO45" s="189"/>
      <c r="BP45" s="90"/>
      <c r="BQ45" s="90"/>
      <c r="BR45" s="183">
        <f t="shared" si="30"/>
        <v>0</v>
      </c>
      <c r="BS45" s="189"/>
      <c r="BT45" s="90"/>
      <c r="BU45" s="90"/>
      <c r="BV45" s="183">
        <f t="shared" si="31"/>
        <v>0</v>
      </c>
      <c r="BW45" s="189"/>
      <c r="BX45" s="90"/>
      <c r="BY45" s="90"/>
      <c r="BZ45" s="183">
        <f t="shared" si="32"/>
        <v>0</v>
      </c>
      <c r="CA45" s="189"/>
      <c r="CB45" s="90"/>
      <c r="CC45" s="90"/>
      <c r="CD45" s="183">
        <f t="shared" si="33"/>
        <v>0</v>
      </c>
    </row>
    <row r="46" spans="2:82" x14ac:dyDescent="0.3">
      <c r="B46" s="53"/>
      <c r="C46" s="53" t="str">
        <f t="shared" si="0"/>
        <v>CPU_Transportecbuq</v>
      </c>
      <c r="D46" s="278">
        <f t="shared" si="1"/>
        <v>1</v>
      </c>
      <c r="E46" s="278">
        <f t="shared" si="2"/>
        <v>2210000</v>
      </c>
      <c r="F46" s="1"/>
      <c r="G46" s="28" t="str">
        <f>IFERROR(VLOOKUP(F46,Tabela7[[RECURSO]:[CUSTO]],2,FALSE),"")</f>
        <v/>
      </c>
      <c r="H46" s="92"/>
      <c r="I46" s="90"/>
      <c r="J46" s="45">
        <f>IFERROR(VLOOKUP(F46,Tabela7[[RECURSO]:[CUSTO]],3,FALSE),0)</f>
        <v>0</v>
      </c>
      <c r="K46" s="45">
        <f>I46*J46*CPU_57[[#This Row],[Nº]]</f>
        <v>0</v>
      </c>
      <c r="AD46" s="144" t="str">
        <f t="shared" si="3"/>
        <v>Transporte cbuq</v>
      </c>
      <c r="AE46" s="188"/>
      <c r="AF46" s="180">
        <f t="shared" si="35"/>
        <v>0</v>
      </c>
      <c r="AG46" s="180">
        <f t="shared" si="17"/>
        <v>0</v>
      </c>
      <c r="AH46" s="181">
        <f t="shared" si="36"/>
        <v>0</v>
      </c>
      <c r="AI46" s="189"/>
      <c r="AJ46" s="90"/>
      <c r="AK46" s="90"/>
      <c r="AL46" s="183">
        <f t="shared" si="37"/>
        <v>0</v>
      </c>
      <c r="AM46" s="189"/>
      <c r="AN46" s="90"/>
      <c r="AO46" s="90"/>
      <c r="AP46" s="183">
        <f t="shared" si="23"/>
        <v>0</v>
      </c>
      <c r="AQ46" s="189"/>
      <c r="AR46" s="90"/>
      <c r="AS46" s="90"/>
      <c r="AT46" s="183">
        <f t="shared" si="24"/>
        <v>0</v>
      </c>
      <c r="AU46" s="189"/>
      <c r="AV46" s="90"/>
      <c r="AW46" s="90"/>
      <c r="AX46" s="183">
        <f t="shared" si="25"/>
        <v>0</v>
      </c>
      <c r="AY46" s="189"/>
      <c r="AZ46" s="90"/>
      <c r="BA46" s="90"/>
      <c r="BB46" s="183">
        <f t="shared" si="26"/>
        <v>0</v>
      </c>
      <c r="BC46" s="189"/>
      <c r="BD46" s="90"/>
      <c r="BE46" s="90"/>
      <c r="BF46" s="183">
        <f t="shared" si="27"/>
        <v>0</v>
      </c>
      <c r="BG46" s="189"/>
      <c r="BH46" s="90"/>
      <c r="BI46" s="90"/>
      <c r="BJ46" s="183">
        <f t="shared" si="28"/>
        <v>0</v>
      </c>
      <c r="BK46" s="189"/>
      <c r="BL46" s="90"/>
      <c r="BM46" s="90"/>
      <c r="BN46" s="183">
        <f t="shared" si="29"/>
        <v>0</v>
      </c>
      <c r="BO46" s="189"/>
      <c r="BP46" s="90"/>
      <c r="BQ46" s="90"/>
      <c r="BR46" s="183">
        <f t="shared" si="30"/>
        <v>0</v>
      </c>
      <c r="BS46" s="189"/>
      <c r="BT46" s="90"/>
      <c r="BU46" s="90"/>
      <c r="BV46" s="183">
        <f t="shared" si="31"/>
        <v>0</v>
      </c>
      <c r="BW46" s="189"/>
      <c r="BX46" s="90"/>
      <c r="BY46" s="90"/>
      <c r="BZ46" s="183">
        <f t="shared" si="32"/>
        <v>0</v>
      </c>
      <c r="CA46" s="189"/>
      <c r="CB46" s="90"/>
      <c r="CC46" s="90"/>
      <c r="CD46" s="183">
        <f t="shared" si="33"/>
        <v>0</v>
      </c>
    </row>
    <row r="47" spans="2:82" x14ac:dyDescent="0.3">
      <c r="B47" s="53"/>
      <c r="C47" s="53" t="str">
        <f t="shared" si="0"/>
        <v>CPU_Transportecbuq</v>
      </c>
      <c r="D47" s="278">
        <f t="shared" si="1"/>
        <v>1</v>
      </c>
      <c r="E47" s="278">
        <f t="shared" si="2"/>
        <v>2210000</v>
      </c>
      <c r="F47" s="1"/>
      <c r="G47" s="28" t="str">
        <f>IFERROR(VLOOKUP(F47,Tabela7[[RECURSO]:[CUSTO]],2,FALSE),"")</f>
        <v/>
      </c>
      <c r="H47" s="92"/>
      <c r="I47" s="90"/>
      <c r="J47" s="45">
        <f>IFERROR(VLOOKUP(F47,Tabela7[[RECURSO]:[CUSTO]],3,FALSE),0)</f>
        <v>0</v>
      </c>
      <c r="K47" s="45">
        <f>I47*J47*CPU_57[[#This Row],[Nº]]</f>
        <v>0</v>
      </c>
      <c r="AD47" s="144" t="str">
        <f t="shared" si="3"/>
        <v>Transporte cbuq</v>
      </c>
      <c r="AE47" s="188"/>
      <c r="AF47" s="180">
        <f t="shared" si="35"/>
        <v>0</v>
      </c>
      <c r="AG47" s="180">
        <f t="shared" si="17"/>
        <v>0</v>
      </c>
      <c r="AH47" s="181">
        <f t="shared" si="36"/>
        <v>0</v>
      </c>
      <c r="AI47" s="189"/>
      <c r="AJ47" s="90"/>
      <c r="AK47" s="90"/>
      <c r="AL47" s="183">
        <f t="shared" si="37"/>
        <v>0</v>
      </c>
      <c r="AM47" s="189"/>
      <c r="AN47" s="90"/>
      <c r="AO47" s="90"/>
      <c r="AP47" s="183">
        <f t="shared" si="23"/>
        <v>0</v>
      </c>
      <c r="AQ47" s="189"/>
      <c r="AR47" s="90"/>
      <c r="AS47" s="90"/>
      <c r="AT47" s="183">
        <f t="shared" si="24"/>
        <v>0</v>
      </c>
      <c r="AU47" s="189"/>
      <c r="AV47" s="90"/>
      <c r="AW47" s="90"/>
      <c r="AX47" s="183">
        <f t="shared" si="25"/>
        <v>0</v>
      </c>
      <c r="AY47" s="189"/>
      <c r="AZ47" s="90"/>
      <c r="BA47" s="90"/>
      <c r="BB47" s="183">
        <f t="shared" si="26"/>
        <v>0</v>
      </c>
      <c r="BC47" s="189"/>
      <c r="BD47" s="90"/>
      <c r="BE47" s="90"/>
      <c r="BF47" s="183">
        <f t="shared" si="27"/>
        <v>0</v>
      </c>
      <c r="BG47" s="189"/>
      <c r="BH47" s="90"/>
      <c r="BI47" s="90"/>
      <c r="BJ47" s="183">
        <f t="shared" si="28"/>
        <v>0</v>
      </c>
      <c r="BK47" s="189"/>
      <c r="BL47" s="90"/>
      <c r="BM47" s="90"/>
      <c r="BN47" s="183">
        <f t="shared" si="29"/>
        <v>0</v>
      </c>
      <c r="BO47" s="189"/>
      <c r="BP47" s="90"/>
      <c r="BQ47" s="90"/>
      <c r="BR47" s="183">
        <f t="shared" si="30"/>
        <v>0</v>
      </c>
      <c r="BS47" s="189"/>
      <c r="BT47" s="90"/>
      <c r="BU47" s="90"/>
      <c r="BV47" s="183">
        <f t="shared" si="31"/>
        <v>0</v>
      </c>
      <c r="BW47" s="189"/>
      <c r="BX47" s="90"/>
      <c r="BY47" s="90"/>
      <c r="BZ47" s="183">
        <f t="shared" si="32"/>
        <v>0</v>
      </c>
      <c r="CA47" s="189"/>
      <c r="CB47" s="90"/>
      <c r="CC47" s="90"/>
      <c r="CD47" s="183">
        <f t="shared" si="33"/>
        <v>0</v>
      </c>
    </row>
    <row r="48" spans="2:82" x14ac:dyDescent="0.3">
      <c r="B48" s="53"/>
      <c r="C48" s="53" t="str">
        <f t="shared" si="0"/>
        <v>CPU_Transportecbuq</v>
      </c>
      <c r="D48" s="278">
        <f t="shared" si="1"/>
        <v>1</v>
      </c>
      <c r="E48" s="278">
        <f t="shared" si="2"/>
        <v>2210000</v>
      </c>
      <c r="F48" s="1"/>
      <c r="G48" s="28" t="str">
        <f>IFERROR(VLOOKUP(F48,Tabela7[[RECURSO]:[CUSTO]],2,FALSE),"")</f>
        <v/>
      </c>
      <c r="H48" s="92"/>
      <c r="I48" s="90"/>
      <c r="J48" s="45">
        <f>IFERROR(VLOOKUP(F48,Tabela7[[RECURSO]:[CUSTO]],3,FALSE),0)</f>
        <v>0</v>
      </c>
      <c r="K48" s="45">
        <f>I48*J48*CPU_57[[#This Row],[Nº]]</f>
        <v>0</v>
      </c>
      <c r="AD48" s="144" t="str">
        <f t="shared" si="3"/>
        <v>Transporte cbuq</v>
      </c>
      <c r="AE48" s="188"/>
      <c r="AF48" s="180">
        <f t="shared" si="35"/>
        <v>0</v>
      </c>
      <c r="AG48" s="180">
        <f t="shared" si="17"/>
        <v>0</v>
      </c>
      <c r="AH48" s="181">
        <f t="shared" si="36"/>
        <v>0</v>
      </c>
      <c r="AI48" s="189"/>
      <c r="AJ48" s="90"/>
      <c r="AK48" s="90"/>
      <c r="AL48" s="183">
        <f t="shared" si="37"/>
        <v>0</v>
      </c>
      <c r="AM48" s="189"/>
      <c r="AN48" s="90"/>
      <c r="AO48" s="90"/>
      <c r="AP48" s="183">
        <f t="shared" si="23"/>
        <v>0</v>
      </c>
      <c r="AQ48" s="189"/>
      <c r="AR48" s="90"/>
      <c r="AS48" s="90"/>
      <c r="AT48" s="183">
        <f t="shared" si="24"/>
        <v>0</v>
      </c>
      <c r="AU48" s="189"/>
      <c r="AV48" s="90"/>
      <c r="AW48" s="90"/>
      <c r="AX48" s="183">
        <f t="shared" si="25"/>
        <v>0</v>
      </c>
      <c r="AY48" s="189"/>
      <c r="AZ48" s="90"/>
      <c r="BA48" s="90"/>
      <c r="BB48" s="183">
        <f t="shared" si="26"/>
        <v>0</v>
      </c>
      <c r="BC48" s="189"/>
      <c r="BD48" s="90"/>
      <c r="BE48" s="90"/>
      <c r="BF48" s="183">
        <f t="shared" si="27"/>
        <v>0</v>
      </c>
      <c r="BG48" s="189"/>
      <c r="BH48" s="90"/>
      <c r="BI48" s="90"/>
      <c r="BJ48" s="183">
        <f t="shared" si="28"/>
        <v>0</v>
      </c>
      <c r="BK48" s="189"/>
      <c r="BL48" s="90"/>
      <c r="BM48" s="90"/>
      <c r="BN48" s="183">
        <f t="shared" si="29"/>
        <v>0</v>
      </c>
      <c r="BO48" s="189"/>
      <c r="BP48" s="90"/>
      <c r="BQ48" s="90"/>
      <c r="BR48" s="183">
        <f t="shared" si="30"/>
        <v>0</v>
      </c>
      <c r="BS48" s="189"/>
      <c r="BT48" s="90"/>
      <c r="BU48" s="90"/>
      <c r="BV48" s="183">
        <f t="shared" si="31"/>
        <v>0</v>
      </c>
      <c r="BW48" s="189"/>
      <c r="BX48" s="90"/>
      <c r="BY48" s="90"/>
      <c r="BZ48" s="183">
        <f t="shared" si="32"/>
        <v>0</v>
      </c>
      <c r="CA48" s="189"/>
      <c r="CB48" s="90"/>
      <c r="CC48" s="90"/>
      <c r="CD48" s="183">
        <f t="shared" si="33"/>
        <v>0</v>
      </c>
    </row>
    <row r="49" spans="2:82" ht="15" thickBot="1" x14ac:dyDescent="0.35">
      <c r="B49" s="53"/>
      <c r="C49" s="53" t="str">
        <f t="shared" si="0"/>
        <v>CPU_Transportecbuq</v>
      </c>
      <c r="D49" s="278">
        <f t="shared" si="1"/>
        <v>1</v>
      </c>
      <c r="E49" s="278">
        <f t="shared" si="2"/>
        <v>2210000</v>
      </c>
      <c r="F49" s="1"/>
      <c r="G49" s="28" t="str">
        <f>IFERROR(VLOOKUP(F49,Tabela7[[RECURSO]:[CUSTO]],2,FALSE),"")</f>
        <v/>
      </c>
      <c r="H49" s="92"/>
      <c r="I49" s="90"/>
      <c r="J49" s="45">
        <f>IFERROR(VLOOKUP(F49,Tabela7[[RECURSO]:[CUSTO]],3,FALSE),0)</f>
        <v>0</v>
      </c>
      <c r="K49" s="45">
        <f>I49*J49*CPU_57[[#This Row],[Nº]]</f>
        <v>0</v>
      </c>
      <c r="M49" s="83" t="s">
        <v>701</v>
      </c>
      <c r="N49" s="87" t="s">
        <v>702</v>
      </c>
      <c r="AD49" s="144" t="str">
        <f t="shared" si="3"/>
        <v>Transporte cbuq</v>
      </c>
      <c r="AE49" s="188"/>
      <c r="AF49" s="180">
        <f t="shared" si="35"/>
        <v>0</v>
      </c>
      <c r="AG49" s="180">
        <f t="shared" si="17"/>
        <v>0</v>
      </c>
      <c r="AH49" s="181">
        <f t="shared" si="36"/>
        <v>0</v>
      </c>
      <c r="AI49" s="189"/>
      <c r="AJ49" s="90"/>
      <c r="AK49" s="90"/>
      <c r="AL49" s="183">
        <f t="shared" si="37"/>
        <v>0</v>
      </c>
      <c r="AM49" s="189"/>
      <c r="AN49" s="90"/>
      <c r="AO49" s="90"/>
      <c r="AP49" s="183">
        <f t="shared" si="23"/>
        <v>0</v>
      </c>
      <c r="AQ49" s="189"/>
      <c r="AR49" s="90"/>
      <c r="AS49" s="90"/>
      <c r="AT49" s="183">
        <f t="shared" si="24"/>
        <v>0</v>
      </c>
      <c r="AU49" s="189"/>
      <c r="AV49" s="90"/>
      <c r="AW49" s="90"/>
      <c r="AX49" s="183">
        <f t="shared" si="25"/>
        <v>0</v>
      </c>
      <c r="AY49" s="189"/>
      <c r="AZ49" s="90"/>
      <c r="BA49" s="90"/>
      <c r="BB49" s="183">
        <f t="shared" si="26"/>
        <v>0</v>
      </c>
      <c r="BC49" s="189"/>
      <c r="BD49" s="90"/>
      <c r="BE49" s="90"/>
      <c r="BF49" s="183">
        <f t="shared" si="27"/>
        <v>0</v>
      </c>
      <c r="BG49" s="189"/>
      <c r="BH49" s="90"/>
      <c r="BI49" s="90"/>
      <c r="BJ49" s="183">
        <f t="shared" si="28"/>
        <v>0</v>
      </c>
      <c r="BK49" s="189"/>
      <c r="BL49" s="90"/>
      <c r="BM49" s="90"/>
      <c r="BN49" s="183">
        <f t="shared" si="29"/>
        <v>0</v>
      </c>
      <c r="BO49" s="189"/>
      <c r="BP49" s="90"/>
      <c r="BQ49" s="90"/>
      <c r="BR49" s="183">
        <f t="shared" si="30"/>
        <v>0</v>
      </c>
      <c r="BS49" s="189"/>
      <c r="BT49" s="90"/>
      <c r="BU49" s="90"/>
      <c r="BV49" s="183">
        <f t="shared" si="31"/>
        <v>0</v>
      </c>
      <c r="BW49" s="189"/>
      <c r="BX49" s="90"/>
      <c r="BY49" s="90"/>
      <c r="BZ49" s="183">
        <f t="shared" si="32"/>
        <v>0</v>
      </c>
      <c r="CA49" s="189"/>
      <c r="CB49" s="90"/>
      <c r="CC49" s="90"/>
      <c r="CD49" s="183">
        <f t="shared" si="33"/>
        <v>0</v>
      </c>
    </row>
    <row r="50" spans="2:82" x14ac:dyDescent="0.3">
      <c r="B50" s="52" t="s">
        <v>693</v>
      </c>
      <c r="C50" s="52" t="str">
        <f t="shared" si="0"/>
        <v>CPU_Transportecbuq</v>
      </c>
      <c r="D50" s="277">
        <f t="shared" si="1"/>
        <v>1</v>
      </c>
      <c r="E50" s="277">
        <f t="shared" si="2"/>
        <v>2210000</v>
      </c>
      <c r="F50" s="37"/>
      <c r="G50" s="38"/>
      <c r="H50" s="38"/>
      <c r="I50" s="37"/>
      <c r="J50" s="40">
        <f>IFERROR(K50/$B$6,0)</f>
        <v>0</v>
      </c>
      <c r="K50" s="40">
        <f>SUM(K51:K62)</f>
        <v>0</v>
      </c>
      <c r="M50" s="84" t="str">
        <f>"Consumo por "&amp;J3</f>
        <v>Consumo por TXKM</v>
      </c>
      <c r="N50" s="89"/>
      <c r="AD50" s="144" t="str">
        <f t="shared" si="3"/>
        <v>Transporte cbuq</v>
      </c>
      <c r="AE50" s="190"/>
      <c r="AF50" s="191"/>
      <c r="AG50" s="40">
        <f>IFERROR(AH50/AF$3,0)</f>
        <v>0</v>
      </c>
      <c r="AH50" s="185">
        <f>SUM(AH51:AH62)</f>
        <v>0</v>
      </c>
      <c r="AI50" s="190"/>
      <c r="AJ50" s="37"/>
      <c r="AK50" s="40">
        <f>IFERROR(AL50/AJ$3,0)</f>
        <v>0</v>
      </c>
      <c r="AL50" s="185">
        <f>SUM(AL51:AL62)</f>
        <v>0</v>
      </c>
      <c r="AM50" s="190"/>
      <c r="AN50" s="37"/>
      <c r="AO50" s="40">
        <f>IFERROR(AP50/AN$3,0)</f>
        <v>0</v>
      </c>
      <c r="AP50" s="185">
        <f>SUM(AP51:AP62)</f>
        <v>0</v>
      </c>
      <c r="AQ50" s="190"/>
      <c r="AR50" s="37"/>
      <c r="AS50" s="40">
        <f>IFERROR(AT50/AR$3,0)</f>
        <v>0</v>
      </c>
      <c r="AT50" s="185">
        <f>SUM(AT51:AT62)</f>
        <v>0</v>
      </c>
      <c r="AU50" s="190"/>
      <c r="AV50" s="37"/>
      <c r="AW50" s="40">
        <f>IFERROR(AX50/AV$3,0)</f>
        <v>0</v>
      </c>
      <c r="AX50" s="185">
        <f>SUM(AX51:AX62)</f>
        <v>0</v>
      </c>
      <c r="AY50" s="190"/>
      <c r="AZ50" s="37"/>
      <c r="BA50" s="40">
        <f>IFERROR(BB50/AZ$3,0)</f>
        <v>0</v>
      </c>
      <c r="BB50" s="185">
        <f>SUM(BB51:BB62)</f>
        <v>0</v>
      </c>
      <c r="BC50" s="190"/>
      <c r="BD50" s="37"/>
      <c r="BE50" s="40">
        <f>IFERROR(BF50/BD$3,0)</f>
        <v>0</v>
      </c>
      <c r="BF50" s="185">
        <f>SUM(BF51:BF62)</f>
        <v>0</v>
      </c>
      <c r="BG50" s="190"/>
      <c r="BH50" s="37"/>
      <c r="BI50" s="40">
        <f>IFERROR(BJ50/BH$3,0)</f>
        <v>0</v>
      </c>
      <c r="BJ50" s="185">
        <f>SUM(BJ51:BJ62)</f>
        <v>0</v>
      </c>
      <c r="BK50" s="190"/>
      <c r="BL50" s="37"/>
      <c r="BM50" s="40">
        <f>IFERROR(BN50/BL$3,0)</f>
        <v>0</v>
      </c>
      <c r="BN50" s="185">
        <f>SUM(BN51:BN62)</f>
        <v>0</v>
      </c>
      <c r="BO50" s="190"/>
      <c r="BP50" s="37"/>
      <c r="BQ50" s="40">
        <f>IFERROR(BR50/BP$3,0)</f>
        <v>0</v>
      </c>
      <c r="BR50" s="185">
        <f>SUM(BR51:BR62)</f>
        <v>0</v>
      </c>
      <c r="BS50" s="190"/>
      <c r="BT50" s="37"/>
      <c r="BU50" s="40">
        <f>IFERROR(BV50/BT$3,0)</f>
        <v>0</v>
      </c>
      <c r="BV50" s="185">
        <f>SUM(BV51:BV62)</f>
        <v>0</v>
      </c>
      <c r="BW50" s="190"/>
      <c r="BX50" s="37"/>
      <c r="BY50" s="40">
        <f>IFERROR(BZ50/BX$3,0)</f>
        <v>0</v>
      </c>
      <c r="BZ50" s="185">
        <f>SUM(BZ51:BZ62)</f>
        <v>0</v>
      </c>
      <c r="CA50" s="190"/>
      <c r="CB50" s="37"/>
      <c r="CC50" s="40">
        <f>IFERROR(CD50/CB$3,0)</f>
        <v>0</v>
      </c>
      <c r="CD50" s="185">
        <f>SUM(CD51:CD62)</f>
        <v>0</v>
      </c>
    </row>
    <row r="51" spans="2:82" x14ac:dyDescent="0.3">
      <c r="B51" s="53"/>
      <c r="C51" s="53" t="str">
        <f t="shared" si="0"/>
        <v>CPU_Transportecbuq</v>
      </c>
      <c r="D51" s="278">
        <f t="shared" si="1"/>
        <v>1</v>
      </c>
      <c r="E51" s="278">
        <f t="shared" si="2"/>
        <v>2210000</v>
      </c>
      <c r="F51" s="1" t="s">
        <v>765</v>
      </c>
      <c r="G51" s="28" t="str">
        <f>IFERROR(VLOOKUP(F51,Tabela7[[RECURSO]:[CUSTO]],2,FALSE),"")</f>
        <v>TXKM</v>
      </c>
      <c r="I51" s="90">
        <f>IFERROR(M51*$B$6,0)</f>
        <v>0</v>
      </c>
      <c r="J51" s="45">
        <f>IFERROR(VLOOKUP(F51,Tabela7[[RECURSO]:[CUSTO]],3,FALSE),0)</f>
        <v>1.2</v>
      </c>
      <c r="K51" s="45">
        <f>I51*J51</f>
        <v>0</v>
      </c>
      <c r="M51" s="85">
        <v>0</v>
      </c>
      <c r="N51" s="88"/>
      <c r="AD51" s="144" t="str">
        <f t="shared" si="3"/>
        <v>Transporte cbuq</v>
      </c>
      <c r="AE51" s="192"/>
      <c r="AF51" s="180">
        <f t="shared" ref="AF51:AF62" si="38">AJ51+AN51+AR51+AV51+AZ51+BD51+BH51+BL51+BP51+BT51+BX51+CB51</f>
        <v>0</v>
      </c>
      <c r="AG51" s="180">
        <f t="shared" si="17"/>
        <v>0</v>
      </c>
      <c r="AH51" s="181">
        <f t="shared" ref="AH51:AH62" si="39">AL51+AP51+AT51+AX51+BB51+BF51+BJ51+BN51+BR51+BV51+BZ51+CD51</f>
        <v>0</v>
      </c>
      <c r="AI51" s="193"/>
      <c r="AJ51" s="90"/>
      <c r="AK51" s="90"/>
      <c r="AL51" s="183">
        <f t="shared" ref="AL51:AL62" si="40">AJ51*AK51</f>
        <v>0</v>
      </c>
      <c r="AM51" s="193"/>
      <c r="AN51" s="90"/>
      <c r="AO51" s="90"/>
      <c r="AP51" s="183">
        <f t="shared" si="23"/>
        <v>0</v>
      </c>
      <c r="AQ51" s="193"/>
      <c r="AR51" s="90"/>
      <c r="AS51" s="90"/>
      <c r="AT51" s="183">
        <f t="shared" si="24"/>
        <v>0</v>
      </c>
      <c r="AU51" s="193"/>
      <c r="AV51" s="90"/>
      <c r="AW51" s="90"/>
      <c r="AX51" s="183">
        <f t="shared" si="25"/>
        <v>0</v>
      </c>
      <c r="AY51" s="193"/>
      <c r="AZ51" s="90"/>
      <c r="BA51" s="90"/>
      <c r="BB51" s="183">
        <f t="shared" si="26"/>
        <v>0</v>
      </c>
      <c r="BC51" s="193"/>
      <c r="BD51" s="90"/>
      <c r="BE51" s="90"/>
      <c r="BF51" s="183">
        <f t="shared" si="27"/>
        <v>0</v>
      </c>
      <c r="BG51" s="193"/>
      <c r="BH51" s="90"/>
      <c r="BI51" s="90"/>
      <c r="BJ51" s="183">
        <f t="shared" si="28"/>
        <v>0</v>
      </c>
      <c r="BK51" s="193"/>
      <c r="BL51" s="90"/>
      <c r="BM51" s="90"/>
      <c r="BN51" s="183">
        <f t="shared" si="29"/>
        <v>0</v>
      </c>
      <c r="BO51" s="193"/>
      <c r="BP51" s="90"/>
      <c r="BQ51" s="90"/>
      <c r="BR51" s="183">
        <f t="shared" si="30"/>
        <v>0</v>
      </c>
      <c r="BS51" s="193"/>
      <c r="BT51" s="90"/>
      <c r="BU51" s="90"/>
      <c r="BV51" s="183">
        <f t="shared" si="31"/>
        <v>0</v>
      </c>
      <c r="BW51" s="193"/>
      <c r="BX51" s="90"/>
      <c r="BY51" s="90"/>
      <c r="BZ51" s="183">
        <f t="shared" si="32"/>
        <v>0</v>
      </c>
      <c r="CA51" s="193"/>
      <c r="CB51" s="90"/>
      <c r="CC51" s="90"/>
      <c r="CD51" s="183">
        <f t="shared" si="33"/>
        <v>0</v>
      </c>
    </row>
    <row r="52" spans="2:82" x14ac:dyDescent="0.3">
      <c r="B52" s="53"/>
      <c r="C52" s="53" t="str">
        <f t="shared" si="0"/>
        <v>CPU_Transportecbuq</v>
      </c>
      <c r="D52" s="278">
        <f t="shared" si="1"/>
        <v>1</v>
      </c>
      <c r="E52" s="278">
        <f t="shared" si="2"/>
        <v>2210000</v>
      </c>
      <c r="F52" s="1"/>
      <c r="G52" s="28" t="str">
        <f>IFERROR(VLOOKUP(F52,Tabela7[[RECURSO]:[CUSTO]],2,FALSE),"")</f>
        <v/>
      </c>
      <c r="I52" s="90">
        <f t="shared" ref="I52:I62" si="41">IFERROR(M52*$B$6,0)</f>
        <v>0</v>
      </c>
      <c r="J52" s="45">
        <f>IFERROR(VLOOKUP(F52,Tabela7[[RECURSO]:[CUSTO]],3,FALSE),0)</f>
        <v>0</v>
      </c>
      <c r="K52" s="45">
        <f t="shared" ref="K52:K62" si="42">I52*J52</f>
        <v>0</v>
      </c>
      <c r="M52" s="85"/>
      <c r="N52" s="88"/>
      <c r="AD52" s="144" t="str">
        <f t="shared" si="3"/>
        <v>Transporte cbuq</v>
      </c>
      <c r="AE52" s="192"/>
      <c r="AF52" s="180">
        <f t="shared" si="38"/>
        <v>0</v>
      </c>
      <c r="AG52" s="180">
        <f t="shared" si="17"/>
        <v>0</v>
      </c>
      <c r="AH52" s="181">
        <f t="shared" si="39"/>
        <v>0</v>
      </c>
      <c r="AI52" s="193"/>
      <c r="AJ52" s="90"/>
      <c r="AK52" s="90"/>
      <c r="AL52" s="183">
        <f t="shared" si="40"/>
        <v>0</v>
      </c>
      <c r="AM52" s="193"/>
      <c r="AN52" s="90"/>
      <c r="AO52" s="90"/>
      <c r="AP52" s="183">
        <f t="shared" si="23"/>
        <v>0</v>
      </c>
      <c r="AQ52" s="193"/>
      <c r="AR52" s="90"/>
      <c r="AS52" s="90"/>
      <c r="AT52" s="183">
        <f t="shared" si="24"/>
        <v>0</v>
      </c>
      <c r="AU52" s="193"/>
      <c r="AV52" s="90"/>
      <c r="AW52" s="90"/>
      <c r="AX52" s="183">
        <f t="shared" si="25"/>
        <v>0</v>
      </c>
      <c r="AY52" s="193"/>
      <c r="AZ52" s="90"/>
      <c r="BA52" s="90"/>
      <c r="BB52" s="183">
        <f t="shared" si="26"/>
        <v>0</v>
      </c>
      <c r="BC52" s="193"/>
      <c r="BD52" s="90"/>
      <c r="BE52" s="90"/>
      <c r="BF52" s="183">
        <f t="shared" si="27"/>
        <v>0</v>
      </c>
      <c r="BG52" s="193"/>
      <c r="BH52" s="90"/>
      <c r="BI52" s="90"/>
      <c r="BJ52" s="183">
        <f t="shared" si="28"/>
        <v>0</v>
      </c>
      <c r="BK52" s="193"/>
      <c r="BL52" s="90"/>
      <c r="BM52" s="90"/>
      <c r="BN52" s="183">
        <f t="shared" si="29"/>
        <v>0</v>
      </c>
      <c r="BO52" s="193"/>
      <c r="BP52" s="90"/>
      <c r="BQ52" s="90"/>
      <c r="BR52" s="183">
        <f t="shared" si="30"/>
        <v>0</v>
      </c>
      <c r="BS52" s="193"/>
      <c r="BT52" s="90"/>
      <c r="BU52" s="90"/>
      <c r="BV52" s="183">
        <f t="shared" si="31"/>
        <v>0</v>
      </c>
      <c r="BW52" s="193"/>
      <c r="BX52" s="90"/>
      <c r="BY52" s="90"/>
      <c r="BZ52" s="183">
        <f t="shared" si="32"/>
        <v>0</v>
      </c>
      <c r="CA52" s="193"/>
      <c r="CB52" s="90"/>
      <c r="CC52" s="90"/>
      <c r="CD52" s="183">
        <f t="shared" si="33"/>
        <v>0</v>
      </c>
    </row>
    <row r="53" spans="2:82" x14ac:dyDescent="0.3">
      <c r="B53" s="53"/>
      <c r="C53" s="53" t="str">
        <f t="shared" si="0"/>
        <v>CPU_Transportecbuq</v>
      </c>
      <c r="D53" s="278">
        <f t="shared" si="1"/>
        <v>1</v>
      </c>
      <c r="E53" s="278">
        <f t="shared" si="2"/>
        <v>2210000</v>
      </c>
      <c r="F53" s="1"/>
      <c r="G53" s="28" t="str">
        <f>IFERROR(VLOOKUP(F53,Tabela7[[RECURSO]:[CUSTO]],2,FALSE),"")</f>
        <v/>
      </c>
      <c r="I53" s="90">
        <f t="shared" si="41"/>
        <v>0</v>
      </c>
      <c r="J53" s="45">
        <f>IFERROR(VLOOKUP(F53,Tabela7[[RECURSO]:[CUSTO]],3,FALSE),0)</f>
        <v>0</v>
      </c>
      <c r="K53" s="45">
        <f t="shared" si="42"/>
        <v>0</v>
      </c>
      <c r="M53" s="85"/>
      <c r="N53" s="88"/>
      <c r="AD53" s="144" t="str">
        <f t="shared" si="3"/>
        <v>Transporte cbuq</v>
      </c>
      <c r="AE53" s="192"/>
      <c r="AF53" s="180">
        <f t="shared" si="38"/>
        <v>0</v>
      </c>
      <c r="AG53" s="180">
        <f t="shared" si="17"/>
        <v>0</v>
      </c>
      <c r="AH53" s="181">
        <f t="shared" si="39"/>
        <v>0</v>
      </c>
      <c r="AI53" s="193"/>
      <c r="AJ53" s="90"/>
      <c r="AK53" s="90"/>
      <c r="AL53" s="183">
        <f t="shared" si="40"/>
        <v>0</v>
      </c>
      <c r="AM53" s="193"/>
      <c r="AN53" s="90"/>
      <c r="AO53" s="90"/>
      <c r="AP53" s="183">
        <f t="shared" si="23"/>
        <v>0</v>
      </c>
      <c r="AQ53" s="193"/>
      <c r="AR53" s="90"/>
      <c r="AS53" s="90"/>
      <c r="AT53" s="183">
        <f t="shared" si="24"/>
        <v>0</v>
      </c>
      <c r="AU53" s="193"/>
      <c r="AV53" s="90"/>
      <c r="AW53" s="90"/>
      <c r="AX53" s="183">
        <f t="shared" si="25"/>
        <v>0</v>
      </c>
      <c r="AY53" s="193"/>
      <c r="AZ53" s="90"/>
      <c r="BA53" s="90"/>
      <c r="BB53" s="183">
        <f t="shared" si="26"/>
        <v>0</v>
      </c>
      <c r="BC53" s="193"/>
      <c r="BD53" s="90"/>
      <c r="BE53" s="90"/>
      <c r="BF53" s="183">
        <f t="shared" si="27"/>
        <v>0</v>
      </c>
      <c r="BG53" s="193"/>
      <c r="BH53" s="90"/>
      <c r="BI53" s="90"/>
      <c r="BJ53" s="183">
        <f t="shared" si="28"/>
        <v>0</v>
      </c>
      <c r="BK53" s="193"/>
      <c r="BL53" s="90"/>
      <c r="BM53" s="90"/>
      <c r="BN53" s="183">
        <f t="shared" si="29"/>
        <v>0</v>
      </c>
      <c r="BO53" s="193"/>
      <c r="BP53" s="90"/>
      <c r="BQ53" s="90"/>
      <c r="BR53" s="183">
        <f t="shared" si="30"/>
        <v>0</v>
      </c>
      <c r="BS53" s="193"/>
      <c r="BT53" s="90"/>
      <c r="BU53" s="90"/>
      <c r="BV53" s="183">
        <f t="shared" si="31"/>
        <v>0</v>
      </c>
      <c r="BW53" s="193"/>
      <c r="BX53" s="90"/>
      <c r="BY53" s="90"/>
      <c r="BZ53" s="183">
        <f t="shared" si="32"/>
        <v>0</v>
      </c>
      <c r="CA53" s="193"/>
      <c r="CB53" s="90"/>
      <c r="CC53" s="90"/>
      <c r="CD53" s="183">
        <f t="shared" si="33"/>
        <v>0</v>
      </c>
    </row>
    <row r="54" spans="2:82" x14ac:dyDescent="0.3">
      <c r="B54" s="53"/>
      <c r="C54" s="53" t="str">
        <f t="shared" si="0"/>
        <v>CPU_Transportecbuq</v>
      </c>
      <c r="D54" s="278">
        <f t="shared" si="1"/>
        <v>1</v>
      </c>
      <c r="E54" s="278">
        <f t="shared" si="2"/>
        <v>2210000</v>
      </c>
      <c r="F54" s="1"/>
      <c r="G54" s="28" t="str">
        <f>IFERROR(VLOOKUP(F54,Tabela7[[RECURSO]:[CUSTO]],2,FALSE),"")</f>
        <v/>
      </c>
      <c r="I54" s="90">
        <f t="shared" si="41"/>
        <v>0</v>
      </c>
      <c r="J54" s="45">
        <f>IFERROR(VLOOKUP(F54,Tabela7[[RECURSO]:[CUSTO]],3,FALSE),0)</f>
        <v>0</v>
      </c>
      <c r="K54" s="45">
        <f>I54*J54</f>
        <v>0</v>
      </c>
      <c r="M54" s="85"/>
      <c r="N54" s="88"/>
      <c r="AD54" s="144" t="str">
        <f>$B$3</f>
        <v>Transporte cbuq</v>
      </c>
      <c r="AE54" s="192"/>
      <c r="AF54" s="180">
        <f t="shared" si="38"/>
        <v>0</v>
      </c>
      <c r="AG54" s="180">
        <f t="shared" si="17"/>
        <v>0</v>
      </c>
      <c r="AH54" s="181">
        <f t="shared" si="39"/>
        <v>0</v>
      </c>
      <c r="AI54" s="193"/>
      <c r="AJ54" s="90"/>
      <c r="AK54" s="90"/>
      <c r="AL54" s="183">
        <f t="shared" si="40"/>
        <v>0</v>
      </c>
      <c r="AM54" s="193"/>
      <c r="AN54" s="90"/>
      <c r="AO54" s="90"/>
      <c r="AP54" s="183">
        <f t="shared" si="23"/>
        <v>0</v>
      </c>
      <c r="AQ54" s="193"/>
      <c r="AR54" s="90"/>
      <c r="AS54" s="90"/>
      <c r="AT54" s="183">
        <f t="shared" si="24"/>
        <v>0</v>
      </c>
      <c r="AU54" s="193"/>
      <c r="AV54" s="90"/>
      <c r="AW54" s="90"/>
      <c r="AX54" s="183">
        <f t="shared" si="25"/>
        <v>0</v>
      </c>
      <c r="AY54" s="193"/>
      <c r="AZ54" s="90"/>
      <c r="BA54" s="90"/>
      <c r="BB54" s="183">
        <f t="shared" si="26"/>
        <v>0</v>
      </c>
      <c r="BC54" s="193"/>
      <c r="BD54" s="90"/>
      <c r="BE54" s="90"/>
      <c r="BF54" s="183">
        <f t="shared" si="27"/>
        <v>0</v>
      </c>
      <c r="BG54" s="193"/>
      <c r="BH54" s="90"/>
      <c r="BI54" s="90"/>
      <c r="BJ54" s="183">
        <f t="shared" si="28"/>
        <v>0</v>
      </c>
      <c r="BK54" s="193"/>
      <c r="BL54" s="90"/>
      <c r="BM54" s="90"/>
      <c r="BN54" s="183">
        <f t="shared" si="29"/>
        <v>0</v>
      </c>
      <c r="BO54" s="193"/>
      <c r="BP54" s="90"/>
      <c r="BQ54" s="90"/>
      <c r="BR54" s="183">
        <f t="shared" si="30"/>
        <v>0</v>
      </c>
      <c r="BS54" s="193"/>
      <c r="BT54" s="90"/>
      <c r="BU54" s="90"/>
      <c r="BV54" s="183">
        <f t="shared" si="31"/>
        <v>0</v>
      </c>
      <c r="BW54" s="193"/>
      <c r="BX54" s="90"/>
      <c r="BY54" s="90"/>
      <c r="BZ54" s="183">
        <f t="shared" si="32"/>
        <v>0</v>
      </c>
      <c r="CA54" s="193"/>
      <c r="CB54" s="90"/>
      <c r="CC54" s="90"/>
      <c r="CD54" s="183">
        <f t="shared" si="33"/>
        <v>0</v>
      </c>
    </row>
    <row r="55" spans="2:82" x14ac:dyDescent="0.3">
      <c r="B55" s="53"/>
      <c r="C55" s="53" t="str">
        <f t="shared" si="0"/>
        <v>CPU_Transportecbuq</v>
      </c>
      <c r="D55" s="278">
        <f t="shared" si="1"/>
        <v>1</v>
      </c>
      <c r="E55" s="278">
        <f t="shared" si="2"/>
        <v>2210000</v>
      </c>
      <c r="F55" s="1"/>
      <c r="G55" s="28" t="str">
        <f>IFERROR(VLOOKUP(F55,Tabela7[[RECURSO]:[CUSTO]],2,FALSE),"")</f>
        <v/>
      </c>
      <c r="I55" s="90">
        <f t="shared" si="41"/>
        <v>0</v>
      </c>
      <c r="J55" s="45">
        <f>IFERROR(VLOOKUP(F55,Tabela7[[RECURSO]:[CUSTO]],3,FALSE),0)</f>
        <v>0</v>
      </c>
      <c r="K55" s="45">
        <f t="shared" si="42"/>
        <v>0</v>
      </c>
      <c r="M55" s="85"/>
      <c r="N55" s="88"/>
      <c r="AD55" s="144" t="str">
        <f t="shared" si="3"/>
        <v>Transporte cbuq</v>
      </c>
      <c r="AE55" s="192"/>
      <c r="AF55" s="180">
        <f t="shared" si="38"/>
        <v>0</v>
      </c>
      <c r="AG55" s="180">
        <f t="shared" si="17"/>
        <v>0</v>
      </c>
      <c r="AH55" s="181">
        <f t="shared" si="39"/>
        <v>0</v>
      </c>
      <c r="AI55" s="193"/>
      <c r="AJ55" s="90"/>
      <c r="AK55" s="90"/>
      <c r="AL55" s="183">
        <f t="shared" si="40"/>
        <v>0</v>
      </c>
      <c r="AM55" s="193"/>
      <c r="AN55" s="90"/>
      <c r="AO55" s="90"/>
      <c r="AP55" s="183">
        <f t="shared" si="23"/>
        <v>0</v>
      </c>
      <c r="AQ55" s="193"/>
      <c r="AR55" s="90"/>
      <c r="AS55" s="90"/>
      <c r="AT55" s="183">
        <f t="shared" si="24"/>
        <v>0</v>
      </c>
      <c r="AU55" s="193"/>
      <c r="AV55" s="90"/>
      <c r="AW55" s="90"/>
      <c r="AX55" s="183">
        <f t="shared" si="25"/>
        <v>0</v>
      </c>
      <c r="AY55" s="193"/>
      <c r="AZ55" s="90"/>
      <c r="BA55" s="90"/>
      <c r="BB55" s="183">
        <f t="shared" si="26"/>
        <v>0</v>
      </c>
      <c r="BC55" s="193"/>
      <c r="BD55" s="90"/>
      <c r="BE55" s="90"/>
      <c r="BF55" s="183">
        <f t="shared" si="27"/>
        <v>0</v>
      </c>
      <c r="BG55" s="193"/>
      <c r="BH55" s="90"/>
      <c r="BI55" s="90"/>
      <c r="BJ55" s="183">
        <f t="shared" si="28"/>
        <v>0</v>
      </c>
      <c r="BK55" s="193"/>
      <c r="BL55" s="90"/>
      <c r="BM55" s="90"/>
      <c r="BN55" s="183">
        <f t="shared" si="29"/>
        <v>0</v>
      </c>
      <c r="BO55" s="193"/>
      <c r="BP55" s="90"/>
      <c r="BQ55" s="90"/>
      <c r="BR55" s="183">
        <f t="shared" si="30"/>
        <v>0</v>
      </c>
      <c r="BS55" s="193"/>
      <c r="BT55" s="90"/>
      <c r="BU55" s="90"/>
      <c r="BV55" s="183">
        <f t="shared" si="31"/>
        <v>0</v>
      </c>
      <c r="BW55" s="193"/>
      <c r="BX55" s="90"/>
      <c r="BY55" s="90"/>
      <c r="BZ55" s="183">
        <f t="shared" si="32"/>
        <v>0</v>
      </c>
      <c r="CA55" s="193"/>
      <c r="CB55" s="90"/>
      <c r="CC55" s="90"/>
      <c r="CD55" s="183">
        <f t="shared" si="33"/>
        <v>0</v>
      </c>
    </row>
    <row r="56" spans="2:82" x14ac:dyDescent="0.3">
      <c r="B56" s="53"/>
      <c r="C56" s="53" t="str">
        <f t="shared" si="0"/>
        <v>CPU_Transportecbuq</v>
      </c>
      <c r="D56" s="278">
        <f t="shared" si="1"/>
        <v>1</v>
      </c>
      <c r="E56" s="278">
        <f t="shared" si="2"/>
        <v>2210000</v>
      </c>
      <c r="F56" s="1"/>
      <c r="G56" s="28" t="str">
        <f>IFERROR(VLOOKUP(F56,Tabela7[[RECURSO]:[CUSTO]],2,FALSE),"")</f>
        <v/>
      </c>
      <c r="I56" s="90">
        <f t="shared" si="41"/>
        <v>0</v>
      </c>
      <c r="J56" s="45">
        <f>IFERROR(VLOOKUP(F56,Tabela7[[RECURSO]:[CUSTO]],3,FALSE),0)</f>
        <v>0</v>
      </c>
      <c r="K56" s="45">
        <f t="shared" si="42"/>
        <v>0</v>
      </c>
      <c r="M56" s="85"/>
      <c r="N56" s="88"/>
      <c r="AD56" s="144" t="str">
        <f t="shared" si="3"/>
        <v>Transporte cbuq</v>
      </c>
      <c r="AE56" s="192"/>
      <c r="AF56" s="180">
        <f t="shared" si="38"/>
        <v>0</v>
      </c>
      <c r="AG56" s="180">
        <f t="shared" si="17"/>
        <v>0</v>
      </c>
      <c r="AH56" s="181">
        <f t="shared" si="39"/>
        <v>0</v>
      </c>
      <c r="AI56" s="193"/>
      <c r="AJ56" s="90"/>
      <c r="AK56" s="90"/>
      <c r="AL56" s="183">
        <f t="shared" si="40"/>
        <v>0</v>
      </c>
      <c r="AM56" s="193"/>
      <c r="AN56" s="90"/>
      <c r="AO56" s="90"/>
      <c r="AP56" s="183">
        <f t="shared" si="23"/>
        <v>0</v>
      </c>
      <c r="AQ56" s="193"/>
      <c r="AR56" s="90"/>
      <c r="AS56" s="90"/>
      <c r="AT56" s="183">
        <f t="shared" si="24"/>
        <v>0</v>
      </c>
      <c r="AU56" s="193"/>
      <c r="AV56" s="90"/>
      <c r="AW56" s="90"/>
      <c r="AX56" s="183">
        <f t="shared" si="25"/>
        <v>0</v>
      </c>
      <c r="AY56" s="193"/>
      <c r="AZ56" s="90"/>
      <c r="BA56" s="90"/>
      <c r="BB56" s="183">
        <f t="shared" si="26"/>
        <v>0</v>
      </c>
      <c r="BC56" s="193"/>
      <c r="BD56" s="90"/>
      <c r="BE56" s="90"/>
      <c r="BF56" s="183">
        <f t="shared" si="27"/>
        <v>0</v>
      </c>
      <c r="BG56" s="193"/>
      <c r="BH56" s="90"/>
      <c r="BI56" s="90"/>
      <c r="BJ56" s="183">
        <f t="shared" si="28"/>
        <v>0</v>
      </c>
      <c r="BK56" s="193"/>
      <c r="BL56" s="90"/>
      <c r="BM56" s="90"/>
      <c r="BN56" s="183">
        <f t="shared" si="29"/>
        <v>0</v>
      </c>
      <c r="BO56" s="193"/>
      <c r="BP56" s="90"/>
      <c r="BQ56" s="90"/>
      <c r="BR56" s="183">
        <f t="shared" si="30"/>
        <v>0</v>
      </c>
      <c r="BS56" s="193"/>
      <c r="BT56" s="90"/>
      <c r="BU56" s="90"/>
      <c r="BV56" s="183">
        <f t="shared" si="31"/>
        <v>0</v>
      </c>
      <c r="BW56" s="193"/>
      <c r="BX56" s="90"/>
      <c r="BY56" s="90"/>
      <c r="BZ56" s="183">
        <f t="shared" si="32"/>
        <v>0</v>
      </c>
      <c r="CA56" s="193"/>
      <c r="CB56" s="90"/>
      <c r="CC56" s="90"/>
      <c r="CD56" s="183">
        <f t="shared" si="33"/>
        <v>0</v>
      </c>
    </row>
    <row r="57" spans="2:82" x14ac:dyDescent="0.3">
      <c r="B57" s="53"/>
      <c r="C57" s="53" t="str">
        <f t="shared" si="0"/>
        <v>CPU_Transportecbuq</v>
      </c>
      <c r="D57" s="278">
        <f t="shared" si="1"/>
        <v>1</v>
      </c>
      <c r="E57" s="278">
        <f t="shared" si="2"/>
        <v>2210000</v>
      </c>
      <c r="F57" s="1"/>
      <c r="G57" s="28" t="str">
        <f>IFERROR(VLOOKUP(F57,Tabela7[[RECURSO]:[CUSTO]],2,FALSE),"")</f>
        <v/>
      </c>
      <c r="I57" s="90">
        <f t="shared" si="41"/>
        <v>0</v>
      </c>
      <c r="J57" s="45">
        <f>IFERROR(VLOOKUP(F57,Tabela7[[RECURSO]:[CUSTO]],3,FALSE),0)</f>
        <v>0</v>
      </c>
      <c r="K57" s="45">
        <f t="shared" si="42"/>
        <v>0</v>
      </c>
      <c r="M57" s="85"/>
      <c r="N57" s="88"/>
      <c r="AD57" s="144" t="str">
        <f t="shared" si="3"/>
        <v>Transporte cbuq</v>
      </c>
      <c r="AE57" s="192"/>
      <c r="AF57" s="180">
        <f t="shared" si="38"/>
        <v>0</v>
      </c>
      <c r="AG57" s="180">
        <f t="shared" si="17"/>
        <v>0</v>
      </c>
      <c r="AH57" s="181">
        <f t="shared" si="39"/>
        <v>0</v>
      </c>
      <c r="AI57" s="193"/>
      <c r="AJ57" s="90"/>
      <c r="AK57" s="90"/>
      <c r="AL57" s="183">
        <f t="shared" si="40"/>
        <v>0</v>
      </c>
      <c r="AM57" s="193"/>
      <c r="AN57" s="90"/>
      <c r="AO57" s="90"/>
      <c r="AP57" s="183">
        <f t="shared" si="23"/>
        <v>0</v>
      </c>
      <c r="AQ57" s="193"/>
      <c r="AR57" s="90"/>
      <c r="AS57" s="90"/>
      <c r="AT57" s="183">
        <f t="shared" si="24"/>
        <v>0</v>
      </c>
      <c r="AU57" s="193"/>
      <c r="AV57" s="90"/>
      <c r="AW57" s="90"/>
      <c r="AX57" s="183">
        <f t="shared" si="25"/>
        <v>0</v>
      </c>
      <c r="AY57" s="193"/>
      <c r="AZ57" s="90"/>
      <c r="BA57" s="90"/>
      <c r="BB57" s="183">
        <f t="shared" si="26"/>
        <v>0</v>
      </c>
      <c r="BC57" s="193"/>
      <c r="BD57" s="90"/>
      <c r="BE57" s="90"/>
      <c r="BF57" s="183">
        <f t="shared" si="27"/>
        <v>0</v>
      </c>
      <c r="BG57" s="193"/>
      <c r="BH57" s="90"/>
      <c r="BI57" s="90"/>
      <c r="BJ57" s="183">
        <f t="shared" si="28"/>
        <v>0</v>
      </c>
      <c r="BK57" s="193"/>
      <c r="BL57" s="90"/>
      <c r="BM57" s="90"/>
      <c r="BN57" s="183">
        <f t="shared" si="29"/>
        <v>0</v>
      </c>
      <c r="BO57" s="193"/>
      <c r="BP57" s="90"/>
      <c r="BQ57" s="90"/>
      <c r="BR57" s="183">
        <f t="shared" si="30"/>
        <v>0</v>
      </c>
      <c r="BS57" s="193"/>
      <c r="BT57" s="90"/>
      <c r="BU57" s="90"/>
      <c r="BV57" s="183">
        <f t="shared" si="31"/>
        <v>0</v>
      </c>
      <c r="BW57" s="193"/>
      <c r="BX57" s="90"/>
      <c r="BY57" s="90"/>
      <c r="BZ57" s="183">
        <f t="shared" si="32"/>
        <v>0</v>
      </c>
      <c r="CA57" s="193"/>
      <c r="CB57" s="90"/>
      <c r="CC57" s="90"/>
      <c r="CD57" s="183">
        <f t="shared" si="33"/>
        <v>0</v>
      </c>
    </row>
    <row r="58" spans="2:82" x14ac:dyDescent="0.3">
      <c r="B58" s="53"/>
      <c r="C58" s="53" t="str">
        <f t="shared" si="0"/>
        <v>CPU_Transportecbuq</v>
      </c>
      <c r="D58" s="278">
        <f t="shared" si="1"/>
        <v>1</v>
      </c>
      <c r="E58" s="278">
        <f t="shared" si="2"/>
        <v>2210000</v>
      </c>
      <c r="F58" s="1"/>
      <c r="G58" s="28" t="str">
        <f>IFERROR(VLOOKUP(F58,Tabela7[[RECURSO]:[CUSTO]],2,FALSE),"")</f>
        <v/>
      </c>
      <c r="I58" s="90">
        <f t="shared" si="41"/>
        <v>0</v>
      </c>
      <c r="J58" s="45">
        <f>IFERROR(VLOOKUP(F58,Tabela7[[RECURSO]:[CUSTO]],3,FALSE),0)</f>
        <v>0</v>
      </c>
      <c r="K58" s="45">
        <f t="shared" si="42"/>
        <v>0</v>
      </c>
      <c r="M58" s="85"/>
      <c r="N58" s="88"/>
      <c r="AD58" s="144" t="str">
        <f t="shared" si="3"/>
        <v>Transporte cbuq</v>
      </c>
      <c r="AE58" s="192"/>
      <c r="AF58" s="180">
        <f t="shared" si="38"/>
        <v>0</v>
      </c>
      <c r="AG58" s="180">
        <f t="shared" si="17"/>
        <v>0</v>
      </c>
      <c r="AH58" s="181">
        <f t="shared" si="39"/>
        <v>0</v>
      </c>
      <c r="AI58" s="193"/>
      <c r="AJ58" s="90"/>
      <c r="AK58" s="90"/>
      <c r="AL58" s="183">
        <f t="shared" si="40"/>
        <v>0</v>
      </c>
      <c r="AM58" s="193"/>
      <c r="AN58" s="90"/>
      <c r="AO58" s="90"/>
      <c r="AP58" s="183">
        <f t="shared" si="23"/>
        <v>0</v>
      </c>
      <c r="AQ58" s="193"/>
      <c r="AR58" s="90"/>
      <c r="AS58" s="90"/>
      <c r="AT58" s="183">
        <f t="shared" si="24"/>
        <v>0</v>
      </c>
      <c r="AU58" s="193"/>
      <c r="AV58" s="90"/>
      <c r="AW58" s="90"/>
      <c r="AX58" s="183">
        <f t="shared" si="25"/>
        <v>0</v>
      </c>
      <c r="AY58" s="193"/>
      <c r="AZ58" s="90"/>
      <c r="BA58" s="90"/>
      <c r="BB58" s="183">
        <f t="shared" si="26"/>
        <v>0</v>
      </c>
      <c r="BC58" s="193"/>
      <c r="BD58" s="90"/>
      <c r="BE58" s="90"/>
      <c r="BF58" s="183">
        <f t="shared" si="27"/>
        <v>0</v>
      </c>
      <c r="BG58" s="193"/>
      <c r="BH58" s="90"/>
      <c r="BI58" s="90"/>
      <c r="BJ58" s="183">
        <f t="shared" si="28"/>
        <v>0</v>
      </c>
      <c r="BK58" s="193"/>
      <c r="BL58" s="90"/>
      <c r="BM58" s="90"/>
      <c r="BN58" s="183">
        <f t="shared" si="29"/>
        <v>0</v>
      </c>
      <c r="BO58" s="193"/>
      <c r="BP58" s="90"/>
      <c r="BQ58" s="90"/>
      <c r="BR58" s="183">
        <f t="shared" si="30"/>
        <v>0</v>
      </c>
      <c r="BS58" s="193"/>
      <c r="BT58" s="90"/>
      <c r="BU58" s="90"/>
      <c r="BV58" s="183">
        <f t="shared" si="31"/>
        <v>0</v>
      </c>
      <c r="BW58" s="193"/>
      <c r="BX58" s="90"/>
      <c r="BY58" s="90"/>
      <c r="BZ58" s="183">
        <f t="shared" si="32"/>
        <v>0</v>
      </c>
      <c r="CA58" s="193"/>
      <c r="CB58" s="90"/>
      <c r="CC58" s="90"/>
      <c r="CD58" s="183">
        <f t="shared" si="33"/>
        <v>0</v>
      </c>
    </row>
    <row r="59" spans="2:82" x14ac:dyDescent="0.3">
      <c r="B59" s="53"/>
      <c r="C59" s="53" t="str">
        <f t="shared" si="0"/>
        <v>CPU_Transportecbuq</v>
      </c>
      <c r="D59" s="278">
        <f t="shared" si="1"/>
        <v>1</v>
      </c>
      <c r="E59" s="278">
        <f t="shared" si="2"/>
        <v>2210000</v>
      </c>
      <c r="F59" s="1"/>
      <c r="G59" s="28" t="str">
        <f>IFERROR(VLOOKUP(F59,Tabela7[[RECURSO]:[CUSTO]],2,FALSE),"")</f>
        <v/>
      </c>
      <c r="I59" s="90">
        <f t="shared" si="41"/>
        <v>0</v>
      </c>
      <c r="J59" s="45">
        <f>IFERROR(VLOOKUP(F59,Tabela7[[RECURSO]:[CUSTO]],3,FALSE),0)</f>
        <v>0</v>
      </c>
      <c r="K59" s="45">
        <f t="shared" si="42"/>
        <v>0</v>
      </c>
      <c r="M59" s="85"/>
      <c r="N59" s="88"/>
      <c r="AD59" s="144" t="str">
        <f t="shared" si="3"/>
        <v>Transporte cbuq</v>
      </c>
      <c r="AE59" s="192"/>
      <c r="AF59" s="180">
        <f t="shared" si="38"/>
        <v>0</v>
      </c>
      <c r="AG59" s="180">
        <f t="shared" si="17"/>
        <v>0</v>
      </c>
      <c r="AH59" s="181">
        <f t="shared" si="39"/>
        <v>0</v>
      </c>
      <c r="AI59" s="193"/>
      <c r="AJ59" s="90"/>
      <c r="AK59" s="90"/>
      <c r="AL59" s="183">
        <f t="shared" si="40"/>
        <v>0</v>
      </c>
      <c r="AM59" s="193"/>
      <c r="AN59" s="90"/>
      <c r="AO59" s="90"/>
      <c r="AP59" s="183">
        <f t="shared" si="23"/>
        <v>0</v>
      </c>
      <c r="AQ59" s="193"/>
      <c r="AR59" s="90"/>
      <c r="AS59" s="90"/>
      <c r="AT59" s="183">
        <f t="shared" si="24"/>
        <v>0</v>
      </c>
      <c r="AU59" s="193"/>
      <c r="AV59" s="90"/>
      <c r="AW59" s="90"/>
      <c r="AX59" s="183">
        <f t="shared" si="25"/>
        <v>0</v>
      </c>
      <c r="AY59" s="193"/>
      <c r="AZ59" s="90"/>
      <c r="BA59" s="90"/>
      <c r="BB59" s="183">
        <f t="shared" si="26"/>
        <v>0</v>
      </c>
      <c r="BC59" s="193"/>
      <c r="BD59" s="90"/>
      <c r="BE59" s="90"/>
      <c r="BF59" s="183">
        <f t="shared" si="27"/>
        <v>0</v>
      </c>
      <c r="BG59" s="193"/>
      <c r="BH59" s="90"/>
      <c r="BI59" s="90"/>
      <c r="BJ59" s="183">
        <f t="shared" si="28"/>
        <v>0</v>
      </c>
      <c r="BK59" s="193"/>
      <c r="BL59" s="90"/>
      <c r="BM59" s="90"/>
      <c r="BN59" s="183">
        <f t="shared" si="29"/>
        <v>0</v>
      </c>
      <c r="BO59" s="193"/>
      <c r="BP59" s="90"/>
      <c r="BQ59" s="90"/>
      <c r="BR59" s="183">
        <f t="shared" si="30"/>
        <v>0</v>
      </c>
      <c r="BS59" s="193"/>
      <c r="BT59" s="90"/>
      <c r="BU59" s="90"/>
      <c r="BV59" s="183">
        <f t="shared" si="31"/>
        <v>0</v>
      </c>
      <c r="BW59" s="193"/>
      <c r="BX59" s="90"/>
      <c r="BY59" s="90"/>
      <c r="BZ59" s="183">
        <f t="shared" si="32"/>
        <v>0</v>
      </c>
      <c r="CA59" s="193"/>
      <c r="CB59" s="90"/>
      <c r="CC59" s="90"/>
      <c r="CD59" s="183">
        <f t="shared" si="33"/>
        <v>0</v>
      </c>
    </row>
    <row r="60" spans="2:82" x14ac:dyDescent="0.3">
      <c r="B60" s="53"/>
      <c r="C60" s="53" t="str">
        <f t="shared" si="0"/>
        <v>CPU_Transportecbuq</v>
      </c>
      <c r="D60" s="278">
        <f t="shared" si="1"/>
        <v>1</v>
      </c>
      <c r="E60" s="278">
        <f t="shared" si="2"/>
        <v>2210000</v>
      </c>
      <c r="F60" s="1"/>
      <c r="G60" s="28" t="str">
        <f>IFERROR(VLOOKUP(F60,Tabela7[[RECURSO]:[CUSTO]],2,FALSE),"")</f>
        <v/>
      </c>
      <c r="I60" s="90">
        <f t="shared" si="41"/>
        <v>0</v>
      </c>
      <c r="J60" s="45">
        <f>IFERROR(VLOOKUP(F60,Tabela7[[RECURSO]:[CUSTO]],3,FALSE),0)</f>
        <v>0</v>
      </c>
      <c r="K60" s="45">
        <f t="shared" si="42"/>
        <v>0</v>
      </c>
      <c r="M60" s="85"/>
      <c r="N60" s="88"/>
      <c r="AD60" s="144" t="str">
        <f t="shared" si="3"/>
        <v>Transporte cbuq</v>
      </c>
      <c r="AE60" s="192"/>
      <c r="AF60" s="180">
        <f t="shared" si="38"/>
        <v>0</v>
      </c>
      <c r="AG60" s="180">
        <f t="shared" si="17"/>
        <v>0</v>
      </c>
      <c r="AH60" s="181">
        <f t="shared" si="39"/>
        <v>0</v>
      </c>
      <c r="AI60" s="193"/>
      <c r="AJ60" s="90"/>
      <c r="AK60" s="90"/>
      <c r="AL60" s="183">
        <f t="shared" si="40"/>
        <v>0</v>
      </c>
      <c r="AM60" s="193"/>
      <c r="AN60" s="90"/>
      <c r="AO60" s="90"/>
      <c r="AP60" s="183">
        <f t="shared" si="23"/>
        <v>0</v>
      </c>
      <c r="AQ60" s="193"/>
      <c r="AR60" s="90"/>
      <c r="AS60" s="90"/>
      <c r="AT60" s="183">
        <f t="shared" si="24"/>
        <v>0</v>
      </c>
      <c r="AU60" s="193"/>
      <c r="AV60" s="90"/>
      <c r="AW60" s="90"/>
      <c r="AX60" s="183">
        <f t="shared" si="25"/>
        <v>0</v>
      </c>
      <c r="AY60" s="193"/>
      <c r="AZ60" s="90"/>
      <c r="BA60" s="90"/>
      <c r="BB60" s="183">
        <f t="shared" si="26"/>
        <v>0</v>
      </c>
      <c r="BC60" s="193"/>
      <c r="BD60" s="90"/>
      <c r="BE60" s="90"/>
      <c r="BF60" s="183">
        <f t="shared" si="27"/>
        <v>0</v>
      </c>
      <c r="BG60" s="193"/>
      <c r="BH60" s="90"/>
      <c r="BI60" s="90"/>
      <c r="BJ60" s="183">
        <f t="shared" si="28"/>
        <v>0</v>
      </c>
      <c r="BK60" s="193"/>
      <c r="BL60" s="90"/>
      <c r="BM60" s="90"/>
      <c r="BN60" s="183">
        <f t="shared" si="29"/>
        <v>0</v>
      </c>
      <c r="BO60" s="193"/>
      <c r="BP60" s="90"/>
      <c r="BQ60" s="90"/>
      <c r="BR60" s="183">
        <f t="shared" si="30"/>
        <v>0</v>
      </c>
      <c r="BS60" s="193"/>
      <c r="BT60" s="90"/>
      <c r="BU60" s="90"/>
      <c r="BV60" s="183">
        <f t="shared" si="31"/>
        <v>0</v>
      </c>
      <c r="BW60" s="193"/>
      <c r="BX60" s="90"/>
      <c r="BY60" s="90"/>
      <c r="BZ60" s="183">
        <f t="shared" si="32"/>
        <v>0</v>
      </c>
      <c r="CA60" s="193"/>
      <c r="CB60" s="90"/>
      <c r="CC60" s="90"/>
      <c r="CD60" s="183">
        <f t="shared" si="33"/>
        <v>0</v>
      </c>
    </row>
    <row r="61" spans="2:82" x14ac:dyDescent="0.3">
      <c r="B61" s="53"/>
      <c r="C61" s="53" t="str">
        <f t="shared" si="0"/>
        <v>CPU_Transportecbuq</v>
      </c>
      <c r="D61" s="278">
        <f t="shared" si="1"/>
        <v>1</v>
      </c>
      <c r="E61" s="278">
        <f t="shared" si="2"/>
        <v>2210000</v>
      </c>
      <c r="F61" s="1"/>
      <c r="G61" s="28" t="str">
        <f>IFERROR(VLOOKUP(F61,Tabela7[[RECURSO]:[CUSTO]],2,FALSE),"")</f>
        <v/>
      </c>
      <c r="I61" s="90">
        <f t="shared" si="41"/>
        <v>0</v>
      </c>
      <c r="J61" s="45">
        <f>IFERROR(VLOOKUP(F61,Tabela7[[RECURSO]:[CUSTO]],3,FALSE),0)</f>
        <v>0</v>
      </c>
      <c r="K61" s="45">
        <f t="shared" si="42"/>
        <v>0</v>
      </c>
      <c r="M61" s="85"/>
      <c r="N61" s="88"/>
      <c r="AD61" s="144" t="str">
        <f t="shared" si="3"/>
        <v>Transporte cbuq</v>
      </c>
      <c r="AE61" s="192"/>
      <c r="AF61" s="180">
        <f t="shared" si="38"/>
        <v>0</v>
      </c>
      <c r="AG61" s="180">
        <f t="shared" si="17"/>
        <v>0</v>
      </c>
      <c r="AH61" s="181">
        <f t="shared" si="39"/>
        <v>0</v>
      </c>
      <c r="AI61" s="193"/>
      <c r="AJ61" s="90"/>
      <c r="AK61" s="90"/>
      <c r="AL61" s="183">
        <f t="shared" si="40"/>
        <v>0</v>
      </c>
      <c r="AM61" s="193"/>
      <c r="AN61" s="90"/>
      <c r="AO61" s="90"/>
      <c r="AP61" s="183">
        <f t="shared" si="23"/>
        <v>0</v>
      </c>
      <c r="AQ61" s="193"/>
      <c r="AR61" s="90"/>
      <c r="AS61" s="90"/>
      <c r="AT61" s="183">
        <f t="shared" si="24"/>
        <v>0</v>
      </c>
      <c r="AU61" s="193"/>
      <c r="AV61" s="90"/>
      <c r="AW61" s="90"/>
      <c r="AX61" s="183">
        <f t="shared" si="25"/>
        <v>0</v>
      </c>
      <c r="AY61" s="193"/>
      <c r="AZ61" s="90"/>
      <c r="BA61" s="90"/>
      <c r="BB61" s="183">
        <f t="shared" si="26"/>
        <v>0</v>
      </c>
      <c r="BC61" s="193"/>
      <c r="BD61" s="90"/>
      <c r="BE61" s="90"/>
      <c r="BF61" s="183">
        <f t="shared" si="27"/>
        <v>0</v>
      </c>
      <c r="BG61" s="193"/>
      <c r="BH61" s="90"/>
      <c r="BI61" s="90"/>
      <c r="BJ61" s="183">
        <f t="shared" si="28"/>
        <v>0</v>
      </c>
      <c r="BK61" s="193"/>
      <c r="BL61" s="90"/>
      <c r="BM61" s="90"/>
      <c r="BN61" s="183">
        <f t="shared" si="29"/>
        <v>0</v>
      </c>
      <c r="BO61" s="193"/>
      <c r="BP61" s="90"/>
      <c r="BQ61" s="90"/>
      <c r="BR61" s="183">
        <f t="shared" si="30"/>
        <v>0</v>
      </c>
      <c r="BS61" s="193"/>
      <c r="BT61" s="90"/>
      <c r="BU61" s="90"/>
      <c r="BV61" s="183">
        <f t="shared" si="31"/>
        <v>0</v>
      </c>
      <c r="BW61" s="193"/>
      <c r="BX61" s="90"/>
      <c r="BY61" s="90"/>
      <c r="BZ61" s="183">
        <f t="shared" si="32"/>
        <v>0</v>
      </c>
      <c r="CA61" s="193"/>
      <c r="CB61" s="90"/>
      <c r="CC61" s="90"/>
      <c r="CD61" s="183">
        <f t="shared" si="33"/>
        <v>0</v>
      </c>
    </row>
    <row r="62" spans="2:82" ht="15" thickBot="1" x14ac:dyDescent="0.35">
      <c r="B62" s="53"/>
      <c r="C62" s="53" t="str">
        <f t="shared" si="0"/>
        <v>CPU_Transportecbuq</v>
      </c>
      <c r="D62" s="278">
        <f t="shared" si="1"/>
        <v>1</v>
      </c>
      <c r="E62" s="278">
        <f t="shared" si="2"/>
        <v>2210000</v>
      </c>
      <c r="F62" s="1"/>
      <c r="G62" s="28" t="str">
        <f>IFERROR(VLOOKUP(F62,Tabela7[[RECURSO]:[CUSTO]],2,FALSE),"")</f>
        <v/>
      </c>
      <c r="I62" s="90">
        <f t="shared" si="41"/>
        <v>0</v>
      </c>
      <c r="J62" s="45">
        <f>IFERROR(VLOOKUP(F62,Tabela7[[RECURSO]:[CUSTO]],3,FALSE),0)</f>
        <v>0</v>
      </c>
      <c r="K62" s="45">
        <f t="shared" si="42"/>
        <v>0</v>
      </c>
      <c r="M62" s="86"/>
      <c r="N62" s="88"/>
      <c r="AD62" s="144" t="str">
        <f t="shared" si="3"/>
        <v>Transporte cbuq</v>
      </c>
      <c r="AE62" s="194"/>
      <c r="AF62" s="195">
        <f t="shared" si="38"/>
        <v>0</v>
      </c>
      <c r="AG62" s="195">
        <f t="shared" si="17"/>
        <v>0</v>
      </c>
      <c r="AH62" s="196">
        <f t="shared" si="39"/>
        <v>0</v>
      </c>
      <c r="AI62" s="197"/>
      <c r="AJ62" s="198"/>
      <c r="AK62" s="198"/>
      <c r="AL62" s="199">
        <f t="shared" si="40"/>
        <v>0</v>
      </c>
      <c r="AM62" s="197"/>
      <c r="AN62" s="198"/>
      <c r="AO62" s="198"/>
      <c r="AP62" s="199">
        <f t="shared" si="23"/>
        <v>0</v>
      </c>
      <c r="AQ62" s="197"/>
      <c r="AR62" s="198"/>
      <c r="AS62" s="198"/>
      <c r="AT62" s="199">
        <f t="shared" si="24"/>
        <v>0</v>
      </c>
      <c r="AU62" s="197"/>
      <c r="AV62" s="198"/>
      <c r="AW62" s="198"/>
      <c r="AX62" s="199">
        <f t="shared" si="25"/>
        <v>0</v>
      </c>
      <c r="AY62" s="197"/>
      <c r="AZ62" s="198"/>
      <c r="BA62" s="198"/>
      <c r="BB62" s="199">
        <f t="shared" si="26"/>
        <v>0</v>
      </c>
      <c r="BC62" s="197"/>
      <c r="BD62" s="198"/>
      <c r="BE62" s="198"/>
      <c r="BF62" s="199">
        <f t="shared" si="27"/>
        <v>0</v>
      </c>
      <c r="BG62" s="197"/>
      <c r="BH62" s="198"/>
      <c r="BI62" s="198"/>
      <c r="BJ62" s="199">
        <f t="shared" si="28"/>
        <v>0</v>
      </c>
      <c r="BK62" s="197"/>
      <c r="BL62" s="198"/>
      <c r="BM62" s="198"/>
      <c r="BN62" s="199">
        <f t="shared" si="29"/>
        <v>0</v>
      </c>
      <c r="BO62" s="197"/>
      <c r="BP62" s="198"/>
      <c r="BQ62" s="198"/>
      <c r="BR62" s="199">
        <f t="shared" si="30"/>
        <v>0</v>
      </c>
      <c r="BS62" s="197"/>
      <c r="BT62" s="198"/>
      <c r="BU62" s="198"/>
      <c r="BV62" s="199">
        <f t="shared" si="31"/>
        <v>0</v>
      </c>
      <c r="BW62" s="197"/>
      <c r="BX62" s="198"/>
      <c r="BY62" s="198"/>
      <c r="BZ62" s="199">
        <f t="shared" si="32"/>
        <v>0</v>
      </c>
      <c r="CA62" s="197"/>
      <c r="CB62" s="198"/>
      <c r="CC62" s="198"/>
      <c r="CD62" s="199">
        <f t="shared" si="33"/>
        <v>0</v>
      </c>
    </row>
  </sheetData>
  <conditionalFormatting sqref="K6:K7">
    <cfRule type="iconSet" priority="14">
      <iconSet>
        <cfvo type="percent" val="0"/>
        <cfvo type="num" val="0"/>
        <cfvo type="num" val="0.02"/>
      </iconSet>
    </cfRule>
  </conditionalFormatting>
  <conditionalFormatting sqref="AH6:AH7">
    <cfRule type="iconSet" priority="13">
      <iconSet>
        <cfvo type="percent" val="0"/>
        <cfvo type="num" val="0"/>
        <cfvo type="num" val="0.02"/>
      </iconSet>
    </cfRule>
  </conditionalFormatting>
  <conditionalFormatting sqref="AL6:AL7">
    <cfRule type="iconSet" priority="12">
      <iconSet>
        <cfvo type="percent" val="0"/>
        <cfvo type="num" val="0"/>
        <cfvo type="num" val="0.02"/>
      </iconSet>
    </cfRule>
  </conditionalFormatting>
  <conditionalFormatting sqref="AP6:AP7">
    <cfRule type="iconSet" priority="11">
      <iconSet>
        <cfvo type="percent" val="0"/>
        <cfvo type="num" val="0"/>
        <cfvo type="num" val="0.02"/>
      </iconSet>
    </cfRule>
  </conditionalFormatting>
  <conditionalFormatting sqref="AT6:AT7">
    <cfRule type="iconSet" priority="10">
      <iconSet>
        <cfvo type="percent" val="0"/>
        <cfvo type="num" val="0"/>
        <cfvo type="num" val="0.02"/>
      </iconSet>
    </cfRule>
  </conditionalFormatting>
  <conditionalFormatting sqref="AX6:AX7">
    <cfRule type="iconSet" priority="9">
      <iconSet>
        <cfvo type="percent" val="0"/>
        <cfvo type="num" val="0"/>
        <cfvo type="num" val="0.02"/>
      </iconSet>
    </cfRule>
  </conditionalFormatting>
  <conditionalFormatting sqref="BB6:BB7">
    <cfRule type="iconSet" priority="8">
      <iconSet>
        <cfvo type="percent" val="0"/>
        <cfvo type="num" val="0"/>
        <cfvo type="num" val="0.02"/>
      </iconSet>
    </cfRule>
  </conditionalFormatting>
  <conditionalFormatting sqref="BF6:BF7">
    <cfRule type="iconSet" priority="7">
      <iconSet>
        <cfvo type="percent" val="0"/>
        <cfvo type="num" val="0"/>
        <cfvo type="num" val="0.02"/>
      </iconSet>
    </cfRule>
  </conditionalFormatting>
  <conditionalFormatting sqref="BJ6:BJ7">
    <cfRule type="iconSet" priority="6">
      <iconSet>
        <cfvo type="percent" val="0"/>
        <cfvo type="num" val="0"/>
        <cfvo type="num" val="0.02"/>
      </iconSet>
    </cfRule>
  </conditionalFormatting>
  <conditionalFormatting sqref="BN6:BN7">
    <cfRule type="iconSet" priority="5">
      <iconSet>
        <cfvo type="percent" val="0"/>
        <cfvo type="num" val="0"/>
        <cfvo type="num" val="0.02"/>
      </iconSet>
    </cfRule>
  </conditionalFormatting>
  <conditionalFormatting sqref="BR6:BR7">
    <cfRule type="iconSet" priority="4">
      <iconSet>
        <cfvo type="percent" val="0"/>
        <cfvo type="num" val="0"/>
        <cfvo type="num" val="0.02"/>
      </iconSet>
    </cfRule>
  </conditionalFormatting>
  <conditionalFormatting sqref="BV6:BV7">
    <cfRule type="iconSet" priority="3">
      <iconSet>
        <cfvo type="percent" val="0"/>
        <cfvo type="num" val="0"/>
        <cfvo type="num" val="0.02"/>
      </iconSet>
    </cfRule>
  </conditionalFormatting>
  <conditionalFormatting sqref="BZ6:BZ7">
    <cfRule type="iconSet" priority="2">
      <iconSet>
        <cfvo type="percent" val="0"/>
        <cfvo type="num" val="0"/>
        <cfvo type="num" val="0.02"/>
      </iconSet>
    </cfRule>
  </conditionalFormatting>
  <conditionalFormatting sqref="CD6:CD7">
    <cfRule type="iconSet" priority="1">
      <iconSet>
        <cfvo type="percent" val="0"/>
        <cfvo type="num" val="0"/>
        <cfvo type="num" val="0.02"/>
      </iconSet>
    </cfRule>
  </conditionalFormatting>
  <dataValidations count="5">
    <dataValidation type="list" allowBlank="1" showInputMessage="1" showErrorMessage="1" sqref="F51:F62" xr:uid="{4116ED23-B105-4943-BE3E-509BBF45419C}">
      <formula1>INDIRECT($B$50)</formula1>
    </dataValidation>
    <dataValidation type="list" allowBlank="1" showInputMessage="1" showErrorMessage="1" sqref="F38:F49" xr:uid="{37409559-C2CC-429F-8E2A-9F71BF1D91BE}">
      <formula1>INDIRECT($B$37)</formula1>
    </dataValidation>
    <dataValidation type="list" allowBlank="1" showInputMessage="1" showErrorMessage="1" sqref="F25:F36" xr:uid="{55EE9B18-A7B5-4586-ADDF-5B04D0F1EE4E}">
      <formula1>INDIRECT($B$24)</formula1>
    </dataValidation>
    <dataValidation type="list" allowBlank="1" showInputMessage="1" showErrorMessage="1" sqref="F12:F23" xr:uid="{E2A7E5B0-56E9-42EA-A8C8-5BAA99C0D643}">
      <formula1>INDIRECT($B$11)</formula1>
    </dataValidation>
    <dataValidation type="list" allowBlank="1" showInputMessage="1" showErrorMessage="1" sqref="B3:E3" xr:uid="{C1A6EF8E-D74A-4617-AADF-7A622E9BCF37}">
      <formula1>INDIRECT($B$2)</formula1>
    </dataValidation>
  </dataValidations>
  <pageMargins left="0.51181102362204722" right="0.51181102362204722" top="0.19685039370078741" bottom="0.19685039370078741" header="0.31496062992125984" footer="0.31496062992125984"/>
  <pageSetup paperSize="9" scale="82" orientation="portrait" r:id="rId1"/>
  <colBreaks count="1" manualBreakCount="1">
    <brk id="11" max="1048575" man="1"/>
  </colBreaks>
  <drawing r:id="rId2"/>
  <legacyDrawing r:id="rId3"/>
  <tableParts count="2"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D94F7-D8E7-4B70-BB42-5AAB2999B624}">
  <sheetPr codeName="Plan34"/>
  <dimension ref="A1:CD62"/>
  <sheetViews>
    <sheetView showGridLines="0" zoomScaleNormal="100" workbookViewId="0">
      <pane xSplit="14" ySplit="10" topLeftCell="O43" activePane="bottomRight" state="frozen"/>
      <selection pane="topRight" activeCell="C28" activeCellId="1" sqref="E13 C28"/>
      <selection pane="bottomLeft" activeCell="C28" activeCellId="1" sqref="E13 C28"/>
      <selection pane="bottomRight" activeCell="M52" sqref="M52"/>
    </sheetView>
  </sheetViews>
  <sheetFormatPr defaultRowHeight="14.4" x14ac:dyDescent="0.3"/>
  <cols>
    <col min="1" max="1" width="4.109375" customWidth="1"/>
    <col min="2" max="2" width="16.109375" customWidth="1"/>
    <col min="3" max="5" width="16.109375" hidden="1" customWidth="1"/>
    <col min="6" max="6" width="40.6640625" customWidth="1"/>
    <col min="7" max="7" width="10.6640625" style="28" customWidth="1"/>
    <col min="8" max="8" width="7.6640625" style="28" customWidth="1"/>
    <col min="9" max="11" width="10.6640625" customWidth="1"/>
    <col min="12" max="12" width="2.33203125" customWidth="1"/>
    <col min="13" max="14" width="12.6640625" customWidth="1"/>
    <col min="15" max="15" width="14" bestFit="1" customWidth="1"/>
    <col min="30" max="30" width="12.44140625" bestFit="1" customWidth="1"/>
    <col min="31" max="31" width="7.6640625" customWidth="1"/>
    <col min="32" max="32" width="9.33203125" bestFit="1" customWidth="1"/>
    <col min="33" max="34" width="10.6640625" customWidth="1"/>
    <col min="35" max="35" width="7.6640625" customWidth="1"/>
    <col min="36" max="36" width="9.33203125" customWidth="1"/>
    <col min="37" max="38" width="10.6640625" customWidth="1"/>
    <col min="40" max="40" width="9.33203125" customWidth="1"/>
    <col min="42" max="42" width="9.6640625" customWidth="1"/>
    <col min="44" max="44" width="9.33203125" customWidth="1"/>
    <col min="46" max="46" width="9.6640625" customWidth="1"/>
    <col min="48" max="48" width="9.33203125" customWidth="1"/>
    <col min="50" max="50" width="9.6640625" customWidth="1"/>
    <col min="52" max="52" width="9.33203125" customWidth="1"/>
    <col min="54" max="54" width="9.6640625" customWidth="1"/>
    <col min="56" max="56" width="9.33203125" customWidth="1"/>
    <col min="58" max="58" width="9.6640625" customWidth="1"/>
    <col min="60" max="60" width="9.33203125" customWidth="1"/>
    <col min="62" max="62" width="9.6640625" customWidth="1"/>
    <col min="64" max="64" width="9.33203125" customWidth="1"/>
    <col min="66" max="66" width="9.6640625" customWidth="1"/>
    <col min="68" max="68" width="9.33203125" customWidth="1"/>
    <col min="70" max="70" width="9.6640625" customWidth="1"/>
    <col min="72" max="72" width="10" customWidth="1"/>
    <col min="73" max="73" width="9.5546875" customWidth="1"/>
    <col min="74" max="74" width="10.44140625" customWidth="1"/>
    <col min="76" max="76" width="10" customWidth="1"/>
    <col min="77" max="77" width="9.5546875" customWidth="1"/>
    <col min="78" max="78" width="10.44140625" customWidth="1"/>
    <col min="80" max="80" width="10" customWidth="1"/>
    <col min="81" max="81" width="9.5546875" customWidth="1"/>
    <col min="82" max="82" width="10.44140625" customWidth="1"/>
  </cols>
  <sheetData>
    <row r="1" spans="1:82" ht="26.4" customHeight="1" thickBot="1" x14ac:dyDescent="0.35">
      <c r="AE1" s="163" t="s">
        <v>678</v>
      </c>
    </row>
    <row r="2" spans="1:82" x14ac:dyDescent="0.3">
      <c r="B2" s="64" t="s">
        <v>679</v>
      </c>
      <c r="C2" s="67"/>
      <c r="D2" s="67"/>
      <c r="E2" s="67"/>
      <c r="F2" s="65"/>
      <c r="G2" s="66"/>
      <c r="H2" s="66"/>
      <c r="I2" s="65"/>
      <c r="J2" s="67" t="s">
        <v>680</v>
      </c>
      <c r="K2" s="68" t="s">
        <v>681</v>
      </c>
      <c r="M2" s="227" t="s">
        <v>682</v>
      </c>
      <c r="N2" s="228" t="s">
        <v>683</v>
      </c>
      <c r="O2" s="234" t="s">
        <v>684</v>
      </c>
      <c r="AE2" s="164" t="s">
        <v>590</v>
      </c>
      <c r="AF2" s="165" t="s">
        <v>20</v>
      </c>
      <c r="AG2" s="67"/>
      <c r="AH2" s="68" t="s">
        <v>681</v>
      </c>
      <c r="AI2" s="166">
        <v>44927</v>
      </c>
      <c r="AJ2" s="165" t="s">
        <v>20</v>
      </c>
      <c r="AK2" s="67"/>
      <c r="AL2" s="68" t="s">
        <v>681</v>
      </c>
      <c r="AM2" s="166">
        <v>44958</v>
      </c>
      <c r="AN2" s="165" t="s">
        <v>20</v>
      </c>
      <c r="AO2" s="67"/>
      <c r="AP2" s="68" t="s">
        <v>681</v>
      </c>
      <c r="AQ2" s="166">
        <v>44986</v>
      </c>
      <c r="AR2" s="165" t="s">
        <v>20</v>
      </c>
      <c r="AS2" s="67"/>
      <c r="AT2" s="68" t="s">
        <v>681</v>
      </c>
      <c r="AU2" s="166">
        <v>45017</v>
      </c>
      <c r="AV2" s="165" t="s">
        <v>20</v>
      </c>
      <c r="AW2" s="67"/>
      <c r="AX2" s="68" t="s">
        <v>681</v>
      </c>
      <c r="AY2" s="166">
        <v>45047</v>
      </c>
      <c r="AZ2" s="165" t="s">
        <v>20</v>
      </c>
      <c r="BA2" s="67"/>
      <c r="BB2" s="68" t="s">
        <v>681</v>
      </c>
      <c r="BC2" s="166">
        <v>45078</v>
      </c>
      <c r="BD2" s="165" t="s">
        <v>20</v>
      </c>
      <c r="BE2" s="67"/>
      <c r="BF2" s="68" t="s">
        <v>681</v>
      </c>
      <c r="BG2" s="166">
        <v>45108</v>
      </c>
      <c r="BH2" s="165" t="s">
        <v>20</v>
      </c>
      <c r="BI2" s="67"/>
      <c r="BJ2" s="68" t="s">
        <v>681</v>
      </c>
      <c r="BK2" s="166">
        <v>45139</v>
      </c>
      <c r="BL2" s="165" t="s">
        <v>20</v>
      </c>
      <c r="BM2" s="67"/>
      <c r="BN2" s="68" t="s">
        <v>681</v>
      </c>
      <c r="BO2" s="166">
        <v>45170</v>
      </c>
      <c r="BP2" s="165" t="s">
        <v>20</v>
      </c>
      <c r="BQ2" s="67"/>
      <c r="BR2" s="68" t="s">
        <v>681</v>
      </c>
      <c r="BS2" s="166">
        <v>45200</v>
      </c>
      <c r="BT2" s="165" t="s">
        <v>20</v>
      </c>
      <c r="BU2" s="67"/>
      <c r="BV2" s="68" t="s">
        <v>681</v>
      </c>
      <c r="BW2" s="166">
        <v>45231</v>
      </c>
      <c r="BX2" s="165" t="s">
        <v>20</v>
      </c>
      <c r="BY2" s="67"/>
      <c r="BZ2" s="68" t="s">
        <v>681</v>
      </c>
      <c r="CA2" s="166">
        <v>45261</v>
      </c>
      <c r="CB2" s="165" t="s">
        <v>20</v>
      </c>
      <c r="CC2" s="67"/>
      <c r="CD2" s="68" t="s">
        <v>681</v>
      </c>
    </row>
    <row r="3" spans="1:82" x14ac:dyDescent="0.3">
      <c r="A3" s="42" t="str">
        <f>"CPU_"&amp;LEFT(SUBSTITUTE(SUBSTITUTE(B3," ",""),"-",""),20)</f>
        <v>CPU_Instalaçãoestruturam</v>
      </c>
      <c r="B3" s="31" t="s">
        <v>766</v>
      </c>
      <c r="C3" s="1"/>
      <c r="D3" s="1"/>
      <c r="E3" s="1"/>
      <c r="F3" s="73"/>
      <c r="G3" s="74"/>
      <c r="H3" s="74"/>
      <c r="I3" s="73"/>
      <c r="J3" s="74" t="str">
        <f>IFERROR(VLOOKUP(B3,Tabela1[[NOME SERVIÇO]:[UNID]],4,0),"")</f>
        <v>UNID</v>
      </c>
      <c r="K3" s="75">
        <f>IFERROR(J6/B6,0)</f>
        <v>0</v>
      </c>
      <c r="M3" s="229" t="s">
        <v>685</v>
      </c>
      <c r="N3" s="230">
        <f>K11</f>
        <v>0</v>
      </c>
      <c r="O3" s="235">
        <f>IFERROR(N3/$N$7,0)</f>
        <v>0</v>
      </c>
      <c r="AE3" s="167"/>
      <c r="AF3" s="168">
        <f>AJ3+AN3+AR3+AV3+AZ3+BD3+BH3+BL3+BP3+BT3+BX3+CB3</f>
        <v>0</v>
      </c>
      <c r="AG3" s="74"/>
      <c r="AH3" s="75">
        <f>IFERROR((AG6/AF3),0)</f>
        <v>0</v>
      </c>
      <c r="AI3" s="167"/>
      <c r="AJ3" s="168">
        <f>IFERROR(SUMPRODUCT(Plan_Orc!$I$4:$I$2002*Plan_Orc!$AB$4:$AB$2002*(Plan_Orc!$D$4:$D$2002=$B3)),0)</f>
        <v>0</v>
      </c>
      <c r="AK3" s="74"/>
      <c r="AL3" s="75">
        <f>IFERROR((AK6/AJ3),0)</f>
        <v>0</v>
      </c>
      <c r="AM3" s="167"/>
      <c r="AN3" s="168">
        <f>IFERROR(SUMPRODUCT(Plan_Orc!$I$4:$I$2002*Plan_Orc!$AC$4:$AC$2002*(Plan_Orc!$D$4:$D$2002=$B3)),0)</f>
        <v>0</v>
      </c>
      <c r="AO3" s="74"/>
      <c r="AP3" s="75">
        <f>IFERROR((AO6/AN3),0)</f>
        <v>0</v>
      </c>
      <c r="AQ3" s="167"/>
      <c r="AR3" s="168">
        <f>IFERROR(SUMPRODUCT(Plan_Orc!$I$4:$I$2002*Plan_Orc!$AD$4:$AD$2002*(Plan_Orc!$D$4:$D$2002=$B3)),0)</f>
        <v>0</v>
      </c>
      <c r="AS3" s="74"/>
      <c r="AT3" s="75">
        <f>IFERROR((AS6/AR3),0)</f>
        <v>0</v>
      </c>
      <c r="AU3" s="167"/>
      <c r="AV3" s="168">
        <f>IFERROR(SUMPRODUCT(Plan_Orc!$I$4:$I$2002*Plan_Orc!$AE$4:$AE$2002*(Plan_Orc!$D$4:$D$2002=$B3)),0)</f>
        <v>0</v>
      </c>
      <c r="AW3" s="74"/>
      <c r="AX3" s="75">
        <f>IFERROR((AW6/AV3),0)</f>
        <v>0</v>
      </c>
      <c r="AY3" s="167"/>
      <c r="AZ3" s="168">
        <f>IFERROR(SUMPRODUCT(Plan_Orc!$I$4:$I$2002*Plan_Orc!$AF$4:$AF$2002*(Plan_Orc!$D$4:$D$2002=$B3)),0)</f>
        <v>0</v>
      </c>
      <c r="BA3" s="74"/>
      <c r="BB3" s="75">
        <f>IFERROR((BA6/AZ3),0)</f>
        <v>0</v>
      </c>
      <c r="BC3" s="167"/>
      <c r="BD3" s="168">
        <f>IFERROR(SUMPRODUCT(Plan_Orc!$I$4:$I$2002*Plan_Orc!$AG$4:$AG$2002*(Plan_Orc!$D$4:$D$2002=$B3)),0)</f>
        <v>0</v>
      </c>
      <c r="BE3" s="74"/>
      <c r="BF3" s="75">
        <f>IFERROR((BE6/BD3),0)</f>
        <v>0</v>
      </c>
      <c r="BG3" s="167"/>
      <c r="BH3" s="168">
        <f>IFERROR(SUMPRODUCT(Plan_Orc!$I$4:$I$2002*Plan_Orc!$AH$4:$AH$2002*(Plan_Orc!$D$4:$D$2002=$B3)),0)</f>
        <v>0</v>
      </c>
      <c r="BI3" s="74"/>
      <c r="BJ3" s="75">
        <f>IFERROR((BI6/BH3),0)</f>
        <v>0</v>
      </c>
      <c r="BK3" s="167"/>
      <c r="BL3" s="168">
        <f>IFERROR(SUMPRODUCT(Plan_Orc!$I$4:$I$2002*Plan_Orc!$AI$4:$AI$2002*(Plan_Orc!$D$4:$D$2002=$B3)),0)</f>
        <v>0</v>
      </c>
      <c r="BM3" s="74"/>
      <c r="BN3" s="75">
        <f>IFERROR((BM6/BL3),0)</f>
        <v>0</v>
      </c>
      <c r="BO3" s="167"/>
      <c r="BP3" s="168">
        <f>IFERROR(SUMPRODUCT(Plan_Orc!$I$4:$I$2002*Plan_Orc!$AJ$4:$AJ$2002*(Plan_Orc!$D$4:$D$2002=$B3)),0)</f>
        <v>0</v>
      </c>
      <c r="BQ3" s="74"/>
      <c r="BR3" s="75">
        <f>IFERROR((BQ6/BP3),0)</f>
        <v>0</v>
      </c>
      <c r="BS3" s="167"/>
      <c r="BT3" s="168">
        <f>IFERROR(SUMPRODUCT(Plan_Orc!$I$4:$I$2002*Plan_Orc!$AK$4:$AK$2002*(Plan_Orc!$D$4:$D$2002=$B3)),0)</f>
        <v>0</v>
      </c>
      <c r="BU3" s="74"/>
      <c r="BV3" s="75">
        <f>IFERROR((BU6/BT3),0)</f>
        <v>0</v>
      </c>
      <c r="BW3" s="167"/>
      <c r="BX3" s="168">
        <f>IFERROR(SUMPRODUCT(Plan_Orc!$I$4:$I$2002*Plan_Orc!$AL$4:$AL$2002*(Plan_Orc!$D$4:$D$2002=$B3)),0)</f>
        <v>0</v>
      </c>
      <c r="BY3" s="74"/>
      <c r="BZ3" s="75">
        <f>IFERROR((BY6/BX3),0)</f>
        <v>0</v>
      </c>
      <c r="CA3" s="167"/>
      <c r="CB3" s="168">
        <f>IFERROR(SUMPRODUCT(Plan_Orc!$I$4:$I$2002*Plan_Orc!$AM$4:$AM$2002*(Plan_Orc!$D$4:$D$2002=$B3)),0)</f>
        <v>0</v>
      </c>
      <c r="CC3" s="74"/>
      <c r="CD3" s="75">
        <f>IFERROR((CC6/CB3),0)</f>
        <v>0</v>
      </c>
    </row>
    <row r="4" spans="1:82" x14ac:dyDescent="0.3">
      <c r="B4" s="32"/>
      <c r="K4" s="30"/>
      <c r="M4" s="229" t="s">
        <v>686</v>
      </c>
      <c r="N4" s="230">
        <f>+K24</f>
        <v>0</v>
      </c>
      <c r="O4" s="235">
        <f>IFERROR(N4/$N$7,0)</f>
        <v>0</v>
      </c>
      <c r="AE4" s="169"/>
      <c r="AH4" s="30"/>
      <c r="AI4" s="169"/>
      <c r="AL4" s="30"/>
      <c r="AM4" s="169"/>
      <c r="AP4" s="30"/>
      <c r="AQ4" s="169"/>
      <c r="AT4" s="30"/>
      <c r="AU4" s="169"/>
      <c r="AX4" s="30"/>
      <c r="AY4" s="169"/>
      <c r="BB4" s="30"/>
      <c r="BC4" s="169"/>
      <c r="BF4" s="30"/>
      <c r="BG4" s="169"/>
      <c r="BJ4" s="30"/>
      <c r="BK4" s="169"/>
      <c r="BN4" s="30"/>
      <c r="BO4" s="169"/>
      <c r="BR4" s="30"/>
      <c r="BS4" s="169"/>
      <c r="BV4" s="30"/>
      <c r="BW4" s="169"/>
      <c r="BZ4" s="30"/>
      <c r="CA4" s="169"/>
      <c r="CD4" s="30"/>
    </row>
    <row r="5" spans="1:82" x14ac:dyDescent="0.3">
      <c r="B5" s="69" t="s">
        <v>687</v>
      </c>
      <c r="C5" s="72"/>
      <c r="D5" s="72"/>
      <c r="E5" s="72"/>
      <c r="F5" s="70" t="s">
        <v>688</v>
      </c>
      <c r="G5" s="70" t="s">
        <v>689</v>
      </c>
      <c r="H5" s="70" t="s">
        <v>690</v>
      </c>
      <c r="I5" s="70" t="s">
        <v>691</v>
      </c>
      <c r="J5" s="70" t="s">
        <v>683</v>
      </c>
      <c r="K5" s="71" t="s">
        <v>593</v>
      </c>
      <c r="M5" s="229" t="s">
        <v>692</v>
      </c>
      <c r="N5" s="230">
        <f>+K37</f>
        <v>0</v>
      </c>
      <c r="O5" s="235">
        <f>IFERROR(N5/$N$7,0)</f>
        <v>0</v>
      </c>
      <c r="AE5" s="170"/>
      <c r="AF5" s="70" t="s">
        <v>691</v>
      </c>
      <c r="AG5" s="70" t="s">
        <v>683</v>
      </c>
      <c r="AH5" s="71" t="s">
        <v>593</v>
      </c>
      <c r="AI5" s="170"/>
      <c r="AJ5" s="70" t="s">
        <v>691</v>
      </c>
      <c r="AK5" s="70" t="s">
        <v>683</v>
      </c>
      <c r="AL5" s="71" t="s">
        <v>593</v>
      </c>
      <c r="AM5" s="170"/>
      <c r="AN5" s="70" t="s">
        <v>691</v>
      </c>
      <c r="AO5" s="70" t="s">
        <v>683</v>
      </c>
      <c r="AP5" s="71" t="s">
        <v>593</v>
      </c>
      <c r="AQ5" s="170"/>
      <c r="AR5" s="70" t="s">
        <v>691</v>
      </c>
      <c r="AS5" s="70" t="s">
        <v>683</v>
      </c>
      <c r="AT5" s="71" t="s">
        <v>593</v>
      </c>
      <c r="AU5" s="170"/>
      <c r="AV5" s="70" t="s">
        <v>691</v>
      </c>
      <c r="AW5" s="70" t="s">
        <v>683</v>
      </c>
      <c r="AX5" s="71" t="s">
        <v>593</v>
      </c>
      <c r="AY5" s="170"/>
      <c r="AZ5" s="70" t="s">
        <v>691</v>
      </c>
      <c r="BA5" s="70" t="s">
        <v>683</v>
      </c>
      <c r="BB5" s="71" t="s">
        <v>593</v>
      </c>
      <c r="BC5" s="170"/>
      <c r="BD5" s="70" t="s">
        <v>691</v>
      </c>
      <c r="BE5" s="70" t="s">
        <v>683</v>
      </c>
      <c r="BF5" s="71" t="s">
        <v>593</v>
      </c>
      <c r="BG5" s="170"/>
      <c r="BH5" s="70" t="s">
        <v>691</v>
      </c>
      <c r="BI5" s="70" t="s">
        <v>683</v>
      </c>
      <c r="BJ5" s="71" t="s">
        <v>593</v>
      </c>
      <c r="BK5" s="170"/>
      <c r="BL5" s="70" t="s">
        <v>691</v>
      </c>
      <c r="BM5" s="70" t="s">
        <v>683</v>
      </c>
      <c r="BN5" s="71" t="s">
        <v>593</v>
      </c>
      <c r="BO5" s="170"/>
      <c r="BP5" s="70" t="s">
        <v>691</v>
      </c>
      <c r="BQ5" s="70" t="s">
        <v>683</v>
      </c>
      <c r="BR5" s="71" t="s">
        <v>593</v>
      </c>
      <c r="BS5" s="170"/>
      <c r="BT5" s="70" t="s">
        <v>691</v>
      </c>
      <c r="BU5" s="70" t="s">
        <v>683</v>
      </c>
      <c r="BV5" s="71" t="s">
        <v>593</v>
      </c>
      <c r="BW5" s="170"/>
      <c r="BX5" s="70" t="s">
        <v>691</v>
      </c>
      <c r="BY5" s="70" t="s">
        <v>683</v>
      </c>
      <c r="BZ5" s="71" t="s">
        <v>593</v>
      </c>
      <c r="CA5" s="170"/>
      <c r="CB5" s="70" t="s">
        <v>691</v>
      </c>
      <c r="CC5" s="70" t="s">
        <v>683</v>
      </c>
      <c r="CD5" s="71" t="s">
        <v>593</v>
      </c>
    </row>
    <row r="6" spans="1:82" s="2" customFormat="1" ht="30" customHeight="1" x14ac:dyDescent="0.3">
      <c r="B6" s="33">
        <v>1</v>
      </c>
      <c r="C6" s="275"/>
      <c r="D6" s="275"/>
      <c r="E6" s="275"/>
      <c r="F6" s="27"/>
      <c r="G6" s="35">
        <v>1</v>
      </c>
      <c r="H6" s="81" t="s">
        <v>347</v>
      </c>
      <c r="I6" s="55">
        <f>IFERROR(I7/B7*B6,0)</f>
        <v>0</v>
      </c>
      <c r="J6" s="55">
        <f>K11+K24+K37+K50</f>
        <v>0</v>
      </c>
      <c r="K6" s="56">
        <f>IFERROR((I6-J6)/I6-PARAMETROS!C19,0)</f>
        <v>0</v>
      </c>
      <c r="M6" s="229" t="s">
        <v>693</v>
      </c>
      <c r="N6" s="230">
        <f>+K50</f>
        <v>0</v>
      </c>
      <c r="O6" s="235">
        <f>IFERROR(N6/$N$7,0)</f>
        <v>0</v>
      </c>
      <c r="AE6" s="171"/>
      <c r="AF6" s="55">
        <f>AJ6+AN6+AR6+AV6+AZ6+BD6+BH6+BL6+BP6+BT6+BX6+CB6</f>
        <v>0</v>
      </c>
      <c r="AG6" s="55">
        <f>AH11+AH24+AH37+AH50</f>
        <v>0</v>
      </c>
      <c r="AH6" s="56">
        <f>IFERROR((AF6-AG6)/AF6,0)</f>
        <v>0</v>
      </c>
      <c r="AI6" s="171"/>
      <c r="AJ6" s="55"/>
      <c r="AK6" s="55">
        <f>AL11+AL24+AL37+AL50</f>
        <v>0</v>
      </c>
      <c r="AL6" s="56">
        <f>IFERROR((AJ6-AK6)/AJ6,0)</f>
        <v>0</v>
      </c>
      <c r="AM6" s="171"/>
      <c r="AN6" s="55"/>
      <c r="AO6" s="55">
        <f>AP11+AP24+AP37+AP50</f>
        <v>0</v>
      </c>
      <c r="AP6" s="56">
        <f>IFERROR((AN6-AO6)/AN6,0)</f>
        <v>0</v>
      </c>
      <c r="AQ6" s="171"/>
      <c r="AR6" s="55"/>
      <c r="AS6" s="55">
        <f>AT11+AT24+AT37+AT50</f>
        <v>0</v>
      </c>
      <c r="AT6" s="56">
        <f>IFERROR((AR6-AS6)/AR6,0)</f>
        <v>0</v>
      </c>
      <c r="AU6" s="171"/>
      <c r="AV6" s="55"/>
      <c r="AW6" s="55">
        <f>AX11+AX24+AX37+AX50</f>
        <v>0</v>
      </c>
      <c r="AX6" s="56">
        <f>IFERROR((AV6-AW6)/AV6,0)</f>
        <v>0</v>
      </c>
      <c r="AY6" s="171"/>
      <c r="AZ6" s="55"/>
      <c r="BA6" s="55">
        <f>BB11+BB24+BB37+BB50</f>
        <v>0</v>
      </c>
      <c r="BB6" s="56">
        <f>IFERROR((AZ6-BA6)/AZ6,0)</f>
        <v>0</v>
      </c>
      <c r="BC6" s="171"/>
      <c r="BD6" s="55"/>
      <c r="BE6" s="55">
        <f>BF11+BF24+BF37+BF50</f>
        <v>0</v>
      </c>
      <c r="BF6" s="56">
        <f>IFERROR((BD6-BE6)/BD6,0)</f>
        <v>0</v>
      </c>
      <c r="BG6" s="171"/>
      <c r="BH6" s="55"/>
      <c r="BI6" s="55">
        <f>BJ11+BJ24+BJ37+BJ50</f>
        <v>0</v>
      </c>
      <c r="BJ6" s="56">
        <f>IFERROR((BH6-BI6)/BH6,0)</f>
        <v>0</v>
      </c>
      <c r="BK6" s="171"/>
      <c r="BL6" s="55"/>
      <c r="BM6" s="55">
        <f>BN11+BN24+BN37+BN50</f>
        <v>0</v>
      </c>
      <c r="BN6" s="56">
        <f>IFERROR((BL6-BM6)/BL6,0)</f>
        <v>0</v>
      </c>
      <c r="BO6" s="171"/>
      <c r="BP6" s="55"/>
      <c r="BQ6" s="55">
        <f>BR11+BR24+BR37+BR50</f>
        <v>0</v>
      </c>
      <c r="BR6" s="56">
        <f>IFERROR((BP6-BQ6)/BP6,0)</f>
        <v>0</v>
      </c>
      <c r="BS6" s="171"/>
      <c r="BT6" s="55"/>
      <c r="BU6" s="55">
        <f>BV11+BV24+BV37+BV50</f>
        <v>0</v>
      </c>
      <c r="BV6" s="56">
        <f>IFERROR((BT6-BU6)/BT6,0)</f>
        <v>0</v>
      </c>
      <c r="BW6" s="171"/>
      <c r="BX6" s="55"/>
      <c r="BY6" s="55">
        <f>BZ11+BZ24+BZ37+BZ50</f>
        <v>0</v>
      </c>
      <c r="BZ6" s="56">
        <f>IFERROR((BX6-BY6)/BX6,0)</f>
        <v>0</v>
      </c>
      <c r="CA6" s="171"/>
      <c r="CB6" s="55"/>
      <c r="CC6" s="55">
        <f>CD11+CD24+CD37+CD50</f>
        <v>0</v>
      </c>
      <c r="CD6" s="56">
        <f>IFERROR((CB6-CC6)/CB6,0)</f>
        <v>0</v>
      </c>
    </row>
    <row r="7" spans="1:82" s="2" customFormat="1" ht="30" customHeight="1" thickBot="1" x14ac:dyDescent="0.35">
      <c r="B7" s="34">
        <f>IFERROR(VLOOKUP(B3,Lucratividade!G4:N853,2,0),0)</f>
        <v>0</v>
      </c>
      <c r="C7" s="276"/>
      <c r="D7" s="276"/>
      <c r="E7" s="276"/>
      <c r="F7" s="50"/>
      <c r="G7" s="36">
        <f>IFERROR(B7/B6,0)</f>
        <v>0</v>
      </c>
      <c r="H7" s="82" t="s">
        <v>347</v>
      </c>
      <c r="I7" s="57">
        <f>IFERROR(VLOOKUP(B3,Lucratividade!G4:N132,6,0),0)</f>
        <v>0</v>
      </c>
      <c r="J7" s="58">
        <f>B7*K3</f>
        <v>0</v>
      </c>
      <c r="K7" s="59">
        <f>IFERROR((I7-J7)/I7-PARAMETROS!C19,0)</f>
        <v>0</v>
      </c>
      <c r="M7" s="231" t="s">
        <v>694</v>
      </c>
      <c r="N7" s="232">
        <f>SUM(N3:N6)</f>
        <v>0</v>
      </c>
      <c r="O7" s="236"/>
      <c r="AE7" s="172"/>
      <c r="AF7" s="57"/>
      <c r="AG7" s="58"/>
      <c r="AH7" s="59"/>
      <c r="AI7" s="172"/>
      <c r="AJ7" s="57"/>
      <c r="AK7" s="58"/>
      <c r="AL7" s="59"/>
      <c r="AM7" s="172"/>
      <c r="AN7" s="57"/>
      <c r="AO7" s="58"/>
      <c r="AP7" s="59"/>
      <c r="AQ7" s="172"/>
      <c r="AR7" s="57"/>
      <c r="AS7" s="58"/>
      <c r="AT7" s="59"/>
      <c r="AU7" s="172"/>
      <c r="AV7" s="57"/>
      <c r="AW7" s="58"/>
      <c r="AX7" s="59"/>
      <c r="AY7" s="172"/>
      <c r="AZ7" s="57"/>
      <c r="BA7" s="58"/>
      <c r="BB7" s="59"/>
      <c r="BC7" s="172"/>
      <c r="BD7" s="57"/>
      <c r="BE7" s="58"/>
      <c r="BF7" s="59"/>
      <c r="BG7" s="172"/>
      <c r="BH7" s="57"/>
      <c r="BI7" s="58"/>
      <c r="BJ7" s="59"/>
      <c r="BK7" s="172"/>
      <c r="BL7" s="57"/>
      <c r="BM7" s="58"/>
      <c r="BN7" s="59"/>
      <c r="BO7" s="172"/>
      <c r="BP7" s="57"/>
      <c r="BQ7" s="58"/>
      <c r="BR7" s="59"/>
      <c r="BS7" s="172"/>
      <c r="BT7" s="57"/>
      <c r="BU7" s="58"/>
      <c r="BV7" s="59"/>
      <c r="BW7" s="172"/>
      <c r="BX7" s="57"/>
      <c r="BY7" s="58"/>
      <c r="BZ7" s="59"/>
      <c r="CA7" s="172"/>
      <c r="CB7" s="57"/>
      <c r="CC7" s="58"/>
      <c r="CD7" s="59"/>
    </row>
    <row r="8" spans="1:82" ht="4.2" customHeight="1" x14ac:dyDescent="0.3">
      <c r="AE8" s="28"/>
      <c r="AI8" s="28"/>
      <c r="AM8" s="28"/>
      <c r="AQ8" s="28"/>
      <c r="AU8" s="28"/>
      <c r="AY8" s="28"/>
      <c r="BC8" s="28"/>
      <c r="BG8" s="28"/>
      <c r="BK8" s="28"/>
      <c r="BO8" s="28"/>
      <c r="BS8" s="28"/>
      <c r="BW8" s="28"/>
      <c r="CA8" s="28"/>
    </row>
    <row r="9" spans="1:82" ht="4.95" customHeight="1" thickBot="1" x14ac:dyDescent="0.35">
      <c r="AE9" s="28"/>
      <c r="AI9" s="28"/>
      <c r="AM9" s="28"/>
      <c r="AQ9" s="28"/>
      <c r="AU9" s="28"/>
      <c r="AY9" s="28"/>
      <c r="BC9" s="28"/>
      <c r="BG9" s="28"/>
      <c r="BK9" s="28"/>
      <c r="BO9" s="28"/>
      <c r="BS9" s="28"/>
      <c r="BW9" s="28"/>
      <c r="CA9" s="28"/>
    </row>
    <row r="10" spans="1:82" ht="15" thickBot="1" x14ac:dyDescent="0.35">
      <c r="B10" s="72" t="s">
        <v>695</v>
      </c>
      <c r="C10" s="72" t="s">
        <v>679</v>
      </c>
      <c r="D10" s="72" t="s">
        <v>696</v>
      </c>
      <c r="E10" s="72" t="s">
        <v>697</v>
      </c>
      <c r="F10" s="72" t="s">
        <v>17</v>
      </c>
      <c r="G10" s="70" t="s">
        <v>690</v>
      </c>
      <c r="H10" s="70" t="s">
        <v>698</v>
      </c>
      <c r="I10" s="72" t="s">
        <v>20</v>
      </c>
      <c r="J10" s="72" t="s">
        <v>699</v>
      </c>
      <c r="K10" s="72" t="s">
        <v>700</v>
      </c>
      <c r="M10" s="83" t="s">
        <v>701</v>
      </c>
      <c r="N10" s="87" t="s">
        <v>702</v>
      </c>
      <c r="AD10" s="173" t="s">
        <v>703</v>
      </c>
      <c r="AE10" s="170" t="s">
        <v>698</v>
      </c>
      <c r="AF10" s="70" t="s">
        <v>20</v>
      </c>
      <c r="AG10" s="70" t="s">
        <v>699</v>
      </c>
      <c r="AH10" s="70" t="s">
        <v>700</v>
      </c>
      <c r="AI10" s="173" t="s">
        <v>704</v>
      </c>
      <c r="AJ10" s="174" t="s">
        <v>705</v>
      </c>
      <c r="AK10" s="174" t="s">
        <v>706</v>
      </c>
      <c r="AL10" s="175" t="s">
        <v>707</v>
      </c>
      <c r="AM10" s="173" t="s">
        <v>708</v>
      </c>
      <c r="AN10" s="174" t="s">
        <v>709</v>
      </c>
      <c r="AO10" s="174" t="s">
        <v>710</v>
      </c>
      <c r="AP10" s="175" t="s">
        <v>711</v>
      </c>
      <c r="AQ10" s="173" t="s">
        <v>712</v>
      </c>
      <c r="AR10" s="174" t="s">
        <v>713</v>
      </c>
      <c r="AS10" s="174" t="s">
        <v>714</v>
      </c>
      <c r="AT10" s="175" t="s">
        <v>715</v>
      </c>
      <c r="AU10" s="173" t="s">
        <v>716</v>
      </c>
      <c r="AV10" s="174" t="s">
        <v>717</v>
      </c>
      <c r="AW10" s="174" t="s">
        <v>718</v>
      </c>
      <c r="AX10" s="175" t="s">
        <v>719</v>
      </c>
      <c r="AY10" s="173" t="s">
        <v>720</v>
      </c>
      <c r="AZ10" s="174" t="s">
        <v>721</v>
      </c>
      <c r="BA10" s="174" t="s">
        <v>722</v>
      </c>
      <c r="BB10" s="175" t="s">
        <v>723</v>
      </c>
      <c r="BC10" s="173" t="s">
        <v>724</v>
      </c>
      <c r="BD10" s="174" t="s">
        <v>725</v>
      </c>
      <c r="BE10" s="174" t="s">
        <v>726</v>
      </c>
      <c r="BF10" s="175" t="s">
        <v>727</v>
      </c>
      <c r="BG10" s="173" t="s">
        <v>728</v>
      </c>
      <c r="BH10" s="174" t="s">
        <v>729</v>
      </c>
      <c r="BI10" s="174" t="s">
        <v>730</v>
      </c>
      <c r="BJ10" s="175" t="s">
        <v>731</v>
      </c>
      <c r="BK10" s="173" t="s">
        <v>732</v>
      </c>
      <c r="BL10" s="174" t="s">
        <v>733</v>
      </c>
      <c r="BM10" s="174" t="s">
        <v>734</v>
      </c>
      <c r="BN10" s="175" t="s">
        <v>735</v>
      </c>
      <c r="BO10" s="173" t="s">
        <v>736</v>
      </c>
      <c r="BP10" s="174" t="s">
        <v>737</v>
      </c>
      <c r="BQ10" s="174" t="s">
        <v>738</v>
      </c>
      <c r="BR10" s="175" t="s">
        <v>739</v>
      </c>
      <c r="BS10" s="173" t="s">
        <v>740</v>
      </c>
      <c r="BT10" s="174" t="s">
        <v>741</v>
      </c>
      <c r="BU10" s="174" t="s">
        <v>742</v>
      </c>
      <c r="BV10" s="175" t="s">
        <v>743</v>
      </c>
      <c r="BW10" s="173" t="s">
        <v>744</v>
      </c>
      <c r="BX10" s="174" t="s">
        <v>745</v>
      </c>
      <c r="BY10" s="174" t="s">
        <v>746</v>
      </c>
      <c r="BZ10" s="175" t="s">
        <v>747</v>
      </c>
      <c r="CA10" s="173" t="s">
        <v>748</v>
      </c>
      <c r="CB10" s="174" t="s">
        <v>749</v>
      </c>
      <c r="CC10" s="174" t="s">
        <v>750</v>
      </c>
      <c r="CD10" s="174" t="s">
        <v>751</v>
      </c>
    </row>
    <row r="11" spans="1:82" x14ac:dyDescent="0.3">
      <c r="B11" s="52" t="s">
        <v>752</v>
      </c>
      <c r="C11" s="52" t="str">
        <f t="shared" ref="C11:C62" si="0">$A$3</f>
        <v>CPU_Instalaçãoestruturam</v>
      </c>
      <c r="D11" s="277">
        <f t="shared" ref="D11:D62" si="1">$B$6</f>
        <v>1</v>
      </c>
      <c r="E11" s="277">
        <f t="shared" ref="E11:E62" si="2">$B$7</f>
        <v>0</v>
      </c>
      <c r="F11" s="37"/>
      <c r="G11" s="38"/>
      <c r="H11" s="91"/>
      <c r="I11" s="40"/>
      <c r="J11" s="40">
        <f>IFERROR(K11/$B$6,0)</f>
        <v>0</v>
      </c>
      <c r="K11" s="40">
        <f>SUM(K12:K23)</f>
        <v>0</v>
      </c>
      <c r="M11" s="294" t="s">
        <v>753</v>
      </c>
      <c r="N11" s="295" t="s">
        <v>754</v>
      </c>
      <c r="O11" s="296" t="s">
        <v>755</v>
      </c>
      <c r="AD11" s="144" t="str">
        <f>$B$3</f>
        <v>Instalação estrutura metalica</v>
      </c>
      <c r="AE11" s="176"/>
      <c r="AF11" s="177"/>
      <c r="AG11" s="177">
        <f>IFERROR(AH11/AF$3,0)</f>
        <v>0</v>
      </c>
      <c r="AH11" s="178">
        <f>SUM(AH12:AH23)</f>
        <v>0</v>
      </c>
      <c r="AI11" s="176"/>
      <c r="AJ11" s="177"/>
      <c r="AK11" s="177">
        <f>IFERROR(AL11/AJ$3,0)</f>
        <v>0</v>
      </c>
      <c r="AL11" s="178">
        <f>SUM(AL12:AL23)</f>
        <v>0</v>
      </c>
      <c r="AM11" s="176"/>
      <c r="AN11" s="177"/>
      <c r="AO11" s="177">
        <f>IFERROR(AP11/AN$3,0)</f>
        <v>0</v>
      </c>
      <c r="AP11" s="178">
        <f>SUM(AP12:AP23)</f>
        <v>0</v>
      </c>
      <c r="AQ11" s="176"/>
      <c r="AR11" s="177"/>
      <c r="AS11" s="177">
        <f>IFERROR(AT11/AR$3,0)</f>
        <v>0</v>
      </c>
      <c r="AT11" s="178">
        <f>SUM(AT12:AT23)</f>
        <v>0</v>
      </c>
      <c r="AU11" s="176"/>
      <c r="AV11" s="177"/>
      <c r="AW11" s="177">
        <f>IFERROR(AX11/AV$3,0)</f>
        <v>0</v>
      </c>
      <c r="AX11" s="178">
        <f>SUM(AX12:AX23)</f>
        <v>0</v>
      </c>
      <c r="AY11" s="176"/>
      <c r="AZ11" s="177"/>
      <c r="BA11" s="177">
        <f>IFERROR(BB11/AZ$3,0)</f>
        <v>0</v>
      </c>
      <c r="BB11" s="178">
        <f>SUM(BB12:BB23)</f>
        <v>0</v>
      </c>
      <c r="BC11" s="176"/>
      <c r="BD11" s="177"/>
      <c r="BE11" s="177">
        <f>IFERROR(BF11/BD$3,0)</f>
        <v>0</v>
      </c>
      <c r="BF11" s="178">
        <f>SUM(BF12:BF23)</f>
        <v>0</v>
      </c>
      <c r="BG11" s="176"/>
      <c r="BH11" s="177"/>
      <c r="BI11" s="177">
        <f>IFERROR(BJ11/BH$3,0)</f>
        <v>0</v>
      </c>
      <c r="BJ11" s="178">
        <f>SUM(BJ12:BJ23)</f>
        <v>0</v>
      </c>
      <c r="BK11" s="176"/>
      <c r="BL11" s="177"/>
      <c r="BM11" s="177">
        <f>IFERROR(BN11/BL$3,0)</f>
        <v>0</v>
      </c>
      <c r="BN11" s="178">
        <f>SUM(BN12:BN23)</f>
        <v>0</v>
      </c>
      <c r="BO11" s="176"/>
      <c r="BP11" s="177"/>
      <c r="BQ11" s="177">
        <f>IFERROR(BR11/BP$3,0)</f>
        <v>0</v>
      </c>
      <c r="BR11" s="178">
        <f>SUM(BR12:BR23)</f>
        <v>0</v>
      </c>
      <c r="BS11" s="176"/>
      <c r="BT11" s="177"/>
      <c r="BU11" s="177">
        <f>IFERROR(BV11/BT$3,0)</f>
        <v>0</v>
      </c>
      <c r="BV11" s="178">
        <f>SUM(BV12:BV23)</f>
        <v>0</v>
      </c>
      <c r="BW11" s="176"/>
      <c r="BX11" s="177"/>
      <c r="BY11" s="177">
        <f>IFERROR(BZ11/BX$3,0)</f>
        <v>0</v>
      </c>
      <c r="BZ11" s="178">
        <f>SUM(BZ12:BZ23)</f>
        <v>0</v>
      </c>
      <c r="CA11" s="176"/>
      <c r="CB11" s="177"/>
      <c r="CC11" s="177">
        <f>IFERROR(CD11/CB$3,0)</f>
        <v>0</v>
      </c>
      <c r="CD11" s="178">
        <f>SUM(CD12:CD23)</f>
        <v>0</v>
      </c>
    </row>
    <row r="12" spans="1:82" x14ac:dyDescent="0.3">
      <c r="B12" s="53"/>
      <c r="C12" s="53" t="str">
        <f t="shared" si="0"/>
        <v>CPU_Instalaçãoestruturam</v>
      </c>
      <c r="D12" s="278">
        <f t="shared" si="1"/>
        <v>1</v>
      </c>
      <c r="E12" s="278">
        <f t="shared" si="2"/>
        <v>0</v>
      </c>
      <c r="F12" s="46"/>
      <c r="G12" s="28" t="str">
        <f>IFERROR(VLOOKUP(F12,Tabela7[[RECURSO]:[CUSTO]],2,FALSE),"")</f>
        <v/>
      </c>
      <c r="H12" s="92"/>
      <c r="I12" s="90"/>
      <c r="J12" s="45">
        <f>IFERROR(VLOOKUP(F12,Tabela7[[RECURSO]:[CUSTO]],3,FALSE),0)</f>
        <v>0</v>
      </c>
      <c r="K12" s="45">
        <f>I12*J12*CPU_51[[#This Row],[Nº]]</f>
        <v>0</v>
      </c>
      <c r="M12" s="31"/>
      <c r="N12" s="297"/>
      <c r="O12" s="60">
        <f>IFERROR($B$6/(H12*I12*N12),0)</f>
        <v>0</v>
      </c>
      <c r="AD12" s="144" t="str">
        <f t="shared" ref="AD12:AD62" si="3">$B$3</f>
        <v>Instalação estrutura metalica</v>
      </c>
      <c r="AE12" s="179"/>
      <c r="AF12" s="180">
        <f>AJ12+AN12+AR12+AV12+AZ12+BD12+BH12+BL12+BP12+BT12+BX12+CB12</f>
        <v>0</v>
      </c>
      <c r="AG12" s="180">
        <f>IFERROR(AH12/AF12,0)</f>
        <v>0</v>
      </c>
      <c r="AH12" s="181">
        <f>AL12+AP12+AT12+AX12+BB12+BF12+BJ12+BN12+BR12+BV12+BZ12+CD12</f>
        <v>0</v>
      </c>
      <c r="AI12" s="182"/>
      <c r="AJ12" s="90"/>
      <c r="AK12" s="90"/>
      <c r="AL12" s="183">
        <f>AJ12*AK12</f>
        <v>0</v>
      </c>
      <c r="AM12" s="182"/>
      <c r="AN12" s="90"/>
      <c r="AO12" s="90"/>
      <c r="AP12" s="183">
        <f t="shared" ref="AP12:AP23" si="4">AN12*AO12</f>
        <v>0</v>
      </c>
      <c r="AQ12" s="182"/>
      <c r="AR12" s="90"/>
      <c r="AS12" s="90"/>
      <c r="AT12" s="183">
        <f t="shared" ref="AT12:AT23" si="5">AR12*AS12</f>
        <v>0</v>
      </c>
      <c r="AU12" s="182"/>
      <c r="AV12" s="90"/>
      <c r="AW12" s="90"/>
      <c r="AX12" s="183">
        <f t="shared" ref="AX12:AX23" si="6">AV12*AW12</f>
        <v>0</v>
      </c>
      <c r="AY12" s="182"/>
      <c r="AZ12" s="90"/>
      <c r="BA12" s="90"/>
      <c r="BB12" s="183">
        <f t="shared" ref="BB12:BB23" si="7">AZ12*BA12</f>
        <v>0</v>
      </c>
      <c r="BC12" s="182"/>
      <c r="BD12" s="90"/>
      <c r="BE12" s="90"/>
      <c r="BF12" s="183">
        <f t="shared" ref="BF12:BF23" si="8">BD12*BE12</f>
        <v>0</v>
      </c>
      <c r="BG12" s="182"/>
      <c r="BH12" s="90"/>
      <c r="BI12" s="90"/>
      <c r="BJ12" s="183">
        <f t="shared" ref="BJ12:BJ23" si="9">BH12*BI12</f>
        <v>0</v>
      </c>
      <c r="BK12" s="182"/>
      <c r="BL12" s="90"/>
      <c r="BM12" s="90"/>
      <c r="BN12" s="183">
        <f t="shared" ref="BN12:BN23" si="10">BL12*BM12</f>
        <v>0</v>
      </c>
      <c r="BO12" s="182"/>
      <c r="BP12" s="90"/>
      <c r="BQ12" s="90"/>
      <c r="BR12" s="183">
        <f t="shared" ref="BR12:BR23" si="11">BP12*BQ12</f>
        <v>0</v>
      </c>
      <c r="BS12" s="182"/>
      <c r="BT12" s="90"/>
      <c r="BU12" s="90"/>
      <c r="BV12" s="183">
        <f t="shared" ref="BV12:BV23" si="12">BT12*BU12</f>
        <v>0</v>
      </c>
      <c r="BW12" s="182"/>
      <c r="BX12" s="90"/>
      <c r="BY12" s="90"/>
      <c r="BZ12" s="183">
        <f t="shared" ref="BZ12:BZ23" si="13">BX12*BY12</f>
        <v>0</v>
      </c>
      <c r="CA12" s="182"/>
      <c r="CB12" s="90"/>
      <c r="CC12" s="90"/>
      <c r="CD12" s="183">
        <f t="shared" ref="CD12:CD23" si="14">CB12*CC12</f>
        <v>0</v>
      </c>
    </row>
    <row r="13" spans="1:82" x14ac:dyDescent="0.3">
      <c r="B13" s="53"/>
      <c r="C13" s="53" t="str">
        <f t="shared" si="0"/>
        <v>CPU_Instalaçãoestruturam</v>
      </c>
      <c r="D13" s="278">
        <f t="shared" si="1"/>
        <v>1</v>
      </c>
      <c r="E13" s="278">
        <f t="shared" si="2"/>
        <v>0</v>
      </c>
      <c r="F13" s="1"/>
      <c r="G13" s="28" t="str">
        <f>IFERROR(VLOOKUP(F13,Tabela7[[RECURSO]:[CUSTO]],2,FALSE),"")</f>
        <v/>
      </c>
      <c r="H13" s="92"/>
      <c r="I13" s="90"/>
      <c r="J13" s="45">
        <f>IFERROR(VLOOKUP(F13,Tabela7[[RECURSO]:[CUSTO]],3,FALSE),0)</f>
        <v>0</v>
      </c>
      <c r="K13" s="45">
        <f>I13*J13*CPU_51[[#This Row],[Nº]]</f>
        <v>0</v>
      </c>
      <c r="M13" s="31"/>
      <c r="N13" s="297"/>
      <c r="O13" s="60">
        <f t="shared" ref="O13:O23" si="15">IFERROR($B$6/(H13*I13),0)</f>
        <v>0</v>
      </c>
      <c r="AD13" s="144" t="str">
        <f t="shared" si="3"/>
        <v>Instalação estrutura metalica</v>
      </c>
      <c r="AE13" s="179"/>
      <c r="AF13" s="180">
        <f t="shared" ref="AF13:AF23" si="16">AJ13+AN13+AR13+AV13+AZ13+BD13+BH13+BL13+BP13+BT13+BX13+CB13</f>
        <v>0</v>
      </c>
      <c r="AG13" s="180">
        <f t="shared" ref="AG13:AG62" si="17">IFERROR(AH13/AF13,0)</f>
        <v>0</v>
      </c>
      <c r="AH13" s="181">
        <f t="shared" ref="AH13:AH23" si="18">AL13+AP13+AT13+AX13+BB13+BF13+BJ13+BN13+BR13+BV13+BZ13+CD13</f>
        <v>0</v>
      </c>
      <c r="AI13" s="182"/>
      <c r="AJ13" s="90"/>
      <c r="AK13" s="90"/>
      <c r="AL13" s="183">
        <f t="shared" ref="AL13:AL23" si="19">AJ13*AK13</f>
        <v>0</v>
      </c>
      <c r="AM13" s="182"/>
      <c r="AN13" s="90"/>
      <c r="AO13" s="90"/>
      <c r="AP13" s="183">
        <f t="shared" si="4"/>
        <v>0</v>
      </c>
      <c r="AQ13" s="182"/>
      <c r="AR13" s="90"/>
      <c r="AS13" s="90"/>
      <c r="AT13" s="183">
        <f t="shared" si="5"/>
        <v>0</v>
      </c>
      <c r="AU13" s="182"/>
      <c r="AV13" s="90"/>
      <c r="AW13" s="90"/>
      <c r="AX13" s="183">
        <f t="shared" si="6"/>
        <v>0</v>
      </c>
      <c r="AY13" s="182"/>
      <c r="AZ13" s="90"/>
      <c r="BA13" s="90"/>
      <c r="BB13" s="183">
        <f t="shared" si="7"/>
        <v>0</v>
      </c>
      <c r="BC13" s="182"/>
      <c r="BD13" s="90"/>
      <c r="BE13" s="90"/>
      <c r="BF13" s="183">
        <f t="shared" si="8"/>
        <v>0</v>
      </c>
      <c r="BG13" s="182"/>
      <c r="BH13" s="90"/>
      <c r="BI13" s="90"/>
      <c r="BJ13" s="183">
        <f t="shared" si="9"/>
        <v>0</v>
      </c>
      <c r="BK13" s="182"/>
      <c r="BL13" s="90"/>
      <c r="BM13" s="90"/>
      <c r="BN13" s="183">
        <f t="shared" si="10"/>
        <v>0</v>
      </c>
      <c r="BO13" s="182"/>
      <c r="BP13" s="90"/>
      <c r="BQ13" s="90"/>
      <c r="BR13" s="183">
        <f t="shared" si="11"/>
        <v>0</v>
      </c>
      <c r="BS13" s="182"/>
      <c r="BT13" s="90"/>
      <c r="BU13" s="90"/>
      <c r="BV13" s="183">
        <f t="shared" si="12"/>
        <v>0</v>
      </c>
      <c r="BW13" s="182"/>
      <c r="BX13" s="90"/>
      <c r="BY13" s="90"/>
      <c r="BZ13" s="183">
        <f t="shared" si="13"/>
        <v>0</v>
      </c>
      <c r="CA13" s="182"/>
      <c r="CB13" s="90"/>
      <c r="CC13" s="90"/>
      <c r="CD13" s="183">
        <f t="shared" si="14"/>
        <v>0</v>
      </c>
    </row>
    <row r="14" spans="1:82" x14ac:dyDescent="0.3">
      <c r="B14" s="53"/>
      <c r="C14" s="53" t="str">
        <f t="shared" si="0"/>
        <v>CPU_Instalaçãoestruturam</v>
      </c>
      <c r="D14" s="278">
        <f t="shared" si="1"/>
        <v>1</v>
      </c>
      <c r="E14" s="278">
        <f t="shared" si="2"/>
        <v>0</v>
      </c>
      <c r="F14" s="1"/>
      <c r="G14" s="28" t="str">
        <f>IFERROR(VLOOKUP(F14,Tabela7[[RECURSO]:[CUSTO]],2,FALSE),"")</f>
        <v/>
      </c>
      <c r="H14" s="92"/>
      <c r="I14" s="90"/>
      <c r="J14" s="45">
        <f>IFERROR(VLOOKUP(F14,Tabela7[[RECURSO]:[CUSTO]],3,FALSE),0)</f>
        <v>0</v>
      </c>
      <c r="K14" s="45">
        <f>I14*J14*CPU_51[[#This Row],[Nº]]</f>
        <v>0</v>
      </c>
      <c r="M14" s="31"/>
      <c r="N14" s="297"/>
      <c r="O14" s="60">
        <f t="shared" si="15"/>
        <v>0</v>
      </c>
      <c r="AD14" s="144" t="str">
        <f t="shared" si="3"/>
        <v>Instalação estrutura metalica</v>
      </c>
      <c r="AE14" s="179"/>
      <c r="AF14" s="180">
        <f t="shared" si="16"/>
        <v>0</v>
      </c>
      <c r="AG14" s="180">
        <f t="shared" si="17"/>
        <v>0</v>
      </c>
      <c r="AH14" s="181">
        <f t="shared" si="18"/>
        <v>0</v>
      </c>
      <c r="AI14" s="182"/>
      <c r="AJ14" s="90"/>
      <c r="AK14" s="90"/>
      <c r="AL14" s="183">
        <f t="shared" si="19"/>
        <v>0</v>
      </c>
      <c r="AM14" s="182"/>
      <c r="AN14" s="90"/>
      <c r="AO14" s="90"/>
      <c r="AP14" s="183">
        <f t="shared" si="4"/>
        <v>0</v>
      </c>
      <c r="AQ14" s="182"/>
      <c r="AR14" s="90"/>
      <c r="AS14" s="90"/>
      <c r="AT14" s="183">
        <f t="shared" si="5"/>
        <v>0</v>
      </c>
      <c r="AU14" s="182"/>
      <c r="AV14" s="90"/>
      <c r="AW14" s="90"/>
      <c r="AX14" s="183">
        <f t="shared" si="6"/>
        <v>0</v>
      </c>
      <c r="AY14" s="182"/>
      <c r="AZ14" s="90"/>
      <c r="BA14" s="90"/>
      <c r="BB14" s="183">
        <f t="shared" si="7"/>
        <v>0</v>
      </c>
      <c r="BC14" s="182"/>
      <c r="BD14" s="90"/>
      <c r="BE14" s="90"/>
      <c r="BF14" s="183">
        <f t="shared" si="8"/>
        <v>0</v>
      </c>
      <c r="BG14" s="182"/>
      <c r="BH14" s="90"/>
      <c r="BI14" s="90"/>
      <c r="BJ14" s="183">
        <f t="shared" si="9"/>
        <v>0</v>
      </c>
      <c r="BK14" s="182"/>
      <c r="BL14" s="90"/>
      <c r="BM14" s="90"/>
      <c r="BN14" s="183">
        <f t="shared" si="10"/>
        <v>0</v>
      </c>
      <c r="BO14" s="182"/>
      <c r="BP14" s="90"/>
      <c r="BQ14" s="90"/>
      <c r="BR14" s="183">
        <f t="shared" si="11"/>
        <v>0</v>
      </c>
      <c r="BS14" s="182"/>
      <c r="BT14" s="90"/>
      <c r="BU14" s="90"/>
      <c r="BV14" s="183">
        <f t="shared" si="12"/>
        <v>0</v>
      </c>
      <c r="BW14" s="182"/>
      <c r="BX14" s="90"/>
      <c r="BY14" s="90"/>
      <c r="BZ14" s="183">
        <f t="shared" si="13"/>
        <v>0</v>
      </c>
      <c r="CA14" s="182"/>
      <c r="CB14" s="90"/>
      <c r="CC14" s="90"/>
      <c r="CD14" s="183">
        <f t="shared" si="14"/>
        <v>0</v>
      </c>
    </row>
    <row r="15" spans="1:82" x14ac:dyDescent="0.3">
      <c r="B15" s="153"/>
      <c r="C15" s="153" t="str">
        <f t="shared" si="0"/>
        <v>CPU_Instalaçãoestruturam</v>
      </c>
      <c r="D15" s="279">
        <f t="shared" si="1"/>
        <v>1</v>
      </c>
      <c r="E15" s="279">
        <f t="shared" si="2"/>
        <v>0</v>
      </c>
      <c r="F15" s="1"/>
      <c r="G15" s="28" t="str">
        <f>IFERROR(VLOOKUP(F15,Tabela7[[RECURSO]:[CUSTO]],2,FALSE),"")</f>
        <v/>
      </c>
      <c r="H15" s="92"/>
      <c r="I15" s="90"/>
      <c r="J15" s="45">
        <f>IFERROR(VLOOKUP(F15,Tabela7[[RECURSO]:[CUSTO]],3,FALSE),0)</f>
        <v>0</v>
      </c>
      <c r="K15" s="45">
        <f>I15*J15*CPU_51[[#This Row],[Nº]]</f>
        <v>0</v>
      </c>
      <c r="M15" s="31"/>
      <c r="N15" s="297"/>
      <c r="O15" s="60">
        <f t="shared" si="15"/>
        <v>0</v>
      </c>
      <c r="AD15" s="144" t="str">
        <f t="shared" si="3"/>
        <v>Instalação estrutura metalica</v>
      </c>
      <c r="AE15" s="179"/>
      <c r="AF15" s="180">
        <f t="shared" si="16"/>
        <v>0</v>
      </c>
      <c r="AG15" s="180">
        <f t="shared" si="17"/>
        <v>0</v>
      </c>
      <c r="AH15" s="181">
        <f t="shared" si="18"/>
        <v>0</v>
      </c>
      <c r="AI15" s="182"/>
      <c r="AJ15" s="90"/>
      <c r="AK15" s="90"/>
      <c r="AL15" s="183">
        <f t="shared" si="19"/>
        <v>0</v>
      </c>
      <c r="AM15" s="182"/>
      <c r="AN15" s="90"/>
      <c r="AO15" s="90"/>
      <c r="AP15" s="183">
        <f t="shared" si="4"/>
        <v>0</v>
      </c>
      <c r="AQ15" s="182"/>
      <c r="AR15" s="90"/>
      <c r="AS15" s="90"/>
      <c r="AT15" s="183">
        <f t="shared" si="5"/>
        <v>0</v>
      </c>
      <c r="AU15" s="182"/>
      <c r="AV15" s="90"/>
      <c r="AW15" s="90"/>
      <c r="AX15" s="183">
        <f t="shared" si="6"/>
        <v>0</v>
      </c>
      <c r="AY15" s="182"/>
      <c r="AZ15" s="90"/>
      <c r="BA15" s="90"/>
      <c r="BB15" s="183">
        <f t="shared" si="7"/>
        <v>0</v>
      </c>
      <c r="BC15" s="182"/>
      <c r="BD15" s="90"/>
      <c r="BE15" s="90"/>
      <c r="BF15" s="183">
        <f t="shared" si="8"/>
        <v>0</v>
      </c>
      <c r="BG15" s="182"/>
      <c r="BH15" s="90"/>
      <c r="BI15" s="90"/>
      <c r="BJ15" s="183">
        <f t="shared" si="9"/>
        <v>0</v>
      </c>
      <c r="BK15" s="182"/>
      <c r="BL15" s="90"/>
      <c r="BM15" s="90"/>
      <c r="BN15" s="183">
        <f t="shared" si="10"/>
        <v>0</v>
      </c>
      <c r="BO15" s="182"/>
      <c r="BP15" s="90"/>
      <c r="BQ15" s="90"/>
      <c r="BR15" s="183">
        <f t="shared" si="11"/>
        <v>0</v>
      </c>
      <c r="BS15" s="182"/>
      <c r="BT15" s="90"/>
      <c r="BU15" s="90"/>
      <c r="BV15" s="183">
        <f t="shared" si="12"/>
        <v>0</v>
      </c>
      <c r="BW15" s="182"/>
      <c r="BX15" s="90"/>
      <c r="BY15" s="90"/>
      <c r="BZ15" s="183">
        <f t="shared" si="13"/>
        <v>0</v>
      </c>
      <c r="CA15" s="182"/>
      <c r="CB15" s="90"/>
      <c r="CC15" s="90"/>
      <c r="CD15" s="183">
        <f t="shared" si="14"/>
        <v>0</v>
      </c>
    </row>
    <row r="16" spans="1:82" x14ac:dyDescent="0.3">
      <c r="B16" s="53"/>
      <c r="C16" s="53" t="str">
        <f t="shared" si="0"/>
        <v>CPU_Instalaçãoestruturam</v>
      </c>
      <c r="D16" s="278">
        <f t="shared" si="1"/>
        <v>1</v>
      </c>
      <c r="E16" s="278">
        <f t="shared" si="2"/>
        <v>0</v>
      </c>
      <c r="F16" s="1"/>
      <c r="G16" s="28" t="str">
        <f>IFERROR(VLOOKUP(F16,Tabela7[[RECURSO]:[CUSTO]],2,FALSE),"")</f>
        <v/>
      </c>
      <c r="H16" s="92"/>
      <c r="I16" s="90"/>
      <c r="J16" s="45">
        <f>IFERROR(VLOOKUP(F16,Tabela7[[RECURSO]:[CUSTO]],3,FALSE),0)</f>
        <v>0</v>
      </c>
      <c r="K16" s="45">
        <f>I16*J16*CPU_51[[#This Row],[Nº]]</f>
        <v>0</v>
      </c>
      <c r="M16" s="31"/>
      <c r="N16" s="297"/>
      <c r="O16" s="60">
        <f t="shared" si="15"/>
        <v>0</v>
      </c>
      <c r="AD16" s="144" t="str">
        <f t="shared" si="3"/>
        <v>Instalação estrutura metalica</v>
      </c>
      <c r="AE16" s="179"/>
      <c r="AF16" s="180">
        <f t="shared" si="16"/>
        <v>0</v>
      </c>
      <c r="AG16" s="180">
        <f t="shared" si="17"/>
        <v>0</v>
      </c>
      <c r="AH16" s="181">
        <f t="shared" si="18"/>
        <v>0</v>
      </c>
      <c r="AI16" s="182"/>
      <c r="AJ16" s="90"/>
      <c r="AK16" s="90"/>
      <c r="AL16" s="183">
        <f t="shared" si="19"/>
        <v>0</v>
      </c>
      <c r="AM16" s="182"/>
      <c r="AN16" s="90"/>
      <c r="AO16" s="90"/>
      <c r="AP16" s="183">
        <f t="shared" si="4"/>
        <v>0</v>
      </c>
      <c r="AQ16" s="182"/>
      <c r="AR16" s="90"/>
      <c r="AS16" s="90"/>
      <c r="AT16" s="183">
        <f t="shared" si="5"/>
        <v>0</v>
      </c>
      <c r="AU16" s="182"/>
      <c r="AV16" s="90"/>
      <c r="AW16" s="90"/>
      <c r="AX16" s="183">
        <f t="shared" si="6"/>
        <v>0</v>
      </c>
      <c r="AY16" s="182"/>
      <c r="AZ16" s="90"/>
      <c r="BA16" s="90"/>
      <c r="BB16" s="183">
        <f t="shared" si="7"/>
        <v>0</v>
      </c>
      <c r="BC16" s="182"/>
      <c r="BD16" s="90"/>
      <c r="BE16" s="90"/>
      <c r="BF16" s="183">
        <f t="shared" si="8"/>
        <v>0</v>
      </c>
      <c r="BG16" s="182"/>
      <c r="BH16" s="90"/>
      <c r="BI16" s="90"/>
      <c r="BJ16" s="183">
        <f t="shared" si="9"/>
        <v>0</v>
      </c>
      <c r="BK16" s="182"/>
      <c r="BL16" s="90"/>
      <c r="BM16" s="90"/>
      <c r="BN16" s="183">
        <f t="shared" si="10"/>
        <v>0</v>
      </c>
      <c r="BO16" s="182"/>
      <c r="BP16" s="90"/>
      <c r="BQ16" s="90"/>
      <c r="BR16" s="183">
        <f t="shared" si="11"/>
        <v>0</v>
      </c>
      <c r="BS16" s="182"/>
      <c r="BT16" s="90"/>
      <c r="BU16" s="90"/>
      <c r="BV16" s="183">
        <f t="shared" si="12"/>
        <v>0</v>
      </c>
      <c r="BW16" s="182"/>
      <c r="BX16" s="90"/>
      <c r="BY16" s="90"/>
      <c r="BZ16" s="183">
        <f t="shared" si="13"/>
        <v>0</v>
      </c>
      <c r="CA16" s="182"/>
      <c r="CB16" s="90"/>
      <c r="CC16" s="90"/>
      <c r="CD16" s="183">
        <f t="shared" si="14"/>
        <v>0</v>
      </c>
    </row>
    <row r="17" spans="2:82" x14ac:dyDescent="0.3">
      <c r="B17" s="53"/>
      <c r="C17" s="53" t="str">
        <f t="shared" si="0"/>
        <v>CPU_Instalaçãoestruturam</v>
      </c>
      <c r="D17" s="278">
        <f t="shared" si="1"/>
        <v>1</v>
      </c>
      <c r="E17" s="278">
        <f t="shared" si="2"/>
        <v>0</v>
      </c>
      <c r="F17" s="1"/>
      <c r="G17" s="28" t="str">
        <f>IFERROR(VLOOKUP(F17,Tabela7[[RECURSO]:[CUSTO]],2,FALSE),"")</f>
        <v/>
      </c>
      <c r="H17" s="92"/>
      <c r="I17" s="90"/>
      <c r="J17" s="45">
        <f>IFERROR(VLOOKUP(F17,Tabela7[[RECURSO]:[CUSTO]],3,FALSE),0)</f>
        <v>0</v>
      </c>
      <c r="K17" s="45">
        <f>I17*J17*CPU_51[[#This Row],[Nº]]</f>
        <v>0</v>
      </c>
      <c r="M17" s="31"/>
      <c r="N17" s="297"/>
      <c r="O17" s="60">
        <f t="shared" si="15"/>
        <v>0</v>
      </c>
      <c r="AD17" s="144" t="str">
        <f t="shared" si="3"/>
        <v>Instalação estrutura metalica</v>
      </c>
      <c r="AE17" s="179"/>
      <c r="AF17" s="180">
        <f t="shared" si="16"/>
        <v>0</v>
      </c>
      <c r="AG17" s="180">
        <f t="shared" si="17"/>
        <v>0</v>
      </c>
      <c r="AH17" s="181">
        <f t="shared" si="18"/>
        <v>0</v>
      </c>
      <c r="AI17" s="182"/>
      <c r="AJ17" s="90"/>
      <c r="AK17" s="90"/>
      <c r="AL17" s="183">
        <f t="shared" si="19"/>
        <v>0</v>
      </c>
      <c r="AM17" s="182"/>
      <c r="AN17" s="90"/>
      <c r="AO17" s="90"/>
      <c r="AP17" s="183">
        <f t="shared" si="4"/>
        <v>0</v>
      </c>
      <c r="AQ17" s="182"/>
      <c r="AR17" s="90"/>
      <c r="AS17" s="90"/>
      <c r="AT17" s="183">
        <f t="shared" si="5"/>
        <v>0</v>
      </c>
      <c r="AU17" s="182"/>
      <c r="AV17" s="90"/>
      <c r="AW17" s="90"/>
      <c r="AX17" s="183">
        <f t="shared" si="6"/>
        <v>0</v>
      </c>
      <c r="AY17" s="182"/>
      <c r="AZ17" s="90"/>
      <c r="BA17" s="90"/>
      <c r="BB17" s="183">
        <f t="shared" si="7"/>
        <v>0</v>
      </c>
      <c r="BC17" s="182"/>
      <c r="BD17" s="90"/>
      <c r="BE17" s="90"/>
      <c r="BF17" s="183">
        <f t="shared" si="8"/>
        <v>0</v>
      </c>
      <c r="BG17" s="182"/>
      <c r="BH17" s="90"/>
      <c r="BI17" s="90"/>
      <c r="BJ17" s="183">
        <f t="shared" si="9"/>
        <v>0</v>
      </c>
      <c r="BK17" s="182"/>
      <c r="BL17" s="90"/>
      <c r="BM17" s="90"/>
      <c r="BN17" s="183">
        <f t="shared" si="10"/>
        <v>0</v>
      </c>
      <c r="BO17" s="182"/>
      <c r="BP17" s="90"/>
      <c r="BQ17" s="90"/>
      <c r="BR17" s="183">
        <f t="shared" si="11"/>
        <v>0</v>
      </c>
      <c r="BS17" s="182"/>
      <c r="BT17" s="90"/>
      <c r="BU17" s="90"/>
      <c r="BV17" s="183">
        <f t="shared" si="12"/>
        <v>0</v>
      </c>
      <c r="BW17" s="182"/>
      <c r="BX17" s="90"/>
      <c r="BY17" s="90"/>
      <c r="BZ17" s="183">
        <f t="shared" si="13"/>
        <v>0</v>
      </c>
      <c r="CA17" s="182"/>
      <c r="CB17" s="90"/>
      <c r="CC17" s="90"/>
      <c r="CD17" s="183">
        <f t="shared" si="14"/>
        <v>0</v>
      </c>
    </row>
    <row r="18" spans="2:82" x14ac:dyDescent="0.3">
      <c r="B18" s="53"/>
      <c r="C18" s="53" t="str">
        <f t="shared" si="0"/>
        <v>CPU_Instalaçãoestruturam</v>
      </c>
      <c r="D18" s="278">
        <f t="shared" si="1"/>
        <v>1</v>
      </c>
      <c r="E18" s="278">
        <f t="shared" si="2"/>
        <v>0</v>
      </c>
      <c r="F18" s="1"/>
      <c r="G18" s="28" t="str">
        <f>IFERROR(VLOOKUP(F18,Tabela7[[RECURSO]:[CUSTO]],2,FALSE),"")</f>
        <v/>
      </c>
      <c r="H18" s="92"/>
      <c r="I18" s="90"/>
      <c r="J18" s="45">
        <f>IFERROR(VLOOKUP(F18,Tabela7[[RECURSO]:[CUSTO]],3,FALSE),0)</f>
        <v>0</v>
      </c>
      <c r="K18" s="45">
        <f>I18*J18*CPU_51[[#This Row],[Nº]]</f>
        <v>0</v>
      </c>
      <c r="M18" s="31"/>
      <c r="N18" s="297"/>
      <c r="O18" s="60">
        <f t="shared" si="15"/>
        <v>0</v>
      </c>
      <c r="AD18" s="144" t="str">
        <f t="shared" si="3"/>
        <v>Instalação estrutura metalica</v>
      </c>
      <c r="AE18" s="179"/>
      <c r="AF18" s="180">
        <f t="shared" si="16"/>
        <v>0</v>
      </c>
      <c r="AG18" s="180">
        <f t="shared" si="17"/>
        <v>0</v>
      </c>
      <c r="AH18" s="181">
        <f t="shared" si="18"/>
        <v>0</v>
      </c>
      <c r="AI18" s="182"/>
      <c r="AJ18" s="90"/>
      <c r="AK18" s="90"/>
      <c r="AL18" s="183">
        <f t="shared" si="19"/>
        <v>0</v>
      </c>
      <c r="AM18" s="182"/>
      <c r="AN18" s="90"/>
      <c r="AO18" s="90"/>
      <c r="AP18" s="183">
        <f t="shared" si="4"/>
        <v>0</v>
      </c>
      <c r="AQ18" s="182"/>
      <c r="AR18" s="90"/>
      <c r="AS18" s="90"/>
      <c r="AT18" s="183">
        <f t="shared" si="5"/>
        <v>0</v>
      </c>
      <c r="AU18" s="182"/>
      <c r="AV18" s="90"/>
      <c r="AW18" s="90"/>
      <c r="AX18" s="183">
        <f t="shared" si="6"/>
        <v>0</v>
      </c>
      <c r="AY18" s="182"/>
      <c r="AZ18" s="90"/>
      <c r="BA18" s="90"/>
      <c r="BB18" s="183">
        <f t="shared" si="7"/>
        <v>0</v>
      </c>
      <c r="BC18" s="182"/>
      <c r="BD18" s="90"/>
      <c r="BE18" s="90"/>
      <c r="BF18" s="183">
        <f t="shared" si="8"/>
        <v>0</v>
      </c>
      <c r="BG18" s="182"/>
      <c r="BH18" s="90"/>
      <c r="BI18" s="90"/>
      <c r="BJ18" s="183">
        <f t="shared" si="9"/>
        <v>0</v>
      </c>
      <c r="BK18" s="182"/>
      <c r="BL18" s="90"/>
      <c r="BM18" s="90"/>
      <c r="BN18" s="183">
        <f t="shared" si="10"/>
        <v>0</v>
      </c>
      <c r="BO18" s="182"/>
      <c r="BP18" s="90"/>
      <c r="BQ18" s="90"/>
      <c r="BR18" s="183">
        <f t="shared" si="11"/>
        <v>0</v>
      </c>
      <c r="BS18" s="182"/>
      <c r="BT18" s="90"/>
      <c r="BU18" s="90"/>
      <c r="BV18" s="183">
        <f t="shared" si="12"/>
        <v>0</v>
      </c>
      <c r="BW18" s="182"/>
      <c r="BX18" s="90"/>
      <c r="BY18" s="90"/>
      <c r="BZ18" s="183">
        <f t="shared" si="13"/>
        <v>0</v>
      </c>
      <c r="CA18" s="182"/>
      <c r="CB18" s="90"/>
      <c r="CC18" s="90"/>
      <c r="CD18" s="183">
        <f t="shared" si="14"/>
        <v>0</v>
      </c>
    </row>
    <row r="19" spans="2:82" x14ac:dyDescent="0.3">
      <c r="B19" s="53"/>
      <c r="C19" s="53" t="str">
        <f t="shared" si="0"/>
        <v>CPU_Instalaçãoestruturam</v>
      </c>
      <c r="D19" s="278">
        <f t="shared" si="1"/>
        <v>1</v>
      </c>
      <c r="E19" s="278">
        <f t="shared" si="2"/>
        <v>0</v>
      </c>
      <c r="F19" s="1"/>
      <c r="G19" s="28" t="str">
        <f>IFERROR(VLOOKUP(F19,Tabela7[[RECURSO]:[CUSTO]],2,FALSE),"")</f>
        <v/>
      </c>
      <c r="H19" s="92"/>
      <c r="I19" s="90"/>
      <c r="J19" s="45">
        <f>IFERROR(VLOOKUP(F19,Tabela7[[RECURSO]:[CUSTO]],3,FALSE),0)</f>
        <v>0</v>
      </c>
      <c r="K19" s="45">
        <f>I19*J19*CPU_51[[#This Row],[Nº]]</f>
        <v>0</v>
      </c>
      <c r="M19" s="31"/>
      <c r="N19" s="297"/>
      <c r="O19" s="60">
        <f t="shared" si="15"/>
        <v>0</v>
      </c>
      <c r="AD19" s="144" t="str">
        <f t="shared" si="3"/>
        <v>Instalação estrutura metalica</v>
      </c>
      <c r="AE19" s="179"/>
      <c r="AF19" s="180">
        <f t="shared" si="16"/>
        <v>0</v>
      </c>
      <c r="AG19" s="180">
        <f t="shared" si="17"/>
        <v>0</v>
      </c>
      <c r="AH19" s="181">
        <f t="shared" si="18"/>
        <v>0</v>
      </c>
      <c r="AI19" s="182"/>
      <c r="AJ19" s="90"/>
      <c r="AK19" s="90"/>
      <c r="AL19" s="183">
        <f t="shared" si="19"/>
        <v>0</v>
      </c>
      <c r="AM19" s="182"/>
      <c r="AN19" s="90"/>
      <c r="AO19" s="90"/>
      <c r="AP19" s="183">
        <f t="shared" si="4"/>
        <v>0</v>
      </c>
      <c r="AQ19" s="182"/>
      <c r="AR19" s="90"/>
      <c r="AS19" s="90"/>
      <c r="AT19" s="183">
        <f t="shared" si="5"/>
        <v>0</v>
      </c>
      <c r="AU19" s="182"/>
      <c r="AV19" s="90"/>
      <c r="AW19" s="90"/>
      <c r="AX19" s="183">
        <f t="shared" si="6"/>
        <v>0</v>
      </c>
      <c r="AY19" s="182"/>
      <c r="AZ19" s="90"/>
      <c r="BA19" s="90"/>
      <c r="BB19" s="183">
        <f t="shared" si="7"/>
        <v>0</v>
      </c>
      <c r="BC19" s="182"/>
      <c r="BD19" s="90"/>
      <c r="BE19" s="90"/>
      <c r="BF19" s="183">
        <f t="shared" si="8"/>
        <v>0</v>
      </c>
      <c r="BG19" s="182"/>
      <c r="BH19" s="90"/>
      <c r="BI19" s="90"/>
      <c r="BJ19" s="183">
        <f t="shared" si="9"/>
        <v>0</v>
      </c>
      <c r="BK19" s="182"/>
      <c r="BL19" s="90"/>
      <c r="BM19" s="90"/>
      <c r="BN19" s="183">
        <f t="shared" si="10"/>
        <v>0</v>
      </c>
      <c r="BO19" s="182"/>
      <c r="BP19" s="90"/>
      <c r="BQ19" s="90"/>
      <c r="BR19" s="183">
        <f t="shared" si="11"/>
        <v>0</v>
      </c>
      <c r="BS19" s="182"/>
      <c r="BT19" s="90"/>
      <c r="BU19" s="90"/>
      <c r="BV19" s="183">
        <f t="shared" si="12"/>
        <v>0</v>
      </c>
      <c r="BW19" s="182"/>
      <c r="BX19" s="90"/>
      <c r="BY19" s="90"/>
      <c r="BZ19" s="183">
        <f t="shared" si="13"/>
        <v>0</v>
      </c>
      <c r="CA19" s="182"/>
      <c r="CB19" s="90"/>
      <c r="CC19" s="90"/>
      <c r="CD19" s="183">
        <f t="shared" si="14"/>
        <v>0</v>
      </c>
    </row>
    <row r="20" spans="2:82" x14ac:dyDescent="0.3">
      <c r="B20" s="53"/>
      <c r="C20" s="53" t="str">
        <f t="shared" si="0"/>
        <v>CPU_Instalaçãoestruturam</v>
      </c>
      <c r="D20" s="278">
        <f t="shared" si="1"/>
        <v>1</v>
      </c>
      <c r="E20" s="278">
        <f t="shared" si="2"/>
        <v>0</v>
      </c>
      <c r="F20" s="1"/>
      <c r="G20" s="28" t="str">
        <f>IFERROR(VLOOKUP(F20,Tabela7[[RECURSO]:[CUSTO]],2,FALSE),"")</f>
        <v/>
      </c>
      <c r="H20" s="92"/>
      <c r="I20" s="90"/>
      <c r="J20" s="45">
        <f>IFERROR(VLOOKUP(F20,Tabela7[[RECURSO]:[CUSTO]],3,FALSE),0)</f>
        <v>0</v>
      </c>
      <c r="K20" s="45">
        <f>I20*J20*CPU_51[[#This Row],[Nº]]</f>
        <v>0</v>
      </c>
      <c r="M20" s="31"/>
      <c r="N20" s="297"/>
      <c r="O20" s="60">
        <f t="shared" si="15"/>
        <v>0</v>
      </c>
      <c r="AD20" s="144" t="str">
        <f t="shared" si="3"/>
        <v>Instalação estrutura metalica</v>
      </c>
      <c r="AE20" s="179"/>
      <c r="AF20" s="180">
        <f t="shared" si="16"/>
        <v>0</v>
      </c>
      <c r="AG20" s="180">
        <f t="shared" si="17"/>
        <v>0</v>
      </c>
      <c r="AH20" s="181">
        <f t="shared" si="18"/>
        <v>0</v>
      </c>
      <c r="AI20" s="182"/>
      <c r="AJ20" s="90"/>
      <c r="AK20" s="90"/>
      <c r="AL20" s="183">
        <f t="shared" si="19"/>
        <v>0</v>
      </c>
      <c r="AM20" s="182"/>
      <c r="AN20" s="90"/>
      <c r="AO20" s="90"/>
      <c r="AP20" s="183">
        <f t="shared" si="4"/>
        <v>0</v>
      </c>
      <c r="AQ20" s="182"/>
      <c r="AR20" s="90"/>
      <c r="AS20" s="90"/>
      <c r="AT20" s="183">
        <f t="shared" si="5"/>
        <v>0</v>
      </c>
      <c r="AU20" s="182"/>
      <c r="AV20" s="90"/>
      <c r="AW20" s="90"/>
      <c r="AX20" s="183">
        <f t="shared" si="6"/>
        <v>0</v>
      </c>
      <c r="AY20" s="182"/>
      <c r="AZ20" s="90"/>
      <c r="BA20" s="90"/>
      <c r="BB20" s="183">
        <f t="shared" si="7"/>
        <v>0</v>
      </c>
      <c r="BC20" s="182"/>
      <c r="BD20" s="90"/>
      <c r="BE20" s="90"/>
      <c r="BF20" s="183">
        <f t="shared" si="8"/>
        <v>0</v>
      </c>
      <c r="BG20" s="182"/>
      <c r="BH20" s="90"/>
      <c r="BI20" s="90"/>
      <c r="BJ20" s="183">
        <f t="shared" si="9"/>
        <v>0</v>
      </c>
      <c r="BK20" s="182"/>
      <c r="BL20" s="90"/>
      <c r="BM20" s="90"/>
      <c r="BN20" s="183">
        <f t="shared" si="10"/>
        <v>0</v>
      </c>
      <c r="BO20" s="182"/>
      <c r="BP20" s="90"/>
      <c r="BQ20" s="90"/>
      <c r="BR20" s="183">
        <f t="shared" si="11"/>
        <v>0</v>
      </c>
      <c r="BS20" s="182"/>
      <c r="BT20" s="90"/>
      <c r="BU20" s="90"/>
      <c r="BV20" s="183">
        <f t="shared" si="12"/>
        <v>0</v>
      </c>
      <c r="BW20" s="182"/>
      <c r="BX20" s="90"/>
      <c r="BY20" s="90"/>
      <c r="BZ20" s="183">
        <f t="shared" si="13"/>
        <v>0</v>
      </c>
      <c r="CA20" s="182"/>
      <c r="CB20" s="90"/>
      <c r="CC20" s="90"/>
      <c r="CD20" s="183">
        <f t="shared" si="14"/>
        <v>0</v>
      </c>
    </row>
    <row r="21" spans="2:82" x14ac:dyDescent="0.3">
      <c r="B21" s="53"/>
      <c r="C21" s="53" t="str">
        <f t="shared" si="0"/>
        <v>CPU_Instalaçãoestruturam</v>
      </c>
      <c r="D21" s="278">
        <f t="shared" si="1"/>
        <v>1</v>
      </c>
      <c r="E21" s="278">
        <f t="shared" si="2"/>
        <v>0</v>
      </c>
      <c r="F21" s="1"/>
      <c r="G21" s="28" t="str">
        <f>IFERROR(VLOOKUP(F21,Tabela7[[RECURSO]:[CUSTO]],2,FALSE),"")</f>
        <v/>
      </c>
      <c r="H21" s="92"/>
      <c r="I21" s="90"/>
      <c r="J21" s="45">
        <f>IFERROR(VLOOKUP(F21,Tabela7[[RECURSO]:[CUSTO]],3,FALSE),0)</f>
        <v>0</v>
      </c>
      <c r="K21" s="45">
        <f>I21*J21*CPU_51[[#This Row],[Nº]]</f>
        <v>0</v>
      </c>
      <c r="M21" s="31"/>
      <c r="N21" s="297"/>
      <c r="O21" s="60">
        <f t="shared" si="15"/>
        <v>0</v>
      </c>
      <c r="AD21" s="144" t="str">
        <f t="shared" si="3"/>
        <v>Instalação estrutura metalica</v>
      </c>
      <c r="AE21" s="179"/>
      <c r="AF21" s="180">
        <f t="shared" si="16"/>
        <v>0</v>
      </c>
      <c r="AG21" s="180">
        <f t="shared" si="17"/>
        <v>0</v>
      </c>
      <c r="AH21" s="181">
        <f t="shared" si="18"/>
        <v>0</v>
      </c>
      <c r="AI21" s="182"/>
      <c r="AJ21" s="90"/>
      <c r="AK21" s="90"/>
      <c r="AL21" s="183">
        <f t="shared" si="19"/>
        <v>0</v>
      </c>
      <c r="AM21" s="182"/>
      <c r="AN21" s="90"/>
      <c r="AO21" s="90"/>
      <c r="AP21" s="183">
        <f t="shared" si="4"/>
        <v>0</v>
      </c>
      <c r="AQ21" s="182"/>
      <c r="AR21" s="90"/>
      <c r="AS21" s="90"/>
      <c r="AT21" s="183">
        <f t="shared" si="5"/>
        <v>0</v>
      </c>
      <c r="AU21" s="182"/>
      <c r="AV21" s="90"/>
      <c r="AW21" s="90"/>
      <c r="AX21" s="183">
        <f t="shared" si="6"/>
        <v>0</v>
      </c>
      <c r="AY21" s="182"/>
      <c r="AZ21" s="90"/>
      <c r="BA21" s="90"/>
      <c r="BB21" s="183">
        <f t="shared" si="7"/>
        <v>0</v>
      </c>
      <c r="BC21" s="182"/>
      <c r="BD21" s="90"/>
      <c r="BE21" s="90"/>
      <c r="BF21" s="183">
        <f t="shared" si="8"/>
        <v>0</v>
      </c>
      <c r="BG21" s="182"/>
      <c r="BH21" s="90"/>
      <c r="BI21" s="90"/>
      <c r="BJ21" s="183">
        <f t="shared" si="9"/>
        <v>0</v>
      </c>
      <c r="BK21" s="182"/>
      <c r="BL21" s="90"/>
      <c r="BM21" s="90"/>
      <c r="BN21" s="183">
        <f t="shared" si="10"/>
        <v>0</v>
      </c>
      <c r="BO21" s="182"/>
      <c r="BP21" s="90"/>
      <c r="BQ21" s="90"/>
      <c r="BR21" s="183">
        <f t="shared" si="11"/>
        <v>0</v>
      </c>
      <c r="BS21" s="182"/>
      <c r="BT21" s="90"/>
      <c r="BU21" s="90"/>
      <c r="BV21" s="183">
        <f t="shared" si="12"/>
        <v>0</v>
      </c>
      <c r="BW21" s="182"/>
      <c r="BX21" s="90"/>
      <c r="BY21" s="90"/>
      <c r="BZ21" s="183">
        <f t="shared" si="13"/>
        <v>0</v>
      </c>
      <c r="CA21" s="182"/>
      <c r="CB21" s="90"/>
      <c r="CC21" s="90"/>
      <c r="CD21" s="183">
        <f t="shared" si="14"/>
        <v>0</v>
      </c>
    </row>
    <row r="22" spans="2:82" x14ac:dyDescent="0.3">
      <c r="B22" s="53"/>
      <c r="C22" s="53" t="str">
        <f t="shared" si="0"/>
        <v>CPU_Instalaçãoestruturam</v>
      </c>
      <c r="D22" s="278">
        <f t="shared" si="1"/>
        <v>1</v>
      </c>
      <c r="E22" s="278">
        <f t="shared" si="2"/>
        <v>0</v>
      </c>
      <c r="F22" s="1"/>
      <c r="G22" s="28" t="str">
        <f>IFERROR(VLOOKUP(F22,Tabela7[[RECURSO]:[CUSTO]],2,FALSE),"")</f>
        <v/>
      </c>
      <c r="H22" s="92"/>
      <c r="I22" s="90"/>
      <c r="J22" s="45">
        <f>IFERROR(VLOOKUP(F22,Tabela7[[RECURSO]:[CUSTO]],3,FALSE),0)</f>
        <v>0</v>
      </c>
      <c r="K22" s="45">
        <f>I22*J22*CPU_51[[#This Row],[Nº]]</f>
        <v>0</v>
      </c>
      <c r="M22" s="31"/>
      <c r="N22" s="297"/>
      <c r="O22" s="60">
        <f t="shared" si="15"/>
        <v>0</v>
      </c>
      <c r="AD22" s="144" t="str">
        <f t="shared" si="3"/>
        <v>Instalação estrutura metalica</v>
      </c>
      <c r="AE22" s="179"/>
      <c r="AF22" s="180">
        <f t="shared" si="16"/>
        <v>0</v>
      </c>
      <c r="AG22" s="180">
        <f t="shared" si="17"/>
        <v>0</v>
      </c>
      <c r="AH22" s="181">
        <f t="shared" si="18"/>
        <v>0</v>
      </c>
      <c r="AI22" s="182"/>
      <c r="AJ22" s="90"/>
      <c r="AK22" s="90"/>
      <c r="AL22" s="183">
        <f t="shared" si="19"/>
        <v>0</v>
      </c>
      <c r="AM22" s="182"/>
      <c r="AN22" s="90"/>
      <c r="AO22" s="90"/>
      <c r="AP22" s="183">
        <f t="shared" si="4"/>
        <v>0</v>
      </c>
      <c r="AQ22" s="182"/>
      <c r="AR22" s="90"/>
      <c r="AS22" s="90"/>
      <c r="AT22" s="183">
        <f t="shared" si="5"/>
        <v>0</v>
      </c>
      <c r="AU22" s="182"/>
      <c r="AV22" s="90"/>
      <c r="AW22" s="90"/>
      <c r="AX22" s="183">
        <f t="shared" si="6"/>
        <v>0</v>
      </c>
      <c r="AY22" s="182"/>
      <c r="AZ22" s="90"/>
      <c r="BA22" s="90"/>
      <c r="BB22" s="183">
        <f t="shared" si="7"/>
        <v>0</v>
      </c>
      <c r="BC22" s="182"/>
      <c r="BD22" s="90"/>
      <c r="BE22" s="90"/>
      <c r="BF22" s="183">
        <f t="shared" si="8"/>
        <v>0</v>
      </c>
      <c r="BG22" s="182"/>
      <c r="BH22" s="90"/>
      <c r="BI22" s="90"/>
      <c r="BJ22" s="183">
        <f t="shared" si="9"/>
        <v>0</v>
      </c>
      <c r="BK22" s="182"/>
      <c r="BL22" s="90"/>
      <c r="BM22" s="90"/>
      <c r="BN22" s="183">
        <f t="shared" si="10"/>
        <v>0</v>
      </c>
      <c r="BO22" s="182"/>
      <c r="BP22" s="90"/>
      <c r="BQ22" s="90"/>
      <c r="BR22" s="183">
        <f t="shared" si="11"/>
        <v>0</v>
      </c>
      <c r="BS22" s="182"/>
      <c r="BT22" s="90"/>
      <c r="BU22" s="90"/>
      <c r="BV22" s="183">
        <f t="shared" si="12"/>
        <v>0</v>
      </c>
      <c r="BW22" s="182"/>
      <c r="BX22" s="90"/>
      <c r="BY22" s="90"/>
      <c r="BZ22" s="183">
        <f t="shared" si="13"/>
        <v>0</v>
      </c>
      <c r="CA22" s="182"/>
      <c r="CB22" s="90"/>
      <c r="CC22" s="90"/>
      <c r="CD22" s="183">
        <f t="shared" si="14"/>
        <v>0</v>
      </c>
    </row>
    <row r="23" spans="2:82" ht="15" thickBot="1" x14ac:dyDescent="0.35">
      <c r="B23" s="53"/>
      <c r="C23" s="53" t="str">
        <f t="shared" si="0"/>
        <v>CPU_Instalaçãoestruturam</v>
      </c>
      <c r="D23" s="278">
        <f t="shared" si="1"/>
        <v>1</v>
      </c>
      <c r="E23" s="278">
        <f t="shared" si="2"/>
        <v>0</v>
      </c>
      <c r="F23" s="1"/>
      <c r="G23" s="28" t="str">
        <f>IFERROR(VLOOKUP(F23,Tabela7[[RECURSO]:[CUSTO]],2,FALSE),"")</f>
        <v/>
      </c>
      <c r="H23" s="92"/>
      <c r="I23" s="90"/>
      <c r="J23" s="45">
        <f>IFERROR(VLOOKUP(F23,Tabela7[[RECURSO]:[CUSTO]],3,FALSE),0)</f>
        <v>0</v>
      </c>
      <c r="K23" s="45">
        <f>I23*J23*CPU_51[[#This Row],[Nº]]</f>
        <v>0</v>
      </c>
      <c r="M23" s="51"/>
      <c r="N23" s="298"/>
      <c r="O23" s="61">
        <f t="shared" si="15"/>
        <v>0</v>
      </c>
      <c r="AD23" s="144" t="str">
        <f t="shared" si="3"/>
        <v>Instalação estrutura metalica</v>
      </c>
      <c r="AE23" s="179"/>
      <c r="AF23" s="180">
        <f t="shared" si="16"/>
        <v>0</v>
      </c>
      <c r="AG23" s="180">
        <f t="shared" si="17"/>
        <v>0</v>
      </c>
      <c r="AH23" s="181">
        <f t="shared" si="18"/>
        <v>0</v>
      </c>
      <c r="AI23" s="182"/>
      <c r="AJ23" s="90"/>
      <c r="AK23" s="90"/>
      <c r="AL23" s="183">
        <f t="shared" si="19"/>
        <v>0</v>
      </c>
      <c r="AM23" s="182"/>
      <c r="AN23" s="90"/>
      <c r="AO23" s="90"/>
      <c r="AP23" s="183">
        <f t="shared" si="4"/>
        <v>0</v>
      </c>
      <c r="AQ23" s="182"/>
      <c r="AR23" s="90"/>
      <c r="AS23" s="90"/>
      <c r="AT23" s="183">
        <f t="shared" si="5"/>
        <v>0</v>
      </c>
      <c r="AU23" s="182"/>
      <c r="AV23" s="90"/>
      <c r="AW23" s="90"/>
      <c r="AX23" s="183">
        <f t="shared" si="6"/>
        <v>0</v>
      </c>
      <c r="AY23" s="182"/>
      <c r="AZ23" s="90"/>
      <c r="BA23" s="90"/>
      <c r="BB23" s="183">
        <f t="shared" si="7"/>
        <v>0</v>
      </c>
      <c r="BC23" s="182"/>
      <c r="BD23" s="90"/>
      <c r="BE23" s="90"/>
      <c r="BF23" s="183">
        <f t="shared" si="8"/>
        <v>0</v>
      </c>
      <c r="BG23" s="182"/>
      <c r="BH23" s="90"/>
      <c r="BI23" s="90"/>
      <c r="BJ23" s="183">
        <f t="shared" si="9"/>
        <v>0</v>
      </c>
      <c r="BK23" s="182"/>
      <c r="BL23" s="90"/>
      <c r="BM23" s="90"/>
      <c r="BN23" s="183">
        <f t="shared" si="10"/>
        <v>0</v>
      </c>
      <c r="BO23" s="182"/>
      <c r="BP23" s="90"/>
      <c r="BQ23" s="90"/>
      <c r="BR23" s="183">
        <f t="shared" si="11"/>
        <v>0</v>
      </c>
      <c r="BS23" s="182"/>
      <c r="BT23" s="90"/>
      <c r="BU23" s="90"/>
      <c r="BV23" s="183">
        <f t="shared" si="12"/>
        <v>0</v>
      </c>
      <c r="BW23" s="182"/>
      <c r="BX23" s="90"/>
      <c r="BY23" s="90"/>
      <c r="BZ23" s="183">
        <f t="shared" si="13"/>
        <v>0</v>
      </c>
      <c r="CA23" s="182"/>
      <c r="CB23" s="90"/>
      <c r="CC23" s="90"/>
      <c r="CD23" s="183">
        <f t="shared" si="14"/>
        <v>0</v>
      </c>
    </row>
    <row r="24" spans="2:82" x14ac:dyDescent="0.3">
      <c r="B24" s="52" t="s">
        <v>686</v>
      </c>
      <c r="C24" s="52" t="str">
        <f t="shared" si="0"/>
        <v>CPU_Instalaçãoestruturam</v>
      </c>
      <c r="D24" s="277">
        <f t="shared" si="1"/>
        <v>1</v>
      </c>
      <c r="E24" s="277">
        <f t="shared" si="2"/>
        <v>0</v>
      </c>
      <c r="F24" s="37"/>
      <c r="G24" s="38"/>
      <c r="H24" s="91"/>
      <c r="I24" s="40"/>
      <c r="J24" s="40">
        <f>IFERROR(K24/$B$6,0)</f>
        <v>0</v>
      </c>
      <c r="K24" s="40">
        <f>SUM(K25:K36)</f>
        <v>0</v>
      </c>
      <c r="AD24" s="144" t="str">
        <f t="shared" si="3"/>
        <v>Instalação estrutura metalica</v>
      </c>
      <c r="AE24" s="184"/>
      <c r="AF24" s="40"/>
      <c r="AG24" s="40">
        <f>IFERROR(AH24/AF$3,0)</f>
        <v>0</v>
      </c>
      <c r="AH24" s="185">
        <f>SUM(AH25:AH36)</f>
        <v>0</v>
      </c>
      <c r="AI24" s="184"/>
      <c r="AJ24" s="40"/>
      <c r="AK24" s="40">
        <f>IFERROR(AL24/AJ$3,0)</f>
        <v>0</v>
      </c>
      <c r="AL24" s="185">
        <f>SUM(AL25:AL36)</f>
        <v>0</v>
      </c>
      <c r="AM24" s="184"/>
      <c r="AN24" s="40"/>
      <c r="AO24" s="40">
        <f>IFERROR(AP24/AN$3,0)</f>
        <v>0</v>
      </c>
      <c r="AP24" s="185">
        <f>SUM(AP25:AP36)</f>
        <v>0</v>
      </c>
      <c r="AQ24" s="184"/>
      <c r="AR24" s="40"/>
      <c r="AS24" s="40">
        <f>IFERROR(AT24/AR$3,0)</f>
        <v>0</v>
      </c>
      <c r="AT24" s="185">
        <f>SUM(AT25:AT36)</f>
        <v>0</v>
      </c>
      <c r="AU24" s="184"/>
      <c r="AV24" s="40"/>
      <c r="AW24" s="40">
        <f>IFERROR(AX24/AV$3,0)</f>
        <v>0</v>
      </c>
      <c r="AX24" s="185">
        <f>SUM(AX25:AX36)</f>
        <v>0</v>
      </c>
      <c r="AY24" s="184"/>
      <c r="AZ24" s="40"/>
      <c r="BA24" s="40">
        <f>IFERROR(BB24/AZ$3,0)</f>
        <v>0</v>
      </c>
      <c r="BB24" s="185">
        <f>SUM(BB25:BB36)</f>
        <v>0</v>
      </c>
      <c r="BC24" s="184"/>
      <c r="BD24" s="40"/>
      <c r="BE24" s="40">
        <f>IFERROR(BF24/BD$3,0)</f>
        <v>0</v>
      </c>
      <c r="BF24" s="185">
        <f>SUM(BF25:BF36)</f>
        <v>0</v>
      </c>
      <c r="BG24" s="184"/>
      <c r="BH24" s="40"/>
      <c r="BI24" s="40">
        <f>IFERROR(BJ24/BH$3,0)</f>
        <v>0</v>
      </c>
      <c r="BJ24" s="185">
        <f>SUM(BJ25:BJ36)</f>
        <v>0</v>
      </c>
      <c r="BK24" s="184"/>
      <c r="BL24" s="40"/>
      <c r="BM24" s="40">
        <f>IFERROR(BN24/BL$3,0)</f>
        <v>0</v>
      </c>
      <c r="BN24" s="185">
        <f>SUM(BN25:BN36)</f>
        <v>0</v>
      </c>
      <c r="BO24" s="184"/>
      <c r="BP24" s="40"/>
      <c r="BQ24" s="40">
        <f>IFERROR(BR24/BP$3,0)</f>
        <v>0</v>
      </c>
      <c r="BR24" s="185">
        <f>SUM(BR25:BR36)</f>
        <v>0</v>
      </c>
      <c r="BS24" s="184"/>
      <c r="BT24" s="40"/>
      <c r="BU24" s="40">
        <f>IFERROR(BV24/BT$3,0)</f>
        <v>0</v>
      </c>
      <c r="BV24" s="185">
        <f>SUM(BV25:BV36)</f>
        <v>0</v>
      </c>
      <c r="BW24" s="184"/>
      <c r="BX24" s="40"/>
      <c r="BY24" s="40">
        <f>IFERROR(BZ24/BX$3,0)</f>
        <v>0</v>
      </c>
      <c r="BZ24" s="185">
        <f>SUM(BZ25:BZ36)</f>
        <v>0</v>
      </c>
      <c r="CA24" s="184"/>
      <c r="CB24" s="40"/>
      <c r="CC24" s="40">
        <f>IFERROR(CD24/CB$3,0)</f>
        <v>0</v>
      </c>
      <c r="CD24" s="185">
        <f>SUM(CD25:CD36)</f>
        <v>0</v>
      </c>
    </row>
    <row r="25" spans="2:82" x14ac:dyDescent="0.3">
      <c r="B25" s="53"/>
      <c r="C25" s="53" t="str">
        <f t="shared" si="0"/>
        <v>CPU_Instalaçãoestruturam</v>
      </c>
      <c r="D25" s="278">
        <f t="shared" si="1"/>
        <v>1</v>
      </c>
      <c r="E25" s="278">
        <f t="shared" si="2"/>
        <v>0</v>
      </c>
      <c r="F25" s="1"/>
      <c r="G25" s="28" t="str">
        <f>IFERROR(VLOOKUP(F25,Tabela7[[RECURSO]:[CUSTO]],2,FALSE),"")</f>
        <v/>
      </c>
      <c r="H25" s="93"/>
      <c r="I25" s="90">
        <f>IFERROR(SUMPRODUCT(I12:I23,M12:M23,H12:H23,N12:N23),0)</f>
        <v>0</v>
      </c>
      <c r="J25" s="45">
        <f>IFERROR(VLOOKUP(F25,Tabela7[[RECURSO]:[CUSTO]],3,FALSE),0)</f>
        <v>0</v>
      </c>
      <c r="K25" s="45">
        <f>I25*J25</f>
        <v>0</v>
      </c>
      <c r="AD25" s="144" t="str">
        <f t="shared" si="3"/>
        <v>Instalação estrutura metalica</v>
      </c>
      <c r="AE25" s="179"/>
      <c r="AF25" s="180">
        <f t="shared" ref="AF25:AF36" si="20">AJ25+AN25+AR25+AV25+AZ25+BD25+BH25+BL25+BP25+BT25+BX25+CB25</f>
        <v>0</v>
      </c>
      <c r="AG25" s="180">
        <f t="shared" si="17"/>
        <v>0</v>
      </c>
      <c r="AH25" s="181">
        <f t="shared" ref="AH25:AH36" si="21">AL25+AP25+AT25+AX25+BB25+BF25+BJ25+BN25+BR25+BV25+BZ25+CD25</f>
        <v>0</v>
      </c>
      <c r="AI25" s="182"/>
      <c r="AJ25" s="90"/>
      <c r="AK25" s="90"/>
      <c r="AL25" s="183">
        <f t="shared" ref="AL25:AL36" si="22">AJ25*AK25</f>
        <v>0</v>
      </c>
      <c r="AM25" s="182"/>
      <c r="AN25" s="90"/>
      <c r="AO25" s="90"/>
      <c r="AP25" s="183">
        <f t="shared" ref="AP25:AP62" si="23">AN25*AO25</f>
        <v>0</v>
      </c>
      <c r="AQ25" s="182"/>
      <c r="AR25" s="90"/>
      <c r="AS25" s="90"/>
      <c r="AT25" s="183">
        <f t="shared" ref="AT25:AT62" si="24">AR25*AS25</f>
        <v>0</v>
      </c>
      <c r="AU25" s="182"/>
      <c r="AV25" s="90"/>
      <c r="AW25" s="90"/>
      <c r="AX25" s="183">
        <f t="shared" ref="AX25:AX62" si="25">AV25*AW25</f>
        <v>0</v>
      </c>
      <c r="AY25" s="182"/>
      <c r="AZ25" s="90"/>
      <c r="BA25" s="90"/>
      <c r="BB25" s="183">
        <f t="shared" ref="BB25:BB62" si="26">AZ25*BA25</f>
        <v>0</v>
      </c>
      <c r="BC25" s="182"/>
      <c r="BD25" s="90"/>
      <c r="BE25" s="90"/>
      <c r="BF25" s="183">
        <f t="shared" ref="BF25:BF62" si="27">BD25*BE25</f>
        <v>0</v>
      </c>
      <c r="BG25" s="182"/>
      <c r="BH25" s="90"/>
      <c r="BI25" s="90"/>
      <c r="BJ25" s="183">
        <f t="shared" ref="BJ25:BJ62" si="28">BH25*BI25</f>
        <v>0</v>
      </c>
      <c r="BK25" s="182"/>
      <c r="BL25" s="90"/>
      <c r="BM25" s="90"/>
      <c r="BN25" s="183">
        <f t="shared" ref="BN25:BN62" si="29">BL25*BM25</f>
        <v>0</v>
      </c>
      <c r="BO25" s="182"/>
      <c r="BP25" s="90"/>
      <c r="BQ25" s="90"/>
      <c r="BR25" s="183">
        <f t="shared" ref="BR25:BR62" si="30">BP25*BQ25</f>
        <v>0</v>
      </c>
      <c r="BS25" s="182"/>
      <c r="BT25" s="90"/>
      <c r="BU25" s="90"/>
      <c r="BV25" s="183">
        <f t="shared" ref="BV25:BV62" si="31">BT25*BU25</f>
        <v>0</v>
      </c>
      <c r="BW25" s="182"/>
      <c r="BX25" s="90"/>
      <c r="BY25" s="90"/>
      <c r="BZ25" s="183">
        <f t="shared" ref="BZ25:BZ62" si="32">BX25*BY25</f>
        <v>0</v>
      </c>
      <c r="CA25" s="182"/>
      <c r="CB25" s="90"/>
      <c r="CC25" s="90"/>
      <c r="CD25" s="183">
        <f t="shared" ref="CD25:CD62" si="33">CB25*CC25</f>
        <v>0</v>
      </c>
    </row>
    <row r="26" spans="2:82" x14ac:dyDescent="0.3">
      <c r="B26" s="53"/>
      <c r="C26" s="53" t="str">
        <f t="shared" si="0"/>
        <v>CPU_Instalaçãoestruturam</v>
      </c>
      <c r="D26" s="278">
        <f t="shared" si="1"/>
        <v>1</v>
      </c>
      <c r="E26" s="278">
        <f t="shared" si="2"/>
        <v>0</v>
      </c>
      <c r="F26" s="1"/>
      <c r="G26" s="28" t="str">
        <f>IFERROR(VLOOKUP(F26,Tabela7[[RECURSO]:[CUSTO]],2,FALSE),"")</f>
        <v/>
      </c>
      <c r="H26" s="93"/>
      <c r="I26" s="90"/>
      <c r="J26" s="45">
        <f>IFERROR(VLOOKUP(F26,Tabela7[[RECURSO]:[CUSTO]],3,FALSE),0)</f>
        <v>0</v>
      </c>
      <c r="K26" s="45">
        <f t="shared" ref="K26:K36" si="34">I26*J26</f>
        <v>0</v>
      </c>
      <c r="AD26" s="144" t="str">
        <f t="shared" si="3"/>
        <v>Instalação estrutura metalica</v>
      </c>
      <c r="AE26" s="179"/>
      <c r="AF26" s="180">
        <f t="shared" si="20"/>
        <v>0</v>
      </c>
      <c r="AG26" s="180">
        <f t="shared" si="17"/>
        <v>0</v>
      </c>
      <c r="AH26" s="181">
        <f t="shared" si="21"/>
        <v>0</v>
      </c>
      <c r="AI26" s="182"/>
      <c r="AJ26" s="90"/>
      <c r="AK26" s="90"/>
      <c r="AL26" s="183">
        <f t="shared" si="22"/>
        <v>0</v>
      </c>
      <c r="AM26" s="182"/>
      <c r="AN26" s="90"/>
      <c r="AO26" s="90"/>
      <c r="AP26" s="183">
        <f t="shared" si="23"/>
        <v>0</v>
      </c>
      <c r="AQ26" s="182"/>
      <c r="AR26" s="90"/>
      <c r="AS26" s="90"/>
      <c r="AT26" s="183">
        <f t="shared" si="24"/>
        <v>0</v>
      </c>
      <c r="AU26" s="182"/>
      <c r="AV26" s="90"/>
      <c r="AW26" s="90"/>
      <c r="AX26" s="183">
        <f t="shared" si="25"/>
        <v>0</v>
      </c>
      <c r="AY26" s="182"/>
      <c r="AZ26" s="90"/>
      <c r="BA26" s="90"/>
      <c r="BB26" s="183">
        <f t="shared" si="26"/>
        <v>0</v>
      </c>
      <c r="BC26" s="182"/>
      <c r="BD26" s="90"/>
      <c r="BE26" s="90"/>
      <c r="BF26" s="183">
        <f t="shared" si="27"/>
        <v>0</v>
      </c>
      <c r="BG26" s="182"/>
      <c r="BH26" s="90"/>
      <c r="BI26" s="90"/>
      <c r="BJ26" s="183">
        <f t="shared" si="28"/>
        <v>0</v>
      </c>
      <c r="BK26" s="182"/>
      <c r="BL26" s="90"/>
      <c r="BM26" s="90"/>
      <c r="BN26" s="183">
        <f t="shared" si="29"/>
        <v>0</v>
      </c>
      <c r="BO26" s="182"/>
      <c r="BP26" s="90"/>
      <c r="BQ26" s="90"/>
      <c r="BR26" s="183">
        <f t="shared" si="30"/>
        <v>0</v>
      </c>
      <c r="BS26" s="182"/>
      <c r="BT26" s="90"/>
      <c r="BU26" s="90"/>
      <c r="BV26" s="183">
        <f t="shared" si="31"/>
        <v>0</v>
      </c>
      <c r="BW26" s="182"/>
      <c r="BX26" s="90"/>
      <c r="BY26" s="90"/>
      <c r="BZ26" s="183">
        <f t="shared" si="32"/>
        <v>0</v>
      </c>
      <c r="CA26" s="182"/>
      <c r="CB26" s="90"/>
      <c r="CC26" s="90"/>
      <c r="CD26" s="183">
        <f t="shared" si="33"/>
        <v>0</v>
      </c>
    </row>
    <row r="27" spans="2:82" x14ac:dyDescent="0.3">
      <c r="B27" s="53"/>
      <c r="C27" s="53" t="str">
        <f t="shared" si="0"/>
        <v>CPU_Instalaçãoestruturam</v>
      </c>
      <c r="D27" s="278">
        <f t="shared" si="1"/>
        <v>1</v>
      </c>
      <c r="E27" s="278">
        <f t="shared" si="2"/>
        <v>0</v>
      </c>
      <c r="F27" s="1"/>
      <c r="G27" s="28" t="str">
        <f>IFERROR(VLOOKUP(F27,Tabela7[[RECURSO]:[CUSTO]],2,FALSE),"")</f>
        <v/>
      </c>
      <c r="H27" s="93"/>
      <c r="I27" s="90"/>
      <c r="J27" s="45">
        <f>IFERROR(VLOOKUP(F27,Tabela7[[RECURSO]:[CUSTO]],3,FALSE),0)</f>
        <v>0</v>
      </c>
      <c r="K27" s="45">
        <f t="shared" si="34"/>
        <v>0</v>
      </c>
      <c r="AD27" s="144" t="str">
        <f t="shared" si="3"/>
        <v>Instalação estrutura metalica</v>
      </c>
      <c r="AE27" s="179"/>
      <c r="AF27" s="180">
        <f t="shared" si="20"/>
        <v>0</v>
      </c>
      <c r="AG27" s="180">
        <f t="shared" si="17"/>
        <v>0</v>
      </c>
      <c r="AH27" s="181">
        <f t="shared" si="21"/>
        <v>0</v>
      </c>
      <c r="AI27" s="182"/>
      <c r="AJ27" s="90"/>
      <c r="AK27" s="90"/>
      <c r="AL27" s="183">
        <f t="shared" si="22"/>
        <v>0</v>
      </c>
      <c r="AM27" s="182"/>
      <c r="AN27" s="90"/>
      <c r="AO27" s="90"/>
      <c r="AP27" s="183">
        <f t="shared" si="23"/>
        <v>0</v>
      </c>
      <c r="AQ27" s="182"/>
      <c r="AR27" s="90"/>
      <c r="AS27" s="90"/>
      <c r="AT27" s="183">
        <f t="shared" si="24"/>
        <v>0</v>
      </c>
      <c r="AU27" s="182"/>
      <c r="AV27" s="90"/>
      <c r="AW27" s="90"/>
      <c r="AX27" s="183">
        <f t="shared" si="25"/>
        <v>0</v>
      </c>
      <c r="AY27" s="182"/>
      <c r="AZ27" s="90"/>
      <c r="BA27" s="90"/>
      <c r="BB27" s="183">
        <f t="shared" si="26"/>
        <v>0</v>
      </c>
      <c r="BC27" s="182"/>
      <c r="BD27" s="90"/>
      <c r="BE27" s="90"/>
      <c r="BF27" s="183">
        <f t="shared" si="27"/>
        <v>0</v>
      </c>
      <c r="BG27" s="182"/>
      <c r="BH27" s="90"/>
      <c r="BI27" s="90"/>
      <c r="BJ27" s="183">
        <f t="shared" si="28"/>
        <v>0</v>
      </c>
      <c r="BK27" s="182"/>
      <c r="BL27" s="90"/>
      <c r="BM27" s="90"/>
      <c r="BN27" s="183">
        <f t="shared" si="29"/>
        <v>0</v>
      </c>
      <c r="BO27" s="182"/>
      <c r="BP27" s="90"/>
      <c r="BQ27" s="90"/>
      <c r="BR27" s="183">
        <f t="shared" si="30"/>
        <v>0</v>
      </c>
      <c r="BS27" s="182"/>
      <c r="BT27" s="90"/>
      <c r="BU27" s="90"/>
      <c r="BV27" s="183">
        <f t="shared" si="31"/>
        <v>0</v>
      </c>
      <c r="BW27" s="182"/>
      <c r="BX27" s="90"/>
      <c r="BY27" s="90"/>
      <c r="BZ27" s="183">
        <f t="shared" si="32"/>
        <v>0</v>
      </c>
      <c r="CA27" s="182"/>
      <c r="CB27" s="90"/>
      <c r="CC27" s="90"/>
      <c r="CD27" s="183">
        <f t="shared" si="33"/>
        <v>0</v>
      </c>
    </row>
    <row r="28" spans="2:82" x14ac:dyDescent="0.3">
      <c r="B28" s="53"/>
      <c r="C28" s="53" t="str">
        <f t="shared" si="0"/>
        <v>CPU_Instalaçãoestruturam</v>
      </c>
      <c r="D28" s="278">
        <f t="shared" si="1"/>
        <v>1</v>
      </c>
      <c r="E28" s="278">
        <f t="shared" si="2"/>
        <v>0</v>
      </c>
      <c r="F28" s="1"/>
      <c r="G28" s="28" t="str">
        <f>IFERROR(VLOOKUP(F28,Tabela7[[RECURSO]:[CUSTO]],2,FALSE),"")</f>
        <v/>
      </c>
      <c r="H28" s="93"/>
      <c r="I28" s="90"/>
      <c r="J28" s="45">
        <f>IFERROR(VLOOKUP(F28,Tabela7[[RECURSO]:[CUSTO]],3,FALSE),0)</f>
        <v>0</v>
      </c>
      <c r="K28" s="45">
        <f t="shared" si="34"/>
        <v>0</v>
      </c>
      <c r="AD28" s="144" t="str">
        <f t="shared" si="3"/>
        <v>Instalação estrutura metalica</v>
      </c>
      <c r="AE28" s="179"/>
      <c r="AF28" s="180">
        <f t="shared" si="20"/>
        <v>0</v>
      </c>
      <c r="AG28" s="180">
        <f t="shared" si="17"/>
        <v>0</v>
      </c>
      <c r="AH28" s="181">
        <f t="shared" si="21"/>
        <v>0</v>
      </c>
      <c r="AI28" s="182"/>
      <c r="AJ28" s="90"/>
      <c r="AK28" s="90"/>
      <c r="AL28" s="183">
        <f t="shared" si="22"/>
        <v>0</v>
      </c>
      <c r="AM28" s="182"/>
      <c r="AN28" s="90"/>
      <c r="AO28" s="90"/>
      <c r="AP28" s="183">
        <f t="shared" si="23"/>
        <v>0</v>
      </c>
      <c r="AQ28" s="182"/>
      <c r="AR28" s="90"/>
      <c r="AS28" s="90"/>
      <c r="AT28" s="183">
        <f t="shared" si="24"/>
        <v>0</v>
      </c>
      <c r="AU28" s="182"/>
      <c r="AV28" s="90"/>
      <c r="AW28" s="90"/>
      <c r="AX28" s="183">
        <f t="shared" si="25"/>
        <v>0</v>
      </c>
      <c r="AY28" s="182"/>
      <c r="AZ28" s="90"/>
      <c r="BA28" s="90"/>
      <c r="BB28" s="183">
        <f t="shared" si="26"/>
        <v>0</v>
      </c>
      <c r="BC28" s="182"/>
      <c r="BD28" s="90"/>
      <c r="BE28" s="90"/>
      <c r="BF28" s="183">
        <f t="shared" si="27"/>
        <v>0</v>
      </c>
      <c r="BG28" s="182"/>
      <c r="BH28" s="90"/>
      <c r="BI28" s="90"/>
      <c r="BJ28" s="183">
        <f t="shared" si="28"/>
        <v>0</v>
      </c>
      <c r="BK28" s="182"/>
      <c r="BL28" s="90"/>
      <c r="BM28" s="90"/>
      <c r="BN28" s="183">
        <f t="shared" si="29"/>
        <v>0</v>
      </c>
      <c r="BO28" s="182"/>
      <c r="BP28" s="90"/>
      <c r="BQ28" s="90"/>
      <c r="BR28" s="183">
        <f t="shared" si="30"/>
        <v>0</v>
      </c>
      <c r="BS28" s="182"/>
      <c r="BT28" s="90"/>
      <c r="BU28" s="90"/>
      <c r="BV28" s="183">
        <f t="shared" si="31"/>
        <v>0</v>
      </c>
      <c r="BW28" s="182"/>
      <c r="BX28" s="90"/>
      <c r="BY28" s="90"/>
      <c r="BZ28" s="183">
        <f t="shared" si="32"/>
        <v>0</v>
      </c>
      <c r="CA28" s="182"/>
      <c r="CB28" s="90"/>
      <c r="CC28" s="90"/>
      <c r="CD28" s="183">
        <f t="shared" si="33"/>
        <v>0</v>
      </c>
    </row>
    <row r="29" spans="2:82" x14ac:dyDescent="0.3">
      <c r="B29" s="53"/>
      <c r="C29" s="53" t="str">
        <f t="shared" si="0"/>
        <v>CPU_Instalaçãoestruturam</v>
      </c>
      <c r="D29" s="278">
        <f t="shared" si="1"/>
        <v>1</v>
      </c>
      <c r="E29" s="278">
        <f t="shared" si="2"/>
        <v>0</v>
      </c>
      <c r="F29" s="1"/>
      <c r="G29" s="28" t="str">
        <f>IFERROR(VLOOKUP(F29,Tabela7[[RECURSO]:[CUSTO]],2,FALSE),"")</f>
        <v/>
      </c>
      <c r="H29" s="93"/>
      <c r="I29" s="90"/>
      <c r="J29" s="45">
        <f>IFERROR(VLOOKUP(F29,Tabela7[[RECURSO]:[CUSTO]],3,FALSE),0)</f>
        <v>0</v>
      </c>
      <c r="K29" s="45">
        <f t="shared" si="34"/>
        <v>0</v>
      </c>
      <c r="AD29" s="144" t="str">
        <f t="shared" si="3"/>
        <v>Instalação estrutura metalica</v>
      </c>
      <c r="AE29" s="179"/>
      <c r="AF29" s="180">
        <f t="shared" si="20"/>
        <v>0</v>
      </c>
      <c r="AG29" s="180">
        <f t="shared" si="17"/>
        <v>0</v>
      </c>
      <c r="AH29" s="181">
        <f t="shared" si="21"/>
        <v>0</v>
      </c>
      <c r="AI29" s="182"/>
      <c r="AJ29" s="90"/>
      <c r="AK29" s="90"/>
      <c r="AL29" s="183">
        <f t="shared" si="22"/>
        <v>0</v>
      </c>
      <c r="AM29" s="182"/>
      <c r="AN29" s="90"/>
      <c r="AO29" s="90"/>
      <c r="AP29" s="183">
        <f t="shared" si="23"/>
        <v>0</v>
      </c>
      <c r="AQ29" s="182"/>
      <c r="AR29" s="90"/>
      <c r="AS29" s="90"/>
      <c r="AT29" s="183">
        <f t="shared" si="24"/>
        <v>0</v>
      </c>
      <c r="AU29" s="182"/>
      <c r="AV29" s="90"/>
      <c r="AW29" s="90"/>
      <c r="AX29" s="183">
        <f t="shared" si="25"/>
        <v>0</v>
      </c>
      <c r="AY29" s="182"/>
      <c r="AZ29" s="90"/>
      <c r="BA29" s="90"/>
      <c r="BB29" s="183">
        <f t="shared" si="26"/>
        <v>0</v>
      </c>
      <c r="BC29" s="182"/>
      <c r="BD29" s="90"/>
      <c r="BE29" s="90"/>
      <c r="BF29" s="183">
        <f t="shared" si="27"/>
        <v>0</v>
      </c>
      <c r="BG29" s="182"/>
      <c r="BH29" s="90"/>
      <c r="BI29" s="90"/>
      <c r="BJ29" s="183">
        <f t="shared" si="28"/>
        <v>0</v>
      </c>
      <c r="BK29" s="182"/>
      <c r="BL29" s="90"/>
      <c r="BM29" s="90"/>
      <c r="BN29" s="183">
        <f t="shared" si="29"/>
        <v>0</v>
      </c>
      <c r="BO29" s="182"/>
      <c r="BP29" s="90"/>
      <c r="BQ29" s="90"/>
      <c r="BR29" s="183">
        <f t="shared" si="30"/>
        <v>0</v>
      </c>
      <c r="BS29" s="182"/>
      <c r="BT29" s="90"/>
      <c r="BU29" s="90"/>
      <c r="BV29" s="183">
        <f t="shared" si="31"/>
        <v>0</v>
      </c>
      <c r="BW29" s="182"/>
      <c r="BX29" s="90"/>
      <c r="BY29" s="90"/>
      <c r="BZ29" s="183">
        <f t="shared" si="32"/>
        <v>0</v>
      </c>
      <c r="CA29" s="182"/>
      <c r="CB29" s="90"/>
      <c r="CC29" s="90"/>
      <c r="CD29" s="183">
        <f t="shared" si="33"/>
        <v>0</v>
      </c>
    </row>
    <row r="30" spans="2:82" x14ac:dyDescent="0.3">
      <c r="B30" s="53"/>
      <c r="C30" s="53" t="str">
        <f t="shared" si="0"/>
        <v>CPU_Instalaçãoestruturam</v>
      </c>
      <c r="D30" s="278">
        <f t="shared" si="1"/>
        <v>1</v>
      </c>
      <c r="E30" s="278">
        <f t="shared" si="2"/>
        <v>0</v>
      </c>
      <c r="F30" s="1"/>
      <c r="G30" s="28" t="str">
        <f>IFERROR(VLOOKUP(F30,Tabela7[[RECURSO]:[CUSTO]],2,FALSE),"")</f>
        <v/>
      </c>
      <c r="H30" s="93"/>
      <c r="I30" s="90"/>
      <c r="J30" s="45">
        <f>IFERROR(VLOOKUP(F30,Tabela7[[RECURSO]:[CUSTO]],3,FALSE),0)</f>
        <v>0</v>
      </c>
      <c r="K30" s="45">
        <f t="shared" si="34"/>
        <v>0</v>
      </c>
      <c r="AD30" s="144" t="str">
        <f t="shared" si="3"/>
        <v>Instalação estrutura metalica</v>
      </c>
      <c r="AE30" s="179"/>
      <c r="AF30" s="180">
        <f t="shared" si="20"/>
        <v>0</v>
      </c>
      <c r="AG30" s="180">
        <f t="shared" si="17"/>
        <v>0</v>
      </c>
      <c r="AH30" s="181">
        <f t="shared" si="21"/>
        <v>0</v>
      </c>
      <c r="AI30" s="182"/>
      <c r="AJ30" s="90"/>
      <c r="AK30" s="90"/>
      <c r="AL30" s="183">
        <f t="shared" si="22"/>
        <v>0</v>
      </c>
      <c r="AM30" s="182"/>
      <c r="AN30" s="90"/>
      <c r="AO30" s="90"/>
      <c r="AP30" s="183">
        <f t="shared" si="23"/>
        <v>0</v>
      </c>
      <c r="AQ30" s="182"/>
      <c r="AR30" s="90"/>
      <c r="AS30" s="90"/>
      <c r="AT30" s="183">
        <f t="shared" si="24"/>
        <v>0</v>
      </c>
      <c r="AU30" s="182"/>
      <c r="AV30" s="90"/>
      <c r="AW30" s="90"/>
      <c r="AX30" s="183">
        <f t="shared" si="25"/>
        <v>0</v>
      </c>
      <c r="AY30" s="182"/>
      <c r="AZ30" s="90"/>
      <c r="BA30" s="90"/>
      <c r="BB30" s="183">
        <f t="shared" si="26"/>
        <v>0</v>
      </c>
      <c r="BC30" s="182"/>
      <c r="BD30" s="90"/>
      <c r="BE30" s="90"/>
      <c r="BF30" s="183">
        <f t="shared" si="27"/>
        <v>0</v>
      </c>
      <c r="BG30" s="182"/>
      <c r="BH30" s="90"/>
      <c r="BI30" s="90"/>
      <c r="BJ30" s="183">
        <f t="shared" si="28"/>
        <v>0</v>
      </c>
      <c r="BK30" s="182"/>
      <c r="BL30" s="90"/>
      <c r="BM30" s="90"/>
      <c r="BN30" s="183">
        <f t="shared" si="29"/>
        <v>0</v>
      </c>
      <c r="BO30" s="182"/>
      <c r="BP30" s="90"/>
      <c r="BQ30" s="90"/>
      <c r="BR30" s="183">
        <f t="shared" si="30"/>
        <v>0</v>
      </c>
      <c r="BS30" s="182"/>
      <c r="BT30" s="90"/>
      <c r="BU30" s="90"/>
      <c r="BV30" s="183">
        <f t="shared" si="31"/>
        <v>0</v>
      </c>
      <c r="BW30" s="182"/>
      <c r="BX30" s="90"/>
      <c r="BY30" s="90"/>
      <c r="BZ30" s="183">
        <f t="shared" si="32"/>
        <v>0</v>
      </c>
      <c r="CA30" s="182"/>
      <c r="CB30" s="90"/>
      <c r="CC30" s="90"/>
      <c r="CD30" s="183">
        <f t="shared" si="33"/>
        <v>0</v>
      </c>
    </row>
    <row r="31" spans="2:82" x14ac:dyDescent="0.3">
      <c r="B31" s="53"/>
      <c r="C31" s="53" t="str">
        <f t="shared" si="0"/>
        <v>CPU_Instalaçãoestruturam</v>
      </c>
      <c r="D31" s="278">
        <f t="shared" si="1"/>
        <v>1</v>
      </c>
      <c r="E31" s="278">
        <f t="shared" si="2"/>
        <v>0</v>
      </c>
      <c r="F31" s="1"/>
      <c r="G31" s="28" t="str">
        <f>IFERROR(VLOOKUP(F31,Tabela7[[RECURSO]:[CUSTO]],2,FALSE),"")</f>
        <v/>
      </c>
      <c r="H31" s="93"/>
      <c r="I31" s="90"/>
      <c r="J31" s="45">
        <f>IFERROR(VLOOKUP(F31,Tabela7[[RECURSO]:[CUSTO]],3,FALSE),0)</f>
        <v>0</v>
      </c>
      <c r="K31" s="45">
        <f t="shared" si="34"/>
        <v>0</v>
      </c>
      <c r="AD31" s="144" t="str">
        <f t="shared" si="3"/>
        <v>Instalação estrutura metalica</v>
      </c>
      <c r="AE31" s="179"/>
      <c r="AF31" s="180">
        <f t="shared" si="20"/>
        <v>0</v>
      </c>
      <c r="AG31" s="180">
        <f t="shared" si="17"/>
        <v>0</v>
      </c>
      <c r="AH31" s="181">
        <f t="shared" si="21"/>
        <v>0</v>
      </c>
      <c r="AI31" s="182"/>
      <c r="AJ31" s="90"/>
      <c r="AK31" s="90"/>
      <c r="AL31" s="183">
        <f t="shared" si="22"/>
        <v>0</v>
      </c>
      <c r="AM31" s="182"/>
      <c r="AN31" s="90"/>
      <c r="AO31" s="90"/>
      <c r="AP31" s="183">
        <f t="shared" si="23"/>
        <v>0</v>
      </c>
      <c r="AQ31" s="182"/>
      <c r="AR31" s="90"/>
      <c r="AS31" s="90"/>
      <c r="AT31" s="183">
        <f t="shared" si="24"/>
        <v>0</v>
      </c>
      <c r="AU31" s="182"/>
      <c r="AV31" s="90"/>
      <c r="AW31" s="90"/>
      <c r="AX31" s="183">
        <f t="shared" si="25"/>
        <v>0</v>
      </c>
      <c r="AY31" s="182"/>
      <c r="AZ31" s="90"/>
      <c r="BA31" s="90"/>
      <c r="BB31" s="183">
        <f t="shared" si="26"/>
        <v>0</v>
      </c>
      <c r="BC31" s="182"/>
      <c r="BD31" s="90"/>
      <c r="BE31" s="90"/>
      <c r="BF31" s="183">
        <f t="shared" si="27"/>
        <v>0</v>
      </c>
      <c r="BG31" s="182"/>
      <c r="BH31" s="90"/>
      <c r="BI31" s="90"/>
      <c r="BJ31" s="183">
        <f t="shared" si="28"/>
        <v>0</v>
      </c>
      <c r="BK31" s="182"/>
      <c r="BL31" s="90"/>
      <c r="BM31" s="90"/>
      <c r="BN31" s="183">
        <f t="shared" si="29"/>
        <v>0</v>
      </c>
      <c r="BO31" s="182"/>
      <c r="BP31" s="90"/>
      <c r="BQ31" s="90"/>
      <c r="BR31" s="183">
        <f t="shared" si="30"/>
        <v>0</v>
      </c>
      <c r="BS31" s="182"/>
      <c r="BT31" s="90"/>
      <c r="BU31" s="90"/>
      <c r="BV31" s="183">
        <f t="shared" si="31"/>
        <v>0</v>
      </c>
      <c r="BW31" s="182"/>
      <c r="BX31" s="90"/>
      <c r="BY31" s="90"/>
      <c r="BZ31" s="183">
        <f t="shared" si="32"/>
        <v>0</v>
      </c>
      <c r="CA31" s="182"/>
      <c r="CB31" s="90"/>
      <c r="CC31" s="90"/>
      <c r="CD31" s="183">
        <f t="shared" si="33"/>
        <v>0</v>
      </c>
    </row>
    <row r="32" spans="2:82" x14ac:dyDescent="0.3">
      <c r="B32" s="53"/>
      <c r="C32" s="53" t="str">
        <f t="shared" si="0"/>
        <v>CPU_Instalaçãoestruturam</v>
      </c>
      <c r="D32" s="278">
        <f t="shared" si="1"/>
        <v>1</v>
      </c>
      <c r="E32" s="278">
        <f t="shared" si="2"/>
        <v>0</v>
      </c>
      <c r="F32" s="1"/>
      <c r="G32" s="28" t="str">
        <f>IFERROR(VLOOKUP(F32,Tabela7[[RECURSO]:[CUSTO]],2,FALSE),"")</f>
        <v/>
      </c>
      <c r="H32" s="93"/>
      <c r="I32" s="90"/>
      <c r="J32" s="45">
        <f>IFERROR(VLOOKUP(F32,Tabela7[[RECURSO]:[CUSTO]],3,FALSE),0)</f>
        <v>0</v>
      </c>
      <c r="K32" s="45">
        <f t="shared" si="34"/>
        <v>0</v>
      </c>
      <c r="AD32" s="144" t="str">
        <f t="shared" si="3"/>
        <v>Instalação estrutura metalica</v>
      </c>
      <c r="AE32" s="179"/>
      <c r="AF32" s="180">
        <f t="shared" si="20"/>
        <v>0</v>
      </c>
      <c r="AG32" s="180">
        <f t="shared" si="17"/>
        <v>0</v>
      </c>
      <c r="AH32" s="181">
        <f t="shared" si="21"/>
        <v>0</v>
      </c>
      <c r="AI32" s="182"/>
      <c r="AJ32" s="90"/>
      <c r="AK32" s="90"/>
      <c r="AL32" s="183">
        <f t="shared" si="22"/>
        <v>0</v>
      </c>
      <c r="AM32" s="182"/>
      <c r="AN32" s="90"/>
      <c r="AO32" s="90"/>
      <c r="AP32" s="183">
        <f t="shared" si="23"/>
        <v>0</v>
      </c>
      <c r="AQ32" s="182"/>
      <c r="AR32" s="90"/>
      <c r="AS32" s="90"/>
      <c r="AT32" s="183">
        <f t="shared" si="24"/>
        <v>0</v>
      </c>
      <c r="AU32" s="182"/>
      <c r="AV32" s="90"/>
      <c r="AW32" s="90"/>
      <c r="AX32" s="183">
        <f t="shared" si="25"/>
        <v>0</v>
      </c>
      <c r="AY32" s="182"/>
      <c r="AZ32" s="90"/>
      <c r="BA32" s="90"/>
      <c r="BB32" s="183">
        <f t="shared" si="26"/>
        <v>0</v>
      </c>
      <c r="BC32" s="182"/>
      <c r="BD32" s="90"/>
      <c r="BE32" s="90"/>
      <c r="BF32" s="183">
        <f t="shared" si="27"/>
        <v>0</v>
      </c>
      <c r="BG32" s="182"/>
      <c r="BH32" s="90"/>
      <c r="BI32" s="90"/>
      <c r="BJ32" s="183">
        <f t="shared" si="28"/>
        <v>0</v>
      </c>
      <c r="BK32" s="182"/>
      <c r="BL32" s="90"/>
      <c r="BM32" s="90"/>
      <c r="BN32" s="183">
        <f t="shared" si="29"/>
        <v>0</v>
      </c>
      <c r="BO32" s="182"/>
      <c r="BP32" s="90"/>
      <c r="BQ32" s="90"/>
      <c r="BR32" s="183">
        <f t="shared" si="30"/>
        <v>0</v>
      </c>
      <c r="BS32" s="182"/>
      <c r="BT32" s="90"/>
      <c r="BU32" s="90"/>
      <c r="BV32" s="183">
        <f t="shared" si="31"/>
        <v>0</v>
      </c>
      <c r="BW32" s="182"/>
      <c r="BX32" s="90"/>
      <c r="BY32" s="90"/>
      <c r="BZ32" s="183">
        <f t="shared" si="32"/>
        <v>0</v>
      </c>
      <c r="CA32" s="182"/>
      <c r="CB32" s="90"/>
      <c r="CC32" s="90"/>
      <c r="CD32" s="183">
        <f t="shared" si="33"/>
        <v>0</v>
      </c>
    </row>
    <row r="33" spans="2:82" x14ac:dyDescent="0.3">
      <c r="B33" s="53"/>
      <c r="C33" s="53" t="str">
        <f t="shared" si="0"/>
        <v>CPU_Instalaçãoestruturam</v>
      </c>
      <c r="D33" s="278">
        <f t="shared" si="1"/>
        <v>1</v>
      </c>
      <c r="E33" s="278">
        <f t="shared" si="2"/>
        <v>0</v>
      </c>
      <c r="F33" s="1"/>
      <c r="G33" s="28" t="str">
        <f>IFERROR(VLOOKUP(F33,Tabela7[[RECURSO]:[CUSTO]],2,FALSE),"")</f>
        <v/>
      </c>
      <c r="H33" s="93"/>
      <c r="I33" s="90"/>
      <c r="J33" s="45">
        <f>IFERROR(VLOOKUP(F33,Tabela7[[RECURSO]:[CUSTO]],3,FALSE),0)</f>
        <v>0</v>
      </c>
      <c r="K33" s="45">
        <f t="shared" si="34"/>
        <v>0</v>
      </c>
      <c r="AD33" s="144" t="str">
        <f t="shared" si="3"/>
        <v>Instalação estrutura metalica</v>
      </c>
      <c r="AE33" s="179"/>
      <c r="AF33" s="180">
        <f t="shared" si="20"/>
        <v>0</v>
      </c>
      <c r="AG33" s="180">
        <f t="shared" si="17"/>
        <v>0</v>
      </c>
      <c r="AH33" s="181">
        <f t="shared" si="21"/>
        <v>0</v>
      </c>
      <c r="AI33" s="182"/>
      <c r="AJ33" s="90"/>
      <c r="AK33" s="90"/>
      <c r="AL33" s="183">
        <f t="shared" si="22"/>
        <v>0</v>
      </c>
      <c r="AM33" s="182"/>
      <c r="AN33" s="90"/>
      <c r="AO33" s="90"/>
      <c r="AP33" s="183">
        <f t="shared" si="23"/>
        <v>0</v>
      </c>
      <c r="AQ33" s="182"/>
      <c r="AR33" s="90"/>
      <c r="AS33" s="90"/>
      <c r="AT33" s="183">
        <f t="shared" si="24"/>
        <v>0</v>
      </c>
      <c r="AU33" s="182"/>
      <c r="AV33" s="90"/>
      <c r="AW33" s="90"/>
      <c r="AX33" s="183">
        <f t="shared" si="25"/>
        <v>0</v>
      </c>
      <c r="AY33" s="182"/>
      <c r="AZ33" s="90"/>
      <c r="BA33" s="90"/>
      <c r="BB33" s="183">
        <f t="shared" si="26"/>
        <v>0</v>
      </c>
      <c r="BC33" s="182"/>
      <c r="BD33" s="90"/>
      <c r="BE33" s="90"/>
      <c r="BF33" s="183">
        <f t="shared" si="27"/>
        <v>0</v>
      </c>
      <c r="BG33" s="182"/>
      <c r="BH33" s="90"/>
      <c r="BI33" s="90"/>
      <c r="BJ33" s="183">
        <f t="shared" si="28"/>
        <v>0</v>
      </c>
      <c r="BK33" s="182"/>
      <c r="BL33" s="90"/>
      <c r="BM33" s="90"/>
      <c r="BN33" s="183">
        <f t="shared" si="29"/>
        <v>0</v>
      </c>
      <c r="BO33" s="182"/>
      <c r="BP33" s="90"/>
      <c r="BQ33" s="90"/>
      <c r="BR33" s="183">
        <f t="shared" si="30"/>
        <v>0</v>
      </c>
      <c r="BS33" s="182"/>
      <c r="BT33" s="90"/>
      <c r="BU33" s="90"/>
      <c r="BV33" s="183">
        <f t="shared" si="31"/>
        <v>0</v>
      </c>
      <c r="BW33" s="182"/>
      <c r="BX33" s="90"/>
      <c r="BY33" s="90"/>
      <c r="BZ33" s="183">
        <f t="shared" si="32"/>
        <v>0</v>
      </c>
      <c r="CA33" s="182"/>
      <c r="CB33" s="90"/>
      <c r="CC33" s="90"/>
      <c r="CD33" s="183">
        <f t="shared" si="33"/>
        <v>0</v>
      </c>
    </row>
    <row r="34" spans="2:82" x14ac:dyDescent="0.3">
      <c r="B34" s="53"/>
      <c r="C34" s="53" t="str">
        <f t="shared" si="0"/>
        <v>CPU_Instalaçãoestruturam</v>
      </c>
      <c r="D34" s="278">
        <f t="shared" si="1"/>
        <v>1</v>
      </c>
      <c r="E34" s="278">
        <f t="shared" si="2"/>
        <v>0</v>
      </c>
      <c r="F34" s="1"/>
      <c r="G34" s="28" t="str">
        <f>IFERROR(VLOOKUP(F34,Tabela7[[RECURSO]:[CUSTO]],2,FALSE),"")</f>
        <v/>
      </c>
      <c r="H34" s="93"/>
      <c r="I34" s="90"/>
      <c r="J34" s="45">
        <f>IFERROR(VLOOKUP(F34,Tabela7[[RECURSO]:[CUSTO]],3,FALSE),0)</f>
        <v>0</v>
      </c>
      <c r="K34" s="45">
        <f t="shared" si="34"/>
        <v>0</v>
      </c>
      <c r="AD34" s="144" t="str">
        <f t="shared" si="3"/>
        <v>Instalação estrutura metalica</v>
      </c>
      <c r="AE34" s="179"/>
      <c r="AF34" s="180">
        <f t="shared" si="20"/>
        <v>0</v>
      </c>
      <c r="AG34" s="180">
        <f t="shared" si="17"/>
        <v>0</v>
      </c>
      <c r="AH34" s="181">
        <f t="shared" si="21"/>
        <v>0</v>
      </c>
      <c r="AI34" s="182"/>
      <c r="AJ34" s="90"/>
      <c r="AK34" s="90"/>
      <c r="AL34" s="183">
        <f t="shared" si="22"/>
        <v>0</v>
      </c>
      <c r="AM34" s="182"/>
      <c r="AN34" s="90"/>
      <c r="AO34" s="90"/>
      <c r="AP34" s="183">
        <f t="shared" si="23"/>
        <v>0</v>
      </c>
      <c r="AQ34" s="182"/>
      <c r="AR34" s="90"/>
      <c r="AS34" s="90"/>
      <c r="AT34" s="183">
        <f t="shared" si="24"/>
        <v>0</v>
      </c>
      <c r="AU34" s="182"/>
      <c r="AV34" s="90"/>
      <c r="AW34" s="90"/>
      <c r="AX34" s="183">
        <f t="shared" si="25"/>
        <v>0</v>
      </c>
      <c r="AY34" s="182"/>
      <c r="AZ34" s="90"/>
      <c r="BA34" s="90"/>
      <c r="BB34" s="183">
        <f t="shared" si="26"/>
        <v>0</v>
      </c>
      <c r="BC34" s="182"/>
      <c r="BD34" s="90"/>
      <c r="BE34" s="90"/>
      <c r="BF34" s="183">
        <f t="shared" si="27"/>
        <v>0</v>
      </c>
      <c r="BG34" s="182"/>
      <c r="BH34" s="90"/>
      <c r="BI34" s="90"/>
      <c r="BJ34" s="183">
        <f t="shared" si="28"/>
        <v>0</v>
      </c>
      <c r="BK34" s="182"/>
      <c r="BL34" s="90"/>
      <c r="BM34" s="90"/>
      <c r="BN34" s="183">
        <f t="shared" si="29"/>
        <v>0</v>
      </c>
      <c r="BO34" s="182"/>
      <c r="BP34" s="90"/>
      <c r="BQ34" s="90"/>
      <c r="BR34" s="183">
        <f t="shared" si="30"/>
        <v>0</v>
      </c>
      <c r="BS34" s="182"/>
      <c r="BT34" s="90"/>
      <c r="BU34" s="90"/>
      <c r="BV34" s="183">
        <f t="shared" si="31"/>
        <v>0</v>
      </c>
      <c r="BW34" s="182"/>
      <c r="BX34" s="90"/>
      <c r="BY34" s="90"/>
      <c r="BZ34" s="183">
        <f t="shared" si="32"/>
        <v>0</v>
      </c>
      <c r="CA34" s="182"/>
      <c r="CB34" s="90"/>
      <c r="CC34" s="90"/>
      <c r="CD34" s="183">
        <f t="shared" si="33"/>
        <v>0</v>
      </c>
    </row>
    <row r="35" spans="2:82" x14ac:dyDescent="0.3">
      <c r="B35" s="53"/>
      <c r="C35" s="53" t="str">
        <f t="shared" si="0"/>
        <v>CPU_Instalaçãoestruturam</v>
      </c>
      <c r="D35" s="278">
        <f t="shared" si="1"/>
        <v>1</v>
      </c>
      <c r="E35" s="278">
        <f t="shared" si="2"/>
        <v>0</v>
      </c>
      <c r="F35" s="1"/>
      <c r="G35" s="28" t="str">
        <f>IFERROR(VLOOKUP(F35,Tabela7[[RECURSO]:[CUSTO]],2,FALSE),"")</f>
        <v/>
      </c>
      <c r="H35" s="93"/>
      <c r="I35" s="90"/>
      <c r="J35" s="45">
        <f>IFERROR(VLOOKUP(F35,Tabela7[[RECURSO]:[CUSTO]],3,FALSE),0)</f>
        <v>0</v>
      </c>
      <c r="K35" s="45">
        <f t="shared" si="34"/>
        <v>0</v>
      </c>
      <c r="AD35" s="144" t="str">
        <f t="shared" si="3"/>
        <v>Instalação estrutura metalica</v>
      </c>
      <c r="AE35" s="179"/>
      <c r="AF35" s="180">
        <f t="shared" si="20"/>
        <v>0</v>
      </c>
      <c r="AG35" s="180">
        <f t="shared" si="17"/>
        <v>0</v>
      </c>
      <c r="AH35" s="181">
        <f t="shared" si="21"/>
        <v>0</v>
      </c>
      <c r="AI35" s="182"/>
      <c r="AJ35" s="90"/>
      <c r="AK35" s="90"/>
      <c r="AL35" s="183">
        <f t="shared" si="22"/>
        <v>0</v>
      </c>
      <c r="AM35" s="182"/>
      <c r="AN35" s="90"/>
      <c r="AO35" s="90"/>
      <c r="AP35" s="183">
        <f t="shared" si="23"/>
        <v>0</v>
      </c>
      <c r="AQ35" s="182"/>
      <c r="AR35" s="90"/>
      <c r="AS35" s="90"/>
      <c r="AT35" s="183">
        <f t="shared" si="24"/>
        <v>0</v>
      </c>
      <c r="AU35" s="182"/>
      <c r="AV35" s="90"/>
      <c r="AW35" s="90"/>
      <c r="AX35" s="183">
        <f t="shared" si="25"/>
        <v>0</v>
      </c>
      <c r="AY35" s="182"/>
      <c r="AZ35" s="90"/>
      <c r="BA35" s="90"/>
      <c r="BB35" s="183">
        <f t="shared" si="26"/>
        <v>0</v>
      </c>
      <c r="BC35" s="182"/>
      <c r="BD35" s="90"/>
      <c r="BE35" s="90"/>
      <c r="BF35" s="183">
        <f t="shared" si="27"/>
        <v>0</v>
      </c>
      <c r="BG35" s="182"/>
      <c r="BH35" s="90"/>
      <c r="BI35" s="90"/>
      <c r="BJ35" s="183">
        <f t="shared" si="28"/>
        <v>0</v>
      </c>
      <c r="BK35" s="182"/>
      <c r="BL35" s="90"/>
      <c r="BM35" s="90"/>
      <c r="BN35" s="183">
        <f t="shared" si="29"/>
        <v>0</v>
      </c>
      <c r="BO35" s="182"/>
      <c r="BP35" s="90"/>
      <c r="BQ35" s="90"/>
      <c r="BR35" s="183">
        <f t="shared" si="30"/>
        <v>0</v>
      </c>
      <c r="BS35" s="182"/>
      <c r="BT35" s="90"/>
      <c r="BU35" s="90"/>
      <c r="BV35" s="183">
        <f t="shared" si="31"/>
        <v>0</v>
      </c>
      <c r="BW35" s="182"/>
      <c r="BX35" s="90"/>
      <c r="BY35" s="90"/>
      <c r="BZ35" s="183">
        <f t="shared" si="32"/>
        <v>0</v>
      </c>
      <c r="CA35" s="182"/>
      <c r="CB35" s="90"/>
      <c r="CC35" s="90"/>
      <c r="CD35" s="183">
        <f t="shared" si="33"/>
        <v>0</v>
      </c>
    </row>
    <row r="36" spans="2:82" x14ac:dyDescent="0.3">
      <c r="B36" s="53"/>
      <c r="C36" s="53" t="str">
        <f t="shared" si="0"/>
        <v>CPU_Instalaçãoestruturam</v>
      </c>
      <c r="D36" s="278">
        <f t="shared" si="1"/>
        <v>1</v>
      </c>
      <c r="E36" s="278">
        <f t="shared" si="2"/>
        <v>0</v>
      </c>
      <c r="F36" s="1"/>
      <c r="G36" s="28" t="str">
        <f>IFERROR(VLOOKUP(F36,Tabela7[[RECURSO]:[CUSTO]],2,FALSE),"")</f>
        <v/>
      </c>
      <c r="H36" s="93"/>
      <c r="I36" s="90"/>
      <c r="J36" s="45">
        <f>IFERROR(VLOOKUP(F36,Tabela7[[RECURSO]:[CUSTO]],3,FALSE),0)</f>
        <v>0</v>
      </c>
      <c r="K36" s="45">
        <f t="shared" si="34"/>
        <v>0</v>
      </c>
      <c r="AD36" s="144" t="str">
        <f t="shared" si="3"/>
        <v>Instalação estrutura metalica</v>
      </c>
      <c r="AE36" s="179"/>
      <c r="AF36" s="180">
        <f t="shared" si="20"/>
        <v>0</v>
      </c>
      <c r="AG36" s="180">
        <f t="shared" si="17"/>
        <v>0</v>
      </c>
      <c r="AH36" s="181">
        <f t="shared" si="21"/>
        <v>0</v>
      </c>
      <c r="AI36" s="182"/>
      <c r="AJ36" s="90"/>
      <c r="AK36" s="90"/>
      <c r="AL36" s="183">
        <f t="shared" si="22"/>
        <v>0</v>
      </c>
      <c r="AM36" s="182"/>
      <c r="AN36" s="90"/>
      <c r="AO36" s="90"/>
      <c r="AP36" s="183">
        <f t="shared" si="23"/>
        <v>0</v>
      </c>
      <c r="AQ36" s="182"/>
      <c r="AR36" s="90"/>
      <c r="AS36" s="90"/>
      <c r="AT36" s="183">
        <f t="shared" si="24"/>
        <v>0</v>
      </c>
      <c r="AU36" s="182"/>
      <c r="AV36" s="90"/>
      <c r="AW36" s="90"/>
      <c r="AX36" s="183">
        <f t="shared" si="25"/>
        <v>0</v>
      </c>
      <c r="AY36" s="182"/>
      <c r="AZ36" s="90"/>
      <c r="BA36" s="90"/>
      <c r="BB36" s="183">
        <f t="shared" si="26"/>
        <v>0</v>
      </c>
      <c r="BC36" s="182"/>
      <c r="BD36" s="90"/>
      <c r="BE36" s="90"/>
      <c r="BF36" s="183">
        <f t="shared" si="27"/>
        <v>0</v>
      </c>
      <c r="BG36" s="182"/>
      <c r="BH36" s="90"/>
      <c r="BI36" s="90"/>
      <c r="BJ36" s="183">
        <f t="shared" si="28"/>
        <v>0</v>
      </c>
      <c r="BK36" s="182"/>
      <c r="BL36" s="90"/>
      <c r="BM36" s="90"/>
      <c r="BN36" s="183">
        <f t="shared" si="29"/>
        <v>0</v>
      </c>
      <c r="BO36" s="182"/>
      <c r="BP36" s="90"/>
      <c r="BQ36" s="90"/>
      <c r="BR36" s="183">
        <f t="shared" si="30"/>
        <v>0</v>
      </c>
      <c r="BS36" s="182"/>
      <c r="BT36" s="90"/>
      <c r="BU36" s="90"/>
      <c r="BV36" s="183">
        <f t="shared" si="31"/>
        <v>0</v>
      </c>
      <c r="BW36" s="182"/>
      <c r="BX36" s="90"/>
      <c r="BY36" s="90"/>
      <c r="BZ36" s="183">
        <f t="shared" si="32"/>
        <v>0</v>
      </c>
      <c r="CA36" s="182"/>
      <c r="CB36" s="90"/>
      <c r="CC36" s="90"/>
      <c r="CD36" s="183">
        <f t="shared" si="33"/>
        <v>0</v>
      </c>
    </row>
    <row r="37" spans="2:82" x14ac:dyDescent="0.3">
      <c r="B37" s="52" t="s">
        <v>692</v>
      </c>
      <c r="C37" s="52" t="str">
        <f t="shared" si="0"/>
        <v>CPU_Instalaçãoestruturam</v>
      </c>
      <c r="D37" s="277">
        <f t="shared" si="1"/>
        <v>1</v>
      </c>
      <c r="E37" s="277">
        <f t="shared" si="2"/>
        <v>0</v>
      </c>
      <c r="F37" s="37"/>
      <c r="G37" s="38"/>
      <c r="H37" s="91"/>
      <c r="I37" s="40"/>
      <c r="J37" s="40">
        <f>IFERROR(K37/$B$6,0)</f>
        <v>0</v>
      </c>
      <c r="K37" s="40">
        <f>SUM(K38:K49)</f>
        <v>0</v>
      </c>
      <c r="N37" s="39"/>
      <c r="AD37" s="144" t="str">
        <f t="shared" si="3"/>
        <v>Instalação estrutura metalica</v>
      </c>
      <c r="AE37" s="184"/>
      <c r="AF37" s="40"/>
      <c r="AG37" s="40">
        <f>IFERROR(AH37/AF$3,0)</f>
        <v>0</v>
      </c>
      <c r="AH37" s="185">
        <f>SUM(AH38:AH49)</f>
        <v>0</v>
      </c>
      <c r="AI37" s="184"/>
      <c r="AJ37" s="40"/>
      <c r="AK37" s="40">
        <f>IFERROR(AL37/AJ$3,0)</f>
        <v>0</v>
      </c>
      <c r="AL37" s="185">
        <f>SUM(AL38:AL49)</f>
        <v>0</v>
      </c>
      <c r="AM37" s="184"/>
      <c r="AN37" s="40"/>
      <c r="AO37" s="40">
        <f>IFERROR(AP37/AN$3,0)</f>
        <v>0</v>
      </c>
      <c r="AP37" s="185">
        <f>SUM(AP38:AP49)</f>
        <v>0</v>
      </c>
      <c r="AQ37" s="184"/>
      <c r="AR37" s="40"/>
      <c r="AS37" s="40">
        <f>IFERROR(AT37/AR$3,0)</f>
        <v>0</v>
      </c>
      <c r="AT37" s="185">
        <f>SUM(AT38:AT49)</f>
        <v>0</v>
      </c>
      <c r="AU37" s="184"/>
      <c r="AV37" s="40"/>
      <c r="AW37" s="40">
        <f>IFERROR(AX37/AV$3,0)</f>
        <v>0</v>
      </c>
      <c r="AX37" s="185">
        <f>SUM(AX38:AX49)</f>
        <v>0</v>
      </c>
      <c r="AY37" s="184"/>
      <c r="AZ37" s="40"/>
      <c r="BA37" s="40">
        <f>IFERROR(BB37/AZ$3,0)</f>
        <v>0</v>
      </c>
      <c r="BB37" s="185">
        <f>SUM(BB38:BB49)</f>
        <v>0</v>
      </c>
      <c r="BC37" s="184"/>
      <c r="BD37" s="40"/>
      <c r="BE37" s="40">
        <f>IFERROR(BF37/BD$3,0)</f>
        <v>0</v>
      </c>
      <c r="BF37" s="185">
        <f>SUM(BF38:BF49)</f>
        <v>0</v>
      </c>
      <c r="BG37" s="184"/>
      <c r="BH37" s="40"/>
      <c r="BI37" s="40">
        <f>IFERROR(BJ37/BH$3,0)</f>
        <v>0</v>
      </c>
      <c r="BJ37" s="185">
        <f>SUM(BJ38:BJ49)</f>
        <v>0</v>
      </c>
      <c r="BK37" s="184"/>
      <c r="BL37" s="40"/>
      <c r="BM37" s="40">
        <f>IFERROR(BN37/BL$3,0)</f>
        <v>0</v>
      </c>
      <c r="BN37" s="185">
        <f>SUM(BN38:BN49)</f>
        <v>0</v>
      </c>
      <c r="BO37" s="184"/>
      <c r="BP37" s="40"/>
      <c r="BQ37" s="40">
        <f>IFERROR(BR37/BP$3,0)</f>
        <v>0</v>
      </c>
      <c r="BR37" s="185">
        <f>SUM(BR38:BR49)</f>
        <v>0</v>
      </c>
      <c r="BS37" s="184"/>
      <c r="BT37" s="40"/>
      <c r="BU37" s="40">
        <f>IFERROR(BV37/BT$3,0)</f>
        <v>0</v>
      </c>
      <c r="BV37" s="185">
        <f>SUM(BV38:BV49)</f>
        <v>0</v>
      </c>
      <c r="BW37" s="184"/>
      <c r="BX37" s="40"/>
      <c r="BY37" s="40">
        <f>IFERROR(BZ37/BX$3,0)</f>
        <v>0</v>
      </c>
      <c r="BZ37" s="185">
        <f>SUM(BZ38:BZ49)</f>
        <v>0</v>
      </c>
      <c r="CA37" s="184"/>
      <c r="CB37" s="40"/>
      <c r="CC37" s="40">
        <f>IFERROR(CD37/CB$3,0)</f>
        <v>0</v>
      </c>
      <c r="CD37" s="185">
        <f>SUM(CD38:CD49)</f>
        <v>0</v>
      </c>
    </row>
    <row r="38" spans="2:82" x14ac:dyDescent="0.3">
      <c r="B38" s="54"/>
      <c r="C38" s="54" t="str">
        <f t="shared" si="0"/>
        <v>CPU_Instalaçãoestruturam</v>
      </c>
      <c r="D38" s="280">
        <f t="shared" si="1"/>
        <v>1</v>
      </c>
      <c r="E38" s="280">
        <f t="shared" si="2"/>
        <v>0</v>
      </c>
      <c r="F38" s="1"/>
      <c r="G38" s="28" t="str">
        <f>IFERROR(VLOOKUP(F38,Tabela7[[RECURSO]:[CUSTO]],2,FALSE),"")</f>
        <v/>
      </c>
      <c r="H38" s="92"/>
      <c r="I38" s="90"/>
      <c r="J38" s="45">
        <f>IFERROR(VLOOKUP(F38,Tabela7[[RECURSO]:[CUSTO]],3,FALSE),0)</f>
        <v>0</v>
      </c>
      <c r="K38" s="45">
        <f>I38*J38*CPU_51[[#This Row],[Nº]]</f>
        <v>0</v>
      </c>
      <c r="AD38" s="144" t="str">
        <f t="shared" si="3"/>
        <v>Instalação estrutura metalica</v>
      </c>
      <c r="AE38" s="186"/>
      <c r="AF38" s="180">
        <f t="shared" ref="AF38:AF49" si="35">AJ38+AN38+AR38+AV38+AZ38+BD38+BH38+BL38+BP38+BT38+BX38+CB38</f>
        <v>0</v>
      </c>
      <c r="AG38" s="180">
        <f t="shared" si="17"/>
        <v>0</v>
      </c>
      <c r="AH38" s="181">
        <f t="shared" ref="AH38:AH49" si="36">AL38+AP38+AT38+AX38+BB38+BF38+BJ38+BN38+BR38+BV38+BZ38+CD38</f>
        <v>0</v>
      </c>
      <c r="AI38" s="187"/>
      <c r="AJ38" s="90"/>
      <c r="AK38" s="90"/>
      <c r="AL38" s="183">
        <f t="shared" ref="AL38:AL49" si="37">AJ38*AK38</f>
        <v>0</v>
      </c>
      <c r="AM38" s="187"/>
      <c r="AN38" s="90"/>
      <c r="AO38" s="90"/>
      <c r="AP38" s="183">
        <f t="shared" si="23"/>
        <v>0</v>
      </c>
      <c r="AQ38" s="187"/>
      <c r="AR38" s="90"/>
      <c r="AS38" s="90"/>
      <c r="AT38" s="183">
        <f t="shared" si="24"/>
        <v>0</v>
      </c>
      <c r="AU38" s="187"/>
      <c r="AV38" s="90"/>
      <c r="AW38" s="90"/>
      <c r="AX38" s="183">
        <f t="shared" si="25"/>
        <v>0</v>
      </c>
      <c r="AY38" s="187"/>
      <c r="AZ38" s="90"/>
      <c r="BA38" s="90"/>
      <c r="BB38" s="183">
        <f t="shared" si="26"/>
        <v>0</v>
      </c>
      <c r="BC38" s="187"/>
      <c r="BD38" s="90"/>
      <c r="BE38" s="90"/>
      <c r="BF38" s="183">
        <f t="shared" si="27"/>
        <v>0</v>
      </c>
      <c r="BG38" s="187"/>
      <c r="BH38" s="90"/>
      <c r="BI38" s="90"/>
      <c r="BJ38" s="183">
        <f t="shared" si="28"/>
        <v>0</v>
      </c>
      <c r="BK38" s="187"/>
      <c r="BL38" s="90"/>
      <c r="BM38" s="90"/>
      <c r="BN38" s="183">
        <f t="shared" si="29"/>
        <v>0</v>
      </c>
      <c r="BO38" s="187"/>
      <c r="BP38" s="90"/>
      <c r="BQ38" s="90"/>
      <c r="BR38" s="183">
        <f t="shared" si="30"/>
        <v>0</v>
      </c>
      <c r="BS38" s="187"/>
      <c r="BT38" s="90"/>
      <c r="BU38" s="90"/>
      <c r="BV38" s="183">
        <f t="shared" si="31"/>
        <v>0</v>
      </c>
      <c r="BW38" s="187"/>
      <c r="BX38" s="90"/>
      <c r="BY38" s="90"/>
      <c r="BZ38" s="183">
        <f t="shared" si="32"/>
        <v>0</v>
      </c>
      <c r="CA38" s="187"/>
      <c r="CB38" s="90"/>
      <c r="CC38" s="90"/>
      <c r="CD38" s="183">
        <f t="shared" si="33"/>
        <v>0</v>
      </c>
    </row>
    <row r="39" spans="2:82" x14ac:dyDescent="0.3">
      <c r="B39" s="54"/>
      <c r="C39" s="54" t="str">
        <f t="shared" si="0"/>
        <v>CPU_Instalaçãoestruturam</v>
      </c>
      <c r="D39" s="280">
        <f t="shared" si="1"/>
        <v>1</v>
      </c>
      <c r="E39" s="280">
        <f t="shared" si="2"/>
        <v>0</v>
      </c>
      <c r="F39" s="1"/>
      <c r="G39" s="28" t="str">
        <f>IFERROR(VLOOKUP(F39,Tabela7[[RECURSO]:[CUSTO]],2,FALSE),"")</f>
        <v/>
      </c>
      <c r="H39" s="92"/>
      <c r="I39" s="90"/>
      <c r="J39" s="45">
        <f>IFERROR(VLOOKUP(F39,Tabela7[[RECURSO]:[CUSTO]],3,FALSE),0)</f>
        <v>0</v>
      </c>
      <c r="K39" s="45">
        <f>I39*J39*CPU_51[[#This Row],[Nº]]</f>
        <v>0</v>
      </c>
      <c r="AD39" s="144" t="str">
        <f t="shared" si="3"/>
        <v>Instalação estrutura metalica</v>
      </c>
      <c r="AE39" s="186"/>
      <c r="AF39" s="180">
        <f t="shared" si="35"/>
        <v>0</v>
      </c>
      <c r="AG39" s="180">
        <f t="shared" si="17"/>
        <v>0</v>
      </c>
      <c r="AH39" s="181">
        <f t="shared" si="36"/>
        <v>0</v>
      </c>
      <c r="AI39" s="187"/>
      <c r="AJ39" s="90"/>
      <c r="AK39" s="90"/>
      <c r="AL39" s="183">
        <f t="shared" si="37"/>
        <v>0</v>
      </c>
      <c r="AM39" s="187"/>
      <c r="AN39" s="90"/>
      <c r="AO39" s="90"/>
      <c r="AP39" s="183">
        <f t="shared" si="23"/>
        <v>0</v>
      </c>
      <c r="AQ39" s="187"/>
      <c r="AR39" s="90"/>
      <c r="AS39" s="90"/>
      <c r="AT39" s="183">
        <f t="shared" si="24"/>
        <v>0</v>
      </c>
      <c r="AU39" s="187"/>
      <c r="AV39" s="90"/>
      <c r="AW39" s="90"/>
      <c r="AX39" s="183">
        <f t="shared" si="25"/>
        <v>0</v>
      </c>
      <c r="AY39" s="187"/>
      <c r="AZ39" s="90"/>
      <c r="BA39" s="90"/>
      <c r="BB39" s="183">
        <f t="shared" si="26"/>
        <v>0</v>
      </c>
      <c r="BC39" s="187"/>
      <c r="BD39" s="90"/>
      <c r="BE39" s="90"/>
      <c r="BF39" s="183">
        <f t="shared" si="27"/>
        <v>0</v>
      </c>
      <c r="BG39" s="187"/>
      <c r="BH39" s="90"/>
      <c r="BI39" s="90"/>
      <c r="BJ39" s="183">
        <f t="shared" si="28"/>
        <v>0</v>
      </c>
      <c r="BK39" s="187"/>
      <c r="BL39" s="90"/>
      <c r="BM39" s="90"/>
      <c r="BN39" s="183">
        <f t="shared" si="29"/>
        <v>0</v>
      </c>
      <c r="BO39" s="187"/>
      <c r="BP39" s="90"/>
      <c r="BQ39" s="90"/>
      <c r="BR39" s="183">
        <f t="shared" si="30"/>
        <v>0</v>
      </c>
      <c r="BS39" s="187"/>
      <c r="BT39" s="90"/>
      <c r="BU39" s="90"/>
      <c r="BV39" s="183">
        <f t="shared" si="31"/>
        <v>0</v>
      </c>
      <c r="BW39" s="187"/>
      <c r="BX39" s="90"/>
      <c r="BY39" s="90"/>
      <c r="BZ39" s="183">
        <f t="shared" si="32"/>
        <v>0</v>
      </c>
      <c r="CA39" s="187"/>
      <c r="CB39" s="90"/>
      <c r="CC39" s="90"/>
      <c r="CD39" s="183">
        <f t="shared" si="33"/>
        <v>0</v>
      </c>
    </row>
    <row r="40" spans="2:82" x14ac:dyDescent="0.3">
      <c r="B40" s="54"/>
      <c r="C40" s="54" t="str">
        <f t="shared" si="0"/>
        <v>CPU_Instalaçãoestruturam</v>
      </c>
      <c r="D40" s="280">
        <f t="shared" si="1"/>
        <v>1</v>
      </c>
      <c r="E40" s="280">
        <f t="shared" si="2"/>
        <v>0</v>
      </c>
      <c r="F40" s="1"/>
      <c r="G40" s="28" t="str">
        <f>IFERROR(VLOOKUP(F40,Tabela7[[RECURSO]:[CUSTO]],2,FALSE),"")</f>
        <v/>
      </c>
      <c r="H40" s="92"/>
      <c r="I40" s="90"/>
      <c r="J40" s="45">
        <f>IFERROR(VLOOKUP(F40,Tabela7[[RECURSO]:[CUSTO]],3,FALSE),0)</f>
        <v>0</v>
      </c>
      <c r="K40" s="45">
        <f>I40*J40*CPU_51[[#This Row],[Nº]]</f>
        <v>0</v>
      </c>
      <c r="AD40" s="144" t="str">
        <f t="shared" si="3"/>
        <v>Instalação estrutura metalica</v>
      </c>
      <c r="AE40" s="186"/>
      <c r="AF40" s="180">
        <f t="shared" si="35"/>
        <v>0</v>
      </c>
      <c r="AG40" s="180">
        <f t="shared" si="17"/>
        <v>0</v>
      </c>
      <c r="AH40" s="181">
        <f t="shared" si="36"/>
        <v>0</v>
      </c>
      <c r="AI40" s="187"/>
      <c r="AJ40" s="90"/>
      <c r="AK40" s="90"/>
      <c r="AL40" s="183">
        <f t="shared" si="37"/>
        <v>0</v>
      </c>
      <c r="AM40" s="187"/>
      <c r="AN40" s="90"/>
      <c r="AO40" s="90"/>
      <c r="AP40" s="183">
        <f t="shared" si="23"/>
        <v>0</v>
      </c>
      <c r="AQ40" s="187"/>
      <c r="AR40" s="90"/>
      <c r="AS40" s="90"/>
      <c r="AT40" s="183">
        <f t="shared" si="24"/>
        <v>0</v>
      </c>
      <c r="AU40" s="187"/>
      <c r="AV40" s="90"/>
      <c r="AW40" s="90"/>
      <c r="AX40" s="183">
        <f t="shared" si="25"/>
        <v>0</v>
      </c>
      <c r="AY40" s="187"/>
      <c r="AZ40" s="90"/>
      <c r="BA40" s="90"/>
      <c r="BB40" s="183">
        <f t="shared" si="26"/>
        <v>0</v>
      </c>
      <c r="BC40" s="187"/>
      <c r="BD40" s="90"/>
      <c r="BE40" s="90"/>
      <c r="BF40" s="183">
        <f t="shared" si="27"/>
        <v>0</v>
      </c>
      <c r="BG40" s="187"/>
      <c r="BH40" s="90"/>
      <c r="BI40" s="90"/>
      <c r="BJ40" s="183">
        <f t="shared" si="28"/>
        <v>0</v>
      </c>
      <c r="BK40" s="187"/>
      <c r="BL40" s="90"/>
      <c r="BM40" s="90"/>
      <c r="BN40" s="183">
        <f t="shared" si="29"/>
        <v>0</v>
      </c>
      <c r="BO40" s="187"/>
      <c r="BP40" s="90"/>
      <c r="BQ40" s="90"/>
      <c r="BR40" s="183">
        <f t="shared" si="30"/>
        <v>0</v>
      </c>
      <c r="BS40" s="187"/>
      <c r="BT40" s="90"/>
      <c r="BU40" s="90"/>
      <c r="BV40" s="183">
        <f t="shared" si="31"/>
        <v>0</v>
      </c>
      <c r="BW40" s="187"/>
      <c r="BX40" s="90"/>
      <c r="BY40" s="90"/>
      <c r="BZ40" s="183">
        <f t="shared" si="32"/>
        <v>0</v>
      </c>
      <c r="CA40" s="187"/>
      <c r="CB40" s="90"/>
      <c r="CC40" s="90"/>
      <c r="CD40" s="183">
        <f t="shared" si="33"/>
        <v>0</v>
      </c>
    </row>
    <row r="41" spans="2:82" x14ac:dyDescent="0.3">
      <c r="B41" s="54"/>
      <c r="C41" s="54" t="str">
        <f t="shared" si="0"/>
        <v>CPU_Instalaçãoestruturam</v>
      </c>
      <c r="D41" s="280">
        <f t="shared" si="1"/>
        <v>1</v>
      </c>
      <c r="E41" s="280">
        <f t="shared" si="2"/>
        <v>0</v>
      </c>
      <c r="F41" s="1"/>
      <c r="G41" s="28" t="str">
        <f>IFERROR(VLOOKUP(F41,Tabela7[[RECURSO]:[CUSTO]],2,FALSE),"")</f>
        <v/>
      </c>
      <c r="H41" s="92"/>
      <c r="I41" s="90"/>
      <c r="J41" s="45">
        <f>IFERROR(VLOOKUP(F41,Tabela7[[RECURSO]:[CUSTO]],3,FALSE),0)</f>
        <v>0</v>
      </c>
      <c r="K41" s="45">
        <f>I41*J41*CPU_51[[#This Row],[Nº]]</f>
        <v>0</v>
      </c>
      <c r="AD41" s="144" t="str">
        <f t="shared" si="3"/>
        <v>Instalação estrutura metalica</v>
      </c>
      <c r="AE41" s="186"/>
      <c r="AF41" s="180">
        <f t="shared" si="35"/>
        <v>0</v>
      </c>
      <c r="AG41" s="180">
        <f t="shared" si="17"/>
        <v>0</v>
      </c>
      <c r="AH41" s="181">
        <f t="shared" si="36"/>
        <v>0</v>
      </c>
      <c r="AI41" s="187"/>
      <c r="AJ41" s="90"/>
      <c r="AK41" s="90"/>
      <c r="AL41" s="183">
        <f t="shared" si="37"/>
        <v>0</v>
      </c>
      <c r="AM41" s="187"/>
      <c r="AN41" s="90"/>
      <c r="AO41" s="90"/>
      <c r="AP41" s="183">
        <f t="shared" si="23"/>
        <v>0</v>
      </c>
      <c r="AQ41" s="187"/>
      <c r="AR41" s="90"/>
      <c r="AS41" s="90"/>
      <c r="AT41" s="183">
        <f t="shared" si="24"/>
        <v>0</v>
      </c>
      <c r="AU41" s="187"/>
      <c r="AV41" s="90"/>
      <c r="AW41" s="90"/>
      <c r="AX41" s="183">
        <f t="shared" si="25"/>
        <v>0</v>
      </c>
      <c r="AY41" s="187"/>
      <c r="AZ41" s="90"/>
      <c r="BA41" s="90"/>
      <c r="BB41" s="183">
        <f t="shared" si="26"/>
        <v>0</v>
      </c>
      <c r="BC41" s="187"/>
      <c r="BD41" s="90"/>
      <c r="BE41" s="90"/>
      <c r="BF41" s="183">
        <f t="shared" si="27"/>
        <v>0</v>
      </c>
      <c r="BG41" s="187"/>
      <c r="BH41" s="90"/>
      <c r="BI41" s="90"/>
      <c r="BJ41" s="183">
        <f t="shared" si="28"/>
        <v>0</v>
      </c>
      <c r="BK41" s="187"/>
      <c r="BL41" s="90"/>
      <c r="BM41" s="90"/>
      <c r="BN41" s="183">
        <f t="shared" si="29"/>
        <v>0</v>
      </c>
      <c r="BO41" s="187"/>
      <c r="BP41" s="90"/>
      <c r="BQ41" s="90"/>
      <c r="BR41" s="183">
        <f t="shared" si="30"/>
        <v>0</v>
      </c>
      <c r="BS41" s="187"/>
      <c r="BT41" s="90"/>
      <c r="BU41" s="90"/>
      <c r="BV41" s="183">
        <f t="shared" si="31"/>
        <v>0</v>
      </c>
      <c r="BW41" s="187"/>
      <c r="BX41" s="90"/>
      <c r="BY41" s="90"/>
      <c r="BZ41" s="183">
        <f t="shared" si="32"/>
        <v>0</v>
      </c>
      <c r="CA41" s="187"/>
      <c r="CB41" s="90"/>
      <c r="CC41" s="90"/>
      <c r="CD41" s="183">
        <f t="shared" si="33"/>
        <v>0</v>
      </c>
    </row>
    <row r="42" spans="2:82" x14ac:dyDescent="0.3">
      <c r="B42" s="54"/>
      <c r="C42" s="54" t="str">
        <f t="shared" si="0"/>
        <v>CPU_Instalaçãoestruturam</v>
      </c>
      <c r="D42" s="280">
        <f t="shared" si="1"/>
        <v>1</v>
      </c>
      <c r="E42" s="280">
        <f t="shared" si="2"/>
        <v>0</v>
      </c>
      <c r="F42" s="1"/>
      <c r="G42" s="28" t="str">
        <f>IFERROR(VLOOKUP(F42,Tabela7[[RECURSO]:[CUSTO]],2,FALSE),"")</f>
        <v/>
      </c>
      <c r="H42" s="92"/>
      <c r="I42" s="90"/>
      <c r="J42" s="45">
        <f>IFERROR(VLOOKUP(F42,Tabela7[[RECURSO]:[CUSTO]],3,FALSE),0)</f>
        <v>0</v>
      </c>
      <c r="K42" s="45">
        <f>I42*J42*CPU_51[[#This Row],[Nº]]</f>
        <v>0</v>
      </c>
      <c r="AD42" s="144" t="str">
        <f t="shared" si="3"/>
        <v>Instalação estrutura metalica</v>
      </c>
      <c r="AE42" s="186"/>
      <c r="AF42" s="180">
        <f t="shared" si="35"/>
        <v>0</v>
      </c>
      <c r="AG42" s="180">
        <f t="shared" si="17"/>
        <v>0</v>
      </c>
      <c r="AH42" s="181">
        <f t="shared" si="36"/>
        <v>0</v>
      </c>
      <c r="AI42" s="187"/>
      <c r="AJ42" s="90"/>
      <c r="AK42" s="90"/>
      <c r="AL42" s="183">
        <f t="shared" si="37"/>
        <v>0</v>
      </c>
      <c r="AM42" s="187"/>
      <c r="AN42" s="90"/>
      <c r="AO42" s="90"/>
      <c r="AP42" s="183">
        <f t="shared" si="23"/>
        <v>0</v>
      </c>
      <c r="AQ42" s="187"/>
      <c r="AR42" s="90"/>
      <c r="AS42" s="90"/>
      <c r="AT42" s="183">
        <f t="shared" si="24"/>
        <v>0</v>
      </c>
      <c r="AU42" s="187"/>
      <c r="AV42" s="90"/>
      <c r="AW42" s="90"/>
      <c r="AX42" s="183">
        <f t="shared" si="25"/>
        <v>0</v>
      </c>
      <c r="AY42" s="187"/>
      <c r="AZ42" s="90"/>
      <c r="BA42" s="90"/>
      <c r="BB42" s="183">
        <f t="shared" si="26"/>
        <v>0</v>
      </c>
      <c r="BC42" s="187"/>
      <c r="BD42" s="90"/>
      <c r="BE42" s="90"/>
      <c r="BF42" s="183">
        <f t="shared" si="27"/>
        <v>0</v>
      </c>
      <c r="BG42" s="187"/>
      <c r="BH42" s="90"/>
      <c r="BI42" s="90"/>
      <c r="BJ42" s="183">
        <f t="shared" si="28"/>
        <v>0</v>
      </c>
      <c r="BK42" s="187"/>
      <c r="BL42" s="90"/>
      <c r="BM42" s="90"/>
      <c r="BN42" s="183">
        <f t="shared" si="29"/>
        <v>0</v>
      </c>
      <c r="BO42" s="187"/>
      <c r="BP42" s="90"/>
      <c r="BQ42" s="90"/>
      <c r="BR42" s="183">
        <f t="shared" si="30"/>
        <v>0</v>
      </c>
      <c r="BS42" s="187"/>
      <c r="BT42" s="90"/>
      <c r="BU42" s="90"/>
      <c r="BV42" s="183">
        <f t="shared" si="31"/>
        <v>0</v>
      </c>
      <c r="BW42" s="187"/>
      <c r="BX42" s="90"/>
      <c r="BY42" s="90"/>
      <c r="BZ42" s="183">
        <f t="shared" si="32"/>
        <v>0</v>
      </c>
      <c r="CA42" s="187"/>
      <c r="CB42" s="90"/>
      <c r="CC42" s="90"/>
      <c r="CD42" s="183">
        <f t="shared" si="33"/>
        <v>0</v>
      </c>
    </row>
    <row r="43" spans="2:82" x14ac:dyDescent="0.3">
      <c r="B43" s="54"/>
      <c r="C43" s="54" t="str">
        <f t="shared" si="0"/>
        <v>CPU_Instalaçãoestruturam</v>
      </c>
      <c r="D43" s="280">
        <f t="shared" si="1"/>
        <v>1</v>
      </c>
      <c r="E43" s="280">
        <f t="shared" si="2"/>
        <v>0</v>
      </c>
      <c r="F43" s="1"/>
      <c r="G43" s="28" t="str">
        <f>IFERROR(VLOOKUP(F43,Tabela7[[RECURSO]:[CUSTO]],2,FALSE),"")</f>
        <v/>
      </c>
      <c r="H43" s="92"/>
      <c r="I43" s="90"/>
      <c r="J43" s="45">
        <f>IFERROR(VLOOKUP(F43,Tabela7[[RECURSO]:[CUSTO]],3,FALSE),0)</f>
        <v>0</v>
      </c>
      <c r="K43" s="45">
        <f>I43*J43*CPU_51[[#This Row],[Nº]]</f>
        <v>0</v>
      </c>
      <c r="AD43" s="144" t="str">
        <f t="shared" si="3"/>
        <v>Instalação estrutura metalica</v>
      </c>
      <c r="AE43" s="186"/>
      <c r="AF43" s="180">
        <f t="shared" si="35"/>
        <v>0</v>
      </c>
      <c r="AG43" s="180">
        <f t="shared" si="17"/>
        <v>0</v>
      </c>
      <c r="AH43" s="181">
        <f t="shared" si="36"/>
        <v>0</v>
      </c>
      <c r="AI43" s="187"/>
      <c r="AJ43" s="90"/>
      <c r="AK43" s="90"/>
      <c r="AL43" s="183">
        <f t="shared" si="37"/>
        <v>0</v>
      </c>
      <c r="AM43" s="187"/>
      <c r="AN43" s="90"/>
      <c r="AO43" s="90"/>
      <c r="AP43" s="183">
        <f t="shared" si="23"/>
        <v>0</v>
      </c>
      <c r="AQ43" s="187"/>
      <c r="AR43" s="90"/>
      <c r="AS43" s="90"/>
      <c r="AT43" s="183">
        <f t="shared" si="24"/>
        <v>0</v>
      </c>
      <c r="AU43" s="187"/>
      <c r="AV43" s="90"/>
      <c r="AW43" s="90"/>
      <c r="AX43" s="183">
        <f t="shared" si="25"/>
        <v>0</v>
      </c>
      <c r="AY43" s="187"/>
      <c r="AZ43" s="90"/>
      <c r="BA43" s="90"/>
      <c r="BB43" s="183">
        <f t="shared" si="26"/>
        <v>0</v>
      </c>
      <c r="BC43" s="187"/>
      <c r="BD43" s="90"/>
      <c r="BE43" s="90"/>
      <c r="BF43" s="183">
        <f t="shared" si="27"/>
        <v>0</v>
      </c>
      <c r="BG43" s="187"/>
      <c r="BH43" s="90"/>
      <c r="BI43" s="90"/>
      <c r="BJ43" s="183">
        <f t="shared" si="28"/>
        <v>0</v>
      </c>
      <c r="BK43" s="187"/>
      <c r="BL43" s="90"/>
      <c r="BM43" s="90"/>
      <c r="BN43" s="183">
        <f t="shared" si="29"/>
        <v>0</v>
      </c>
      <c r="BO43" s="187"/>
      <c r="BP43" s="90"/>
      <c r="BQ43" s="90"/>
      <c r="BR43" s="183">
        <f t="shared" si="30"/>
        <v>0</v>
      </c>
      <c r="BS43" s="187"/>
      <c r="BT43" s="90"/>
      <c r="BU43" s="90"/>
      <c r="BV43" s="183">
        <f t="shared" si="31"/>
        <v>0</v>
      </c>
      <c r="BW43" s="187"/>
      <c r="BX43" s="90"/>
      <c r="BY43" s="90"/>
      <c r="BZ43" s="183">
        <f t="shared" si="32"/>
        <v>0</v>
      </c>
      <c r="CA43" s="187"/>
      <c r="CB43" s="90"/>
      <c r="CC43" s="90"/>
      <c r="CD43" s="183">
        <f t="shared" si="33"/>
        <v>0</v>
      </c>
    </row>
    <row r="44" spans="2:82" x14ac:dyDescent="0.3">
      <c r="B44" s="54"/>
      <c r="C44" s="54" t="str">
        <f t="shared" si="0"/>
        <v>CPU_Instalaçãoestruturam</v>
      </c>
      <c r="D44" s="280">
        <f t="shared" si="1"/>
        <v>1</v>
      </c>
      <c r="E44" s="280">
        <f t="shared" si="2"/>
        <v>0</v>
      </c>
      <c r="F44" s="1"/>
      <c r="G44" s="28" t="str">
        <f>IFERROR(VLOOKUP(F44,Tabela7[[RECURSO]:[CUSTO]],2,FALSE),"")</f>
        <v/>
      </c>
      <c r="H44" s="92"/>
      <c r="I44" s="90"/>
      <c r="J44" s="45">
        <f>IFERROR(VLOOKUP(F44,Tabela7[[RECURSO]:[CUSTO]],3,FALSE),0)</f>
        <v>0</v>
      </c>
      <c r="K44" s="45">
        <f>I44*J44*CPU_51[[#This Row],[Nº]]</f>
        <v>0</v>
      </c>
      <c r="AD44" s="144" t="str">
        <f t="shared" si="3"/>
        <v>Instalação estrutura metalica</v>
      </c>
      <c r="AE44" s="186"/>
      <c r="AF44" s="180">
        <f t="shared" si="35"/>
        <v>0</v>
      </c>
      <c r="AG44" s="180">
        <f t="shared" si="17"/>
        <v>0</v>
      </c>
      <c r="AH44" s="181">
        <f t="shared" si="36"/>
        <v>0</v>
      </c>
      <c r="AI44" s="187"/>
      <c r="AJ44" s="90"/>
      <c r="AK44" s="90"/>
      <c r="AL44" s="183">
        <f t="shared" si="37"/>
        <v>0</v>
      </c>
      <c r="AM44" s="187"/>
      <c r="AN44" s="90"/>
      <c r="AO44" s="90"/>
      <c r="AP44" s="183">
        <f t="shared" si="23"/>
        <v>0</v>
      </c>
      <c r="AQ44" s="187"/>
      <c r="AR44" s="90"/>
      <c r="AS44" s="90"/>
      <c r="AT44" s="183">
        <f t="shared" si="24"/>
        <v>0</v>
      </c>
      <c r="AU44" s="187"/>
      <c r="AV44" s="90"/>
      <c r="AW44" s="90"/>
      <c r="AX44" s="183">
        <f t="shared" si="25"/>
        <v>0</v>
      </c>
      <c r="AY44" s="187"/>
      <c r="AZ44" s="90"/>
      <c r="BA44" s="90"/>
      <c r="BB44" s="183">
        <f t="shared" si="26"/>
        <v>0</v>
      </c>
      <c r="BC44" s="187"/>
      <c r="BD44" s="90"/>
      <c r="BE44" s="90"/>
      <c r="BF44" s="183">
        <f t="shared" si="27"/>
        <v>0</v>
      </c>
      <c r="BG44" s="187"/>
      <c r="BH44" s="90"/>
      <c r="BI44" s="90"/>
      <c r="BJ44" s="183">
        <f t="shared" si="28"/>
        <v>0</v>
      </c>
      <c r="BK44" s="187"/>
      <c r="BL44" s="90"/>
      <c r="BM44" s="90"/>
      <c r="BN44" s="183">
        <f t="shared" si="29"/>
        <v>0</v>
      </c>
      <c r="BO44" s="187"/>
      <c r="BP44" s="90"/>
      <c r="BQ44" s="90"/>
      <c r="BR44" s="183">
        <f t="shared" si="30"/>
        <v>0</v>
      </c>
      <c r="BS44" s="187"/>
      <c r="BT44" s="90"/>
      <c r="BU44" s="90"/>
      <c r="BV44" s="183">
        <f t="shared" si="31"/>
        <v>0</v>
      </c>
      <c r="BW44" s="187"/>
      <c r="BX44" s="90"/>
      <c r="BY44" s="90"/>
      <c r="BZ44" s="183">
        <f t="shared" si="32"/>
        <v>0</v>
      </c>
      <c r="CA44" s="187"/>
      <c r="CB44" s="90"/>
      <c r="CC44" s="90"/>
      <c r="CD44" s="183">
        <f t="shared" si="33"/>
        <v>0</v>
      </c>
    </row>
    <row r="45" spans="2:82" x14ac:dyDescent="0.3">
      <c r="B45" s="53"/>
      <c r="C45" s="53" t="str">
        <f t="shared" si="0"/>
        <v>CPU_Instalaçãoestruturam</v>
      </c>
      <c r="D45" s="278">
        <f t="shared" si="1"/>
        <v>1</v>
      </c>
      <c r="E45" s="278">
        <f t="shared" si="2"/>
        <v>0</v>
      </c>
      <c r="F45" s="1"/>
      <c r="G45" s="28" t="str">
        <f>IFERROR(VLOOKUP(F45,Tabela7[[RECURSO]:[CUSTO]],2,FALSE),"")</f>
        <v/>
      </c>
      <c r="H45" s="92"/>
      <c r="I45" s="90"/>
      <c r="J45" s="45">
        <f>IFERROR(VLOOKUP(F45,Tabela7[[RECURSO]:[CUSTO]],3,FALSE),0)</f>
        <v>0</v>
      </c>
      <c r="K45" s="45">
        <f>I45*J45*CPU_51[[#This Row],[Nº]]</f>
        <v>0</v>
      </c>
      <c r="AD45" s="144" t="str">
        <f t="shared" si="3"/>
        <v>Instalação estrutura metalica</v>
      </c>
      <c r="AE45" s="188"/>
      <c r="AF45" s="180">
        <f t="shared" si="35"/>
        <v>0</v>
      </c>
      <c r="AG45" s="180">
        <f t="shared" si="17"/>
        <v>0</v>
      </c>
      <c r="AH45" s="181">
        <f t="shared" si="36"/>
        <v>0</v>
      </c>
      <c r="AI45" s="189"/>
      <c r="AJ45" s="90"/>
      <c r="AK45" s="90"/>
      <c r="AL45" s="183">
        <f t="shared" si="37"/>
        <v>0</v>
      </c>
      <c r="AM45" s="189"/>
      <c r="AN45" s="90"/>
      <c r="AO45" s="90"/>
      <c r="AP45" s="183">
        <f t="shared" si="23"/>
        <v>0</v>
      </c>
      <c r="AQ45" s="189"/>
      <c r="AR45" s="90"/>
      <c r="AS45" s="90"/>
      <c r="AT45" s="183">
        <f t="shared" si="24"/>
        <v>0</v>
      </c>
      <c r="AU45" s="189"/>
      <c r="AV45" s="90"/>
      <c r="AW45" s="90"/>
      <c r="AX45" s="183">
        <f t="shared" si="25"/>
        <v>0</v>
      </c>
      <c r="AY45" s="189"/>
      <c r="AZ45" s="90"/>
      <c r="BA45" s="90"/>
      <c r="BB45" s="183">
        <f t="shared" si="26"/>
        <v>0</v>
      </c>
      <c r="BC45" s="189"/>
      <c r="BD45" s="90"/>
      <c r="BE45" s="90"/>
      <c r="BF45" s="183">
        <f t="shared" si="27"/>
        <v>0</v>
      </c>
      <c r="BG45" s="189"/>
      <c r="BH45" s="90"/>
      <c r="BI45" s="90"/>
      <c r="BJ45" s="183">
        <f t="shared" si="28"/>
        <v>0</v>
      </c>
      <c r="BK45" s="189"/>
      <c r="BL45" s="90"/>
      <c r="BM45" s="90"/>
      <c r="BN45" s="183">
        <f t="shared" si="29"/>
        <v>0</v>
      </c>
      <c r="BO45" s="189"/>
      <c r="BP45" s="90"/>
      <c r="BQ45" s="90"/>
      <c r="BR45" s="183">
        <f t="shared" si="30"/>
        <v>0</v>
      </c>
      <c r="BS45" s="189"/>
      <c r="BT45" s="90"/>
      <c r="BU45" s="90"/>
      <c r="BV45" s="183">
        <f t="shared" si="31"/>
        <v>0</v>
      </c>
      <c r="BW45" s="189"/>
      <c r="BX45" s="90"/>
      <c r="BY45" s="90"/>
      <c r="BZ45" s="183">
        <f t="shared" si="32"/>
        <v>0</v>
      </c>
      <c r="CA45" s="189"/>
      <c r="CB45" s="90"/>
      <c r="CC45" s="90"/>
      <c r="CD45" s="183">
        <f t="shared" si="33"/>
        <v>0</v>
      </c>
    </row>
    <row r="46" spans="2:82" x14ac:dyDescent="0.3">
      <c r="B46" s="53"/>
      <c r="C46" s="53" t="str">
        <f t="shared" si="0"/>
        <v>CPU_Instalaçãoestruturam</v>
      </c>
      <c r="D46" s="278">
        <f t="shared" si="1"/>
        <v>1</v>
      </c>
      <c r="E46" s="278">
        <f t="shared" si="2"/>
        <v>0</v>
      </c>
      <c r="F46" s="1"/>
      <c r="G46" s="28" t="str">
        <f>IFERROR(VLOOKUP(F46,Tabela7[[RECURSO]:[CUSTO]],2,FALSE),"")</f>
        <v/>
      </c>
      <c r="H46" s="92"/>
      <c r="I46" s="90"/>
      <c r="J46" s="45">
        <f>IFERROR(VLOOKUP(F46,Tabela7[[RECURSO]:[CUSTO]],3,FALSE),0)</f>
        <v>0</v>
      </c>
      <c r="K46" s="45">
        <f>I46*J46*CPU_51[[#This Row],[Nº]]</f>
        <v>0</v>
      </c>
      <c r="AD46" s="144" t="str">
        <f t="shared" si="3"/>
        <v>Instalação estrutura metalica</v>
      </c>
      <c r="AE46" s="188"/>
      <c r="AF46" s="180">
        <f t="shared" si="35"/>
        <v>0</v>
      </c>
      <c r="AG46" s="180">
        <f t="shared" si="17"/>
        <v>0</v>
      </c>
      <c r="AH46" s="181">
        <f t="shared" si="36"/>
        <v>0</v>
      </c>
      <c r="AI46" s="189"/>
      <c r="AJ46" s="90"/>
      <c r="AK46" s="90"/>
      <c r="AL46" s="183">
        <f t="shared" si="37"/>
        <v>0</v>
      </c>
      <c r="AM46" s="189"/>
      <c r="AN46" s="90"/>
      <c r="AO46" s="90"/>
      <c r="AP46" s="183">
        <f t="shared" si="23"/>
        <v>0</v>
      </c>
      <c r="AQ46" s="189"/>
      <c r="AR46" s="90"/>
      <c r="AS46" s="90"/>
      <c r="AT46" s="183">
        <f t="shared" si="24"/>
        <v>0</v>
      </c>
      <c r="AU46" s="189"/>
      <c r="AV46" s="90"/>
      <c r="AW46" s="90"/>
      <c r="AX46" s="183">
        <f t="shared" si="25"/>
        <v>0</v>
      </c>
      <c r="AY46" s="189"/>
      <c r="AZ46" s="90"/>
      <c r="BA46" s="90"/>
      <c r="BB46" s="183">
        <f t="shared" si="26"/>
        <v>0</v>
      </c>
      <c r="BC46" s="189"/>
      <c r="BD46" s="90"/>
      <c r="BE46" s="90"/>
      <c r="BF46" s="183">
        <f t="shared" si="27"/>
        <v>0</v>
      </c>
      <c r="BG46" s="189"/>
      <c r="BH46" s="90"/>
      <c r="BI46" s="90"/>
      <c r="BJ46" s="183">
        <f t="shared" si="28"/>
        <v>0</v>
      </c>
      <c r="BK46" s="189"/>
      <c r="BL46" s="90"/>
      <c r="BM46" s="90"/>
      <c r="BN46" s="183">
        <f t="shared" si="29"/>
        <v>0</v>
      </c>
      <c r="BO46" s="189"/>
      <c r="BP46" s="90"/>
      <c r="BQ46" s="90"/>
      <c r="BR46" s="183">
        <f t="shared" si="30"/>
        <v>0</v>
      </c>
      <c r="BS46" s="189"/>
      <c r="BT46" s="90"/>
      <c r="BU46" s="90"/>
      <c r="BV46" s="183">
        <f t="shared" si="31"/>
        <v>0</v>
      </c>
      <c r="BW46" s="189"/>
      <c r="BX46" s="90"/>
      <c r="BY46" s="90"/>
      <c r="BZ46" s="183">
        <f t="shared" si="32"/>
        <v>0</v>
      </c>
      <c r="CA46" s="189"/>
      <c r="CB46" s="90"/>
      <c r="CC46" s="90"/>
      <c r="CD46" s="183">
        <f t="shared" si="33"/>
        <v>0</v>
      </c>
    </row>
    <row r="47" spans="2:82" x14ac:dyDescent="0.3">
      <c r="B47" s="53"/>
      <c r="C47" s="53" t="str">
        <f t="shared" si="0"/>
        <v>CPU_Instalaçãoestruturam</v>
      </c>
      <c r="D47" s="278">
        <f t="shared" si="1"/>
        <v>1</v>
      </c>
      <c r="E47" s="278">
        <f t="shared" si="2"/>
        <v>0</v>
      </c>
      <c r="F47" s="1"/>
      <c r="G47" s="28" t="str">
        <f>IFERROR(VLOOKUP(F47,Tabela7[[RECURSO]:[CUSTO]],2,FALSE),"")</f>
        <v/>
      </c>
      <c r="H47" s="92"/>
      <c r="I47" s="90"/>
      <c r="J47" s="45">
        <f>IFERROR(VLOOKUP(F47,Tabela7[[RECURSO]:[CUSTO]],3,FALSE),0)</f>
        <v>0</v>
      </c>
      <c r="K47" s="45">
        <f>I47*J47*CPU_51[[#This Row],[Nº]]</f>
        <v>0</v>
      </c>
      <c r="AD47" s="144" t="str">
        <f t="shared" si="3"/>
        <v>Instalação estrutura metalica</v>
      </c>
      <c r="AE47" s="188"/>
      <c r="AF47" s="180">
        <f t="shared" si="35"/>
        <v>0</v>
      </c>
      <c r="AG47" s="180">
        <f t="shared" si="17"/>
        <v>0</v>
      </c>
      <c r="AH47" s="181">
        <f t="shared" si="36"/>
        <v>0</v>
      </c>
      <c r="AI47" s="189"/>
      <c r="AJ47" s="90"/>
      <c r="AK47" s="90"/>
      <c r="AL47" s="183">
        <f t="shared" si="37"/>
        <v>0</v>
      </c>
      <c r="AM47" s="189"/>
      <c r="AN47" s="90"/>
      <c r="AO47" s="90"/>
      <c r="AP47" s="183">
        <f t="shared" si="23"/>
        <v>0</v>
      </c>
      <c r="AQ47" s="189"/>
      <c r="AR47" s="90"/>
      <c r="AS47" s="90"/>
      <c r="AT47" s="183">
        <f t="shared" si="24"/>
        <v>0</v>
      </c>
      <c r="AU47" s="189"/>
      <c r="AV47" s="90"/>
      <c r="AW47" s="90"/>
      <c r="AX47" s="183">
        <f t="shared" si="25"/>
        <v>0</v>
      </c>
      <c r="AY47" s="189"/>
      <c r="AZ47" s="90"/>
      <c r="BA47" s="90"/>
      <c r="BB47" s="183">
        <f t="shared" si="26"/>
        <v>0</v>
      </c>
      <c r="BC47" s="189"/>
      <c r="BD47" s="90"/>
      <c r="BE47" s="90"/>
      <c r="BF47" s="183">
        <f t="shared" si="27"/>
        <v>0</v>
      </c>
      <c r="BG47" s="189"/>
      <c r="BH47" s="90"/>
      <c r="BI47" s="90"/>
      <c r="BJ47" s="183">
        <f t="shared" si="28"/>
        <v>0</v>
      </c>
      <c r="BK47" s="189"/>
      <c r="BL47" s="90"/>
      <c r="BM47" s="90"/>
      <c r="BN47" s="183">
        <f t="shared" si="29"/>
        <v>0</v>
      </c>
      <c r="BO47" s="189"/>
      <c r="BP47" s="90"/>
      <c r="BQ47" s="90"/>
      <c r="BR47" s="183">
        <f t="shared" si="30"/>
        <v>0</v>
      </c>
      <c r="BS47" s="189"/>
      <c r="BT47" s="90"/>
      <c r="BU47" s="90"/>
      <c r="BV47" s="183">
        <f t="shared" si="31"/>
        <v>0</v>
      </c>
      <c r="BW47" s="189"/>
      <c r="BX47" s="90"/>
      <c r="BY47" s="90"/>
      <c r="BZ47" s="183">
        <f t="shared" si="32"/>
        <v>0</v>
      </c>
      <c r="CA47" s="189"/>
      <c r="CB47" s="90"/>
      <c r="CC47" s="90"/>
      <c r="CD47" s="183">
        <f t="shared" si="33"/>
        <v>0</v>
      </c>
    </row>
    <row r="48" spans="2:82" x14ac:dyDescent="0.3">
      <c r="B48" s="53"/>
      <c r="C48" s="53" t="str">
        <f t="shared" si="0"/>
        <v>CPU_Instalaçãoestruturam</v>
      </c>
      <c r="D48" s="278">
        <f t="shared" si="1"/>
        <v>1</v>
      </c>
      <c r="E48" s="278">
        <f t="shared" si="2"/>
        <v>0</v>
      </c>
      <c r="F48" s="1"/>
      <c r="G48" s="28" t="str">
        <f>IFERROR(VLOOKUP(F48,Tabela7[[RECURSO]:[CUSTO]],2,FALSE),"")</f>
        <v/>
      </c>
      <c r="H48" s="92"/>
      <c r="I48" s="90"/>
      <c r="J48" s="45">
        <f>IFERROR(VLOOKUP(F48,Tabela7[[RECURSO]:[CUSTO]],3,FALSE),0)</f>
        <v>0</v>
      </c>
      <c r="K48" s="45">
        <f>I48*J48*CPU_51[[#This Row],[Nº]]</f>
        <v>0</v>
      </c>
      <c r="AD48" s="144" t="str">
        <f t="shared" si="3"/>
        <v>Instalação estrutura metalica</v>
      </c>
      <c r="AE48" s="188"/>
      <c r="AF48" s="180">
        <f t="shared" si="35"/>
        <v>0</v>
      </c>
      <c r="AG48" s="180">
        <f t="shared" si="17"/>
        <v>0</v>
      </c>
      <c r="AH48" s="181">
        <f t="shared" si="36"/>
        <v>0</v>
      </c>
      <c r="AI48" s="189"/>
      <c r="AJ48" s="90"/>
      <c r="AK48" s="90"/>
      <c r="AL48" s="183">
        <f t="shared" si="37"/>
        <v>0</v>
      </c>
      <c r="AM48" s="189"/>
      <c r="AN48" s="90"/>
      <c r="AO48" s="90"/>
      <c r="AP48" s="183">
        <f t="shared" si="23"/>
        <v>0</v>
      </c>
      <c r="AQ48" s="189"/>
      <c r="AR48" s="90"/>
      <c r="AS48" s="90"/>
      <c r="AT48" s="183">
        <f t="shared" si="24"/>
        <v>0</v>
      </c>
      <c r="AU48" s="189"/>
      <c r="AV48" s="90"/>
      <c r="AW48" s="90"/>
      <c r="AX48" s="183">
        <f t="shared" si="25"/>
        <v>0</v>
      </c>
      <c r="AY48" s="189"/>
      <c r="AZ48" s="90"/>
      <c r="BA48" s="90"/>
      <c r="BB48" s="183">
        <f t="shared" si="26"/>
        <v>0</v>
      </c>
      <c r="BC48" s="189"/>
      <c r="BD48" s="90"/>
      <c r="BE48" s="90"/>
      <c r="BF48" s="183">
        <f t="shared" si="27"/>
        <v>0</v>
      </c>
      <c r="BG48" s="189"/>
      <c r="BH48" s="90"/>
      <c r="BI48" s="90"/>
      <c r="BJ48" s="183">
        <f t="shared" si="28"/>
        <v>0</v>
      </c>
      <c r="BK48" s="189"/>
      <c r="BL48" s="90"/>
      <c r="BM48" s="90"/>
      <c r="BN48" s="183">
        <f t="shared" si="29"/>
        <v>0</v>
      </c>
      <c r="BO48" s="189"/>
      <c r="BP48" s="90"/>
      <c r="BQ48" s="90"/>
      <c r="BR48" s="183">
        <f t="shared" si="30"/>
        <v>0</v>
      </c>
      <c r="BS48" s="189"/>
      <c r="BT48" s="90"/>
      <c r="BU48" s="90"/>
      <c r="BV48" s="183">
        <f t="shared" si="31"/>
        <v>0</v>
      </c>
      <c r="BW48" s="189"/>
      <c r="BX48" s="90"/>
      <c r="BY48" s="90"/>
      <c r="BZ48" s="183">
        <f t="shared" si="32"/>
        <v>0</v>
      </c>
      <c r="CA48" s="189"/>
      <c r="CB48" s="90"/>
      <c r="CC48" s="90"/>
      <c r="CD48" s="183">
        <f t="shared" si="33"/>
        <v>0</v>
      </c>
    </row>
    <row r="49" spans="2:82" ht="15" thickBot="1" x14ac:dyDescent="0.35">
      <c r="B49" s="53"/>
      <c r="C49" s="53" t="str">
        <f t="shared" si="0"/>
        <v>CPU_Instalaçãoestruturam</v>
      </c>
      <c r="D49" s="278">
        <f t="shared" si="1"/>
        <v>1</v>
      </c>
      <c r="E49" s="278">
        <f t="shared" si="2"/>
        <v>0</v>
      </c>
      <c r="F49" s="1"/>
      <c r="G49" s="28" t="str">
        <f>IFERROR(VLOOKUP(F49,Tabela7[[RECURSO]:[CUSTO]],2,FALSE),"")</f>
        <v/>
      </c>
      <c r="H49" s="92"/>
      <c r="I49" s="90"/>
      <c r="J49" s="45">
        <f>IFERROR(VLOOKUP(F49,Tabela7[[RECURSO]:[CUSTO]],3,FALSE),0)</f>
        <v>0</v>
      </c>
      <c r="K49" s="45">
        <f>I49*J49*CPU_51[[#This Row],[Nº]]</f>
        <v>0</v>
      </c>
      <c r="M49" s="83" t="s">
        <v>701</v>
      </c>
      <c r="N49" s="87" t="s">
        <v>702</v>
      </c>
      <c r="AD49" s="144" t="str">
        <f t="shared" si="3"/>
        <v>Instalação estrutura metalica</v>
      </c>
      <c r="AE49" s="188"/>
      <c r="AF49" s="180">
        <f t="shared" si="35"/>
        <v>0</v>
      </c>
      <c r="AG49" s="180">
        <f t="shared" si="17"/>
        <v>0</v>
      </c>
      <c r="AH49" s="181">
        <f t="shared" si="36"/>
        <v>0</v>
      </c>
      <c r="AI49" s="189"/>
      <c r="AJ49" s="90"/>
      <c r="AK49" s="90"/>
      <c r="AL49" s="183">
        <f t="shared" si="37"/>
        <v>0</v>
      </c>
      <c r="AM49" s="189"/>
      <c r="AN49" s="90"/>
      <c r="AO49" s="90"/>
      <c r="AP49" s="183">
        <f t="shared" si="23"/>
        <v>0</v>
      </c>
      <c r="AQ49" s="189"/>
      <c r="AR49" s="90"/>
      <c r="AS49" s="90"/>
      <c r="AT49" s="183">
        <f t="shared" si="24"/>
        <v>0</v>
      </c>
      <c r="AU49" s="189"/>
      <c r="AV49" s="90"/>
      <c r="AW49" s="90"/>
      <c r="AX49" s="183">
        <f t="shared" si="25"/>
        <v>0</v>
      </c>
      <c r="AY49" s="189"/>
      <c r="AZ49" s="90"/>
      <c r="BA49" s="90"/>
      <c r="BB49" s="183">
        <f t="shared" si="26"/>
        <v>0</v>
      </c>
      <c r="BC49" s="189"/>
      <c r="BD49" s="90"/>
      <c r="BE49" s="90"/>
      <c r="BF49" s="183">
        <f t="shared" si="27"/>
        <v>0</v>
      </c>
      <c r="BG49" s="189"/>
      <c r="BH49" s="90"/>
      <c r="BI49" s="90"/>
      <c r="BJ49" s="183">
        <f t="shared" si="28"/>
        <v>0</v>
      </c>
      <c r="BK49" s="189"/>
      <c r="BL49" s="90"/>
      <c r="BM49" s="90"/>
      <c r="BN49" s="183">
        <f t="shared" si="29"/>
        <v>0</v>
      </c>
      <c r="BO49" s="189"/>
      <c r="BP49" s="90"/>
      <c r="BQ49" s="90"/>
      <c r="BR49" s="183">
        <f t="shared" si="30"/>
        <v>0</v>
      </c>
      <c r="BS49" s="189"/>
      <c r="BT49" s="90"/>
      <c r="BU49" s="90"/>
      <c r="BV49" s="183">
        <f t="shared" si="31"/>
        <v>0</v>
      </c>
      <c r="BW49" s="189"/>
      <c r="BX49" s="90"/>
      <c r="BY49" s="90"/>
      <c r="BZ49" s="183">
        <f t="shared" si="32"/>
        <v>0</v>
      </c>
      <c r="CA49" s="189"/>
      <c r="CB49" s="90"/>
      <c r="CC49" s="90"/>
      <c r="CD49" s="183">
        <f t="shared" si="33"/>
        <v>0</v>
      </c>
    </row>
    <row r="50" spans="2:82" x14ac:dyDescent="0.3">
      <c r="B50" s="52" t="s">
        <v>693</v>
      </c>
      <c r="C50" s="52" t="str">
        <f t="shared" si="0"/>
        <v>CPU_Instalaçãoestruturam</v>
      </c>
      <c r="D50" s="277">
        <f t="shared" si="1"/>
        <v>1</v>
      </c>
      <c r="E50" s="277">
        <f t="shared" si="2"/>
        <v>0</v>
      </c>
      <c r="F50" s="37"/>
      <c r="G50" s="38"/>
      <c r="H50" s="38"/>
      <c r="I50" s="37"/>
      <c r="J50" s="40">
        <f>IFERROR(K50/$B$6,0)</f>
        <v>0</v>
      </c>
      <c r="K50" s="40">
        <f>SUM(K51:K62)</f>
        <v>0</v>
      </c>
      <c r="M50" s="84" t="str">
        <f>"Consumo por "&amp;J3</f>
        <v>Consumo por UNID</v>
      </c>
      <c r="N50" s="89"/>
      <c r="AD50" s="144" t="str">
        <f t="shared" si="3"/>
        <v>Instalação estrutura metalica</v>
      </c>
      <c r="AE50" s="190"/>
      <c r="AF50" s="191"/>
      <c r="AG50" s="40">
        <f>IFERROR(AH50/AF$3,0)</f>
        <v>0</v>
      </c>
      <c r="AH50" s="185">
        <f>SUM(AH51:AH62)</f>
        <v>0</v>
      </c>
      <c r="AI50" s="190"/>
      <c r="AJ50" s="37"/>
      <c r="AK50" s="40">
        <f>IFERROR(AL50/AJ$3,0)</f>
        <v>0</v>
      </c>
      <c r="AL50" s="185">
        <f>SUM(AL51:AL62)</f>
        <v>0</v>
      </c>
      <c r="AM50" s="190"/>
      <c r="AN50" s="37"/>
      <c r="AO50" s="40">
        <f>IFERROR(AP50/AN$3,0)</f>
        <v>0</v>
      </c>
      <c r="AP50" s="185">
        <f>SUM(AP51:AP62)</f>
        <v>0</v>
      </c>
      <c r="AQ50" s="190"/>
      <c r="AR50" s="37"/>
      <c r="AS50" s="40">
        <f>IFERROR(AT50/AR$3,0)</f>
        <v>0</v>
      </c>
      <c r="AT50" s="185">
        <f>SUM(AT51:AT62)</f>
        <v>0</v>
      </c>
      <c r="AU50" s="190"/>
      <c r="AV50" s="37"/>
      <c r="AW50" s="40">
        <f>IFERROR(AX50/AV$3,0)</f>
        <v>0</v>
      </c>
      <c r="AX50" s="185">
        <f>SUM(AX51:AX62)</f>
        <v>0</v>
      </c>
      <c r="AY50" s="190"/>
      <c r="AZ50" s="37"/>
      <c r="BA50" s="40">
        <f>IFERROR(BB50/AZ$3,0)</f>
        <v>0</v>
      </c>
      <c r="BB50" s="185">
        <f>SUM(BB51:BB62)</f>
        <v>0</v>
      </c>
      <c r="BC50" s="190"/>
      <c r="BD50" s="37"/>
      <c r="BE50" s="40">
        <f>IFERROR(BF50/BD$3,0)</f>
        <v>0</v>
      </c>
      <c r="BF50" s="185">
        <f>SUM(BF51:BF62)</f>
        <v>0</v>
      </c>
      <c r="BG50" s="190"/>
      <c r="BH50" s="37"/>
      <c r="BI50" s="40">
        <f>IFERROR(BJ50/BH$3,0)</f>
        <v>0</v>
      </c>
      <c r="BJ50" s="185">
        <f>SUM(BJ51:BJ62)</f>
        <v>0</v>
      </c>
      <c r="BK50" s="190"/>
      <c r="BL50" s="37"/>
      <c r="BM50" s="40">
        <f>IFERROR(BN50/BL$3,0)</f>
        <v>0</v>
      </c>
      <c r="BN50" s="185">
        <f>SUM(BN51:BN62)</f>
        <v>0</v>
      </c>
      <c r="BO50" s="190"/>
      <c r="BP50" s="37"/>
      <c r="BQ50" s="40">
        <f>IFERROR(BR50/BP$3,0)</f>
        <v>0</v>
      </c>
      <c r="BR50" s="185">
        <f>SUM(BR51:BR62)</f>
        <v>0</v>
      </c>
      <c r="BS50" s="190"/>
      <c r="BT50" s="37"/>
      <c r="BU50" s="40">
        <f>IFERROR(BV50/BT$3,0)</f>
        <v>0</v>
      </c>
      <c r="BV50" s="185">
        <f>SUM(BV51:BV62)</f>
        <v>0</v>
      </c>
      <c r="BW50" s="190"/>
      <c r="BX50" s="37"/>
      <c r="BY50" s="40">
        <f>IFERROR(BZ50/BX$3,0)</f>
        <v>0</v>
      </c>
      <c r="BZ50" s="185">
        <f>SUM(BZ51:BZ62)</f>
        <v>0</v>
      </c>
      <c r="CA50" s="190"/>
      <c r="CB50" s="37"/>
      <c r="CC50" s="40">
        <f>IFERROR(CD50/CB$3,0)</f>
        <v>0</v>
      </c>
      <c r="CD50" s="185">
        <f>SUM(CD51:CD62)</f>
        <v>0</v>
      </c>
    </row>
    <row r="51" spans="2:82" x14ac:dyDescent="0.3">
      <c r="B51" s="53"/>
      <c r="C51" s="53" t="str">
        <f t="shared" si="0"/>
        <v>CPU_Instalaçãoestruturam</v>
      </c>
      <c r="D51" s="278">
        <f t="shared" si="1"/>
        <v>1</v>
      </c>
      <c r="E51" s="278">
        <f t="shared" si="2"/>
        <v>0</v>
      </c>
      <c r="F51" s="1" t="s">
        <v>767</v>
      </c>
      <c r="G51" s="28" t="str">
        <f>IFERROR(VLOOKUP(F51,Tabela7[[RECURSO]:[CUSTO]],2,FALSE),"")</f>
        <v>VB</v>
      </c>
      <c r="I51" s="90">
        <f>IFERROR(M51*$B$6,0)</f>
        <v>0</v>
      </c>
      <c r="J51" s="45">
        <f>IFERROR(VLOOKUP(F51,Tabela7[[RECURSO]:[CUSTO]],3,FALSE),0)</f>
        <v>1</v>
      </c>
      <c r="K51" s="45">
        <f>I51*J51</f>
        <v>0</v>
      </c>
      <c r="M51" s="350" t="e">
        <f>2700/2300*I7/B7</f>
        <v>#DIV/0!</v>
      </c>
      <c r="N51" s="88"/>
      <c r="AD51" s="144" t="str">
        <f t="shared" si="3"/>
        <v>Instalação estrutura metalica</v>
      </c>
      <c r="AE51" s="192"/>
      <c r="AF51" s="180">
        <f t="shared" ref="AF51:AF62" si="38">AJ51+AN51+AR51+AV51+AZ51+BD51+BH51+BL51+BP51+BT51+BX51+CB51</f>
        <v>0</v>
      </c>
      <c r="AG51" s="180">
        <f t="shared" si="17"/>
        <v>0</v>
      </c>
      <c r="AH51" s="181">
        <f t="shared" ref="AH51:AH62" si="39">AL51+AP51+AT51+AX51+BB51+BF51+BJ51+BN51+BR51+BV51+BZ51+CD51</f>
        <v>0</v>
      </c>
      <c r="AI51" s="193"/>
      <c r="AJ51" s="90"/>
      <c r="AK51" s="90"/>
      <c r="AL51" s="183">
        <f t="shared" ref="AL51:AL62" si="40">AJ51*AK51</f>
        <v>0</v>
      </c>
      <c r="AM51" s="193"/>
      <c r="AN51" s="90"/>
      <c r="AO51" s="90"/>
      <c r="AP51" s="183">
        <f t="shared" si="23"/>
        <v>0</v>
      </c>
      <c r="AQ51" s="193"/>
      <c r="AR51" s="90"/>
      <c r="AS51" s="90"/>
      <c r="AT51" s="183">
        <f t="shared" si="24"/>
        <v>0</v>
      </c>
      <c r="AU51" s="193"/>
      <c r="AV51" s="90"/>
      <c r="AW51" s="90"/>
      <c r="AX51" s="183">
        <f t="shared" si="25"/>
        <v>0</v>
      </c>
      <c r="AY51" s="193"/>
      <c r="AZ51" s="90"/>
      <c r="BA51" s="90"/>
      <c r="BB51" s="183">
        <f t="shared" si="26"/>
        <v>0</v>
      </c>
      <c r="BC51" s="193"/>
      <c r="BD51" s="90"/>
      <c r="BE51" s="90"/>
      <c r="BF51" s="183">
        <f t="shared" si="27"/>
        <v>0</v>
      </c>
      <c r="BG51" s="193"/>
      <c r="BH51" s="90"/>
      <c r="BI51" s="90"/>
      <c r="BJ51" s="183">
        <f t="shared" si="28"/>
        <v>0</v>
      </c>
      <c r="BK51" s="193"/>
      <c r="BL51" s="90"/>
      <c r="BM51" s="90"/>
      <c r="BN51" s="183">
        <f t="shared" si="29"/>
        <v>0</v>
      </c>
      <c r="BO51" s="193"/>
      <c r="BP51" s="90"/>
      <c r="BQ51" s="90"/>
      <c r="BR51" s="183">
        <f t="shared" si="30"/>
        <v>0</v>
      </c>
      <c r="BS51" s="193"/>
      <c r="BT51" s="90"/>
      <c r="BU51" s="90"/>
      <c r="BV51" s="183">
        <f t="shared" si="31"/>
        <v>0</v>
      </c>
      <c r="BW51" s="193"/>
      <c r="BX51" s="90"/>
      <c r="BY51" s="90"/>
      <c r="BZ51" s="183">
        <f t="shared" si="32"/>
        <v>0</v>
      </c>
      <c r="CA51" s="193"/>
      <c r="CB51" s="90"/>
      <c r="CC51" s="90"/>
      <c r="CD51" s="183">
        <f t="shared" si="33"/>
        <v>0</v>
      </c>
    </row>
    <row r="52" spans="2:82" x14ac:dyDescent="0.3">
      <c r="B52" s="53"/>
      <c r="C52" s="53" t="str">
        <f t="shared" si="0"/>
        <v>CPU_Instalaçãoestruturam</v>
      </c>
      <c r="D52" s="278">
        <f t="shared" si="1"/>
        <v>1</v>
      </c>
      <c r="E52" s="278">
        <f t="shared" si="2"/>
        <v>0</v>
      </c>
      <c r="F52" s="1"/>
      <c r="G52" s="28" t="str">
        <f>IFERROR(VLOOKUP(F52,Tabela7[[RECURSO]:[CUSTO]],2,FALSE),"")</f>
        <v/>
      </c>
      <c r="I52" s="90">
        <f t="shared" ref="I52:I62" si="41">IFERROR(M52*$B$6,0)</f>
        <v>0</v>
      </c>
      <c r="J52" s="45">
        <f>IFERROR(VLOOKUP(F52,Tabela7[[RECURSO]:[CUSTO]],3,FALSE),0)</f>
        <v>0</v>
      </c>
      <c r="K52" s="45">
        <f t="shared" ref="K52:K62" si="42">I52*J52</f>
        <v>0</v>
      </c>
      <c r="M52" s="85"/>
      <c r="N52" s="88"/>
      <c r="AD52" s="144" t="str">
        <f t="shared" si="3"/>
        <v>Instalação estrutura metalica</v>
      </c>
      <c r="AE52" s="192"/>
      <c r="AF52" s="180">
        <f t="shared" si="38"/>
        <v>0</v>
      </c>
      <c r="AG52" s="180">
        <f t="shared" si="17"/>
        <v>0</v>
      </c>
      <c r="AH52" s="181">
        <f t="shared" si="39"/>
        <v>0</v>
      </c>
      <c r="AI52" s="193"/>
      <c r="AJ52" s="90"/>
      <c r="AK52" s="90"/>
      <c r="AL52" s="183">
        <f t="shared" si="40"/>
        <v>0</v>
      </c>
      <c r="AM52" s="193"/>
      <c r="AN52" s="90"/>
      <c r="AO52" s="90"/>
      <c r="AP52" s="183">
        <f t="shared" si="23"/>
        <v>0</v>
      </c>
      <c r="AQ52" s="193"/>
      <c r="AR52" s="90"/>
      <c r="AS52" s="90"/>
      <c r="AT52" s="183">
        <f t="shared" si="24"/>
        <v>0</v>
      </c>
      <c r="AU52" s="193"/>
      <c r="AV52" s="90"/>
      <c r="AW52" s="90"/>
      <c r="AX52" s="183">
        <f t="shared" si="25"/>
        <v>0</v>
      </c>
      <c r="AY52" s="193"/>
      <c r="AZ52" s="90"/>
      <c r="BA52" s="90"/>
      <c r="BB52" s="183">
        <f t="shared" si="26"/>
        <v>0</v>
      </c>
      <c r="BC52" s="193"/>
      <c r="BD52" s="90"/>
      <c r="BE52" s="90"/>
      <c r="BF52" s="183">
        <f t="shared" si="27"/>
        <v>0</v>
      </c>
      <c r="BG52" s="193"/>
      <c r="BH52" s="90"/>
      <c r="BI52" s="90"/>
      <c r="BJ52" s="183">
        <f t="shared" si="28"/>
        <v>0</v>
      </c>
      <c r="BK52" s="193"/>
      <c r="BL52" s="90"/>
      <c r="BM52" s="90"/>
      <c r="BN52" s="183">
        <f t="shared" si="29"/>
        <v>0</v>
      </c>
      <c r="BO52" s="193"/>
      <c r="BP52" s="90"/>
      <c r="BQ52" s="90"/>
      <c r="BR52" s="183">
        <f t="shared" si="30"/>
        <v>0</v>
      </c>
      <c r="BS52" s="193"/>
      <c r="BT52" s="90"/>
      <c r="BU52" s="90"/>
      <c r="BV52" s="183">
        <f t="shared" si="31"/>
        <v>0</v>
      </c>
      <c r="BW52" s="193"/>
      <c r="BX52" s="90"/>
      <c r="BY52" s="90"/>
      <c r="BZ52" s="183">
        <f t="shared" si="32"/>
        <v>0</v>
      </c>
      <c r="CA52" s="193"/>
      <c r="CB52" s="90"/>
      <c r="CC52" s="90"/>
      <c r="CD52" s="183">
        <f t="shared" si="33"/>
        <v>0</v>
      </c>
    </row>
    <row r="53" spans="2:82" x14ac:dyDescent="0.3">
      <c r="B53" s="53"/>
      <c r="C53" s="53" t="str">
        <f t="shared" si="0"/>
        <v>CPU_Instalaçãoestruturam</v>
      </c>
      <c r="D53" s="278">
        <f t="shared" si="1"/>
        <v>1</v>
      </c>
      <c r="E53" s="278">
        <f t="shared" si="2"/>
        <v>0</v>
      </c>
      <c r="F53" s="1"/>
      <c r="G53" s="28" t="str">
        <f>IFERROR(VLOOKUP(F53,Tabela7[[RECURSO]:[CUSTO]],2,FALSE),"")</f>
        <v/>
      </c>
      <c r="I53" s="90">
        <f t="shared" si="41"/>
        <v>0</v>
      </c>
      <c r="J53" s="45">
        <f>IFERROR(VLOOKUP(F53,Tabela7[[RECURSO]:[CUSTO]],3,FALSE),0)</f>
        <v>0</v>
      </c>
      <c r="K53" s="45">
        <f t="shared" si="42"/>
        <v>0</v>
      </c>
      <c r="M53" s="85"/>
      <c r="N53" s="88"/>
      <c r="AD53" s="144" t="str">
        <f t="shared" si="3"/>
        <v>Instalação estrutura metalica</v>
      </c>
      <c r="AE53" s="192"/>
      <c r="AF53" s="180">
        <f t="shared" si="38"/>
        <v>0</v>
      </c>
      <c r="AG53" s="180">
        <f t="shared" si="17"/>
        <v>0</v>
      </c>
      <c r="AH53" s="181">
        <f t="shared" si="39"/>
        <v>0</v>
      </c>
      <c r="AI53" s="193"/>
      <c r="AJ53" s="90"/>
      <c r="AK53" s="90"/>
      <c r="AL53" s="183">
        <f t="shared" si="40"/>
        <v>0</v>
      </c>
      <c r="AM53" s="193"/>
      <c r="AN53" s="90"/>
      <c r="AO53" s="90"/>
      <c r="AP53" s="183">
        <f t="shared" si="23"/>
        <v>0</v>
      </c>
      <c r="AQ53" s="193"/>
      <c r="AR53" s="90"/>
      <c r="AS53" s="90"/>
      <c r="AT53" s="183">
        <f t="shared" si="24"/>
        <v>0</v>
      </c>
      <c r="AU53" s="193"/>
      <c r="AV53" s="90"/>
      <c r="AW53" s="90"/>
      <c r="AX53" s="183">
        <f t="shared" si="25"/>
        <v>0</v>
      </c>
      <c r="AY53" s="193"/>
      <c r="AZ53" s="90"/>
      <c r="BA53" s="90"/>
      <c r="BB53" s="183">
        <f t="shared" si="26"/>
        <v>0</v>
      </c>
      <c r="BC53" s="193"/>
      <c r="BD53" s="90"/>
      <c r="BE53" s="90"/>
      <c r="BF53" s="183">
        <f t="shared" si="27"/>
        <v>0</v>
      </c>
      <c r="BG53" s="193"/>
      <c r="BH53" s="90"/>
      <c r="BI53" s="90"/>
      <c r="BJ53" s="183">
        <f t="shared" si="28"/>
        <v>0</v>
      </c>
      <c r="BK53" s="193"/>
      <c r="BL53" s="90"/>
      <c r="BM53" s="90"/>
      <c r="BN53" s="183">
        <f t="shared" si="29"/>
        <v>0</v>
      </c>
      <c r="BO53" s="193"/>
      <c r="BP53" s="90"/>
      <c r="BQ53" s="90"/>
      <c r="BR53" s="183">
        <f t="shared" si="30"/>
        <v>0</v>
      </c>
      <c r="BS53" s="193"/>
      <c r="BT53" s="90"/>
      <c r="BU53" s="90"/>
      <c r="BV53" s="183">
        <f t="shared" si="31"/>
        <v>0</v>
      </c>
      <c r="BW53" s="193"/>
      <c r="BX53" s="90"/>
      <c r="BY53" s="90"/>
      <c r="BZ53" s="183">
        <f t="shared" si="32"/>
        <v>0</v>
      </c>
      <c r="CA53" s="193"/>
      <c r="CB53" s="90"/>
      <c r="CC53" s="90"/>
      <c r="CD53" s="183">
        <f t="shared" si="33"/>
        <v>0</v>
      </c>
    </row>
    <row r="54" spans="2:82" x14ac:dyDescent="0.3">
      <c r="B54" s="53"/>
      <c r="C54" s="53" t="str">
        <f t="shared" si="0"/>
        <v>CPU_Instalaçãoestruturam</v>
      </c>
      <c r="D54" s="278">
        <f t="shared" si="1"/>
        <v>1</v>
      </c>
      <c r="E54" s="278">
        <f t="shared" si="2"/>
        <v>0</v>
      </c>
      <c r="F54" s="1"/>
      <c r="G54" s="28" t="str">
        <f>IFERROR(VLOOKUP(F54,Tabela7[[RECURSO]:[CUSTO]],2,FALSE),"")</f>
        <v/>
      </c>
      <c r="I54" s="90">
        <f t="shared" si="41"/>
        <v>0</v>
      </c>
      <c r="J54" s="45">
        <f>IFERROR(VLOOKUP(F54,Tabela7[[RECURSO]:[CUSTO]],3,FALSE),0)</f>
        <v>0</v>
      </c>
      <c r="K54" s="45">
        <f>I54*J54</f>
        <v>0</v>
      </c>
      <c r="M54" s="85"/>
      <c r="N54" s="88"/>
      <c r="AD54" s="144" t="str">
        <f>$B$3</f>
        <v>Instalação estrutura metalica</v>
      </c>
      <c r="AE54" s="192"/>
      <c r="AF54" s="180">
        <f t="shared" si="38"/>
        <v>0</v>
      </c>
      <c r="AG54" s="180">
        <f t="shared" si="17"/>
        <v>0</v>
      </c>
      <c r="AH54" s="181">
        <f t="shared" si="39"/>
        <v>0</v>
      </c>
      <c r="AI54" s="193"/>
      <c r="AJ54" s="90"/>
      <c r="AK54" s="90"/>
      <c r="AL54" s="183">
        <f t="shared" si="40"/>
        <v>0</v>
      </c>
      <c r="AM54" s="193"/>
      <c r="AN54" s="90"/>
      <c r="AO54" s="90"/>
      <c r="AP54" s="183">
        <f t="shared" si="23"/>
        <v>0</v>
      </c>
      <c r="AQ54" s="193"/>
      <c r="AR54" s="90"/>
      <c r="AS54" s="90"/>
      <c r="AT54" s="183">
        <f t="shared" si="24"/>
        <v>0</v>
      </c>
      <c r="AU54" s="193"/>
      <c r="AV54" s="90"/>
      <c r="AW54" s="90"/>
      <c r="AX54" s="183">
        <f t="shared" si="25"/>
        <v>0</v>
      </c>
      <c r="AY54" s="193"/>
      <c r="AZ54" s="90"/>
      <c r="BA54" s="90"/>
      <c r="BB54" s="183">
        <f t="shared" si="26"/>
        <v>0</v>
      </c>
      <c r="BC54" s="193"/>
      <c r="BD54" s="90"/>
      <c r="BE54" s="90"/>
      <c r="BF54" s="183">
        <f t="shared" si="27"/>
        <v>0</v>
      </c>
      <c r="BG54" s="193"/>
      <c r="BH54" s="90"/>
      <c r="BI54" s="90"/>
      <c r="BJ54" s="183">
        <f t="shared" si="28"/>
        <v>0</v>
      </c>
      <c r="BK54" s="193"/>
      <c r="BL54" s="90"/>
      <c r="BM54" s="90"/>
      <c r="BN54" s="183">
        <f t="shared" si="29"/>
        <v>0</v>
      </c>
      <c r="BO54" s="193"/>
      <c r="BP54" s="90"/>
      <c r="BQ54" s="90"/>
      <c r="BR54" s="183">
        <f t="shared" si="30"/>
        <v>0</v>
      </c>
      <c r="BS54" s="193"/>
      <c r="BT54" s="90"/>
      <c r="BU54" s="90"/>
      <c r="BV54" s="183">
        <f t="shared" si="31"/>
        <v>0</v>
      </c>
      <c r="BW54" s="193"/>
      <c r="BX54" s="90"/>
      <c r="BY54" s="90"/>
      <c r="BZ54" s="183">
        <f t="shared" si="32"/>
        <v>0</v>
      </c>
      <c r="CA54" s="193"/>
      <c r="CB54" s="90"/>
      <c r="CC54" s="90"/>
      <c r="CD54" s="183">
        <f t="shared" si="33"/>
        <v>0</v>
      </c>
    </row>
    <row r="55" spans="2:82" x14ac:dyDescent="0.3">
      <c r="B55" s="53"/>
      <c r="C55" s="53" t="str">
        <f t="shared" si="0"/>
        <v>CPU_Instalaçãoestruturam</v>
      </c>
      <c r="D55" s="278">
        <f t="shared" si="1"/>
        <v>1</v>
      </c>
      <c r="E55" s="278">
        <f t="shared" si="2"/>
        <v>0</v>
      </c>
      <c r="F55" s="1"/>
      <c r="G55" s="28" t="str">
        <f>IFERROR(VLOOKUP(F55,Tabela7[[RECURSO]:[CUSTO]],2,FALSE),"")</f>
        <v/>
      </c>
      <c r="I55" s="90">
        <f t="shared" si="41"/>
        <v>0</v>
      </c>
      <c r="J55" s="45">
        <f>IFERROR(VLOOKUP(F55,Tabela7[[RECURSO]:[CUSTO]],3,FALSE),0)</f>
        <v>0</v>
      </c>
      <c r="K55" s="45">
        <f t="shared" si="42"/>
        <v>0</v>
      </c>
      <c r="M55" s="85"/>
      <c r="N55" s="88"/>
      <c r="AD55" s="144" t="str">
        <f t="shared" si="3"/>
        <v>Instalação estrutura metalica</v>
      </c>
      <c r="AE55" s="192"/>
      <c r="AF55" s="180">
        <f t="shared" si="38"/>
        <v>0</v>
      </c>
      <c r="AG55" s="180">
        <f t="shared" si="17"/>
        <v>0</v>
      </c>
      <c r="AH55" s="181">
        <f t="shared" si="39"/>
        <v>0</v>
      </c>
      <c r="AI55" s="193"/>
      <c r="AJ55" s="90"/>
      <c r="AK55" s="90"/>
      <c r="AL55" s="183">
        <f t="shared" si="40"/>
        <v>0</v>
      </c>
      <c r="AM55" s="193"/>
      <c r="AN55" s="90"/>
      <c r="AO55" s="90"/>
      <c r="AP55" s="183">
        <f t="shared" si="23"/>
        <v>0</v>
      </c>
      <c r="AQ55" s="193"/>
      <c r="AR55" s="90"/>
      <c r="AS55" s="90"/>
      <c r="AT55" s="183">
        <f t="shared" si="24"/>
        <v>0</v>
      </c>
      <c r="AU55" s="193"/>
      <c r="AV55" s="90"/>
      <c r="AW55" s="90"/>
      <c r="AX55" s="183">
        <f t="shared" si="25"/>
        <v>0</v>
      </c>
      <c r="AY55" s="193"/>
      <c r="AZ55" s="90"/>
      <c r="BA55" s="90"/>
      <c r="BB55" s="183">
        <f t="shared" si="26"/>
        <v>0</v>
      </c>
      <c r="BC55" s="193"/>
      <c r="BD55" s="90"/>
      <c r="BE55" s="90"/>
      <c r="BF55" s="183">
        <f t="shared" si="27"/>
        <v>0</v>
      </c>
      <c r="BG55" s="193"/>
      <c r="BH55" s="90"/>
      <c r="BI55" s="90"/>
      <c r="BJ55" s="183">
        <f t="shared" si="28"/>
        <v>0</v>
      </c>
      <c r="BK55" s="193"/>
      <c r="BL55" s="90"/>
      <c r="BM55" s="90"/>
      <c r="BN55" s="183">
        <f t="shared" si="29"/>
        <v>0</v>
      </c>
      <c r="BO55" s="193"/>
      <c r="BP55" s="90"/>
      <c r="BQ55" s="90"/>
      <c r="BR55" s="183">
        <f t="shared" si="30"/>
        <v>0</v>
      </c>
      <c r="BS55" s="193"/>
      <c r="BT55" s="90"/>
      <c r="BU55" s="90"/>
      <c r="BV55" s="183">
        <f t="shared" si="31"/>
        <v>0</v>
      </c>
      <c r="BW55" s="193"/>
      <c r="BX55" s="90"/>
      <c r="BY55" s="90"/>
      <c r="BZ55" s="183">
        <f t="shared" si="32"/>
        <v>0</v>
      </c>
      <c r="CA55" s="193"/>
      <c r="CB55" s="90"/>
      <c r="CC55" s="90"/>
      <c r="CD55" s="183">
        <f t="shared" si="33"/>
        <v>0</v>
      </c>
    </row>
    <row r="56" spans="2:82" x14ac:dyDescent="0.3">
      <c r="B56" s="53"/>
      <c r="C56" s="53" t="str">
        <f t="shared" si="0"/>
        <v>CPU_Instalaçãoestruturam</v>
      </c>
      <c r="D56" s="278">
        <f t="shared" si="1"/>
        <v>1</v>
      </c>
      <c r="E56" s="278">
        <f t="shared" si="2"/>
        <v>0</v>
      </c>
      <c r="F56" s="1"/>
      <c r="G56" s="28" t="str">
        <f>IFERROR(VLOOKUP(F56,Tabela7[[RECURSO]:[CUSTO]],2,FALSE),"")</f>
        <v/>
      </c>
      <c r="I56" s="90">
        <f t="shared" si="41"/>
        <v>0</v>
      </c>
      <c r="J56" s="45">
        <f>IFERROR(VLOOKUP(F56,Tabela7[[RECURSO]:[CUSTO]],3,FALSE),0)</f>
        <v>0</v>
      </c>
      <c r="K56" s="45">
        <f t="shared" si="42"/>
        <v>0</v>
      </c>
      <c r="M56" s="85"/>
      <c r="N56" s="88"/>
      <c r="AD56" s="144" t="str">
        <f t="shared" si="3"/>
        <v>Instalação estrutura metalica</v>
      </c>
      <c r="AE56" s="192"/>
      <c r="AF56" s="180">
        <f t="shared" si="38"/>
        <v>0</v>
      </c>
      <c r="AG56" s="180">
        <f t="shared" si="17"/>
        <v>0</v>
      </c>
      <c r="AH56" s="181">
        <f t="shared" si="39"/>
        <v>0</v>
      </c>
      <c r="AI56" s="193"/>
      <c r="AJ56" s="90"/>
      <c r="AK56" s="90"/>
      <c r="AL56" s="183">
        <f t="shared" si="40"/>
        <v>0</v>
      </c>
      <c r="AM56" s="193"/>
      <c r="AN56" s="90"/>
      <c r="AO56" s="90"/>
      <c r="AP56" s="183">
        <f t="shared" si="23"/>
        <v>0</v>
      </c>
      <c r="AQ56" s="193"/>
      <c r="AR56" s="90"/>
      <c r="AS56" s="90"/>
      <c r="AT56" s="183">
        <f t="shared" si="24"/>
        <v>0</v>
      </c>
      <c r="AU56" s="193"/>
      <c r="AV56" s="90"/>
      <c r="AW56" s="90"/>
      <c r="AX56" s="183">
        <f t="shared" si="25"/>
        <v>0</v>
      </c>
      <c r="AY56" s="193"/>
      <c r="AZ56" s="90"/>
      <c r="BA56" s="90"/>
      <c r="BB56" s="183">
        <f t="shared" si="26"/>
        <v>0</v>
      </c>
      <c r="BC56" s="193"/>
      <c r="BD56" s="90"/>
      <c r="BE56" s="90"/>
      <c r="BF56" s="183">
        <f t="shared" si="27"/>
        <v>0</v>
      </c>
      <c r="BG56" s="193"/>
      <c r="BH56" s="90"/>
      <c r="BI56" s="90"/>
      <c r="BJ56" s="183">
        <f t="shared" si="28"/>
        <v>0</v>
      </c>
      <c r="BK56" s="193"/>
      <c r="BL56" s="90"/>
      <c r="BM56" s="90"/>
      <c r="BN56" s="183">
        <f t="shared" si="29"/>
        <v>0</v>
      </c>
      <c r="BO56" s="193"/>
      <c r="BP56" s="90"/>
      <c r="BQ56" s="90"/>
      <c r="BR56" s="183">
        <f t="shared" si="30"/>
        <v>0</v>
      </c>
      <c r="BS56" s="193"/>
      <c r="BT56" s="90"/>
      <c r="BU56" s="90"/>
      <c r="BV56" s="183">
        <f t="shared" si="31"/>
        <v>0</v>
      </c>
      <c r="BW56" s="193"/>
      <c r="BX56" s="90"/>
      <c r="BY56" s="90"/>
      <c r="BZ56" s="183">
        <f t="shared" si="32"/>
        <v>0</v>
      </c>
      <c r="CA56" s="193"/>
      <c r="CB56" s="90"/>
      <c r="CC56" s="90"/>
      <c r="CD56" s="183">
        <f t="shared" si="33"/>
        <v>0</v>
      </c>
    </row>
    <row r="57" spans="2:82" x14ac:dyDescent="0.3">
      <c r="B57" s="53"/>
      <c r="C57" s="53" t="str">
        <f t="shared" si="0"/>
        <v>CPU_Instalaçãoestruturam</v>
      </c>
      <c r="D57" s="278">
        <f t="shared" si="1"/>
        <v>1</v>
      </c>
      <c r="E57" s="278">
        <f t="shared" si="2"/>
        <v>0</v>
      </c>
      <c r="F57" s="1"/>
      <c r="G57" s="28" t="str">
        <f>IFERROR(VLOOKUP(F57,Tabela7[[RECURSO]:[CUSTO]],2,FALSE),"")</f>
        <v/>
      </c>
      <c r="I57" s="90">
        <f t="shared" si="41"/>
        <v>0</v>
      </c>
      <c r="J57" s="45">
        <f>IFERROR(VLOOKUP(F57,Tabela7[[RECURSO]:[CUSTO]],3,FALSE),0)</f>
        <v>0</v>
      </c>
      <c r="K57" s="45">
        <f t="shared" si="42"/>
        <v>0</v>
      </c>
      <c r="M57" s="85"/>
      <c r="N57" s="88"/>
      <c r="AD57" s="144" t="str">
        <f t="shared" si="3"/>
        <v>Instalação estrutura metalica</v>
      </c>
      <c r="AE57" s="192"/>
      <c r="AF57" s="180">
        <f t="shared" si="38"/>
        <v>0</v>
      </c>
      <c r="AG57" s="180">
        <f t="shared" si="17"/>
        <v>0</v>
      </c>
      <c r="AH57" s="181">
        <f t="shared" si="39"/>
        <v>0</v>
      </c>
      <c r="AI57" s="193"/>
      <c r="AJ57" s="90"/>
      <c r="AK57" s="90"/>
      <c r="AL57" s="183">
        <f t="shared" si="40"/>
        <v>0</v>
      </c>
      <c r="AM57" s="193"/>
      <c r="AN57" s="90"/>
      <c r="AO57" s="90"/>
      <c r="AP57" s="183">
        <f t="shared" si="23"/>
        <v>0</v>
      </c>
      <c r="AQ57" s="193"/>
      <c r="AR57" s="90"/>
      <c r="AS57" s="90"/>
      <c r="AT57" s="183">
        <f t="shared" si="24"/>
        <v>0</v>
      </c>
      <c r="AU57" s="193"/>
      <c r="AV57" s="90"/>
      <c r="AW57" s="90"/>
      <c r="AX57" s="183">
        <f t="shared" si="25"/>
        <v>0</v>
      </c>
      <c r="AY57" s="193"/>
      <c r="AZ57" s="90"/>
      <c r="BA57" s="90"/>
      <c r="BB57" s="183">
        <f t="shared" si="26"/>
        <v>0</v>
      </c>
      <c r="BC57" s="193"/>
      <c r="BD57" s="90"/>
      <c r="BE57" s="90"/>
      <c r="BF57" s="183">
        <f t="shared" si="27"/>
        <v>0</v>
      </c>
      <c r="BG57" s="193"/>
      <c r="BH57" s="90"/>
      <c r="BI57" s="90"/>
      <c r="BJ57" s="183">
        <f t="shared" si="28"/>
        <v>0</v>
      </c>
      <c r="BK57" s="193"/>
      <c r="BL57" s="90"/>
      <c r="BM57" s="90"/>
      <c r="BN57" s="183">
        <f t="shared" si="29"/>
        <v>0</v>
      </c>
      <c r="BO57" s="193"/>
      <c r="BP57" s="90"/>
      <c r="BQ57" s="90"/>
      <c r="BR57" s="183">
        <f t="shared" si="30"/>
        <v>0</v>
      </c>
      <c r="BS57" s="193"/>
      <c r="BT57" s="90"/>
      <c r="BU57" s="90"/>
      <c r="BV57" s="183">
        <f t="shared" si="31"/>
        <v>0</v>
      </c>
      <c r="BW57" s="193"/>
      <c r="BX57" s="90"/>
      <c r="BY57" s="90"/>
      <c r="BZ57" s="183">
        <f t="shared" si="32"/>
        <v>0</v>
      </c>
      <c r="CA57" s="193"/>
      <c r="CB57" s="90"/>
      <c r="CC57" s="90"/>
      <c r="CD57" s="183">
        <f t="shared" si="33"/>
        <v>0</v>
      </c>
    </row>
    <row r="58" spans="2:82" x14ac:dyDescent="0.3">
      <c r="B58" s="53"/>
      <c r="C58" s="53" t="str">
        <f t="shared" si="0"/>
        <v>CPU_Instalaçãoestruturam</v>
      </c>
      <c r="D58" s="278">
        <f t="shared" si="1"/>
        <v>1</v>
      </c>
      <c r="E58" s="278">
        <f t="shared" si="2"/>
        <v>0</v>
      </c>
      <c r="F58" s="1"/>
      <c r="G58" s="28" t="str">
        <f>IFERROR(VLOOKUP(F58,Tabela7[[RECURSO]:[CUSTO]],2,FALSE),"")</f>
        <v/>
      </c>
      <c r="I58" s="90">
        <f t="shared" si="41"/>
        <v>0</v>
      </c>
      <c r="J58" s="45">
        <f>IFERROR(VLOOKUP(F58,Tabela7[[RECURSO]:[CUSTO]],3,FALSE),0)</f>
        <v>0</v>
      </c>
      <c r="K58" s="45">
        <f t="shared" si="42"/>
        <v>0</v>
      </c>
      <c r="M58" s="85"/>
      <c r="N58" s="88"/>
      <c r="AD58" s="144" t="str">
        <f t="shared" si="3"/>
        <v>Instalação estrutura metalica</v>
      </c>
      <c r="AE58" s="192"/>
      <c r="AF58" s="180">
        <f t="shared" si="38"/>
        <v>0</v>
      </c>
      <c r="AG58" s="180">
        <f t="shared" si="17"/>
        <v>0</v>
      </c>
      <c r="AH58" s="181">
        <f t="shared" si="39"/>
        <v>0</v>
      </c>
      <c r="AI58" s="193"/>
      <c r="AJ58" s="90"/>
      <c r="AK58" s="90"/>
      <c r="AL58" s="183">
        <f t="shared" si="40"/>
        <v>0</v>
      </c>
      <c r="AM58" s="193"/>
      <c r="AN58" s="90"/>
      <c r="AO58" s="90"/>
      <c r="AP58" s="183">
        <f t="shared" si="23"/>
        <v>0</v>
      </c>
      <c r="AQ58" s="193"/>
      <c r="AR58" s="90"/>
      <c r="AS58" s="90"/>
      <c r="AT58" s="183">
        <f t="shared" si="24"/>
        <v>0</v>
      </c>
      <c r="AU58" s="193"/>
      <c r="AV58" s="90"/>
      <c r="AW58" s="90"/>
      <c r="AX58" s="183">
        <f t="shared" si="25"/>
        <v>0</v>
      </c>
      <c r="AY58" s="193"/>
      <c r="AZ58" s="90"/>
      <c r="BA58" s="90"/>
      <c r="BB58" s="183">
        <f t="shared" si="26"/>
        <v>0</v>
      </c>
      <c r="BC58" s="193"/>
      <c r="BD58" s="90"/>
      <c r="BE58" s="90"/>
      <c r="BF58" s="183">
        <f t="shared" si="27"/>
        <v>0</v>
      </c>
      <c r="BG58" s="193"/>
      <c r="BH58" s="90"/>
      <c r="BI58" s="90"/>
      <c r="BJ58" s="183">
        <f t="shared" si="28"/>
        <v>0</v>
      </c>
      <c r="BK58" s="193"/>
      <c r="BL58" s="90"/>
      <c r="BM58" s="90"/>
      <c r="BN58" s="183">
        <f t="shared" si="29"/>
        <v>0</v>
      </c>
      <c r="BO58" s="193"/>
      <c r="BP58" s="90"/>
      <c r="BQ58" s="90"/>
      <c r="BR58" s="183">
        <f t="shared" si="30"/>
        <v>0</v>
      </c>
      <c r="BS58" s="193"/>
      <c r="BT58" s="90"/>
      <c r="BU58" s="90"/>
      <c r="BV58" s="183">
        <f t="shared" si="31"/>
        <v>0</v>
      </c>
      <c r="BW58" s="193"/>
      <c r="BX58" s="90"/>
      <c r="BY58" s="90"/>
      <c r="BZ58" s="183">
        <f t="shared" si="32"/>
        <v>0</v>
      </c>
      <c r="CA58" s="193"/>
      <c r="CB58" s="90"/>
      <c r="CC58" s="90"/>
      <c r="CD58" s="183">
        <f t="shared" si="33"/>
        <v>0</v>
      </c>
    </row>
    <row r="59" spans="2:82" x14ac:dyDescent="0.3">
      <c r="B59" s="53"/>
      <c r="C59" s="53" t="str">
        <f t="shared" si="0"/>
        <v>CPU_Instalaçãoestruturam</v>
      </c>
      <c r="D59" s="278">
        <f t="shared" si="1"/>
        <v>1</v>
      </c>
      <c r="E59" s="278">
        <f t="shared" si="2"/>
        <v>0</v>
      </c>
      <c r="F59" s="1"/>
      <c r="G59" s="28" t="str">
        <f>IFERROR(VLOOKUP(F59,Tabela7[[RECURSO]:[CUSTO]],2,FALSE),"")</f>
        <v/>
      </c>
      <c r="I59" s="90">
        <f t="shared" si="41"/>
        <v>0</v>
      </c>
      <c r="J59" s="45">
        <f>IFERROR(VLOOKUP(F59,Tabela7[[RECURSO]:[CUSTO]],3,FALSE),0)</f>
        <v>0</v>
      </c>
      <c r="K59" s="45">
        <f t="shared" si="42"/>
        <v>0</v>
      </c>
      <c r="M59" s="85"/>
      <c r="N59" s="88"/>
      <c r="AD59" s="144" t="str">
        <f t="shared" si="3"/>
        <v>Instalação estrutura metalica</v>
      </c>
      <c r="AE59" s="192"/>
      <c r="AF59" s="180">
        <f t="shared" si="38"/>
        <v>0</v>
      </c>
      <c r="AG59" s="180">
        <f t="shared" si="17"/>
        <v>0</v>
      </c>
      <c r="AH59" s="181">
        <f t="shared" si="39"/>
        <v>0</v>
      </c>
      <c r="AI59" s="193"/>
      <c r="AJ59" s="90"/>
      <c r="AK59" s="90"/>
      <c r="AL59" s="183">
        <f t="shared" si="40"/>
        <v>0</v>
      </c>
      <c r="AM59" s="193"/>
      <c r="AN59" s="90"/>
      <c r="AO59" s="90"/>
      <c r="AP59" s="183">
        <f t="shared" si="23"/>
        <v>0</v>
      </c>
      <c r="AQ59" s="193"/>
      <c r="AR59" s="90"/>
      <c r="AS59" s="90"/>
      <c r="AT59" s="183">
        <f t="shared" si="24"/>
        <v>0</v>
      </c>
      <c r="AU59" s="193"/>
      <c r="AV59" s="90"/>
      <c r="AW59" s="90"/>
      <c r="AX59" s="183">
        <f t="shared" si="25"/>
        <v>0</v>
      </c>
      <c r="AY59" s="193"/>
      <c r="AZ59" s="90"/>
      <c r="BA59" s="90"/>
      <c r="BB59" s="183">
        <f t="shared" si="26"/>
        <v>0</v>
      </c>
      <c r="BC59" s="193"/>
      <c r="BD59" s="90"/>
      <c r="BE59" s="90"/>
      <c r="BF59" s="183">
        <f t="shared" si="27"/>
        <v>0</v>
      </c>
      <c r="BG59" s="193"/>
      <c r="BH59" s="90"/>
      <c r="BI59" s="90"/>
      <c r="BJ59" s="183">
        <f t="shared" si="28"/>
        <v>0</v>
      </c>
      <c r="BK59" s="193"/>
      <c r="BL59" s="90"/>
      <c r="BM59" s="90"/>
      <c r="BN59" s="183">
        <f t="shared" si="29"/>
        <v>0</v>
      </c>
      <c r="BO59" s="193"/>
      <c r="BP59" s="90"/>
      <c r="BQ59" s="90"/>
      <c r="BR59" s="183">
        <f t="shared" si="30"/>
        <v>0</v>
      </c>
      <c r="BS59" s="193"/>
      <c r="BT59" s="90"/>
      <c r="BU59" s="90"/>
      <c r="BV59" s="183">
        <f t="shared" si="31"/>
        <v>0</v>
      </c>
      <c r="BW59" s="193"/>
      <c r="BX59" s="90"/>
      <c r="BY59" s="90"/>
      <c r="BZ59" s="183">
        <f t="shared" si="32"/>
        <v>0</v>
      </c>
      <c r="CA59" s="193"/>
      <c r="CB59" s="90"/>
      <c r="CC59" s="90"/>
      <c r="CD59" s="183">
        <f t="shared" si="33"/>
        <v>0</v>
      </c>
    </row>
    <row r="60" spans="2:82" x14ac:dyDescent="0.3">
      <c r="B60" s="53"/>
      <c r="C60" s="53" t="str">
        <f t="shared" si="0"/>
        <v>CPU_Instalaçãoestruturam</v>
      </c>
      <c r="D60" s="278">
        <f t="shared" si="1"/>
        <v>1</v>
      </c>
      <c r="E60" s="278">
        <f t="shared" si="2"/>
        <v>0</v>
      </c>
      <c r="F60" s="1"/>
      <c r="G60" s="28" t="str">
        <f>IFERROR(VLOOKUP(F60,Tabela7[[RECURSO]:[CUSTO]],2,FALSE),"")</f>
        <v/>
      </c>
      <c r="I60" s="90">
        <f t="shared" si="41"/>
        <v>0</v>
      </c>
      <c r="J60" s="45">
        <f>IFERROR(VLOOKUP(F60,Tabela7[[RECURSO]:[CUSTO]],3,FALSE),0)</f>
        <v>0</v>
      </c>
      <c r="K60" s="45">
        <f t="shared" si="42"/>
        <v>0</v>
      </c>
      <c r="M60" s="85"/>
      <c r="N60" s="88"/>
      <c r="AD60" s="144" t="str">
        <f t="shared" si="3"/>
        <v>Instalação estrutura metalica</v>
      </c>
      <c r="AE60" s="192"/>
      <c r="AF60" s="180">
        <f t="shared" si="38"/>
        <v>0</v>
      </c>
      <c r="AG60" s="180">
        <f t="shared" si="17"/>
        <v>0</v>
      </c>
      <c r="AH60" s="181">
        <f t="shared" si="39"/>
        <v>0</v>
      </c>
      <c r="AI60" s="193"/>
      <c r="AJ60" s="90"/>
      <c r="AK60" s="90"/>
      <c r="AL60" s="183">
        <f t="shared" si="40"/>
        <v>0</v>
      </c>
      <c r="AM60" s="193"/>
      <c r="AN60" s="90"/>
      <c r="AO60" s="90"/>
      <c r="AP60" s="183">
        <f t="shared" si="23"/>
        <v>0</v>
      </c>
      <c r="AQ60" s="193"/>
      <c r="AR60" s="90"/>
      <c r="AS60" s="90"/>
      <c r="AT60" s="183">
        <f t="shared" si="24"/>
        <v>0</v>
      </c>
      <c r="AU60" s="193"/>
      <c r="AV60" s="90"/>
      <c r="AW60" s="90"/>
      <c r="AX60" s="183">
        <f t="shared" si="25"/>
        <v>0</v>
      </c>
      <c r="AY60" s="193"/>
      <c r="AZ60" s="90"/>
      <c r="BA60" s="90"/>
      <c r="BB60" s="183">
        <f t="shared" si="26"/>
        <v>0</v>
      </c>
      <c r="BC60" s="193"/>
      <c r="BD60" s="90"/>
      <c r="BE60" s="90"/>
      <c r="BF60" s="183">
        <f t="shared" si="27"/>
        <v>0</v>
      </c>
      <c r="BG60" s="193"/>
      <c r="BH60" s="90"/>
      <c r="BI60" s="90"/>
      <c r="BJ60" s="183">
        <f t="shared" si="28"/>
        <v>0</v>
      </c>
      <c r="BK60" s="193"/>
      <c r="BL60" s="90"/>
      <c r="BM60" s="90"/>
      <c r="BN60" s="183">
        <f t="shared" si="29"/>
        <v>0</v>
      </c>
      <c r="BO60" s="193"/>
      <c r="BP60" s="90"/>
      <c r="BQ60" s="90"/>
      <c r="BR60" s="183">
        <f t="shared" si="30"/>
        <v>0</v>
      </c>
      <c r="BS60" s="193"/>
      <c r="BT60" s="90"/>
      <c r="BU60" s="90"/>
      <c r="BV60" s="183">
        <f t="shared" si="31"/>
        <v>0</v>
      </c>
      <c r="BW60" s="193"/>
      <c r="BX60" s="90"/>
      <c r="BY60" s="90"/>
      <c r="BZ60" s="183">
        <f t="shared" si="32"/>
        <v>0</v>
      </c>
      <c r="CA60" s="193"/>
      <c r="CB60" s="90"/>
      <c r="CC60" s="90"/>
      <c r="CD60" s="183">
        <f t="shared" si="33"/>
        <v>0</v>
      </c>
    </row>
    <row r="61" spans="2:82" x14ac:dyDescent="0.3">
      <c r="B61" s="53"/>
      <c r="C61" s="53" t="str">
        <f t="shared" si="0"/>
        <v>CPU_Instalaçãoestruturam</v>
      </c>
      <c r="D61" s="278">
        <f t="shared" si="1"/>
        <v>1</v>
      </c>
      <c r="E61" s="278">
        <f t="shared" si="2"/>
        <v>0</v>
      </c>
      <c r="F61" s="1"/>
      <c r="G61" s="28" t="str">
        <f>IFERROR(VLOOKUP(F61,Tabela7[[RECURSO]:[CUSTO]],2,FALSE),"")</f>
        <v/>
      </c>
      <c r="I61" s="90">
        <f t="shared" si="41"/>
        <v>0</v>
      </c>
      <c r="J61" s="45">
        <f>IFERROR(VLOOKUP(F61,Tabela7[[RECURSO]:[CUSTO]],3,FALSE),0)</f>
        <v>0</v>
      </c>
      <c r="K61" s="45">
        <f t="shared" si="42"/>
        <v>0</v>
      </c>
      <c r="M61" s="85"/>
      <c r="N61" s="88"/>
      <c r="AD61" s="144" t="str">
        <f t="shared" si="3"/>
        <v>Instalação estrutura metalica</v>
      </c>
      <c r="AE61" s="192"/>
      <c r="AF61" s="180">
        <f t="shared" si="38"/>
        <v>0</v>
      </c>
      <c r="AG61" s="180">
        <f t="shared" si="17"/>
        <v>0</v>
      </c>
      <c r="AH61" s="181">
        <f t="shared" si="39"/>
        <v>0</v>
      </c>
      <c r="AI61" s="193"/>
      <c r="AJ61" s="90"/>
      <c r="AK61" s="90"/>
      <c r="AL61" s="183">
        <f t="shared" si="40"/>
        <v>0</v>
      </c>
      <c r="AM61" s="193"/>
      <c r="AN61" s="90"/>
      <c r="AO61" s="90"/>
      <c r="AP61" s="183">
        <f t="shared" si="23"/>
        <v>0</v>
      </c>
      <c r="AQ61" s="193"/>
      <c r="AR61" s="90"/>
      <c r="AS61" s="90"/>
      <c r="AT61" s="183">
        <f t="shared" si="24"/>
        <v>0</v>
      </c>
      <c r="AU61" s="193"/>
      <c r="AV61" s="90"/>
      <c r="AW61" s="90"/>
      <c r="AX61" s="183">
        <f t="shared" si="25"/>
        <v>0</v>
      </c>
      <c r="AY61" s="193"/>
      <c r="AZ61" s="90"/>
      <c r="BA61" s="90"/>
      <c r="BB61" s="183">
        <f t="shared" si="26"/>
        <v>0</v>
      </c>
      <c r="BC61" s="193"/>
      <c r="BD61" s="90"/>
      <c r="BE61" s="90"/>
      <c r="BF61" s="183">
        <f t="shared" si="27"/>
        <v>0</v>
      </c>
      <c r="BG61" s="193"/>
      <c r="BH61" s="90"/>
      <c r="BI61" s="90"/>
      <c r="BJ61" s="183">
        <f t="shared" si="28"/>
        <v>0</v>
      </c>
      <c r="BK61" s="193"/>
      <c r="BL61" s="90"/>
      <c r="BM61" s="90"/>
      <c r="BN61" s="183">
        <f t="shared" si="29"/>
        <v>0</v>
      </c>
      <c r="BO61" s="193"/>
      <c r="BP61" s="90"/>
      <c r="BQ61" s="90"/>
      <c r="BR61" s="183">
        <f t="shared" si="30"/>
        <v>0</v>
      </c>
      <c r="BS61" s="193"/>
      <c r="BT61" s="90"/>
      <c r="BU61" s="90"/>
      <c r="BV61" s="183">
        <f t="shared" si="31"/>
        <v>0</v>
      </c>
      <c r="BW61" s="193"/>
      <c r="BX61" s="90"/>
      <c r="BY61" s="90"/>
      <c r="BZ61" s="183">
        <f t="shared" si="32"/>
        <v>0</v>
      </c>
      <c r="CA61" s="193"/>
      <c r="CB61" s="90"/>
      <c r="CC61" s="90"/>
      <c r="CD61" s="183">
        <f t="shared" si="33"/>
        <v>0</v>
      </c>
    </row>
    <row r="62" spans="2:82" ht="15" thickBot="1" x14ac:dyDescent="0.35">
      <c r="B62" s="53"/>
      <c r="C62" s="53" t="str">
        <f t="shared" si="0"/>
        <v>CPU_Instalaçãoestruturam</v>
      </c>
      <c r="D62" s="278">
        <f t="shared" si="1"/>
        <v>1</v>
      </c>
      <c r="E62" s="278">
        <f t="shared" si="2"/>
        <v>0</v>
      </c>
      <c r="F62" s="1"/>
      <c r="G62" s="28" t="str">
        <f>IFERROR(VLOOKUP(F62,Tabela7[[RECURSO]:[CUSTO]],2,FALSE),"")</f>
        <v/>
      </c>
      <c r="I62" s="90">
        <f t="shared" si="41"/>
        <v>0</v>
      </c>
      <c r="J62" s="45">
        <f>IFERROR(VLOOKUP(F62,Tabela7[[RECURSO]:[CUSTO]],3,FALSE),0)</f>
        <v>0</v>
      </c>
      <c r="K62" s="45">
        <f t="shared" si="42"/>
        <v>0</v>
      </c>
      <c r="M62" s="86"/>
      <c r="N62" s="88"/>
      <c r="AD62" s="144" t="str">
        <f t="shared" si="3"/>
        <v>Instalação estrutura metalica</v>
      </c>
      <c r="AE62" s="194"/>
      <c r="AF62" s="195">
        <f t="shared" si="38"/>
        <v>0</v>
      </c>
      <c r="AG62" s="195">
        <f t="shared" si="17"/>
        <v>0</v>
      </c>
      <c r="AH62" s="196">
        <f t="shared" si="39"/>
        <v>0</v>
      </c>
      <c r="AI62" s="197"/>
      <c r="AJ62" s="198"/>
      <c r="AK62" s="198"/>
      <c r="AL62" s="199">
        <f t="shared" si="40"/>
        <v>0</v>
      </c>
      <c r="AM62" s="197"/>
      <c r="AN62" s="198"/>
      <c r="AO62" s="198"/>
      <c r="AP62" s="199">
        <f t="shared" si="23"/>
        <v>0</v>
      </c>
      <c r="AQ62" s="197"/>
      <c r="AR62" s="198"/>
      <c r="AS62" s="198"/>
      <c r="AT62" s="199">
        <f t="shared" si="24"/>
        <v>0</v>
      </c>
      <c r="AU62" s="197"/>
      <c r="AV62" s="198"/>
      <c r="AW62" s="198"/>
      <c r="AX62" s="199">
        <f t="shared" si="25"/>
        <v>0</v>
      </c>
      <c r="AY62" s="197"/>
      <c r="AZ62" s="198"/>
      <c r="BA62" s="198"/>
      <c r="BB62" s="199">
        <f t="shared" si="26"/>
        <v>0</v>
      </c>
      <c r="BC62" s="197"/>
      <c r="BD62" s="198"/>
      <c r="BE62" s="198"/>
      <c r="BF62" s="199">
        <f t="shared" si="27"/>
        <v>0</v>
      </c>
      <c r="BG62" s="197"/>
      <c r="BH62" s="198"/>
      <c r="BI62" s="198"/>
      <c r="BJ62" s="199">
        <f t="shared" si="28"/>
        <v>0</v>
      </c>
      <c r="BK62" s="197"/>
      <c r="BL62" s="198"/>
      <c r="BM62" s="198"/>
      <c r="BN62" s="199">
        <f t="shared" si="29"/>
        <v>0</v>
      </c>
      <c r="BO62" s="197"/>
      <c r="BP62" s="198"/>
      <c r="BQ62" s="198"/>
      <c r="BR62" s="199">
        <f t="shared" si="30"/>
        <v>0</v>
      </c>
      <c r="BS62" s="197"/>
      <c r="BT62" s="198"/>
      <c r="BU62" s="198"/>
      <c r="BV62" s="199">
        <f t="shared" si="31"/>
        <v>0</v>
      </c>
      <c r="BW62" s="197"/>
      <c r="BX62" s="198"/>
      <c r="BY62" s="198"/>
      <c r="BZ62" s="199">
        <f t="shared" si="32"/>
        <v>0</v>
      </c>
      <c r="CA62" s="197"/>
      <c r="CB62" s="198"/>
      <c r="CC62" s="198"/>
      <c r="CD62" s="199">
        <f t="shared" si="33"/>
        <v>0</v>
      </c>
    </row>
  </sheetData>
  <conditionalFormatting sqref="K6:K7">
    <cfRule type="iconSet" priority="14">
      <iconSet>
        <cfvo type="percent" val="0"/>
        <cfvo type="num" val="0"/>
        <cfvo type="num" val="0.02"/>
      </iconSet>
    </cfRule>
  </conditionalFormatting>
  <conditionalFormatting sqref="AH6:AH7">
    <cfRule type="iconSet" priority="13">
      <iconSet>
        <cfvo type="percent" val="0"/>
        <cfvo type="num" val="0"/>
        <cfvo type="num" val="0.02"/>
      </iconSet>
    </cfRule>
  </conditionalFormatting>
  <conditionalFormatting sqref="AL6:AL7">
    <cfRule type="iconSet" priority="12">
      <iconSet>
        <cfvo type="percent" val="0"/>
        <cfvo type="num" val="0"/>
        <cfvo type="num" val="0.02"/>
      </iconSet>
    </cfRule>
  </conditionalFormatting>
  <conditionalFormatting sqref="AP6:AP7">
    <cfRule type="iconSet" priority="11">
      <iconSet>
        <cfvo type="percent" val="0"/>
        <cfvo type="num" val="0"/>
        <cfvo type="num" val="0.02"/>
      </iconSet>
    </cfRule>
  </conditionalFormatting>
  <conditionalFormatting sqref="AT6:AT7">
    <cfRule type="iconSet" priority="10">
      <iconSet>
        <cfvo type="percent" val="0"/>
        <cfvo type="num" val="0"/>
        <cfvo type="num" val="0.02"/>
      </iconSet>
    </cfRule>
  </conditionalFormatting>
  <conditionalFormatting sqref="AX6:AX7">
    <cfRule type="iconSet" priority="9">
      <iconSet>
        <cfvo type="percent" val="0"/>
        <cfvo type="num" val="0"/>
        <cfvo type="num" val="0.02"/>
      </iconSet>
    </cfRule>
  </conditionalFormatting>
  <conditionalFormatting sqref="BB6:BB7">
    <cfRule type="iconSet" priority="8">
      <iconSet>
        <cfvo type="percent" val="0"/>
        <cfvo type="num" val="0"/>
        <cfvo type="num" val="0.02"/>
      </iconSet>
    </cfRule>
  </conditionalFormatting>
  <conditionalFormatting sqref="BF6:BF7">
    <cfRule type="iconSet" priority="7">
      <iconSet>
        <cfvo type="percent" val="0"/>
        <cfvo type="num" val="0"/>
        <cfvo type="num" val="0.02"/>
      </iconSet>
    </cfRule>
  </conditionalFormatting>
  <conditionalFormatting sqref="BJ6:BJ7">
    <cfRule type="iconSet" priority="6">
      <iconSet>
        <cfvo type="percent" val="0"/>
        <cfvo type="num" val="0"/>
        <cfvo type="num" val="0.02"/>
      </iconSet>
    </cfRule>
  </conditionalFormatting>
  <conditionalFormatting sqref="BN6:BN7">
    <cfRule type="iconSet" priority="5">
      <iconSet>
        <cfvo type="percent" val="0"/>
        <cfvo type="num" val="0"/>
        <cfvo type="num" val="0.02"/>
      </iconSet>
    </cfRule>
  </conditionalFormatting>
  <conditionalFormatting sqref="BR6:BR7">
    <cfRule type="iconSet" priority="4">
      <iconSet>
        <cfvo type="percent" val="0"/>
        <cfvo type="num" val="0"/>
        <cfvo type="num" val="0.02"/>
      </iconSet>
    </cfRule>
  </conditionalFormatting>
  <conditionalFormatting sqref="BV6:BV7">
    <cfRule type="iconSet" priority="3">
      <iconSet>
        <cfvo type="percent" val="0"/>
        <cfvo type="num" val="0"/>
        <cfvo type="num" val="0.02"/>
      </iconSet>
    </cfRule>
  </conditionalFormatting>
  <conditionalFormatting sqref="BZ6:BZ7">
    <cfRule type="iconSet" priority="2">
      <iconSet>
        <cfvo type="percent" val="0"/>
        <cfvo type="num" val="0"/>
        <cfvo type="num" val="0.02"/>
      </iconSet>
    </cfRule>
  </conditionalFormatting>
  <conditionalFormatting sqref="CD6:CD7">
    <cfRule type="iconSet" priority="1">
      <iconSet>
        <cfvo type="percent" val="0"/>
        <cfvo type="num" val="0"/>
        <cfvo type="num" val="0.02"/>
      </iconSet>
    </cfRule>
  </conditionalFormatting>
  <dataValidations count="5">
    <dataValidation type="list" allowBlank="1" showInputMessage="1" showErrorMessage="1" sqref="F51:F62" xr:uid="{192F6E6F-8E95-42EF-A01B-3EF35FB90F57}">
      <formula1>INDIRECT($B$50)</formula1>
    </dataValidation>
    <dataValidation type="list" allowBlank="1" showInputMessage="1" showErrorMessage="1" sqref="F38:F49" xr:uid="{5576EA02-1A4D-4D60-AD7D-4043C7426F6C}">
      <formula1>INDIRECT($B$37)</formula1>
    </dataValidation>
    <dataValidation type="list" allowBlank="1" showInputMessage="1" showErrorMessage="1" sqref="F25:F36" xr:uid="{A247480F-5DE3-41AE-9395-808134FDFCE4}">
      <formula1>INDIRECT($B$24)</formula1>
    </dataValidation>
    <dataValidation type="list" allowBlank="1" showInputMessage="1" showErrorMessage="1" sqref="F12:F23" xr:uid="{0B431004-C255-466E-B6CC-7CA3CD3E270F}">
      <formula1>INDIRECT($B$11)</formula1>
    </dataValidation>
    <dataValidation type="list" allowBlank="1" showInputMessage="1" showErrorMessage="1" sqref="B3:E3" xr:uid="{1460B1D5-C165-4A41-86BC-278246D8A3FB}">
      <formula1>INDIRECT($B$2)</formula1>
    </dataValidation>
  </dataValidations>
  <pageMargins left="0.51181102362204722" right="0.51181102362204722" top="0.19685039370078741" bottom="0.19685039370078741" header="0.31496062992125984" footer="0.31496062992125984"/>
  <pageSetup paperSize="9" scale="82" orientation="portrait" r:id="rId1"/>
  <colBreaks count="1" manualBreakCount="1">
    <brk id="11" max="1048575" man="1"/>
  </colBreaks>
  <drawing r:id="rId2"/>
  <legacyDrawing r:id="rId3"/>
  <tableParts count="2"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3C3F-B429-4686-B2CF-36B0E6FF232C}">
  <sheetPr codeName="Plan33"/>
  <dimension ref="A1:CD62"/>
  <sheetViews>
    <sheetView showGridLines="0" zoomScaleNormal="100" workbookViewId="0">
      <pane xSplit="14" ySplit="10" topLeftCell="Q43" activePane="bottomRight" state="frozen"/>
      <selection pane="topRight" activeCell="C28" activeCellId="1" sqref="E13 C28"/>
      <selection pane="bottomLeft" activeCell="C28" activeCellId="1" sqref="E13 C28"/>
      <selection pane="bottomRight" activeCell="S51" sqref="S51:U51"/>
    </sheetView>
  </sheetViews>
  <sheetFormatPr defaultRowHeight="14.4" x14ac:dyDescent="0.3"/>
  <cols>
    <col min="1" max="1" width="4.109375" customWidth="1"/>
    <col min="2" max="2" width="16.109375" customWidth="1"/>
    <col min="3" max="5" width="16.109375" hidden="1" customWidth="1"/>
    <col min="6" max="6" width="40.6640625" customWidth="1"/>
    <col min="7" max="7" width="10.6640625" style="28" customWidth="1"/>
    <col min="8" max="8" width="7.6640625" style="28" customWidth="1"/>
    <col min="9" max="11" width="10.6640625" customWidth="1"/>
    <col min="12" max="12" width="2.33203125" customWidth="1"/>
    <col min="13" max="14" width="12.6640625" customWidth="1"/>
    <col min="15" max="15" width="14" bestFit="1" customWidth="1"/>
    <col min="30" max="30" width="12.44140625" bestFit="1" customWidth="1"/>
    <col min="31" max="31" width="7.6640625" customWidth="1"/>
    <col min="32" max="32" width="9.33203125" bestFit="1" customWidth="1"/>
    <col min="33" max="34" width="10.6640625" customWidth="1"/>
    <col min="35" max="35" width="7.6640625" customWidth="1"/>
    <col min="36" max="36" width="9.33203125" customWidth="1"/>
    <col min="37" max="38" width="10.6640625" customWidth="1"/>
    <col min="40" max="40" width="9.33203125" customWidth="1"/>
    <col min="42" max="42" width="9.6640625" customWidth="1"/>
    <col min="44" max="44" width="9.33203125" customWidth="1"/>
    <col min="46" max="46" width="9.6640625" customWidth="1"/>
    <col min="48" max="48" width="9.33203125" customWidth="1"/>
    <col min="50" max="50" width="9.6640625" customWidth="1"/>
    <col min="52" max="52" width="9.33203125" customWidth="1"/>
    <col min="54" max="54" width="9.6640625" customWidth="1"/>
    <col min="56" max="56" width="9.33203125" customWidth="1"/>
    <col min="58" max="58" width="9.6640625" customWidth="1"/>
    <col min="60" max="60" width="9.33203125" customWidth="1"/>
    <col min="62" max="62" width="9.6640625" customWidth="1"/>
    <col min="64" max="64" width="9.33203125" customWidth="1"/>
    <col min="66" max="66" width="9.6640625" customWidth="1"/>
    <col min="68" max="68" width="9.33203125" customWidth="1"/>
    <col min="70" max="70" width="9.6640625" customWidth="1"/>
    <col min="72" max="72" width="10" customWidth="1"/>
    <col min="73" max="73" width="9.5546875" customWidth="1"/>
    <col min="74" max="74" width="10.44140625" customWidth="1"/>
    <col min="76" max="76" width="10" customWidth="1"/>
    <col min="77" max="77" width="9.5546875" customWidth="1"/>
    <col min="78" max="78" width="10.44140625" customWidth="1"/>
    <col min="80" max="80" width="10" customWidth="1"/>
    <col min="81" max="81" width="9.5546875" customWidth="1"/>
    <col min="82" max="82" width="10.44140625" customWidth="1"/>
  </cols>
  <sheetData>
    <row r="1" spans="1:82" ht="26.4" customHeight="1" thickBot="1" x14ac:dyDescent="0.35">
      <c r="AE1" s="163" t="s">
        <v>678</v>
      </c>
    </row>
    <row r="2" spans="1:82" x14ac:dyDescent="0.3">
      <c r="B2" s="64" t="s">
        <v>679</v>
      </c>
      <c r="C2" s="67"/>
      <c r="D2" s="67"/>
      <c r="E2" s="67"/>
      <c r="F2" s="65"/>
      <c r="G2" s="66"/>
      <c r="H2" s="66"/>
      <c r="I2" s="65"/>
      <c r="J2" s="67" t="s">
        <v>680</v>
      </c>
      <c r="K2" s="68" t="s">
        <v>681</v>
      </c>
      <c r="M2" s="227" t="s">
        <v>682</v>
      </c>
      <c r="N2" s="228" t="s">
        <v>683</v>
      </c>
      <c r="O2" s="234" t="s">
        <v>684</v>
      </c>
      <c r="AE2" s="164" t="s">
        <v>590</v>
      </c>
      <c r="AF2" s="165" t="s">
        <v>20</v>
      </c>
      <c r="AG2" s="67"/>
      <c r="AH2" s="68" t="s">
        <v>681</v>
      </c>
      <c r="AI2" s="166">
        <v>44927</v>
      </c>
      <c r="AJ2" s="165" t="s">
        <v>20</v>
      </c>
      <c r="AK2" s="67"/>
      <c r="AL2" s="68" t="s">
        <v>681</v>
      </c>
      <c r="AM2" s="166">
        <v>44958</v>
      </c>
      <c r="AN2" s="165" t="s">
        <v>20</v>
      </c>
      <c r="AO2" s="67"/>
      <c r="AP2" s="68" t="s">
        <v>681</v>
      </c>
      <c r="AQ2" s="166">
        <v>44986</v>
      </c>
      <c r="AR2" s="165" t="s">
        <v>20</v>
      </c>
      <c r="AS2" s="67"/>
      <c r="AT2" s="68" t="s">
        <v>681</v>
      </c>
      <c r="AU2" s="166">
        <v>45017</v>
      </c>
      <c r="AV2" s="165" t="s">
        <v>20</v>
      </c>
      <c r="AW2" s="67"/>
      <c r="AX2" s="68" t="s">
        <v>681</v>
      </c>
      <c r="AY2" s="166">
        <v>45047</v>
      </c>
      <c r="AZ2" s="165" t="s">
        <v>20</v>
      </c>
      <c r="BA2" s="67"/>
      <c r="BB2" s="68" t="s">
        <v>681</v>
      </c>
      <c r="BC2" s="166">
        <v>45078</v>
      </c>
      <c r="BD2" s="165" t="s">
        <v>20</v>
      </c>
      <c r="BE2" s="67"/>
      <c r="BF2" s="68" t="s">
        <v>681</v>
      </c>
      <c r="BG2" s="166">
        <v>45108</v>
      </c>
      <c r="BH2" s="165" t="s">
        <v>20</v>
      </c>
      <c r="BI2" s="67"/>
      <c r="BJ2" s="68" t="s">
        <v>681</v>
      </c>
      <c r="BK2" s="166">
        <v>45139</v>
      </c>
      <c r="BL2" s="165" t="s">
        <v>20</v>
      </c>
      <c r="BM2" s="67"/>
      <c r="BN2" s="68" t="s">
        <v>681</v>
      </c>
      <c r="BO2" s="166">
        <v>45170</v>
      </c>
      <c r="BP2" s="165" t="s">
        <v>20</v>
      </c>
      <c r="BQ2" s="67"/>
      <c r="BR2" s="68" t="s">
        <v>681</v>
      </c>
      <c r="BS2" s="166">
        <v>45200</v>
      </c>
      <c r="BT2" s="165" t="s">
        <v>20</v>
      </c>
      <c r="BU2" s="67"/>
      <c r="BV2" s="68" t="s">
        <v>681</v>
      </c>
      <c r="BW2" s="166">
        <v>45231</v>
      </c>
      <c r="BX2" s="165" t="s">
        <v>20</v>
      </c>
      <c r="BY2" s="67"/>
      <c r="BZ2" s="68" t="s">
        <v>681</v>
      </c>
      <c r="CA2" s="166">
        <v>45261</v>
      </c>
      <c r="CB2" s="165" t="s">
        <v>20</v>
      </c>
      <c r="CC2" s="67"/>
      <c r="CD2" s="68" t="s">
        <v>681</v>
      </c>
    </row>
    <row r="3" spans="1:82" x14ac:dyDescent="0.3">
      <c r="A3" s="42" t="str">
        <f>"CPU_"&amp;LEFT(SUBSTITUTE(SUBSTITUTE(B3," ",""),"-",""),20)</f>
        <v>CPU_Fundaçãoestruturamet</v>
      </c>
      <c r="B3" s="31" t="s">
        <v>768</v>
      </c>
      <c r="C3" s="1"/>
      <c r="D3" s="1"/>
      <c r="E3" s="1"/>
      <c r="F3" s="73"/>
      <c r="G3" s="74"/>
      <c r="H3" s="74"/>
      <c r="I3" s="73"/>
      <c r="J3" s="74" t="str">
        <f>IFERROR(VLOOKUP(B3,Tabela1[[NOME SERVIÇO]:[UNID]],4,0),"")</f>
        <v>UNID</v>
      </c>
      <c r="K3" s="75">
        <f>IFERROR(J6/B6,0)</f>
        <v>17451.83396875608</v>
      </c>
      <c r="M3" s="229" t="s">
        <v>685</v>
      </c>
      <c r="N3" s="230">
        <f>K11</f>
        <v>0</v>
      </c>
      <c r="O3" s="235">
        <f>IFERROR(N3/$N$7,0)</f>
        <v>0</v>
      </c>
      <c r="AE3" s="167"/>
      <c r="AF3" s="168">
        <f>AJ3+AN3+AR3+AV3+AZ3+BD3+BH3+BL3+BP3+BT3+BX3+CB3</f>
        <v>0</v>
      </c>
      <c r="AG3" s="74"/>
      <c r="AH3" s="75">
        <f>IFERROR((AG6/AF3),0)</f>
        <v>0</v>
      </c>
      <c r="AI3" s="167"/>
      <c r="AJ3" s="168">
        <f>IFERROR(SUMPRODUCT(Plan_Orc!$I$4:$I$2002*Plan_Orc!$AB$4:$AB$2002*(Plan_Orc!$D$4:$D$2002=$B3)),0)</f>
        <v>0</v>
      </c>
      <c r="AK3" s="74"/>
      <c r="AL3" s="75">
        <f>IFERROR((AK6/AJ3),0)</f>
        <v>0</v>
      </c>
      <c r="AM3" s="167"/>
      <c r="AN3" s="168">
        <f>IFERROR(SUMPRODUCT(Plan_Orc!$I$4:$I$2002*Plan_Orc!$AC$4:$AC$2002*(Plan_Orc!$D$4:$D$2002=$B3)),0)</f>
        <v>0</v>
      </c>
      <c r="AO3" s="74"/>
      <c r="AP3" s="75">
        <f>IFERROR((AO6/AN3),0)</f>
        <v>0</v>
      </c>
      <c r="AQ3" s="167"/>
      <c r="AR3" s="168">
        <f>IFERROR(SUMPRODUCT(Plan_Orc!$I$4:$I$2002*Plan_Orc!$AD$4:$AD$2002*(Plan_Orc!$D$4:$D$2002=$B3)),0)</f>
        <v>0</v>
      </c>
      <c r="AS3" s="74"/>
      <c r="AT3" s="75">
        <f>IFERROR((AS6/AR3),0)</f>
        <v>0</v>
      </c>
      <c r="AU3" s="167"/>
      <c r="AV3" s="168">
        <f>IFERROR(SUMPRODUCT(Plan_Orc!$I$4:$I$2002*Plan_Orc!$AE$4:$AE$2002*(Plan_Orc!$D$4:$D$2002=$B3)),0)</f>
        <v>0</v>
      </c>
      <c r="AW3" s="74"/>
      <c r="AX3" s="75">
        <f>IFERROR((AW6/AV3),0)</f>
        <v>0</v>
      </c>
      <c r="AY3" s="167"/>
      <c r="AZ3" s="168">
        <f>IFERROR(SUMPRODUCT(Plan_Orc!$I$4:$I$2002*Plan_Orc!$AF$4:$AF$2002*(Plan_Orc!$D$4:$D$2002=$B3)),0)</f>
        <v>0</v>
      </c>
      <c r="BA3" s="74"/>
      <c r="BB3" s="75">
        <f>IFERROR((BA6/AZ3),0)</f>
        <v>0</v>
      </c>
      <c r="BC3" s="167"/>
      <c r="BD3" s="168">
        <f>IFERROR(SUMPRODUCT(Plan_Orc!$I$4:$I$2002*Plan_Orc!$AG$4:$AG$2002*(Plan_Orc!$D$4:$D$2002=$B3)),0)</f>
        <v>0</v>
      </c>
      <c r="BE3" s="74"/>
      <c r="BF3" s="75">
        <f>IFERROR((BE6/BD3),0)</f>
        <v>0</v>
      </c>
      <c r="BG3" s="167"/>
      <c r="BH3" s="168">
        <f>IFERROR(SUMPRODUCT(Plan_Orc!$I$4:$I$2002*Plan_Orc!$AH$4:$AH$2002*(Plan_Orc!$D$4:$D$2002=$B3)),0)</f>
        <v>0</v>
      </c>
      <c r="BI3" s="74"/>
      <c r="BJ3" s="75">
        <f>IFERROR((BI6/BH3),0)</f>
        <v>0</v>
      </c>
      <c r="BK3" s="167"/>
      <c r="BL3" s="168">
        <f>IFERROR(SUMPRODUCT(Plan_Orc!$I$4:$I$2002*Plan_Orc!$AI$4:$AI$2002*(Plan_Orc!$D$4:$D$2002=$B3)),0)</f>
        <v>0</v>
      </c>
      <c r="BM3" s="74"/>
      <c r="BN3" s="75">
        <f>IFERROR((BM6/BL3),0)</f>
        <v>0</v>
      </c>
      <c r="BO3" s="167"/>
      <c r="BP3" s="168">
        <f>IFERROR(SUMPRODUCT(Plan_Orc!$I$4:$I$2002*Plan_Orc!$AJ$4:$AJ$2002*(Plan_Orc!$D$4:$D$2002=$B3)),0)</f>
        <v>0</v>
      </c>
      <c r="BQ3" s="74"/>
      <c r="BR3" s="75">
        <f>IFERROR((BQ6/BP3),0)</f>
        <v>0</v>
      </c>
      <c r="BS3" s="167"/>
      <c r="BT3" s="168">
        <f>IFERROR(SUMPRODUCT(Plan_Orc!$I$4:$I$2002*Plan_Orc!$AK$4:$AK$2002*(Plan_Orc!$D$4:$D$2002=$B3)),0)</f>
        <v>0</v>
      </c>
      <c r="BU3" s="74"/>
      <c r="BV3" s="75">
        <f>IFERROR((BU6/BT3),0)</f>
        <v>0</v>
      </c>
      <c r="BW3" s="167"/>
      <c r="BX3" s="168">
        <f>IFERROR(SUMPRODUCT(Plan_Orc!$I$4:$I$2002*Plan_Orc!$AL$4:$AL$2002*(Plan_Orc!$D$4:$D$2002=$B3)),0)</f>
        <v>0</v>
      </c>
      <c r="BY3" s="74"/>
      <c r="BZ3" s="75">
        <f>IFERROR((BY6/BX3),0)</f>
        <v>0</v>
      </c>
      <c r="CA3" s="167"/>
      <c r="CB3" s="168">
        <f>IFERROR(SUMPRODUCT(Plan_Orc!$I$4:$I$2002*Plan_Orc!$AM$4:$AM$2002*(Plan_Orc!$D$4:$D$2002=$B3)),0)</f>
        <v>0</v>
      </c>
      <c r="CC3" s="74"/>
      <c r="CD3" s="75">
        <f>IFERROR((CC6/CB3),0)</f>
        <v>0</v>
      </c>
    </row>
    <row r="4" spans="1:82" x14ac:dyDescent="0.3">
      <c r="B4" s="32"/>
      <c r="K4" s="30"/>
      <c r="M4" s="229" t="s">
        <v>686</v>
      </c>
      <c r="N4" s="230">
        <f>+K24</f>
        <v>0</v>
      </c>
      <c r="O4" s="235">
        <f>IFERROR(N4/$N$7,0)</f>
        <v>0</v>
      </c>
      <c r="AE4" s="169"/>
      <c r="AH4" s="30"/>
      <c r="AI4" s="169"/>
      <c r="AL4" s="30"/>
      <c r="AM4" s="169"/>
      <c r="AP4" s="30"/>
      <c r="AQ4" s="169"/>
      <c r="AT4" s="30"/>
      <c r="AU4" s="169"/>
      <c r="AX4" s="30"/>
      <c r="AY4" s="169"/>
      <c r="BB4" s="30"/>
      <c r="BC4" s="169"/>
      <c r="BF4" s="30"/>
      <c r="BG4" s="169"/>
      <c r="BJ4" s="30"/>
      <c r="BK4" s="169"/>
      <c r="BN4" s="30"/>
      <c r="BO4" s="169"/>
      <c r="BR4" s="30"/>
      <c r="BS4" s="169"/>
      <c r="BV4" s="30"/>
      <c r="BW4" s="169"/>
      <c r="BZ4" s="30"/>
      <c r="CA4" s="169"/>
      <c r="CD4" s="30"/>
    </row>
    <row r="5" spans="1:82" x14ac:dyDescent="0.3">
      <c r="B5" s="69" t="s">
        <v>687</v>
      </c>
      <c r="C5" s="72"/>
      <c r="D5" s="72"/>
      <c r="E5" s="72"/>
      <c r="F5" s="70" t="s">
        <v>688</v>
      </c>
      <c r="G5" s="70" t="s">
        <v>689</v>
      </c>
      <c r="H5" s="70" t="s">
        <v>690</v>
      </c>
      <c r="I5" s="70" t="s">
        <v>691</v>
      </c>
      <c r="J5" s="70" t="s">
        <v>683</v>
      </c>
      <c r="K5" s="71" t="s">
        <v>593</v>
      </c>
      <c r="M5" s="229" t="s">
        <v>692</v>
      </c>
      <c r="N5" s="230">
        <f>+K37</f>
        <v>3490.3667937512159</v>
      </c>
      <c r="O5" s="235">
        <f>IFERROR(N5/$N$7,0)</f>
        <v>1</v>
      </c>
      <c r="AE5" s="170"/>
      <c r="AF5" s="70" t="s">
        <v>691</v>
      </c>
      <c r="AG5" s="70" t="s">
        <v>683</v>
      </c>
      <c r="AH5" s="71" t="s">
        <v>593</v>
      </c>
      <c r="AI5" s="170"/>
      <c r="AJ5" s="70" t="s">
        <v>691</v>
      </c>
      <c r="AK5" s="70" t="s">
        <v>683</v>
      </c>
      <c r="AL5" s="71" t="s">
        <v>593</v>
      </c>
      <c r="AM5" s="170"/>
      <c r="AN5" s="70" t="s">
        <v>691</v>
      </c>
      <c r="AO5" s="70" t="s">
        <v>683</v>
      </c>
      <c r="AP5" s="71" t="s">
        <v>593</v>
      </c>
      <c r="AQ5" s="170"/>
      <c r="AR5" s="70" t="s">
        <v>691</v>
      </c>
      <c r="AS5" s="70" t="s">
        <v>683</v>
      </c>
      <c r="AT5" s="71" t="s">
        <v>593</v>
      </c>
      <c r="AU5" s="170"/>
      <c r="AV5" s="70" t="s">
        <v>691</v>
      </c>
      <c r="AW5" s="70" t="s">
        <v>683</v>
      </c>
      <c r="AX5" s="71" t="s">
        <v>593</v>
      </c>
      <c r="AY5" s="170"/>
      <c r="AZ5" s="70" t="s">
        <v>691</v>
      </c>
      <c r="BA5" s="70" t="s">
        <v>683</v>
      </c>
      <c r="BB5" s="71" t="s">
        <v>593</v>
      </c>
      <c r="BC5" s="170"/>
      <c r="BD5" s="70" t="s">
        <v>691</v>
      </c>
      <c r="BE5" s="70" t="s">
        <v>683</v>
      </c>
      <c r="BF5" s="71" t="s">
        <v>593</v>
      </c>
      <c r="BG5" s="170"/>
      <c r="BH5" s="70" t="s">
        <v>691</v>
      </c>
      <c r="BI5" s="70" t="s">
        <v>683</v>
      </c>
      <c r="BJ5" s="71" t="s">
        <v>593</v>
      </c>
      <c r="BK5" s="170"/>
      <c r="BL5" s="70" t="s">
        <v>691</v>
      </c>
      <c r="BM5" s="70" t="s">
        <v>683</v>
      </c>
      <c r="BN5" s="71" t="s">
        <v>593</v>
      </c>
      <c r="BO5" s="170"/>
      <c r="BP5" s="70" t="s">
        <v>691</v>
      </c>
      <c r="BQ5" s="70" t="s">
        <v>683</v>
      </c>
      <c r="BR5" s="71" t="s">
        <v>593</v>
      </c>
      <c r="BS5" s="170"/>
      <c r="BT5" s="70" t="s">
        <v>691</v>
      </c>
      <c r="BU5" s="70" t="s">
        <v>683</v>
      </c>
      <c r="BV5" s="71" t="s">
        <v>593</v>
      </c>
      <c r="BW5" s="170"/>
      <c r="BX5" s="70" t="s">
        <v>691</v>
      </c>
      <c r="BY5" s="70" t="s">
        <v>683</v>
      </c>
      <c r="BZ5" s="71" t="s">
        <v>593</v>
      </c>
      <c r="CA5" s="170"/>
      <c r="CB5" s="70" t="s">
        <v>691</v>
      </c>
      <c r="CC5" s="70" t="s">
        <v>683</v>
      </c>
      <c r="CD5" s="71" t="s">
        <v>593</v>
      </c>
    </row>
    <row r="6" spans="1:82" s="2" customFormat="1" ht="30" customHeight="1" x14ac:dyDescent="0.3">
      <c r="B6" s="33">
        <f>1/5</f>
        <v>0.2</v>
      </c>
      <c r="C6" s="275"/>
      <c r="D6" s="275"/>
      <c r="E6" s="275"/>
      <c r="F6" s="27"/>
      <c r="G6" s="35">
        <v>1</v>
      </c>
      <c r="H6" s="81" t="s">
        <v>347</v>
      </c>
      <c r="I6" s="55">
        <f>IFERROR(I7/B7*B6,0)</f>
        <v>0</v>
      </c>
      <c r="J6" s="55">
        <f>K11+K24+K37+K50</f>
        <v>3490.3667937512159</v>
      </c>
      <c r="K6" s="56">
        <f>IFERROR((I6-J6)/I6-PARAMETROS!C19,0)</f>
        <v>0</v>
      </c>
      <c r="M6" s="229" t="s">
        <v>693</v>
      </c>
      <c r="N6" s="230">
        <f>+K50</f>
        <v>0</v>
      </c>
      <c r="O6" s="235">
        <f>IFERROR(N6/$N$7,0)</f>
        <v>0</v>
      </c>
      <c r="AE6" s="171"/>
      <c r="AF6" s="55">
        <f>AJ6+AN6+AR6+AV6+AZ6+BD6+BH6+BL6+BP6+BT6+BX6+CB6</f>
        <v>0</v>
      </c>
      <c r="AG6" s="55">
        <f>AH11+AH24+AH37+AH50</f>
        <v>0</v>
      </c>
      <c r="AH6" s="56">
        <f>IFERROR((AF6-AG6)/AF6,0)</f>
        <v>0</v>
      </c>
      <c r="AI6" s="171"/>
      <c r="AJ6" s="55"/>
      <c r="AK6" s="55">
        <f>AL11+AL24+AL37+AL50</f>
        <v>0</v>
      </c>
      <c r="AL6" s="56">
        <f>IFERROR((AJ6-AK6)/AJ6,0)</f>
        <v>0</v>
      </c>
      <c r="AM6" s="171"/>
      <c r="AN6" s="55"/>
      <c r="AO6" s="55">
        <f>AP11+AP24+AP37+AP50</f>
        <v>0</v>
      </c>
      <c r="AP6" s="56">
        <f>IFERROR((AN6-AO6)/AN6,0)</f>
        <v>0</v>
      </c>
      <c r="AQ6" s="171"/>
      <c r="AR6" s="55"/>
      <c r="AS6" s="55">
        <f>AT11+AT24+AT37+AT50</f>
        <v>0</v>
      </c>
      <c r="AT6" s="56">
        <f>IFERROR((AR6-AS6)/AR6,0)</f>
        <v>0</v>
      </c>
      <c r="AU6" s="171"/>
      <c r="AV6" s="55"/>
      <c r="AW6" s="55">
        <f>AX11+AX24+AX37+AX50</f>
        <v>0</v>
      </c>
      <c r="AX6" s="56">
        <f>IFERROR((AV6-AW6)/AV6,0)</f>
        <v>0</v>
      </c>
      <c r="AY6" s="171"/>
      <c r="AZ6" s="55"/>
      <c r="BA6" s="55">
        <f>BB11+BB24+BB37+BB50</f>
        <v>0</v>
      </c>
      <c r="BB6" s="56">
        <f>IFERROR((AZ6-BA6)/AZ6,0)</f>
        <v>0</v>
      </c>
      <c r="BC6" s="171"/>
      <c r="BD6" s="55"/>
      <c r="BE6" s="55">
        <f>BF11+BF24+BF37+BF50</f>
        <v>0</v>
      </c>
      <c r="BF6" s="56">
        <f>IFERROR((BD6-BE6)/BD6,0)</f>
        <v>0</v>
      </c>
      <c r="BG6" s="171"/>
      <c r="BH6" s="55"/>
      <c r="BI6" s="55">
        <f>BJ11+BJ24+BJ37+BJ50</f>
        <v>0</v>
      </c>
      <c r="BJ6" s="56">
        <f>IFERROR((BH6-BI6)/BH6,0)</f>
        <v>0</v>
      </c>
      <c r="BK6" s="171"/>
      <c r="BL6" s="55"/>
      <c r="BM6" s="55">
        <f>BN11+BN24+BN37+BN50</f>
        <v>0</v>
      </c>
      <c r="BN6" s="56">
        <f>IFERROR((BL6-BM6)/BL6,0)</f>
        <v>0</v>
      </c>
      <c r="BO6" s="171"/>
      <c r="BP6" s="55"/>
      <c r="BQ6" s="55">
        <f>BR11+BR24+BR37+BR50</f>
        <v>0</v>
      </c>
      <c r="BR6" s="56">
        <f>IFERROR((BP6-BQ6)/BP6,0)</f>
        <v>0</v>
      </c>
      <c r="BS6" s="171"/>
      <c r="BT6" s="55"/>
      <c r="BU6" s="55">
        <f>BV11+BV24+BV37+BV50</f>
        <v>0</v>
      </c>
      <c r="BV6" s="56">
        <f>IFERROR((BT6-BU6)/BT6,0)</f>
        <v>0</v>
      </c>
      <c r="BW6" s="171"/>
      <c r="BX6" s="55"/>
      <c r="BY6" s="55">
        <f>BZ11+BZ24+BZ37+BZ50</f>
        <v>0</v>
      </c>
      <c r="BZ6" s="56">
        <f>IFERROR((BX6-BY6)/BX6,0)</f>
        <v>0</v>
      </c>
      <c r="CA6" s="171"/>
      <c r="CB6" s="55"/>
      <c r="CC6" s="55">
        <f>CD11+CD24+CD37+CD50</f>
        <v>0</v>
      </c>
      <c r="CD6" s="56">
        <f>IFERROR((CB6-CC6)/CB6,0)</f>
        <v>0</v>
      </c>
    </row>
    <row r="7" spans="1:82" s="2" customFormat="1" ht="30" customHeight="1" thickBot="1" x14ac:dyDescent="0.35">
      <c r="B7" s="34">
        <f>IFERROR(VLOOKUP(B3,Lucratividade!G4:N853,2,0),0)</f>
        <v>0</v>
      </c>
      <c r="C7" s="276"/>
      <c r="D7" s="276"/>
      <c r="E7" s="276"/>
      <c r="F7" s="50"/>
      <c r="G7" s="36">
        <f>IFERROR(B7/B6,0)</f>
        <v>0</v>
      </c>
      <c r="H7" s="82" t="s">
        <v>347</v>
      </c>
      <c r="I7" s="57">
        <f>IFERROR(VLOOKUP(B3,Lucratividade!G4:N132,6,0),0)</f>
        <v>0</v>
      </c>
      <c r="J7" s="58">
        <f>B7*K3</f>
        <v>0</v>
      </c>
      <c r="K7" s="59">
        <f>IFERROR((I7-J7)/I7-PARAMETROS!C19,0)</f>
        <v>0</v>
      </c>
      <c r="M7" s="231" t="s">
        <v>694</v>
      </c>
      <c r="N7" s="232">
        <f>SUM(N3:N6)</f>
        <v>3490.3667937512159</v>
      </c>
      <c r="O7" s="236"/>
      <c r="AE7" s="172"/>
      <c r="AF7" s="57"/>
      <c r="AG7" s="58"/>
      <c r="AH7" s="59"/>
      <c r="AI7" s="172"/>
      <c r="AJ7" s="57"/>
      <c r="AK7" s="58"/>
      <c r="AL7" s="59"/>
      <c r="AM7" s="172"/>
      <c r="AN7" s="57"/>
      <c r="AO7" s="58"/>
      <c r="AP7" s="59"/>
      <c r="AQ7" s="172"/>
      <c r="AR7" s="57"/>
      <c r="AS7" s="58"/>
      <c r="AT7" s="59"/>
      <c r="AU7" s="172"/>
      <c r="AV7" s="57"/>
      <c r="AW7" s="58"/>
      <c r="AX7" s="59"/>
      <c r="AY7" s="172"/>
      <c r="AZ7" s="57"/>
      <c r="BA7" s="58"/>
      <c r="BB7" s="59"/>
      <c r="BC7" s="172"/>
      <c r="BD7" s="57"/>
      <c r="BE7" s="58"/>
      <c r="BF7" s="59"/>
      <c r="BG7" s="172"/>
      <c r="BH7" s="57"/>
      <c r="BI7" s="58"/>
      <c r="BJ7" s="59"/>
      <c r="BK7" s="172"/>
      <c r="BL7" s="57"/>
      <c r="BM7" s="58"/>
      <c r="BN7" s="59"/>
      <c r="BO7" s="172"/>
      <c r="BP7" s="57"/>
      <c r="BQ7" s="58"/>
      <c r="BR7" s="59"/>
      <c r="BS7" s="172"/>
      <c r="BT7" s="57"/>
      <c r="BU7" s="58"/>
      <c r="BV7" s="59"/>
      <c r="BW7" s="172"/>
      <c r="BX7" s="57"/>
      <c r="BY7" s="58"/>
      <c r="BZ7" s="59"/>
      <c r="CA7" s="172"/>
      <c r="CB7" s="57"/>
      <c r="CC7" s="58"/>
      <c r="CD7" s="59"/>
    </row>
    <row r="8" spans="1:82" ht="4.2" customHeight="1" x14ac:dyDescent="0.3">
      <c r="AE8" s="28"/>
      <c r="AI8" s="28"/>
      <c r="AM8" s="28"/>
      <c r="AQ8" s="28"/>
      <c r="AU8" s="28"/>
      <c r="AY8" s="28"/>
      <c r="BC8" s="28"/>
      <c r="BG8" s="28"/>
      <c r="BK8" s="28"/>
      <c r="BO8" s="28"/>
      <c r="BS8" s="28"/>
      <c r="BW8" s="28"/>
      <c r="CA8" s="28"/>
    </row>
    <row r="9" spans="1:82" ht="4.95" customHeight="1" thickBot="1" x14ac:dyDescent="0.35">
      <c r="AE9" s="28"/>
      <c r="AI9" s="28"/>
      <c r="AM9" s="28"/>
      <c r="AQ9" s="28"/>
      <c r="AU9" s="28"/>
      <c r="AY9" s="28"/>
      <c r="BC9" s="28"/>
      <c r="BG9" s="28"/>
      <c r="BK9" s="28"/>
      <c r="BO9" s="28"/>
      <c r="BS9" s="28"/>
      <c r="BW9" s="28"/>
      <c r="CA9" s="28"/>
    </row>
    <row r="10" spans="1:82" ht="15" thickBot="1" x14ac:dyDescent="0.35">
      <c r="B10" s="72" t="s">
        <v>695</v>
      </c>
      <c r="C10" s="72" t="s">
        <v>679</v>
      </c>
      <c r="D10" s="72" t="s">
        <v>696</v>
      </c>
      <c r="E10" s="72" t="s">
        <v>697</v>
      </c>
      <c r="F10" s="72" t="s">
        <v>17</v>
      </c>
      <c r="G10" s="70" t="s">
        <v>690</v>
      </c>
      <c r="H10" s="70" t="s">
        <v>698</v>
      </c>
      <c r="I10" s="72" t="s">
        <v>20</v>
      </c>
      <c r="J10" s="72" t="s">
        <v>699</v>
      </c>
      <c r="K10" s="72" t="s">
        <v>700</v>
      </c>
      <c r="M10" s="83" t="s">
        <v>701</v>
      </c>
      <c r="N10" s="87" t="s">
        <v>702</v>
      </c>
      <c r="AD10" s="173" t="s">
        <v>703</v>
      </c>
      <c r="AE10" s="170" t="s">
        <v>698</v>
      </c>
      <c r="AF10" s="70" t="s">
        <v>20</v>
      </c>
      <c r="AG10" s="70" t="s">
        <v>699</v>
      </c>
      <c r="AH10" s="70" t="s">
        <v>700</v>
      </c>
      <c r="AI10" s="173" t="s">
        <v>704</v>
      </c>
      <c r="AJ10" s="174" t="s">
        <v>705</v>
      </c>
      <c r="AK10" s="174" t="s">
        <v>706</v>
      </c>
      <c r="AL10" s="175" t="s">
        <v>707</v>
      </c>
      <c r="AM10" s="173" t="s">
        <v>708</v>
      </c>
      <c r="AN10" s="174" t="s">
        <v>709</v>
      </c>
      <c r="AO10" s="174" t="s">
        <v>710</v>
      </c>
      <c r="AP10" s="175" t="s">
        <v>711</v>
      </c>
      <c r="AQ10" s="173" t="s">
        <v>712</v>
      </c>
      <c r="AR10" s="174" t="s">
        <v>713</v>
      </c>
      <c r="AS10" s="174" t="s">
        <v>714</v>
      </c>
      <c r="AT10" s="175" t="s">
        <v>715</v>
      </c>
      <c r="AU10" s="173" t="s">
        <v>716</v>
      </c>
      <c r="AV10" s="174" t="s">
        <v>717</v>
      </c>
      <c r="AW10" s="174" t="s">
        <v>718</v>
      </c>
      <c r="AX10" s="175" t="s">
        <v>719</v>
      </c>
      <c r="AY10" s="173" t="s">
        <v>720</v>
      </c>
      <c r="AZ10" s="174" t="s">
        <v>721</v>
      </c>
      <c r="BA10" s="174" t="s">
        <v>722</v>
      </c>
      <c r="BB10" s="175" t="s">
        <v>723</v>
      </c>
      <c r="BC10" s="173" t="s">
        <v>724</v>
      </c>
      <c r="BD10" s="174" t="s">
        <v>725</v>
      </c>
      <c r="BE10" s="174" t="s">
        <v>726</v>
      </c>
      <c r="BF10" s="175" t="s">
        <v>727</v>
      </c>
      <c r="BG10" s="173" t="s">
        <v>728</v>
      </c>
      <c r="BH10" s="174" t="s">
        <v>729</v>
      </c>
      <c r="BI10" s="174" t="s">
        <v>730</v>
      </c>
      <c r="BJ10" s="175" t="s">
        <v>731</v>
      </c>
      <c r="BK10" s="173" t="s">
        <v>732</v>
      </c>
      <c r="BL10" s="174" t="s">
        <v>733</v>
      </c>
      <c r="BM10" s="174" t="s">
        <v>734</v>
      </c>
      <c r="BN10" s="175" t="s">
        <v>735</v>
      </c>
      <c r="BO10" s="173" t="s">
        <v>736</v>
      </c>
      <c r="BP10" s="174" t="s">
        <v>737</v>
      </c>
      <c r="BQ10" s="174" t="s">
        <v>738</v>
      </c>
      <c r="BR10" s="175" t="s">
        <v>739</v>
      </c>
      <c r="BS10" s="173" t="s">
        <v>740</v>
      </c>
      <c r="BT10" s="174" t="s">
        <v>741</v>
      </c>
      <c r="BU10" s="174" t="s">
        <v>742</v>
      </c>
      <c r="BV10" s="175" t="s">
        <v>743</v>
      </c>
      <c r="BW10" s="173" t="s">
        <v>744</v>
      </c>
      <c r="BX10" s="174" t="s">
        <v>745</v>
      </c>
      <c r="BY10" s="174" t="s">
        <v>746</v>
      </c>
      <c r="BZ10" s="175" t="s">
        <v>747</v>
      </c>
      <c r="CA10" s="173" t="s">
        <v>748</v>
      </c>
      <c r="CB10" s="174" t="s">
        <v>749</v>
      </c>
      <c r="CC10" s="174" t="s">
        <v>750</v>
      </c>
      <c r="CD10" s="174" t="s">
        <v>751</v>
      </c>
    </row>
    <row r="11" spans="1:82" x14ac:dyDescent="0.3">
      <c r="B11" s="52" t="s">
        <v>752</v>
      </c>
      <c r="C11" s="52" t="str">
        <f t="shared" ref="C11:C62" si="0">$A$3</f>
        <v>CPU_Fundaçãoestruturamet</v>
      </c>
      <c r="D11" s="277">
        <f t="shared" ref="D11:D62" si="1">$B$6</f>
        <v>0.2</v>
      </c>
      <c r="E11" s="277">
        <f t="shared" ref="E11:E62" si="2">$B$7</f>
        <v>0</v>
      </c>
      <c r="F11" s="37"/>
      <c r="G11" s="38"/>
      <c r="H11" s="91"/>
      <c r="I11" s="40"/>
      <c r="J11" s="40">
        <f>IFERROR(K11/$B$6,0)</f>
        <v>0</v>
      </c>
      <c r="K11" s="40">
        <f>SUM(K12:K23)</f>
        <v>0</v>
      </c>
      <c r="M11" s="294" t="s">
        <v>753</v>
      </c>
      <c r="N11" s="295" t="s">
        <v>754</v>
      </c>
      <c r="O11" s="296" t="s">
        <v>755</v>
      </c>
      <c r="AD11" s="144" t="str">
        <f>$B$3</f>
        <v>Fundação estrutura metalica</v>
      </c>
      <c r="AE11" s="176"/>
      <c r="AF11" s="177"/>
      <c r="AG11" s="177">
        <f>IFERROR(AH11/AF$3,0)</f>
        <v>0</v>
      </c>
      <c r="AH11" s="178">
        <f>SUM(AH12:AH23)</f>
        <v>0</v>
      </c>
      <c r="AI11" s="176"/>
      <c r="AJ11" s="177"/>
      <c r="AK11" s="177">
        <f>IFERROR(AL11/AJ$3,0)</f>
        <v>0</v>
      </c>
      <c r="AL11" s="178">
        <f>SUM(AL12:AL23)</f>
        <v>0</v>
      </c>
      <c r="AM11" s="176"/>
      <c r="AN11" s="177"/>
      <c r="AO11" s="177">
        <f>IFERROR(AP11/AN$3,0)</f>
        <v>0</v>
      </c>
      <c r="AP11" s="178">
        <f>SUM(AP12:AP23)</f>
        <v>0</v>
      </c>
      <c r="AQ11" s="176"/>
      <c r="AR11" s="177"/>
      <c r="AS11" s="177">
        <f>IFERROR(AT11/AR$3,0)</f>
        <v>0</v>
      </c>
      <c r="AT11" s="178">
        <f>SUM(AT12:AT23)</f>
        <v>0</v>
      </c>
      <c r="AU11" s="176"/>
      <c r="AV11" s="177"/>
      <c r="AW11" s="177">
        <f>IFERROR(AX11/AV$3,0)</f>
        <v>0</v>
      </c>
      <c r="AX11" s="178">
        <f>SUM(AX12:AX23)</f>
        <v>0</v>
      </c>
      <c r="AY11" s="176"/>
      <c r="AZ11" s="177"/>
      <c r="BA11" s="177">
        <f>IFERROR(BB11/AZ$3,0)</f>
        <v>0</v>
      </c>
      <c r="BB11" s="178">
        <f>SUM(BB12:BB23)</f>
        <v>0</v>
      </c>
      <c r="BC11" s="176"/>
      <c r="BD11" s="177"/>
      <c r="BE11" s="177">
        <f>IFERROR(BF11/BD$3,0)</f>
        <v>0</v>
      </c>
      <c r="BF11" s="178">
        <f>SUM(BF12:BF23)</f>
        <v>0</v>
      </c>
      <c r="BG11" s="176"/>
      <c r="BH11" s="177"/>
      <c r="BI11" s="177">
        <f>IFERROR(BJ11/BH$3,0)</f>
        <v>0</v>
      </c>
      <c r="BJ11" s="178">
        <f>SUM(BJ12:BJ23)</f>
        <v>0</v>
      </c>
      <c r="BK11" s="176"/>
      <c r="BL11" s="177"/>
      <c r="BM11" s="177">
        <f>IFERROR(BN11/BL$3,0)</f>
        <v>0</v>
      </c>
      <c r="BN11" s="178">
        <f>SUM(BN12:BN23)</f>
        <v>0</v>
      </c>
      <c r="BO11" s="176"/>
      <c r="BP11" s="177"/>
      <c r="BQ11" s="177">
        <f>IFERROR(BR11/BP$3,0)</f>
        <v>0</v>
      </c>
      <c r="BR11" s="178">
        <f>SUM(BR12:BR23)</f>
        <v>0</v>
      </c>
      <c r="BS11" s="176"/>
      <c r="BT11" s="177"/>
      <c r="BU11" s="177">
        <f>IFERROR(BV11/BT$3,0)</f>
        <v>0</v>
      </c>
      <c r="BV11" s="178">
        <f>SUM(BV12:BV23)</f>
        <v>0</v>
      </c>
      <c r="BW11" s="176"/>
      <c r="BX11" s="177"/>
      <c r="BY11" s="177">
        <f>IFERROR(BZ11/BX$3,0)</f>
        <v>0</v>
      </c>
      <c r="BZ11" s="178">
        <f>SUM(BZ12:BZ23)</f>
        <v>0</v>
      </c>
      <c r="CA11" s="176"/>
      <c r="CB11" s="177"/>
      <c r="CC11" s="177">
        <f>IFERROR(CD11/CB$3,0)</f>
        <v>0</v>
      </c>
      <c r="CD11" s="178">
        <f>SUM(CD12:CD23)</f>
        <v>0</v>
      </c>
    </row>
    <row r="12" spans="1:82" x14ac:dyDescent="0.3">
      <c r="B12" s="53"/>
      <c r="C12" s="53" t="str">
        <f t="shared" si="0"/>
        <v>CPU_Fundaçãoestruturamet</v>
      </c>
      <c r="D12" s="278">
        <f t="shared" si="1"/>
        <v>0.2</v>
      </c>
      <c r="E12" s="278">
        <f t="shared" si="2"/>
        <v>0</v>
      </c>
      <c r="F12" s="46"/>
      <c r="G12" s="28" t="str">
        <f>IFERROR(VLOOKUP(F12,Tabela7[[RECURSO]:[CUSTO]],2,FALSE),"")</f>
        <v/>
      </c>
      <c r="H12" s="92"/>
      <c r="I12" s="90"/>
      <c r="J12" s="45">
        <f>IFERROR(VLOOKUP(F12,Tabela7[[RECURSO]:[CUSTO]],3,FALSE),0)</f>
        <v>0</v>
      </c>
      <c r="K12" s="45">
        <f>I12*J12*CPU_49[[#This Row],[Nº]]</f>
        <v>0</v>
      </c>
      <c r="M12" s="31"/>
      <c r="N12" s="297"/>
      <c r="O12" s="60">
        <f>IFERROR($B$6/(H12*I12*N12),0)</f>
        <v>0</v>
      </c>
      <c r="AD12" s="144" t="str">
        <f t="shared" ref="AD12:AD62" si="3">$B$3</f>
        <v>Fundação estrutura metalica</v>
      </c>
      <c r="AE12" s="179"/>
      <c r="AF12" s="180">
        <f>AJ12+AN12+AR12+AV12+AZ12+BD12+BH12+BL12+BP12+BT12+BX12+CB12</f>
        <v>0</v>
      </c>
      <c r="AG12" s="180">
        <f>IFERROR(AH12/AF12,0)</f>
        <v>0</v>
      </c>
      <c r="AH12" s="181">
        <f>AL12+AP12+AT12+AX12+BB12+BF12+BJ12+BN12+BR12+BV12+BZ12+CD12</f>
        <v>0</v>
      </c>
      <c r="AI12" s="182"/>
      <c r="AJ12" s="90"/>
      <c r="AK12" s="90"/>
      <c r="AL12" s="183">
        <f>AJ12*AK12</f>
        <v>0</v>
      </c>
      <c r="AM12" s="182"/>
      <c r="AN12" s="90"/>
      <c r="AO12" s="90"/>
      <c r="AP12" s="183">
        <f t="shared" ref="AP12:AP23" si="4">AN12*AO12</f>
        <v>0</v>
      </c>
      <c r="AQ12" s="182"/>
      <c r="AR12" s="90"/>
      <c r="AS12" s="90"/>
      <c r="AT12" s="183">
        <f t="shared" ref="AT12:AT23" si="5">AR12*AS12</f>
        <v>0</v>
      </c>
      <c r="AU12" s="182"/>
      <c r="AV12" s="90"/>
      <c r="AW12" s="90"/>
      <c r="AX12" s="183">
        <f t="shared" ref="AX12:AX23" si="6">AV12*AW12</f>
        <v>0</v>
      </c>
      <c r="AY12" s="182"/>
      <c r="AZ12" s="90"/>
      <c r="BA12" s="90"/>
      <c r="BB12" s="183">
        <f t="shared" ref="BB12:BB23" si="7">AZ12*BA12</f>
        <v>0</v>
      </c>
      <c r="BC12" s="182"/>
      <c r="BD12" s="90"/>
      <c r="BE12" s="90"/>
      <c r="BF12" s="183">
        <f t="shared" ref="BF12:BF23" si="8">BD12*BE12</f>
        <v>0</v>
      </c>
      <c r="BG12" s="182"/>
      <c r="BH12" s="90"/>
      <c r="BI12" s="90"/>
      <c r="BJ12" s="183">
        <f t="shared" ref="BJ12:BJ23" si="9">BH12*BI12</f>
        <v>0</v>
      </c>
      <c r="BK12" s="182"/>
      <c r="BL12" s="90"/>
      <c r="BM12" s="90"/>
      <c r="BN12" s="183">
        <f t="shared" ref="BN12:BN23" si="10">BL12*BM12</f>
        <v>0</v>
      </c>
      <c r="BO12" s="182"/>
      <c r="BP12" s="90"/>
      <c r="BQ12" s="90"/>
      <c r="BR12" s="183">
        <f t="shared" ref="BR12:BR23" si="11">BP12*BQ12</f>
        <v>0</v>
      </c>
      <c r="BS12" s="182"/>
      <c r="BT12" s="90"/>
      <c r="BU12" s="90"/>
      <c r="BV12" s="183">
        <f t="shared" ref="BV12:BV23" si="12">BT12*BU12</f>
        <v>0</v>
      </c>
      <c r="BW12" s="182"/>
      <c r="BX12" s="90"/>
      <c r="BY12" s="90"/>
      <c r="BZ12" s="183">
        <f t="shared" ref="BZ12:BZ23" si="13">BX12*BY12</f>
        <v>0</v>
      </c>
      <c r="CA12" s="182"/>
      <c r="CB12" s="90"/>
      <c r="CC12" s="90"/>
      <c r="CD12" s="183">
        <f t="shared" ref="CD12:CD23" si="14">CB12*CC12</f>
        <v>0</v>
      </c>
    </row>
    <row r="13" spans="1:82" x14ac:dyDescent="0.3">
      <c r="B13" s="53"/>
      <c r="C13" s="53" t="str">
        <f t="shared" si="0"/>
        <v>CPU_Fundaçãoestruturamet</v>
      </c>
      <c r="D13" s="278">
        <f t="shared" si="1"/>
        <v>0.2</v>
      </c>
      <c r="E13" s="278">
        <f t="shared" si="2"/>
        <v>0</v>
      </c>
      <c r="F13" s="1"/>
      <c r="G13" s="28" t="str">
        <f>IFERROR(VLOOKUP(F13,Tabela7[[RECURSO]:[CUSTO]],2,FALSE),"")</f>
        <v/>
      </c>
      <c r="H13" s="92"/>
      <c r="I13" s="90"/>
      <c r="J13" s="45">
        <f>IFERROR(VLOOKUP(F13,Tabela7[[RECURSO]:[CUSTO]],3,FALSE),0)</f>
        <v>0</v>
      </c>
      <c r="K13" s="45">
        <f>I13*J13*CPU_49[[#This Row],[Nº]]</f>
        <v>0</v>
      </c>
      <c r="M13" s="31"/>
      <c r="N13" s="297"/>
      <c r="O13" s="60">
        <f t="shared" ref="O13:O23" si="15">IFERROR($B$6/(H13*I13),0)</f>
        <v>0</v>
      </c>
      <c r="AD13" s="144" t="str">
        <f t="shared" si="3"/>
        <v>Fundação estrutura metalica</v>
      </c>
      <c r="AE13" s="179"/>
      <c r="AF13" s="180">
        <f t="shared" ref="AF13:AF23" si="16">AJ13+AN13+AR13+AV13+AZ13+BD13+BH13+BL13+BP13+BT13+BX13+CB13</f>
        <v>0</v>
      </c>
      <c r="AG13" s="180">
        <f t="shared" ref="AG13:AG62" si="17">IFERROR(AH13/AF13,0)</f>
        <v>0</v>
      </c>
      <c r="AH13" s="181">
        <f t="shared" ref="AH13:AH23" si="18">AL13+AP13+AT13+AX13+BB13+BF13+BJ13+BN13+BR13+BV13+BZ13+CD13</f>
        <v>0</v>
      </c>
      <c r="AI13" s="182"/>
      <c r="AJ13" s="90"/>
      <c r="AK13" s="90"/>
      <c r="AL13" s="183">
        <f t="shared" ref="AL13:AL23" si="19">AJ13*AK13</f>
        <v>0</v>
      </c>
      <c r="AM13" s="182"/>
      <c r="AN13" s="90"/>
      <c r="AO13" s="90"/>
      <c r="AP13" s="183">
        <f t="shared" si="4"/>
        <v>0</v>
      </c>
      <c r="AQ13" s="182"/>
      <c r="AR13" s="90"/>
      <c r="AS13" s="90"/>
      <c r="AT13" s="183">
        <f t="shared" si="5"/>
        <v>0</v>
      </c>
      <c r="AU13" s="182"/>
      <c r="AV13" s="90"/>
      <c r="AW13" s="90"/>
      <c r="AX13" s="183">
        <f t="shared" si="6"/>
        <v>0</v>
      </c>
      <c r="AY13" s="182"/>
      <c r="AZ13" s="90"/>
      <c r="BA13" s="90"/>
      <c r="BB13" s="183">
        <f t="shared" si="7"/>
        <v>0</v>
      </c>
      <c r="BC13" s="182"/>
      <c r="BD13" s="90"/>
      <c r="BE13" s="90"/>
      <c r="BF13" s="183">
        <f t="shared" si="8"/>
        <v>0</v>
      </c>
      <c r="BG13" s="182"/>
      <c r="BH13" s="90"/>
      <c r="BI13" s="90"/>
      <c r="BJ13" s="183">
        <f t="shared" si="9"/>
        <v>0</v>
      </c>
      <c r="BK13" s="182"/>
      <c r="BL13" s="90"/>
      <c r="BM13" s="90"/>
      <c r="BN13" s="183">
        <f t="shared" si="10"/>
        <v>0</v>
      </c>
      <c r="BO13" s="182"/>
      <c r="BP13" s="90"/>
      <c r="BQ13" s="90"/>
      <c r="BR13" s="183">
        <f t="shared" si="11"/>
        <v>0</v>
      </c>
      <c r="BS13" s="182"/>
      <c r="BT13" s="90"/>
      <c r="BU13" s="90"/>
      <c r="BV13" s="183">
        <f t="shared" si="12"/>
        <v>0</v>
      </c>
      <c r="BW13" s="182"/>
      <c r="BX13" s="90"/>
      <c r="BY13" s="90"/>
      <c r="BZ13" s="183">
        <f t="shared" si="13"/>
        <v>0</v>
      </c>
      <c r="CA13" s="182"/>
      <c r="CB13" s="90"/>
      <c r="CC13" s="90"/>
      <c r="CD13" s="183">
        <f t="shared" si="14"/>
        <v>0</v>
      </c>
    </row>
    <row r="14" spans="1:82" x14ac:dyDescent="0.3">
      <c r="B14" s="53"/>
      <c r="C14" s="53" t="str">
        <f t="shared" si="0"/>
        <v>CPU_Fundaçãoestruturamet</v>
      </c>
      <c r="D14" s="278">
        <f t="shared" si="1"/>
        <v>0.2</v>
      </c>
      <c r="E14" s="278">
        <f t="shared" si="2"/>
        <v>0</v>
      </c>
      <c r="F14" s="1"/>
      <c r="G14" s="28" t="str">
        <f>IFERROR(VLOOKUP(F14,Tabela7[[RECURSO]:[CUSTO]],2,FALSE),"")</f>
        <v/>
      </c>
      <c r="H14" s="92"/>
      <c r="I14" s="90"/>
      <c r="J14" s="45">
        <f>IFERROR(VLOOKUP(F14,Tabela7[[RECURSO]:[CUSTO]],3,FALSE),0)</f>
        <v>0</v>
      </c>
      <c r="K14" s="45">
        <f>I14*J14*CPU_49[[#This Row],[Nº]]</f>
        <v>0</v>
      </c>
      <c r="M14" s="31"/>
      <c r="N14" s="297"/>
      <c r="O14" s="60">
        <f t="shared" si="15"/>
        <v>0</v>
      </c>
      <c r="AD14" s="144" t="str">
        <f t="shared" si="3"/>
        <v>Fundação estrutura metalica</v>
      </c>
      <c r="AE14" s="179"/>
      <c r="AF14" s="180">
        <f t="shared" si="16"/>
        <v>0</v>
      </c>
      <c r="AG14" s="180">
        <f t="shared" si="17"/>
        <v>0</v>
      </c>
      <c r="AH14" s="181">
        <f t="shared" si="18"/>
        <v>0</v>
      </c>
      <c r="AI14" s="182"/>
      <c r="AJ14" s="90"/>
      <c r="AK14" s="90"/>
      <c r="AL14" s="183">
        <f t="shared" si="19"/>
        <v>0</v>
      </c>
      <c r="AM14" s="182"/>
      <c r="AN14" s="90"/>
      <c r="AO14" s="90"/>
      <c r="AP14" s="183">
        <f t="shared" si="4"/>
        <v>0</v>
      </c>
      <c r="AQ14" s="182"/>
      <c r="AR14" s="90"/>
      <c r="AS14" s="90"/>
      <c r="AT14" s="183">
        <f t="shared" si="5"/>
        <v>0</v>
      </c>
      <c r="AU14" s="182"/>
      <c r="AV14" s="90"/>
      <c r="AW14" s="90"/>
      <c r="AX14" s="183">
        <f t="shared" si="6"/>
        <v>0</v>
      </c>
      <c r="AY14" s="182"/>
      <c r="AZ14" s="90"/>
      <c r="BA14" s="90"/>
      <c r="BB14" s="183">
        <f t="shared" si="7"/>
        <v>0</v>
      </c>
      <c r="BC14" s="182"/>
      <c r="BD14" s="90"/>
      <c r="BE14" s="90"/>
      <c r="BF14" s="183">
        <f t="shared" si="8"/>
        <v>0</v>
      </c>
      <c r="BG14" s="182"/>
      <c r="BH14" s="90"/>
      <c r="BI14" s="90"/>
      <c r="BJ14" s="183">
        <f t="shared" si="9"/>
        <v>0</v>
      </c>
      <c r="BK14" s="182"/>
      <c r="BL14" s="90"/>
      <c r="BM14" s="90"/>
      <c r="BN14" s="183">
        <f t="shared" si="10"/>
        <v>0</v>
      </c>
      <c r="BO14" s="182"/>
      <c r="BP14" s="90"/>
      <c r="BQ14" s="90"/>
      <c r="BR14" s="183">
        <f t="shared" si="11"/>
        <v>0</v>
      </c>
      <c r="BS14" s="182"/>
      <c r="BT14" s="90"/>
      <c r="BU14" s="90"/>
      <c r="BV14" s="183">
        <f t="shared" si="12"/>
        <v>0</v>
      </c>
      <c r="BW14" s="182"/>
      <c r="BX14" s="90"/>
      <c r="BY14" s="90"/>
      <c r="BZ14" s="183">
        <f t="shared" si="13"/>
        <v>0</v>
      </c>
      <c r="CA14" s="182"/>
      <c r="CB14" s="90"/>
      <c r="CC14" s="90"/>
      <c r="CD14" s="183">
        <f t="shared" si="14"/>
        <v>0</v>
      </c>
    </row>
    <row r="15" spans="1:82" x14ac:dyDescent="0.3">
      <c r="B15" s="153"/>
      <c r="C15" s="153" t="str">
        <f t="shared" si="0"/>
        <v>CPU_Fundaçãoestruturamet</v>
      </c>
      <c r="D15" s="279">
        <f t="shared" si="1"/>
        <v>0.2</v>
      </c>
      <c r="E15" s="279">
        <f t="shared" si="2"/>
        <v>0</v>
      </c>
      <c r="F15" s="1"/>
      <c r="G15" s="28" t="str">
        <f>IFERROR(VLOOKUP(F15,Tabela7[[RECURSO]:[CUSTO]],2,FALSE),"")</f>
        <v/>
      </c>
      <c r="H15" s="92"/>
      <c r="I15" s="90"/>
      <c r="J15" s="45">
        <f>IFERROR(VLOOKUP(F15,Tabela7[[RECURSO]:[CUSTO]],3,FALSE),0)</f>
        <v>0</v>
      </c>
      <c r="K15" s="45">
        <f>I15*J15*CPU_49[[#This Row],[Nº]]</f>
        <v>0</v>
      </c>
      <c r="M15" s="31"/>
      <c r="N15" s="297"/>
      <c r="O15" s="60">
        <f t="shared" si="15"/>
        <v>0</v>
      </c>
      <c r="AD15" s="144" t="str">
        <f t="shared" si="3"/>
        <v>Fundação estrutura metalica</v>
      </c>
      <c r="AE15" s="179"/>
      <c r="AF15" s="180">
        <f t="shared" si="16"/>
        <v>0</v>
      </c>
      <c r="AG15" s="180">
        <f t="shared" si="17"/>
        <v>0</v>
      </c>
      <c r="AH15" s="181">
        <f t="shared" si="18"/>
        <v>0</v>
      </c>
      <c r="AI15" s="182"/>
      <c r="AJ15" s="90"/>
      <c r="AK15" s="90"/>
      <c r="AL15" s="183">
        <f t="shared" si="19"/>
        <v>0</v>
      </c>
      <c r="AM15" s="182"/>
      <c r="AN15" s="90"/>
      <c r="AO15" s="90"/>
      <c r="AP15" s="183">
        <f t="shared" si="4"/>
        <v>0</v>
      </c>
      <c r="AQ15" s="182"/>
      <c r="AR15" s="90"/>
      <c r="AS15" s="90"/>
      <c r="AT15" s="183">
        <f t="shared" si="5"/>
        <v>0</v>
      </c>
      <c r="AU15" s="182"/>
      <c r="AV15" s="90"/>
      <c r="AW15" s="90"/>
      <c r="AX15" s="183">
        <f t="shared" si="6"/>
        <v>0</v>
      </c>
      <c r="AY15" s="182"/>
      <c r="AZ15" s="90"/>
      <c r="BA15" s="90"/>
      <c r="BB15" s="183">
        <f t="shared" si="7"/>
        <v>0</v>
      </c>
      <c r="BC15" s="182"/>
      <c r="BD15" s="90"/>
      <c r="BE15" s="90"/>
      <c r="BF15" s="183">
        <f t="shared" si="8"/>
        <v>0</v>
      </c>
      <c r="BG15" s="182"/>
      <c r="BH15" s="90"/>
      <c r="BI15" s="90"/>
      <c r="BJ15" s="183">
        <f t="shared" si="9"/>
        <v>0</v>
      </c>
      <c r="BK15" s="182"/>
      <c r="BL15" s="90"/>
      <c r="BM15" s="90"/>
      <c r="BN15" s="183">
        <f t="shared" si="10"/>
        <v>0</v>
      </c>
      <c r="BO15" s="182"/>
      <c r="BP15" s="90"/>
      <c r="BQ15" s="90"/>
      <c r="BR15" s="183">
        <f t="shared" si="11"/>
        <v>0</v>
      </c>
      <c r="BS15" s="182"/>
      <c r="BT15" s="90"/>
      <c r="BU15" s="90"/>
      <c r="BV15" s="183">
        <f t="shared" si="12"/>
        <v>0</v>
      </c>
      <c r="BW15" s="182"/>
      <c r="BX15" s="90"/>
      <c r="BY15" s="90"/>
      <c r="BZ15" s="183">
        <f t="shared" si="13"/>
        <v>0</v>
      </c>
      <c r="CA15" s="182"/>
      <c r="CB15" s="90"/>
      <c r="CC15" s="90"/>
      <c r="CD15" s="183">
        <f t="shared" si="14"/>
        <v>0</v>
      </c>
    </row>
    <row r="16" spans="1:82" x14ac:dyDescent="0.3">
      <c r="B16" s="53"/>
      <c r="C16" s="53" t="str">
        <f t="shared" si="0"/>
        <v>CPU_Fundaçãoestruturamet</v>
      </c>
      <c r="D16" s="278">
        <f t="shared" si="1"/>
        <v>0.2</v>
      </c>
      <c r="E16" s="278">
        <f t="shared" si="2"/>
        <v>0</v>
      </c>
      <c r="F16" s="1"/>
      <c r="G16" s="28" t="str">
        <f>IFERROR(VLOOKUP(F16,Tabela7[[RECURSO]:[CUSTO]],2,FALSE),"")</f>
        <v/>
      </c>
      <c r="H16" s="92"/>
      <c r="I16" s="90"/>
      <c r="J16" s="45">
        <f>IFERROR(VLOOKUP(F16,Tabela7[[RECURSO]:[CUSTO]],3,FALSE),0)</f>
        <v>0</v>
      </c>
      <c r="K16" s="45">
        <f>I16*J16*CPU_49[[#This Row],[Nº]]</f>
        <v>0</v>
      </c>
      <c r="M16" s="31"/>
      <c r="N16" s="297"/>
      <c r="O16" s="60">
        <f t="shared" si="15"/>
        <v>0</v>
      </c>
      <c r="AD16" s="144" t="str">
        <f t="shared" si="3"/>
        <v>Fundação estrutura metalica</v>
      </c>
      <c r="AE16" s="179"/>
      <c r="AF16" s="180">
        <f t="shared" si="16"/>
        <v>0</v>
      </c>
      <c r="AG16" s="180">
        <f t="shared" si="17"/>
        <v>0</v>
      </c>
      <c r="AH16" s="181">
        <f t="shared" si="18"/>
        <v>0</v>
      </c>
      <c r="AI16" s="182"/>
      <c r="AJ16" s="90"/>
      <c r="AK16" s="90"/>
      <c r="AL16" s="183">
        <f t="shared" si="19"/>
        <v>0</v>
      </c>
      <c r="AM16" s="182"/>
      <c r="AN16" s="90"/>
      <c r="AO16" s="90"/>
      <c r="AP16" s="183">
        <f t="shared" si="4"/>
        <v>0</v>
      </c>
      <c r="AQ16" s="182"/>
      <c r="AR16" s="90"/>
      <c r="AS16" s="90"/>
      <c r="AT16" s="183">
        <f t="shared" si="5"/>
        <v>0</v>
      </c>
      <c r="AU16" s="182"/>
      <c r="AV16" s="90"/>
      <c r="AW16" s="90"/>
      <c r="AX16" s="183">
        <f t="shared" si="6"/>
        <v>0</v>
      </c>
      <c r="AY16" s="182"/>
      <c r="AZ16" s="90"/>
      <c r="BA16" s="90"/>
      <c r="BB16" s="183">
        <f t="shared" si="7"/>
        <v>0</v>
      </c>
      <c r="BC16" s="182"/>
      <c r="BD16" s="90"/>
      <c r="BE16" s="90"/>
      <c r="BF16" s="183">
        <f t="shared" si="8"/>
        <v>0</v>
      </c>
      <c r="BG16" s="182"/>
      <c r="BH16" s="90"/>
      <c r="BI16" s="90"/>
      <c r="BJ16" s="183">
        <f t="shared" si="9"/>
        <v>0</v>
      </c>
      <c r="BK16" s="182"/>
      <c r="BL16" s="90"/>
      <c r="BM16" s="90"/>
      <c r="BN16" s="183">
        <f t="shared" si="10"/>
        <v>0</v>
      </c>
      <c r="BO16" s="182"/>
      <c r="BP16" s="90"/>
      <c r="BQ16" s="90"/>
      <c r="BR16" s="183">
        <f t="shared" si="11"/>
        <v>0</v>
      </c>
      <c r="BS16" s="182"/>
      <c r="BT16" s="90"/>
      <c r="BU16" s="90"/>
      <c r="BV16" s="183">
        <f t="shared" si="12"/>
        <v>0</v>
      </c>
      <c r="BW16" s="182"/>
      <c r="BX16" s="90"/>
      <c r="BY16" s="90"/>
      <c r="BZ16" s="183">
        <f t="shared" si="13"/>
        <v>0</v>
      </c>
      <c r="CA16" s="182"/>
      <c r="CB16" s="90"/>
      <c r="CC16" s="90"/>
      <c r="CD16" s="183">
        <f t="shared" si="14"/>
        <v>0</v>
      </c>
    </row>
    <row r="17" spans="2:82" x14ac:dyDescent="0.3">
      <c r="B17" s="53"/>
      <c r="C17" s="53" t="str">
        <f t="shared" si="0"/>
        <v>CPU_Fundaçãoestruturamet</v>
      </c>
      <c r="D17" s="278">
        <f t="shared" si="1"/>
        <v>0.2</v>
      </c>
      <c r="E17" s="278">
        <f t="shared" si="2"/>
        <v>0</v>
      </c>
      <c r="F17" s="1"/>
      <c r="G17" s="28" t="str">
        <f>IFERROR(VLOOKUP(F17,Tabela7[[RECURSO]:[CUSTO]],2,FALSE),"")</f>
        <v/>
      </c>
      <c r="H17" s="92"/>
      <c r="I17" s="90"/>
      <c r="J17" s="45">
        <f>IFERROR(VLOOKUP(F17,Tabela7[[RECURSO]:[CUSTO]],3,FALSE),0)</f>
        <v>0</v>
      </c>
      <c r="K17" s="45">
        <f>I17*J17*CPU_49[[#This Row],[Nº]]</f>
        <v>0</v>
      </c>
      <c r="M17" s="31"/>
      <c r="N17" s="297"/>
      <c r="O17" s="60">
        <f t="shared" si="15"/>
        <v>0</v>
      </c>
      <c r="AD17" s="144" t="str">
        <f t="shared" si="3"/>
        <v>Fundação estrutura metalica</v>
      </c>
      <c r="AE17" s="179"/>
      <c r="AF17" s="180">
        <f t="shared" si="16"/>
        <v>0</v>
      </c>
      <c r="AG17" s="180">
        <f t="shared" si="17"/>
        <v>0</v>
      </c>
      <c r="AH17" s="181">
        <f t="shared" si="18"/>
        <v>0</v>
      </c>
      <c r="AI17" s="182"/>
      <c r="AJ17" s="90"/>
      <c r="AK17" s="90"/>
      <c r="AL17" s="183">
        <f t="shared" si="19"/>
        <v>0</v>
      </c>
      <c r="AM17" s="182"/>
      <c r="AN17" s="90"/>
      <c r="AO17" s="90"/>
      <c r="AP17" s="183">
        <f t="shared" si="4"/>
        <v>0</v>
      </c>
      <c r="AQ17" s="182"/>
      <c r="AR17" s="90"/>
      <c r="AS17" s="90"/>
      <c r="AT17" s="183">
        <f t="shared" si="5"/>
        <v>0</v>
      </c>
      <c r="AU17" s="182"/>
      <c r="AV17" s="90"/>
      <c r="AW17" s="90"/>
      <c r="AX17" s="183">
        <f t="shared" si="6"/>
        <v>0</v>
      </c>
      <c r="AY17" s="182"/>
      <c r="AZ17" s="90"/>
      <c r="BA17" s="90"/>
      <c r="BB17" s="183">
        <f t="shared" si="7"/>
        <v>0</v>
      </c>
      <c r="BC17" s="182"/>
      <c r="BD17" s="90"/>
      <c r="BE17" s="90"/>
      <c r="BF17" s="183">
        <f t="shared" si="8"/>
        <v>0</v>
      </c>
      <c r="BG17" s="182"/>
      <c r="BH17" s="90"/>
      <c r="BI17" s="90"/>
      <c r="BJ17" s="183">
        <f t="shared" si="9"/>
        <v>0</v>
      </c>
      <c r="BK17" s="182"/>
      <c r="BL17" s="90"/>
      <c r="BM17" s="90"/>
      <c r="BN17" s="183">
        <f t="shared" si="10"/>
        <v>0</v>
      </c>
      <c r="BO17" s="182"/>
      <c r="BP17" s="90"/>
      <c r="BQ17" s="90"/>
      <c r="BR17" s="183">
        <f t="shared" si="11"/>
        <v>0</v>
      </c>
      <c r="BS17" s="182"/>
      <c r="BT17" s="90"/>
      <c r="BU17" s="90"/>
      <c r="BV17" s="183">
        <f t="shared" si="12"/>
        <v>0</v>
      </c>
      <c r="BW17" s="182"/>
      <c r="BX17" s="90"/>
      <c r="BY17" s="90"/>
      <c r="BZ17" s="183">
        <f t="shared" si="13"/>
        <v>0</v>
      </c>
      <c r="CA17" s="182"/>
      <c r="CB17" s="90"/>
      <c r="CC17" s="90"/>
      <c r="CD17" s="183">
        <f t="shared" si="14"/>
        <v>0</v>
      </c>
    </row>
    <row r="18" spans="2:82" x14ac:dyDescent="0.3">
      <c r="B18" s="53"/>
      <c r="C18" s="53" t="str">
        <f t="shared" si="0"/>
        <v>CPU_Fundaçãoestruturamet</v>
      </c>
      <c r="D18" s="278">
        <f t="shared" si="1"/>
        <v>0.2</v>
      </c>
      <c r="E18" s="278">
        <f t="shared" si="2"/>
        <v>0</v>
      </c>
      <c r="F18" s="1"/>
      <c r="G18" s="28" t="str">
        <f>IFERROR(VLOOKUP(F18,Tabela7[[RECURSO]:[CUSTO]],2,FALSE),"")</f>
        <v/>
      </c>
      <c r="H18" s="92"/>
      <c r="I18" s="90"/>
      <c r="J18" s="45">
        <f>IFERROR(VLOOKUP(F18,Tabela7[[RECURSO]:[CUSTO]],3,FALSE),0)</f>
        <v>0</v>
      </c>
      <c r="K18" s="45">
        <f>I18*J18*CPU_49[[#This Row],[Nº]]</f>
        <v>0</v>
      </c>
      <c r="M18" s="31"/>
      <c r="N18" s="297"/>
      <c r="O18" s="60">
        <f t="shared" si="15"/>
        <v>0</v>
      </c>
      <c r="AD18" s="144" t="str">
        <f t="shared" si="3"/>
        <v>Fundação estrutura metalica</v>
      </c>
      <c r="AE18" s="179"/>
      <c r="AF18" s="180">
        <f t="shared" si="16"/>
        <v>0</v>
      </c>
      <c r="AG18" s="180">
        <f t="shared" si="17"/>
        <v>0</v>
      </c>
      <c r="AH18" s="181">
        <f t="shared" si="18"/>
        <v>0</v>
      </c>
      <c r="AI18" s="182"/>
      <c r="AJ18" s="90"/>
      <c r="AK18" s="90"/>
      <c r="AL18" s="183">
        <f t="shared" si="19"/>
        <v>0</v>
      </c>
      <c r="AM18" s="182"/>
      <c r="AN18" s="90"/>
      <c r="AO18" s="90"/>
      <c r="AP18" s="183">
        <f t="shared" si="4"/>
        <v>0</v>
      </c>
      <c r="AQ18" s="182"/>
      <c r="AR18" s="90"/>
      <c r="AS18" s="90"/>
      <c r="AT18" s="183">
        <f t="shared" si="5"/>
        <v>0</v>
      </c>
      <c r="AU18" s="182"/>
      <c r="AV18" s="90"/>
      <c r="AW18" s="90"/>
      <c r="AX18" s="183">
        <f t="shared" si="6"/>
        <v>0</v>
      </c>
      <c r="AY18" s="182"/>
      <c r="AZ18" s="90"/>
      <c r="BA18" s="90"/>
      <c r="BB18" s="183">
        <f t="shared" si="7"/>
        <v>0</v>
      </c>
      <c r="BC18" s="182"/>
      <c r="BD18" s="90"/>
      <c r="BE18" s="90"/>
      <c r="BF18" s="183">
        <f t="shared" si="8"/>
        <v>0</v>
      </c>
      <c r="BG18" s="182"/>
      <c r="BH18" s="90"/>
      <c r="BI18" s="90"/>
      <c r="BJ18" s="183">
        <f t="shared" si="9"/>
        <v>0</v>
      </c>
      <c r="BK18" s="182"/>
      <c r="BL18" s="90"/>
      <c r="BM18" s="90"/>
      <c r="BN18" s="183">
        <f t="shared" si="10"/>
        <v>0</v>
      </c>
      <c r="BO18" s="182"/>
      <c r="BP18" s="90"/>
      <c r="BQ18" s="90"/>
      <c r="BR18" s="183">
        <f t="shared" si="11"/>
        <v>0</v>
      </c>
      <c r="BS18" s="182"/>
      <c r="BT18" s="90"/>
      <c r="BU18" s="90"/>
      <c r="BV18" s="183">
        <f t="shared" si="12"/>
        <v>0</v>
      </c>
      <c r="BW18" s="182"/>
      <c r="BX18" s="90"/>
      <c r="BY18" s="90"/>
      <c r="BZ18" s="183">
        <f t="shared" si="13"/>
        <v>0</v>
      </c>
      <c r="CA18" s="182"/>
      <c r="CB18" s="90"/>
      <c r="CC18" s="90"/>
      <c r="CD18" s="183">
        <f t="shared" si="14"/>
        <v>0</v>
      </c>
    </row>
    <row r="19" spans="2:82" x14ac:dyDescent="0.3">
      <c r="B19" s="53"/>
      <c r="C19" s="53" t="str">
        <f t="shared" si="0"/>
        <v>CPU_Fundaçãoestruturamet</v>
      </c>
      <c r="D19" s="278">
        <f t="shared" si="1"/>
        <v>0.2</v>
      </c>
      <c r="E19" s="278">
        <f t="shared" si="2"/>
        <v>0</v>
      </c>
      <c r="F19" s="1"/>
      <c r="G19" s="28" t="str">
        <f>IFERROR(VLOOKUP(F19,Tabela7[[RECURSO]:[CUSTO]],2,FALSE),"")</f>
        <v/>
      </c>
      <c r="H19" s="92"/>
      <c r="I19" s="90"/>
      <c r="J19" s="45">
        <f>IFERROR(VLOOKUP(F19,Tabela7[[RECURSO]:[CUSTO]],3,FALSE),0)</f>
        <v>0</v>
      </c>
      <c r="K19" s="45">
        <f>I19*J19*CPU_49[[#This Row],[Nº]]</f>
        <v>0</v>
      </c>
      <c r="M19" s="31"/>
      <c r="N19" s="297"/>
      <c r="O19" s="60">
        <f t="shared" si="15"/>
        <v>0</v>
      </c>
      <c r="AD19" s="144" t="str">
        <f t="shared" si="3"/>
        <v>Fundação estrutura metalica</v>
      </c>
      <c r="AE19" s="179"/>
      <c r="AF19" s="180">
        <f t="shared" si="16"/>
        <v>0</v>
      </c>
      <c r="AG19" s="180">
        <f t="shared" si="17"/>
        <v>0</v>
      </c>
      <c r="AH19" s="181">
        <f t="shared" si="18"/>
        <v>0</v>
      </c>
      <c r="AI19" s="182"/>
      <c r="AJ19" s="90"/>
      <c r="AK19" s="90"/>
      <c r="AL19" s="183">
        <f t="shared" si="19"/>
        <v>0</v>
      </c>
      <c r="AM19" s="182"/>
      <c r="AN19" s="90"/>
      <c r="AO19" s="90"/>
      <c r="AP19" s="183">
        <f t="shared" si="4"/>
        <v>0</v>
      </c>
      <c r="AQ19" s="182"/>
      <c r="AR19" s="90"/>
      <c r="AS19" s="90"/>
      <c r="AT19" s="183">
        <f t="shared" si="5"/>
        <v>0</v>
      </c>
      <c r="AU19" s="182"/>
      <c r="AV19" s="90"/>
      <c r="AW19" s="90"/>
      <c r="AX19" s="183">
        <f t="shared" si="6"/>
        <v>0</v>
      </c>
      <c r="AY19" s="182"/>
      <c r="AZ19" s="90"/>
      <c r="BA19" s="90"/>
      <c r="BB19" s="183">
        <f t="shared" si="7"/>
        <v>0</v>
      </c>
      <c r="BC19" s="182"/>
      <c r="BD19" s="90"/>
      <c r="BE19" s="90"/>
      <c r="BF19" s="183">
        <f t="shared" si="8"/>
        <v>0</v>
      </c>
      <c r="BG19" s="182"/>
      <c r="BH19" s="90"/>
      <c r="BI19" s="90"/>
      <c r="BJ19" s="183">
        <f t="shared" si="9"/>
        <v>0</v>
      </c>
      <c r="BK19" s="182"/>
      <c r="BL19" s="90"/>
      <c r="BM19" s="90"/>
      <c r="BN19" s="183">
        <f t="shared" si="10"/>
        <v>0</v>
      </c>
      <c r="BO19" s="182"/>
      <c r="BP19" s="90"/>
      <c r="BQ19" s="90"/>
      <c r="BR19" s="183">
        <f t="shared" si="11"/>
        <v>0</v>
      </c>
      <c r="BS19" s="182"/>
      <c r="BT19" s="90"/>
      <c r="BU19" s="90"/>
      <c r="BV19" s="183">
        <f t="shared" si="12"/>
        <v>0</v>
      </c>
      <c r="BW19" s="182"/>
      <c r="BX19" s="90"/>
      <c r="BY19" s="90"/>
      <c r="BZ19" s="183">
        <f t="shared" si="13"/>
        <v>0</v>
      </c>
      <c r="CA19" s="182"/>
      <c r="CB19" s="90"/>
      <c r="CC19" s="90"/>
      <c r="CD19" s="183">
        <f t="shared" si="14"/>
        <v>0</v>
      </c>
    </row>
    <row r="20" spans="2:82" x14ac:dyDescent="0.3">
      <c r="B20" s="53"/>
      <c r="C20" s="53" t="str">
        <f t="shared" si="0"/>
        <v>CPU_Fundaçãoestruturamet</v>
      </c>
      <c r="D20" s="278">
        <f t="shared" si="1"/>
        <v>0.2</v>
      </c>
      <c r="E20" s="278">
        <f t="shared" si="2"/>
        <v>0</v>
      </c>
      <c r="F20" s="1"/>
      <c r="G20" s="28" t="str">
        <f>IFERROR(VLOOKUP(F20,Tabela7[[RECURSO]:[CUSTO]],2,FALSE),"")</f>
        <v/>
      </c>
      <c r="H20" s="92"/>
      <c r="I20" s="90"/>
      <c r="J20" s="45">
        <f>IFERROR(VLOOKUP(F20,Tabela7[[RECURSO]:[CUSTO]],3,FALSE),0)</f>
        <v>0</v>
      </c>
      <c r="K20" s="45">
        <f>I20*J20*CPU_49[[#This Row],[Nº]]</f>
        <v>0</v>
      </c>
      <c r="M20" s="31"/>
      <c r="N20" s="297"/>
      <c r="O20" s="60">
        <f t="shared" si="15"/>
        <v>0</v>
      </c>
      <c r="AD20" s="144" t="str">
        <f t="shared" si="3"/>
        <v>Fundação estrutura metalica</v>
      </c>
      <c r="AE20" s="179"/>
      <c r="AF20" s="180">
        <f t="shared" si="16"/>
        <v>0</v>
      </c>
      <c r="AG20" s="180">
        <f t="shared" si="17"/>
        <v>0</v>
      </c>
      <c r="AH20" s="181">
        <f t="shared" si="18"/>
        <v>0</v>
      </c>
      <c r="AI20" s="182"/>
      <c r="AJ20" s="90"/>
      <c r="AK20" s="90"/>
      <c r="AL20" s="183">
        <f t="shared" si="19"/>
        <v>0</v>
      </c>
      <c r="AM20" s="182"/>
      <c r="AN20" s="90"/>
      <c r="AO20" s="90"/>
      <c r="AP20" s="183">
        <f t="shared" si="4"/>
        <v>0</v>
      </c>
      <c r="AQ20" s="182"/>
      <c r="AR20" s="90"/>
      <c r="AS20" s="90"/>
      <c r="AT20" s="183">
        <f t="shared" si="5"/>
        <v>0</v>
      </c>
      <c r="AU20" s="182"/>
      <c r="AV20" s="90"/>
      <c r="AW20" s="90"/>
      <c r="AX20" s="183">
        <f t="shared" si="6"/>
        <v>0</v>
      </c>
      <c r="AY20" s="182"/>
      <c r="AZ20" s="90"/>
      <c r="BA20" s="90"/>
      <c r="BB20" s="183">
        <f t="shared" si="7"/>
        <v>0</v>
      </c>
      <c r="BC20" s="182"/>
      <c r="BD20" s="90"/>
      <c r="BE20" s="90"/>
      <c r="BF20" s="183">
        <f t="shared" si="8"/>
        <v>0</v>
      </c>
      <c r="BG20" s="182"/>
      <c r="BH20" s="90"/>
      <c r="BI20" s="90"/>
      <c r="BJ20" s="183">
        <f t="shared" si="9"/>
        <v>0</v>
      </c>
      <c r="BK20" s="182"/>
      <c r="BL20" s="90"/>
      <c r="BM20" s="90"/>
      <c r="BN20" s="183">
        <f t="shared" si="10"/>
        <v>0</v>
      </c>
      <c r="BO20" s="182"/>
      <c r="BP20" s="90"/>
      <c r="BQ20" s="90"/>
      <c r="BR20" s="183">
        <f t="shared" si="11"/>
        <v>0</v>
      </c>
      <c r="BS20" s="182"/>
      <c r="BT20" s="90"/>
      <c r="BU20" s="90"/>
      <c r="BV20" s="183">
        <f t="shared" si="12"/>
        <v>0</v>
      </c>
      <c r="BW20" s="182"/>
      <c r="BX20" s="90"/>
      <c r="BY20" s="90"/>
      <c r="BZ20" s="183">
        <f t="shared" si="13"/>
        <v>0</v>
      </c>
      <c r="CA20" s="182"/>
      <c r="CB20" s="90"/>
      <c r="CC20" s="90"/>
      <c r="CD20" s="183">
        <f t="shared" si="14"/>
        <v>0</v>
      </c>
    </row>
    <row r="21" spans="2:82" x14ac:dyDescent="0.3">
      <c r="B21" s="53"/>
      <c r="C21" s="53" t="str">
        <f t="shared" si="0"/>
        <v>CPU_Fundaçãoestruturamet</v>
      </c>
      <c r="D21" s="278">
        <f t="shared" si="1"/>
        <v>0.2</v>
      </c>
      <c r="E21" s="278">
        <f t="shared" si="2"/>
        <v>0</v>
      </c>
      <c r="F21" s="1"/>
      <c r="G21" s="28" t="str">
        <f>IFERROR(VLOOKUP(F21,Tabela7[[RECURSO]:[CUSTO]],2,FALSE),"")</f>
        <v/>
      </c>
      <c r="H21" s="92"/>
      <c r="I21" s="90"/>
      <c r="J21" s="45">
        <f>IFERROR(VLOOKUP(F21,Tabela7[[RECURSO]:[CUSTO]],3,FALSE),0)</f>
        <v>0</v>
      </c>
      <c r="K21" s="45">
        <f>I21*J21*CPU_49[[#This Row],[Nº]]</f>
        <v>0</v>
      </c>
      <c r="M21" s="31"/>
      <c r="N21" s="297"/>
      <c r="O21" s="60">
        <f t="shared" si="15"/>
        <v>0</v>
      </c>
      <c r="AD21" s="144" t="str">
        <f t="shared" si="3"/>
        <v>Fundação estrutura metalica</v>
      </c>
      <c r="AE21" s="179"/>
      <c r="AF21" s="180">
        <f t="shared" si="16"/>
        <v>0</v>
      </c>
      <c r="AG21" s="180">
        <f t="shared" si="17"/>
        <v>0</v>
      </c>
      <c r="AH21" s="181">
        <f t="shared" si="18"/>
        <v>0</v>
      </c>
      <c r="AI21" s="182"/>
      <c r="AJ21" s="90"/>
      <c r="AK21" s="90"/>
      <c r="AL21" s="183">
        <f t="shared" si="19"/>
        <v>0</v>
      </c>
      <c r="AM21" s="182"/>
      <c r="AN21" s="90"/>
      <c r="AO21" s="90"/>
      <c r="AP21" s="183">
        <f t="shared" si="4"/>
        <v>0</v>
      </c>
      <c r="AQ21" s="182"/>
      <c r="AR21" s="90"/>
      <c r="AS21" s="90"/>
      <c r="AT21" s="183">
        <f t="shared" si="5"/>
        <v>0</v>
      </c>
      <c r="AU21" s="182"/>
      <c r="AV21" s="90"/>
      <c r="AW21" s="90"/>
      <c r="AX21" s="183">
        <f t="shared" si="6"/>
        <v>0</v>
      </c>
      <c r="AY21" s="182"/>
      <c r="AZ21" s="90"/>
      <c r="BA21" s="90"/>
      <c r="BB21" s="183">
        <f t="shared" si="7"/>
        <v>0</v>
      </c>
      <c r="BC21" s="182"/>
      <c r="BD21" s="90"/>
      <c r="BE21" s="90"/>
      <c r="BF21" s="183">
        <f t="shared" si="8"/>
        <v>0</v>
      </c>
      <c r="BG21" s="182"/>
      <c r="BH21" s="90"/>
      <c r="BI21" s="90"/>
      <c r="BJ21" s="183">
        <f t="shared" si="9"/>
        <v>0</v>
      </c>
      <c r="BK21" s="182"/>
      <c r="BL21" s="90"/>
      <c r="BM21" s="90"/>
      <c r="BN21" s="183">
        <f t="shared" si="10"/>
        <v>0</v>
      </c>
      <c r="BO21" s="182"/>
      <c r="BP21" s="90"/>
      <c r="BQ21" s="90"/>
      <c r="BR21" s="183">
        <f t="shared" si="11"/>
        <v>0</v>
      </c>
      <c r="BS21" s="182"/>
      <c r="BT21" s="90"/>
      <c r="BU21" s="90"/>
      <c r="BV21" s="183">
        <f t="shared" si="12"/>
        <v>0</v>
      </c>
      <c r="BW21" s="182"/>
      <c r="BX21" s="90"/>
      <c r="BY21" s="90"/>
      <c r="BZ21" s="183">
        <f t="shared" si="13"/>
        <v>0</v>
      </c>
      <c r="CA21" s="182"/>
      <c r="CB21" s="90"/>
      <c r="CC21" s="90"/>
      <c r="CD21" s="183">
        <f t="shared" si="14"/>
        <v>0</v>
      </c>
    </row>
    <row r="22" spans="2:82" x14ac:dyDescent="0.3">
      <c r="B22" s="53"/>
      <c r="C22" s="53" t="str">
        <f t="shared" si="0"/>
        <v>CPU_Fundaçãoestruturamet</v>
      </c>
      <c r="D22" s="278">
        <f t="shared" si="1"/>
        <v>0.2</v>
      </c>
      <c r="E22" s="278">
        <f t="shared" si="2"/>
        <v>0</v>
      </c>
      <c r="F22" s="1"/>
      <c r="G22" s="28" t="str">
        <f>IFERROR(VLOOKUP(F22,Tabela7[[RECURSO]:[CUSTO]],2,FALSE),"")</f>
        <v/>
      </c>
      <c r="H22" s="92"/>
      <c r="I22" s="90"/>
      <c r="J22" s="45">
        <f>IFERROR(VLOOKUP(F22,Tabela7[[RECURSO]:[CUSTO]],3,FALSE),0)</f>
        <v>0</v>
      </c>
      <c r="K22" s="45">
        <f>I22*J22*CPU_49[[#This Row],[Nº]]</f>
        <v>0</v>
      </c>
      <c r="M22" s="31"/>
      <c r="N22" s="297"/>
      <c r="O22" s="60">
        <f t="shared" si="15"/>
        <v>0</v>
      </c>
      <c r="AD22" s="144" t="str">
        <f t="shared" si="3"/>
        <v>Fundação estrutura metalica</v>
      </c>
      <c r="AE22" s="179"/>
      <c r="AF22" s="180">
        <f t="shared" si="16"/>
        <v>0</v>
      </c>
      <c r="AG22" s="180">
        <f t="shared" si="17"/>
        <v>0</v>
      </c>
      <c r="AH22" s="181">
        <f t="shared" si="18"/>
        <v>0</v>
      </c>
      <c r="AI22" s="182"/>
      <c r="AJ22" s="90"/>
      <c r="AK22" s="90"/>
      <c r="AL22" s="183">
        <f t="shared" si="19"/>
        <v>0</v>
      </c>
      <c r="AM22" s="182"/>
      <c r="AN22" s="90"/>
      <c r="AO22" s="90"/>
      <c r="AP22" s="183">
        <f t="shared" si="4"/>
        <v>0</v>
      </c>
      <c r="AQ22" s="182"/>
      <c r="AR22" s="90"/>
      <c r="AS22" s="90"/>
      <c r="AT22" s="183">
        <f t="shared" si="5"/>
        <v>0</v>
      </c>
      <c r="AU22" s="182"/>
      <c r="AV22" s="90"/>
      <c r="AW22" s="90"/>
      <c r="AX22" s="183">
        <f t="shared" si="6"/>
        <v>0</v>
      </c>
      <c r="AY22" s="182"/>
      <c r="AZ22" s="90"/>
      <c r="BA22" s="90"/>
      <c r="BB22" s="183">
        <f t="shared" si="7"/>
        <v>0</v>
      </c>
      <c r="BC22" s="182"/>
      <c r="BD22" s="90"/>
      <c r="BE22" s="90"/>
      <c r="BF22" s="183">
        <f t="shared" si="8"/>
        <v>0</v>
      </c>
      <c r="BG22" s="182"/>
      <c r="BH22" s="90"/>
      <c r="BI22" s="90"/>
      <c r="BJ22" s="183">
        <f t="shared" si="9"/>
        <v>0</v>
      </c>
      <c r="BK22" s="182"/>
      <c r="BL22" s="90"/>
      <c r="BM22" s="90"/>
      <c r="BN22" s="183">
        <f t="shared" si="10"/>
        <v>0</v>
      </c>
      <c r="BO22" s="182"/>
      <c r="BP22" s="90"/>
      <c r="BQ22" s="90"/>
      <c r="BR22" s="183">
        <f t="shared" si="11"/>
        <v>0</v>
      </c>
      <c r="BS22" s="182"/>
      <c r="BT22" s="90"/>
      <c r="BU22" s="90"/>
      <c r="BV22" s="183">
        <f t="shared" si="12"/>
        <v>0</v>
      </c>
      <c r="BW22" s="182"/>
      <c r="BX22" s="90"/>
      <c r="BY22" s="90"/>
      <c r="BZ22" s="183">
        <f t="shared" si="13"/>
        <v>0</v>
      </c>
      <c r="CA22" s="182"/>
      <c r="CB22" s="90"/>
      <c r="CC22" s="90"/>
      <c r="CD22" s="183">
        <f t="shared" si="14"/>
        <v>0</v>
      </c>
    </row>
    <row r="23" spans="2:82" ht="15" thickBot="1" x14ac:dyDescent="0.35">
      <c r="B23" s="53"/>
      <c r="C23" s="53" t="str">
        <f t="shared" si="0"/>
        <v>CPU_Fundaçãoestruturamet</v>
      </c>
      <c r="D23" s="278">
        <f t="shared" si="1"/>
        <v>0.2</v>
      </c>
      <c r="E23" s="278">
        <f t="shared" si="2"/>
        <v>0</v>
      </c>
      <c r="F23" s="1"/>
      <c r="G23" s="28" t="str">
        <f>IFERROR(VLOOKUP(F23,Tabela7[[RECURSO]:[CUSTO]],2,FALSE),"")</f>
        <v/>
      </c>
      <c r="H23" s="92"/>
      <c r="I23" s="90"/>
      <c r="J23" s="45">
        <f>IFERROR(VLOOKUP(F23,Tabela7[[RECURSO]:[CUSTO]],3,FALSE),0)</f>
        <v>0</v>
      </c>
      <c r="K23" s="45">
        <f>I23*J23*CPU_49[[#This Row],[Nº]]</f>
        <v>0</v>
      </c>
      <c r="M23" s="51"/>
      <c r="N23" s="298"/>
      <c r="O23" s="61">
        <f t="shared" si="15"/>
        <v>0</v>
      </c>
      <c r="AD23" s="144" t="str">
        <f t="shared" si="3"/>
        <v>Fundação estrutura metalica</v>
      </c>
      <c r="AE23" s="179"/>
      <c r="AF23" s="180">
        <f t="shared" si="16"/>
        <v>0</v>
      </c>
      <c r="AG23" s="180">
        <f t="shared" si="17"/>
        <v>0</v>
      </c>
      <c r="AH23" s="181">
        <f t="shared" si="18"/>
        <v>0</v>
      </c>
      <c r="AI23" s="182"/>
      <c r="AJ23" s="90"/>
      <c r="AK23" s="90"/>
      <c r="AL23" s="183">
        <f t="shared" si="19"/>
        <v>0</v>
      </c>
      <c r="AM23" s="182"/>
      <c r="AN23" s="90"/>
      <c r="AO23" s="90"/>
      <c r="AP23" s="183">
        <f t="shared" si="4"/>
        <v>0</v>
      </c>
      <c r="AQ23" s="182"/>
      <c r="AR23" s="90"/>
      <c r="AS23" s="90"/>
      <c r="AT23" s="183">
        <f t="shared" si="5"/>
        <v>0</v>
      </c>
      <c r="AU23" s="182"/>
      <c r="AV23" s="90"/>
      <c r="AW23" s="90"/>
      <c r="AX23" s="183">
        <f t="shared" si="6"/>
        <v>0</v>
      </c>
      <c r="AY23" s="182"/>
      <c r="AZ23" s="90"/>
      <c r="BA23" s="90"/>
      <c r="BB23" s="183">
        <f t="shared" si="7"/>
        <v>0</v>
      </c>
      <c r="BC23" s="182"/>
      <c r="BD23" s="90"/>
      <c r="BE23" s="90"/>
      <c r="BF23" s="183">
        <f t="shared" si="8"/>
        <v>0</v>
      </c>
      <c r="BG23" s="182"/>
      <c r="BH23" s="90"/>
      <c r="BI23" s="90"/>
      <c r="BJ23" s="183">
        <f t="shared" si="9"/>
        <v>0</v>
      </c>
      <c r="BK23" s="182"/>
      <c r="BL23" s="90"/>
      <c r="BM23" s="90"/>
      <c r="BN23" s="183">
        <f t="shared" si="10"/>
        <v>0</v>
      </c>
      <c r="BO23" s="182"/>
      <c r="BP23" s="90"/>
      <c r="BQ23" s="90"/>
      <c r="BR23" s="183">
        <f t="shared" si="11"/>
        <v>0</v>
      </c>
      <c r="BS23" s="182"/>
      <c r="BT23" s="90"/>
      <c r="BU23" s="90"/>
      <c r="BV23" s="183">
        <f t="shared" si="12"/>
        <v>0</v>
      </c>
      <c r="BW23" s="182"/>
      <c r="BX23" s="90"/>
      <c r="BY23" s="90"/>
      <c r="BZ23" s="183">
        <f t="shared" si="13"/>
        <v>0</v>
      </c>
      <c r="CA23" s="182"/>
      <c r="CB23" s="90"/>
      <c r="CC23" s="90"/>
      <c r="CD23" s="183">
        <f t="shared" si="14"/>
        <v>0</v>
      </c>
    </row>
    <row r="24" spans="2:82" x14ac:dyDescent="0.3">
      <c r="B24" s="52" t="s">
        <v>686</v>
      </c>
      <c r="C24" s="52" t="str">
        <f t="shared" si="0"/>
        <v>CPU_Fundaçãoestruturamet</v>
      </c>
      <c r="D24" s="277">
        <f t="shared" si="1"/>
        <v>0.2</v>
      </c>
      <c r="E24" s="277">
        <f t="shared" si="2"/>
        <v>0</v>
      </c>
      <c r="F24" s="37"/>
      <c r="G24" s="38"/>
      <c r="H24" s="91"/>
      <c r="I24" s="40"/>
      <c r="J24" s="40">
        <f>IFERROR(K24/$B$6,0)</f>
        <v>0</v>
      </c>
      <c r="K24" s="40">
        <f>SUM(K25:K36)</f>
        <v>0</v>
      </c>
      <c r="AD24" s="144" t="str">
        <f t="shared" si="3"/>
        <v>Fundação estrutura metalica</v>
      </c>
      <c r="AE24" s="184"/>
      <c r="AF24" s="40"/>
      <c r="AG24" s="40">
        <f>IFERROR(AH24/AF$3,0)</f>
        <v>0</v>
      </c>
      <c r="AH24" s="185">
        <f>SUM(AH25:AH36)</f>
        <v>0</v>
      </c>
      <c r="AI24" s="184"/>
      <c r="AJ24" s="40"/>
      <c r="AK24" s="40">
        <f>IFERROR(AL24/AJ$3,0)</f>
        <v>0</v>
      </c>
      <c r="AL24" s="185">
        <f>SUM(AL25:AL36)</f>
        <v>0</v>
      </c>
      <c r="AM24" s="184"/>
      <c r="AN24" s="40"/>
      <c r="AO24" s="40">
        <f>IFERROR(AP24/AN$3,0)</f>
        <v>0</v>
      </c>
      <c r="AP24" s="185">
        <f>SUM(AP25:AP36)</f>
        <v>0</v>
      </c>
      <c r="AQ24" s="184"/>
      <c r="AR24" s="40"/>
      <c r="AS24" s="40">
        <f>IFERROR(AT24/AR$3,0)</f>
        <v>0</v>
      </c>
      <c r="AT24" s="185">
        <f>SUM(AT25:AT36)</f>
        <v>0</v>
      </c>
      <c r="AU24" s="184"/>
      <c r="AV24" s="40"/>
      <c r="AW24" s="40">
        <f>IFERROR(AX24/AV$3,0)</f>
        <v>0</v>
      </c>
      <c r="AX24" s="185">
        <f>SUM(AX25:AX36)</f>
        <v>0</v>
      </c>
      <c r="AY24" s="184"/>
      <c r="AZ24" s="40"/>
      <c r="BA24" s="40">
        <f>IFERROR(BB24/AZ$3,0)</f>
        <v>0</v>
      </c>
      <c r="BB24" s="185">
        <f>SUM(BB25:BB36)</f>
        <v>0</v>
      </c>
      <c r="BC24" s="184"/>
      <c r="BD24" s="40"/>
      <c r="BE24" s="40">
        <f>IFERROR(BF24/BD$3,0)</f>
        <v>0</v>
      </c>
      <c r="BF24" s="185">
        <f>SUM(BF25:BF36)</f>
        <v>0</v>
      </c>
      <c r="BG24" s="184"/>
      <c r="BH24" s="40"/>
      <c r="BI24" s="40">
        <f>IFERROR(BJ24/BH$3,0)</f>
        <v>0</v>
      </c>
      <c r="BJ24" s="185">
        <f>SUM(BJ25:BJ36)</f>
        <v>0</v>
      </c>
      <c r="BK24" s="184"/>
      <c r="BL24" s="40"/>
      <c r="BM24" s="40">
        <f>IFERROR(BN24/BL$3,0)</f>
        <v>0</v>
      </c>
      <c r="BN24" s="185">
        <f>SUM(BN25:BN36)</f>
        <v>0</v>
      </c>
      <c r="BO24" s="184"/>
      <c r="BP24" s="40"/>
      <c r="BQ24" s="40">
        <f>IFERROR(BR24/BP$3,0)</f>
        <v>0</v>
      </c>
      <c r="BR24" s="185">
        <f>SUM(BR25:BR36)</f>
        <v>0</v>
      </c>
      <c r="BS24" s="184"/>
      <c r="BT24" s="40"/>
      <c r="BU24" s="40">
        <f>IFERROR(BV24/BT$3,0)</f>
        <v>0</v>
      </c>
      <c r="BV24" s="185">
        <f>SUM(BV25:BV36)</f>
        <v>0</v>
      </c>
      <c r="BW24" s="184"/>
      <c r="BX24" s="40"/>
      <c r="BY24" s="40">
        <f>IFERROR(BZ24/BX$3,0)</f>
        <v>0</v>
      </c>
      <c r="BZ24" s="185">
        <f>SUM(BZ25:BZ36)</f>
        <v>0</v>
      </c>
      <c r="CA24" s="184"/>
      <c r="CB24" s="40"/>
      <c r="CC24" s="40">
        <f>IFERROR(CD24/CB$3,0)</f>
        <v>0</v>
      </c>
      <c r="CD24" s="185">
        <f>SUM(CD25:CD36)</f>
        <v>0</v>
      </c>
    </row>
    <row r="25" spans="2:82" x14ac:dyDescent="0.3">
      <c r="B25" s="53"/>
      <c r="C25" s="53" t="str">
        <f t="shared" si="0"/>
        <v>CPU_Fundaçãoestruturamet</v>
      </c>
      <c r="D25" s="278">
        <f t="shared" si="1"/>
        <v>0.2</v>
      </c>
      <c r="E25" s="278">
        <f t="shared" si="2"/>
        <v>0</v>
      </c>
      <c r="F25" s="1"/>
      <c r="G25" s="28" t="str">
        <f>IFERROR(VLOOKUP(F25,Tabela7[[RECURSO]:[CUSTO]],2,FALSE),"")</f>
        <v/>
      </c>
      <c r="H25" s="93"/>
      <c r="I25" s="90">
        <f>IFERROR(SUMPRODUCT(I12:I23,M12:M23,H12:H23,N12:N23),0)</f>
        <v>0</v>
      </c>
      <c r="J25" s="45">
        <f>IFERROR(VLOOKUP(F25,Tabela7[[RECURSO]:[CUSTO]],3,FALSE),0)</f>
        <v>0</v>
      </c>
      <c r="K25" s="45">
        <f>I25*J25</f>
        <v>0</v>
      </c>
      <c r="AD25" s="144" t="str">
        <f t="shared" si="3"/>
        <v>Fundação estrutura metalica</v>
      </c>
      <c r="AE25" s="179"/>
      <c r="AF25" s="180">
        <f t="shared" ref="AF25:AF36" si="20">AJ25+AN25+AR25+AV25+AZ25+BD25+BH25+BL25+BP25+BT25+BX25+CB25</f>
        <v>0</v>
      </c>
      <c r="AG25" s="180">
        <f t="shared" si="17"/>
        <v>0</v>
      </c>
      <c r="AH25" s="181">
        <f t="shared" ref="AH25:AH36" si="21">AL25+AP25+AT25+AX25+BB25+BF25+BJ25+BN25+BR25+BV25+BZ25+CD25</f>
        <v>0</v>
      </c>
      <c r="AI25" s="182"/>
      <c r="AJ25" s="90"/>
      <c r="AK25" s="90"/>
      <c r="AL25" s="183">
        <f t="shared" ref="AL25:AL36" si="22">AJ25*AK25</f>
        <v>0</v>
      </c>
      <c r="AM25" s="182"/>
      <c r="AN25" s="90"/>
      <c r="AO25" s="90"/>
      <c r="AP25" s="183">
        <f t="shared" ref="AP25:AP62" si="23">AN25*AO25</f>
        <v>0</v>
      </c>
      <c r="AQ25" s="182"/>
      <c r="AR25" s="90"/>
      <c r="AS25" s="90"/>
      <c r="AT25" s="183">
        <f t="shared" ref="AT25:AT62" si="24">AR25*AS25</f>
        <v>0</v>
      </c>
      <c r="AU25" s="182"/>
      <c r="AV25" s="90"/>
      <c r="AW25" s="90"/>
      <c r="AX25" s="183">
        <f t="shared" ref="AX25:AX62" si="25">AV25*AW25</f>
        <v>0</v>
      </c>
      <c r="AY25" s="182"/>
      <c r="AZ25" s="90"/>
      <c r="BA25" s="90"/>
      <c r="BB25" s="183">
        <f t="shared" ref="BB25:BB62" si="26">AZ25*BA25</f>
        <v>0</v>
      </c>
      <c r="BC25" s="182"/>
      <c r="BD25" s="90"/>
      <c r="BE25" s="90"/>
      <c r="BF25" s="183">
        <f t="shared" ref="BF25:BF62" si="27">BD25*BE25</f>
        <v>0</v>
      </c>
      <c r="BG25" s="182"/>
      <c r="BH25" s="90"/>
      <c r="BI25" s="90"/>
      <c r="BJ25" s="183">
        <f t="shared" ref="BJ25:BJ62" si="28">BH25*BI25</f>
        <v>0</v>
      </c>
      <c r="BK25" s="182"/>
      <c r="BL25" s="90"/>
      <c r="BM25" s="90"/>
      <c r="BN25" s="183">
        <f t="shared" ref="BN25:BN62" si="29">BL25*BM25</f>
        <v>0</v>
      </c>
      <c r="BO25" s="182"/>
      <c r="BP25" s="90"/>
      <c r="BQ25" s="90"/>
      <c r="BR25" s="183">
        <f t="shared" ref="BR25:BR62" si="30">BP25*BQ25</f>
        <v>0</v>
      </c>
      <c r="BS25" s="182"/>
      <c r="BT25" s="90"/>
      <c r="BU25" s="90"/>
      <c r="BV25" s="183">
        <f t="shared" ref="BV25:BV62" si="31">BT25*BU25</f>
        <v>0</v>
      </c>
      <c r="BW25" s="182"/>
      <c r="BX25" s="90"/>
      <c r="BY25" s="90"/>
      <c r="BZ25" s="183">
        <f t="shared" ref="BZ25:BZ62" si="32">BX25*BY25</f>
        <v>0</v>
      </c>
      <c r="CA25" s="182"/>
      <c r="CB25" s="90"/>
      <c r="CC25" s="90"/>
      <c r="CD25" s="183">
        <f t="shared" ref="CD25:CD62" si="33">CB25*CC25</f>
        <v>0</v>
      </c>
    </row>
    <row r="26" spans="2:82" x14ac:dyDescent="0.3">
      <c r="B26" s="53"/>
      <c r="C26" s="53" t="str">
        <f t="shared" si="0"/>
        <v>CPU_Fundaçãoestruturamet</v>
      </c>
      <c r="D26" s="278">
        <f t="shared" si="1"/>
        <v>0.2</v>
      </c>
      <c r="E26" s="278">
        <f t="shared" si="2"/>
        <v>0</v>
      </c>
      <c r="F26" s="1"/>
      <c r="G26" s="28" t="str">
        <f>IFERROR(VLOOKUP(F26,Tabela7[[RECURSO]:[CUSTO]],2,FALSE),"")</f>
        <v/>
      </c>
      <c r="H26" s="93"/>
      <c r="I26" s="90"/>
      <c r="J26" s="45">
        <f>IFERROR(VLOOKUP(F26,Tabela7[[RECURSO]:[CUSTO]],3,FALSE),0)</f>
        <v>0</v>
      </c>
      <c r="K26" s="45">
        <f t="shared" ref="K26:K36" si="34">I26*J26</f>
        <v>0</v>
      </c>
      <c r="AD26" s="144" t="str">
        <f t="shared" si="3"/>
        <v>Fundação estrutura metalica</v>
      </c>
      <c r="AE26" s="179"/>
      <c r="AF26" s="180">
        <f t="shared" si="20"/>
        <v>0</v>
      </c>
      <c r="AG26" s="180">
        <f t="shared" si="17"/>
        <v>0</v>
      </c>
      <c r="AH26" s="181">
        <f t="shared" si="21"/>
        <v>0</v>
      </c>
      <c r="AI26" s="182"/>
      <c r="AJ26" s="90"/>
      <c r="AK26" s="90"/>
      <c r="AL26" s="183">
        <f t="shared" si="22"/>
        <v>0</v>
      </c>
      <c r="AM26" s="182"/>
      <c r="AN26" s="90"/>
      <c r="AO26" s="90"/>
      <c r="AP26" s="183">
        <f t="shared" si="23"/>
        <v>0</v>
      </c>
      <c r="AQ26" s="182"/>
      <c r="AR26" s="90"/>
      <c r="AS26" s="90"/>
      <c r="AT26" s="183">
        <f t="shared" si="24"/>
        <v>0</v>
      </c>
      <c r="AU26" s="182"/>
      <c r="AV26" s="90"/>
      <c r="AW26" s="90"/>
      <c r="AX26" s="183">
        <f t="shared" si="25"/>
        <v>0</v>
      </c>
      <c r="AY26" s="182"/>
      <c r="AZ26" s="90"/>
      <c r="BA26" s="90"/>
      <c r="BB26" s="183">
        <f t="shared" si="26"/>
        <v>0</v>
      </c>
      <c r="BC26" s="182"/>
      <c r="BD26" s="90"/>
      <c r="BE26" s="90"/>
      <c r="BF26" s="183">
        <f t="shared" si="27"/>
        <v>0</v>
      </c>
      <c r="BG26" s="182"/>
      <c r="BH26" s="90"/>
      <c r="BI26" s="90"/>
      <c r="BJ26" s="183">
        <f t="shared" si="28"/>
        <v>0</v>
      </c>
      <c r="BK26" s="182"/>
      <c r="BL26" s="90"/>
      <c r="BM26" s="90"/>
      <c r="BN26" s="183">
        <f t="shared" si="29"/>
        <v>0</v>
      </c>
      <c r="BO26" s="182"/>
      <c r="BP26" s="90"/>
      <c r="BQ26" s="90"/>
      <c r="BR26" s="183">
        <f t="shared" si="30"/>
        <v>0</v>
      </c>
      <c r="BS26" s="182"/>
      <c r="BT26" s="90"/>
      <c r="BU26" s="90"/>
      <c r="BV26" s="183">
        <f t="shared" si="31"/>
        <v>0</v>
      </c>
      <c r="BW26" s="182"/>
      <c r="BX26" s="90"/>
      <c r="BY26" s="90"/>
      <c r="BZ26" s="183">
        <f t="shared" si="32"/>
        <v>0</v>
      </c>
      <c r="CA26" s="182"/>
      <c r="CB26" s="90"/>
      <c r="CC26" s="90"/>
      <c r="CD26" s="183">
        <f t="shared" si="33"/>
        <v>0</v>
      </c>
    </row>
    <row r="27" spans="2:82" x14ac:dyDescent="0.3">
      <c r="B27" s="53"/>
      <c r="C27" s="53" t="str">
        <f t="shared" si="0"/>
        <v>CPU_Fundaçãoestruturamet</v>
      </c>
      <c r="D27" s="278">
        <f t="shared" si="1"/>
        <v>0.2</v>
      </c>
      <c r="E27" s="278">
        <f t="shared" si="2"/>
        <v>0</v>
      </c>
      <c r="F27" s="1"/>
      <c r="G27" s="28" t="str">
        <f>IFERROR(VLOOKUP(F27,Tabela7[[RECURSO]:[CUSTO]],2,FALSE),"")</f>
        <v/>
      </c>
      <c r="H27" s="93"/>
      <c r="I27" s="90"/>
      <c r="J27" s="45">
        <f>IFERROR(VLOOKUP(F27,Tabela7[[RECURSO]:[CUSTO]],3,FALSE),0)</f>
        <v>0</v>
      </c>
      <c r="K27" s="45">
        <f t="shared" si="34"/>
        <v>0</v>
      </c>
      <c r="AD27" s="144" t="str">
        <f t="shared" si="3"/>
        <v>Fundação estrutura metalica</v>
      </c>
      <c r="AE27" s="179"/>
      <c r="AF27" s="180">
        <f t="shared" si="20"/>
        <v>0</v>
      </c>
      <c r="AG27" s="180">
        <f t="shared" si="17"/>
        <v>0</v>
      </c>
      <c r="AH27" s="181">
        <f t="shared" si="21"/>
        <v>0</v>
      </c>
      <c r="AI27" s="182"/>
      <c r="AJ27" s="90"/>
      <c r="AK27" s="90"/>
      <c r="AL27" s="183">
        <f t="shared" si="22"/>
        <v>0</v>
      </c>
      <c r="AM27" s="182"/>
      <c r="AN27" s="90"/>
      <c r="AO27" s="90"/>
      <c r="AP27" s="183">
        <f t="shared" si="23"/>
        <v>0</v>
      </c>
      <c r="AQ27" s="182"/>
      <c r="AR27" s="90"/>
      <c r="AS27" s="90"/>
      <c r="AT27" s="183">
        <f t="shared" si="24"/>
        <v>0</v>
      </c>
      <c r="AU27" s="182"/>
      <c r="AV27" s="90"/>
      <c r="AW27" s="90"/>
      <c r="AX27" s="183">
        <f t="shared" si="25"/>
        <v>0</v>
      </c>
      <c r="AY27" s="182"/>
      <c r="AZ27" s="90"/>
      <c r="BA27" s="90"/>
      <c r="BB27" s="183">
        <f t="shared" si="26"/>
        <v>0</v>
      </c>
      <c r="BC27" s="182"/>
      <c r="BD27" s="90"/>
      <c r="BE27" s="90"/>
      <c r="BF27" s="183">
        <f t="shared" si="27"/>
        <v>0</v>
      </c>
      <c r="BG27" s="182"/>
      <c r="BH27" s="90"/>
      <c r="BI27" s="90"/>
      <c r="BJ27" s="183">
        <f t="shared" si="28"/>
        <v>0</v>
      </c>
      <c r="BK27" s="182"/>
      <c r="BL27" s="90"/>
      <c r="BM27" s="90"/>
      <c r="BN27" s="183">
        <f t="shared" si="29"/>
        <v>0</v>
      </c>
      <c r="BO27" s="182"/>
      <c r="BP27" s="90"/>
      <c r="BQ27" s="90"/>
      <c r="BR27" s="183">
        <f t="shared" si="30"/>
        <v>0</v>
      </c>
      <c r="BS27" s="182"/>
      <c r="BT27" s="90"/>
      <c r="BU27" s="90"/>
      <c r="BV27" s="183">
        <f t="shared" si="31"/>
        <v>0</v>
      </c>
      <c r="BW27" s="182"/>
      <c r="BX27" s="90"/>
      <c r="BY27" s="90"/>
      <c r="BZ27" s="183">
        <f t="shared" si="32"/>
        <v>0</v>
      </c>
      <c r="CA27" s="182"/>
      <c r="CB27" s="90"/>
      <c r="CC27" s="90"/>
      <c r="CD27" s="183">
        <f t="shared" si="33"/>
        <v>0</v>
      </c>
    </row>
    <row r="28" spans="2:82" x14ac:dyDescent="0.3">
      <c r="B28" s="53"/>
      <c r="C28" s="53" t="str">
        <f t="shared" si="0"/>
        <v>CPU_Fundaçãoestruturamet</v>
      </c>
      <c r="D28" s="278">
        <f t="shared" si="1"/>
        <v>0.2</v>
      </c>
      <c r="E28" s="278">
        <f t="shared" si="2"/>
        <v>0</v>
      </c>
      <c r="F28" s="1"/>
      <c r="G28" s="28" t="str">
        <f>IFERROR(VLOOKUP(F28,Tabela7[[RECURSO]:[CUSTO]],2,FALSE),"")</f>
        <v/>
      </c>
      <c r="H28" s="93"/>
      <c r="I28" s="90"/>
      <c r="J28" s="45">
        <f>IFERROR(VLOOKUP(F28,Tabela7[[RECURSO]:[CUSTO]],3,FALSE),0)</f>
        <v>0</v>
      </c>
      <c r="K28" s="45">
        <f t="shared" si="34"/>
        <v>0</v>
      </c>
      <c r="AD28" s="144" t="str">
        <f t="shared" si="3"/>
        <v>Fundação estrutura metalica</v>
      </c>
      <c r="AE28" s="179"/>
      <c r="AF28" s="180">
        <f t="shared" si="20"/>
        <v>0</v>
      </c>
      <c r="AG28" s="180">
        <f t="shared" si="17"/>
        <v>0</v>
      </c>
      <c r="AH28" s="181">
        <f t="shared" si="21"/>
        <v>0</v>
      </c>
      <c r="AI28" s="182"/>
      <c r="AJ28" s="90"/>
      <c r="AK28" s="90"/>
      <c r="AL28" s="183">
        <f t="shared" si="22"/>
        <v>0</v>
      </c>
      <c r="AM28" s="182"/>
      <c r="AN28" s="90"/>
      <c r="AO28" s="90"/>
      <c r="AP28" s="183">
        <f t="shared" si="23"/>
        <v>0</v>
      </c>
      <c r="AQ28" s="182"/>
      <c r="AR28" s="90"/>
      <c r="AS28" s="90"/>
      <c r="AT28" s="183">
        <f t="shared" si="24"/>
        <v>0</v>
      </c>
      <c r="AU28" s="182"/>
      <c r="AV28" s="90"/>
      <c r="AW28" s="90"/>
      <c r="AX28" s="183">
        <f t="shared" si="25"/>
        <v>0</v>
      </c>
      <c r="AY28" s="182"/>
      <c r="AZ28" s="90"/>
      <c r="BA28" s="90"/>
      <c r="BB28" s="183">
        <f t="shared" si="26"/>
        <v>0</v>
      </c>
      <c r="BC28" s="182"/>
      <c r="BD28" s="90"/>
      <c r="BE28" s="90"/>
      <c r="BF28" s="183">
        <f t="shared" si="27"/>
        <v>0</v>
      </c>
      <c r="BG28" s="182"/>
      <c r="BH28" s="90"/>
      <c r="BI28" s="90"/>
      <c r="BJ28" s="183">
        <f t="shared" si="28"/>
        <v>0</v>
      </c>
      <c r="BK28" s="182"/>
      <c r="BL28" s="90"/>
      <c r="BM28" s="90"/>
      <c r="BN28" s="183">
        <f t="shared" si="29"/>
        <v>0</v>
      </c>
      <c r="BO28" s="182"/>
      <c r="BP28" s="90"/>
      <c r="BQ28" s="90"/>
      <c r="BR28" s="183">
        <f t="shared" si="30"/>
        <v>0</v>
      </c>
      <c r="BS28" s="182"/>
      <c r="BT28" s="90"/>
      <c r="BU28" s="90"/>
      <c r="BV28" s="183">
        <f t="shared" si="31"/>
        <v>0</v>
      </c>
      <c r="BW28" s="182"/>
      <c r="BX28" s="90"/>
      <c r="BY28" s="90"/>
      <c r="BZ28" s="183">
        <f t="shared" si="32"/>
        <v>0</v>
      </c>
      <c r="CA28" s="182"/>
      <c r="CB28" s="90"/>
      <c r="CC28" s="90"/>
      <c r="CD28" s="183">
        <f t="shared" si="33"/>
        <v>0</v>
      </c>
    </row>
    <row r="29" spans="2:82" x14ac:dyDescent="0.3">
      <c r="B29" s="53"/>
      <c r="C29" s="53" t="str">
        <f t="shared" si="0"/>
        <v>CPU_Fundaçãoestruturamet</v>
      </c>
      <c r="D29" s="278">
        <f t="shared" si="1"/>
        <v>0.2</v>
      </c>
      <c r="E29" s="278">
        <f t="shared" si="2"/>
        <v>0</v>
      </c>
      <c r="F29" s="1"/>
      <c r="G29" s="28" t="str">
        <f>IFERROR(VLOOKUP(F29,Tabela7[[RECURSO]:[CUSTO]],2,FALSE),"")</f>
        <v/>
      </c>
      <c r="H29" s="93"/>
      <c r="I29" s="90"/>
      <c r="J29" s="45">
        <f>IFERROR(VLOOKUP(F29,Tabela7[[RECURSO]:[CUSTO]],3,FALSE),0)</f>
        <v>0</v>
      </c>
      <c r="K29" s="45">
        <f t="shared" si="34"/>
        <v>0</v>
      </c>
      <c r="AD29" s="144" t="str">
        <f t="shared" si="3"/>
        <v>Fundação estrutura metalica</v>
      </c>
      <c r="AE29" s="179"/>
      <c r="AF29" s="180">
        <f t="shared" si="20"/>
        <v>0</v>
      </c>
      <c r="AG29" s="180">
        <f t="shared" si="17"/>
        <v>0</v>
      </c>
      <c r="AH29" s="181">
        <f t="shared" si="21"/>
        <v>0</v>
      </c>
      <c r="AI29" s="182"/>
      <c r="AJ29" s="90"/>
      <c r="AK29" s="90"/>
      <c r="AL29" s="183">
        <f t="shared" si="22"/>
        <v>0</v>
      </c>
      <c r="AM29" s="182"/>
      <c r="AN29" s="90"/>
      <c r="AO29" s="90"/>
      <c r="AP29" s="183">
        <f t="shared" si="23"/>
        <v>0</v>
      </c>
      <c r="AQ29" s="182"/>
      <c r="AR29" s="90"/>
      <c r="AS29" s="90"/>
      <c r="AT29" s="183">
        <f t="shared" si="24"/>
        <v>0</v>
      </c>
      <c r="AU29" s="182"/>
      <c r="AV29" s="90"/>
      <c r="AW29" s="90"/>
      <c r="AX29" s="183">
        <f t="shared" si="25"/>
        <v>0</v>
      </c>
      <c r="AY29" s="182"/>
      <c r="AZ29" s="90"/>
      <c r="BA29" s="90"/>
      <c r="BB29" s="183">
        <f t="shared" si="26"/>
        <v>0</v>
      </c>
      <c r="BC29" s="182"/>
      <c r="BD29" s="90"/>
      <c r="BE29" s="90"/>
      <c r="BF29" s="183">
        <f t="shared" si="27"/>
        <v>0</v>
      </c>
      <c r="BG29" s="182"/>
      <c r="BH29" s="90"/>
      <c r="BI29" s="90"/>
      <c r="BJ29" s="183">
        <f t="shared" si="28"/>
        <v>0</v>
      </c>
      <c r="BK29" s="182"/>
      <c r="BL29" s="90"/>
      <c r="BM29" s="90"/>
      <c r="BN29" s="183">
        <f t="shared" si="29"/>
        <v>0</v>
      </c>
      <c r="BO29" s="182"/>
      <c r="BP29" s="90"/>
      <c r="BQ29" s="90"/>
      <c r="BR29" s="183">
        <f t="shared" si="30"/>
        <v>0</v>
      </c>
      <c r="BS29" s="182"/>
      <c r="BT29" s="90"/>
      <c r="BU29" s="90"/>
      <c r="BV29" s="183">
        <f t="shared" si="31"/>
        <v>0</v>
      </c>
      <c r="BW29" s="182"/>
      <c r="BX29" s="90"/>
      <c r="BY29" s="90"/>
      <c r="BZ29" s="183">
        <f t="shared" si="32"/>
        <v>0</v>
      </c>
      <c r="CA29" s="182"/>
      <c r="CB29" s="90"/>
      <c r="CC29" s="90"/>
      <c r="CD29" s="183">
        <f t="shared" si="33"/>
        <v>0</v>
      </c>
    </row>
    <row r="30" spans="2:82" x14ac:dyDescent="0.3">
      <c r="B30" s="53"/>
      <c r="C30" s="53" t="str">
        <f t="shared" si="0"/>
        <v>CPU_Fundaçãoestruturamet</v>
      </c>
      <c r="D30" s="278">
        <f t="shared" si="1"/>
        <v>0.2</v>
      </c>
      <c r="E30" s="278">
        <f t="shared" si="2"/>
        <v>0</v>
      </c>
      <c r="F30" s="1"/>
      <c r="G30" s="28" t="str">
        <f>IFERROR(VLOOKUP(F30,Tabela7[[RECURSO]:[CUSTO]],2,FALSE),"")</f>
        <v/>
      </c>
      <c r="H30" s="93"/>
      <c r="I30" s="90"/>
      <c r="J30" s="45">
        <f>IFERROR(VLOOKUP(F30,Tabela7[[RECURSO]:[CUSTO]],3,FALSE),0)</f>
        <v>0</v>
      </c>
      <c r="K30" s="45">
        <f t="shared" si="34"/>
        <v>0</v>
      </c>
      <c r="AD30" s="144" t="str">
        <f t="shared" si="3"/>
        <v>Fundação estrutura metalica</v>
      </c>
      <c r="AE30" s="179"/>
      <c r="AF30" s="180">
        <f t="shared" si="20"/>
        <v>0</v>
      </c>
      <c r="AG30" s="180">
        <f t="shared" si="17"/>
        <v>0</v>
      </c>
      <c r="AH30" s="181">
        <f t="shared" si="21"/>
        <v>0</v>
      </c>
      <c r="AI30" s="182"/>
      <c r="AJ30" s="90"/>
      <c r="AK30" s="90"/>
      <c r="AL30" s="183">
        <f t="shared" si="22"/>
        <v>0</v>
      </c>
      <c r="AM30" s="182"/>
      <c r="AN30" s="90"/>
      <c r="AO30" s="90"/>
      <c r="AP30" s="183">
        <f t="shared" si="23"/>
        <v>0</v>
      </c>
      <c r="AQ30" s="182"/>
      <c r="AR30" s="90"/>
      <c r="AS30" s="90"/>
      <c r="AT30" s="183">
        <f t="shared" si="24"/>
        <v>0</v>
      </c>
      <c r="AU30" s="182"/>
      <c r="AV30" s="90"/>
      <c r="AW30" s="90"/>
      <c r="AX30" s="183">
        <f t="shared" si="25"/>
        <v>0</v>
      </c>
      <c r="AY30" s="182"/>
      <c r="AZ30" s="90"/>
      <c r="BA30" s="90"/>
      <c r="BB30" s="183">
        <f t="shared" si="26"/>
        <v>0</v>
      </c>
      <c r="BC30" s="182"/>
      <c r="BD30" s="90"/>
      <c r="BE30" s="90"/>
      <c r="BF30" s="183">
        <f t="shared" si="27"/>
        <v>0</v>
      </c>
      <c r="BG30" s="182"/>
      <c r="BH30" s="90"/>
      <c r="BI30" s="90"/>
      <c r="BJ30" s="183">
        <f t="shared" si="28"/>
        <v>0</v>
      </c>
      <c r="BK30" s="182"/>
      <c r="BL30" s="90"/>
      <c r="BM30" s="90"/>
      <c r="BN30" s="183">
        <f t="shared" si="29"/>
        <v>0</v>
      </c>
      <c r="BO30" s="182"/>
      <c r="BP30" s="90"/>
      <c r="BQ30" s="90"/>
      <c r="BR30" s="183">
        <f t="shared" si="30"/>
        <v>0</v>
      </c>
      <c r="BS30" s="182"/>
      <c r="BT30" s="90"/>
      <c r="BU30" s="90"/>
      <c r="BV30" s="183">
        <f t="shared" si="31"/>
        <v>0</v>
      </c>
      <c r="BW30" s="182"/>
      <c r="BX30" s="90"/>
      <c r="BY30" s="90"/>
      <c r="BZ30" s="183">
        <f t="shared" si="32"/>
        <v>0</v>
      </c>
      <c r="CA30" s="182"/>
      <c r="CB30" s="90"/>
      <c r="CC30" s="90"/>
      <c r="CD30" s="183">
        <f t="shared" si="33"/>
        <v>0</v>
      </c>
    </row>
    <row r="31" spans="2:82" x14ac:dyDescent="0.3">
      <c r="B31" s="53"/>
      <c r="C31" s="53" t="str">
        <f t="shared" si="0"/>
        <v>CPU_Fundaçãoestruturamet</v>
      </c>
      <c r="D31" s="278">
        <f t="shared" si="1"/>
        <v>0.2</v>
      </c>
      <c r="E31" s="278">
        <f t="shared" si="2"/>
        <v>0</v>
      </c>
      <c r="F31" s="1"/>
      <c r="G31" s="28" t="str">
        <f>IFERROR(VLOOKUP(F31,Tabela7[[RECURSO]:[CUSTO]],2,FALSE),"")</f>
        <v/>
      </c>
      <c r="H31" s="93"/>
      <c r="I31" s="90"/>
      <c r="J31" s="45">
        <f>IFERROR(VLOOKUP(F31,Tabela7[[RECURSO]:[CUSTO]],3,FALSE),0)</f>
        <v>0</v>
      </c>
      <c r="K31" s="45">
        <f t="shared" si="34"/>
        <v>0</v>
      </c>
      <c r="AD31" s="144" t="str">
        <f t="shared" si="3"/>
        <v>Fundação estrutura metalica</v>
      </c>
      <c r="AE31" s="179"/>
      <c r="AF31" s="180">
        <f t="shared" si="20"/>
        <v>0</v>
      </c>
      <c r="AG31" s="180">
        <f t="shared" si="17"/>
        <v>0</v>
      </c>
      <c r="AH31" s="181">
        <f t="shared" si="21"/>
        <v>0</v>
      </c>
      <c r="AI31" s="182"/>
      <c r="AJ31" s="90"/>
      <c r="AK31" s="90"/>
      <c r="AL31" s="183">
        <f t="shared" si="22"/>
        <v>0</v>
      </c>
      <c r="AM31" s="182"/>
      <c r="AN31" s="90"/>
      <c r="AO31" s="90"/>
      <c r="AP31" s="183">
        <f t="shared" si="23"/>
        <v>0</v>
      </c>
      <c r="AQ31" s="182"/>
      <c r="AR31" s="90"/>
      <c r="AS31" s="90"/>
      <c r="AT31" s="183">
        <f t="shared" si="24"/>
        <v>0</v>
      </c>
      <c r="AU31" s="182"/>
      <c r="AV31" s="90"/>
      <c r="AW31" s="90"/>
      <c r="AX31" s="183">
        <f t="shared" si="25"/>
        <v>0</v>
      </c>
      <c r="AY31" s="182"/>
      <c r="AZ31" s="90"/>
      <c r="BA31" s="90"/>
      <c r="BB31" s="183">
        <f t="shared" si="26"/>
        <v>0</v>
      </c>
      <c r="BC31" s="182"/>
      <c r="BD31" s="90"/>
      <c r="BE31" s="90"/>
      <c r="BF31" s="183">
        <f t="shared" si="27"/>
        <v>0</v>
      </c>
      <c r="BG31" s="182"/>
      <c r="BH31" s="90"/>
      <c r="BI31" s="90"/>
      <c r="BJ31" s="183">
        <f t="shared" si="28"/>
        <v>0</v>
      </c>
      <c r="BK31" s="182"/>
      <c r="BL31" s="90"/>
      <c r="BM31" s="90"/>
      <c r="BN31" s="183">
        <f t="shared" si="29"/>
        <v>0</v>
      </c>
      <c r="BO31" s="182"/>
      <c r="BP31" s="90"/>
      <c r="BQ31" s="90"/>
      <c r="BR31" s="183">
        <f t="shared" si="30"/>
        <v>0</v>
      </c>
      <c r="BS31" s="182"/>
      <c r="BT31" s="90"/>
      <c r="BU31" s="90"/>
      <c r="BV31" s="183">
        <f t="shared" si="31"/>
        <v>0</v>
      </c>
      <c r="BW31" s="182"/>
      <c r="BX31" s="90"/>
      <c r="BY31" s="90"/>
      <c r="BZ31" s="183">
        <f t="shared" si="32"/>
        <v>0</v>
      </c>
      <c r="CA31" s="182"/>
      <c r="CB31" s="90"/>
      <c r="CC31" s="90"/>
      <c r="CD31" s="183">
        <f t="shared" si="33"/>
        <v>0</v>
      </c>
    </row>
    <row r="32" spans="2:82" x14ac:dyDescent="0.3">
      <c r="B32" s="53"/>
      <c r="C32" s="53" t="str">
        <f t="shared" si="0"/>
        <v>CPU_Fundaçãoestruturamet</v>
      </c>
      <c r="D32" s="278">
        <f t="shared" si="1"/>
        <v>0.2</v>
      </c>
      <c r="E32" s="278">
        <f t="shared" si="2"/>
        <v>0</v>
      </c>
      <c r="F32" s="1"/>
      <c r="G32" s="28" t="str">
        <f>IFERROR(VLOOKUP(F32,Tabela7[[RECURSO]:[CUSTO]],2,FALSE),"")</f>
        <v/>
      </c>
      <c r="H32" s="93"/>
      <c r="I32" s="90"/>
      <c r="J32" s="45">
        <f>IFERROR(VLOOKUP(F32,Tabela7[[RECURSO]:[CUSTO]],3,FALSE),0)</f>
        <v>0</v>
      </c>
      <c r="K32" s="45">
        <f t="shared" si="34"/>
        <v>0</v>
      </c>
      <c r="AD32" s="144" t="str">
        <f t="shared" si="3"/>
        <v>Fundação estrutura metalica</v>
      </c>
      <c r="AE32" s="179"/>
      <c r="AF32" s="180">
        <f t="shared" si="20"/>
        <v>0</v>
      </c>
      <c r="AG32" s="180">
        <f t="shared" si="17"/>
        <v>0</v>
      </c>
      <c r="AH32" s="181">
        <f t="shared" si="21"/>
        <v>0</v>
      </c>
      <c r="AI32" s="182"/>
      <c r="AJ32" s="90"/>
      <c r="AK32" s="90"/>
      <c r="AL32" s="183">
        <f t="shared" si="22"/>
        <v>0</v>
      </c>
      <c r="AM32" s="182"/>
      <c r="AN32" s="90"/>
      <c r="AO32" s="90"/>
      <c r="AP32" s="183">
        <f t="shared" si="23"/>
        <v>0</v>
      </c>
      <c r="AQ32" s="182"/>
      <c r="AR32" s="90"/>
      <c r="AS32" s="90"/>
      <c r="AT32" s="183">
        <f t="shared" si="24"/>
        <v>0</v>
      </c>
      <c r="AU32" s="182"/>
      <c r="AV32" s="90"/>
      <c r="AW32" s="90"/>
      <c r="AX32" s="183">
        <f t="shared" si="25"/>
        <v>0</v>
      </c>
      <c r="AY32" s="182"/>
      <c r="AZ32" s="90"/>
      <c r="BA32" s="90"/>
      <c r="BB32" s="183">
        <f t="shared" si="26"/>
        <v>0</v>
      </c>
      <c r="BC32" s="182"/>
      <c r="BD32" s="90"/>
      <c r="BE32" s="90"/>
      <c r="BF32" s="183">
        <f t="shared" si="27"/>
        <v>0</v>
      </c>
      <c r="BG32" s="182"/>
      <c r="BH32" s="90"/>
      <c r="BI32" s="90"/>
      <c r="BJ32" s="183">
        <f t="shared" si="28"/>
        <v>0</v>
      </c>
      <c r="BK32" s="182"/>
      <c r="BL32" s="90"/>
      <c r="BM32" s="90"/>
      <c r="BN32" s="183">
        <f t="shared" si="29"/>
        <v>0</v>
      </c>
      <c r="BO32" s="182"/>
      <c r="BP32" s="90"/>
      <c r="BQ32" s="90"/>
      <c r="BR32" s="183">
        <f t="shared" si="30"/>
        <v>0</v>
      </c>
      <c r="BS32" s="182"/>
      <c r="BT32" s="90"/>
      <c r="BU32" s="90"/>
      <c r="BV32" s="183">
        <f t="shared" si="31"/>
        <v>0</v>
      </c>
      <c r="BW32" s="182"/>
      <c r="BX32" s="90"/>
      <c r="BY32" s="90"/>
      <c r="BZ32" s="183">
        <f t="shared" si="32"/>
        <v>0</v>
      </c>
      <c r="CA32" s="182"/>
      <c r="CB32" s="90"/>
      <c r="CC32" s="90"/>
      <c r="CD32" s="183">
        <f t="shared" si="33"/>
        <v>0</v>
      </c>
    </row>
    <row r="33" spans="2:82" x14ac:dyDescent="0.3">
      <c r="B33" s="53"/>
      <c r="C33" s="53" t="str">
        <f t="shared" si="0"/>
        <v>CPU_Fundaçãoestruturamet</v>
      </c>
      <c r="D33" s="278">
        <f t="shared" si="1"/>
        <v>0.2</v>
      </c>
      <c r="E33" s="278">
        <f t="shared" si="2"/>
        <v>0</v>
      </c>
      <c r="F33" s="1"/>
      <c r="G33" s="28" t="str">
        <f>IFERROR(VLOOKUP(F33,Tabela7[[RECURSO]:[CUSTO]],2,FALSE),"")</f>
        <v/>
      </c>
      <c r="H33" s="93"/>
      <c r="I33" s="90"/>
      <c r="J33" s="45">
        <f>IFERROR(VLOOKUP(F33,Tabela7[[RECURSO]:[CUSTO]],3,FALSE),0)</f>
        <v>0</v>
      </c>
      <c r="K33" s="45">
        <f t="shared" si="34"/>
        <v>0</v>
      </c>
      <c r="AD33" s="144" t="str">
        <f t="shared" si="3"/>
        <v>Fundação estrutura metalica</v>
      </c>
      <c r="AE33" s="179"/>
      <c r="AF33" s="180">
        <f t="shared" si="20"/>
        <v>0</v>
      </c>
      <c r="AG33" s="180">
        <f t="shared" si="17"/>
        <v>0</v>
      </c>
      <c r="AH33" s="181">
        <f t="shared" si="21"/>
        <v>0</v>
      </c>
      <c r="AI33" s="182"/>
      <c r="AJ33" s="90"/>
      <c r="AK33" s="90"/>
      <c r="AL33" s="183">
        <f t="shared" si="22"/>
        <v>0</v>
      </c>
      <c r="AM33" s="182"/>
      <c r="AN33" s="90"/>
      <c r="AO33" s="90"/>
      <c r="AP33" s="183">
        <f t="shared" si="23"/>
        <v>0</v>
      </c>
      <c r="AQ33" s="182"/>
      <c r="AR33" s="90"/>
      <c r="AS33" s="90"/>
      <c r="AT33" s="183">
        <f t="shared" si="24"/>
        <v>0</v>
      </c>
      <c r="AU33" s="182"/>
      <c r="AV33" s="90"/>
      <c r="AW33" s="90"/>
      <c r="AX33" s="183">
        <f t="shared" si="25"/>
        <v>0</v>
      </c>
      <c r="AY33" s="182"/>
      <c r="AZ33" s="90"/>
      <c r="BA33" s="90"/>
      <c r="BB33" s="183">
        <f t="shared" si="26"/>
        <v>0</v>
      </c>
      <c r="BC33" s="182"/>
      <c r="BD33" s="90"/>
      <c r="BE33" s="90"/>
      <c r="BF33" s="183">
        <f t="shared" si="27"/>
        <v>0</v>
      </c>
      <c r="BG33" s="182"/>
      <c r="BH33" s="90"/>
      <c r="BI33" s="90"/>
      <c r="BJ33" s="183">
        <f t="shared" si="28"/>
        <v>0</v>
      </c>
      <c r="BK33" s="182"/>
      <c r="BL33" s="90"/>
      <c r="BM33" s="90"/>
      <c r="BN33" s="183">
        <f t="shared" si="29"/>
        <v>0</v>
      </c>
      <c r="BO33" s="182"/>
      <c r="BP33" s="90"/>
      <c r="BQ33" s="90"/>
      <c r="BR33" s="183">
        <f t="shared" si="30"/>
        <v>0</v>
      </c>
      <c r="BS33" s="182"/>
      <c r="BT33" s="90"/>
      <c r="BU33" s="90"/>
      <c r="BV33" s="183">
        <f t="shared" si="31"/>
        <v>0</v>
      </c>
      <c r="BW33" s="182"/>
      <c r="BX33" s="90"/>
      <c r="BY33" s="90"/>
      <c r="BZ33" s="183">
        <f t="shared" si="32"/>
        <v>0</v>
      </c>
      <c r="CA33" s="182"/>
      <c r="CB33" s="90"/>
      <c r="CC33" s="90"/>
      <c r="CD33" s="183">
        <f t="shared" si="33"/>
        <v>0</v>
      </c>
    </row>
    <row r="34" spans="2:82" x14ac:dyDescent="0.3">
      <c r="B34" s="53"/>
      <c r="C34" s="53" t="str">
        <f t="shared" si="0"/>
        <v>CPU_Fundaçãoestruturamet</v>
      </c>
      <c r="D34" s="278">
        <f t="shared" si="1"/>
        <v>0.2</v>
      </c>
      <c r="E34" s="278">
        <f t="shared" si="2"/>
        <v>0</v>
      </c>
      <c r="F34" s="1"/>
      <c r="G34" s="28" t="str">
        <f>IFERROR(VLOOKUP(F34,Tabela7[[RECURSO]:[CUSTO]],2,FALSE),"")</f>
        <v/>
      </c>
      <c r="H34" s="93"/>
      <c r="I34" s="90"/>
      <c r="J34" s="45">
        <f>IFERROR(VLOOKUP(F34,Tabela7[[RECURSO]:[CUSTO]],3,FALSE),0)</f>
        <v>0</v>
      </c>
      <c r="K34" s="45">
        <f t="shared" si="34"/>
        <v>0</v>
      </c>
      <c r="AD34" s="144" t="str">
        <f t="shared" si="3"/>
        <v>Fundação estrutura metalica</v>
      </c>
      <c r="AE34" s="179"/>
      <c r="AF34" s="180">
        <f t="shared" si="20"/>
        <v>0</v>
      </c>
      <c r="AG34" s="180">
        <f t="shared" si="17"/>
        <v>0</v>
      </c>
      <c r="AH34" s="181">
        <f t="shared" si="21"/>
        <v>0</v>
      </c>
      <c r="AI34" s="182"/>
      <c r="AJ34" s="90"/>
      <c r="AK34" s="90"/>
      <c r="AL34" s="183">
        <f t="shared" si="22"/>
        <v>0</v>
      </c>
      <c r="AM34" s="182"/>
      <c r="AN34" s="90"/>
      <c r="AO34" s="90"/>
      <c r="AP34" s="183">
        <f t="shared" si="23"/>
        <v>0</v>
      </c>
      <c r="AQ34" s="182"/>
      <c r="AR34" s="90"/>
      <c r="AS34" s="90"/>
      <c r="AT34" s="183">
        <f t="shared" si="24"/>
        <v>0</v>
      </c>
      <c r="AU34" s="182"/>
      <c r="AV34" s="90"/>
      <c r="AW34" s="90"/>
      <c r="AX34" s="183">
        <f t="shared" si="25"/>
        <v>0</v>
      </c>
      <c r="AY34" s="182"/>
      <c r="AZ34" s="90"/>
      <c r="BA34" s="90"/>
      <c r="BB34" s="183">
        <f t="shared" si="26"/>
        <v>0</v>
      </c>
      <c r="BC34" s="182"/>
      <c r="BD34" s="90"/>
      <c r="BE34" s="90"/>
      <c r="BF34" s="183">
        <f t="shared" si="27"/>
        <v>0</v>
      </c>
      <c r="BG34" s="182"/>
      <c r="BH34" s="90"/>
      <c r="BI34" s="90"/>
      <c r="BJ34" s="183">
        <f t="shared" si="28"/>
        <v>0</v>
      </c>
      <c r="BK34" s="182"/>
      <c r="BL34" s="90"/>
      <c r="BM34" s="90"/>
      <c r="BN34" s="183">
        <f t="shared" si="29"/>
        <v>0</v>
      </c>
      <c r="BO34" s="182"/>
      <c r="BP34" s="90"/>
      <c r="BQ34" s="90"/>
      <c r="BR34" s="183">
        <f t="shared" si="30"/>
        <v>0</v>
      </c>
      <c r="BS34" s="182"/>
      <c r="BT34" s="90"/>
      <c r="BU34" s="90"/>
      <c r="BV34" s="183">
        <f t="shared" si="31"/>
        <v>0</v>
      </c>
      <c r="BW34" s="182"/>
      <c r="BX34" s="90"/>
      <c r="BY34" s="90"/>
      <c r="BZ34" s="183">
        <f t="shared" si="32"/>
        <v>0</v>
      </c>
      <c r="CA34" s="182"/>
      <c r="CB34" s="90"/>
      <c r="CC34" s="90"/>
      <c r="CD34" s="183">
        <f t="shared" si="33"/>
        <v>0</v>
      </c>
    </row>
    <row r="35" spans="2:82" x14ac:dyDescent="0.3">
      <c r="B35" s="53"/>
      <c r="C35" s="53" t="str">
        <f t="shared" si="0"/>
        <v>CPU_Fundaçãoestruturamet</v>
      </c>
      <c r="D35" s="278">
        <f t="shared" si="1"/>
        <v>0.2</v>
      </c>
      <c r="E35" s="278">
        <f t="shared" si="2"/>
        <v>0</v>
      </c>
      <c r="F35" s="1"/>
      <c r="G35" s="28" t="str">
        <f>IFERROR(VLOOKUP(F35,Tabela7[[RECURSO]:[CUSTO]],2,FALSE),"")</f>
        <v/>
      </c>
      <c r="H35" s="93"/>
      <c r="I35" s="90"/>
      <c r="J35" s="45">
        <f>IFERROR(VLOOKUP(F35,Tabela7[[RECURSO]:[CUSTO]],3,FALSE),0)</f>
        <v>0</v>
      </c>
      <c r="K35" s="45">
        <f t="shared" si="34"/>
        <v>0</v>
      </c>
      <c r="AD35" s="144" t="str">
        <f t="shared" si="3"/>
        <v>Fundação estrutura metalica</v>
      </c>
      <c r="AE35" s="179"/>
      <c r="AF35" s="180">
        <f t="shared" si="20"/>
        <v>0</v>
      </c>
      <c r="AG35" s="180">
        <f t="shared" si="17"/>
        <v>0</v>
      </c>
      <c r="AH35" s="181">
        <f t="shared" si="21"/>
        <v>0</v>
      </c>
      <c r="AI35" s="182"/>
      <c r="AJ35" s="90"/>
      <c r="AK35" s="90"/>
      <c r="AL35" s="183">
        <f t="shared" si="22"/>
        <v>0</v>
      </c>
      <c r="AM35" s="182"/>
      <c r="AN35" s="90"/>
      <c r="AO35" s="90"/>
      <c r="AP35" s="183">
        <f t="shared" si="23"/>
        <v>0</v>
      </c>
      <c r="AQ35" s="182"/>
      <c r="AR35" s="90"/>
      <c r="AS35" s="90"/>
      <c r="AT35" s="183">
        <f t="shared" si="24"/>
        <v>0</v>
      </c>
      <c r="AU35" s="182"/>
      <c r="AV35" s="90"/>
      <c r="AW35" s="90"/>
      <c r="AX35" s="183">
        <f t="shared" si="25"/>
        <v>0</v>
      </c>
      <c r="AY35" s="182"/>
      <c r="AZ35" s="90"/>
      <c r="BA35" s="90"/>
      <c r="BB35" s="183">
        <f t="shared" si="26"/>
        <v>0</v>
      </c>
      <c r="BC35" s="182"/>
      <c r="BD35" s="90"/>
      <c r="BE35" s="90"/>
      <c r="BF35" s="183">
        <f t="shared" si="27"/>
        <v>0</v>
      </c>
      <c r="BG35" s="182"/>
      <c r="BH35" s="90"/>
      <c r="BI35" s="90"/>
      <c r="BJ35" s="183">
        <f t="shared" si="28"/>
        <v>0</v>
      </c>
      <c r="BK35" s="182"/>
      <c r="BL35" s="90"/>
      <c r="BM35" s="90"/>
      <c r="BN35" s="183">
        <f t="shared" si="29"/>
        <v>0</v>
      </c>
      <c r="BO35" s="182"/>
      <c r="BP35" s="90"/>
      <c r="BQ35" s="90"/>
      <c r="BR35" s="183">
        <f t="shared" si="30"/>
        <v>0</v>
      </c>
      <c r="BS35" s="182"/>
      <c r="BT35" s="90"/>
      <c r="BU35" s="90"/>
      <c r="BV35" s="183">
        <f t="shared" si="31"/>
        <v>0</v>
      </c>
      <c r="BW35" s="182"/>
      <c r="BX35" s="90"/>
      <c r="BY35" s="90"/>
      <c r="BZ35" s="183">
        <f t="shared" si="32"/>
        <v>0</v>
      </c>
      <c r="CA35" s="182"/>
      <c r="CB35" s="90"/>
      <c r="CC35" s="90"/>
      <c r="CD35" s="183">
        <f t="shared" si="33"/>
        <v>0</v>
      </c>
    </row>
    <row r="36" spans="2:82" x14ac:dyDescent="0.3">
      <c r="B36" s="53"/>
      <c r="C36" s="53" t="str">
        <f t="shared" si="0"/>
        <v>CPU_Fundaçãoestruturamet</v>
      </c>
      <c r="D36" s="278">
        <f t="shared" si="1"/>
        <v>0.2</v>
      </c>
      <c r="E36" s="278">
        <f t="shared" si="2"/>
        <v>0</v>
      </c>
      <c r="F36" s="1"/>
      <c r="G36" s="28" t="str">
        <f>IFERROR(VLOOKUP(F36,Tabela7[[RECURSO]:[CUSTO]],2,FALSE),"")</f>
        <v/>
      </c>
      <c r="H36" s="93"/>
      <c r="I36" s="90"/>
      <c r="J36" s="45">
        <f>IFERROR(VLOOKUP(F36,Tabela7[[RECURSO]:[CUSTO]],3,FALSE),0)</f>
        <v>0</v>
      </c>
      <c r="K36" s="45">
        <f t="shared" si="34"/>
        <v>0</v>
      </c>
      <c r="AD36" s="144" t="str">
        <f t="shared" si="3"/>
        <v>Fundação estrutura metalica</v>
      </c>
      <c r="AE36" s="179"/>
      <c r="AF36" s="180">
        <f t="shared" si="20"/>
        <v>0</v>
      </c>
      <c r="AG36" s="180">
        <f t="shared" si="17"/>
        <v>0</v>
      </c>
      <c r="AH36" s="181">
        <f t="shared" si="21"/>
        <v>0</v>
      </c>
      <c r="AI36" s="182"/>
      <c r="AJ36" s="90"/>
      <c r="AK36" s="90"/>
      <c r="AL36" s="183">
        <f t="shared" si="22"/>
        <v>0</v>
      </c>
      <c r="AM36" s="182"/>
      <c r="AN36" s="90"/>
      <c r="AO36" s="90"/>
      <c r="AP36" s="183">
        <f t="shared" si="23"/>
        <v>0</v>
      </c>
      <c r="AQ36" s="182"/>
      <c r="AR36" s="90"/>
      <c r="AS36" s="90"/>
      <c r="AT36" s="183">
        <f t="shared" si="24"/>
        <v>0</v>
      </c>
      <c r="AU36" s="182"/>
      <c r="AV36" s="90"/>
      <c r="AW36" s="90"/>
      <c r="AX36" s="183">
        <f t="shared" si="25"/>
        <v>0</v>
      </c>
      <c r="AY36" s="182"/>
      <c r="AZ36" s="90"/>
      <c r="BA36" s="90"/>
      <c r="BB36" s="183">
        <f t="shared" si="26"/>
        <v>0</v>
      </c>
      <c r="BC36" s="182"/>
      <c r="BD36" s="90"/>
      <c r="BE36" s="90"/>
      <c r="BF36" s="183">
        <f t="shared" si="27"/>
        <v>0</v>
      </c>
      <c r="BG36" s="182"/>
      <c r="BH36" s="90"/>
      <c r="BI36" s="90"/>
      <c r="BJ36" s="183">
        <f t="shared" si="28"/>
        <v>0</v>
      </c>
      <c r="BK36" s="182"/>
      <c r="BL36" s="90"/>
      <c r="BM36" s="90"/>
      <c r="BN36" s="183">
        <f t="shared" si="29"/>
        <v>0</v>
      </c>
      <c r="BO36" s="182"/>
      <c r="BP36" s="90"/>
      <c r="BQ36" s="90"/>
      <c r="BR36" s="183">
        <f t="shared" si="30"/>
        <v>0</v>
      </c>
      <c r="BS36" s="182"/>
      <c r="BT36" s="90"/>
      <c r="BU36" s="90"/>
      <c r="BV36" s="183">
        <f t="shared" si="31"/>
        <v>0</v>
      </c>
      <c r="BW36" s="182"/>
      <c r="BX36" s="90"/>
      <c r="BY36" s="90"/>
      <c r="BZ36" s="183">
        <f t="shared" si="32"/>
        <v>0</v>
      </c>
      <c r="CA36" s="182"/>
      <c r="CB36" s="90"/>
      <c r="CC36" s="90"/>
      <c r="CD36" s="183">
        <f t="shared" si="33"/>
        <v>0</v>
      </c>
    </row>
    <row r="37" spans="2:82" x14ac:dyDescent="0.3">
      <c r="B37" s="52" t="s">
        <v>692</v>
      </c>
      <c r="C37" s="52" t="str">
        <f t="shared" si="0"/>
        <v>CPU_Fundaçãoestruturamet</v>
      </c>
      <c r="D37" s="277">
        <f t="shared" si="1"/>
        <v>0.2</v>
      </c>
      <c r="E37" s="277">
        <f t="shared" si="2"/>
        <v>0</v>
      </c>
      <c r="F37" s="37"/>
      <c r="G37" s="38"/>
      <c r="H37" s="91"/>
      <c r="I37" s="40"/>
      <c r="J37" s="40">
        <f>IFERROR(K37/$B$6,0)</f>
        <v>17451.83396875608</v>
      </c>
      <c r="K37" s="40">
        <f>SUM(K38:K49)</f>
        <v>3490.3667937512159</v>
      </c>
      <c r="N37" s="39"/>
      <c r="AD37" s="144" t="str">
        <f t="shared" si="3"/>
        <v>Fundação estrutura metalica</v>
      </c>
      <c r="AE37" s="184"/>
      <c r="AF37" s="40"/>
      <c r="AG37" s="40">
        <f>IFERROR(AH37/AF$3,0)</f>
        <v>0</v>
      </c>
      <c r="AH37" s="185">
        <f>SUM(AH38:AH49)</f>
        <v>0</v>
      </c>
      <c r="AI37" s="184"/>
      <c r="AJ37" s="40"/>
      <c r="AK37" s="40">
        <f>IFERROR(AL37/AJ$3,0)</f>
        <v>0</v>
      </c>
      <c r="AL37" s="185">
        <f>SUM(AL38:AL49)</f>
        <v>0</v>
      </c>
      <c r="AM37" s="184"/>
      <c r="AN37" s="40"/>
      <c r="AO37" s="40">
        <f>IFERROR(AP37/AN$3,0)</f>
        <v>0</v>
      </c>
      <c r="AP37" s="185">
        <f>SUM(AP38:AP49)</f>
        <v>0</v>
      </c>
      <c r="AQ37" s="184"/>
      <c r="AR37" s="40"/>
      <c r="AS37" s="40">
        <f>IFERROR(AT37/AR$3,0)</f>
        <v>0</v>
      </c>
      <c r="AT37" s="185">
        <f>SUM(AT38:AT49)</f>
        <v>0</v>
      </c>
      <c r="AU37" s="184"/>
      <c r="AV37" s="40"/>
      <c r="AW37" s="40">
        <f>IFERROR(AX37/AV$3,0)</f>
        <v>0</v>
      </c>
      <c r="AX37" s="185">
        <f>SUM(AX38:AX49)</f>
        <v>0</v>
      </c>
      <c r="AY37" s="184"/>
      <c r="AZ37" s="40"/>
      <c r="BA37" s="40">
        <f>IFERROR(BB37/AZ$3,0)</f>
        <v>0</v>
      </c>
      <c r="BB37" s="185">
        <f>SUM(BB38:BB49)</f>
        <v>0</v>
      </c>
      <c r="BC37" s="184"/>
      <c r="BD37" s="40"/>
      <c r="BE37" s="40">
        <f>IFERROR(BF37/BD$3,0)</f>
        <v>0</v>
      </c>
      <c r="BF37" s="185">
        <f>SUM(BF38:BF49)</f>
        <v>0</v>
      </c>
      <c r="BG37" s="184"/>
      <c r="BH37" s="40"/>
      <c r="BI37" s="40">
        <f>IFERROR(BJ37/BH$3,0)</f>
        <v>0</v>
      </c>
      <c r="BJ37" s="185">
        <f>SUM(BJ38:BJ49)</f>
        <v>0</v>
      </c>
      <c r="BK37" s="184"/>
      <c r="BL37" s="40"/>
      <c r="BM37" s="40">
        <f>IFERROR(BN37/BL$3,0)</f>
        <v>0</v>
      </c>
      <c r="BN37" s="185">
        <f>SUM(BN38:BN49)</f>
        <v>0</v>
      </c>
      <c r="BO37" s="184"/>
      <c r="BP37" s="40"/>
      <c r="BQ37" s="40">
        <f>IFERROR(BR37/BP$3,0)</f>
        <v>0</v>
      </c>
      <c r="BR37" s="185">
        <f>SUM(BR38:BR49)</f>
        <v>0</v>
      </c>
      <c r="BS37" s="184"/>
      <c r="BT37" s="40"/>
      <c r="BU37" s="40">
        <f>IFERROR(BV37/BT$3,0)</f>
        <v>0</v>
      </c>
      <c r="BV37" s="185">
        <f>SUM(BV38:BV49)</f>
        <v>0</v>
      </c>
      <c r="BW37" s="184"/>
      <c r="BX37" s="40"/>
      <c r="BY37" s="40">
        <f>IFERROR(BZ37/BX$3,0)</f>
        <v>0</v>
      </c>
      <c r="BZ37" s="185">
        <f>SUM(BZ38:BZ49)</f>
        <v>0</v>
      </c>
      <c r="CA37" s="184"/>
      <c r="CB37" s="40"/>
      <c r="CC37" s="40">
        <f>IFERROR(CD37/CB$3,0)</f>
        <v>0</v>
      </c>
      <c r="CD37" s="185">
        <f>SUM(CD38:CD49)</f>
        <v>0</v>
      </c>
    </row>
    <row r="38" spans="2:82" x14ac:dyDescent="0.3">
      <c r="B38" s="54"/>
      <c r="C38" s="54" t="str">
        <f t="shared" si="0"/>
        <v>CPU_Fundaçãoestruturamet</v>
      </c>
      <c r="D38" s="280">
        <f t="shared" si="1"/>
        <v>0.2</v>
      </c>
      <c r="E38" s="280">
        <f t="shared" si="2"/>
        <v>0</v>
      </c>
      <c r="F38" s="1" t="s">
        <v>758</v>
      </c>
      <c r="G38" s="28" t="str">
        <f>IFERROR(VLOOKUP(F38,Tabela7[[RECURSO]:[CUSTO]],2,FALSE),"")</f>
        <v>H</v>
      </c>
      <c r="H38" s="92">
        <v>3</v>
      </c>
      <c r="I38" s="90">
        <v>10</v>
      </c>
      <c r="J38" s="45">
        <f>IFERROR(VLOOKUP(F38,Tabela7[[RECURSO]:[CUSTO]],3,FALSE),0)</f>
        <v>40.546465252092652</v>
      </c>
      <c r="K38" s="45">
        <f>I38*J38*CPU_49[[#This Row],[Nº]]</f>
        <v>1216.3939575627796</v>
      </c>
      <c r="N38" s="22"/>
      <c r="AD38" s="144" t="str">
        <f t="shared" si="3"/>
        <v>Fundação estrutura metalica</v>
      </c>
      <c r="AE38" s="186"/>
      <c r="AF38" s="180">
        <f t="shared" ref="AF38:AF49" si="35">AJ38+AN38+AR38+AV38+AZ38+BD38+BH38+BL38+BP38+BT38+BX38+CB38</f>
        <v>0</v>
      </c>
      <c r="AG38" s="180">
        <f t="shared" si="17"/>
        <v>0</v>
      </c>
      <c r="AH38" s="181">
        <f t="shared" ref="AH38:AH49" si="36">AL38+AP38+AT38+AX38+BB38+BF38+BJ38+BN38+BR38+BV38+BZ38+CD38</f>
        <v>0</v>
      </c>
      <c r="AI38" s="187"/>
      <c r="AJ38" s="90"/>
      <c r="AK38" s="90"/>
      <c r="AL38" s="183">
        <f t="shared" ref="AL38:AL49" si="37">AJ38*AK38</f>
        <v>0</v>
      </c>
      <c r="AM38" s="187"/>
      <c r="AN38" s="90"/>
      <c r="AO38" s="90"/>
      <c r="AP38" s="183">
        <f t="shared" si="23"/>
        <v>0</v>
      </c>
      <c r="AQ38" s="187"/>
      <c r="AR38" s="90"/>
      <c r="AS38" s="90"/>
      <c r="AT38" s="183">
        <f t="shared" si="24"/>
        <v>0</v>
      </c>
      <c r="AU38" s="187"/>
      <c r="AV38" s="90"/>
      <c r="AW38" s="90"/>
      <c r="AX38" s="183">
        <f t="shared" si="25"/>
        <v>0</v>
      </c>
      <c r="AY38" s="187"/>
      <c r="AZ38" s="90"/>
      <c r="BA38" s="90"/>
      <c r="BB38" s="183">
        <f t="shared" si="26"/>
        <v>0</v>
      </c>
      <c r="BC38" s="187"/>
      <c r="BD38" s="90"/>
      <c r="BE38" s="90"/>
      <c r="BF38" s="183">
        <f t="shared" si="27"/>
        <v>0</v>
      </c>
      <c r="BG38" s="187"/>
      <c r="BH38" s="90"/>
      <c r="BI38" s="90"/>
      <c r="BJ38" s="183">
        <f t="shared" si="28"/>
        <v>0</v>
      </c>
      <c r="BK38" s="187"/>
      <c r="BL38" s="90"/>
      <c r="BM38" s="90"/>
      <c r="BN38" s="183">
        <f t="shared" si="29"/>
        <v>0</v>
      </c>
      <c r="BO38" s="187"/>
      <c r="BP38" s="90"/>
      <c r="BQ38" s="90"/>
      <c r="BR38" s="183">
        <f t="shared" si="30"/>
        <v>0</v>
      </c>
      <c r="BS38" s="187"/>
      <c r="BT38" s="90"/>
      <c r="BU38" s="90"/>
      <c r="BV38" s="183">
        <f t="shared" si="31"/>
        <v>0</v>
      </c>
      <c r="BW38" s="187"/>
      <c r="BX38" s="90"/>
      <c r="BY38" s="90"/>
      <c r="BZ38" s="183">
        <f t="shared" si="32"/>
        <v>0</v>
      </c>
      <c r="CA38" s="187"/>
      <c r="CB38" s="90"/>
      <c r="CC38" s="90"/>
      <c r="CD38" s="183">
        <f t="shared" si="33"/>
        <v>0</v>
      </c>
    </row>
    <row r="39" spans="2:82" x14ac:dyDescent="0.3">
      <c r="B39" s="54"/>
      <c r="C39" s="54" t="str">
        <f t="shared" si="0"/>
        <v>CPU_Fundaçãoestruturamet</v>
      </c>
      <c r="D39" s="280">
        <f t="shared" si="1"/>
        <v>0.2</v>
      </c>
      <c r="E39" s="280">
        <f t="shared" si="2"/>
        <v>0</v>
      </c>
      <c r="F39" s="1" t="s">
        <v>361</v>
      </c>
      <c r="G39" s="28" t="str">
        <f>IFERROR(VLOOKUP(F39,Tabela7[[RECURSO]:[CUSTO]],2,FALSE),"")</f>
        <v>H</v>
      </c>
      <c r="H39" s="92">
        <v>6</v>
      </c>
      <c r="I39" s="90">
        <v>10</v>
      </c>
      <c r="J39" s="45">
        <f>IFERROR(VLOOKUP(F39,Tabela7[[RECURSO]:[CUSTO]],3,FALSE),0)</f>
        <v>26.579984100642395</v>
      </c>
      <c r="K39" s="45">
        <f>I39*J39*CPU_49[[#This Row],[Nº]]</f>
        <v>1594.7990460385436</v>
      </c>
      <c r="N39" s="22"/>
      <c r="AD39" s="144" t="str">
        <f t="shared" si="3"/>
        <v>Fundação estrutura metalica</v>
      </c>
      <c r="AE39" s="186"/>
      <c r="AF39" s="180">
        <f t="shared" si="35"/>
        <v>0</v>
      </c>
      <c r="AG39" s="180">
        <f t="shared" si="17"/>
        <v>0</v>
      </c>
      <c r="AH39" s="181">
        <f t="shared" si="36"/>
        <v>0</v>
      </c>
      <c r="AI39" s="187"/>
      <c r="AJ39" s="90"/>
      <c r="AK39" s="90"/>
      <c r="AL39" s="183">
        <f t="shared" si="37"/>
        <v>0</v>
      </c>
      <c r="AM39" s="187"/>
      <c r="AN39" s="90"/>
      <c r="AO39" s="90"/>
      <c r="AP39" s="183">
        <f t="shared" si="23"/>
        <v>0</v>
      </c>
      <c r="AQ39" s="187"/>
      <c r="AR39" s="90"/>
      <c r="AS39" s="90"/>
      <c r="AT39" s="183">
        <f t="shared" si="24"/>
        <v>0</v>
      </c>
      <c r="AU39" s="187"/>
      <c r="AV39" s="90"/>
      <c r="AW39" s="90"/>
      <c r="AX39" s="183">
        <f t="shared" si="25"/>
        <v>0</v>
      </c>
      <c r="AY39" s="187"/>
      <c r="AZ39" s="90"/>
      <c r="BA39" s="90"/>
      <c r="BB39" s="183">
        <f t="shared" si="26"/>
        <v>0</v>
      </c>
      <c r="BC39" s="187"/>
      <c r="BD39" s="90"/>
      <c r="BE39" s="90"/>
      <c r="BF39" s="183">
        <f t="shared" si="27"/>
        <v>0</v>
      </c>
      <c r="BG39" s="187"/>
      <c r="BH39" s="90"/>
      <c r="BI39" s="90"/>
      <c r="BJ39" s="183">
        <f t="shared" si="28"/>
        <v>0</v>
      </c>
      <c r="BK39" s="187"/>
      <c r="BL39" s="90"/>
      <c r="BM39" s="90"/>
      <c r="BN39" s="183">
        <f t="shared" si="29"/>
        <v>0</v>
      </c>
      <c r="BO39" s="187"/>
      <c r="BP39" s="90"/>
      <c r="BQ39" s="90"/>
      <c r="BR39" s="183">
        <f t="shared" si="30"/>
        <v>0</v>
      </c>
      <c r="BS39" s="187"/>
      <c r="BT39" s="90"/>
      <c r="BU39" s="90"/>
      <c r="BV39" s="183">
        <f t="shared" si="31"/>
        <v>0</v>
      </c>
      <c r="BW39" s="187"/>
      <c r="BX39" s="90"/>
      <c r="BY39" s="90"/>
      <c r="BZ39" s="183">
        <f t="shared" si="32"/>
        <v>0</v>
      </c>
      <c r="CA39" s="187"/>
      <c r="CB39" s="90"/>
      <c r="CC39" s="90"/>
      <c r="CD39" s="183">
        <f t="shared" si="33"/>
        <v>0</v>
      </c>
    </row>
    <row r="40" spans="2:82" x14ac:dyDescent="0.3">
      <c r="B40" s="54"/>
      <c r="C40" s="54" t="str">
        <f t="shared" si="0"/>
        <v>CPU_Fundaçãoestruturamet</v>
      </c>
      <c r="D40" s="280">
        <f t="shared" si="1"/>
        <v>0.2</v>
      </c>
      <c r="E40" s="280">
        <f t="shared" si="2"/>
        <v>0</v>
      </c>
      <c r="F40" s="1" t="s">
        <v>769</v>
      </c>
      <c r="G40" s="28" t="str">
        <f>IFERROR(VLOOKUP(F40,Tabela7[[RECURSO]:[CUSTO]],2,FALSE),"")</f>
        <v>H</v>
      </c>
      <c r="H40" s="92">
        <v>1</v>
      </c>
      <c r="I40" s="90">
        <v>10</v>
      </c>
      <c r="J40" s="45">
        <f>IFERROR(VLOOKUP(F40,Tabela7[[RECURSO]:[CUSTO]],3,FALSE),0)</f>
        <v>33.958689507494654</v>
      </c>
      <c r="K40" s="45">
        <f>I40*J40*CPU_49[[#This Row],[Nº]]</f>
        <v>339.58689507494654</v>
      </c>
      <c r="N40" s="22"/>
      <c r="AD40" s="144" t="str">
        <f t="shared" si="3"/>
        <v>Fundação estrutura metalica</v>
      </c>
      <c r="AE40" s="186"/>
      <c r="AF40" s="180">
        <f t="shared" si="35"/>
        <v>0</v>
      </c>
      <c r="AG40" s="180">
        <f t="shared" si="17"/>
        <v>0</v>
      </c>
      <c r="AH40" s="181">
        <f t="shared" si="36"/>
        <v>0</v>
      </c>
      <c r="AI40" s="187"/>
      <c r="AJ40" s="90"/>
      <c r="AK40" s="90"/>
      <c r="AL40" s="183">
        <f t="shared" si="37"/>
        <v>0</v>
      </c>
      <c r="AM40" s="187"/>
      <c r="AN40" s="90"/>
      <c r="AO40" s="90"/>
      <c r="AP40" s="183">
        <f t="shared" si="23"/>
        <v>0</v>
      </c>
      <c r="AQ40" s="187"/>
      <c r="AR40" s="90"/>
      <c r="AS40" s="90"/>
      <c r="AT40" s="183">
        <f t="shared" si="24"/>
        <v>0</v>
      </c>
      <c r="AU40" s="187"/>
      <c r="AV40" s="90"/>
      <c r="AW40" s="90"/>
      <c r="AX40" s="183">
        <f t="shared" si="25"/>
        <v>0</v>
      </c>
      <c r="AY40" s="187"/>
      <c r="AZ40" s="90"/>
      <c r="BA40" s="90"/>
      <c r="BB40" s="183">
        <f t="shared" si="26"/>
        <v>0</v>
      </c>
      <c r="BC40" s="187"/>
      <c r="BD40" s="90"/>
      <c r="BE40" s="90"/>
      <c r="BF40" s="183">
        <f t="shared" si="27"/>
        <v>0</v>
      </c>
      <c r="BG40" s="187"/>
      <c r="BH40" s="90"/>
      <c r="BI40" s="90"/>
      <c r="BJ40" s="183">
        <f t="shared" si="28"/>
        <v>0</v>
      </c>
      <c r="BK40" s="187"/>
      <c r="BL40" s="90"/>
      <c r="BM40" s="90"/>
      <c r="BN40" s="183">
        <f t="shared" si="29"/>
        <v>0</v>
      </c>
      <c r="BO40" s="187"/>
      <c r="BP40" s="90"/>
      <c r="BQ40" s="90"/>
      <c r="BR40" s="183">
        <f t="shared" si="30"/>
        <v>0</v>
      </c>
      <c r="BS40" s="187"/>
      <c r="BT40" s="90"/>
      <c r="BU40" s="90"/>
      <c r="BV40" s="183">
        <f t="shared" si="31"/>
        <v>0</v>
      </c>
      <c r="BW40" s="187"/>
      <c r="BX40" s="90"/>
      <c r="BY40" s="90"/>
      <c r="BZ40" s="183">
        <f t="shared" si="32"/>
        <v>0</v>
      </c>
      <c r="CA40" s="187"/>
      <c r="CB40" s="90"/>
      <c r="CC40" s="90"/>
      <c r="CD40" s="183">
        <f t="shared" si="33"/>
        <v>0</v>
      </c>
    </row>
    <row r="41" spans="2:82" x14ac:dyDescent="0.3">
      <c r="B41" s="54"/>
      <c r="C41" s="54" t="str">
        <f t="shared" si="0"/>
        <v>CPU_Fundaçãoestruturamet</v>
      </c>
      <c r="D41" s="280">
        <f t="shared" si="1"/>
        <v>0.2</v>
      </c>
      <c r="E41" s="280">
        <f t="shared" si="2"/>
        <v>0</v>
      </c>
      <c r="F41" s="1" t="s">
        <v>770</v>
      </c>
      <c r="G41" s="28" t="str">
        <f>IFERROR(VLOOKUP(F41,Tabela7[[RECURSO]:[CUSTO]],2,FALSE),"")</f>
        <v>H</v>
      </c>
      <c r="H41" s="92">
        <v>1</v>
      </c>
      <c r="I41" s="90">
        <v>10</v>
      </c>
      <c r="J41" s="45">
        <f>IFERROR(VLOOKUP(F41,Tabela7[[RECURSO]:[CUSTO]],3,FALSE),0)</f>
        <v>33.958689507494654</v>
      </c>
      <c r="K41" s="45">
        <f>I41*J41*CPU_49[[#This Row],[Nº]]</f>
        <v>339.58689507494654</v>
      </c>
      <c r="N41" s="22"/>
      <c r="AD41" s="144" t="str">
        <f t="shared" si="3"/>
        <v>Fundação estrutura metalica</v>
      </c>
      <c r="AE41" s="186"/>
      <c r="AF41" s="180">
        <f t="shared" si="35"/>
        <v>0</v>
      </c>
      <c r="AG41" s="180">
        <f t="shared" si="17"/>
        <v>0</v>
      </c>
      <c r="AH41" s="181">
        <f t="shared" si="36"/>
        <v>0</v>
      </c>
      <c r="AI41" s="187"/>
      <c r="AJ41" s="90"/>
      <c r="AK41" s="90"/>
      <c r="AL41" s="183">
        <f t="shared" si="37"/>
        <v>0</v>
      </c>
      <c r="AM41" s="187"/>
      <c r="AN41" s="90"/>
      <c r="AO41" s="90"/>
      <c r="AP41" s="183">
        <f t="shared" si="23"/>
        <v>0</v>
      </c>
      <c r="AQ41" s="187"/>
      <c r="AR41" s="90"/>
      <c r="AS41" s="90"/>
      <c r="AT41" s="183">
        <f t="shared" si="24"/>
        <v>0</v>
      </c>
      <c r="AU41" s="187"/>
      <c r="AV41" s="90"/>
      <c r="AW41" s="90"/>
      <c r="AX41" s="183">
        <f t="shared" si="25"/>
        <v>0</v>
      </c>
      <c r="AY41" s="187"/>
      <c r="AZ41" s="90"/>
      <c r="BA41" s="90"/>
      <c r="BB41" s="183">
        <f t="shared" si="26"/>
        <v>0</v>
      </c>
      <c r="BC41" s="187"/>
      <c r="BD41" s="90"/>
      <c r="BE41" s="90"/>
      <c r="BF41" s="183">
        <f t="shared" si="27"/>
        <v>0</v>
      </c>
      <c r="BG41" s="187"/>
      <c r="BH41" s="90"/>
      <c r="BI41" s="90"/>
      <c r="BJ41" s="183">
        <f t="shared" si="28"/>
        <v>0</v>
      </c>
      <c r="BK41" s="187"/>
      <c r="BL41" s="90"/>
      <c r="BM41" s="90"/>
      <c r="BN41" s="183">
        <f t="shared" si="29"/>
        <v>0</v>
      </c>
      <c r="BO41" s="187"/>
      <c r="BP41" s="90"/>
      <c r="BQ41" s="90"/>
      <c r="BR41" s="183">
        <f t="shared" si="30"/>
        <v>0</v>
      </c>
      <c r="BS41" s="187"/>
      <c r="BT41" s="90"/>
      <c r="BU41" s="90"/>
      <c r="BV41" s="183">
        <f t="shared" si="31"/>
        <v>0</v>
      </c>
      <c r="BW41" s="187"/>
      <c r="BX41" s="90"/>
      <c r="BY41" s="90"/>
      <c r="BZ41" s="183">
        <f t="shared" si="32"/>
        <v>0</v>
      </c>
      <c r="CA41" s="187"/>
      <c r="CB41" s="90"/>
      <c r="CC41" s="90"/>
      <c r="CD41" s="183">
        <f t="shared" si="33"/>
        <v>0</v>
      </c>
    </row>
    <row r="42" spans="2:82" x14ac:dyDescent="0.3">
      <c r="B42" s="54"/>
      <c r="C42" s="54" t="str">
        <f t="shared" si="0"/>
        <v>CPU_Fundaçãoestruturamet</v>
      </c>
      <c r="D42" s="280">
        <f t="shared" si="1"/>
        <v>0.2</v>
      </c>
      <c r="E42" s="280">
        <f t="shared" si="2"/>
        <v>0</v>
      </c>
      <c r="F42" s="1"/>
      <c r="G42" s="28" t="str">
        <f>IFERROR(VLOOKUP(F42,Tabela7[[RECURSO]:[CUSTO]],2,FALSE),"")</f>
        <v/>
      </c>
      <c r="H42" s="92"/>
      <c r="I42" s="90"/>
      <c r="J42" s="45">
        <f>IFERROR(VLOOKUP(F42,Tabela7[[RECURSO]:[CUSTO]],3,FALSE),0)</f>
        <v>0</v>
      </c>
      <c r="K42" s="45">
        <f>I42*J42*CPU_49[[#This Row],[Nº]]</f>
        <v>0</v>
      </c>
      <c r="AD42" s="144" t="str">
        <f t="shared" si="3"/>
        <v>Fundação estrutura metalica</v>
      </c>
      <c r="AE42" s="186"/>
      <c r="AF42" s="180">
        <f t="shared" si="35"/>
        <v>0</v>
      </c>
      <c r="AG42" s="180">
        <f t="shared" si="17"/>
        <v>0</v>
      </c>
      <c r="AH42" s="181">
        <f t="shared" si="36"/>
        <v>0</v>
      </c>
      <c r="AI42" s="187"/>
      <c r="AJ42" s="90"/>
      <c r="AK42" s="90"/>
      <c r="AL42" s="183">
        <f t="shared" si="37"/>
        <v>0</v>
      </c>
      <c r="AM42" s="187"/>
      <c r="AN42" s="90"/>
      <c r="AO42" s="90"/>
      <c r="AP42" s="183">
        <f t="shared" si="23"/>
        <v>0</v>
      </c>
      <c r="AQ42" s="187"/>
      <c r="AR42" s="90"/>
      <c r="AS42" s="90"/>
      <c r="AT42" s="183">
        <f t="shared" si="24"/>
        <v>0</v>
      </c>
      <c r="AU42" s="187"/>
      <c r="AV42" s="90"/>
      <c r="AW42" s="90"/>
      <c r="AX42" s="183">
        <f t="shared" si="25"/>
        <v>0</v>
      </c>
      <c r="AY42" s="187"/>
      <c r="AZ42" s="90"/>
      <c r="BA42" s="90"/>
      <c r="BB42" s="183">
        <f t="shared" si="26"/>
        <v>0</v>
      </c>
      <c r="BC42" s="187"/>
      <c r="BD42" s="90"/>
      <c r="BE42" s="90"/>
      <c r="BF42" s="183">
        <f t="shared" si="27"/>
        <v>0</v>
      </c>
      <c r="BG42" s="187"/>
      <c r="BH42" s="90"/>
      <c r="BI42" s="90"/>
      <c r="BJ42" s="183">
        <f t="shared" si="28"/>
        <v>0</v>
      </c>
      <c r="BK42" s="187"/>
      <c r="BL42" s="90"/>
      <c r="BM42" s="90"/>
      <c r="BN42" s="183">
        <f t="shared" si="29"/>
        <v>0</v>
      </c>
      <c r="BO42" s="187"/>
      <c r="BP42" s="90"/>
      <c r="BQ42" s="90"/>
      <c r="BR42" s="183">
        <f t="shared" si="30"/>
        <v>0</v>
      </c>
      <c r="BS42" s="187"/>
      <c r="BT42" s="90"/>
      <c r="BU42" s="90"/>
      <c r="BV42" s="183">
        <f t="shared" si="31"/>
        <v>0</v>
      </c>
      <c r="BW42" s="187"/>
      <c r="BX42" s="90"/>
      <c r="BY42" s="90"/>
      <c r="BZ42" s="183">
        <f t="shared" si="32"/>
        <v>0</v>
      </c>
      <c r="CA42" s="187"/>
      <c r="CB42" s="90"/>
      <c r="CC42" s="90"/>
      <c r="CD42" s="183">
        <f t="shared" si="33"/>
        <v>0</v>
      </c>
    </row>
    <row r="43" spans="2:82" x14ac:dyDescent="0.3">
      <c r="B43" s="54"/>
      <c r="C43" s="54" t="str">
        <f t="shared" si="0"/>
        <v>CPU_Fundaçãoestruturamet</v>
      </c>
      <c r="D43" s="280">
        <f t="shared" si="1"/>
        <v>0.2</v>
      </c>
      <c r="E43" s="280">
        <f t="shared" si="2"/>
        <v>0</v>
      </c>
      <c r="F43" s="1"/>
      <c r="G43" s="28" t="str">
        <f>IFERROR(VLOOKUP(F43,Tabela7[[RECURSO]:[CUSTO]],2,FALSE),"")</f>
        <v/>
      </c>
      <c r="H43" s="92"/>
      <c r="I43" s="90"/>
      <c r="J43" s="45">
        <f>IFERROR(VLOOKUP(F43,Tabela7[[RECURSO]:[CUSTO]],3,FALSE),0)</f>
        <v>0</v>
      </c>
      <c r="K43" s="45">
        <f>I43*J43*CPU_49[[#This Row],[Nº]]</f>
        <v>0</v>
      </c>
      <c r="AD43" s="144" t="str">
        <f t="shared" si="3"/>
        <v>Fundação estrutura metalica</v>
      </c>
      <c r="AE43" s="186"/>
      <c r="AF43" s="180">
        <f t="shared" si="35"/>
        <v>0</v>
      </c>
      <c r="AG43" s="180">
        <f t="shared" si="17"/>
        <v>0</v>
      </c>
      <c r="AH43" s="181">
        <f t="shared" si="36"/>
        <v>0</v>
      </c>
      <c r="AI43" s="187"/>
      <c r="AJ43" s="90"/>
      <c r="AK43" s="90"/>
      <c r="AL43" s="183">
        <f t="shared" si="37"/>
        <v>0</v>
      </c>
      <c r="AM43" s="187"/>
      <c r="AN43" s="90"/>
      <c r="AO43" s="90"/>
      <c r="AP43" s="183">
        <f t="shared" si="23"/>
        <v>0</v>
      </c>
      <c r="AQ43" s="187"/>
      <c r="AR43" s="90"/>
      <c r="AS43" s="90"/>
      <c r="AT43" s="183">
        <f t="shared" si="24"/>
        <v>0</v>
      </c>
      <c r="AU43" s="187"/>
      <c r="AV43" s="90"/>
      <c r="AW43" s="90"/>
      <c r="AX43" s="183">
        <f t="shared" si="25"/>
        <v>0</v>
      </c>
      <c r="AY43" s="187"/>
      <c r="AZ43" s="90"/>
      <c r="BA43" s="90"/>
      <c r="BB43" s="183">
        <f t="shared" si="26"/>
        <v>0</v>
      </c>
      <c r="BC43" s="187"/>
      <c r="BD43" s="90"/>
      <c r="BE43" s="90"/>
      <c r="BF43" s="183">
        <f t="shared" si="27"/>
        <v>0</v>
      </c>
      <c r="BG43" s="187"/>
      <c r="BH43" s="90"/>
      <c r="BI43" s="90"/>
      <c r="BJ43" s="183">
        <f t="shared" si="28"/>
        <v>0</v>
      </c>
      <c r="BK43" s="187"/>
      <c r="BL43" s="90"/>
      <c r="BM43" s="90"/>
      <c r="BN43" s="183">
        <f t="shared" si="29"/>
        <v>0</v>
      </c>
      <c r="BO43" s="187"/>
      <c r="BP43" s="90"/>
      <c r="BQ43" s="90"/>
      <c r="BR43" s="183">
        <f t="shared" si="30"/>
        <v>0</v>
      </c>
      <c r="BS43" s="187"/>
      <c r="BT43" s="90"/>
      <c r="BU43" s="90"/>
      <c r="BV43" s="183">
        <f t="shared" si="31"/>
        <v>0</v>
      </c>
      <c r="BW43" s="187"/>
      <c r="BX43" s="90"/>
      <c r="BY43" s="90"/>
      <c r="BZ43" s="183">
        <f t="shared" si="32"/>
        <v>0</v>
      </c>
      <c r="CA43" s="187"/>
      <c r="CB43" s="90"/>
      <c r="CC43" s="90"/>
      <c r="CD43" s="183">
        <f t="shared" si="33"/>
        <v>0</v>
      </c>
    </row>
    <row r="44" spans="2:82" x14ac:dyDescent="0.3">
      <c r="B44" s="54"/>
      <c r="C44" s="54" t="str">
        <f t="shared" si="0"/>
        <v>CPU_Fundaçãoestruturamet</v>
      </c>
      <c r="D44" s="280">
        <f t="shared" si="1"/>
        <v>0.2</v>
      </c>
      <c r="E44" s="280">
        <f t="shared" si="2"/>
        <v>0</v>
      </c>
      <c r="F44" s="1"/>
      <c r="G44" s="28" t="str">
        <f>IFERROR(VLOOKUP(F44,Tabela7[[RECURSO]:[CUSTO]],2,FALSE),"")</f>
        <v/>
      </c>
      <c r="H44" s="92"/>
      <c r="I44" s="90"/>
      <c r="J44" s="45">
        <f>IFERROR(VLOOKUP(F44,Tabela7[[RECURSO]:[CUSTO]],3,FALSE),0)</f>
        <v>0</v>
      </c>
      <c r="K44" s="45">
        <f>I44*J44*CPU_49[[#This Row],[Nº]]</f>
        <v>0</v>
      </c>
      <c r="AD44" s="144" t="str">
        <f t="shared" si="3"/>
        <v>Fundação estrutura metalica</v>
      </c>
      <c r="AE44" s="186"/>
      <c r="AF44" s="180">
        <f t="shared" si="35"/>
        <v>0</v>
      </c>
      <c r="AG44" s="180">
        <f t="shared" si="17"/>
        <v>0</v>
      </c>
      <c r="AH44" s="181">
        <f t="shared" si="36"/>
        <v>0</v>
      </c>
      <c r="AI44" s="187"/>
      <c r="AJ44" s="90"/>
      <c r="AK44" s="90"/>
      <c r="AL44" s="183">
        <f t="shared" si="37"/>
        <v>0</v>
      </c>
      <c r="AM44" s="187"/>
      <c r="AN44" s="90"/>
      <c r="AO44" s="90"/>
      <c r="AP44" s="183">
        <f t="shared" si="23"/>
        <v>0</v>
      </c>
      <c r="AQ44" s="187"/>
      <c r="AR44" s="90"/>
      <c r="AS44" s="90"/>
      <c r="AT44" s="183">
        <f t="shared" si="24"/>
        <v>0</v>
      </c>
      <c r="AU44" s="187"/>
      <c r="AV44" s="90"/>
      <c r="AW44" s="90"/>
      <c r="AX44" s="183">
        <f t="shared" si="25"/>
        <v>0</v>
      </c>
      <c r="AY44" s="187"/>
      <c r="AZ44" s="90"/>
      <c r="BA44" s="90"/>
      <c r="BB44" s="183">
        <f t="shared" si="26"/>
        <v>0</v>
      </c>
      <c r="BC44" s="187"/>
      <c r="BD44" s="90"/>
      <c r="BE44" s="90"/>
      <c r="BF44" s="183">
        <f t="shared" si="27"/>
        <v>0</v>
      </c>
      <c r="BG44" s="187"/>
      <c r="BH44" s="90"/>
      <c r="BI44" s="90"/>
      <c r="BJ44" s="183">
        <f t="shared" si="28"/>
        <v>0</v>
      </c>
      <c r="BK44" s="187"/>
      <c r="BL44" s="90"/>
      <c r="BM44" s="90"/>
      <c r="BN44" s="183">
        <f t="shared" si="29"/>
        <v>0</v>
      </c>
      <c r="BO44" s="187"/>
      <c r="BP44" s="90"/>
      <c r="BQ44" s="90"/>
      <c r="BR44" s="183">
        <f t="shared" si="30"/>
        <v>0</v>
      </c>
      <c r="BS44" s="187"/>
      <c r="BT44" s="90"/>
      <c r="BU44" s="90"/>
      <c r="BV44" s="183">
        <f t="shared" si="31"/>
        <v>0</v>
      </c>
      <c r="BW44" s="187"/>
      <c r="BX44" s="90"/>
      <c r="BY44" s="90"/>
      <c r="BZ44" s="183">
        <f t="shared" si="32"/>
        <v>0</v>
      </c>
      <c r="CA44" s="187"/>
      <c r="CB44" s="90"/>
      <c r="CC44" s="90"/>
      <c r="CD44" s="183">
        <f t="shared" si="33"/>
        <v>0</v>
      </c>
    </row>
    <row r="45" spans="2:82" x14ac:dyDescent="0.3">
      <c r="B45" s="53"/>
      <c r="C45" s="53" t="str">
        <f t="shared" si="0"/>
        <v>CPU_Fundaçãoestruturamet</v>
      </c>
      <c r="D45" s="278">
        <f t="shared" si="1"/>
        <v>0.2</v>
      </c>
      <c r="E45" s="278">
        <f t="shared" si="2"/>
        <v>0</v>
      </c>
      <c r="F45" s="1"/>
      <c r="G45" s="28" t="str">
        <f>IFERROR(VLOOKUP(F45,Tabela7[[RECURSO]:[CUSTO]],2,FALSE),"")</f>
        <v/>
      </c>
      <c r="H45" s="92"/>
      <c r="I45" s="90"/>
      <c r="J45" s="45">
        <f>IFERROR(VLOOKUP(F45,Tabela7[[RECURSO]:[CUSTO]],3,FALSE),0)</f>
        <v>0</v>
      </c>
      <c r="K45" s="45">
        <f>I45*J45*CPU_49[[#This Row],[Nº]]</f>
        <v>0</v>
      </c>
      <c r="AD45" s="144" t="str">
        <f t="shared" si="3"/>
        <v>Fundação estrutura metalica</v>
      </c>
      <c r="AE45" s="188"/>
      <c r="AF45" s="180">
        <f t="shared" si="35"/>
        <v>0</v>
      </c>
      <c r="AG45" s="180">
        <f t="shared" si="17"/>
        <v>0</v>
      </c>
      <c r="AH45" s="181">
        <f t="shared" si="36"/>
        <v>0</v>
      </c>
      <c r="AI45" s="189"/>
      <c r="AJ45" s="90"/>
      <c r="AK45" s="90"/>
      <c r="AL45" s="183">
        <f t="shared" si="37"/>
        <v>0</v>
      </c>
      <c r="AM45" s="189"/>
      <c r="AN45" s="90"/>
      <c r="AO45" s="90"/>
      <c r="AP45" s="183">
        <f t="shared" si="23"/>
        <v>0</v>
      </c>
      <c r="AQ45" s="189"/>
      <c r="AR45" s="90"/>
      <c r="AS45" s="90"/>
      <c r="AT45" s="183">
        <f t="shared" si="24"/>
        <v>0</v>
      </c>
      <c r="AU45" s="189"/>
      <c r="AV45" s="90"/>
      <c r="AW45" s="90"/>
      <c r="AX45" s="183">
        <f t="shared" si="25"/>
        <v>0</v>
      </c>
      <c r="AY45" s="189"/>
      <c r="AZ45" s="90"/>
      <c r="BA45" s="90"/>
      <c r="BB45" s="183">
        <f t="shared" si="26"/>
        <v>0</v>
      </c>
      <c r="BC45" s="189"/>
      <c r="BD45" s="90"/>
      <c r="BE45" s="90"/>
      <c r="BF45" s="183">
        <f t="shared" si="27"/>
        <v>0</v>
      </c>
      <c r="BG45" s="189"/>
      <c r="BH45" s="90"/>
      <c r="BI45" s="90"/>
      <c r="BJ45" s="183">
        <f t="shared" si="28"/>
        <v>0</v>
      </c>
      <c r="BK45" s="189"/>
      <c r="BL45" s="90"/>
      <c r="BM45" s="90"/>
      <c r="BN45" s="183">
        <f t="shared" si="29"/>
        <v>0</v>
      </c>
      <c r="BO45" s="189"/>
      <c r="BP45" s="90"/>
      <c r="BQ45" s="90"/>
      <c r="BR45" s="183">
        <f t="shared" si="30"/>
        <v>0</v>
      </c>
      <c r="BS45" s="189"/>
      <c r="BT45" s="90"/>
      <c r="BU45" s="90"/>
      <c r="BV45" s="183">
        <f t="shared" si="31"/>
        <v>0</v>
      </c>
      <c r="BW45" s="189"/>
      <c r="BX45" s="90"/>
      <c r="BY45" s="90"/>
      <c r="BZ45" s="183">
        <f t="shared" si="32"/>
        <v>0</v>
      </c>
      <c r="CA45" s="189"/>
      <c r="CB45" s="90"/>
      <c r="CC45" s="90"/>
      <c r="CD45" s="183">
        <f t="shared" si="33"/>
        <v>0</v>
      </c>
    </row>
    <row r="46" spans="2:82" x14ac:dyDescent="0.3">
      <c r="B46" s="53"/>
      <c r="C46" s="53" t="str">
        <f t="shared" si="0"/>
        <v>CPU_Fundaçãoestruturamet</v>
      </c>
      <c r="D46" s="278">
        <f t="shared" si="1"/>
        <v>0.2</v>
      </c>
      <c r="E46" s="278">
        <f t="shared" si="2"/>
        <v>0</v>
      </c>
      <c r="F46" s="1"/>
      <c r="G46" s="28" t="str">
        <f>IFERROR(VLOOKUP(F46,Tabela7[[RECURSO]:[CUSTO]],2,FALSE),"")</f>
        <v/>
      </c>
      <c r="H46" s="92"/>
      <c r="I46" s="90"/>
      <c r="J46" s="45">
        <f>IFERROR(VLOOKUP(F46,Tabela7[[RECURSO]:[CUSTO]],3,FALSE),0)</f>
        <v>0</v>
      </c>
      <c r="K46" s="45">
        <f>I46*J46*CPU_49[[#This Row],[Nº]]</f>
        <v>0</v>
      </c>
      <c r="AD46" s="144" t="str">
        <f t="shared" si="3"/>
        <v>Fundação estrutura metalica</v>
      </c>
      <c r="AE46" s="188"/>
      <c r="AF46" s="180">
        <f t="shared" si="35"/>
        <v>0</v>
      </c>
      <c r="AG46" s="180">
        <f t="shared" si="17"/>
        <v>0</v>
      </c>
      <c r="AH46" s="181">
        <f t="shared" si="36"/>
        <v>0</v>
      </c>
      <c r="AI46" s="189"/>
      <c r="AJ46" s="90"/>
      <c r="AK46" s="90"/>
      <c r="AL46" s="183">
        <f t="shared" si="37"/>
        <v>0</v>
      </c>
      <c r="AM46" s="189"/>
      <c r="AN46" s="90"/>
      <c r="AO46" s="90"/>
      <c r="AP46" s="183">
        <f t="shared" si="23"/>
        <v>0</v>
      </c>
      <c r="AQ46" s="189"/>
      <c r="AR46" s="90"/>
      <c r="AS46" s="90"/>
      <c r="AT46" s="183">
        <f t="shared" si="24"/>
        <v>0</v>
      </c>
      <c r="AU46" s="189"/>
      <c r="AV46" s="90"/>
      <c r="AW46" s="90"/>
      <c r="AX46" s="183">
        <f t="shared" si="25"/>
        <v>0</v>
      </c>
      <c r="AY46" s="189"/>
      <c r="AZ46" s="90"/>
      <c r="BA46" s="90"/>
      <c r="BB46" s="183">
        <f t="shared" si="26"/>
        <v>0</v>
      </c>
      <c r="BC46" s="189"/>
      <c r="BD46" s="90"/>
      <c r="BE46" s="90"/>
      <c r="BF46" s="183">
        <f t="shared" si="27"/>
        <v>0</v>
      </c>
      <c r="BG46" s="189"/>
      <c r="BH46" s="90"/>
      <c r="BI46" s="90"/>
      <c r="BJ46" s="183">
        <f t="shared" si="28"/>
        <v>0</v>
      </c>
      <c r="BK46" s="189"/>
      <c r="BL46" s="90"/>
      <c r="BM46" s="90"/>
      <c r="BN46" s="183">
        <f t="shared" si="29"/>
        <v>0</v>
      </c>
      <c r="BO46" s="189"/>
      <c r="BP46" s="90"/>
      <c r="BQ46" s="90"/>
      <c r="BR46" s="183">
        <f t="shared" si="30"/>
        <v>0</v>
      </c>
      <c r="BS46" s="189"/>
      <c r="BT46" s="90"/>
      <c r="BU46" s="90"/>
      <c r="BV46" s="183">
        <f t="shared" si="31"/>
        <v>0</v>
      </c>
      <c r="BW46" s="189"/>
      <c r="BX46" s="90"/>
      <c r="BY46" s="90"/>
      <c r="BZ46" s="183">
        <f t="shared" si="32"/>
        <v>0</v>
      </c>
      <c r="CA46" s="189"/>
      <c r="CB46" s="90"/>
      <c r="CC46" s="90"/>
      <c r="CD46" s="183">
        <f t="shared" si="33"/>
        <v>0</v>
      </c>
    </row>
    <row r="47" spans="2:82" x14ac:dyDescent="0.3">
      <c r="B47" s="53"/>
      <c r="C47" s="53" t="str">
        <f t="shared" si="0"/>
        <v>CPU_Fundaçãoestruturamet</v>
      </c>
      <c r="D47" s="278">
        <f t="shared" si="1"/>
        <v>0.2</v>
      </c>
      <c r="E47" s="278">
        <f t="shared" si="2"/>
        <v>0</v>
      </c>
      <c r="F47" s="1"/>
      <c r="G47" s="28" t="str">
        <f>IFERROR(VLOOKUP(F47,Tabela7[[RECURSO]:[CUSTO]],2,FALSE),"")</f>
        <v/>
      </c>
      <c r="H47" s="92"/>
      <c r="I47" s="90"/>
      <c r="J47" s="45">
        <f>IFERROR(VLOOKUP(F47,Tabela7[[RECURSO]:[CUSTO]],3,FALSE),0)</f>
        <v>0</v>
      </c>
      <c r="K47" s="45">
        <f>I47*J47*CPU_49[[#This Row],[Nº]]</f>
        <v>0</v>
      </c>
      <c r="AD47" s="144" t="str">
        <f t="shared" si="3"/>
        <v>Fundação estrutura metalica</v>
      </c>
      <c r="AE47" s="188"/>
      <c r="AF47" s="180">
        <f t="shared" si="35"/>
        <v>0</v>
      </c>
      <c r="AG47" s="180">
        <f t="shared" si="17"/>
        <v>0</v>
      </c>
      <c r="AH47" s="181">
        <f t="shared" si="36"/>
        <v>0</v>
      </c>
      <c r="AI47" s="189"/>
      <c r="AJ47" s="90"/>
      <c r="AK47" s="90"/>
      <c r="AL47" s="183">
        <f t="shared" si="37"/>
        <v>0</v>
      </c>
      <c r="AM47" s="189"/>
      <c r="AN47" s="90"/>
      <c r="AO47" s="90"/>
      <c r="AP47" s="183">
        <f t="shared" si="23"/>
        <v>0</v>
      </c>
      <c r="AQ47" s="189"/>
      <c r="AR47" s="90"/>
      <c r="AS47" s="90"/>
      <c r="AT47" s="183">
        <f t="shared" si="24"/>
        <v>0</v>
      </c>
      <c r="AU47" s="189"/>
      <c r="AV47" s="90"/>
      <c r="AW47" s="90"/>
      <c r="AX47" s="183">
        <f t="shared" si="25"/>
        <v>0</v>
      </c>
      <c r="AY47" s="189"/>
      <c r="AZ47" s="90"/>
      <c r="BA47" s="90"/>
      <c r="BB47" s="183">
        <f t="shared" si="26"/>
        <v>0</v>
      </c>
      <c r="BC47" s="189"/>
      <c r="BD47" s="90"/>
      <c r="BE47" s="90"/>
      <c r="BF47" s="183">
        <f t="shared" si="27"/>
        <v>0</v>
      </c>
      <c r="BG47" s="189"/>
      <c r="BH47" s="90"/>
      <c r="BI47" s="90"/>
      <c r="BJ47" s="183">
        <f t="shared" si="28"/>
        <v>0</v>
      </c>
      <c r="BK47" s="189"/>
      <c r="BL47" s="90"/>
      <c r="BM47" s="90"/>
      <c r="BN47" s="183">
        <f t="shared" si="29"/>
        <v>0</v>
      </c>
      <c r="BO47" s="189"/>
      <c r="BP47" s="90"/>
      <c r="BQ47" s="90"/>
      <c r="BR47" s="183">
        <f t="shared" si="30"/>
        <v>0</v>
      </c>
      <c r="BS47" s="189"/>
      <c r="BT47" s="90"/>
      <c r="BU47" s="90"/>
      <c r="BV47" s="183">
        <f t="shared" si="31"/>
        <v>0</v>
      </c>
      <c r="BW47" s="189"/>
      <c r="BX47" s="90"/>
      <c r="BY47" s="90"/>
      <c r="BZ47" s="183">
        <f t="shared" si="32"/>
        <v>0</v>
      </c>
      <c r="CA47" s="189"/>
      <c r="CB47" s="90"/>
      <c r="CC47" s="90"/>
      <c r="CD47" s="183">
        <f t="shared" si="33"/>
        <v>0</v>
      </c>
    </row>
    <row r="48" spans="2:82" x14ac:dyDescent="0.3">
      <c r="B48" s="53"/>
      <c r="C48" s="53" t="str">
        <f t="shared" si="0"/>
        <v>CPU_Fundaçãoestruturamet</v>
      </c>
      <c r="D48" s="278">
        <f t="shared" si="1"/>
        <v>0.2</v>
      </c>
      <c r="E48" s="278">
        <f t="shared" si="2"/>
        <v>0</v>
      </c>
      <c r="F48" s="1"/>
      <c r="G48" s="28" t="str">
        <f>IFERROR(VLOOKUP(F48,Tabela7[[RECURSO]:[CUSTO]],2,FALSE),"")</f>
        <v/>
      </c>
      <c r="H48" s="92"/>
      <c r="I48" s="90"/>
      <c r="J48" s="45">
        <f>IFERROR(VLOOKUP(F48,Tabela7[[RECURSO]:[CUSTO]],3,FALSE),0)</f>
        <v>0</v>
      </c>
      <c r="K48" s="45">
        <f>I48*J48*CPU_49[[#This Row],[Nº]]</f>
        <v>0</v>
      </c>
      <c r="AD48" s="144" t="str">
        <f t="shared" si="3"/>
        <v>Fundação estrutura metalica</v>
      </c>
      <c r="AE48" s="188"/>
      <c r="AF48" s="180">
        <f t="shared" si="35"/>
        <v>0</v>
      </c>
      <c r="AG48" s="180">
        <f t="shared" si="17"/>
        <v>0</v>
      </c>
      <c r="AH48" s="181">
        <f t="shared" si="36"/>
        <v>0</v>
      </c>
      <c r="AI48" s="189"/>
      <c r="AJ48" s="90"/>
      <c r="AK48" s="90"/>
      <c r="AL48" s="183">
        <f t="shared" si="37"/>
        <v>0</v>
      </c>
      <c r="AM48" s="189"/>
      <c r="AN48" s="90"/>
      <c r="AO48" s="90"/>
      <c r="AP48" s="183">
        <f t="shared" si="23"/>
        <v>0</v>
      </c>
      <c r="AQ48" s="189"/>
      <c r="AR48" s="90"/>
      <c r="AS48" s="90"/>
      <c r="AT48" s="183">
        <f t="shared" si="24"/>
        <v>0</v>
      </c>
      <c r="AU48" s="189"/>
      <c r="AV48" s="90"/>
      <c r="AW48" s="90"/>
      <c r="AX48" s="183">
        <f t="shared" si="25"/>
        <v>0</v>
      </c>
      <c r="AY48" s="189"/>
      <c r="AZ48" s="90"/>
      <c r="BA48" s="90"/>
      <c r="BB48" s="183">
        <f t="shared" si="26"/>
        <v>0</v>
      </c>
      <c r="BC48" s="189"/>
      <c r="BD48" s="90"/>
      <c r="BE48" s="90"/>
      <c r="BF48" s="183">
        <f t="shared" si="27"/>
        <v>0</v>
      </c>
      <c r="BG48" s="189"/>
      <c r="BH48" s="90"/>
      <c r="BI48" s="90"/>
      <c r="BJ48" s="183">
        <f t="shared" si="28"/>
        <v>0</v>
      </c>
      <c r="BK48" s="189"/>
      <c r="BL48" s="90"/>
      <c r="BM48" s="90"/>
      <c r="BN48" s="183">
        <f t="shared" si="29"/>
        <v>0</v>
      </c>
      <c r="BO48" s="189"/>
      <c r="BP48" s="90"/>
      <c r="BQ48" s="90"/>
      <c r="BR48" s="183">
        <f t="shared" si="30"/>
        <v>0</v>
      </c>
      <c r="BS48" s="189"/>
      <c r="BT48" s="90"/>
      <c r="BU48" s="90"/>
      <c r="BV48" s="183">
        <f t="shared" si="31"/>
        <v>0</v>
      </c>
      <c r="BW48" s="189"/>
      <c r="BX48" s="90"/>
      <c r="BY48" s="90"/>
      <c r="BZ48" s="183">
        <f t="shared" si="32"/>
        <v>0</v>
      </c>
      <c r="CA48" s="189"/>
      <c r="CB48" s="90"/>
      <c r="CC48" s="90"/>
      <c r="CD48" s="183">
        <f t="shared" si="33"/>
        <v>0</v>
      </c>
    </row>
    <row r="49" spans="2:82" ht="15" thickBot="1" x14ac:dyDescent="0.35">
      <c r="B49" s="53"/>
      <c r="C49" s="53" t="str">
        <f t="shared" si="0"/>
        <v>CPU_Fundaçãoestruturamet</v>
      </c>
      <c r="D49" s="278">
        <f t="shared" si="1"/>
        <v>0.2</v>
      </c>
      <c r="E49" s="278">
        <f t="shared" si="2"/>
        <v>0</v>
      </c>
      <c r="F49" s="1"/>
      <c r="G49" s="28" t="str">
        <f>IFERROR(VLOOKUP(F49,Tabela7[[RECURSO]:[CUSTO]],2,FALSE),"")</f>
        <v/>
      </c>
      <c r="H49" s="92"/>
      <c r="I49" s="90"/>
      <c r="J49" s="45">
        <f>IFERROR(VLOOKUP(F49,Tabela7[[RECURSO]:[CUSTO]],3,FALSE),0)</f>
        <v>0</v>
      </c>
      <c r="K49" s="45">
        <f>I49*J49*CPU_49[[#This Row],[Nº]]</f>
        <v>0</v>
      </c>
      <c r="M49" s="83" t="s">
        <v>701</v>
      </c>
      <c r="N49" s="87" t="s">
        <v>702</v>
      </c>
      <c r="AD49" s="144" t="str">
        <f t="shared" si="3"/>
        <v>Fundação estrutura metalica</v>
      </c>
      <c r="AE49" s="188"/>
      <c r="AF49" s="180">
        <f t="shared" si="35"/>
        <v>0</v>
      </c>
      <c r="AG49" s="180">
        <f t="shared" si="17"/>
        <v>0</v>
      </c>
      <c r="AH49" s="181">
        <f t="shared" si="36"/>
        <v>0</v>
      </c>
      <c r="AI49" s="189"/>
      <c r="AJ49" s="90"/>
      <c r="AK49" s="90"/>
      <c r="AL49" s="183">
        <f t="shared" si="37"/>
        <v>0</v>
      </c>
      <c r="AM49" s="189"/>
      <c r="AN49" s="90"/>
      <c r="AO49" s="90"/>
      <c r="AP49" s="183">
        <f t="shared" si="23"/>
        <v>0</v>
      </c>
      <c r="AQ49" s="189"/>
      <c r="AR49" s="90"/>
      <c r="AS49" s="90"/>
      <c r="AT49" s="183">
        <f t="shared" si="24"/>
        <v>0</v>
      </c>
      <c r="AU49" s="189"/>
      <c r="AV49" s="90"/>
      <c r="AW49" s="90"/>
      <c r="AX49" s="183">
        <f t="shared" si="25"/>
        <v>0</v>
      </c>
      <c r="AY49" s="189"/>
      <c r="AZ49" s="90"/>
      <c r="BA49" s="90"/>
      <c r="BB49" s="183">
        <f t="shared" si="26"/>
        <v>0</v>
      </c>
      <c r="BC49" s="189"/>
      <c r="BD49" s="90"/>
      <c r="BE49" s="90"/>
      <c r="BF49" s="183">
        <f t="shared" si="27"/>
        <v>0</v>
      </c>
      <c r="BG49" s="189"/>
      <c r="BH49" s="90"/>
      <c r="BI49" s="90"/>
      <c r="BJ49" s="183">
        <f t="shared" si="28"/>
        <v>0</v>
      </c>
      <c r="BK49" s="189"/>
      <c r="BL49" s="90"/>
      <c r="BM49" s="90"/>
      <c r="BN49" s="183">
        <f t="shared" si="29"/>
        <v>0</v>
      </c>
      <c r="BO49" s="189"/>
      <c r="BP49" s="90"/>
      <c r="BQ49" s="90"/>
      <c r="BR49" s="183">
        <f t="shared" si="30"/>
        <v>0</v>
      </c>
      <c r="BS49" s="189"/>
      <c r="BT49" s="90"/>
      <c r="BU49" s="90"/>
      <c r="BV49" s="183">
        <f t="shared" si="31"/>
        <v>0</v>
      </c>
      <c r="BW49" s="189"/>
      <c r="BX49" s="90"/>
      <c r="BY49" s="90"/>
      <c r="BZ49" s="183">
        <f t="shared" si="32"/>
        <v>0</v>
      </c>
      <c r="CA49" s="189"/>
      <c r="CB49" s="90"/>
      <c r="CC49" s="90"/>
      <c r="CD49" s="183">
        <f t="shared" si="33"/>
        <v>0</v>
      </c>
    </row>
    <row r="50" spans="2:82" x14ac:dyDescent="0.3">
      <c r="B50" s="52" t="s">
        <v>693</v>
      </c>
      <c r="C50" s="52" t="str">
        <f t="shared" si="0"/>
        <v>CPU_Fundaçãoestruturamet</v>
      </c>
      <c r="D50" s="277">
        <f t="shared" si="1"/>
        <v>0.2</v>
      </c>
      <c r="E50" s="277">
        <f t="shared" si="2"/>
        <v>0</v>
      </c>
      <c r="F50" s="37"/>
      <c r="G50" s="38"/>
      <c r="H50" s="38"/>
      <c r="I50" s="37"/>
      <c r="J50" s="40">
        <f>IFERROR(K50/$B$6,0)</f>
        <v>0</v>
      </c>
      <c r="K50" s="40">
        <f>SUM(K51:K62)</f>
        <v>0</v>
      </c>
      <c r="M50" s="84" t="str">
        <f>"Consumo por "&amp;J3</f>
        <v>Consumo por UNID</v>
      </c>
      <c r="N50" s="89"/>
      <c r="O50" s="339" t="s">
        <v>771</v>
      </c>
      <c r="P50" s="340" t="s">
        <v>772</v>
      </c>
      <c r="Q50" s="340" t="s">
        <v>773</v>
      </c>
      <c r="R50" s="340" t="s">
        <v>774</v>
      </c>
      <c r="S50" s="340" t="s">
        <v>775</v>
      </c>
      <c r="T50" s="340" t="s">
        <v>776</v>
      </c>
      <c r="U50" s="340" t="s">
        <v>777</v>
      </c>
      <c r="V50" s="340" t="s">
        <v>778</v>
      </c>
      <c r="W50" s="341" t="s">
        <v>779</v>
      </c>
      <c r="AD50" s="144" t="str">
        <f t="shared" si="3"/>
        <v>Fundação estrutura metalica</v>
      </c>
      <c r="AE50" s="190"/>
      <c r="AF50" s="191"/>
      <c r="AG50" s="40">
        <f>IFERROR(AH50/AF$3,0)</f>
        <v>0</v>
      </c>
      <c r="AH50" s="185">
        <f>SUM(AH51:AH62)</f>
        <v>0</v>
      </c>
      <c r="AI50" s="190"/>
      <c r="AJ50" s="37"/>
      <c r="AK50" s="40">
        <f>IFERROR(AL50/AJ$3,0)</f>
        <v>0</v>
      </c>
      <c r="AL50" s="185">
        <f>SUM(AL51:AL62)</f>
        <v>0</v>
      </c>
      <c r="AM50" s="190"/>
      <c r="AN50" s="37"/>
      <c r="AO50" s="40">
        <f>IFERROR(AP50/AN$3,0)</f>
        <v>0</v>
      </c>
      <c r="AP50" s="185">
        <f>SUM(AP51:AP62)</f>
        <v>0</v>
      </c>
      <c r="AQ50" s="190"/>
      <c r="AR50" s="37"/>
      <c r="AS50" s="40">
        <f>IFERROR(AT50/AR$3,0)</f>
        <v>0</v>
      </c>
      <c r="AT50" s="185">
        <f>SUM(AT51:AT62)</f>
        <v>0</v>
      </c>
      <c r="AU50" s="190"/>
      <c r="AV50" s="37"/>
      <c r="AW50" s="40">
        <f>IFERROR(AX50/AV$3,0)</f>
        <v>0</v>
      </c>
      <c r="AX50" s="185">
        <f>SUM(AX51:AX62)</f>
        <v>0</v>
      </c>
      <c r="AY50" s="190"/>
      <c r="AZ50" s="37"/>
      <c r="BA50" s="40">
        <f>IFERROR(BB50/AZ$3,0)</f>
        <v>0</v>
      </c>
      <c r="BB50" s="185">
        <f>SUM(BB51:BB62)</f>
        <v>0</v>
      </c>
      <c r="BC50" s="190"/>
      <c r="BD50" s="37"/>
      <c r="BE50" s="40">
        <f>IFERROR(BF50/BD$3,0)</f>
        <v>0</v>
      </c>
      <c r="BF50" s="185">
        <f>SUM(BF51:BF62)</f>
        <v>0</v>
      </c>
      <c r="BG50" s="190"/>
      <c r="BH50" s="37"/>
      <c r="BI50" s="40">
        <f>IFERROR(BJ50/BH$3,0)</f>
        <v>0</v>
      </c>
      <c r="BJ50" s="185">
        <f>SUM(BJ51:BJ62)</f>
        <v>0</v>
      </c>
      <c r="BK50" s="190"/>
      <c r="BL50" s="37"/>
      <c r="BM50" s="40">
        <f>IFERROR(BN50/BL$3,0)</f>
        <v>0</v>
      </c>
      <c r="BN50" s="185">
        <f>SUM(BN51:BN62)</f>
        <v>0</v>
      </c>
      <c r="BO50" s="190"/>
      <c r="BP50" s="37"/>
      <c r="BQ50" s="40">
        <f>IFERROR(BR50/BP$3,0)</f>
        <v>0</v>
      </c>
      <c r="BR50" s="185">
        <f>SUM(BR51:BR62)</f>
        <v>0</v>
      </c>
      <c r="BS50" s="190"/>
      <c r="BT50" s="37"/>
      <c r="BU50" s="40">
        <f>IFERROR(BV50/BT$3,0)</f>
        <v>0</v>
      </c>
      <c r="BV50" s="185">
        <f>SUM(BV51:BV62)</f>
        <v>0</v>
      </c>
      <c r="BW50" s="190"/>
      <c r="BX50" s="37"/>
      <c r="BY50" s="40">
        <f>IFERROR(BZ50/BX$3,0)</f>
        <v>0</v>
      </c>
      <c r="BZ50" s="185">
        <f>SUM(BZ51:BZ62)</f>
        <v>0</v>
      </c>
      <c r="CA50" s="190"/>
      <c r="CB50" s="37"/>
      <c r="CC50" s="40">
        <f>IFERROR(CD50/CB$3,0)</f>
        <v>0</v>
      </c>
      <c r="CD50" s="185">
        <f>SUM(CD51:CD62)</f>
        <v>0</v>
      </c>
    </row>
    <row r="51" spans="2:82" x14ac:dyDescent="0.3">
      <c r="B51" s="53"/>
      <c r="C51" s="53" t="str">
        <f t="shared" si="0"/>
        <v>CPU_Fundaçãoestruturamet</v>
      </c>
      <c r="D51" s="278">
        <f t="shared" si="1"/>
        <v>0.2</v>
      </c>
      <c r="E51" s="278">
        <f t="shared" si="2"/>
        <v>0</v>
      </c>
      <c r="F51" s="1" t="s">
        <v>780</v>
      </c>
      <c r="G51" s="28" t="str">
        <f>IFERROR(VLOOKUP(F51,Tabela7[[RECURSO]:[CUSTO]],2,FALSE),"")</f>
        <v>m</v>
      </c>
      <c r="I51" s="90">
        <f>IFERROR(M51*$B$6,0)</f>
        <v>0</v>
      </c>
      <c r="J51" s="45">
        <f>IFERROR(VLOOKUP(F51,Tabela7[[RECURSO]:[CUSTO]],3,FALSE),0)</f>
        <v>60</v>
      </c>
      <c r="K51" s="45">
        <f>I51*J51</f>
        <v>0</v>
      </c>
      <c r="M51" s="350" t="e">
        <f>SUM(O51:W51)/$B$7</f>
        <v>#DIV/0!</v>
      </c>
      <c r="N51" s="88"/>
      <c r="O51" s="31">
        <v>0</v>
      </c>
      <c r="P51" s="1">
        <v>0</v>
      </c>
      <c r="Q51" s="1">
        <v>0</v>
      </c>
      <c r="R51" s="1">
        <v>0</v>
      </c>
      <c r="S51" s="1">
        <v>72</v>
      </c>
      <c r="T51" s="1">
        <v>72</v>
      </c>
      <c r="U51" s="1">
        <v>0</v>
      </c>
      <c r="V51" s="1">
        <v>0</v>
      </c>
      <c r="W51" s="342">
        <v>0</v>
      </c>
      <c r="AD51" s="144" t="str">
        <f t="shared" si="3"/>
        <v>Fundação estrutura metalica</v>
      </c>
      <c r="AE51" s="192"/>
      <c r="AF51" s="180">
        <f t="shared" ref="AF51:AF62" si="38">AJ51+AN51+AR51+AV51+AZ51+BD51+BH51+BL51+BP51+BT51+BX51+CB51</f>
        <v>0</v>
      </c>
      <c r="AG51" s="180">
        <f t="shared" si="17"/>
        <v>0</v>
      </c>
      <c r="AH51" s="181">
        <f t="shared" ref="AH51:AH62" si="39">AL51+AP51+AT51+AX51+BB51+BF51+BJ51+BN51+BR51+BV51+BZ51+CD51</f>
        <v>0</v>
      </c>
      <c r="AI51" s="193"/>
      <c r="AJ51" s="90"/>
      <c r="AK51" s="90"/>
      <c r="AL51" s="183">
        <f t="shared" ref="AL51:AL62" si="40">AJ51*AK51</f>
        <v>0</v>
      </c>
      <c r="AM51" s="193"/>
      <c r="AN51" s="90"/>
      <c r="AO51" s="90"/>
      <c r="AP51" s="183">
        <f t="shared" si="23"/>
        <v>0</v>
      </c>
      <c r="AQ51" s="193"/>
      <c r="AR51" s="90"/>
      <c r="AS51" s="90"/>
      <c r="AT51" s="183">
        <f t="shared" si="24"/>
        <v>0</v>
      </c>
      <c r="AU51" s="193"/>
      <c r="AV51" s="90"/>
      <c r="AW51" s="90"/>
      <c r="AX51" s="183">
        <f t="shared" si="25"/>
        <v>0</v>
      </c>
      <c r="AY51" s="193"/>
      <c r="AZ51" s="90"/>
      <c r="BA51" s="90"/>
      <c r="BB51" s="183">
        <f t="shared" si="26"/>
        <v>0</v>
      </c>
      <c r="BC51" s="193"/>
      <c r="BD51" s="90"/>
      <c r="BE51" s="90"/>
      <c r="BF51" s="183">
        <f t="shared" si="27"/>
        <v>0</v>
      </c>
      <c r="BG51" s="193"/>
      <c r="BH51" s="90"/>
      <c r="BI51" s="90"/>
      <c r="BJ51" s="183">
        <f t="shared" si="28"/>
        <v>0</v>
      </c>
      <c r="BK51" s="193"/>
      <c r="BL51" s="90"/>
      <c r="BM51" s="90"/>
      <c r="BN51" s="183">
        <f t="shared" si="29"/>
        <v>0</v>
      </c>
      <c r="BO51" s="193"/>
      <c r="BP51" s="90"/>
      <c r="BQ51" s="90"/>
      <c r="BR51" s="183">
        <f t="shared" si="30"/>
        <v>0</v>
      </c>
      <c r="BS51" s="193"/>
      <c r="BT51" s="90"/>
      <c r="BU51" s="90"/>
      <c r="BV51" s="183">
        <f t="shared" si="31"/>
        <v>0</v>
      </c>
      <c r="BW51" s="193"/>
      <c r="BX51" s="90"/>
      <c r="BY51" s="90"/>
      <c r="BZ51" s="183">
        <f t="shared" si="32"/>
        <v>0</v>
      </c>
      <c r="CA51" s="193"/>
      <c r="CB51" s="90"/>
      <c r="CC51" s="90"/>
      <c r="CD51" s="183">
        <f t="shared" si="33"/>
        <v>0</v>
      </c>
    </row>
    <row r="52" spans="2:82" x14ac:dyDescent="0.3">
      <c r="B52" s="53"/>
      <c r="C52" s="53" t="str">
        <f t="shared" si="0"/>
        <v>CPU_Fundaçãoestruturamet</v>
      </c>
      <c r="D52" s="278">
        <f t="shared" si="1"/>
        <v>0.2</v>
      </c>
      <c r="E52" s="278">
        <f t="shared" si="2"/>
        <v>0</v>
      </c>
      <c r="F52" s="1" t="s">
        <v>781</v>
      </c>
      <c r="G52" s="28" t="str">
        <f>IFERROR(VLOOKUP(F52,Tabela7[[RECURSO]:[CUSTO]],2,FALSE),"")</f>
        <v>KG</v>
      </c>
      <c r="I52" s="90">
        <f t="shared" ref="I52:I62" si="41">IFERROR(M52*$B$6,0)</f>
        <v>0</v>
      </c>
      <c r="J52" s="45">
        <f>IFERROR(VLOOKUP(F52,Tabela7[[RECURSO]:[CUSTO]],3,FALSE),0)</f>
        <v>8</v>
      </c>
      <c r="K52" s="45">
        <f t="shared" ref="K52:K62" si="42">I52*J52</f>
        <v>0</v>
      </c>
      <c r="M52" s="85" t="e">
        <f t="shared" ref="M52:M53" si="43">SUM(O52:W52)/$B$7</f>
        <v>#DIV/0!</v>
      </c>
      <c r="N52" s="88"/>
      <c r="O52" s="31">
        <v>0</v>
      </c>
      <c r="P52" s="1">
        <v>0</v>
      </c>
      <c r="Q52" s="1">
        <v>0</v>
      </c>
      <c r="R52" s="1">
        <v>0</v>
      </c>
      <c r="S52" s="1">
        <v>735.3900000000001</v>
      </c>
      <c r="T52" s="1">
        <v>735.3900000000001</v>
      </c>
      <c r="U52" s="1">
        <v>650.69000000000005</v>
      </c>
      <c r="V52" s="1">
        <v>650.69000000000005</v>
      </c>
      <c r="W52" s="342">
        <v>650.69000000000005</v>
      </c>
      <c r="AD52" s="144" t="str">
        <f t="shared" si="3"/>
        <v>Fundação estrutura metalica</v>
      </c>
      <c r="AE52" s="192"/>
      <c r="AF52" s="180">
        <f t="shared" si="38"/>
        <v>0</v>
      </c>
      <c r="AG52" s="180">
        <f t="shared" si="17"/>
        <v>0</v>
      </c>
      <c r="AH52" s="181">
        <f t="shared" si="39"/>
        <v>0</v>
      </c>
      <c r="AI52" s="193"/>
      <c r="AJ52" s="90"/>
      <c r="AK52" s="90"/>
      <c r="AL52" s="183">
        <f t="shared" si="40"/>
        <v>0</v>
      </c>
      <c r="AM52" s="193"/>
      <c r="AN52" s="90"/>
      <c r="AO52" s="90"/>
      <c r="AP52" s="183">
        <f t="shared" si="23"/>
        <v>0</v>
      </c>
      <c r="AQ52" s="193"/>
      <c r="AR52" s="90"/>
      <c r="AS52" s="90"/>
      <c r="AT52" s="183">
        <f t="shared" si="24"/>
        <v>0</v>
      </c>
      <c r="AU52" s="193"/>
      <c r="AV52" s="90"/>
      <c r="AW52" s="90"/>
      <c r="AX52" s="183">
        <f t="shared" si="25"/>
        <v>0</v>
      </c>
      <c r="AY52" s="193"/>
      <c r="AZ52" s="90"/>
      <c r="BA52" s="90"/>
      <c r="BB52" s="183">
        <f t="shared" si="26"/>
        <v>0</v>
      </c>
      <c r="BC52" s="193"/>
      <c r="BD52" s="90"/>
      <c r="BE52" s="90"/>
      <c r="BF52" s="183">
        <f t="shared" si="27"/>
        <v>0</v>
      </c>
      <c r="BG52" s="193"/>
      <c r="BH52" s="90"/>
      <c r="BI52" s="90"/>
      <c r="BJ52" s="183">
        <f t="shared" si="28"/>
        <v>0</v>
      </c>
      <c r="BK52" s="193"/>
      <c r="BL52" s="90"/>
      <c r="BM52" s="90"/>
      <c r="BN52" s="183">
        <f t="shared" si="29"/>
        <v>0</v>
      </c>
      <c r="BO52" s="193"/>
      <c r="BP52" s="90"/>
      <c r="BQ52" s="90"/>
      <c r="BR52" s="183">
        <f t="shared" si="30"/>
        <v>0</v>
      </c>
      <c r="BS52" s="193"/>
      <c r="BT52" s="90"/>
      <c r="BU52" s="90"/>
      <c r="BV52" s="183">
        <f t="shared" si="31"/>
        <v>0</v>
      </c>
      <c r="BW52" s="193"/>
      <c r="BX52" s="90"/>
      <c r="BY52" s="90"/>
      <c r="BZ52" s="183">
        <f t="shared" si="32"/>
        <v>0</v>
      </c>
      <c r="CA52" s="193"/>
      <c r="CB52" s="90"/>
      <c r="CC52" s="90"/>
      <c r="CD52" s="183">
        <f t="shared" si="33"/>
        <v>0</v>
      </c>
    </row>
    <row r="53" spans="2:82" x14ac:dyDescent="0.3">
      <c r="B53" s="53"/>
      <c r="C53" s="53" t="str">
        <f t="shared" si="0"/>
        <v>CPU_Fundaçãoestruturamet</v>
      </c>
      <c r="D53" s="278">
        <f t="shared" si="1"/>
        <v>0.2</v>
      </c>
      <c r="E53" s="278">
        <f t="shared" si="2"/>
        <v>0</v>
      </c>
      <c r="F53" s="1" t="s">
        <v>782</v>
      </c>
      <c r="G53" s="28" t="str">
        <f>IFERROR(VLOOKUP(F53,Tabela7[[RECURSO]:[CUSTO]],2,FALSE),"")</f>
        <v>M3</v>
      </c>
      <c r="I53" s="90">
        <f t="shared" si="41"/>
        <v>0</v>
      </c>
      <c r="J53" s="45">
        <f>IFERROR(VLOOKUP(F53,Tabela7[[RECURSO]:[CUSTO]],3,FALSE),0)</f>
        <v>600</v>
      </c>
      <c r="K53" s="45">
        <f t="shared" si="42"/>
        <v>0</v>
      </c>
      <c r="M53" s="85" t="e">
        <f t="shared" si="43"/>
        <v>#DIV/0!</v>
      </c>
      <c r="N53" s="88"/>
      <c r="O53" s="31">
        <v>0</v>
      </c>
      <c r="P53" s="1">
        <v>0</v>
      </c>
      <c r="Q53" s="1">
        <v>0</v>
      </c>
      <c r="R53" s="1">
        <v>0</v>
      </c>
      <c r="S53" s="1">
        <v>17.046780098815468</v>
      </c>
      <c r="T53" s="1">
        <v>17.046780098815468</v>
      </c>
      <c r="U53" s="1">
        <v>11.9574</v>
      </c>
      <c r="V53" s="1">
        <v>11.9574</v>
      </c>
      <c r="W53" s="342">
        <v>11.9574</v>
      </c>
      <c r="AD53" s="144" t="str">
        <f t="shared" si="3"/>
        <v>Fundação estrutura metalica</v>
      </c>
      <c r="AE53" s="192"/>
      <c r="AF53" s="180">
        <f t="shared" si="38"/>
        <v>0</v>
      </c>
      <c r="AG53" s="180">
        <f t="shared" si="17"/>
        <v>0</v>
      </c>
      <c r="AH53" s="181">
        <f t="shared" si="39"/>
        <v>0</v>
      </c>
      <c r="AI53" s="193"/>
      <c r="AJ53" s="90"/>
      <c r="AK53" s="90"/>
      <c r="AL53" s="183">
        <f t="shared" si="40"/>
        <v>0</v>
      </c>
      <c r="AM53" s="193"/>
      <c r="AN53" s="90"/>
      <c r="AO53" s="90"/>
      <c r="AP53" s="183">
        <f t="shared" si="23"/>
        <v>0</v>
      </c>
      <c r="AQ53" s="193"/>
      <c r="AR53" s="90"/>
      <c r="AS53" s="90"/>
      <c r="AT53" s="183">
        <f t="shared" si="24"/>
        <v>0</v>
      </c>
      <c r="AU53" s="193"/>
      <c r="AV53" s="90"/>
      <c r="AW53" s="90"/>
      <c r="AX53" s="183">
        <f t="shared" si="25"/>
        <v>0</v>
      </c>
      <c r="AY53" s="193"/>
      <c r="AZ53" s="90"/>
      <c r="BA53" s="90"/>
      <c r="BB53" s="183">
        <f t="shared" si="26"/>
        <v>0</v>
      </c>
      <c r="BC53" s="193"/>
      <c r="BD53" s="90"/>
      <c r="BE53" s="90"/>
      <c r="BF53" s="183">
        <f t="shared" si="27"/>
        <v>0</v>
      </c>
      <c r="BG53" s="193"/>
      <c r="BH53" s="90"/>
      <c r="BI53" s="90"/>
      <c r="BJ53" s="183">
        <f t="shared" si="28"/>
        <v>0</v>
      </c>
      <c r="BK53" s="193"/>
      <c r="BL53" s="90"/>
      <c r="BM53" s="90"/>
      <c r="BN53" s="183">
        <f t="shared" si="29"/>
        <v>0</v>
      </c>
      <c r="BO53" s="193"/>
      <c r="BP53" s="90"/>
      <c r="BQ53" s="90"/>
      <c r="BR53" s="183">
        <f t="shared" si="30"/>
        <v>0</v>
      </c>
      <c r="BS53" s="193"/>
      <c r="BT53" s="90"/>
      <c r="BU53" s="90"/>
      <c r="BV53" s="183">
        <f t="shared" si="31"/>
        <v>0</v>
      </c>
      <c r="BW53" s="193"/>
      <c r="BX53" s="90"/>
      <c r="BY53" s="90"/>
      <c r="BZ53" s="183">
        <f t="shared" si="32"/>
        <v>0</v>
      </c>
      <c r="CA53" s="193"/>
      <c r="CB53" s="90"/>
      <c r="CC53" s="90"/>
      <c r="CD53" s="183">
        <f t="shared" si="33"/>
        <v>0</v>
      </c>
    </row>
    <row r="54" spans="2:82" x14ac:dyDescent="0.3">
      <c r="B54" s="53"/>
      <c r="C54" s="53" t="str">
        <f t="shared" si="0"/>
        <v>CPU_Fundaçãoestruturamet</v>
      </c>
      <c r="D54" s="278">
        <f t="shared" si="1"/>
        <v>0.2</v>
      </c>
      <c r="E54" s="278">
        <f t="shared" si="2"/>
        <v>0</v>
      </c>
      <c r="F54" s="1" t="s">
        <v>783</v>
      </c>
      <c r="G54" s="28" t="str">
        <f>IFERROR(VLOOKUP(F54,Tabela7[[RECURSO]:[CUSTO]],2,FALSE),"")</f>
        <v>KG</v>
      </c>
      <c r="I54" s="90">
        <f t="shared" si="41"/>
        <v>0</v>
      </c>
      <c r="J54" s="45">
        <f>IFERROR(VLOOKUP(F54,Tabela7[[RECURSO]:[CUSTO]],3,FALSE),0)</f>
        <v>20</v>
      </c>
      <c r="K54" s="45">
        <f>I54*J54</f>
        <v>0</v>
      </c>
      <c r="M54" s="85" t="e">
        <f>M52*0.02</f>
        <v>#DIV/0!</v>
      </c>
      <c r="N54" s="88"/>
      <c r="O54" s="31"/>
      <c r="P54" s="1"/>
      <c r="Q54" s="1"/>
      <c r="R54" s="1"/>
      <c r="S54" s="1"/>
      <c r="T54" s="1"/>
      <c r="U54" s="1"/>
      <c r="V54" s="1"/>
      <c r="W54" s="342"/>
      <c r="AD54" s="144" t="str">
        <f>$B$3</f>
        <v>Fundação estrutura metalica</v>
      </c>
      <c r="AE54" s="192"/>
      <c r="AF54" s="180">
        <f t="shared" si="38"/>
        <v>0</v>
      </c>
      <c r="AG54" s="180">
        <f t="shared" si="17"/>
        <v>0</v>
      </c>
      <c r="AH54" s="181">
        <f t="shared" si="39"/>
        <v>0</v>
      </c>
      <c r="AI54" s="193"/>
      <c r="AJ54" s="90"/>
      <c r="AK54" s="90"/>
      <c r="AL54" s="183">
        <f t="shared" si="40"/>
        <v>0</v>
      </c>
      <c r="AM54" s="193"/>
      <c r="AN54" s="90"/>
      <c r="AO54" s="90"/>
      <c r="AP54" s="183">
        <f t="shared" si="23"/>
        <v>0</v>
      </c>
      <c r="AQ54" s="193"/>
      <c r="AR54" s="90"/>
      <c r="AS54" s="90"/>
      <c r="AT54" s="183">
        <f t="shared" si="24"/>
        <v>0</v>
      </c>
      <c r="AU54" s="193"/>
      <c r="AV54" s="90"/>
      <c r="AW54" s="90"/>
      <c r="AX54" s="183">
        <f t="shared" si="25"/>
        <v>0</v>
      </c>
      <c r="AY54" s="193"/>
      <c r="AZ54" s="90"/>
      <c r="BA54" s="90"/>
      <c r="BB54" s="183">
        <f t="shared" si="26"/>
        <v>0</v>
      </c>
      <c r="BC54" s="193"/>
      <c r="BD54" s="90"/>
      <c r="BE54" s="90"/>
      <c r="BF54" s="183">
        <f t="shared" si="27"/>
        <v>0</v>
      </c>
      <c r="BG54" s="193"/>
      <c r="BH54" s="90"/>
      <c r="BI54" s="90"/>
      <c r="BJ54" s="183">
        <f t="shared" si="28"/>
        <v>0</v>
      </c>
      <c r="BK54" s="193"/>
      <c r="BL54" s="90"/>
      <c r="BM54" s="90"/>
      <c r="BN54" s="183">
        <f t="shared" si="29"/>
        <v>0</v>
      </c>
      <c r="BO54" s="193"/>
      <c r="BP54" s="90"/>
      <c r="BQ54" s="90"/>
      <c r="BR54" s="183">
        <f t="shared" si="30"/>
        <v>0</v>
      </c>
      <c r="BS54" s="193"/>
      <c r="BT54" s="90"/>
      <c r="BU54" s="90"/>
      <c r="BV54" s="183">
        <f t="shared" si="31"/>
        <v>0</v>
      </c>
      <c r="BW54" s="193"/>
      <c r="BX54" s="90"/>
      <c r="BY54" s="90"/>
      <c r="BZ54" s="183">
        <f t="shared" si="32"/>
        <v>0</v>
      </c>
      <c r="CA54" s="193"/>
      <c r="CB54" s="90"/>
      <c r="CC54" s="90"/>
      <c r="CD54" s="183">
        <f t="shared" si="33"/>
        <v>0</v>
      </c>
    </row>
    <row r="55" spans="2:82" x14ac:dyDescent="0.3">
      <c r="B55" s="53"/>
      <c r="C55" s="53" t="str">
        <f t="shared" si="0"/>
        <v>CPU_Fundaçãoestruturamet</v>
      </c>
      <c r="D55" s="278">
        <f t="shared" si="1"/>
        <v>0.2</v>
      </c>
      <c r="E55" s="278">
        <f t="shared" si="2"/>
        <v>0</v>
      </c>
      <c r="F55" s="1" t="s">
        <v>784</v>
      </c>
      <c r="G55" s="28" t="str">
        <f>IFERROR(VLOOKUP(F55,Tabela7[[RECURSO]:[CUSTO]],2,FALSE),"")</f>
        <v>M</v>
      </c>
      <c r="I55" s="90">
        <f t="shared" si="41"/>
        <v>0</v>
      </c>
      <c r="J55" s="45">
        <f>IFERROR(VLOOKUP(F55,Tabela7[[RECURSO]:[CUSTO]],3,FALSE),0)</f>
        <v>20</v>
      </c>
      <c r="K55" s="45">
        <f t="shared" si="42"/>
        <v>0</v>
      </c>
      <c r="M55" s="85"/>
      <c r="N55" s="88"/>
      <c r="O55" s="31"/>
      <c r="P55" s="1"/>
      <c r="Q55" s="1"/>
      <c r="R55" s="1"/>
      <c r="S55" s="1"/>
      <c r="T55" s="1"/>
      <c r="U55" s="1"/>
      <c r="V55" s="1"/>
      <c r="W55" s="342"/>
      <c r="AD55" s="144" t="str">
        <f t="shared" si="3"/>
        <v>Fundação estrutura metalica</v>
      </c>
      <c r="AE55" s="192"/>
      <c r="AF55" s="180">
        <f t="shared" si="38"/>
        <v>0</v>
      </c>
      <c r="AG55" s="180">
        <f t="shared" si="17"/>
        <v>0</v>
      </c>
      <c r="AH55" s="181">
        <f t="shared" si="39"/>
        <v>0</v>
      </c>
      <c r="AI55" s="193"/>
      <c r="AJ55" s="90"/>
      <c r="AK55" s="90"/>
      <c r="AL55" s="183">
        <f t="shared" si="40"/>
        <v>0</v>
      </c>
      <c r="AM55" s="193"/>
      <c r="AN55" s="90"/>
      <c r="AO55" s="90"/>
      <c r="AP55" s="183">
        <f t="shared" si="23"/>
        <v>0</v>
      </c>
      <c r="AQ55" s="193"/>
      <c r="AR55" s="90"/>
      <c r="AS55" s="90"/>
      <c r="AT55" s="183">
        <f t="shared" si="24"/>
        <v>0</v>
      </c>
      <c r="AU55" s="193"/>
      <c r="AV55" s="90"/>
      <c r="AW55" s="90"/>
      <c r="AX55" s="183">
        <f t="shared" si="25"/>
        <v>0</v>
      </c>
      <c r="AY55" s="193"/>
      <c r="AZ55" s="90"/>
      <c r="BA55" s="90"/>
      <c r="BB55" s="183">
        <f t="shared" si="26"/>
        <v>0</v>
      </c>
      <c r="BC55" s="193"/>
      <c r="BD55" s="90"/>
      <c r="BE55" s="90"/>
      <c r="BF55" s="183">
        <f t="shared" si="27"/>
        <v>0</v>
      </c>
      <c r="BG55" s="193"/>
      <c r="BH55" s="90"/>
      <c r="BI55" s="90"/>
      <c r="BJ55" s="183">
        <f t="shared" si="28"/>
        <v>0</v>
      </c>
      <c r="BK55" s="193"/>
      <c r="BL55" s="90"/>
      <c r="BM55" s="90"/>
      <c r="BN55" s="183">
        <f t="shared" si="29"/>
        <v>0</v>
      </c>
      <c r="BO55" s="193"/>
      <c r="BP55" s="90"/>
      <c r="BQ55" s="90"/>
      <c r="BR55" s="183">
        <f t="shared" si="30"/>
        <v>0</v>
      </c>
      <c r="BS55" s="193"/>
      <c r="BT55" s="90"/>
      <c r="BU55" s="90"/>
      <c r="BV55" s="183">
        <f t="shared" si="31"/>
        <v>0</v>
      </c>
      <c r="BW55" s="193"/>
      <c r="BX55" s="90"/>
      <c r="BY55" s="90"/>
      <c r="BZ55" s="183">
        <f t="shared" si="32"/>
        <v>0</v>
      </c>
      <c r="CA55" s="193"/>
      <c r="CB55" s="90"/>
      <c r="CC55" s="90"/>
      <c r="CD55" s="183">
        <f t="shared" si="33"/>
        <v>0</v>
      </c>
    </row>
    <row r="56" spans="2:82" x14ac:dyDescent="0.3">
      <c r="B56" s="53"/>
      <c r="C56" s="53" t="str">
        <f t="shared" si="0"/>
        <v>CPU_Fundaçãoestruturamet</v>
      </c>
      <c r="D56" s="278">
        <f t="shared" si="1"/>
        <v>0.2</v>
      </c>
      <c r="E56" s="278">
        <f t="shared" si="2"/>
        <v>0</v>
      </c>
      <c r="F56" s="1" t="s">
        <v>785</v>
      </c>
      <c r="G56" s="28" t="str">
        <f>IFERROR(VLOOKUP(F56,Tabela7[[RECURSO]:[CUSTO]],2,FALSE),"")</f>
        <v>KG</v>
      </c>
      <c r="I56" s="90">
        <f t="shared" si="41"/>
        <v>0</v>
      </c>
      <c r="J56" s="45">
        <f>IFERROR(VLOOKUP(F56,Tabela7[[RECURSO]:[CUSTO]],3,FALSE),0)</f>
        <v>15</v>
      </c>
      <c r="K56" s="45">
        <f t="shared" si="42"/>
        <v>0</v>
      </c>
      <c r="M56" s="85"/>
      <c r="N56" s="88"/>
      <c r="O56" s="31"/>
      <c r="P56" s="1"/>
      <c r="Q56" s="1"/>
      <c r="R56" s="1"/>
      <c r="S56" s="1"/>
      <c r="T56" s="1"/>
      <c r="U56" s="1"/>
      <c r="V56" s="1"/>
      <c r="W56" s="342"/>
      <c r="AD56" s="144" t="str">
        <f t="shared" si="3"/>
        <v>Fundação estrutura metalica</v>
      </c>
      <c r="AE56" s="192"/>
      <c r="AF56" s="180">
        <f t="shared" si="38"/>
        <v>0</v>
      </c>
      <c r="AG56" s="180">
        <f t="shared" si="17"/>
        <v>0</v>
      </c>
      <c r="AH56" s="181">
        <f t="shared" si="39"/>
        <v>0</v>
      </c>
      <c r="AI56" s="193"/>
      <c r="AJ56" s="90"/>
      <c r="AK56" s="90"/>
      <c r="AL56" s="183">
        <f t="shared" si="40"/>
        <v>0</v>
      </c>
      <c r="AM56" s="193"/>
      <c r="AN56" s="90"/>
      <c r="AO56" s="90"/>
      <c r="AP56" s="183">
        <f t="shared" si="23"/>
        <v>0</v>
      </c>
      <c r="AQ56" s="193"/>
      <c r="AR56" s="90"/>
      <c r="AS56" s="90"/>
      <c r="AT56" s="183">
        <f t="shared" si="24"/>
        <v>0</v>
      </c>
      <c r="AU56" s="193"/>
      <c r="AV56" s="90"/>
      <c r="AW56" s="90"/>
      <c r="AX56" s="183">
        <f t="shared" si="25"/>
        <v>0</v>
      </c>
      <c r="AY56" s="193"/>
      <c r="AZ56" s="90"/>
      <c r="BA56" s="90"/>
      <c r="BB56" s="183">
        <f t="shared" si="26"/>
        <v>0</v>
      </c>
      <c r="BC56" s="193"/>
      <c r="BD56" s="90"/>
      <c r="BE56" s="90"/>
      <c r="BF56" s="183">
        <f t="shared" si="27"/>
        <v>0</v>
      </c>
      <c r="BG56" s="193"/>
      <c r="BH56" s="90"/>
      <c r="BI56" s="90"/>
      <c r="BJ56" s="183">
        <f t="shared" si="28"/>
        <v>0</v>
      </c>
      <c r="BK56" s="193"/>
      <c r="BL56" s="90"/>
      <c r="BM56" s="90"/>
      <c r="BN56" s="183">
        <f t="shared" si="29"/>
        <v>0</v>
      </c>
      <c r="BO56" s="193"/>
      <c r="BP56" s="90"/>
      <c r="BQ56" s="90"/>
      <c r="BR56" s="183">
        <f t="shared" si="30"/>
        <v>0</v>
      </c>
      <c r="BS56" s="193"/>
      <c r="BT56" s="90"/>
      <c r="BU56" s="90"/>
      <c r="BV56" s="183">
        <f t="shared" si="31"/>
        <v>0</v>
      </c>
      <c r="BW56" s="193"/>
      <c r="BX56" s="90"/>
      <c r="BY56" s="90"/>
      <c r="BZ56" s="183">
        <f t="shared" si="32"/>
        <v>0</v>
      </c>
      <c r="CA56" s="193"/>
      <c r="CB56" s="90"/>
      <c r="CC56" s="90"/>
      <c r="CD56" s="183">
        <f t="shared" si="33"/>
        <v>0</v>
      </c>
    </row>
    <row r="57" spans="2:82" x14ac:dyDescent="0.3">
      <c r="B57" s="53"/>
      <c r="C57" s="53" t="str">
        <f t="shared" si="0"/>
        <v>CPU_Fundaçãoestruturamet</v>
      </c>
      <c r="D57" s="278">
        <f t="shared" si="1"/>
        <v>0.2</v>
      </c>
      <c r="E57" s="278">
        <f t="shared" si="2"/>
        <v>0</v>
      </c>
      <c r="F57" s="1"/>
      <c r="G57" s="28" t="str">
        <f>IFERROR(VLOOKUP(F57,Tabela7[[RECURSO]:[CUSTO]],2,FALSE),"")</f>
        <v/>
      </c>
      <c r="I57" s="90">
        <f t="shared" si="41"/>
        <v>0</v>
      </c>
      <c r="J57" s="45">
        <f>IFERROR(VLOOKUP(F57,Tabela7[[RECURSO]:[CUSTO]],3,FALSE),0)</f>
        <v>0</v>
      </c>
      <c r="K57" s="45">
        <f t="shared" si="42"/>
        <v>0</v>
      </c>
      <c r="M57" s="85"/>
      <c r="N57" s="88"/>
      <c r="O57" s="31"/>
      <c r="P57" s="1"/>
      <c r="Q57" s="1"/>
      <c r="R57" s="1"/>
      <c r="S57" s="1"/>
      <c r="T57" s="1"/>
      <c r="U57" s="1"/>
      <c r="V57" s="1"/>
      <c r="W57" s="342"/>
      <c r="AD57" s="144" t="str">
        <f t="shared" si="3"/>
        <v>Fundação estrutura metalica</v>
      </c>
      <c r="AE57" s="192"/>
      <c r="AF57" s="180">
        <f t="shared" si="38"/>
        <v>0</v>
      </c>
      <c r="AG57" s="180">
        <f t="shared" si="17"/>
        <v>0</v>
      </c>
      <c r="AH57" s="181">
        <f t="shared" si="39"/>
        <v>0</v>
      </c>
      <c r="AI57" s="193"/>
      <c r="AJ57" s="90"/>
      <c r="AK57" s="90"/>
      <c r="AL57" s="183">
        <f t="shared" si="40"/>
        <v>0</v>
      </c>
      <c r="AM57" s="193"/>
      <c r="AN57" s="90"/>
      <c r="AO57" s="90"/>
      <c r="AP57" s="183">
        <f t="shared" si="23"/>
        <v>0</v>
      </c>
      <c r="AQ57" s="193"/>
      <c r="AR57" s="90"/>
      <c r="AS57" s="90"/>
      <c r="AT57" s="183">
        <f t="shared" si="24"/>
        <v>0</v>
      </c>
      <c r="AU57" s="193"/>
      <c r="AV57" s="90"/>
      <c r="AW57" s="90"/>
      <c r="AX57" s="183">
        <f t="shared" si="25"/>
        <v>0</v>
      </c>
      <c r="AY57" s="193"/>
      <c r="AZ57" s="90"/>
      <c r="BA57" s="90"/>
      <c r="BB57" s="183">
        <f t="shared" si="26"/>
        <v>0</v>
      </c>
      <c r="BC57" s="193"/>
      <c r="BD57" s="90"/>
      <c r="BE57" s="90"/>
      <c r="BF57" s="183">
        <f t="shared" si="27"/>
        <v>0</v>
      </c>
      <c r="BG57" s="193"/>
      <c r="BH57" s="90"/>
      <c r="BI57" s="90"/>
      <c r="BJ57" s="183">
        <f t="shared" si="28"/>
        <v>0</v>
      </c>
      <c r="BK57" s="193"/>
      <c r="BL57" s="90"/>
      <c r="BM57" s="90"/>
      <c r="BN57" s="183">
        <f t="shared" si="29"/>
        <v>0</v>
      </c>
      <c r="BO57" s="193"/>
      <c r="BP57" s="90"/>
      <c r="BQ57" s="90"/>
      <c r="BR57" s="183">
        <f t="shared" si="30"/>
        <v>0</v>
      </c>
      <c r="BS57" s="193"/>
      <c r="BT57" s="90"/>
      <c r="BU57" s="90"/>
      <c r="BV57" s="183">
        <f t="shared" si="31"/>
        <v>0</v>
      </c>
      <c r="BW57" s="193"/>
      <c r="BX57" s="90"/>
      <c r="BY57" s="90"/>
      <c r="BZ57" s="183">
        <f t="shared" si="32"/>
        <v>0</v>
      </c>
      <c r="CA57" s="193"/>
      <c r="CB57" s="90"/>
      <c r="CC57" s="90"/>
      <c r="CD57" s="183">
        <f t="shared" si="33"/>
        <v>0</v>
      </c>
    </row>
    <row r="58" spans="2:82" x14ac:dyDescent="0.3">
      <c r="B58" s="53"/>
      <c r="C58" s="53" t="str">
        <f t="shared" si="0"/>
        <v>CPU_Fundaçãoestruturamet</v>
      </c>
      <c r="D58" s="278">
        <f t="shared" si="1"/>
        <v>0.2</v>
      </c>
      <c r="E58" s="278">
        <f t="shared" si="2"/>
        <v>0</v>
      </c>
      <c r="F58" s="1"/>
      <c r="G58" s="28" t="str">
        <f>IFERROR(VLOOKUP(F58,Tabela7[[RECURSO]:[CUSTO]],2,FALSE),"")</f>
        <v/>
      </c>
      <c r="I58" s="90">
        <f t="shared" si="41"/>
        <v>0</v>
      </c>
      <c r="J58" s="45">
        <f>IFERROR(VLOOKUP(F58,Tabela7[[RECURSO]:[CUSTO]],3,FALSE),0)</f>
        <v>0</v>
      </c>
      <c r="K58" s="45">
        <f t="shared" si="42"/>
        <v>0</v>
      </c>
      <c r="M58" s="85"/>
      <c r="N58" s="88"/>
      <c r="O58" s="31"/>
      <c r="P58" s="1"/>
      <c r="Q58" s="1"/>
      <c r="R58" s="1"/>
      <c r="S58" s="1"/>
      <c r="T58" s="1"/>
      <c r="U58" s="1"/>
      <c r="V58" s="1"/>
      <c r="W58" s="342"/>
      <c r="AD58" s="144" t="str">
        <f t="shared" si="3"/>
        <v>Fundação estrutura metalica</v>
      </c>
      <c r="AE58" s="192"/>
      <c r="AF58" s="180">
        <f t="shared" si="38"/>
        <v>0</v>
      </c>
      <c r="AG58" s="180">
        <f t="shared" si="17"/>
        <v>0</v>
      </c>
      <c r="AH58" s="181">
        <f t="shared" si="39"/>
        <v>0</v>
      </c>
      <c r="AI58" s="193"/>
      <c r="AJ58" s="90"/>
      <c r="AK58" s="90"/>
      <c r="AL58" s="183">
        <f t="shared" si="40"/>
        <v>0</v>
      </c>
      <c r="AM58" s="193"/>
      <c r="AN58" s="90"/>
      <c r="AO58" s="90"/>
      <c r="AP58" s="183">
        <f t="shared" si="23"/>
        <v>0</v>
      </c>
      <c r="AQ58" s="193"/>
      <c r="AR58" s="90"/>
      <c r="AS58" s="90"/>
      <c r="AT58" s="183">
        <f t="shared" si="24"/>
        <v>0</v>
      </c>
      <c r="AU58" s="193"/>
      <c r="AV58" s="90"/>
      <c r="AW58" s="90"/>
      <c r="AX58" s="183">
        <f t="shared" si="25"/>
        <v>0</v>
      </c>
      <c r="AY58" s="193"/>
      <c r="AZ58" s="90"/>
      <c r="BA58" s="90"/>
      <c r="BB58" s="183">
        <f t="shared" si="26"/>
        <v>0</v>
      </c>
      <c r="BC58" s="193"/>
      <c r="BD58" s="90"/>
      <c r="BE58" s="90"/>
      <c r="BF58" s="183">
        <f t="shared" si="27"/>
        <v>0</v>
      </c>
      <c r="BG58" s="193"/>
      <c r="BH58" s="90"/>
      <c r="BI58" s="90"/>
      <c r="BJ58" s="183">
        <f t="shared" si="28"/>
        <v>0</v>
      </c>
      <c r="BK58" s="193"/>
      <c r="BL58" s="90"/>
      <c r="BM58" s="90"/>
      <c r="BN58" s="183">
        <f t="shared" si="29"/>
        <v>0</v>
      </c>
      <c r="BO58" s="193"/>
      <c r="BP58" s="90"/>
      <c r="BQ58" s="90"/>
      <c r="BR58" s="183">
        <f t="shared" si="30"/>
        <v>0</v>
      </c>
      <c r="BS58" s="193"/>
      <c r="BT58" s="90"/>
      <c r="BU58" s="90"/>
      <c r="BV58" s="183">
        <f t="shared" si="31"/>
        <v>0</v>
      </c>
      <c r="BW58" s="193"/>
      <c r="BX58" s="90"/>
      <c r="BY58" s="90"/>
      <c r="BZ58" s="183">
        <f t="shared" si="32"/>
        <v>0</v>
      </c>
      <c r="CA58" s="193"/>
      <c r="CB58" s="90"/>
      <c r="CC58" s="90"/>
      <c r="CD58" s="183">
        <f t="shared" si="33"/>
        <v>0</v>
      </c>
    </row>
    <row r="59" spans="2:82" x14ac:dyDescent="0.3">
      <c r="B59" s="53"/>
      <c r="C59" s="53" t="str">
        <f t="shared" si="0"/>
        <v>CPU_Fundaçãoestruturamet</v>
      </c>
      <c r="D59" s="278">
        <f t="shared" si="1"/>
        <v>0.2</v>
      </c>
      <c r="E59" s="278">
        <f t="shared" si="2"/>
        <v>0</v>
      </c>
      <c r="F59" s="1"/>
      <c r="G59" s="28" t="str">
        <f>IFERROR(VLOOKUP(F59,Tabela7[[RECURSO]:[CUSTO]],2,FALSE),"")</f>
        <v/>
      </c>
      <c r="I59" s="90">
        <f t="shared" si="41"/>
        <v>0</v>
      </c>
      <c r="J59" s="45">
        <f>IFERROR(VLOOKUP(F59,Tabela7[[RECURSO]:[CUSTO]],3,FALSE),0)</f>
        <v>0</v>
      </c>
      <c r="K59" s="45">
        <f t="shared" si="42"/>
        <v>0</v>
      </c>
      <c r="M59" s="85"/>
      <c r="N59" s="88"/>
      <c r="O59" s="31"/>
      <c r="P59" s="1"/>
      <c r="Q59" s="1"/>
      <c r="R59" s="1"/>
      <c r="S59" s="1"/>
      <c r="T59" s="1"/>
      <c r="U59" s="1"/>
      <c r="V59" s="1"/>
      <c r="W59" s="342"/>
      <c r="AD59" s="144" t="str">
        <f t="shared" si="3"/>
        <v>Fundação estrutura metalica</v>
      </c>
      <c r="AE59" s="192"/>
      <c r="AF59" s="180">
        <f t="shared" si="38"/>
        <v>0</v>
      </c>
      <c r="AG59" s="180">
        <f t="shared" si="17"/>
        <v>0</v>
      </c>
      <c r="AH59" s="181">
        <f t="shared" si="39"/>
        <v>0</v>
      </c>
      <c r="AI59" s="193"/>
      <c r="AJ59" s="90"/>
      <c r="AK59" s="90"/>
      <c r="AL59" s="183">
        <f t="shared" si="40"/>
        <v>0</v>
      </c>
      <c r="AM59" s="193"/>
      <c r="AN59" s="90"/>
      <c r="AO59" s="90"/>
      <c r="AP59" s="183">
        <f t="shared" si="23"/>
        <v>0</v>
      </c>
      <c r="AQ59" s="193"/>
      <c r="AR59" s="90"/>
      <c r="AS59" s="90"/>
      <c r="AT59" s="183">
        <f t="shared" si="24"/>
        <v>0</v>
      </c>
      <c r="AU59" s="193"/>
      <c r="AV59" s="90"/>
      <c r="AW59" s="90"/>
      <c r="AX59" s="183">
        <f t="shared" si="25"/>
        <v>0</v>
      </c>
      <c r="AY59" s="193"/>
      <c r="AZ59" s="90"/>
      <c r="BA59" s="90"/>
      <c r="BB59" s="183">
        <f t="shared" si="26"/>
        <v>0</v>
      </c>
      <c r="BC59" s="193"/>
      <c r="BD59" s="90"/>
      <c r="BE59" s="90"/>
      <c r="BF59" s="183">
        <f t="shared" si="27"/>
        <v>0</v>
      </c>
      <c r="BG59" s="193"/>
      <c r="BH59" s="90"/>
      <c r="BI59" s="90"/>
      <c r="BJ59" s="183">
        <f t="shared" si="28"/>
        <v>0</v>
      </c>
      <c r="BK59" s="193"/>
      <c r="BL59" s="90"/>
      <c r="BM59" s="90"/>
      <c r="BN59" s="183">
        <f t="shared" si="29"/>
        <v>0</v>
      </c>
      <c r="BO59" s="193"/>
      <c r="BP59" s="90"/>
      <c r="BQ59" s="90"/>
      <c r="BR59" s="183">
        <f t="shared" si="30"/>
        <v>0</v>
      </c>
      <c r="BS59" s="193"/>
      <c r="BT59" s="90"/>
      <c r="BU59" s="90"/>
      <c r="BV59" s="183">
        <f t="shared" si="31"/>
        <v>0</v>
      </c>
      <c r="BW59" s="193"/>
      <c r="BX59" s="90"/>
      <c r="BY59" s="90"/>
      <c r="BZ59" s="183">
        <f t="shared" si="32"/>
        <v>0</v>
      </c>
      <c r="CA59" s="193"/>
      <c r="CB59" s="90"/>
      <c r="CC59" s="90"/>
      <c r="CD59" s="183">
        <f t="shared" si="33"/>
        <v>0</v>
      </c>
    </row>
    <row r="60" spans="2:82" x14ac:dyDescent="0.3">
      <c r="B60" s="53"/>
      <c r="C60" s="53" t="str">
        <f t="shared" si="0"/>
        <v>CPU_Fundaçãoestruturamet</v>
      </c>
      <c r="D60" s="278">
        <f t="shared" si="1"/>
        <v>0.2</v>
      </c>
      <c r="E60" s="278">
        <f t="shared" si="2"/>
        <v>0</v>
      </c>
      <c r="F60" s="1"/>
      <c r="G60" s="28" t="str">
        <f>IFERROR(VLOOKUP(F60,Tabela7[[RECURSO]:[CUSTO]],2,FALSE),"")</f>
        <v/>
      </c>
      <c r="I60" s="90">
        <f t="shared" si="41"/>
        <v>0</v>
      </c>
      <c r="J60" s="45">
        <f>IFERROR(VLOOKUP(F60,Tabela7[[RECURSO]:[CUSTO]],3,FALSE),0)</f>
        <v>0</v>
      </c>
      <c r="K60" s="45">
        <f t="shared" si="42"/>
        <v>0</v>
      </c>
      <c r="M60" s="85"/>
      <c r="N60" s="88"/>
      <c r="O60" s="31"/>
      <c r="P60" s="1"/>
      <c r="Q60" s="1"/>
      <c r="R60" s="1"/>
      <c r="S60" s="1"/>
      <c r="T60" s="1"/>
      <c r="U60" s="1"/>
      <c r="V60" s="1"/>
      <c r="W60" s="342"/>
      <c r="AD60" s="144" t="str">
        <f t="shared" si="3"/>
        <v>Fundação estrutura metalica</v>
      </c>
      <c r="AE60" s="192"/>
      <c r="AF60" s="180">
        <f t="shared" si="38"/>
        <v>0</v>
      </c>
      <c r="AG60" s="180">
        <f t="shared" si="17"/>
        <v>0</v>
      </c>
      <c r="AH60" s="181">
        <f t="shared" si="39"/>
        <v>0</v>
      </c>
      <c r="AI60" s="193"/>
      <c r="AJ60" s="90"/>
      <c r="AK60" s="90"/>
      <c r="AL60" s="183">
        <f t="shared" si="40"/>
        <v>0</v>
      </c>
      <c r="AM60" s="193"/>
      <c r="AN60" s="90"/>
      <c r="AO60" s="90"/>
      <c r="AP60" s="183">
        <f t="shared" si="23"/>
        <v>0</v>
      </c>
      <c r="AQ60" s="193"/>
      <c r="AR60" s="90"/>
      <c r="AS60" s="90"/>
      <c r="AT60" s="183">
        <f t="shared" si="24"/>
        <v>0</v>
      </c>
      <c r="AU60" s="193"/>
      <c r="AV60" s="90"/>
      <c r="AW60" s="90"/>
      <c r="AX60" s="183">
        <f t="shared" si="25"/>
        <v>0</v>
      </c>
      <c r="AY60" s="193"/>
      <c r="AZ60" s="90"/>
      <c r="BA60" s="90"/>
      <c r="BB60" s="183">
        <f t="shared" si="26"/>
        <v>0</v>
      </c>
      <c r="BC60" s="193"/>
      <c r="BD60" s="90"/>
      <c r="BE60" s="90"/>
      <c r="BF60" s="183">
        <f t="shared" si="27"/>
        <v>0</v>
      </c>
      <c r="BG60" s="193"/>
      <c r="BH60" s="90"/>
      <c r="BI60" s="90"/>
      <c r="BJ60" s="183">
        <f t="shared" si="28"/>
        <v>0</v>
      </c>
      <c r="BK60" s="193"/>
      <c r="BL60" s="90"/>
      <c r="BM60" s="90"/>
      <c r="BN60" s="183">
        <f t="shared" si="29"/>
        <v>0</v>
      </c>
      <c r="BO60" s="193"/>
      <c r="BP60" s="90"/>
      <c r="BQ60" s="90"/>
      <c r="BR60" s="183">
        <f t="shared" si="30"/>
        <v>0</v>
      </c>
      <c r="BS60" s="193"/>
      <c r="BT60" s="90"/>
      <c r="BU60" s="90"/>
      <c r="BV60" s="183">
        <f t="shared" si="31"/>
        <v>0</v>
      </c>
      <c r="BW60" s="193"/>
      <c r="BX60" s="90"/>
      <c r="BY60" s="90"/>
      <c r="BZ60" s="183">
        <f t="shared" si="32"/>
        <v>0</v>
      </c>
      <c r="CA60" s="193"/>
      <c r="CB60" s="90"/>
      <c r="CC60" s="90"/>
      <c r="CD60" s="183">
        <f t="shared" si="33"/>
        <v>0</v>
      </c>
    </row>
    <row r="61" spans="2:82" x14ac:dyDescent="0.3">
      <c r="B61" s="53"/>
      <c r="C61" s="53" t="str">
        <f t="shared" si="0"/>
        <v>CPU_Fundaçãoestruturamet</v>
      </c>
      <c r="D61" s="278">
        <f t="shared" si="1"/>
        <v>0.2</v>
      </c>
      <c r="E61" s="278">
        <f t="shared" si="2"/>
        <v>0</v>
      </c>
      <c r="F61" s="1"/>
      <c r="G61" s="28" t="str">
        <f>IFERROR(VLOOKUP(F61,Tabela7[[RECURSO]:[CUSTO]],2,FALSE),"")</f>
        <v/>
      </c>
      <c r="I61" s="90">
        <f t="shared" si="41"/>
        <v>0</v>
      </c>
      <c r="J61" s="45">
        <f>IFERROR(VLOOKUP(F61,Tabela7[[RECURSO]:[CUSTO]],3,FALSE),0)</f>
        <v>0</v>
      </c>
      <c r="K61" s="45">
        <f t="shared" si="42"/>
        <v>0</v>
      </c>
      <c r="M61" s="85"/>
      <c r="N61" s="88"/>
      <c r="O61" s="31"/>
      <c r="P61" s="1"/>
      <c r="Q61" s="1"/>
      <c r="R61" s="1"/>
      <c r="S61" s="1"/>
      <c r="T61" s="1"/>
      <c r="U61" s="1"/>
      <c r="V61" s="1"/>
      <c r="W61" s="342"/>
      <c r="AD61" s="144" t="str">
        <f t="shared" si="3"/>
        <v>Fundação estrutura metalica</v>
      </c>
      <c r="AE61" s="192"/>
      <c r="AF61" s="180">
        <f t="shared" si="38"/>
        <v>0</v>
      </c>
      <c r="AG61" s="180">
        <f t="shared" si="17"/>
        <v>0</v>
      </c>
      <c r="AH61" s="181">
        <f t="shared" si="39"/>
        <v>0</v>
      </c>
      <c r="AI61" s="193"/>
      <c r="AJ61" s="90"/>
      <c r="AK61" s="90"/>
      <c r="AL61" s="183">
        <f t="shared" si="40"/>
        <v>0</v>
      </c>
      <c r="AM61" s="193"/>
      <c r="AN61" s="90"/>
      <c r="AO61" s="90"/>
      <c r="AP61" s="183">
        <f t="shared" si="23"/>
        <v>0</v>
      </c>
      <c r="AQ61" s="193"/>
      <c r="AR61" s="90"/>
      <c r="AS61" s="90"/>
      <c r="AT61" s="183">
        <f t="shared" si="24"/>
        <v>0</v>
      </c>
      <c r="AU61" s="193"/>
      <c r="AV61" s="90"/>
      <c r="AW61" s="90"/>
      <c r="AX61" s="183">
        <f t="shared" si="25"/>
        <v>0</v>
      </c>
      <c r="AY61" s="193"/>
      <c r="AZ61" s="90"/>
      <c r="BA61" s="90"/>
      <c r="BB61" s="183">
        <f t="shared" si="26"/>
        <v>0</v>
      </c>
      <c r="BC61" s="193"/>
      <c r="BD61" s="90"/>
      <c r="BE61" s="90"/>
      <c r="BF61" s="183">
        <f t="shared" si="27"/>
        <v>0</v>
      </c>
      <c r="BG61" s="193"/>
      <c r="BH61" s="90"/>
      <c r="BI61" s="90"/>
      <c r="BJ61" s="183">
        <f t="shared" si="28"/>
        <v>0</v>
      </c>
      <c r="BK61" s="193"/>
      <c r="BL61" s="90"/>
      <c r="BM61" s="90"/>
      <c r="BN61" s="183">
        <f t="shared" si="29"/>
        <v>0</v>
      </c>
      <c r="BO61" s="193"/>
      <c r="BP61" s="90"/>
      <c r="BQ61" s="90"/>
      <c r="BR61" s="183">
        <f t="shared" si="30"/>
        <v>0</v>
      </c>
      <c r="BS61" s="193"/>
      <c r="BT61" s="90"/>
      <c r="BU61" s="90"/>
      <c r="BV61" s="183">
        <f t="shared" si="31"/>
        <v>0</v>
      </c>
      <c r="BW61" s="193"/>
      <c r="BX61" s="90"/>
      <c r="BY61" s="90"/>
      <c r="BZ61" s="183">
        <f t="shared" si="32"/>
        <v>0</v>
      </c>
      <c r="CA61" s="193"/>
      <c r="CB61" s="90"/>
      <c r="CC61" s="90"/>
      <c r="CD61" s="183">
        <f t="shared" si="33"/>
        <v>0</v>
      </c>
    </row>
    <row r="62" spans="2:82" ht="15" thickBot="1" x14ac:dyDescent="0.35">
      <c r="B62" s="53"/>
      <c r="C62" s="53" t="str">
        <f t="shared" si="0"/>
        <v>CPU_Fundaçãoestruturamet</v>
      </c>
      <c r="D62" s="278">
        <f t="shared" si="1"/>
        <v>0.2</v>
      </c>
      <c r="E62" s="278">
        <f t="shared" si="2"/>
        <v>0</v>
      </c>
      <c r="F62" s="1"/>
      <c r="G62" s="28" t="str">
        <f>IFERROR(VLOOKUP(F62,Tabela7[[RECURSO]:[CUSTO]],2,FALSE),"")</f>
        <v/>
      </c>
      <c r="I62" s="90">
        <f t="shared" si="41"/>
        <v>0</v>
      </c>
      <c r="J62" s="45">
        <f>IFERROR(VLOOKUP(F62,Tabela7[[RECURSO]:[CUSTO]],3,FALSE),0)</f>
        <v>0</v>
      </c>
      <c r="K62" s="45">
        <f t="shared" si="42"/>
        <v>0</v>
      </c>
      <c r="M62" s="86"/>
      <c r="N62" s="88"/>
      <c r="O62" s="51"/>
      <c r="P62" s="343"/>
      <c r="Q62" s="343"/>
      <c r="R62" s="343"/>
      <c r="S62" s="343"/>
      <c r="T62" s="343"/>
      <c r="U62" s="343"/>
      <c r="V62" s="343"/>
      <c r="W62" s="344"/>
      <c r="AD62" s="144" t="str">
        <f t="shared" si="3"/>
        <v>Fundação estrutura metalica</v>
      </c>
      <c r="AE62" s="194"/>
      <c r="AF62" s="195">
        <f t="shared" si="38"/>
        <v>0</v>
      </c>
      <c r="AG62" s="195">
        <f t="shared" si="17"/>
        <v>0</v>
      </c>
      <c r="AH62" s="196">
        <f t="shared" si="39"/>
        <v>0</v>
      </c>
      <c r="AI62" s="197"/>
      <c r="AJ62" s="198"/>
      <c r="AK62" s="198"/>
      <c r="AL62" s="199">
        <f t="shared" si="40"/>
        <v>0</v>
      </c>
      <c r="AM62" s="197"/>
      <c r="AN62" s="198"/>
      <c r="AO62" s="198"/>
      <c r="AP62" s="199">
        <f t="shared" si="23"/>
        <v>0</v>
      </c>
      <c r="AQ62" s="197"/>
      <c r="AR62" s="198"/>
      <c r="AS62" s="198"/>
      <c r="AT62" s="199">
        <f t="shared" si="24"/>
        <v>0</v>
      </c>
      <c r="AU62" s="197"/>
      <c r="AV62" s="198"/>
      <c r="AW62" s="198"/>
      <c r="AX62" s="199">
        <f t="shared" si="25"/>
        <v>0</v>
      </c>
      <c r="AY62" s="197"/>
      <c r="AZ62" s="198"/>
      <c r="BA62" s="198"/>
      <c r="BB62" s="199">
        <f t="shared" si="26"/>
        <v>0</v>
      </c>
      <c r="BC62" s="197"/>
      <c r="BD62" s="198"/>
      <c r="BE62" s="198"/>
      <c r="BF62" s="199">
        <f t="shared" si="27"/>
        <v>0</v>
      </c>
      <c r="BG62" s="197"/>
      <c r="BH62" s="198"/>
      <c r="BI62" s="198"/>
      <c r="BJ62" s="199">
        <f t="shared" si="28"/>
        <v>0</v>
      </c>
      <c r="BK62" s="197"/>
      <c r="BL62" s="198"/>
      <c r="BM62" s="198"/>
      <c r="BN62" s="199">
        <f t="shared" si="29"/>
        <v>0</v>
      </c>
      <c r="BO62" s="197"/>
      <c r="BP62" s="198"/>
      <c r="BQ62" s="198"/>
      <c r="BR62" s="199">
        <f t="shared" si="30"/>
        <v>0</v>
      </c>
      <c r="BS62" s="197"/>
      <c r="BT62" s="198"/>
      <c r="BU62" s="198"/>
      <c r="BV62" s="199">
        <f t="shared" si="31"/>
        <v>0</v>
      </c>
      <c r="BW62" s="197"/>
      <c r="BX62" s="198"/>
      <c r="BY62" s="198"/>
      <c r="BZ62" s="199">
        <f t="shared" si="32"/>
        <v>0</v>
      </c>
      <c r="CA62" s="197"/>
      <c r="CB62" s="198"/>
      <c r="CC62" s="198"/>
      <c r="CD62" s="199">
        <f t="shared" si="33"/>
        <v>0</v>
      </c>
    </row>
  </sheetData>
  <conditionalFormatting sqref="K6:K7">
    <cfRule type="iconSet" priority="14">
      <iconSet>
        <cfvo type="percent" val="0"/>
        <cfvo type="num" val="0"/>
        <cfvo type="num" val="0.02"/>
      </iconSet>
    </cfRule>
  </conditionalFormatting>
  <conditionalFormatting sqref="AH6:AH7">
    <cfRule type="iconSet" priority="13">
      <iconSet>
        <cfvo type="percent" val="0"/>
        <cfvo type="num" val="0"/>
        <cfvo type="num" val="0.02"/>
      </iconSet>
    </cfRule>
  </conditionalFormatting>
  <conditionalFormatting sqref="AL6:AL7">
    <cfRule type="iconSet" priority="12">
      <iconSet>
        <cfvo type="percent" val="0"/>
        <cfvo type="num" val="0"/>
        <cfvo type="num" val="0.02"/>
      </iconSet>
    </cfRule>
  </conditionalFormatting>
  <conditionalFormatting sqref="AP6:AP7">
    <cfRule type="iconSet" priority="11">
      <iconSet>
        <cfvo type="percent" val="0"/>
        <cfvo type="num" val="0"/>
        <cfvo type="num" val="0.02"/>
      </iconSet>
    </cfRule>
  </conditionalFormatting>
  <conditionalFormatting sqref="AT6:AT7">
    <cfRule type="iconSet" priority="10">
      <iconSet>
        <cfvo type="percent" val="0"/>
        <cfvo type="num" val="0"/>
        <cfvo type="num" val="0.02"/>
      </iconSet>
    </cfRule>
  </conditionalFormatting>
  <conditionalFormatting sqref="AX6:AX7">
    <cfRule type="iconSet" priority="9">
      <iconSet>
        <cfvo type="percent" val="0"/>
        <cfvo type="num" val="0"/>
        <cfvo type="num" val="0.02"/>
      </iconSet>
    </cfRule>
  </conditionalFormatting>
  <conditionalFormatting sqref="BB6:BB7">
    <cfRule type="iconSet" priority="8">
      <iconSet>
        <cfvo type="percent" val="0"/>
        <cfvo type="num" val="0"/>
        <cfvo type="num" val="0.02"/>
      </iconSet>
    </cfRule>
  </conditionalFormatting>
  <conditionalFormatting sqref="BF6:BF7">
    <cfRule type="iconSet" priority="7">
      <iconSet>
        <cfvo type="percent" val="0"/>
        <cfvo type="num" val="0"/>
        <cfvo type="num" val="0.02"/>
      </iconSet>
    </cfRule>
  </conditionalFormatting>
  <conditionalFormatting sqref="BJ6:BJ7">
    <cfRule type="iconSet" priority="6">
      <iconSet>
        <cfvo type="percent" val="0"/>
        <cfvo type="num" val="0"/>
        <cfvo type="num" val="0.02"/>
      </iconSet>
    </cfRule>
  </conditionalFormatting>
  <conditionalFormatting sqref="BN6:BN7">
    <cfRule type="iconSet" priority="5">
      <iconSet>
        <cfvo type="percent" val="0"/>
        <cfvo type="num" val="0"/>
        <cfvo type="num" val="0.02"/>
      </iconSet>
    </cfRule>
  </conditionalFormatting>
  <conditionalFormatting sqref="BR6:BR7">
    <cfRule type="iconSet" priority="4">
      <iconSet>
        <cfvo type="percent" val="0"/>
        <cfvo type="num" val="0"/>
        <cfvo type="num" val="0.02"/>
      </iconSet>
    </cfRule>
  </conditionalFormatting>
  <conditionalFormatting sqref="BV6:BV7">
    <cfRule type="iconSet" priority="3">
      <iconSet>
        <cfvo type="percent" val="0"/>
        <cfvo type="num" val="0"/>
        <cfvo type="num" val="0.02"/>
      </iconSet>
    </cfRule>
  </conditionalFormatting>
  <conditionalFormatting sqref="BZ6:BZ7">
    <cfRule type="iconSet" priority="2">
      <iconSet>
        <cfvo type="percent" val="0"/>
        <cfvo type="num" val="0"/>
        <cfvo type="num" val="0.02"/>
      </iconSet>
    </cfRule>
  </conditionalFormatting>
  <conditionalFormatting sqref="CD6:CD7">
    <cfRule type="iconSet" priority="1">
      <iconSet>
        <cfvo type="percent" val="0"/>
        <cfvo type="num" val="0"/>
        <cfvo type="num" val="0.02"/>
      </iconSet>
    </cfRule>
  </conditionalFormatting>
  <dataValidations count="5">
    <dataValidation type="list" allowBlank="1" showInputMessage="1" showErrorMessage="1" sqref="F51:F62" xr:uid="{132A0744-44FD-4196-AECE-35C270DB5C4B}">
      <formula1>INDIRECT($B$50)</formula1>
    </dataValidation>
    <dataValidation type="list" allowBlank="1" showInputMessage="1" showErrorMessage="1" sqref="F38:F49" xr:uid="{11BC0FE1-7F5E-4D1C-A5C9-2B7338DB7BF5}">
      <formula1>INDIRECT($B$37)</formula1>
    </dataValidation>
    <dataValidation type="list" allowBlank="1" showInputMessage="1" showErrorMessage="1" sqref="F25:F36" xr:uid="{BDB2F3CF-3522-42B2-97F8-CE2B8F4B6C6C}">
      <formula1>INDIRECT($B$24)</formula1>
    </dataValidation>
    <dataValidation type="list" allowBlank="1" showInputMessage="1" showErrorMessage="1" sqref="F12:F23" xr:uid="{89B23EDF-BA1E-43EF-9CE4-D32055E506CF}">
      <formula1>INDIRECT($B$11)</formula1>
    </dataValidation>
    <dataValidation type="list" allowBlank="1" showInputMessage="1" showErrorMessage="1" sqref="B3:E3" xr:uid="{733B6D8C-4711-4165-AF37-77A07766D128}">
      <formula1>INDIRECT($B$2)</formula1>
    </dataValidation>
  </dataValidations>
  <pageMargins left="0.51181102362204722" right="0.51181102362204722" top="0.19685039370078741" bottom="0.19685039370078741" header="0.31496062992125984" footer="0.31496062992125984"/>
  <pageSetup paperSize="9" scale="82" orientation="portrait" r:id="rId1"/>
  <colBreaks count="1" manualBreakCount="1">
    <brk id="11" max="1048575" man="1"/>
  </colBreaks>
  <drawing r:id="rId2"/>
  <legacyDrawing r:id="rId3"/>
  <tableParts count="2">
    <tablePart r:id="rId4"/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2F437-0133-4DB9-85F4-1EA6D0CFFBA7}">
  <sheetPr codeName="Plan32"/>
  <dimension ref="A1:CD62"/>
  <sheetViews>
    <sheetView showGridLines="0" zoomScaleNormal="100" workbookViewId="0">
      <pane xSplit="14" ySplit="10" topLeftCell="O52" activePane="bottomRight" state="frozen"/>
      <selection pane="topRight" activeCell="C28" activeCellId="1" sqref="E13 C28"/>
      <selection pane="bottomLeft" activeCell="C28" activeCellId="1" sqref="E13 C28"/>
      <selection pane="bottomRight" activeCell="O50" sqref="O50:W62"/>
    </sheetView>
  </sheetViews>
  <sheetFormatPr defaultRowHeight="14.4" x14ac:dyDescent="0.3"/>
  <cols>
    <col min="1" max="1" width="4.109375" customWidth="1"/>
    <col min="2" max="2" width="16.109375" customWidth="1"/>
    <col min="3" max="5" width="16.109375" hidden="1" customWidth="1"/>
    <col min="6" max="6" width="40.6640625" customWidth="1"/>
    <col min="7" max="7" width="10.6640625" style="28" customWidth="1"/>
    <col min="8" max="8" width="7.6640625" style="28" customWidth="1"/>
    <col min="9" max="11" width="10.6640625" customWidth="1"/>
    <col min="12" max="12" width="2.33203125" customWidth="1"/>
    <col min="13" max="14" width="12.6640625" customWidth="1"/>
    <col min="15" max="15" width="14" bestFit="1" customWidth="1"/>
    <col min="30" max="30" width="12.44140625" bestFit="1" customWidth="1"/>
    <col min="31" max="31" width="7.6640625" customWidth="1"/>
    <col min="32" max="32" width="9.33203125" bestFit="1" customWidth="1"/>
    <col min="33" max="34" width="10.6640625" customWidth="1"/>
    <col min="35" max="35" width="7.6640625" customWidth="1"/>
    <col min="36" max="36" width="9.33203125" customWidth="1"/>
    <col min="37" max="38" width="10.6640625" customWidth="1"/>
    <col min="40" max="40" width="9.33203125" customWidth="1"/>
    <col min="42" max="42" width="9.6640625" customWidth="1"/>
    <col min="44" max="44" width="9.33203125" customWidth="1"/>
    <col min="46" max="46" width="9.6640625" customWidth="1"/>
    <col min="48" max="48" width="9.33203125" customWidth="1"/>
    <col min="50" max="50" width="9.6640625" customWidth="1"/>
    <col min="52" max="52" width="9.33203125" customWidth="1"/>
    <col min="54" max="54" width="9.6640625" customWidth="1"/>
    <col min="56" max="56" width="9.33203125" customWidth="1"/>
    <col min="58" max="58" width="9.6640625" customWidth="1"/>
    <col min="60" max="60" width="9.33203125" customWidth="1"/>
    <col min="62" max="62" width="9.6640625" customWidth="1"/>
    <col min="64" max="64" width="9.33203125" customWidth="1"/>
    <col min="66" max="66" width="9.6640625" customWidth="1"/>
    <col min="68" max="68" width="9.33203125" customWidth="1"/>
    <col min="70" max="70" width="9.6640625" customWidth="1"/>
    <col min="72" max="72" width="10" customWidth="1"/>
    <col min="73" max="73" width="9.5546875" customWidth="1"/>
    <col min="74" max="74" width="10.44140625" customWidth="1"/>
    <col min="76" max="76" width="10" customWidth="1"/>
    <col min="77" max="77" width="9.5546875" customWidth="1"/>
    <col min="78" max="78" width="10.44140625" customWidth="1"/>
    <col min="80" max="80" width="10" customWidth="1"/>
    <col min="81" max="81" width="9.5546875" customWidth="1"/>
    <col min="82" max="82" width="10.44140625" customWidth="1"/>
  </cols>
  <sheetData>
    <row r="1" spans="1:82" ht="26.4" customHeight="1" thickBot="1" x14ac:dyDescent="0.35">
      <c r="AE1" s="163" t="s">
        <v>678</v>
      </c>
    </row>
    <row r="2" spans="1:82" x14ac:dyDescent="0.3">
      <c r="B2" s="64" t="s">
        <v>679</v>
      </c>
      <c r="C2" s="67"/>
      <c r="D2" s="67"/>
      <c r="E2" s="67"/>
      <c r="F2" s="65"/>
      <c r="G2" s="66"/>
      <c r="H2" s="66"/>
      <c r="I2" s="65"/>
      <c r="J2" s="67" t="s">
        <v>680</v>
      </c>
      <c r="K2" s="68" t="s">
        <v>681</v>
      </c>
      <c r="M2" s="227" t="s">
        <v>682</v>
      </c>
      <c r="N2" s="228" t="s">
        <v>683</v>
      </c>
      <c r="O2" s="234" t="s">
        <v>684</v>
      </c>
      <c r="AE2" s="164" t="s">
        <v>590</v>
      </c>
      <c r="AF2" s="165" t="s">
        <v>20</v>
      </c>
      <c r="AG2" s="67"/>
      <c r="AH2" s="68" t="s">
        <v>681</v>
      </c>
      <c r="AI2" s="166">
        <v>44927</v>
      </c>
      <c r="AJ2" s="165" t="s">
        <v>20</v>
      </c>
      <c r="AK2" s="67"/>
      <c r="AL2" s="68" t="s">
        <v>681</v>
      </c>
      <c r="AM2" s="166">
        <v>44958</v>
      </c>
      <c r="AN2" s="165" t="s">
        <v>20</v>
      </c>
      <c r="AO2" s="67"/>
      <c r="AP2" s="68" t="s">
        <v>681</v>
      </c>
      <c r="AQ2" s="166">
        <v>44986</v>
      </c>
      <c r="AR2" s="165" t="s">
        <v>20</v>
      </c>
      <c r="AS2" s="67"/>
      <c r="AT2" s="68" t="s">
        <v>681</v>
      </c>
      <c r="AU2" s="166">
        <v>45017</v>
      </c>
      <c r="AV2" s="165" t="s">
        <v>20</v>
      </c>
      <c r="AW2" s="67"/>
      <c r="AX2" s="68" t="s">
        <v>681</v>
      </c>
      <c r="AY2" s="166">
        <v>45047</v>
      </c>
      <c r="AZ2" s="165" t="s">
        <v>20</v>
      </c>
      <c r="BA2" s="67"/>
      <c r="BB2" s="68" t="s">
        <v>681</v>
      </c>
      <c r="BC2" s="166">
        <v>45078</v>
      </c>
      <c r="BD2" s="165" t="s">
        <v>20</v>
      </c>
      <c r="BE2" s="67"/>
      <c r="BF2" s="68" t="s">
        <v>681</v>
      </c>
      <c r="BG2" s="166">
        <v>45108</v>
      </c>
      <c r="BH2" s="165" t="s">
        <v>20</v>
      </c>
      <c r="BI2" s="67"/>
      <c r="BJ2" s="68" t="s">
        <v>681</v>
      </c>
      <c r="BK2" s="166">
        <v>45139</v>
      </c>
      <c r="BL2" s="165" t="s">
        <v>20</v>
      </c>
      <c r="BM2" s="67"/>
      <c r="BN2" s="68" t="s">
        <v>681</v>
      </c>
      <c r="BO2" s="166">
        <v>45170</v>
      </c>
      <c r="BP2" s="165" t="s">
        <v>20</v>
      </c>
      <c r="BQ2" s="67"/>
      <c r="BR2" s="68" t="s">
        <v>681</v>
      </c>
      <c r="BS2" s="166">
        <v>45200</v>
      </c>
      <c r="BT2" s="165" t="s">
        <v>20</v>
      </c>
      <c r="BU2" s="67"/>
      <c r="BV2" s="68" t="s">
        <v>681</v>
      </c>
      <c r="BW2" s="166">
        <v>45231</v>
      </c>
      <c r="BX2" s="165" t="s">
        <v>20</v>
      </c>
      <c r="BY2" s="67"/>
      <c r="BZ2" s="68" t="s">
        <v>681</v>
      </c>
      <c r="CA2" s="166">
        <v>45261</v>
      </c>
      <c r="CB2" s="165" t="s">
        <v>20</v>
      </c>
      <c r="CC2" s="67"/>
      <c r="CD2" s="68" t="s">
        <v>681</v>
      </c>
    </row>
    <row r="3" spans="1:82" x14ac:dyDescent="0.3">
      <c r="A3" s="42" t="str">
        <f>"CPU_"&amp;LEFT(SUBSTITUTE(SUBSTITUTE(B3," ",""),"-",""),20)</f>
        <v>CPU_Passeiodeconcreto</v>
      </c>
      <c r="B3" s="31" t="s">
        <v>786</v>
      </c>
      <c r="C3" s="1"/>
      <c r="D3" s="1"/>
      <c r="E3" s="1"/>
      <c r="F3" s="73"/>
      <c r="G3" s="74"/>
      <c r="H3" s="74"/>
      <c r="I3" s="73"/>
      <c r="J3" s="74" t="str">
        <f>IFERROR(VLOOKUP(B3,Tabela1[[NOME SERVIÇO]:[UNID]],4,0),"")</f>
        <v>UNID</v>
      </c>
      <c r="K3" s="75">
        <f>IFERROR(J6/B6,0)</f>
        <v>5593.2156537213687</v>
      </c>
      <c r="M3" s="229" t="s">
        <v>685</v>
      </c>
      <c r="N3" s="230">
        <f>K11</f>
        <v>0</v>
      </c>
      <c r="O3" s="235">
        <f>IFERROR(N3/$N$7,0)</f>
        <v>0</v>
      </c>
      <c r="AE3" s="167"/>
      <c r="AF3" s="168">
        <f>AJ3+AN3+AR3+AV3+AZ3+BD3+BH3+BL3+BP3+BT3+BX3+CB3</f>
        <v>0</v>
      </c>
      <c r="AG3" s="74"/>
      <c r="AH3" s="75">
        <f>IFERROR((AG6/AF3),0)</f>
        <v>0</v>
      </c>
      <c r="AI3" s="167"/>
      <c r="AJ3" s="168">
        <f>IFERROR(SUMPRODUCT(Plan_Orc!$I$4:$I$2002*Plan_Orc!$AB$4:$AB$2002*(Plan_Orc!$D$4:$D$2002=$B3)),0)</f>
        <v>0</v>
      </c>
      <c r="AK3" s="74"/>
      <c r="AL3" s="75">
        <f>IFERROR((AK6/AJ3),0)</f>
        <v>0</v>
      </c>
      <c r="AM3" s="167"/>
      <c r="AN3" s="168">
        <f>IFERROR(SUMPRODUCT(Plan_Orc!$I$4:$I$2002*Plan_Orc!$AC$4:$AC$2002*(Plan_Orc!$D$4:$D$2002=$B3)),0)</f>
        <v>0</v>
      </c>
      <c r="AO3" s="74"/>
      <c r="AP3" s="75">
        <f>IFERROR((AO6/AN3),0)</f>
        <v>0</v>
      </c>
      <c r="AQ3" s="167"/>
      <c r="AR3" s="168">
        <f>IFERROR(SUMPRODUCT(Plan_Orc!$I$4:$I$2002*Plan_Orc!$AD$4:$AD$2002*(Plan_Orc!$D$4:$D$2002=$B3)),0)</f>
        <v>0</v>
      </c>
      <c r="AS3" s="74"/>
      <c r="AT3" s="75">
        <f>IFERROR((AS6/AR3),0)</f>
        <v>0</v>
      </c>
      <c r="AU3" s="167"/>
      <c r="AV3" s="168">
        <f>IFERROR(SUMPRODUCT(Plan_Orc!$I$4:$I$2002*Plan_Orc!$AE$4:$AE$2002*(Plan_Orc!$D$4:$D$2002=$B3)),0)</f>
        <v>0</v>
      </c>
      <c r="AW3" s="74"/>
      <c r="AX3" s="75">
        <f>IFERROR((AW6/AV3),0)</f>
        <v>0</v>
      </c>
      <c r="AY3" s="167"/>
      <c r="AZ3" s="168">
        <f>IFERROR(SUMPRODUCT(Plan_Orc!$I$4:$I$2002*Plan_Orc!$AF$4:$AF$2002*(Plan_Orc!$D$4:$D$2002=$B3)),0)</f>
        <v>0</v>
      </c>
      <c r="BA3" s="74"/>
      <c r="BB3" s="75">
        <f>IFERROR((BA6/AZ3),0)</f>
        <v>0</v>
      </c>
      <c r="BC3" s="167"/>
      <c r="BD3" s="168">
        <f>IFERROR(SUMPRODUCT(Plan_Orc!$I$4:$I$2002*Plan_Orc!$AG$4:$AG$2002*(Plan_Orc!$D$4:$D$2002=$B3)),0)</f>
        <v>0</v>
      </c>
      <c r="BE3" s="74"/>
      <c r="BF3" s="75">
        <f>IFERROR((BE6/BD3),0)</f>
        <v>0</v>
      </c>
      <c r="BG3" s="167"/>
      <c r="BH3" s="168">
        <f>IFERROR(SUMPRODUCT(Plan_Orc!$I$4:$I$2002*Plan_Orc!$AH$4:$AH$2002*(Plan_Orc!$D$4:$D$2002=$B3)),0)</f>
        <v>0</v>
      </c>
      <c r="BI3" s="74"/>
      <c r="BJ3" s="75">
        <f>IFERROR((BI6/BH3),0)</f>
        <v>0</v>
      </c>
      <c r="BK3" s="167"/>
      <c r="BL3" s="168">
        <f>IFERROR(SUMPRODUCT(Plan_Orc!$I$4:$I$2002*Plan_Orc!$AI$4:$AI$2002*(Plan_Orc!$D$4:$D$2002=$B3)),0)</f>
        <v>0</v>
      </c>
      <c r="BM3" s="74"/>
      <c r="BN3" s="75">
        <f>IFERROR((BM6/BL3),0)</f>
        <v>0</v>
      </c>
      <c r="BO3" s="167"/>
      <c r="BP3" s="168">
        <f>IFERROR(SUMPRODUCT(Plan_Orc!$I$4:$I$2002*Plan_Orc!$AJ$4:$AJ$2002*(Plan_Orc!$D$4:$D$2002=$B3)),0)</f>
        <v>0</v>
      </c>
      <c r="BQ3" s="74"/>
      <c r="BR3" s="75">
        <f>IFERROR((BQ6/BP3),0)</f>
        <v>0</v>
      </c>
      <c r="BS3" s="167"/>
      <c r="BT3" s="168">
        <f>IFERROR(SUMPRODUCT(Plan_Orc!$I$4:$I$2002*Plan_Orc!$AK$4:$AK$2002*(Plan_Orc!$D$4:$D$2002=$B3)),0)</f>
        <v>0</v>
      </c>
      <c r="BU3" s="74"/>
      <c r="BV3" s="75">
        <f>IFERROR((BU6/BT3),0)</f>
        <v>0</v>
      </c>
      <c r="BW3" s="167"/>
      <c r="BX3" s="168">
        <f>IFERROR(SUMPRODUCT(Plan_Orc!$I$4:$I$2002*Plan_Orc!$AL$4:$AL$2002*(Plan_Orc!$D$4:$D$2002=$B3)),0)</f>
        <v>0</v>
      </c>
      <c r="BY3" s="74"/>
      <c r="BZ3" s="75">
        <f>IFERROR((BY6/BX3),0)</f>
        <v>0</v>
      </c>
      <c r="CA3" s="167"/>
      <c r="CB3" s="168">
        <f>IFERROR(SUMPRODUCT(Plan_Orc!$I$4:$I$2002*Plan_Orc!$AM$4:$AM$2002*(Plan_Orc!$D$4:$D$2002=$B3)),0)</f>
        <v>0</v>
      </c>
      <c r="CC3" s="74"/>
      <c r="CD3" s="75">
        <f>IFERROR((CC6/CB3),0)</f>
        <v>0</v>
      </c>
    </row>
    <row r="4" spans="1:82" x14ac:dyDescent="0.3">
      <c r="B4" s="32"/>
      <c r="K4" s="30"/>
      <c r="M4" s="229" t="s">
        <v>686</v>
      </c>
      <c r="N4" s="230">
        <f>+K24</f>
        <v>0</v>
      </c>
      <c r="O4" s="235">
        <f>IFERROR(N4/$N$7,0)</f>
        <v>0</v>
      </c>
      <c r="AE4" s="169"/>
      <c r="AH4" s="30"/>
      <c r="AI4" s="169"/>
      <c r="AL4" s="30"/>
      <c r="AM4" s="169"/>
      <c r="AP4" s="30"/>
      <c r="AQ4" s="169"/>
      <c r="AT4" s="30"/>
      <c r="AU4" s="169"/>
      <c r="AX4" s="30"/>
      <c r="AY4" s="169"/>
      <c r="BB4" s="30"/>
      <c r="BC4" s="169"/>
      <c r="BF4" s="30"/>
      <c r="BG4" s="169"/>
      <c r="BJ4" s="30"/>
      <c r="BK4" s="169"/>
      <c r="BN4" s="30"/>
      <c r="BO4" s="169"/>
      <c r="BR4" s="30"/>
      <c r="BS4" s="169"/>
      <c r="BV4" s="30"/>
      <c r="BW4" s="169"/>
      <c r="BZ4" s="30"/>
      <c r="CA4" s="169"/>
      <c r="CD4" s="30"/>
    </row>
    <row r="5" spans="1:82" x14ac:dyDescent="0.3">
      <c r="B5" s="69" t="s">
        <v>687</v>
      </c>
      <c r="C5" s="72"/>
      <c r="D5" s="72"/>
      <c r="E5" s="72"/>
      <c r="F5" s="70" t="s">
        <v>688</v>
      </c>
      <c r="G5" s="70" t="s">
        <v>689</v>
      </c>
      <c r="H5" s="70" t="s">
        <v>690</v>
      </c>
      <c r="I5" s="70" t="s">
        <v>691</v>
      </c>
      <c r="J5" s="70" t="s">
        <v>683</v>
      </c>
      <c r="K5" s="71" t="s">
        <v>593</v>
      </c>
      <c r="M5" s="229" t="s">
        <v>692</v>
      </c>
      <c r="N5" s="230">
        <f>+K37</f>
        <v>1342.5289870547008</v>
      </c>
      <c r="O5" s="235">
        <f>IFERROR(N5/$N$7,0)</f>
        <v>0.24002811087061657</v>
      </c>
      <c r="AE5" s="170"/>
      <c r="AF5" s="70" t="s">
        <v>691</v>
      </c>
      <c r="AG5" s="70" t="s">
        <v>683</v>
      </c>
      <c r="AH5" s="71" t="s">
        <v>593</v>
      </c>
      <c r="AI5" s="170"/>
      <c r="AJ5" s="70" t="s">
        <v>691</v>
      </c>
      <c r="AK5" s="70" t="s">
        <v>683</v>
      </c>
      <c r="AL5" s="71" t="s">
        <v>593</v>
      </c>
      <c r="AM5" s="170"/>
      <c r="AN5" s="70" t="s">
        <v>691</v>
      </c>
      <c r="AO5" s="70" t="s">
        <v>683</v>
      </c>
      <c r="AP5" s="71" t="s">
        <v>593</v>
      </c>
      <c r="AQ5" s="170"/>
      <c r="AR5" s="70" t="s">
        <v>691</v>
      </c>
      <c r="AS5" s="70" t="s">
        <v>683</v>
      </c>
      <c r="AT5" s="71" t="s">
        <v>593</v>
      </c>
      <c r="AU5" s="170"/>
      <c r="AV5" s="70" t="s">
        <v>691</v>
      </c>
      <c r="AW5" s="70" t="s">
        <v>683</v>
      </c>
      <c r="AX5" s="71" t="s">
        <v>593</v>
      </c>
      <c r="AY5" s="170"/>
      <c r="AZ5" s="70" t="s">
        <v>691</v>
      </c>
      <c r="BA5" s="70" t="s">
        <v>683</v>
      </c>
      <c r="BB5" s="71" t="s">
        <v>593</v>
      </c>
      <c r="BC5" s="170"/>
      <c r="BD5" s="70" t="s">
        <v>691</v>
      </c>
      <c r="BE5" s="70" t="s">
        <v>683</v>
      </c>
      <c r="BF5" s="71" t="s">
        <v>593</v>
      </c>
      <c r="BG5" s="170"/>
      <c r="BH5" s="70" t="s">
        <v>691</v>
      </c>
      <c r="BI5" s="70" t="s">
        <v>683</v>
      </c>
      <c r="BJ5" s="71" t="s">
        <v>593</v>
      </c>
      <c r="BK5" s="170"/>
      <c r="BL5" s="70" t="s">
        <v>691</v>
      </c>
      <c r="BM5" s="70" t="s">
        <v>683</v>
      </c>
      <c r="BN5" s="71" t="s">
        <v>593</v>
      </c>
      <c r="BO5" s="170"/>
      <c r="BP5" s="70" t="s">
        <v>691</v>
      </c>
      <c r="BQ5" s="70" t="s">
        <v>683</v>
      </c>
      <c r="BR5" s="71" t="s">
        <v>593</v>
      </c>
      <c r="BS5" s="170"/>
      <c r="BT5" s="70" t="s">
        <v>691</v>
      </c>
      <c r="BU5" s="70" t="s">
        <v>683</v>
      </c>
      <c r="BV5" s="71" t="s">
        <v>593</v>
      </c>
      <c r="BW5" s="170"/>
      <c r="BX5" s="70" t="s">
        <v>691</v>
      </c>
      <c r="BY5" s="70" t="s">
        <v>683</v>
      </c>
      <c r="BZ5" s="71" t="s">
        <v>593</v>
      </c>
      <c r="CA5" s="170"/>
      <c r="CB5" s="70" t="s">
        <v>691</v>
      </c>
      <c r="CC5" s="70" t="s">
        <v>683</v>
      </c>
      <c r="CD5" s="71" t="s">
        <v>593</v>
      </c>
    </row>
    <row r="6" spans="1:82" s="2" customFormat="1" ht="30" customHeight="1" x14ac:dyDescent="0.3">
      <c r="B6" s="33">
        <v>1</v>
      </c>
      <c r="C6" s="275"/>
      <c r="D6" s="275"/>
      <c r="E6" s="275"/>
      <c r="F6" s="27"/>
      <c r="G6" s="35">
        <v>1</v>
      </c>
      <c r="H6" s="81" t="s">
        <v>347</v>
      </c>
      <c r="I6" s="55">
        <f>IFERROR(I7/B7*B6,0)</f>
        <v>0</v>
      </c>
      <c r="J6" s="55">
        <f>K11+K24+K37+K50</f>
        <v>5593.2156537213687</v>
      </c>
      <c r="K6" s="56">
        <f>IFERROR((I6-J6)/I6-PARAMETROS!C19,0)</f>
        <v>0</v>
      </c>
      <c r="M6" s="229" t="s">
        <v>693</v>
      </c>
      <c r="N6" s="230">
        <f>+K50</f>
        <v>4250.6866666666674</v>
      </c>
      <c r="O6" s="235">
        <f>IFERROR(N6/$N$7,0)</f>
        <v>0.7599718891293834</v>
      </c>
      <c r="AE6" s="171"/>
      <c r="AF6" s="55">
        <f>AJ6+AN6+AR6+AV6+AZ6+BD6+BH6+BL6+BP6+BT6+BX6+CB6</f>
        <v>0</v>
      </c>
      <c r="AG6" s="55">
        <f>AH11+AH24+AH37+AH50</f>
        <v>0</v>
      </c>
      <c r="AH6" s="56">
        <f>IFERROR((AF6-AG6)/AF6,0)</f>
        <v>0</v>
      </c>
      <c r="AI6" s="171"/>
      <c r="AJ6" s="55"/>
      <c r="AK6" s="55">
        <f>AL11+AL24+AL37+AL50</f>
        <v>0</v>
      </c>
      <c r="AL6" s="56">
        <f>IFERROR((AJ6-AK6)/AJ6,0)</f>
        <v>0</v>
      </c>
      <c r="AM6" s="171"/>
      <c r="AN6" s="55"/>
      <c r="AO6" s="55">
        <f>AP11+AP24+AP37+AP50</f>
        <v>0</v>
      </c>
      <c r="AP6" s="56">
        <f>IFERROR((AN6-AO6)/AN6,0)</f>
        <v>0</v>
      </c>
      <c r="AQ6" s="171"/>
      <c r="AR6" s="55"/>
      <c r="AS6" s="55">
        <f>AT11+AT24+AT37+AT50</f>
        <v>0</v>
      </c>
      <c r="AT6" s="56">
        <f>IFERROR((AR6-AS6)/AR6,0)</f>
        <v>0</v>
      </c>
      <c r="AU6" s="171"/>
      <c r="AV6" s="55"/>
      <c r="AW6" s="55">
        <f>AX11+AX24+AX37+AX50</f>
        <v>0</v>
      </c>
      <c r="AX6" s="56">
        <f>IFERROR((AV6-AW6)/AV6,0)</f>
        <v>0</v>
      </c>
      <c r="AY6" s="171"/>
      <c r="AZ6" s="55"/>
      <c r="BA6" s="55">
        <f>BB11+BB24+BB37+BB50</f>
        <v>0</v>
      </c>
      <c r="BB6" s="56">
        <f>IFERROR((AZ6-BA6)/AZ6,0)</f>
        <v>0</v>
      </c>
      <c r="BC6" s="171"/>
      <c r="BD6" s="55"/>
      <c r="BE6" s="55">
        <f>BF11+BF24+BF37+BF50</f>
        <v>0</v>
      </c>
      <c r="BF6" s="56">
        <f>IFERROR((BD6-BE6)/BD6,0)</f>
        <v>0</v>
      </c>
      <c r="BG6" s="171"/>
      <c r="BH6" s="55"/>
      <c r="BI6" s="55">
        <f>BJ11+BJ24+BJ37+BJ50</f>
        <v>0</v>
      </c>
      <c r="BJ6" s="56">
        <f>IFERROR((BH6-BI6)/BH6,0)</f>
        <v>0</v>
      </c>
      <c r="BK6" s="171"/>
      <c r="BL6" s="55"/>
      <c r="BM6" s="55">
        <f>BN11+BN24+BN37+BN50</f>
        <v>0</v>
      </c>
      <c r="BN6" s="56">
        <f>IFERROR((BL6-BM6)/BL6,0)</f>
        <v>0</v>
      </c>
      <c r="BO6" s="171"/>
      <c r="BP6" s="55"/>
      <c r="BQ6" s="55">
        <f>BR11+BR24+BR37+BR50</f>
        <v>0</v>
      </c>
      <c r="BR6" s="56">
        <f>IFERROR((BP6-BQ6)/BP6,0)</f>
        <v>0</v>
      </c>
      <c r="BS6" s="171"/>
      <c r="BT6" s="55"/>
      <c r="BU6" s="55">
        <f>BV11+BV24+BV37+BV50</f>
        <v>0</v>
      </c>
      <c r="BV6" s="56">
        <f>IFERROR((BT6-BU6)/BT6,0)</f>
        <v>0</v>
      </c>
      <c r="BW6" s="171"/>
      <c r="BX6" s="55"/>
      <c r="BY6" s="55">
        <f>BZ11+BZ24+BZ37+BZ50</f>
        <v>0</v>
      </c>
      <c r="BZ6" s="56">
        <f>IFERROR((BX6-BY6)/BX6,0)</f>
        <v>0</v>
      </c>
      <c r="CA6" s="171"/>
      <c r="CB6" s="55"/>
      <c r="CC6" s="55">
        <f>CD11+CD24+CD37+CD50</f>
        <v>0</v>
      </c>
      <c r="CD6" s="56">
        <f>IFERROR((CB6-CC6)/CB6,0)</f>
        <v>0</v>
      </c>
    </row>
    <row r="7" spans="1:82" s="2" customFormat="1" ht="30" customHeight="1" thickBot="1" x14ac:dyDescent="0.35">
      <c r="B7" s="34">
        <f>IFERROR(VLOOKUP(B3,Lucratividade!G4:N853,2,0),0)</f>
        <v>0</v>
      </c>
      <c r="C7" s="276"/>
      <c r="D7" s="276"/>
      <c r="E7" s="276"/>
      <c r="F7" s="50"/>
      <c r="G7" s="36">
        <f>IFERROR(B7/B6,0)</f>
        <v>0</v>
      </c>
      <c r="H7" s="82" t="s">
        <v>347</v>
      </c>
      <c r="I7" s="57">
        <f>IFERROR(VLOOKUP(B3,Lucratividade!G4:N132,6,0),0)</f>
        <v>0</v>
      </c>
      <c r="J7" s="58">
        <f>B7*K3</f>
        <v>0</v>
      </c>
      <c r="K7" s="59">
        <f>IFERROR((I7-J7)/I7-PARAMETROS!C19,0)</f>
        <v>0</v>
      </c>
      <c r="M7" s="231" t="s">
        <v>694</v>
      </c>
      <c r="N7" s="232">
        <f>SUM(N3:N6)</f>
        <v>5593.2156537213687</v>
      </c>
      <c r="O7" s="236"/>
      <c r="AE7" s="172"/>
      <c r="AF7" s="57"/>
      <c r="AG7" s="58"/>
      <c r="AH7" s="59"/>
      <c r="AI7" s="172"/>
      <c r="AJ7" s="57"/>
      <c r="AK7" s="58"/>
      <c r="AL7" s="59"/>
      <c r="AM7" s="172"/>
      <c r="AN7" s="57"/>
      <c r="AO7" s="58"/>
      <c r="AP7" s="59"/>
      <c r="AQ7" s="172"/>
      <c r="AR7" s="57"/>
      <c r="AS7" s="58"/>
      <c r="AT7" s="59"/>
      <c r="AU7" s="172"/>
      <c r="AV7" s="57"/>
      <c r="AW7" s="58"/>
      <c r="AX7" s="59"/>
      <c r="AY7" s="172"/>
      <c r="AZ7" s="57"/>
      <c r="BA7" s="58"/>
      <c r="BB7" s="59"/>
      <c r="BC7" s="172"/>
      <c r="BD7" s="57"/>
      <c r="BE7" s="58"/>
      <c r="BF7" s="59"/>
      <c r="BG7" s="172"/>
      <c r="BH7" s="57"/>
      <c r="BI7" s="58"/>
      <c r="BJ7" s="59"/>
      <c r="BK7" s="172"/>
      <c r="BL7" s="57"/>
      <c r="BM7" s="58"/>
      <c r="BN7" s="59"/>
      <c r="BO7" s="172"/>
      <c r="BP7" s="57"/>
      <c r="BQ7" s="58"/>
      <c r="BR7" s="59"/>
      <c r="BS7" s="172"/>
      <c r="BT7" s="57"/>
      <c r="BU7" s="58"/>
      <c r="BV7" s="59"/>
      <c r="BW7" s="172"/>
      <c r="BX7" s="57"/>
      <c r="BY7" s="58"/>
      <c r="BZ7" s="59"/>
      <c r="CA7" s="172"/>
      <c r="CB7" s="57"/>
      <c r="CC7" s="58"/>
      <c r="CD7" s="59"/>
    </row>
    <row r="8" spans="1:82" ht="4.2" customHeight="1" x14ac:dyDescent="0.3">
      <c r="AE8" s="28"/>
      <c r="AI8" s="28"/>
      <c r="AM8" s="28"/>
      <c r="AQ8" s="28"/>
      <c r="AU8" s="28"/>
      <c r="AY8" s="28"/>
      <c r="BC8" s="28"/>
      <c r="BG8" s="28"/>
      <c r="BK8" s="28"/>
      <c r="BO8" s="28"/>
      <c r="BS8" s="28"/>
      <c r="BW8" s="28"/>
      <c r="CA8" s="28"/>
    </row>
    <row r="9" spans="1:82" ht="4.95" customHeight="1" thickBot="1" x14ac:dyDescent="0.35">
      <c r="AE9" s="28"/>
      <c r="AI9" s="28"/>
      <c r="AM9" s="28"/>
      <c r="AQ9" s="28"/>
      <c r="AU9" s="28"/>
      <c r="AY9" s="28"/>
      <c r="BC9" s="28"/>
      <c r="BG9" s="28"/>
      <c r="BK9" s="28"/>
      <c r="BO9" s="28"/>
      <c r="BS9" s="28"/>
      <c r="BW9" s="28"/>
      <c r="CA9" s="28"/>
    </row>
    <row r="10" spans="1:82" ht="15" thickBot="1" x14ac:dyDescent="0.35">
      <c r="B10" s="72" t="s">
        <v>695</v>
      </c>
      <c r="C10" s="72" t="s">
        <v>679</v>
      </c>
      <c r="D10" s="72" t="s">
        <v>696</v>
      </c>
      <c r="E10" s="72" t="s">
        <v>697</v>
      </c>
      <c r="F10" s="72" t="s">
        <v>17</v>
      </c>
      <c r="G10" s="70" t="s">
        <v>690</v>
      </c>
      <c r="H10" s="70" t="s">
        <v>698</v>
      </c>
      <c r="I10" s="72" t="s">
        <v>20</v>
      </c>
      <c r="J10" s="72" t="s">
        <v>699</v>
      </c>
      <c r="K10" s="72" t="s">
        <v>700</v>
      </c>
      <c r="M10" s="83" t="s">
        <v>701</v>
      </c>
      <c r="N10" s="87" t="s">
        <v>702</v>
      </c>
      <c r="AD10" s="173" t="s">
        <v>703</v>
      </c>
      <c r="AE10" s="170" t="s">
        <v>698</v>
      </c>
      <c r="AF10" s="70" t="s">
        <v>20</v>
      </c>
      <c r="AG10" s="70" t="s">
        <v>699</v>
      </c>
      <c r="AH10" s="70" t="s">
        <v>700</v>
      </c>
      <c r="AI10" s="173" t="s">
        <v>704</v>
      </c>
      <c r="AJ10" s="174" t="s">
        <v>705</v>
      </c>
      <c r="AK10" s="174" t="s">
        <v>706</v>
      </c>
      <c r="AL10" s="175" t="s">
        <v>707</v>
      </c>
      <c r="AM10" s="173" t="s">
        <v>708</v>
      </c>
      <c r="AN10" s="174" t="s">
        <v>709</v>
      </c>
      <c r="AO10" s="174" t="s">
        <v>710</v>
      </c>
      <c r="AP10" s="175" t="s">
        <v>711</v>
      </c>
      <c r="AQ10" s="173" t="s">
        <v>712</v>
      </c>
      <c r="AR10" s="174" t="s">
        <v>713</v>
      </c>
      <c r="AS10" s="174" t="s">
        <v>714</v>
      </c>
      <c r="AT10" s="175" t="s">
        <v>715</v>
      </c>
      <c r="AU10" s="173" t="s">
        <v>716</v>
      </c>
      <c r="AV10" s="174" t="s">
        <v>717</v>
      </c>
      <c r="AW10" s="174" t="s">
        <v>718</v>
      </c>
      <c r="AX10" s="175" t="s">
        <v>719</v>
      </c>
      <c r="AY10" s="173" t="s">
        <v>720</v>
      </c>
      <c r="AZ10" s="174" t="s">
        <v>721</v>
      </c>
      <c r="BA10" s="174" t="s">
        <v>722</v>
      </c>
      <c r="BB10" s="175" t="s">
        <v>723</v>
      </c>
      <c r="BC10" s="173" t="s">
        <v>724</v>
      </c>
      <c r="BD10" s="174" t="s">
        <v>725</v>
      </c>
      <c r="BE10" s="174" t="s">
        <v>726</v>
      </c>
      <c r="BF10" s="175" t="s">
        <v>727</v>
      </c>
      <c r="BG10" s="173" t="s">
        <v>728</v>
      </c>
      <c r="BH10" s="174" t="s">
        <v>729</v>
      </c>
      <c r="BI10" s="174" t="s">
        <v>730</v>
      </c>
      <c r="BJ10" s="175" t="s">
        <v>731</v>
      </c>
      <c r="BK10" s="173" t="s">
        <v>732</v>
      </c>
      <c r="BL10" s="174" t="s">
        <v>733</v>
      </c>
      <c r="BM10" s="174" t="s">
        <v>734</v>
      </c>
      <c r="BN10" s="175" t="s">
        <v>735</v>
      </c>
      <c r="BO10" s="173" t="s">
        <v>736</v>
      </c>
      <c r="BP10" s="174" t="s">
        <v>737</v>
      </c>
      <c r="BQ10" s="174" t="s">
        <v>738</v>
      </c>
      <c r="BR10" s="175" t="s">
        <v>739</v>
      </c>
      <c r="BS10" s="173" t="s">
        <v>740</v>
      </c>
      <c r="BT10" s="174" t="s">
        <v>741</v>
      </c>
      <c r="BU10" s="174" t="s">
        <v>742</v>
      </c>
      <c r="BV10" s="175" t="s">
        <v>743</v>
      </c>
      <c r="BW10" s="173" t="s">
        <v>744</v>
      </c>
      <c r="BX10" s="174" t="s">
        <v>745</v>
      </c>
      <c r="BY10" s="174" t="s">
        <v>746</v>
      </c>
      <c r="BZ10" s="175" t="s">
        <v>747</v>
      </c>
      <c r="CA10" s="173" t="s">
        <v>748</v>
      </c>
      <c r="CB10" s="174" t="s">
        <v>749</v>
      </c>
      <c r="CC10" s="174" t="s">
        <v>750</v>
      </c>
      <c r="CD10" s="174" t="s">
        <v>751</v>
      </c>
    </row>
    <row r="11" spans="1:82" x14ac:dyDescent="0.3">
      <c r="B11" s="52" t="s">
        <v>752</v>
      </c>
      <c r="C11" s="52" t="str">
        <f t="shared" ref="C11:C62" si="0">$A$3</f>
        <v>CPU_Passeiodeconcreto</v>
      </c>
      <c r="D11" s="277">
        <f t="shared" ref="D11:D62" si="1">$B$6</f>
        <v>1</v>
      </c>
      <c r="E11" s="277">
        <f t="shared" ref="E11:E62" si="2">$B$7</f>
        <v>0</v>
      </c>
      <c r="F11" s="37"/>
      <c r="G11" s="38"/>
      <c r="H11" s="91"/>
      <c r="I11" s="40"/>
      <c r="J11" s="40">
        <f>IFERROR(K11/$B$6,0)</f>
        <v>0</v>
      </c>
      <c r="K11" s="40">
        <f>SUM(K12:K23)</f>
        <v>0</v>
      </c>
      <c r="M11" s="294" t="s">
        <v>753</v>
      </c>
      <c r="N11" s="295" t="s">
        <v>754</v>
      </c>
      <c r="O11" s="296" t="s">
        <v>755</v>
      </c>
      <c r="AD11" s="144" t="str">
        <f>$B$3</f>
        <v>Passeio de concreto</v>
      </c>
      <c r="AE11" s="176"/>
      <c r="AF11" s="177"/>
      <c r="AG11" s="177">
        <f>IFERROR(AH11/AF$3,0)</f>
        <v>0</v>
      </c>
      <c r="AH11" s="178">
        <f>SUM(AH12:AH23)</f>
        <v>0</v>
      </c>
      <c r="AI11" s="176"/>
      <c r="AJ11" s="177"/>
      <c r="AK11" s="177">
        <f>IFERROR(AL11/AJ$3,0)</f>
        <v>0</v>
      </c>
      <c r="AL11" s="178">
        <f>SUM(AL12:AL23)</f>
        <v>0</v>
      </c>
      <c r="AM11" s="176"/>
      <c r="AN11" s="177"/>
      <c r="AO11" s="177">
        <f>IFERROR(AP11/AN$3,0)</f>
        <v>0</v>
      </c>
      <c r="AP11" s="178">
        <f>SUM(AP12:AP23)</f>
        <v>0</v>
      </c>
      <c r="AQ11" s="176"/>
      <c r="AR11" s="177"/>
      <c r="AS11" s="177">
        <f>IFERROR(AT11/AR$3,0)</f>
        <v>0</v>
      </c>
      <c r="AT11" s="178">
        <f>SUM(AT12:AT23)</f>
        <v>0</v>
      </c>
      <c r="AU11" s="176"/>
      <c r="AV11" s="177"/>
      <c r="AW11" s="177">
        <f>IFERROR(AX11/AV$3,0)</f>
        <v>0</v>
      </c>
      <c r="AX11" s="178">
        <f>SUM(AX12:AX23)</f>
        <v>0</v>
      </c>
      <c r="AY11" s="176"/>
      <c r="AZ11" s="177"/>
      <c r="BA11" s="177">
        <f>IFERROR(BB11/AZ$3,0)</f>
        <v>0</v>
      </c>
      <c r="BB11" s="178">
        <f>SUM(BB12:BB23)</f>
        <v>0</v>
      </c>
      <c r="BC11" s="176"/>
      <c r="BD11" s="177"/>
      <c r="BE11" s="177">
        <f>IFERROR(BF11/BD$3,0)</f>
        <v>0</v>
      </c>
      <c r="BF11" s="178">
        <f>SUM(BF12:BF23)</f>
        <v>0</v>
      </c>
      <c r="BG11" s="176"/>
      <c r="BH11" s="177"/>
      <c r="BI11" s="177">
        <f>IFERROR(BJ11/BH$3,0)</f>
        <v>0</v>
      </c>
      <c r="BJ11" s="178">
        <f>SUM(BJ12:BJ23)</f>
        <v>0</v>
      </c>
      <c r="BK11" s="176"/>
      <c r="BL11" s="177"/>
      <c r="BM11" s="177">
        <f>IFERROR(BN11/BL$3,0)</f>
        <v>0</v>
      </c>
      <c r="BN11" s="178">
        <f>SUM(BN12:BN23)</f>
        <v>0</v>
      </c>
      <c r="BO11" s="176"/>
      <c r="BP11" s="177"/>
      <c r="BQ11" s="177">
        <f>IFERROR(BR11/BP$3,0)</f>
        <v>0</v>
      </c>
      <c r="BR11" s="178">
        <f>SUM(BR12:BR23)</f>
        <v>0</v>
      </c>
      <c r="BS11" s="176"/>
      <c r="BT11" s="177"/>
      <c r="BU11" s="177">
        <f>IFERROR(BV11/BT$3,0)</f>
        <v>0</v>
      </c>
      <c r="BV11" s="178">
        <f>SUM(BV12:BV23)</f>
        <v>0</v>
      </c>
      <c r="BW11" s="176"/>
      <c r="BX11" s="177"/>
      <c r="BY11" s="177">
        <f>IFERROR(BZ11/BX$3,0)</f>
        <v>0</v>
      </c>
      <c r="BZ11" s="178">
        <f>SUM(BZ12:BZ23)</f>
        <v>0</v>
      </c>
      <c r="CA11" s="176"/>
      <c r="CB11" s="177"/>
      <c r="CC11" s="177">
        <f>IFERROR(CD11/CB$3,0)</f>
        <v>0</v>
      </c>
      <c r="CD11" s="178">
        <f>SUM(CD12:CD23)</f>
        <v>0</v>
      </c>
    </row>
    <row r="12" spans="1:82" x14ac:dyDescent="0.3">
      <c r="B12" s="53"/>
      <c r="C12" s="53" t="str">
        <f t="shared" si="0"/>
        <v>CPU_Passeiodeconcreto</v>
      </c>
      <c r="D12" s="278">
        <f t="shared" si="1"/>
        <v>1</v>
      </c>
      <c r="E12" s="278">
        <f t="shared" si="2"/>
        <v>0</v>
      </c>
      <c r="F12" s="46"/>
      <c r="G12" s="28" t="str">
        <f>IFERROR(VLOOKUP(F12,Tabela7[[RECURSO]:[CUSTO]],2,FALSE),"")</f>
        <v/>
      </c>
      <c r="H12" s="92"/>
      <c r="I12" s="90"/>
      <c r="J12" s="45">
        <f>IFERROR(VLOOKUP(F12,Tabela7[[RECURSO]:[CUSTO]],3,FALSE),0)</f>
        <v>0</v>
      </c>
      <c r="K12" s="45">
        <f>I12*J12*CPU_47[[#This Row],[Nº]]</f>
        <v>0</v>
      </c>
      <c r="M12" s="31"/>
      <c r="N12" s="297"/>
      <c r="O12" s="60">
        <f>IFERROR($B$6/(H12*I12*N12),0)</f>
        <v>0</v>
      </c>
      <c r="AD12" s="144" t="str">
        <f t="shared" ref="AD12:AD62" si="3">$B$3</f>
        <v>Passeio de concreto</v>
      </c>
      <c r="AE12" s="179"/>
      <c r="AF12" s="180">
        <f>AJ12+AN12+AR12+AV12+AZ12+BD12+BH12+BL12+BP12+BT12+BX12+CB12</f>
        <v>0</v>
      </c>
      <c r="AG12" s="180">
        <f>IFERROR(AH12/AF12,0)</f>
        <v>0</v>
      </c>
      <c r="AH12" s="181">
        <f>AL12+AP12+AT12+AX12+BB12+BF12+BJ12+BN12+BR12+BV12+BZ12+CD12</f>
        <v>0</v>
      </c>
      <c r="AI12" s="182"/>
      <c r="AJ12" s="90"/>
      <c r="AK12" s="90"/>
      <c r="AL12" s="183">
        <f>AJ12*AK12</f>
        <v>0</v>
      </c>
      <c r="AM12" s="182"/>
      <c r="AN12" s="90"/>
      <c r="AO12" s="90"/>
      <c r="AP12" s="183">
        <f t="shared" ref="AP12:AP23" si="4">AN12*AO12</f>
        <v>0</v>
      </c>
      <c r="AQ12" s="182"/>
      <c r="AR12" s="90"/>
      <c r="AS12" s="90"/>
      <c r="AT12" s="183">
        <f t="shared" ref="AT12:AT23" si="5">AR12*AS12</f>
        <v>0</v>
      </c>
      <c r="AU12" s="182"/>
      <c r="AV12" s="90"/>
      <c r="AW12" s="90"/>
      <c r="AX12" s="183">
        <f t="shared" ref="AX12:AX23" si="6">AV12*AW12</f>
        <v>0</v>
      </c>
      <c r="AY12" s="182"/>
      <c r="AZ12" s="90"/>
      <c r="BA12" s="90"/>
      <c r="BB12" s="183">
        <f t="shared" ref="BB12:BB23" si="7">AZ12*BA12</f>
        <v>0</v>
      </c>
      <c r="BC12" s="182"/>
      <c r="BD12" s="90"/>
      <c r="BE12" s="90"/>
      <c r="BF12" s="183">
        <f t="shared" ref="BF12:BF23" si="8">BD12*BE12</f>
        <v>0</v>
      </c>
      <c r="BG12" s="182"/>
      <c r="BH12" s="90"/>
      <c r="BI12" s="90"/>
      <c r="BJ12" s="183">
        <f t="shared" ref="BJ12:BJ23" si="9">BH12*BI12</f>
        <v>0</v>
      </c>
      <c r="BK12" s="182"/>
      <c r="BL12" s="90"/>
      <c r="BM12" s="90"/>
      <c r="BN12" s="183">
        <f t="shared" ref="BN12:BN23" si="10">BL12*BM12</f>
        <v>0</v>
      </c>
      <c r="BO12" s="182"/>
      <c r="BP12" s="90"/>
      <c r="BQ12" s="90"/>
      <c r="BR12" s="183">
        <f t="shared" ref="BR12:BR23" si="11">BP12*BQ12</f>
        <v>0</v>
      </c>
      <c r="BS12" s="182"/>
      <c r="BT12" s="90"/>
      <c r="BU12" s="90"/>
      <c r="BV12" s="183">
        <f t="shared" ref="BV12:BV23" si="12">BT12*BU12</f>
        <v>0</v>
      </c>
      <c r="BW12" s="182"/>
      <c r="BX12" s="90"/>
      <c r="BY12" s="90"/>
      <c r="BZ12" s="183">
        <f t="shared" ref="BZ12:BZ23" si="13">BX12*BY12</f>
        <v>0</v>
      </c>
      <c r="CA12" s="182"/>
      <c r="CB12" s="90"/>
      <c r="CC12" s="90"/>
      <c r="CD12" s="183">
        <f t="shared" ref="CD12:CD23" si="14">CB12*CC12</f>
        <v>0</v>
      </c>
    </row>
    <row r="13" spans="1:82" x14ac:dyDescent="0.3">
      <c r="B13" s="53"/>
      <c r="C13" s="53" t="str">
        <f t="shared" si="0"/>
        <v>CPU_Passeiodeconcreto</v>
      </c>
      <c r="D13" s="278">
        <f t="shared" si="1"/>
        <v>1</v>
      </c>
      <c r="E13" s="278">
        <f t="shared" si="2"/>
        <v>0</v>
      </c>
      <c r="F13" s="1"/>
      <c r="G13" s="28" t="str">
        <f>IFERROR(VLOOKUP(F13,Tabela7[[RECURSO]:[CUSTO]],2,FALSE),"")</f>
        <v/>
      </c>
      <c r="H13" s="92"/>
      <c r="I13" s="90"/>
      <c r="J13" s="45">
        <f>IFERROR(VLOOKUP(F13,Tabela7[[RECURSO]:[CUSTO]],3,FALSE),0)</f>
        <v>0</v>
      </c>
      <c r="K13" s="45">
        <f>I13*J13*CPU_47[[#This Row],[Nº]]</f>
        <v>0</v>
      </c>
      <c r="M13" s="31"/>
      <c r="N13" s="297"/>
      <c r="O13" s="60">
        <f t="shared" ref="O13:O23" si="15">IFERROR($B$6/(H13*I13),0)</f>
        <v>0</v>
      </c>
      <c r="AD13" s="144" t="str">
        <f t="shared" si="3"/>
        <v>Passeio de concreto</v>
      </c>
      <c r="AE13" s="179"/>
      <c r="AF13" s="180">
        <f t="shared" ref="AF13:AF23" si="16">AJ13+AN13+AR13+AV13+AZ13+BD13+BH13+BL13+BP13+BT13+BX13+CB13</f>
        <v>0</v>
      </c>
      <c r="AG13" s="180">
        <f t="shared" ref="AG13:AG62" si="17">IFERROR(AH13/AF13,0)</f>
        <v>0</v>
      </c>
      <c r="AH13" s="181">
        <f t="shared" ref="AH13:AH23" si="18">AL13+AP13+AT13+AX13+BB13+BF13+BJ13+BN13+BR13+BV13+BZ13+CD13</f>
        <v>0</v>
      </c>
      <c r="AI13" s="182"/>
      <c r="AJ13" s="90"/>
      <c r="AK13" s="90"/>
      <c r="AL13" s="183">
        <f t="shared" ref="AL13:AL23" si="19">AJ13*AK13</f>
        <v>0</v>
      </c>
      <c r="AM13" s="182"/>
      <c r="AN13" s="90"/>
      <c r="AO13" s="90"/>
      <c r="AP13" s="183">
        <f t="shared" si="4"/>
        <v>0</v>
      </c>
      <c r="AQ13" s="182"/>
      <c r="AR13" s="90"/>
      <c r="AS13" s="90"/>
      <c r="AT13" s="183">
        <f t="shared" si="5"/>
        <v>0</v>
      </c>
      <c r="AU13" s="182"/>
      <c r="AV13" s="90"/>
      <c r="AW13" s="90"/>
      <c r="AX13" s="183">
        <f t="shared" si="6"/>
        <v>0</v>
      </c>
      <c r="AY13" s="182"/>
      <c r="AZ13" s="90"/>
      <c r="BA13" s="90"/>
      <c r="BB13" s="183">
        <f t="shared" si="7"/>
        <v>0</v>
      </c>
      <c r="BC13" s="182"/>
      <c r="BD13" s="90"/>
      <c r="BE13" s="90"/>
      <c r="BF13" s="183">
        <f t="shared" si="8"/>
        <v>0</v>
      </c>
      <c r="BG13" s="182"/>
      <c r="BH13" s="90"/>
      <c r="BI13" s="90"/>
      <c r="BJ13" s="183">
        <f t="shared" si="9"/>
        <v>0</v>
      </c>
      <c r="BK13" s="182"/>
      <c r="BL13" s="90"/>
      <c r="BM13" s="90"/>
      <c r="BN13" s="183">
        <f t="shared" si="10"/>
        <v>0</v>
      </c>
      <c r="BO13" s="182"/>
      <c r="BP13" s="90"/>
      <c r="BQ13" s="90"/>
      <c r="BR13" s="183">
        <f t="shared" si="11"/>
        <v>0</v>
      </c>
      <c r="BS13" s="182"/>
      <c r="BT13" s="90"/>
      <c r="BU13" s="90"/>
      <c r="BV13" s="183">
        <f t="shared" si="12"/>
        <v>0</v>
      </c>
      <c r="BW13" s="182"/>
      <c r="BX13" s="90"/>
      <c r="BY13" s="90"/>
      <c r="BZ13" s="183">
        <f t="shared" si="13"/>
        <v>0</v>
      </c>
      <c r="CA13" s="182"/>
      <c r="CB13" s="90"/>
      <c r="CC13" s="90"/>
      <c r="CD13" s="183">
        <f t="shared" si="14"/>
        <v>0</v>
      </c>
    </row>
    <row r="14" spans="1:82" x14ac:dyDescent="0.3">
      <c r="B14" s="53"/>
      <c r="C14" s="53" t="str">
        <f t="shared" si="0"/>
        <v>CPU_Passeiodeconcreto</v>
      </c>
      <c r="D14" s="278">
        <f t="shared" si="1"/>
        <v>1</v>
      </c>
      <c r="E14" s="278">
        <f t="shared" si="2"/>
        <v>0</v>
      </c>
      <c r="F14" s="1"/>
      <c r="G14" s="28" t="str">
        <f>IFERROR(VLOOKUP(F14,Tabela7[[RECURSO]:[CUSTO]],2,FALSE),"")</f>
        <v/>
      </c>
      <c r="H14" s="92"/>
      <c r="I14" s="90"/>
      <c r="J14" s="45">
        <f>IFERROR(VLOOKUP(F14,Tabela7[[RECURSO]:[CUSTO]],3,FALSE),0)</f>
        <v>0</v>
      </c>
      <c r="K14" s="45">
        <f>I14*J14*CPU_47[[#This Row],[Nº]]</f>
        <v>0</v>
      </c>
      <c r="M14" s="31"/>
      <c r="N14" s="297"/>
      <c r="O14" s="60">
        <f t="shared" si="15"/>
        <v>0</v>
      </c>
      <c r="AD14" s="144" t="str">
        <f t="shared" si="3"/>
        <v>Passeio de concreto</v>
      </c>
      <c r="AE14" s="179"/>
      <c r="AF14" s="180">
        <f t="shared" si="16"/>
        <v>0</v>
      </c>
      <c r="AG14" s="180">
        <f t="shared" si="17"/>
        <v>0</v>
      </c>
      <c r="AH14" s="181">
        <f t="shared" si="18"/>
        <v>0</v>
      </c>
      <c r="AI14" s="182"/>
      <c r="AJ14" s="90"/>
      <c r="AK14" s="90"/>
      <c r="AL14" s="183">
        <f t="shared" si="19"/>
        <v>0</v>
      </c>
      <c r="AM14" s="182"/>
      <c r="AN14" s="90"/>
      <c r="AO14" s="90"/>
      <c r="AP14" s="183">
        <f t="shared" si="4"/>
        <v>0</v>
      </c>
      <c r="AQ14" s="182"/>
      <c r="AR14" s="90"/>
      <c r="AS14" s="90"/>
      <c r="AT14" s="183">
        <f t="shared" si="5"/>
        <v>0</v>
      </c>
      <c r="AU14" s="182"/>
      <c r="AV14" s="90"/>
      <c r="AW14" s="90"/>
      <c r="AX14" s="183">
        <f t="shared" si="6"/>
        <v>0</v>
      </c>
      <c r="AY14" s="182"/>
      <c r="AZ14" s="90"/>
      <c r="BA14" s="90"/>
      <c r="BB14" s="183">
        <f t="shared" si="7"/>
        <v>0</v>
      </c>
      <c r="BC14" s="182"/>
      <c r="BD14" s="90"/>
      <c r="BE14" s="90"/>
      <c r="BF14" s="183">
        <f t="shared" si="8"/>
        <v>0</v>
      </c>
      <c r="BG14" s="182"/>
      <c r="BH14" s="90"/>
      <c r="BI14" s="90"/>
      <c r="BJ14" s="183">
        <f t="shared" si="9"/>
        <v>0</v>
      </c>
      <c r="BK14" s="182"/>
      <c r="BL14" s="90"/>
      <c r="BM14" s="90"/>
      <c r="BN14" s="183">
        <f t="shared" si="10"/>
        <v>0</v>
      </c>
      <c r="BO14" s="182"/>
      <c r="BP14" s="90"/>
      <c r="BQ14" s="90"/>
      <c r="BR14" s="183">
        <f t="shared" si="11"/>
        <v>0</v>
      </c>
      <c r="BS14" s="182"/>
      <c r="BT14" s="90"/>
      <c r="BU14" s="90"/>
      <c r="BV14" s="183">
        <f t="shared" si="12"/>
        <v>0</v>
      </c>
      <c r="BW14" s="182"/>
      <c r="BX14" s="90"/>
      <c r="BY14" s="90"/>
      <c r="BZ14" s="183">
        <f t="shared" si="13"/>
        <v>0</v>
      </c>
      <c r="CA14" s="182"/>
      <c r="CB14" s="90"/>
      <c r="CC14" s="90"/>
      <c r="CD14" s="183">
        <f t="shared" si="14"/>
        <v>0</v>
      </c>
    </row>
    <row r="15" spans="1:82" x14ac:dyDescent="0.3">
      <c r="B15" s="153"/>
      <c r="C15" s="153" t="str">
        <f t="shared" si="0"/>
        <v>CPU_Passeiodeconcreto</v>
      </c>
      <c r="D15" s="279">
        <f t="shared" si="1"/>
        <v>1</v>
      </c>
      <c r="E15" s="279">
        <f t="shared" si="2"/>
        <v>0</v>
      </c>
      <c r="F15" s="1"/>
      <c r="G15" s="28" t="str">
        <f>IFERROR(VLOOKUP(F15,Tabela7[[RECURSO]:[CUSTO]],2,FALSE),"")</f>
        <v/>
      </c>
      <c r="H15" s="92"/>
      <c r="I15" s="90"/>
      <c r="J15" s="45">
        <f>IFERROR(VLOOKUP(F15,Tabela7[[RECURSO]:[CUSTO]],3,FALSE),0)</f>
        <v>0</v>
      </c>
      <c r="K15" s="45">
        <f>I15*J15*CPU_47[[#This Row],[Nº]]</f>
        <v>0</v>
      </c>
      <c r="M15" s="31"/>
      <c r="N15" s="297"/>
      <c r="O15" s="60">
        <f t="shared" si="15"/>
        <v>0</v>
      </c>
      <c r="AD15" s="144" t="str">
        <f t="shared" si="3"/>
        <v>Passeio de concreto</v>
      </c>
      <c r="AE15" s="179"/>
      <c r="AF15" s="180">
        <f t="shared" si="16"/>
        <v>0</v>
      </c>
      <c r="AG15" s="180">
        <f t="shared" si="17"/>
        <v>0</v>
      </c>
      <c r="AH15" s="181">
        <f t="shared" si="18"/>
        <v>0</v>
      </c>
      <c r="AI15" s="182"/>
      <c r="AJ15" s="90"/>
      <c r="AK15" s="90"/>
      <c r="AL15" s="183">
        <f t="shared" si="19"/>
        <v>0</v>
      </c>
      <c r="AM15" s="182"/>
      <c r="AN15" s="90"/>
      <c r="AO15" s="90"/>
      <c r="AP15" s="183">
        <f t="shared" si="4"/>
        <v>0</v>
      </c>
      <c r="AQ15" s="182"/>
      <c r="AR15" s="90"/>
      <c r="AS15" s="90"/>
      <c r="AT15" s="183">
        <f t="shared" si="5"/>
        <v>0</v>
      </c>
      <c r="AU15" s="182"/>
      <c r="AV15" s="90"/>
      <c r="AW15" s="90"/>
      <c r="AX15" s="183">
        <f t="shared" si="6"/>
        <v>0</v>
      </c>
      <c r="AY15" s="182"/>
      <c r="AZ15" s="90"/>
      <c r="BA15" s="90"/>
      <c r="BB15" s="183">
        <f t="shared" si="7"/>
        <v>0</v>
      </c>
      <c r="BC15" s="182"/>
      <c r="BD15" s="90"/>
      <c r="BE15" s="90"/>
      <c r="BF15" s="183">
        <f t="shared" si="8"/>
        <v>0</v>
      </c>
      <c r="BG15" s="182"/>
      <c r="BH15" s="90"/>
      <c r="BI15" s="90"/>
      <c r="BJ15" s="183">
        <f t="shared" si="9"/>
        <v>0</v>
      </c>
      <c r="BK15" s="182"/>
      <c r="BL15" s="90"/>
      <c r="BM15" s="90"/>
      <c r="BN15" s="183">
        <f t="shared" si="10"/>
        <v>0</v>
      </c>
      <c r="BO15" s="182"/>
      <c r="BP15" s="90"/>
      <c r="BQ15" s="90"/>
      <c r="BR15" s="183">
        <f t="shared" si="11"/>
        <v>0</v>
      </c>
      <c r="BS15" s="182"/>
      <c r="BT15" s="90"/>
      <c r="BU15" s="90"/>
      <c r="BV15" s="183">
        <f t="shared" si="12"/>
        <v>0</v>
      </c>
      <c r="BW15" s="182"/>
      <c r="BX15" s="90"/>
      <c r="BY15" s="90"/>
      <c r="BZ15" s="183">
        <f t="shared" si="13"/>
        <v>0</v>
      </c>
      <c r="CA15" s="182"/>
      <c r="CB15" s="90"/>
      <c r="CC15" s="90"/>
      <c r="CD15" s="183">
        <f t="shared" si="14"/>
        <v>0</v>
      </c>
    </row>
    <row r="16" spans="1:82" x14ac:dyDescent="0.3">
      <c r="B16" s="53"/>
      <c r="C16" s="53" t="str">
        <f t="shared" si="0"/>
        <v>CPU_Passeiodeconcreto</v>
      </c>
      <c r="D16" s="278">
        <f t="shared" si="1"/>
        <v>1</v>
      </c>
      <c r="E16" s="278">
        <f t="shared" si="2"/>
        <v>0</v>
      </c>
      <c r="F16" s="1"/>
      <c r="G16" s="28" t="str">
        <f>IFERROR(VLOOKUP(F16,Tabela7[[RECURSO]:[CUSTO]],2,FALSE),"")</f>
        <v/>
      </c>
      <c r="H16" s="92"/>
      <c r="I16" s="90"/>
      <c r="J16" s="45">
        <f>IFERROR(VLOOKUP(F16,Tabela7[[RECURSO]:[CUSTO]],3,FALSE),0)</f>
        <v>0</v>
      </c>
      <c r="K16" s="45">
        <f>I16*J16*CPU_47[[#This Row],[Nº]]</f>
        <v>0</v>
      </c>
      <c r="M16" s="31"/>
      <c r="N16" s="297"/>
      <c r="O16" s="60">
        <f t="shared" si="15"/>
        <v>0</v>
      </c>
      <c r="AD16" s="144" t="str">
        <f t="shared" si="3"/>
        <v>Passeio de concreto</v>
      </c>
      <c r="AE16" s="179"/>
      <c r="AF16" s="180">
        <f t="shared" si="16"/>
        <v>0</v>
      </c>
      <c r="AG16" s="180">
        <f t="shared" si="17"/>
        <v>0</v>
      </c>
      <c r="AH16" s="181">
        <f t="shared" si="18"/>
        <v>0</v>
      </c>
      <c r="AI16" s="182"/>
      <c r="AJ16" s="90"/>
      <c r="AK16" s="90"/>
      <c r="AL16" s="183">
        <f t="shared" si="19"/>
        <v>0</v>
      </c>
      <c r="AM16" s="182"/>
      <c r="AN16" s="90"/>
      <c r="AO16" s="90"/>
      <c r="AP16" s="183">
        <f t="shared" si="4"/>
        <v>0</v>
      </c>
      <c r="AQ16" s="182"/>
      <c r="AR16" s="90"/>
      <c r="AS16" s="90"/>
      <c r="AT16" s="183">
        <f t="shared" si="5"/>
        <v>0</v>
      </c>
      <c r="AU16" s="182"/>
      <c r="AV16" s="90"/>
      <c r="AW16" s="90"/>
      <c r="AX16" s="183">
        <f t="shared" si="6"/>
        <v>0</v>
      </c>
      <c r="AY16" s="182"/>
      <c r="AZ16" s="90"/>
      <c r="BA16" s="90"/>
      <c r="BB16" s="183">
        <f t="shared" si="7"/>
        <v>0</v>
      </c>
      <c r="BC16" s="182"/>
      <c r="BD16" s="90"/>
      <c r="BE16" s="90"/>
      <c r="BF16" s="183">
        <f t="shared" si="8"/>
        <v>0</v>
      </c>
      <c r="BG16" s="182"/>
      <c r="BH16" s="90"/>
      <c r="BI16" s="90"/>
      <c r="BJ16" s="183">
        <f t="shared" si="9"/>
        <v>0</v>
      </c>
      <c r="BK16" s="182"/>
      <c r="BL16" s="90"/>
      <c r="BM16" s="90"/>
      <c r="BN16" s="183">
        <f t="shared" si="10"/>
        <v>0</v>
      </c>
      <c r="BO16" s="182"/>
      <c r="BP16" s="90"/>
      <c r="BQ16" s="90"/>
      <c r="BR16" s="183">
        <f t="shared" si="11"/>
        <v>0</v>
      </c>
      <c r="BS16" s="182"/>
      <c r="BT16" s="90"/>
      <c r="BU16" s="90"/>
      <c r="BV16" s="183">
        <f t="shared" si="12"/>
        <v>0</v>
      </c>
      <c r="BW16" s="182"/>
      <c r="BX16" s="90"/>
      <c r="BY16" s="90"/>
      <c r="BZ16" s="183">
        <f t="shared" si="13"/>
        <v>0</v>
      </c>
      <c r="CA16" s="182"/>
      <c r="CB16" s="90"/>
      <c r="CC16" s="90"/>
      <c r="CD16" s="183">
        <f t="shared" si="14"/>
        <v>0</v>
      </c>
    </row>
    <row r="17" spans="2:82" x14ac:dyDescent="0.3">
      <c r="B17" s="53"/>
      <c r="C17" s="53" t="str">
        <f t="shared" si="0"/>
        <v>CPU_Passeiodeconcreto</v>
      </c>
      <c r="D17" s="278">
        <f t="shared" si="1"/>
        <v>1</v>
      </c>
      <c r="E17" s="278">
        <f t="shared" si="2"/>
        <v>0</v>
      </c>
      <c r="F17" s="1"/>
      <c r="G17" s="28" t="str">
        <f>IFERROR(VLOOKUP(F17,Tabela7[[RECURSO]:[CUSTO]],2,FALSE),"")</f>
        <v/>
      </c>
      <c r="H17" s="92"/>
      <c r="I17" s="90"/>
      <c r="J17" s="45">
        <f>IFERROR(VLOOKUP(F17,Tabela7[[RECURSO]:[CUSTO]],3,FALSE),0)</f>
        <v>0</v>
      </c>
      <c r="K17" s="45">
        <f>I17*J17*CPU_47[[#This Row],[Nº]]</f>
        <v>0</v>
      </c>
      <c r="M17" s="31"/>
      <c r="N17" s="297"/>
      <c r="O17" s="60">
        <f t="shared" si="15"/>
        <v>0</v>
      </c>
      <c r="AD17" s="144" t="str">
        <f t="shared" si="3"/>
        <v>Passeio de concreto</v>
      </c>
      <c r="AE17" s="179"/>
      <c r="AF17" s="180">
        <f t="shared" si="16"/>
        <v>0</v>
      </c>
      <c r="AG17" s="180">
        <f t="shared" si="17"/>
        <v>0</v>
      </c>
      <c r="AH17" s="181">
        <f t="shared" si="18"/>
        <v>0</v>
      </c>
      <c r="AI17" s="182"/>
      <c r="AJ17" s="90"/>
      <c r="AK17" s="90"/>
      <c r="AL17" s="183">
        <f t="shared" si="19"/>
        <v>0</v>
      </c>
      <c r="AM17" s="182"/>
      <c r="AN17" s="90"/>
      <c r="AO17" s="90"/>
      <c r="AP17" s="183">
        <f t="shared" si="4"/>
        <v>0</v>
      </c>
      <c r="AQ17" s="182"/>
      <c r="AR17" s="90"/>
      <c r="AS17" s="90"/>
      <c r="AT17" s="183">
        <f t="shared" si="5"/>
        <v>0</v>
      </c>
      <c r="AU17" s="182"/>
      <c r="AV17" s="90"/>
      <c r="AW17" s="90"/>
      <c r="AX17" s="183">
        <f t="shared" si="6"/>
        <v>0</v>
      </c>
      <c r="AY17" s="182"/>
      <c r="AZ17" s="90"/>
      <c r="BA17" s="90"/>
      <c r="BB17" s="183">
        <f t="shared" si="7"/>
        <v>0</v>
      </c>
      <c r="BC17" s="182"/>
      <c r="BD17" s="90"/>
      <c r="BE17" s="90"/>
      <c r="BF17" s="183">
        <f t="shared" si="8"/>
        <v>0</v>
      </c>
      <c r="BG17" s="182"/>
      <c r="BH17" s="90"/>
      <c r="BI17" s="90"/>
      <c r="BJ17" s="183">
        <f t="shared" si="9"/>
        <v>0</v>
      </c>
      <c r="BK17" s="182"/>
      <c r="BL17" s="90"/>
      <c r="BM17" s="90"/>
      <c r="BN17" s="183">
        <f t="shared" si="10"/>
        <v>0</v>
      </c>
      <c r="BO17" s="182"/>
      <c r="BP17" s="90"/>
      <c r="BQ17" s="90"/>
      <c r="BR17" s="183">
        <f t="shared" si="11"/>
        <v>0</v>
      </c>
      <c r="BS17" s="182"/>
      <c r="BT17" s="90"/>
      <c r="BU17" s="90"/>
      <c r="BV17" s="183">
        <f t="shared" si="12"/>
        <v>0</v>
      </c>
      <c r="BW17" s="182"/>
      <c r="BX17" s="90"/>
      <c r="BY17" s="90"/>
      <c r="BZ17" s="183">
        <f t="shared" si="13"/>
        <v>0</v>
      </c>
      <c r="CA17" s="182"/>
      <c r="CB17" s="90"/>
      <c r="CC17" s="90"/>
      <c r="CD17" s="183">
        <f t="shared" si="14"/>
        <v>0</v>
      </c>
    </row>
    <row r="18" spans="2:82" x14ac:dyDescent="0.3">
      <c r="B18" s="53"/>
      <c r="C18" s="53" t="str">
        <f t="shared" si="0"/>
        <v>CPU_Passeiodeconcreto</v>
      </c>
      <c r="D18" s="278">
        <f t="shared" si="1"/>
        <v>1</v>
      </c>
      <c r="E18" s="278">
        <f t="shared" si="2"/>
        <v>0</v>
      </c>
      <c r="F18" s="1"/>
      <c r="G18" s="28" t="str">
        <f>IFERROR(VLOOKUP(F18,Tabela7[[RECURSO]:[CUSTO]],2,FALSE),"")</f>
        <v/>
      </c>
      <c r="H18" s="92"/>
      <c r="I18" s="90"/>
      <c r="J18" s="45">
        <f>IFERROR(VLOOKUP(F18,Tabela7[[RECURSO]:[CUSTO]],3,FALSE),0)</f>
        <v>0</v>
      </c>
      <c r="K18" s="45">
        <f>I18*J18*CPU_47[[#This Row],[Nº]]</f>
        <v>0</v>
      </c>
      <c r="M18" s="31"/>
      <c r="N18" s="297"/>
      <c r="O18" s="60">
        <f t="shared" si="15"/>
        <v>0</v>
      </c>
      <c r="AD18" s="144" t="str">
        <f t="shared" si="3"/>
        <v>Passeio de concreto</v>
      </c>
      <c r="AE18" s="179"/>
      <c r="AF18" s="180">
        <f t="shared" si="16"/>
        <v>0</v>
      </c>
      <c r="AG18" s="180">
        <f t="shared" si="17"/>
        <v>0</v>
      </c>
      <c r="AH18" s="181">
        <f t="shared" si="18"/>
        <v>0</v>
      </c>
      <c r="AI18" s="182"/>
      <c r="AJ18" s="90"/>
      <c r="AK18" s="90"/>
      <c r="AL18" s="183">
        <f t="shared" si="19"/>
        <v>0</v>
      </c>
      <c r="AM18" s="182"/>
      <c r="AN18" s="90"/>
      <c r="AO18" s="90"/>
      <c r="AP18" s="183">
        <f t="shared" si="4"/>
        <v>0</v>
      </c>
      <c r="AQ18" s="182"/>
      <c r="AR18" s="90"/>
      <c r="AS18" s="90"/>
      <c r="AT18" s="183">
        <f t="shared" si="5"/>
        <v>0</v>
      </c>
      <c r="AU18" s="182"/>
      <c r="AV18" s="90"/>
      <c r="AW18" s="90"/>
      <c r="AX18" s="183">
        <f t="shared" si="6"/>
        <v>0</v>
      </c>
      <c r="AY18" s="182"/>
      <c r="AZ18" s="90"/>
      <c r="BA18" s="90"/>
      <c r="BB18" s="183">
        <f t="shared" si="7"/>
        <v>0</v>
      </c>
      <c r="BC18" s="182"/>
      <c r="BD18" s="90"/>
      <c r="BE18" s="90"/>
      <c r="BF18" s="183">
        <f t="shared" si="8"/>
        <v>0</v>
      </c>
      <c r="BG18" s="182"/>
      <c r="BH18" s="90"/>
      <c r="BI18" s="90"/>
      <c r="BJ18" s="183">
        <f t="shared" si="9"/>
        <v>0</v>
      </c>
      <c r="BK18" s="182"/>
      <c r="BL18" s="90"/>
      <c r="BM18" s="90"/>
      <c r="BN18" s="183">
        <f t="shared" si="10"/>
        <v>0</v>
      </c>
      <c r="BO18" s="182"/>
      <c r="BP18" s="90"/>
      <c r="BQ18" s="90"/>
      <c r="BR18" s="183">
        <f t="shared" si="11"/>
        <v>0</v>
      </c>
      <c r="BS18" s="182"/>
      <c r="BT18" s="90"/>
      <c r="BU18" s="90"/>
      <c r="BV18" s="183">
        <f t="shared" si="12"/>
        <v>0</v>
      </c>
      <c r="BW18" s="182"/>
      <c r="BX18" s="90"/>
      <c r="BY18" s="90"/>
      <c r="BZ18" s="183">
        <f t="shared" si="13"/>
        <v>0</v>
      </c>
      <c r="CA18" s="182"/>
      <c r="CB18" s="90"/>
      <c r="CC18" s="90"/>
      <c r="CD18" s="183">
        <f t="shared" si="14"/>
        <v>0</v>
      </c>
    </row>
    <row r="19" spans="2:82" x14ac:dyDescent="0.3">
      <c r="B19" s="53"/>
      <c r="C19" s="53" t="str">
        <f t="shared" si="0"/>
        <v>CPU_Passeiodeconcreto</v>
      </c>
      <c r="D19" s="278">
        <f t="shared" si="1"/>
        <v>1</v>
      </c>
      <c r="E19" s="278">
        <f t="shared" si="2"/>
        <v>0</v>
      </c>
      <c r="F19" s="1"/>
      <c r="G19" s="28" t="str">
        <f>IFERROR(VLOOKUP(F19,Tabela7[[RECURSO]:[CUSTO]],2,FALSE),"")</f>
        <v/>
      </c>
      <c r="H19" s="92"/>
      <c r="I19" s="90"/>
      <c r="J19" s="45">
        <f>IFERROR(VLOOKUP(F19,Tabela7[[RECURSO]:[CUSTO]],3,FALSE),0)</f>
        <v>0</v>
      </c>
      <c r="K19" s="45">
        <f>I19*J19*CPU_47[[#This Row],[Nº]]</f>
        <v>0</v>
      </c>
      <c r="M19" s="31"/>
      <c r="N19" s="297"/>
      <c r="O19" s="60">
        <f t="shared" si="15"/>
        <v>0</v>
      </c>
      <c r="AD19" s="144" t="str">
        <f t="shared" si="3"/>
        <v>Passeio de concreto</v>
      </c>
      <c r="AE19" s="179"/>
      <c r="AF19" s="180">
        <f t="shared" si="16"/>
        <v>0</v>
      </c>
      <c r="AG19" s="180">
        <f t="shared" si="17"/>
        <v>0</v>
      </c>
      <c r="AH19" s="181">
        <f t="shared" si="18"/>
        <v>0</v>
      </c>
      <c r="AI19" s="182"/>
      <c r="AJ19" s="90"/>
      <c r="AK19" s="90"/>
      <c r="AL19" s="183">
        <f t="shared" si="19"/>
        <v>0</v>
      </c>
      <c r="AM19" s="182"/>
      <c r="AN19" s="90"/>
      <c r="AO19" s="90"/>
      <c r="AP19" s="183">
        <f t="shared" si="4"/>
        <v>0</v>
      </c>
      <c r="AQ19" s="182"/>
      <c r="AR19" s="90"/>
      <c r="AS19" s="90"/>
      <c r="AT19" s="183">
        <f t="shared" si="5"/>
        <v>0</v>
      </c>
      <c r="AU19" s="182"/>
      <c r="AV19" s="90"/>
      <c r="AW19" s="90"/>
      <c r="AX19" s="183">
        <f t="shared" si="6"/>
        <v>0</v>
      </c>
      <c r="AY19" s="182"/>
      <c r="AZ19" s="90"/>
      <c r="BA19" s="90"/>
      <c r="BB19" s="183">
        <f t="shared" si="7"/>
        <v>0</v>
      </c>
      <c r="BC19" s="182"/>
      <c r="BD19" s="90"/>
      <c r="BE19" s="90"/>
      <c r="BF19" s="183">
        <f t="shared" si="8"/>
        <v>0</v>
      </c>
      <c r="BG19" s="182"/>
      <c r="BH19" s="90"/>
      <c r="BI19" s="90"/>
      <c r="BJ19" s="183">
        <f t="shared" si="9"/>
        <v>0</v>
      </c>
      <c r="BK19" s="182"/>
      <c r="BL19" s="90"/>
      <c r="BM19" s="90"/>
      <c r="BN19" s="183">
        <f t="shared" si="10"/>
        <v>0</v>
      </c>
      <c r="BO19" s="182"/>
      <c r="BP19" s="90"/>
      <c r="BQ19" s="90"/>
      <c r="BR19" s="183">
        <f t="shared" si="11"/>
        <v>0</v>
      </c>
      <c r="BS19" s="182"/>
      <c r="BT19" s="90"/>
      <c r="BU19" s="90"/>
      <c r="BV19" s="183">
        <f t="shared" si="12"/>
        <v>0</v>
      </c>
      <c r="BW19" s="182"/>
      <c r="BX19" s="90"/>
      <c r="BY19" s="90"/>
      <c r="BZ19" s="183">
        <f t="shared" si="13"/>
        <v>0</v>
      </c>
      <c r="CA19" s="182"/>
      <c r="CB19" s="90"/>
      <c r="CC19" s="90"/>
      <c r="CD19" s="183">
        <f t="shared" si="14"/>
        <v>0</v>
      </c>
    </row>
    <row r="20" spans="2:82" x14ac:dyDescent="0.3">
      <c r="B20" s="53"/>
      <c r="C20" s="53" t="str">
        <f t="shared" si="0"/>
        <v>CPU_Passeiodeconcreto</v>
      </c>
      <c r="D20" s="278">
        <f t="shared" si="1"/>
        <v>1</v>
      </c>
      <c r="E20" s="278">
        <f t="shared" si="2"/>
        <v>0</v>
      </c>
      <c r="F20" s="1"/>
      <c r="G20" s="28" t="str">
        <f>IFERROR(VLOOKUP(F20,Tabela7[[RECURSO]:[CUSTO]],2,FALSE),"")</f>
        <v/>
      </c>
      <c r="H20" s="92"/>
      <c r="I20" s="90"/>
      <c r="J20" s="45">
        <f>IFERROR(VLOOKUP(F20,Tabela7[[RECURSO]:[CUSTO]],3,FALSE),0)</f>
        <v>0</v>
      </c>
      <c r="K20" s="45">
        <f>I20*J20*CPU_47[[#This Row],[Nº]]</f>
        <v>0</v>
      </c>
      <c r="M20" s="31"/>
      <c r="N20" s="297"/>
      <c r="O20" s="60">
        <f t="shared" si="15"/>
        <v>0</v>
      </c>
      <c r="AD20" s="144" t="str">
        <f t="shared" si="3"/>
        <v>Passeio de concreto</v>
      </c>
      <c r="AE20" s="179"/>
      <c r="AF20" s="180">
        <f t="shared" si="16"/>
        <v>0</v>
      </c>
      <c r="AG20" s="180">
        <f t="shared" si="17"/>
        <v>0</v>
      </c>
      <c r="AH20" s="181">
        <f t="shared" si="18"/>
        <v>0</v>
      </c>
      <c r="AI20" s="182"/>
      <c r="AJ20" s="90"/>
      <c r="AK20" s="90"/>
      <c r="AL20" s="183">
        <f t="shared" si="19"/>
        <v>0</v>
      </c>
      <c r="AM20" s="182"/>
      <c r="AN20" s="90"/>
      <c r="AO20" s="90"/>
      <c r="AP20" s="183">
        <f t="shared" si="4"/>
        <v>0</v>
      </c>
      <c r="AQ20" s="182"/>
      <c r="AR20" s="90"/>
      <c r="AS20" s="90"/>
      <c r="AT20" s="183">
        <f t="shared" si="5"/>
        <v>0</v>
      </c>
      <c r="AU20" s="182"/>
      <c r="AV20" s="90"/>
      <c r="AW20" s="90"/>
      <c r="AX20" s="183">
        <f t="shared" si="6"/>
        <v>0</v>
      </c>
      <c r="AY20" s="182"/>
      <c r="AZ20" s="90"/>
      <c r="BA20" s="90"/>
      <c r="BB20" s="183">
        <f t="shared" si="7"/>
        <v>0</v>
      </c>
      <c r="BC20" s="182"/>
      <c r="BD20" s="90"/>
      <c r="BE20" s="90"/>
      <c r="BF20" s="183">
        <f t="shared" si="8"/>
        <v>0</v>
      </c>
      <c r="BG20" s="182"/>
      <c r="BH20" s="90"/>
      <c r="BI20" s="90"/>
      <c r="BJ20" s="183">
        <f t="shared" si="9"/>
        <v>0</v>
      </c>
      <c r="BK20" s="182"/>
      <c r="BL20" s="90"/>
      <c r="BM20" s="90"/>
      <c r="BN20" s="183">
        <f t="shared" si="10"/>
        <v>0</v>
      </c>
      <c r="BO20" s="182"/>
      <c r="BP20" s="90"/>
      <c r="BQ20" s="90"/>
      <c r="BR20" s="183">
        <f t="shared" si="11"/>
        <v>0</v>
      </c>
      <c r="BS20" s="182"/>
      <c r="BT20" s="90"/>
      <c r="BU20" s="90"/>
      <c r="BV20" s="183">
        <f t="shared" si="12"/>
        <v>0</v>
      </c>
      <c r="BW20" s="182"/>
      <c r="BX20" s="90"/>
      <c r="BY20" s="90"/>
      <c r="BZ20" s="183">
        <f t="shared" si="13"/>
        <v>0</v>
      </c>
      <c r="CA20" s="182"/>
      <c r="CB20" s="90"/>
      <c r="CC20" s="90"/>
      <c r="CD20" s="183">
        <f t="shared" si="14"/>
        <v>0</v>
      </c>
    </row>
    <row r="21" spans="2:82" x14ac:dyDescent="0.3">
      <c r="B21" s="53"/>
      <c r="C21" s="53" t="str">
        <f t="shared" si="0"/>
        <v>CPU_Passeiodeconcreto</v>
      </c>
      <c r="D21" s="278">
        <f t="shared" si="1"/>
        <v>1</v>
      </c>
      <c r="E21" s="278">
        <f t="shared" si="2"/>
        <v>0</v>
      </c>
      <c r="F21" s="1"/>
      <c r="G21" s="28" t="str">
        <f>IFERROR(VLOOKUP(F21,Tabela7[[RECURSO]:[CUSTO]],2,FALSE),"")</f>
        <v/>
      </c>
      <c r="H21" s="92"/>
      <c r="I21" s="90"/>
      <c r="J21" s="45">
        <f>IFERROR(VLOOKUP(F21,Tabela7[[RECURSO]:[CUSTO]],3,FALSE),0)</f>
        <v>0</v>
      </c>
      <c r="K21" s="45">
        <f>I21*J21*CPU_47[[#This Row],[Nº]]</f>
        <v>0</v>
      </c>
      <c r="M21" s="31"/>
      <c r="N21" s="297"/>
      <c r="O21" s="60">
        <f t="shared" si="15"/>
        <v>0</v>
      </c>
      <c r="AD21" s="144" t="str">
        <f t="shared" si="3"/>
        <v>Passeio de concreto</v>
      </c>
      <c r="AE21" s="179"/>
      <c r="AF21" s="180">
        <f t="shared" si="16"/>
        <v>0</v>
      </c>
      <c r="AG21" s="180">
        <f t="shared" si="17"/>
        <v>0</v>
      </c>
      <c r="AH21" s="181">
        <f t="shared" si="18"/>
        <v>0</v>
      </c>
      <c r="AI21" s="182"/>
      <c r="AJ21" s="90"/>
      <c r="AK21" s="90"/>
      <c r="AL21" s="183">
        <f t="shared" si="19"/>
        <v>0</v>
      </c>
      <c r="AM21" s="182"/>
      <c r="AN21" s="90"/>
      <c r="AO21" s="90"/>
      <c r="AP21" s="183">
        <f t="shared" si="4"/>
        <v>0</v>
      </c>
      <c r="AQ21" s="182"/>
      <c r="AR21" s="90"/>
      <c r="AS21" s="90"/>
      <c r="AT21" s="183">
        <f t="shared" si="5"/>
        <v>0</v>
      </c>
      <c r="AU21" s="182"/>
      <c r="AV21" s="90"/>
      <c r="AW21" s="90"/>
      <c r="AX21" s="183">
        <f t="shared" si="6"/>
        <v>0</v>
      </c>
      <c r="AY21" s="182"/>
      <c r="AZ21" s="90"/>
      <c r="BA21" s="90"/>
      <c r="BB21" s="183">
        <f t="shared" si="7"/>
        <v>0</v>
      </c>
      <c r="BC21" s="182"/>
      <c r="BD21" s="90"/>
      <c r="BE21" s="90"/>
      <c r="BF21" s="183">
        <f t="shared" si="8"/>
        <v>0</v>
      </c>
      <c r="BG21" s="182"/>
      <c r="BH21" s="90"/>
      <c r="BI21" s="90"/>
      <c r="BJ21" s="183">
        <f t="shared" si="9"/>
        <v>0</v>
      </c>
      <c r="BK21" s="182"/>
      <c r="BL21" s="90"/>
      <c r="BM21" s="90"/>
      <c r="BN21" s="183">
        <f t="shared" si="10"/>
        <v>0</v>
      </c>
      <c r="BO21" s="182"/>
      <c r="BP21" s="90"/>
      <c r="BQ21" s="90"/>
      <c r="BR21" s="183">
        <f t="shared" si="11"/>
        <v>0</v>
      </c>
      <c r="BS21" s="182"/>
      <c r="BT21" s="90"/>
      <c r="BU21" s="90"/>
      <c r="BV21" s="183">
        <f t="shared" si="12"/>
        <v>0</v>
      </c>
      <c r="BW21" s="182"/>
      <c r="BX21" s="90"/>
      <c r="BY21" s="90"/>
      <c r="BZ21" s="183">
        <f t="shared" si="13"/>
        <v>0</v>
      </c>
      <c r="CA21" s="182"/>
      <c r="CB21" s="90"/>
      <c r="CC21" s="90"/>
      <c r="CD21" s="183">
        <f t="shared" si="14"/>
        <v>0</v>
      </c>
    </row>
    <row r="22" spans="2:82" x14ac:dyDescent="0.3">
      <c r="B22" s="53"/>
      <c r="C22" s="53" t="str">
        <f t="shared" si="0"/>
        <v>CPU_Passeiodeconcreto</v>
      </c>
      <c r="D22" s="278">
        <f t="shared" si="1"/>
        <v>1</v>
      </c>
      <c r="E22" s="278">
        <f t="shared" si="2"/>
        <v>0</v>
      </c>
      <c r="F22" s="1"/>
      <c r="G22" s="28" t="str">
        <f>IFERROR(VLOOKUP(F22,Tabela7[[RECURSO]:[CUSTO]],2,FALSE),"")</f>
        <v/>
      </c>
      <c r="H22" s="92"/>
      <c r="I22" s="90"/>
      <c r="J22" s="45">
        <f>IFERROR(VLOOKUP(F22,Tabela7[[RECURSO]:[CUSTO]],3,FALSE),0)</f>
        <v>0</v>
      </c>
      <c r="K22" s="45">
        <f>I22*J22*CPU_47[[#This Row],[Nº]]</f>
        <v>0</v>
      </c>
      <c r="M22" s="31"/>
      <c r="N22" s="297"/>
      <c r="O22" s="60">
        <f t="shared" si="15"/>
        <v>0</v>
      </c>
      <c r="AD22" s="144" t="str">
        <f t="shared" si="3"/>
        <v>Passeio de concreto</v>
      </c>
      <c r="AE22" s="179"/>
      <c r="AF22" s="180">
        <f t="shared" si="16"/>
        <v>0</v>
      </c>
      <c r="AG22" s="180">
        <f t="shared" si="17"/>
        <v>0</v>
      </c>
      <c r="AH22" s="181">
        <f t="shared" si="18"/>
        <v>0</v>
      </c>
      <c r="AI22" s="182"/>
      <c r="AJ22" s="90"/>
      <c r="AK22" s="90"/>
      <c r="AL22" s="183">
        <f t="shared" si="19"/>
        <v>0</v>
      </c>
      <c r="AM22" s="182"/>
      <c r="AN22" s="90"/>
      <c r="AO22" s="90"/>
      <c r="AP22" s="183">
        <f t="shared" si="4"/>
        <v>0</v>
      </c>
      <c r="AQ22" s="182"/>
      <c r="AR22" s="90"/>
      <c r="AS22" s="90"/>
      <c r="AT22" s="183">
        <f t="shared" si="5"/>
        <v>0</v>
      </c>
      <c r="AU22" s="182"/>
      <c r="AV22" s="90"/>
      <c r="AW22" s="90"/>
      <c r="AX22" s="183">
        <f t="shared" si="6"/>
        <v>0</v>
      </c>
      <c r="AY22" s="182"/>
      <c r="AZ22" s="90"/>
      <c r="BA22" s="90"/>
      <c r="BB22" s="183">
        <f t="shared" si="7"/>
        <v>0</v>
      </c>
      <c r="BC22" s="182"/>
      <c r="BD22" s="90"/>
      <c r="BE22" s="90"/>
      <c r="BF22" s="183">
        <f t="shared" si="8"/>
        <v>0</v>
      </c>
      <c r="BG22" s="182"/>
      <c r="BH22" s="90"/>
      <c r="BI22" s="90"/>
      <c r="BJ22" s="183">
        <f t="shared" si="9"/>
        <v>0</v>
      </c>
      <c r="BK22" s="182"/>
      <c r="BL22" s="90"/>
      <c r="BM22" s="90"/>
      <c r="BN22" s="183">
        <f t="shared" si="10"/>
        <v>0</v>
      </c>
      <c r="BO22" s="182"/>
      <c r="BP22" s="90"/>
      <c r="BQ22" s="90"/>
      <c r="BR22" s="183">
        <f t="shared" si="11"/>
        <v>0</v>
      </c>
      <c r="BS22" s="182"/>
      <c r="BT22" s="90"/>
      <c r="BU22" s="90"/>
      <c r="BV22" s="183">
        <f t="shared" si="12"/>
        <v>0</v>
      </c>
      <c r="BW22" s="182"/>
      <c r="BX22" s="90"/>
      <c r="BY22" s="90"/>
      <c r="BZ22" s="183">
        <f t="shared" si="13"/>
        <v>0</v>
      </c>
      <c r="CA22" s="182"/>
      <c r="CB22" s="90"/>
      <c r="CC22" s="90"/>
      <c r="CD22" s="183">
        <f t="shared" si="14"/>
        <v>0</v>
      </c>
    </row>
    <row r="23" spans="2:82" ht="15" thickBot="1" x14ac:dyDescent="0.35">
      <c r="B23" s="53"/>
      <c r="C23" s="53" t="str">
        <f t="shared" si="0"/>
        <v>CPU_Passeiodeconcreto</v>
      </c>
      <c r="D23" s="278">
        <f t="shared" si="1"/>
        <v>1</v>
      </c>
      <c r="E23" s="278">
        <f t="shared" si="2"/>
        <v>0</v>
      </c>
      <c r="F23" s="1"/>
      <c r="G23" s="28" t="str">
        <f>IFERROR(VLOOKUP(F23,Tabela7[[RECURSO]:[CUSTO]],2,FALSE),"")</f>
        <v/>
      </c>
      <c r="H23" s="92"/>
      <c r="I23" s="90"/>
      <c r="J23" s="45">
        <f>IFERROR(VLOOKUP(F23,Tabela7[[RECURSO]:[CUSTO]],3,FALSE),0)</f>
        <v>0</v>
      </c>
      <c r="K23" s="45">
        <f>I23*J23*CPU_47[[#This Row],[Nº]]</f>
        <v>0</v>
      </c>
      <c r="M23" s="51"/>
      <c r="N23" s="298"/>
      <c r="O23" s="61">
        <f t="shared" si="15"/>
        <v>0</v>
      </c>
      <c r="AD23" s="144" t="str">
        <f t="shared" si="3"/>
        <v>Passeio de concreto</v>
      </c>
      <c r="AE23" s="179"/>
      <c r="AF23" s="180">
        <f t="shared" si="16"/>
        <v>0</v>
      </c>
      <c r="AG23" s="180">
        <f t="shared" si="17"/>
        <v>0</v>
      </c>
      <c r="AH23" s="181">
        <f t="shared" si="18"/>
        <v>0</v>
      </c>
      <c r="AI23" s="182"/>
      <c r="AJ23" s="90"/>
      <c r="AK23" s="90"/>
      <c r="AL23" s="183">
        <f t="shared" si="19"/>
        <v>0</v>
      </c>
      <c r="AM23" s="182"/>
      <c r="AN23" s="90"/>
      <c r="AO23" s="90"/>
      <c r="AP23" s="183">
        <f t="shared" si="4"/>
        <v>0</v>
      </c>
      <c r="AQ23" s="182"/>
      <c r="AR23" s="90"/>
      <c r="AS23" s="90"/>
      <c r="AT23" s="183">
        <f t="shared" si="5"/>
        <v>0</v>
      </c>
      <c r="AU23" s="182"/>
      <c r="AV23" s="90"/>
      <c r="AW23" s="90"/>
      <c r="AX23" s="183">
        <f t="shared" si="6"/>
        <v>0</v>
      </c>
      <c r="AY23" s="182"/>
      <c r="AZ23" s="90"/>
      <c r="BA23" s="90"/>
      <c r="BB23" s="183">
        <f t="shared" si="7"/>
        <v>0</v>
      </c>
      <c r="BC23" s="182"/>
      <c r="BD23" s="90"/>
      <c r="BE23" s="90"/>
      <c r="BF23" s="183">
        <f t="shared" si="8"/>
        <v>0</v>
      </c>
      <c r="BG23" s="182"/>
      <c r="BH23" s="90"/>
      <c r="BI23" s="90"/>
      <c r="BJ23" s="183">
        <f t="shared" si="9"/>
        <v>0</v>
      </c>
      <c r="BK23" s="182"/>
      <c r="BL23" s="90"/>
      <c r="BM23" s="90"/>
      <c r="BN23" s="183">
        <f t="shared" si="10"/>
        <v>0</v>
      </c>
      <c r="BO23" s="182"/>
      <c r="BP23" s="90"/>
      <c r="BQ23" s="90"/>
      <c r="BR23" s="183">
        <f t="shared" si="11"/>
        <v>0</v>
      </c>
      <c r="BS23" s="182"/>
      <c r="BT23" s="90"/>
      <c r="BU23" s="90"/>
      <c r="BV23" s="183">
        <f t="shared" si="12"/>
        <v>0</v>
      </c>
      <c r="BW23" s="182"/>
      <c r="BX23" s="90"/>
      <c r="BY23" s="90"/>
      <c r="BZ23" s="183">
        <f t="shared" si="13"/>
        <v>0</v>
      </c>
      <c r="CA23" s="182"/>
      <c r="CB23" s="90"/>
      <c r="CC23" s="90"/>
      <c r="CD23" s="183">
        <f t="shared" si="14"/>
        <v>0</v>
      </c>
    </row>
    <row r="24" spans="2:82" x14ac:dyDescent="0.3">
      <c r="B24" s="52" t="s">
        <v>686</v>
      </c>
      <c r="C24" s="52" t="str">
        <f t="shared" si="0"/>
        <v>CPU_Passeiodeconcreto</v>
      </c>
      <c r="D24" s="277">
        <f t="shared" si="1"/>
        <v>1</v>
      </c>
      <c r="E24" s="277">
        <f t="shared" si="2"/>
        <v>0</v>
      </c>
      <c r="F24" s="37"/>
      <c r="G24" s="38"/>
      <c r="H24" s="91"/>
      <c r="I24" s="40"/>
      <c r="J24" s="40">
        <f>IFERROR(K24/$B$6,0)</f>
        <v>0</v>
      </c>
      <c r="K24" s="40">
        <f>SUM(K25:K36)</f>
        <v>0</v>
      </c>
      <c r="AD24" s="144" t="str">
        <f t="shared" si="3"/>
        <v>Passeio de concreto</v>
      </c>
      <c r="AE24" s="184"/>
      <c r="AF24" s="40"/>
      <c r="AG24" s="40">
        <f>IFERROR(AH24/AF$3,0)</f>
        <v>0</v>
      </c>
      <c r="AH24" s="185">
        <f>SUM(AH25:AH36)</f>
        <v>0</v>
      </c>
      <c r="AI24" s="184"/>
      <c r="AJ24" s="40"/>
      <c r="AK24" s="40">
        <f>IFERROR(AL24/AJ$3,0)</f>
        <v>0</v>
      </c>
      <c r="AL24" s="185">
        <f>SUM(AL25:AL36)</f>
        <v>0</v>
      </c>
      <c r="AM24" s="184"/>
      <c r="AN24" s="40"/>
      <c r="AO24" s="40">
        <f>IFERROR(AP24/AN$3,0)</f>
        <v>0</v>
      </c>
      <c r="AP24" s="185">
        <f>SUM(AP25:AP36)</f>
        <v>0</v>
      </c>
      <c r="AQ24" s="184"/>
      <c r="AR24" s="40"/>
      <c r="AS24" s="40">
        <f>IFERROR(AT24/AR$3,0)</f>
        <v>0</v>
      </c>
      <c r="AT24" s="185">
        <f>SUM(AT25:AT36)</f>
        <v>0</v>
      </c>
      <c r="AU24" s="184"/>
      <c r="AV24" s="40"/>
      <c r="AW24" s="40">
        <f>IFERROR(AX24/AV$3,0)</f>
        <v>0</v>
      </c>
      <c r="AX24" s="185">
        <f>SUM(AX25:AX36)</f>
        <v>0</v>
      </c>
      <c r="AY24" s="184"/>
      <c r="AZ24" s="40"/>
      <c r="BA24" s="40">
        <f>IFERROR(BB24/AZ$3,0)</f>
        <v>0</v>
      </c>
      <c r="BB24" s="185">
        <f>SUM(BB25:BB36)</f>
        <v>0</v>
      </c>
      <c r="BC24" s="184"/>
      <c r="BD24" s="40"/>
      <c r="BE24" s="40">
        <f>IFERROR(BF24/BD$3,0)</f>
        <v>0</v>
      </c>
      <c r="BF24" s="185">
        <f>SUM(BF25:BF36)</f>
        <v>0</v>
      </c>
      <c r="BG24" s="184"/>
      <c r="BH24" s="40"/>
      <c r="BI24" s="40">
        <f>IFERROR(BJ24/BH$3,0)</f>
        <v>0</v>
      </c>
      <c r="BJ24" s="185">
        <f>SUM(BJ25:BJ36)</f>
        <v>0</v>
      </c>
      <c r="BK24" s="184"/>
      <c r="BL24" s="40"/>
      <c r="BM24" s="40">
        <f>IFERROR(BN24/BL$3,0)</f>
        <v>0</v>
      </c>
      <c r="BN24" s="185">
        <f>SUM(BN25:BN36)</f>
        <v>0</v>
      </c>
      <c r="BO24" s="184"/>
      <c r="BP24" s="40"/>
      <c r="BQ24" s="40">
        <f>IFERROR(BR24/BP$3,0)</f>
        <v>0</v>
      </c>
      <c r="BR24" s="185">
        <f>SUM(BR25:BR36)</f>
        <v>0</v>
      </c>
      <c r="BS24" s="184"/>
      <c r="BT24" s="40"/>
      <c r="BU24" s="40">
        <f>IFERROR(BV24/BT$3,0)</f>
        <v>0</v>
      </c>
      <c r="BV24" s="185">
        <f>SUM(BV25:BV36)</f>
        <v>0</v>
      </c>
      <c r="BW24" s="184"/>
      <c r="BX24" s="40"/>
      <c r="BY24" s="40">
        <f>IFERROR(BZ24/BX$3,0)</f>
        <v>0</v>
      </c>
      <c r="BZ24" s="185">
        <f>SUM(BZ25:BZ36)</f>
        <v>0</v>
      </c>
      <c r="CA24" s="184"/>
      <c r="CB24" s="40"/>
      <c r="CC24" s="40">
        <f>IFERROR(CD24/CB$3,0)</f>
        <v>0</v>
      </c>
      <c r="CD24" s="185">
        <f>SUM(CD25:CD36)</f>
        <v>0</v>
      </c>
    </row>
    <row r="25" spans="2:82" x14ac:dyDescent="0.3">
      <c r="B25" s="53"/>
      <c r="C25" s="53" t="str">
        <f t="shared" si="0"/>
        <v>CPU_Passeiodeconcreto</v>
      </c>
      <c r="D25" s="278">
        <f t="shared" si="1"/>
        <v>1</v>
      </c>
      <c r="E25" s="278">
        <f t="shared" si="2"/>
        <v>0</v>
      </c>
      <c r="F25" s="1"/>
      <c r="G25" s="28" t="str">
        <f>IFERROR(VLOOKUP(F25,Tabela7[[RECURSO]:[CUSTO]],2,FALSE),"")</f>
        <v/>
      </c>
      <c r="H25" s="93"/>
      <c r="I25" s="90">
        <f>IFERROR(SUMPRODUCT(I12:I23,M12:M23,H12:H23,N12:N23),0)</f>
        <v>0</v>
      </c>
      <c r="J25" s="45">
        <f>IFERROR(VLOOKUP(F25,Tabela7[[RECURSO]:[CUSTO]],3,FALSE),0)</f>
        <v>0</v>
      </c>
      <c r="K25" s="45">
        <f>I25*J25</f>
        <v>0</v>
      </c>
      <c r="AD25" s="144" t="str">
        <f t="shared" si="3"/>
        <v>Passeio de concreto</v>
      </c>
      <c r="AE25" s="179"/>
      <c r="AF25" s="180">
        <f t="shared" ref="AF25:AF36" si="20">AJ25+AN25+AR25+AV25+AZ25+BD25+BH25+BL25+BP25+BT25+BX25+CB25</f>
        <v>0</v>
      </c>
      <c r="AG25" s="180">
        <f t="shared" si="17"/>
        <v>0</v>
      </c>
      <c r="AH25" s="181">
        <f t="shared" ref="AH25:AH36" si="21">AL25+AP25+AT25+AX25+BB25+BF25+BJ25+BN25+BR25+BV25+BZ25+CD25</f>
        <v>0</v>
      </c>
      <c r="AI25" s="182"/>
      <c r="AJ25" s="90"/>
      <c r="AK25" s="90"/>
      <c r="AL25" s="183">
        <f t="shared" ref="AL25:AL36" si="22">AJ25*AK25</f>
        <v>0</v>
      </c>
      <c r="AM25" s="182"/>
      <c r="AN25" s="90"/>
      <c r="AO25" s="90"/>
      <c r="AP25" s="183">
        <f t="shared" ref="AP25:AP62" si="23">AN25*AO25</f>
        <v>0</v>
      </c>
      <c r="AQ25" s="182"/>
      <c r="AR25" s="90"/>
      <c r="AS25" s="90"/>
      <c r="AT25" s="183">
        <f t="shared" ref="AT25:AT62" si="24">AR25*AS25</f>
        <v>0</v>
      </c>
      <c r="AU25" s="182"/>
      <c r="AV25" s="90"/>
      <c r="AW25" s="90"/>
      <c r="AX25" s="183">
        <f t="shared" ref="AX25:AX62" si="25">AV25*AW25</f>
        <v>0</v>
      </c>
      <c r="AY25" s="182"/>
      <c r="AZ25" s="90"/>
      <c r="BA25" s="90"/>
      <c r="BB25" s="183">
        <f t="shared" ref="BB25:BB62" si="26">AZ25*BA25</f>
        <v>0</v>
      </c>
      <c r="BC25" s="182"/>
      <c r="BD25" s="90"/>
      <c r="BE25" s="90"/>
      <c r="BF25" s="183">
        <f t="shared" ref="BF25:BF62" si="27">BD25*BE25</f>
        <v>0</v>
      </c>
      <c r="BG25" s="182"/>
      <c r="BH25" s="90"/>
      <c r="BI25" s="90"/>
      <c r="BJ25" s="183">
        <f t="shared" ref="BJ25:BJ62" si="28">BH25*BI25</f>
        <v>0</v>
      </c>
      <c r="BK25" s="182"/>
      <c r="BL25" s="90"/>
      <c r="BM25" s="90"/>
      <c r="BN25" s="183">
        <f t="shared" ref="BN25:BN62" si="29">BL25*BM25</f>
        <v>0</v>
      </c>
      <c r="BO25" s="182"/>
      <c r="BP25" s="90"/>
      <c r="BQ25" s="90"/>
      <c r="BR25" s="183">
        <f t="shared" ref="BR25:BR62" si="30">BP25*BQ25</f>
        <v>0</v>
      </c>
      <c r="BS25" s="182"/>
      <c r="BT25" s="90"/>
      <c r="BU25" s="90"/>
      <c r="BV25" s="183">
        <f t="shared" ref="BV25:BV62" si="31">BT25*BU25</f>
        <v>0</v>
      </c>
      <c r="BW25" s="182"/>
      <c r="BX25" s="90"/>
      <c r="BY25" s="90"/>
      <c r="BZ25" s="183">
        <f t="shared" ref="BZ25:BZ62" si="32">BX25*BY25</f>
        <v>0</v>
      </c>
      <c r="CA25" s="182"/>
      <c r="CB25" s="90"/>
      <c r="CC25" s="90"/>
      <c r="CD25" s="183">
        <f t="shared" ref="CD25:CD62" si="33">CB25*CC25</f>
        <v>0</v>
      </c>
    </row>
    <row r="26" spans="2:82" x14ac:dyDescent="0.3">
      <c r="B26" s="53"/>
      <c r="C26" s="53" t="str">
        <f t="shared" si="0"/>
        <v>CPU_Passeiodeconcreto</v>
      </c>
      <c r="D26" s="278">
        <f t="shared" si="1"/>
        <v>1</v>
      </c>
      <c r="E26" s="278">
        <f t="shared" si="2"/>
        <v>0</v>
      </c>
      <c r="F26" s="1"/>
      <c r="G26" s="28" t="str">
        <f>IFERROR(VLOOKUP(F26,Tabela7[[RECURSO]:[CUSTO]],2,FALSE),"")</f>
        <v/>
      </c>
      <c r="H26" s="93"/>
      <c r="I26" s="90"/>
      <c r="J26" s="45">
        <f>IFERROR(VLOOKUP(F26,Tabela7[[RECURSO]:[CUSTO]],3,FALSE),0)</f>
        <v>0</v>
      </c>
      <c r="K26" s="45">
        <f t="shared" ref="K26:K36" si="34">I26*J26</f>
        <v>0</v>
      </c>
      <c r="AD26" s="144" t="str">
        <f t="shared" si="3"/>
        <v>Passeio de concreto</v>
      </c>
      <c r="AE26" s="179"/>
      <c r="AF26" s="180">
        <f t="shared" si="20"/>
        <v>0</v>
      </c>
      <c r="AG26" s="180">
        <f t="shared" si="17"/>
        <v>0</v>
      </c>
      <c r="AH26" s="181">
        <f t="shared" si="21"/>
        <v>0</v>
      </c>
      <c r="AI26" s="182"/>
      <c r="AJ26" s="90"/>
      <c r="AK26" s="90"/>
      <c r="AL26" s="183">
        <f t="shared" si="22"/>
        <v>0</v>
      </c>
      <c r="AM26" s="182"/>
      <c r="AN26" s="90"/>
      <c r="AO26" s="90"/>
      <c r="AP26" s="183">
        <f t="shared" si="23"/>
        <v>0</v>
      </c>
      <c r="AQ26" s="182"/>
      <c r="AR26" s="90"/>
      <c r="AS26" s="90"/>
      <c r="AT26" s="183">
        <f t="shared" si="24"/>
        <v>0</v>
      </c>
      <c r="AU26" s="182"/>
      <c r="AV26" s="90"/>
      <c r="AW26" s="90"/>
      <c r="AX26" s="183">
        <f t="shared" si="25"/>
        <v>0</v>
      </c>
      <c r="AY26" s="182"/>
      <c r="AZ26" s="90"/>
      <c r="BA26" s="90"/>
      <c r="BB26" s="183">
        <f t="shared" si="26"/>
        <v>0</v>
      </c>
      <c r="BC26" s="182"/>
      <c r="BD26" s="90"/>
      <c r="BE26" s="90"/>
      <c r="BF26" s="183">
        <f t="shared" si="27"/>
        <v>0</v>
      </c>
      <c r="BG26" s="182"/>
      <c r="BH26" s="90"/>
      <c r="BI26" s="90"/>
      <c r="BJ26" s="183">
        <f t="shared" si="28"/>
        <v>0</v>
      </c>
      <c r="BK26" s="182"/>
      <c r="BL26" s="90"/>
      <c r="BM26" s="90"/>
      <c r="BN26" s="183">
        <f t="shared" si="29"/>
        <v>0</v>
      </c>
      <c r="BO26" s="182"/>
      <c r="BP26" s="90"/>
      <c r="BQ26" s="90"/>
      <c r="BR26" s="183">
        <f t="shared" si="30"/>
        <v>0</v>
      </c>
      <c r="BS26" s="182"/>
      <c r="BT26" s="90"/>
      <c r="BU26" s="90"/>
      <c r="BV26" s="183">
        <f t="shared" si="31"/>
        <v>0</v>
      </c>
      <c r="BW26" s="182"/>
      <c r="BX26" s="90"/>
      <c r="BY26" s="90"/>
      <c r="BZ26" s="183">
        <f t="shared" si="32"/>
        <v>0</v>
      </c>
      <c r="CA26" s="182"/>
      <c r="CB26" s="90"/>
      <c r="CC26" s="90"/>
      <c r="CD26" s="183">
        <f t="shared" si="33"/>
        <v>0</v>
      </c>
    </row>
    <row r="27" spans="2:82" x14ac:dyDescent="0.3">
      <c r="B27" s="53"/>
      <c r="C27" s="53" t="str">
        <f t="shared" si="0"/>
        <v>CPU_Passeiodeconcreto</v>
      </c>
      <c r="D27" s="278">
        <f t="shared" si="1"/>
        <v>1</v>
      </c>
      <c r="E27" s="278">
        <f t="shared" si="2"/>
        <v>0</v>
      </c>
      <c r="F27" s="1"/>
      <c r="G27" s="28" t="str">
        <f>IFERROR(VLOOKUP(F27,Tabela7[[RECURSO]:[CUSTO]],2,FALSE),"")</f>
        <v/>
      </c>
      <c r="H27" s="93"/>
      <c r="I27" s="90"/>
      <c r="J27" s="45">
        <f>IFERROR(VLOOKUP(F27,Tabela7[[RECURSO]:[CUSTO]],3,FALSE),0)</f>
        <v>0</v>
      </c>
      <c r="K27" s="45">
        <f t="shared" si="34"/>
        <v>0</v>
      </c>
      <c r="AD27" s="144" t="str">
        <f t="shared" si="3"/>
        <v>Passeio de concreto</v>
      </c>
      <c r="AE27" s="179"/>
      <c r="AF27" s="180">
        <f t="shared" si="20"/>
        <v>0</v>
      </c>
      <c r="AG27" s="180">
        <f t="shared" si="17"/>
        <v>0</v>
      </c>
      <c r="AH27" s="181">
        <f t="shared" si="21"/>
        <v>0</v>
      </c>
      <c r="AI27" s="182"/>
      <c r="AJ27" s="90"/>
      <c r="AK27" s="90"/>
      <c r="AL27" s="183">
        <f t="shared" si="22"/>
        <v>0</v>
      </c>
      <c r="AM27" s="182"/>
      <c r="AN27" s="90"/>
      <c r="AO27" s="90"/>
      <c r="AP27" s="183">
        <f t="shared" si="23"/>
        <v>0</v>
      </c>
      <c r="AQ27" s="182"/>
      <c r="AR27" s="90"/>
      <c r="AS27" s="90"/>
      <c r="AT27" s="183">
        <f t="shared" si="24"/>
        <v>0</v>
      </c>
      <c r="AU27" s="182"/>
      <c r="AV27" s="90"/>
      <c r="AW27" s="90"/>
      <c r="AX27" s="183">
        <f t="shared" si="25"/>
        <v>0</v>
      </c>
      <c r="AY27" s="182"/>
      <c r="AZ27" s="90"/>
      <c r="BA27" s="90"/>
      <c r="BB27" s="183">
        <f t="shared" si="26"/>
        <v>0</v>
      </c>
      <c r="BC27" s="182"/>
      <c r="BD27" s="90"/>
      <c r="BE27" s="90"/>
      <c r="BF27" s="183">
        <f t="shared" si="27"/>
        <v>0</v>
      </c>
      <c r="BG27" s="182"/>
      <c r="BH27" s="90"/>
      <c r="BI27" s="90"/>
      <c r="BJ27" s="183">
        <f t="shared" si="28"/>
        <v>0</v>
      </c>
      <c r="BK27" s="182"/>
      <c r="BL27" s="90"/>
      <c r="BM27" s="90"/>
      <c r="BN27" s="183">
        <f t="shared" si="29"/>
        <v>0</v>
      </c>
      <c r="BO27" s="182"/>
      <c r="BP27" s="90"/>
      <c r="BQ27" s="90"/>
      <c r="BR27" s="183">
        <f t="shared" si="30"/>
        <v>0</v>
      </c>
      <c r="BS27" s="182"/>
      <c r="BT27" s="90"/>
      <c r="BU27" s="90"/>
      <c r="BV27" s="183">
        <f t="shared" si="31"/>
        <v>0</v>
      </c>
      <c r="BW27" s="182"/>
      <c r="BX27" s="90"/>
      <c r="BY27" s="90"/>
      <c r="BZ27" s="183">
        <f t="shared" si="32"/>
        <v>0</v>
      </c>
      <c r="CA27" s="182"/>
      <c r="CB27" s="90"/>
      <c r="CC27" s="90"/>
      <c r="CD27" s="183">
        <f t="shared" si="33"/>
        <v>0</v>
      </c>
    </row>
    <row r="28" spans="2:82" x14ac:dyDescent="0.3">
      <c r="B28" s="53"/>
      <c r="C28" s="53" t="str">
        <f t="shared" si="0"/>
        <v>CPU_Passeiodeconcreto</v>
      </c>
      <c r="D28" s="278">
        <f t="shared" si="1"/>
        <v>1</v>
      </c>
      <c r="E28" s="278">
        <f t="shared" si="2"/>
        <v>0</v>
      </c>
      <c r="F28" s="1"/>
      <c r="G28" s="28" t="str">
        <f>IFERROR(VLOOKUP(F28,Tabela7[[RECURSO]:[CUSTO]],2,FALSE),"")</f>
        <v/>
      </c>
      <c r="H28" s="93"/>
      <c r="I28" s="90"/>
      <c r="J28" s="45">
        <f>IFERROR(VLOOKUP(F28,Tabela7[[RECURSO]:[CUSTO]],3,FALSE),0)</f>
        <v>0</v>
      </c>
      <c r="K28" s="45">
        <f t="shared" si="34"/>
        <v>0</v>
      </c>
      <c r="AD28" s="144" t="str">
        <f t="shared" si="3"/>
        <v>Passeio de concreto</v>
      </c>
      <c r="AE28" s="179"/>
      <c r="AF28" s="180">
        <f t="shared" si="20"/>
        <v>0</v>
      </c>
      <c r="AG28" s="180">
        <f t="shared" si="17"/>
        <v>0</v>
      </c>
      <c r="AH28" s="181">
        <f t="shared" si="21"/>
        <v>0</v>
      </c>
      <c r="AI28" s="182"/>
      <c r="AJ28" s="90"/>
      <c r="AK28" s="90"/>
      <c r="AL28" s="183">
        <f t="shared" si="22"/>
        <v>0</v>
      </c>
      <c r="AM28" s="182"/>
      <c r="AN28" s="90"/>
      <c r="AO28" s="90"/>
      <c r="AP28" s="183">
        <f t="shared" si="23"/>
        <v>0</v>
      </c>
      <c r="AQ28" s="182"/>
      <c r="AR28" s="90"/>
      <c r="AS28" s="90"/>
      <c r="AT28" s="183">
        <f t="shared" si="24"/>
        <v>0</v>
      </c>
      <c r="AU28" s="182"/>
      <c r="AV28" s="90"/>
      <c r="AW28" s="90"/>
      <c r="AX28" s="183">
        <f t="shared" si="25"/>
        <v>0</v>
      </c>
      <c r="AY28" s="182"/>
      <c r="AZ28" s="90"/>
      <c r="BA28" s="90"/>
      <c r="BB28" s="183">
        <f t="shared" si="26"/>
        <v>0</v>
      </c>
      <c r="BC28" s="182"/>
      <c r="BD28" s="90"/>
      <c r="BE28" s="90"/>
      <c r="BF28" s="183">
        <f t="shared" si="27"/>
        <v>0</v>
      </c>
      <c r="BG28" s="182"/>
      <c r="BH28" s="90"/>
      <c r="BI28" s="90"/>
      <c r="BJ28" s="183">
        <f t="shared" si="28"/>
        <v>0</v>
      </c>
      <c r="BK28" s="182"/>
      <c r="BL28" s="90"/>
      <c r="BM28" s="90"/>
      <c r="BN28" s="183">
        <f t="shared" si="29"/>
        <v>0</v>
      </c>
      <c r="BO28" s="182"/>
      <c r="BP28" s="90"/>
      <c r="BQ28" s="90"/>
      <c r="BR28" s="183">
        <f t="shared" si="30"/>
        <v>0</v>
      </c>
      <c r="BS28" s="182"/>
      <c r="BT28" s="90"/>
      <c r="BU28" s="90"/>
      <c r="BV28" s="183">
        <f t="shared" si="31"/>
        <v>0</v>
      </c>
      <c r="BW28" s="182"/>
      <c r="BX28" s="90"/>
      <c r="BY28" s="90"/>
      <c r="BZ28" s="183">
        <f t="shared" si="32"/>
        <v>0</v>
      </c>
      <c r="CA28" s="182"/>
      <c r="CB28" s="90"/>
      <c r="CC28" s="90"/>
      <c r="CD28" s="183">
        <f t="shared" si="33"/>
        <v>0</v>
      </c>
    </row>
    <row r="29" spans="2:82" x14ac:dyDescent="0.3">
      <c r="B29" s="53"/>
      <c r="C29" s="53" t="str">
        <f t="shared" si="0"/>
        <v>CPU_Passeiodeconcreto</v>
      </c>
      <c r="D29" s="278">
        <f t="shared" si="1"/>
        <v>1</v>
      </c>
      <c r="E29" s="278">
        <f t="shared" si="2"/>
        <v>0</v>
      </c>
      <c r="F29" s="1"/>
      <c r="G29" s="28" t="str">
        <f>IFERROR(VLOOKUP(F29,Tabela7[[RECURSO]:[CUSTO]],2,FALSE),"")</f>
        <v/>
      </c>
      <c r="H29" s="93"/>
      <c r="I29" s="90"/>
      <c r="J29" s="45">
        <f>IFERROR(VLOOKUP(F29,Tabela7[[RECURSO]:[CUSTO]],3,FALSE),0)</f>
        <v>0</v>
      </c>
      <c r="K29" s="45">
        <f t="shared" si="34"/>
        <v>0</v>
      </c>
      <c r="AD29" s="144" t="str">
        <f t="shared" si="3"/>
        <v>Passeio de concreto</v>
      </c>
      <c r="AE29" s="179"/>
      <c r="AF29" s="180">
        <f t="shared" si="20"/>
        <v>0</v>
      </c>
      <c r="AG29" s="180">
        <f t="shared" si="17"/>
        <v>0</v>
      </c>
      <c r="AH29" s="181">
        <f t="shared" si="21"/>
        <v>0</v>
      </c>
      <c r="AI29" s="182"/>
      <c r="AJ29" s="90"/>
      <c r="AK29" s="90"/>
      <c r="AL29" s="183">
        <f t="shared" si="22"/>
        <v>0</v>
      </c>
      <c r="AM29" s="182"/>
      <c r="AN29" s="90"/>
      <c r="AO29" s="90"/>
      <c r="AP29" s="183">
        <f t="shared" si="23"/>
        <v>0</v>
      </c>
      <c r="AQ29" s="182"/>
      <c r="AR29" s="90"/>
      <c r="AS29" s="90"/>
      <c r="AT29" s="183">
        <f t="shared" si="24"/>
        <v>0</v>
      </c>
      <c r="AU29" s="182"/>
      <c r="AV29" s="90"/>
      <c r="AW29" s="90"/>
      <c r="AX29" s="183">
        <f t="shared" si="25"/>
        <v>0</v>
      </c>
      <c r="AY29" s="182"/>
      <c r="AZ29" s="90"/>
      <c r="BA29" s="90"/>
      <c r="BB29" s="183">
        <f t="shared" si="26"/>
        <v>0</v>
      </c>
      <c r="BC29" s="182"/>
      <c r="BD29" s="90"/>
      <c r="BE29" s="90"/>
      <c r="BF29" s="183">
        <f t="shared" si="27"/>
        <v>0</v>
      </c>
      <c r="BG29" s="182"/>
      <c r="BH29" s="90"/>
      <c r="BI29" s="90"/>
      <c r="BJ29" s="183">
        <f t="shared" si="28"/>
        <v>0</v>
      </c>
      <c r="BK29" s="182"/>
      <c r="BL29" s="90"/>
      <c r="BM29" s="90"/>
      <c r="BN29" s="183">
        <f t="shared" si="29"/>
        <v>0</v>
      </c>
      <c r="BO29" s="182"/>
      <c r="BP29" s="90"/>
      <c r="BQ29" s="90"/>
      <c r="BR29" s="183">
        <f t="shared" si="30"/>
        <v>0</v>
      </c>
      <c r="BS29" s="182"/>
      <c r="BT29" s="90"/>
      <c r="BU29" s="90"/>
      <c r="BV29" s="183">
        <f t="shared" si="31"/>
        <v>0</v>
      </c>
      <c r="BW29" s="182"/>
      <c r="BX29" s="90"/>
      <c r="BY29" s="90"/>
      <c r="BZ29" s="183">
        <f t="shared" si="32"/>
        <v>0</v>
      </c>
      <c r="CA29" s="182"/>
      <c r="CB29" s="90"/>
      <c r="CC29" s="90"/>
      <c r="CD29" s="183">
        <f t="shared" si="33"/>
        <v>0</v>
      </c>
    </row>
    <row r="30" spans="2:82" x14ac:dyDescent="0.3">
      <c r="B30" s="53"/>
      <c r="C30" s="53" t="str">
        <f t="shared" si="0"/>
        <v>CPU_Passeiodeconcreto</v>
      </c>
      <c r="D30" s="278">
        <f t="shared" si="1"/>
        <v>1</v>
      </c>
      <c r="E30" s="278">
        <f t="shared" si="2"/>
        <v>0</v>
      </c>
      <c r="F30" s="1"/>
      <c r="G30" s="28" t="str">
        <f>IFERROR(VLOOKUP(F30,Tabela7[[RECURSO]:[CUSTO]],2,FALSE),"")</f>
        <v/>
      </c>
      <c r="H30" s="93"/>
      <c r="I30" s="90"/>
      <c r="J30" s="45">
        <f>IFERROR(VLOOKUP(F30,Tabela7[[RECURSO]:[CUSTO]],3,FALSE),0)</f>
        <v>0</v>
      </c>
      <c r="K30" s="45">
        <f t="shared" si="34"/>
        <v>0</v>
      </c>
      <c r="AD30" s="144" t="str">
        <f t="shared" si="3"/>
        <v>Passeio de concreto</v>
      </c>
      <c r="AE30" s="179"/>
      <c r="AF30" s="180">
        <f t="shared" si="20"/>
        <v>0</v>
      </c>
      <c r="AG30" s="180">
        <f t="shared" si="17"/>
        <v>0</v>
      </c>
      <c r="AH30" s="181">
        <f t="shared" si="21"/>
        <v>0</v>
      </c>
      <c r="AI30" s="182"/>
      <c r="AJ30" s="90"/>
      <c r="AK30" s="90"/>
      <c r="AL30" s="183">
        <f t="shared" si="22"/>
        <v>0</v>
      </c>
      <c r="AM30" s="182"/>
      <c r="AN30" s="90"/>
      <c r="AO30" s="90"/>
      <c r="AP30" s="183">
        <f t="shared" si="23"/>
        <v>0</v>
      </c>
      <c r="AQ30" s="182"/>
      <c r="AR30" s="90"/>
      <c r="AS30" s="90"/>
      <c r="AT30" s="183">
        <f t="shared" si="24"/>
        <v>0</v>
      </c>
      <c r="AU30" s="182"/>
      <c r="AV30" s="90"/>
      <c r="AW30" s="90"/>
      <c r="AX30" s="183">
        <f t="shared" si="25"/>
        <v>0</v>
      </c>
      <c r="AY30" s="182"/>
      <c r="AZ30" s="90"/>
      <c r="BA30" s="90"/>
      <c r="BB30" s="183">
        <f t="shared" si="26"/>
        <v>0</v>
      </c>
      <c r="BC30" s="182"/>
      <c r="BD30" s="90"/>
      <c r="BE30" s="90"/>
      <c r="BF30" s="183">
        <f t="shared" si="27"/>
        <v>0</v>
      </c>
      <c r="BG30" s="182"/>
      <c r="BH30" s="90"/>
      <c r="BI30" s="90"/>
      <c r="BJ30" s="183">
        <f t="shared" si="28"/>
        <v>0</v>
      </c>
      <c r="BK30" s="182"/>
      <c r="BL30" s="90"/>
      <c r="BM30" s="90"/>
      <c r="BN30" s="183">
        <f t="shared" si="29"/>
        <v>0</v>
      </c>
      <c r="BO30" s="182"/>
      <c r="BP30" s="90"/>
      <c r="BQ30" s="90"/>
      <c r="BR30" s="183">
        <f t="shared" si="30"/>
        <v>0</v>
      </c>
      <c r="BS30" s="182"/>
      <c r="BT30" s="90"/>
      <c r="BU30" s="90"/>
      <c r="BV30" s="183">
        <f t="shared" si="31"/>
        <v>0</v>
      </c>
      <c r="BW30" s="182"/>
      <c r="BX30" s="90"/>
      <c r="BY30" s="90"/>
      <c r="BZ30" s="183">
        <f t="shared" si="32"/>
        <v>0</v>
      </c>
      <c r="CA30" s="182"/>
      <c r="CB30" s="90"/>
      <c r="CC30" s="90"/>
      <c r="CD30" s="183">
        <f t="shared" si="33"/>
        <v>0</v>
      </c>
    </row>
    <row r="31" spans="2:82" x14ac:dyDescent="0.3">
      <c r="B31" s="53"/>
      <c r="C31" s="53" t="str">
        <f t="shared" si="0"/>
        <v>CPU_Passeiodeconcreto</v>
      </c>
      <c r="D31" s="278">
        <f t="shared" si="1"/>
        <v>1</v>
      </c>
      <c r="E31" s="278">
        <f t="shared" si="2"/>
        <v>0</v>
      </c>
      <c r="F31" s="1"/>
      <c r="G31" s="28" t="str">
        <f>IFERROR(VLOOKUP(F31,Tabela7[[RECURSO]:[CUSTO]],2,FALSE),"")</f>
        <v/>
      </c>
      <c r="H31" s="93"/>
      <c r="I31" s="90"/>
      <c r="J31" s="45">
        <f>IFERROR(VLOOKUP(F31,Tabela7[[RECURSO]:[CUSTO]],3,FALSE),0)</f>
        <v>0</v>
      </c>
      <c r="K31" s="45">
        <f t="shared" si="34"/>
        <v>0</v>
      </c>
      <c r="AD31" s="144" t="str">
        <f t="shared" si="3"/>
        <v>Passeio de concreto</v>
      </c>
      <c r="AE31" s="179"/>
      <c r="AF31" s="180">
        <f t="shared" si="20"/>
        <v>0</v>
      </c>
      <c r="AG31" s="180">
        <f t="shared" si="17"/>
        <v>0</v>
      </c>
      <c r="AH31" s="181">
        <f t="shared" si="21"/>
        <v>0</v>
      </c>
      <c r="AI31" s="182"/>
      <c r="AJ31" s="90"/>
      <c r="AK31" s="90"/>
      <c r="AL31" s="183">
        <f t="shared" si="22"/>
        <v>0</v>
      </c>
      <c r="AM31" s="182"/>
      <c r="AN31" s="90"/>
      <c r="AO31" s="90"/>
      <c r="AP31" s="183">
        <f t="shared" si="23"/>
        <v>0</v>
      </c>
      <c r="AQ31" s="182"/>
      <c r="AR31" s="90"/>
      <c r="AS31" s="90"/>
      <c r="AT31" s="183">
        <f t="shared" si="24"/>
        <v>0</v>
      </c>
      <c r="AU31" s="182"/>
      <c r="AV31" s="90"/>
      <c r="AW31" s="90"/>
      <c r="AX31" s="183">
        <f t="shared" si="25"/>
        <v>0</v>
      </c>
      <c r="AY31" s="182"/>
      <c r="AZ31" s="90"/>
      <c r="BA31" s="90"/>
      <c r="BB31" s="183">
        <f t="shared" si="26"/>
        <v>0</v>
      </c>
      <c r="BC31" s="182"/>
      <c r="BD31" s="90"/>
      <c r="BE31" s="90"/>
      <c r="BF31" s="183">
        <f t="shared" si="27"/>
        <v>0</v>
      </c>
      <c r="BG31" s="182"/>
      <c r="BH31" s="90"/>
      <c r="BI31" s="90"/>
      <c r="BJ31" s="183">
        <f t="shared" si="28"/>
        <v>0</v>
      </c>
      <c r="BK31" s="182"/>
      <c r="BL31" s="90"/>
      <c r="BM31" s="90"/>
      <c r="BN31" s="183">
        <f t="shared" si="29"/>
        <v>0</v>
      </c>
      <c r="BO31" s="182"/>
      <c r="BP31" s="90"/>
      <c r="BQ31" s="90"/>
      <c r="BR31" s="183">
        <f t="shared" si="30"/>
        <v>0</v>
      </c>
      <c r="BS31" s="182"/>
      <c r="BT31" s="90"/>
      <c r="BU31" s="90"/>
      <c r="BV31" s="183">
        <f t="shared" si="31"/>
        <v>0</v>
      </c>
      <c r="BW31" s="182"/>
      <c r="BX31" s="90"/>
      <c r="BY31" s="90"/>
      <c r="BZ31" s="183">
        <f t="shared" si="32"/>
        <v>0</v>
      </c>
      <c r="CA31" s="182"/>
      <c r="CB31" s="90"/>
      <c r="CC31" s="90"/>
      <c r="CD31" s="183">
        <f t="shared" si="33"/>
        <v>0</v>
      </c>
    </row>
    <row r="32" spans="2:82" x14ac:dyDescent="0.3">
      <c r="B32" s="53"/>
      <c r="C32" s="53" t="str">
        <f t="shared" si="0"/>
        <v>CPU_Passeiodeconcreto</v>
      </c>
      <c r="D32" s="278">
        <f t="shared" si="1"/>
        <v>1</v>
      </c>
      <c r="E32" s="278">
        <f t="shared" si="2"/>
        <v>0</v>
      </c>
      <c r="F32" s="1"/>
      <c r="G32" s="28" t="str">
        <f>IFERROR(VLOOKUP(F32,Tabela7[[RECURSO]:[CUSTO]],2,FALSE),"")</f>
        <v/>
      </c>
      <c r="H32" s="93"/>
      <c r="I32" s="90"/>
      <c r="J32" s="45">
        <f>IFERROR(VLOOKUP(F32,Tabela7[[RECURSO]:[CUSTO]],3,FALSE),0)</f>
        <v>0</v>
      </c>
      <c r="K32" s="45">
        <f t="shared" si="34"/>
        <v>0</v>
      </c>
      <c r="AD32" s="144" t="str">
        <f t="shared" si="3"/>
        <v>Passeio de concreto</v>
      </c>
      <c r="AE32" s="179"/>
      <c r="AF32" s="180">
        <f t="shared" si="20"/>
        <v>0</v>
      </c>
      <c r="AG32" s="180">
        <f t="shared" si="17"/>
        <v>0</v>
      </c>
      <c r="AH32" s="181">
        <f t="shared" si="21"/>
        <v>0</v>
      </c>
      <c r="AI32" s="182"/>
      <c r="AJ32" s="90"/>
      <c r="AK32" s="90"/>
      <c r="AL32" s="183">
        <f t="shared" si="22"/>
        <v>0</v>
      </c>
      <c r="AM32" s="182"/>
      <c r="AN32" s="90"/>
      <c r="AO32" s="90"/>
      <c r="AP32" s="183">
        <f t="shared" si="23"/>
        <v>0</v>
      </c>
      <c r="AQ32" s="182"/>
      <c r="AR32" s="90"/>
      <c r="AS32" s="90"/>
      <c r="AT32" s="183">
        <f t="shared" si="24"/>
        <v>0</v>
      </c>
      <c r="AU32" s="182"/>
      <c r="AV32" s="90"/>
      <c r="AW32" s="90"/>
      <c r="AX32" s="183">
        <f t="shared" si="25"/>
        <v>0</v>
      </c>
      <c r="AY32" s="182"/>
      <c r="AZ32" s="90"/>
      <c r="BA32" s="90"/>
      <c r="BB32" s="183">
        <f t="shared" si="26"/>
        <v>0</v>
      </c>
      <c r="BC32" s="182"/>
      <c r="BD32" s="90"/>
      <c r="BE32" s="90"/>
      <c r="BF32" s="183">
        <f t="shared" si="27"/>
        <v>0</v>
      </c>
      <c r="BG32" s="182"/>
      <c r="BH32" s="90"/>
      <c r="BI32" s="90"/>
      <c r="BJ32" s="183">
        <f t="shared" si="28"/>
        <v>0</v>
      </c>
      <c r="BK32" s="182"/>
      <c r="BL32" s="90"/>
      <c r="BM32" s="90"/>
      <c r="BN32" s="183">
        <f t="shared" si="29"/>
        <v>0</v>
      </c>
      <c r="BO32" s="182"/>
      <c r="BP32" s="90"/>
      <c r="BQ32" s="90"/>
      <c r="BR32" s="183">
        <f t="shared" si="30"/>
        <v>0</v>
      </c>
      <c r="BS32" s="182"/>
      <c r="BT32" s="90"/>
      <c r="BU32" s="90"/>
      <c r="BV32" s="183">
        <f t="shared" si="31"/>
        <v>0</v>
      </c>
      <c r="BW32" s="182"/>
      <c r="BX32" s="90"/>
      <c r="BY32" s="90"/>
      <c r="BZ32" s="183">
        <f t="shared" si="32"/>
        <v>0</v>
      </c>
      <c r="CA32" s="182"/>
      <c r="CB32" s="90"/>
      <c r="CC32" s="90"/>
      <c r="CD32" s="183">
        <f t="shared" si="33"/>
        <v>0</v>
      </c>
    </row>
    <row r="33" spans="2:82" x14ac:dyDescent="0.3">
      <c r="B33" s="53"/>
      <c r="C33" s="53" t="str">
        <f t="shared" si="0"/>
        <v>CPU_Passeiodeconcreto</v>
      </c>
      <c r="D33" s="278">
        <f t="shared" si="1"/>
        <v>1</v>
      </c>
      <c r="E33" s="278">
        <f t="shared" si="2"/>
        <v>0</v>
      </c>
      <c r="F33" s="1"/>
      <c r="G33" s="28" t="str">
        <f>IFERROR(VLOOKUP(F33,Tabela7[[RECURSO]:[CUSTO]],2,FALSE),"")</f>
        <v/>
      </c>
      <c r="H33" s="93"/>
      <c r="I33" s="90"/>
      <c r="J33" s="45">
        <f>IFERROR(VLOOKUP(F33,Tabela7[[RECURSO]:[CUSTO]],3,FALSE),0)</f>
        <v>0</v>
      </c>
      <c r="K33" s="45">
        <f t="shared" si="34"/>
        <v>0</v>
      </c>
      <c r="AD33" s="144" t="str">
        <f t="shared" si="3"/>
        <v>Passeio de concreto</v>
      </c>
      <c r="AE33" s="179"/>
      <c r="AF33" s="180">
        <f t="shared" si="20"/>
        <v>0</v>
      </c>
      <c r="AG33" s="180">
        <f t="shared" si="17"/>
        <v>0</v>
      </c>
      <c r="AH33" s="181">
        <f t="shared" si="21"/>
        <v>0</v>
      </c>
      <c r="AI33" s="182"/>
      <c r="AJ33" s="90"/>
      <c r="AK33" s="90"/>
      <c r="AL33" s="183">
        <f t="shared" si="22"/>
        <v>0</v>
      </c>
      <c r="AM33" s="182"/>
      <c r="AN33" s="90"/>
      <c r="AO33" s="90"/>
      <c r="AP33" s="183">
        <f t="shared" si="23"/>
        <v>0</v>
      </c>
      <c r="AQ33" s="182"/>
      <c r="AR33" s="90"/>
      <c r="AS33" s="90"/>
      <c r="AT33" s="183">
        <f t="shared" si="24"/>
        <v>0</v>
      </c>
      <c r="AU33" s="182"/>
      <c r="AV33" s="90"/>
      <c r="AW33" s="90"/>
      <c r="AX33" s="183">
        <f t="shared" si="25"/>
        <v>0</v>
      </c>
      <c r="AY33" s="182"/>
      <c r="AZ33" s="90"/>
      <c r="BA33" s="90"/>
      <c r="BB33" s="183">
        <f t="shared" si="26"/>
        <v>0</v>
      </c>
      <c r="BC33" s="182"/>
      <c r="BD33" s="90"/>
      <c r="BE33" s="90"/>
      <c r="BF33" s="183">
        <f t="shared" si="27"/>
        <v>0</v>
      </c>
      <c r="BG33" s="182"/>
      <c r="BH33" s="90"/>
      <c r="BI33" s="90"/>
      <c r="BJ33" s="183">
        <f t="shared" si="28"/>
        <v>0</v>
      </c>
      <c r="BK33" s="182"/>
      <c r="BL33" s="90"/>
      <c r="BM33" s="90"/>
      <c r="BN33" s="183">
        <f t="shared" si="29"/>
        <v>0</v>
      </c>
      <c r="BO33" s="182"/>
      <c r="BP33" s="90"/>
      <c r="BQ33" s="90"/>
      <c r="BR33" s="183">
        <f t="shared" si="30"/>
        <v>0</v>
      </c>
      <c r="BS33" s="182"/>
      <c r="BT33" s="90"/>
      <c r="BU33" s="90"/>
      <c r="BV33" s="183">
        <f t="shared" si="31"/>
        <v>0</v>
      </c>
      <c r="BW33" s="182"/>
      <c r="BX33" s="90"/>
      <c r="BY33" s="90"/>
      <c r="BZ33" s="183">
        <f t="shared" si="32"/>
        <v>0</v>
      </c>
      <c r="CA33" s="182"/>
      <c r="CB33" s="90"/>
      <c r="CC33" s="90"/>
      <c r="CD33" s="183">
        <f t="shared" si="33"/>
        <v>0</v>
      </c>
    </row>
    <row r="34" spans="2:82" x14ac:dyDescent="0.3">
      <c r="B34" s="53"/>
      <c r="C34" s="53" t="str">
        <f t="shared" si="0"/>
        <v>CPU_Passeiodeconcreto</v>
      </c>
      <c r="D34" s="278">
        <f t="shared" si="1"/>
        <v>1</v>
      </c>
      <c r="E34" s="278">
        <f t="shared" si="2"/>
        <v>0</v>
      </c>
      <c r="F34" s="1"/>
      <c r="G34" s="28" t="str">
        <f>IFERROR(VLOOKUP(F34,Tabela7[[RECURSO]:[CUSTO]],2,FALSE),"")</f>
        <v/>
      </c>
      <c r="H34" s="93"/>
      <c r="I34" s="90"/>
      <c r="J34" s="45">
        <f>IFERROR(VLOOKUP(F34,Tabela7[[RECURSO]:[CUSTO]],3,FALSE),0)</f>
        <v>0</v>
      </c>
      <c r="K34" s="45">
        <f t="shared" si="34"/>
        <v>0</v>
      </c>
      <c r="AD34" s="144" t="str">
        <f t="shared" si="3"/>
        <v>Passeio de concreto</v>
      </c>
      <c r="AE34" s="179"/>
      <c r="AF34" s="180">
        <f t="shared" si="20"/>
        <v>0</v>
      </c>
      <c r="AG34" s="180">
        <f t="shared" si="17"/>
        <v>0</v>
      </c>
      <c r="AH34" s="181">
        <f t="shared" si="21"/>
        <v>0</v>
      </c>
      <c r="AI34" s="182"/>
      <c r="AJ34" s="90"/>
      <c r="AK34" s="90"/>
      <c r="AL34" s="183">
        <f t="shared" si="22"/>
        <v>0</v>
      </c>
      <c r="AM34" s="182"/>
      <c r="AN34" s="90"/>
      <c r="AO34" s="90"/>
      <c r="AP34" s="183">
        <f t="shared" si="23"/>
        <v>0</v>
      </c>
      <c r="AQ34" s="182"/>
      <c r="AR34" s="90"/>
      <c r="AS34" s="90"/>
      <c r="AT34" s="183">
        <f t="shared" si="24"/>
        <v>0</v>
      </c>
      <c r="AU34" s="182"/>
      <c r="AV34" s="90"/>
      <c r="AW34" s="90"/>
      <c r="AX34" s="183">
        <f t="shared" si="25"/>
        <v>0</v>
      </c>
      <c r="AY34" s="182"/>
      <c r="AZ34" s="90"/>
      <c r="BA34" s="90"/>
      <c r="BB34" s="183">
        <f t="shared" si="26"/>
        <v>0</v>
      </c>
      <c r="BC34" s="182"/>
      <c r="BD34" s="90"/>
      <c r="BE34" s="90"/>
      <c r="BF34" s="183">
        <f t="shared" si="27"/>
        <v>0</v>
      </c>
      <c r="BG34" s="182"/>
      <c r="BH34" s="90"/>
      <c r="BI34" s="90"/>
      <c r="BJ34" s="183">
        <f t="shared" si="28"/>
        <v>0</v>
      </c>
      <c r="BK34" s="182"/>
      <c r="BL34" s="90"/>
      <c r="BM34" s="90"/>
      <c r="BN34" s="183">
        <f t="shared" si="29"/>
        <v>0</v>
      </c>
      <c r="BO34" s="182"/>
      <c r="BP34" s="90"/>
      <c r="BQ34" s="90"/>
      <c r="BR34" s="183">
        <f t="shared" si="30"/>
        <v>0</v>
      </c>
      <c r="BS34" s="182"/>
      <c r="BT34" s="90"/>
      <c r="BU34" s="90"/>
      <c r="BV34" s="183">
        <f t="shared" si="31"/>
        <v>0</v>
      </c>
      <c r="BW34" s="182"/>
      <c r="BX34" s="90"/>
      <c r="BY34" s="90"/>
      <c r="BZ34" s="183">
        <f t="shared" si="32"/>
        <v>0</v>
      </c>
      <c r="CA34" s="182"/>
      <c r="CB34" s="90"/>
      <c r="CC34" s="90"/>
      <c r="CD34" s="183">
        <f t="shared" si="33"/>
        <v>0</v>
      </c>
    </row>
    <row r="35" spans="2:82" x14ac:dyDescent="0.3">
      <c r="B35" s="53"/>
      <c r="C35" s="53" t="str">
        <f t="shared" si="0"/>
        <v>CPU_Passeiodeconcreto</v>
      </c>
      <c r="D35" s="278">
        <f t="shared" si="1"/>
        <v>1</v>
      </c>
      <c r="E35" s="278">
        <f t="shared" si="2"/>
        <v>0</v>
      </c>
      <c r="F35" s="1"/>
      <c r="G35" s="28" t="str">
        <f>IFERROR(VLOOKUP(F35,Tabela7[[RECURSO]:[CUSTO]],2,FALSE),"")</f>
        <v/>
      </c>
      <c r="H35" s="93"/>
      <c r="I35" s="90"/>
      <c r="J35" s="45">
        <f>IFERROR(VLOOKUP(F35,Tabela7[[RECURSO]:[CUSTO]],3,FALSE),0)</f>
        <v>0</v>
      </c>
      <c r="K35" s="45">
        <f t="shared" si="34"/>
        <v>0</v>
      </c>
      <c r="AD35" s="144" t="str">
        <f t="shared" si="3"/>
        <v>Passeio de concreto</v>
      </c>
      <c r="AE35" s="179"/>
      <c r="AF35" s="180">
        <f t="shared" si="20"/>
        <v>0</v>
      </c>
      <c r="AG35" s="180">
        <f t="shared" si="17"/>
        <v>0</v>
      </c>
      <c r="AH35" s="181">
        <f t="shared" si="21"/>
        <v>0</v>
      </c>
      <c r="AI35" s="182"/>
      <c r="AJ35" s="90"/>
      <c r="AK35" s="90"/>
      <c r="AL35" s="183">
        <f t="shared" si="22"/>
        <v>0</v>
      </c>
      <c r="AM35" s="182"/>
      <c r="AN35" s="90"/>
      <c r="AO35" s="90"/>
      <c r="AP35" s="183">
        <f t="shared" si="23"/>
        <v>0</v>
      </c>
      <c r="AQ35" s="182"/>
      <c r="AR35" s="90"/>
      <c r="AS35" s="90"/>
      <c r="AT35" s="183">
        <f t="shared" si="24"/>
        <v>0</v>
      </c>
      <c r="AU35" s="182"/>
      <c r="AV35" s="90"/>
      <c r="AW35" s="90"/>
      <c r="AX35" s="183">
        <f t="shared" si="25"/>
        <v>0</v>
      </c>
      <c r="AY35" s="182"/>
      <c r="AZ35" s="90"/>
      <c r="BA35" s="90"/>
      <c r="BB35" s="183">
        <f t="shared" si="26"/>
        <v>0</v>
      </c>
      <c r="BC35" s="182"/>
      <c r="BD35" s="90"/>
      <c r="BE35" s="90"/>
      <c r="BF35" s="183">
        <f t="shared" si="27"/>
        <v>0</v>
      </c>
      <c r="BG35" s="182"/>
      <c r="BH35" s="90"/>
      <c r="BI35" s="90"/>
      <c r="BJ35" s="183">
        <f t="shared" si="28"/>
        <v>0</v>
      </c>
      <c r="BK35" s="182"/>
      <c r="BL35" s="90"/>
      <c r="BM35" s="90"/>
      <c r="BN35" s="183">
        <f t="shared" si="29"/>
        <v>0</v>
      </c>
      <c r="BO35" s="182"/>
      <c r="BP35" s="90"/>
      <c r="BQ35" s="90"/>
      <c r="BR35" s="183">
        <f t="shared" si="30"/>
        <v>0</v>
      </c>
      <c r="BS35" s="182"/>
      <c r="BT35" s="90"/>
      <c r="BU35" s="90"/>
      <c r="BV35" s="183">
        <f t="shared" si="31"/>
        <v>0</v>
      </c>
      <c r="BW35" s="182"/>
      <c r="BX35" s="90"/>
      <c r="BY35" s="90"/>
      <c r="BZ35" s="183">
        <f t="shared" si="32"/>
        <v>0</v>
      </c>
      <c r="CA35" s="182"/>
      <c r="CB35" s="90"/>
      <c r="CC35" s="90"/>
      <c r="CD35" s="183">
        <f t="shared" si="33"/>
        <v>0</v>
      </c>
    </row>
    <row r="36" spans="2:82" x14ac:dyDescent="0.3">
      <c r="B36" s="53"/>
      <c r="C36" s="53" t="str">
        <f t="shared" si="0"/>
        <v>CPU_Passeiodeconcreto</v>
      </c>
      <c r="D36" s="278">
        <f t="shared" si="1"/>
        <v>1</v>
      </c>
      <c r="E36" s="278">
        <f t="shared" si="2"/>
        <v>0</v>
      </c>
      <c r="F36" s="1"/>
      <c r="G36" s="28" t="str">
        <f>IFERROR(VLOOKUP(F36,Tabela7[[RECURSO]:[CUSTO]],2,FALSE),"")</f>
        <v/>
      </c>
      <c r="H36" s="93"/>
      <c r="I36" s="90"/>
      <c r="J36" s="45">
        <f>IFERROR(VLOOKUP(F36,Tabela7[[RECURSO]:[CUSTO]],3,FALSE),0)</f>
        <v>0</v>
      </c>
      <c r="K36" s="45">
        <f t="shared" si="34"/>
        <v>0</v>
      </c>
      <c r="AD36" s="144" t="str">
        <f t="shared" si="3"/>
        <v>Passeio de concreto</v>
      </c>
      <c r="AE36" s="179"/>
      <c r="AF36" s="180">
        <f t="shared" si="20"/>
        <v>0</v>
      </c>
      <c r="AG36" s="180">
        <f t="shared" si="17"/>
        <v>0</v>
      </c>
      <c r="AH36" s="181">
        <f t="shared" si="21"/>
        <v>0</v>
      </c>
      <c r="AI36" s="182"/>
      <c r="AJ36" s="90"/>
      <c r="AK36" s="90"/>
      <c r="AL36" s="183">
        <f t="shared" si="22"/>
        <v>0</v>
      </c>
      <c r="AM36" s="182"/>
      <c r="AN36" s="90"/>
      <c r="AO36" s="90"/>
      <c r="AP36" s="183">
        <f t="shared" si="23"/>
        <v>0</v>
      </c>
      <c r="AQ36" s="182"/>
      <c r="AR36" s="90"/>
      <c r="AS36" s="90"/>
      <c r="AT36" s="183">
        <f t="shared" si="24"/>
        <v>0</v>
      </c>
      <c r="AU36" s="182"/>
      <c r="AV36" s="90"/>
      <c r="AW36" s="90"/>
      <c r="AX36" s="183">
        <f t="shared" si="25"/>
        <v>0</v>
      </c>
      <c r="AY36" s="182"/>
      <c r="AZ36" s="90"/>
      <c r="BA36" s="90"/>
      <c r="BB36" s="183">
        <f t="shared" si="26"/>
        <v>0</v>
      </c>
      <c r="BC36" s="182"/>
      <c r="BD36" s="90"/>
      <c r="BE36" s="90"/>
      <c r="BF36" s="183">
        <f t="shared" si="27"/>
        <v>0</v>
      </c>
      <c r="BG36" s="182"/>
      <c r="BH36" s="90"/>
      <c r="BI36" s="90"/>
      <c r="BJ36" s="183">
        <f t="shared" si="28"/>
        <v>0</v>
      </c>
      <c r="BK36" s="182"/>
      <c r="BL36" s="90"/>
      <c r="BM36" s="90"/>
      <c r="BN36" s="183">
        <f t="shared" si="29"/>
        <v>0</v>
      </c>
      <c r="BO36" s="182"/>
      <c r="BP36" s="90"/>
      <c r="BQ36" s="90"/>
      <c r="BR36" s="183">
        <f t="shared" si="30"/>
        <v>0</v>
      </c>
      <c r="BS36" s="182"/>
      <c r="BT36" s="90"/>
      <c r="BU36" s="90"/>
      <c r="BV36" s="183">
        <f t="shared" si="31"/>
        <v>0</v>
      </c>
      <c r="BW36" s="182"/>
      <c r="BX36" s="90"/>
      <c r="BY36" s="90"/>
      <c r="BZ36" s="183">
        <f t="shared" si="32"/>
        <v>0</v>
      </c>
      <c r="CA36" s="182"/>
      <c r="CB36" s="90"/>
      <c r="CC36" s="90"/>
      <c r="CD36" s="183">
        <f t="shared" si="33"/>
        <v>0</v>
      </c>
    </row>
    <row r="37" spans="2:82" x14ac:dyDescent="0.3">
      <c r="B37" s="52" t="s">
        <v>692</v>
      </c>
      <c r="C37" s="52" t="str">
        <f t="shared" si="0"/>
        <v>CPU_Passeiodeconcreto</v>
      </c>
      <c r="D37" s="277">
        <f t="shared" si="1"/>
        <v>1</v>
      </c>
      <c r="E37" s="277">
        <f t="shared" si="2"/>
        <v>0</v>
      </c>
      <c r="F37" s="37"/>
      <c r="G37" s="38"/>
      <c r="H37" s="91"/>
      <c r="I37" s="40"/>
      <c r="J37" s="40">
        <f>IFERROR(K37/$B$6,0)</f>
        <v>1342.5289870547008</v>
      </c>
      <c r="K37" s="40">
        <f>SUM(K38:K49)</f>
        <v>1342.5289870547008</v>
      </c>
      <c r="M37" s="22">
        <f>CPU_47[[#This Row],[C. UNIT]]/O51</f>
        <v>29.833977490104463</v>
      </c>
      <c r="N37" s="39"/>
      <c r="AD37" s="144" t="str">
        <f t="shared" si="3"/>
        <v>Passeio de concreto</v>
      </c>
      <c r="AE37" s="184"/>
      <c r="AF37" s="40"/>
      <c r="AG37" s="40">
        <f>IFERROR(AH37/AF$3,0)</f>
        <v>0</v>
      </c>
      <c r="AH37" s="185">
        <f>SUM(AH38:AH49)</f>
        <v>0</v>
      </c>
      <c r="AI37" s="184"/>
      <c r="AJ37" s="40"/>
      <c r="AK37" s="40">
        <f>IFERROR(AL37/AJ$3,0)</f>
        <v>0</v>
      </c>
      <c r="AL37" s="185">
        <f>SUM(AL38:AL49)</f>
        <v>0</v>
      </c>
      <c r="AM37" s="184"/>
      <c r="AN37" s="40"/>
      <c r="AO37" s="40">
        <f>IFERROR(AP37/AN$3,0)</f>
        <v>0</v>
      </c>
      <c r="AP37" s="185">
        <f>SUM(AP38:AP49)</f>
        <v>0</v>
      </c>
      <c r="AQ37" s="184"/>
      <c r="AR37" s="40"/>
      <c r="AS37" s="40">
        <f>IFERROR(AT37/AR$3,0)</f>
        <v>0</v>
      </c>
      <c r="AT37" s="185">
        <f>SUM(AT38:AT49)</f>
        <v>0</v>
      </c>
      <c r="AU37" s="184"/>
      <c r="AV37" s="40"/>
      <c r="AW37" s="40">
        <f>IFERROR(AX37/AV$3,0)</f>
        <v>0</v>
      </c>
      <c r="AX37" s="185">
        <f>SUM(AX38:AX49)</f>
        <v>0</v>
      </c>
      <c r="AY37" s="184"/>
      <c r="AZ37" s="40"/>
      <c r="BA37" s="40">
        <f>IFERROR(BB37/AZ$3,0)</f>
        <v>0</v>
      </c>
      <c r="BB37" s="185">
        <f>SUM(BB38:BB49)</f>
        <v>0</v>
      </c>
      <c r="BC37" s="184"/>
      <c r="BD37" s="40"/>
      <c r="BE37" s="40">
        <f>IFERROR(BF37/BD$3,0)</f>
        <v>0</v>
      </c>
      <c r="BF37" s="185">
        <f>SUM(BF38:BF49)</f>
        <v>0</v>
      </c>
      <c r="BG37" s="184"/>
      <c r="BH37" s="40"/>
      <c r="BI37" s="40">
        <f>IFERROR(BJ37/BH$3,0)</f>
        <v>0</v>
      </c>
      <c r="BJ37" s="185">
        <f>SUM(BJ38:BJ49)</f>
        <v>0</v>
      </c>
      <c r="BK37" s="184"/>
      <c r="BL37" s="40"/>
      <c r="BM37" s="40">
        <f>IFERROR(BN37/BL$3,0)</f>
        <v>0</v>
      </c>
      <c r="BN37" s="185">
        <f>SUM(BN38:BN49)</f>
        <v>0</v>
      </c>
      <c r="BO37" s="184"/>
      <c r="BP37" s="40"/>
      <c r="BQ37" s="40">
        <f>IFERROR(BR37/BP$3,0)</f>
        <v>0</v>
      </c>
      <c r="BR37" s="185">
        <f>SUM(BR38:BR49)</f>
        <v>0</v>
      </c>
      <c r="BS37" s="184"/>
      <c r="BT37" s="40"/>
      <c r="BU37" s="40">
        <f>IFERROR(BV37/BT$3,0)</f>
        <v>0</v>
      </c>
      <c r="BV37" s="185">
        <f>SUM(BV38:BV49)</f>
        <v>0</v>
      </c>
      <c r="BW37" s="184"/>
      <c r="BX37" s="40"/>
      <c r="BY37" s="40">
        <f>IFERROR(BZ37/BX$3,0)</f>
        <v>0</v>
      </c>
      <c r="BZ37" s="185">
        <f>SUM(BZ38:BZ49)</f>
        <v>0</v>
      </c>
      <c r="CA37" s="184"/>
      <c r="CB37" s="40"/>
      <c r="CC37" s="40">
        <f>IFERROR(CD37/CB$3,0)</f>
        <v>0</v>
      </c>
      <c r="CD37" s="185">
        <f>SUM(CD38:CD49)</f>
        <v>0</v>
      </c>
    </row>
    <row r="38" spans="2:82" x14ac:dyDescent="0.3">
      <c r="B38" s="54"/>
      <c r="C38" s="54" t="str">
        <f t="shared" si="0"/>
        <v>CPU_Passeiodeconcreto</v>
      </c>
      <c r="D38" s="280">
        <f t="shared" si="1"/>
        <v>1</v>
      </c>
      <c r="E38" s="280">
        <f t="shared" si="2"/>
        <v>0</v>
      </c>
      <c r="F38" s="1" t="s">
        <v>758</v>
      </c>
      <c r="G38" s="28" t="str">
        <f>IFERROR(VLOOKUP(F38,Tabela7[[RECURSO]:[CUSTO]],2,FALSE),"")</f>
        <v>H</v>
      </c>
      <c r="H38" s="92">
        <v>2</v>
      </c>
      <c r="I38" s="90">
        <v>10</v>
      </c>
      <c r="J38" s="45">
        <f>IFERROR(VLOOKUP(F38,Tabela7[[RECURSO]:[CUSTO]],3,FALSE),0)</f>
        <v>40.546465252092652</v>
      </c>
      <c r="K38" s="45">
        <f>I38*J38*CPU_47[[#This Row],[Nº]]</f>
        <v>810.92930504185301</v>
      </c>
      <c r="AD38" s="144" t="str">
        <f t="shared" si="3"/>
        <v>Passeio de concreto</v>
      </c>
      <c r="AE38" s="186"/>
      <c r="AF38" s="180">
        <f t="shared" ref="AF38:AF49" si="35">AJ38+AN38+AR38+AV38+AZ38+BD38+BH38+BL38+BP38+BT38+BX38+CB38</f>
        <v>0</v>
      </c>
      <c r="AG38" s="180">
        <f t="shared" si="17"/>
        <v>0</v>
      </c>
      <c r="AH38" s="181">
        <f t="shared" ref="AH38:AH49" si="36">AL38+AP38+AT38+AX38+BB38+BF38+BJ38+BN38+BR38+BV38+BZ38+CD38</f>
        <v>0</v>
      </c>
      <c r="AI38" s="187"/>
      <c r="AJ38" s="90"/>
      <c r="AK38" s="90"/>
      <c r="AL38" s="183">
        <f t="shared" ref="AL38:AL49" si="37">AJ38*AK38</f>
        <v>0</v>
      </c>
      <c r="AM38" s="187"/>
      <c r="AN38" s="90"/>
      <c r="AO38" s="90"/>
      <c r="AP38" s="183">
        <f t="shared" si="23"/>
        <v>0</v>
      </c>
      <c r="AQ38" s="187"/>
      <c r="AR38" s="90"/>
      <c r="AS38" s="90"/>
      <c r="AT38" s="183">
        <f t="shared" si="24"/>
        <v>0</v>
      </c>
      <c r="AU38" s="187"/>
      <c r="AV38" s="90"/>
      <c r="AW38" s="90"/>
      <c r="AX38" s="183">
        <f t="shared" si="25"/>
        <v>0</v>
      </c>
      <c r="AY38" s="187"/>
      <c r="AZ38" s="90"/>
      <c r="BA38" s="90"/>
      <c r="BB38" s="183">
        <f t="shared" si="26"/>
        <v>0</v>
      </c>
      <c r="BC38" s="187"/>
      <c r="BD38" s="90"/>
      <c r="BE38" s="90"/>
      <c r="BF38" s="183">
        <f t="shared" si="27"/>
        <v>0</v>
      </c>
      <c r="BG38" s="187"/>
      <c r="BH38" s="90"/>
      <c r="BI38" s="90"/>
      <c r="BJ38" s="183">
        <f t="shared" si="28"/>
        <v>0</v>
      </c>
      <c r="BK38" s="187"/>
      <c r="BL38" s="90"/>
      <c r="BM38" s="90"/>
      <c r="BN38" s="183">
        <f t="shared" si="29"/>
        <v>0</v>
      </c>
      <c r="BO38" s="187"/>
      <c r="BP38" s="90"/>
      <c r="BQ38" s="90"/>
      <c r="BR38" s="183">
        <f t="shared" si="30"/>
        <v>0</v>
      </c>
      <c r="BS38" s="187"/>
      <c r="BT38" s="90"/>
      <c r="BU38" s="90"/>
      <c r="BV38" s="183">
        <f t="shared" si="31"/>
        <v>0</v>
      </c>
      <c r="BW38" s="187"/>
      <c r="BX38" s="90"/>
      <c r="BY38" s="90"/>
      <c r="BZ38" s="183">
        <f t="shared" si="32"/>
        <v>0</v>
      </c>
      <c r="CA38" s="187"/>
      <c r="CB38" s="90"/>
      <c r="CC38" s="90"/>
      <c r="CD38" s="183">
        <f t="shared" si="33"/>
        <v>0</v>
      </c>
    </row>
    <row r="39" spans="2:82" x14ac:dyDescent="0.3">
      <c r="B39" s="54"/>
      <c r="C39" s="54" t="str">
        <f t="shared" si="0"/>
        <v>CPU_Passeiodeconcreto</v>
      </c>
      <c r="D39" s="280">
        <f t="shared" si="1"/>
        <v>1</v>
      </c>
      <c r="E39" s="280">
        <f t="shared" si="2"/>
        <v>0</v>
      </c>
      <c r="F39" s="1" t="s">
        <v>361</v>
      </c>
      <c r="G39" s="28" t="str">
        <f>IFERROR(VLOOKUP(F39,Tabela7[[RECURSO]:[CUSTO]],2,FALSE),"")</f>
        <v>H</v>
      </c>
      <c r="H39" s="92">
        <v>2</v>
      </c>
      <c r="I39" s="90">
        <v>10</v>
      </c>
      <c r="J39" s="45">
        <f>IFERROR(VLOOKUP(F39,Tabela7[[RECURSO]:[CUSTO]],3,FALSE),0)</f>
        <v>26.579984100642395</v>
      </c>
      <c r="K39" s="45">
        <f>I39*J39*CPU_47[[#This Row],[Nº]]</f>
        <v>531.59968201284789</v>
      </c>
      <c r="M39" s="22"/>
      <c r="AD39" s="144" t="str">
        <f t="shared" si="3"/>
        <v>Passeio de concreto</v>
      </c>
      <c r="AE39" s="186"/>
      <c r="AF39" s="180">
        <f t="shared" si="35"/>
        <v>0</v>
      </c>
      <c r="AG39" s="180">
        <f t="shared" si="17"/>
        <v>0</v>
      </c>
      <c r="AH39" s="181">
        <f t="shared" si="36"/>
        <v>0</v>
      </c>
      <c r="AI39" s="187"/>
      <c r="AJ39" s="90"/>
      <c r="AK39" s="90"/>
      <c r="AL39" s="183">
        <f t="shared" si="37"/>
        <v>0</v>
      </c>
      <c r="AM39" s="187"/>
      <c r="AN39" s="90"/>
      <c r="AO39" s="90"/>
      <c r="AP39" s="183">
        <f t="shared" si="23"/>
        <v>0</v>
      </c>
      <c r="AQ39" s="187"/>
      <c r="AR39" s="90"/>
      <c r="AS39" s="90"/>
      <c r="AT39" s="183">
        <f t="shared" si="24"/>
        <v>0</v>
      </c>
      <c r="AU39" s="187"/>
      <c r="AV39" s="90"/>
      <c r="AW39" s="90"/>
      <c r="AX39" s="183">
        <f t="shared" si="25"/>
        <v>0</v>
      </c>
      <c r="AY39" s="187"/>
      <c r="AZ39" s="90"/>
      <c r="BA39" s="90"/>
      <c r="BB39" s="183">
        <f t="shared" si="26"/>
        <v>0</v>
      </c>
      <c r="BC39" s="187"/>
      <c r="BD39" s="90"/>
      <c r="BE39" s="90"/>
      <c r="BF39" s="183">
        <f t="shared" si="27"/>
        <v>0</v>
      </c>
      <c r="BG39" s="187"/>
      <c r="BH39" s="90"/>
      <c r="BI39" s="90"/>
      <c r="BJ39" s="183">
        <f t="shared" si="28"/>
        <v>0</v>
      </c>
      <c r="BK39" s="187"/>
      <c r="BL39" s="90"/>
      <c r="BM39" s="90"/>
      <c r="BN39" s="183">
        <f t="shared" si="29"/>
        <v>0</v>
      </c>
      <c r="BO39" s="187"/>
      <c r="BP39" s="90"/>
      <c r="BQ39" s="90"/>
      <c r="BR39" s="183">
        <f t="shared" si="30"/>
        <v>0</v>
      </c>
      <c r="BS39" s="187"/>
      <c r="BT39" s="90"/>
      <c r="BU39" s="90"/>
      <c r="BV39" s="183">
        <f t="shared" si="31"/>
        <v>0</v>
      </c>
      <c r="BW39" s="187"/>
      <c r="BX39" s="90"/>
      <c r="BY39" s="90"/>
      <c r="BZ39" s="183">
        <f t="shared" si="32"/>
        <v>0</v>
      </c>
      <c r="CA39" s="187"/>
      <c r="CB39" s="90"/>
      <c r="CC39" s="90"/>
      <c r="CD39" s="183">
        <f t="shared" si="33"/>
        <v>0</v>
      </c>
    </row>
    <row r="40" spans="2:82" x14ac:dyDescent="0.3">
      <c r="B40" s="54"/>
      <c r="C40" s="54" t="str">
        <f t="shared" si="0"/>
        <v>CPU_Passeiodeconcreto</v>
      </c>
      <c r="D40" s="280">
        <f t="shared" si="1"/>
        <v>1</v>
      </c>
      <c r="E40" s="280">
        <f t="shared" si="2"/>
        <v>0</v>
      </c>
      <c r="F40" s="1"/>
      <c r="G40" s="28" t="str">
        <f>IFERROR(VLOOKUP(F40,Tabela7[[RECURSO]:[CUSTO]],2,FALSE),"")</f>
        <v/>
      </c>
      <c r="H40" s="92"/>
      <c r="I40" s="90"/>
      <c r="J40" s="45">
        <f>IFERROR(VLOOKUP(F40,Tabela7[[RECURSO]:[CUSTO]],3,FALSE),0)</f>
        <v>0</v>
      </c>
      <c r="K40" s="45">
        <f>I40*J40*CPU_47[[#This Row],[Nº]]</f>
        <v>0</v>
      </c>
      <c r="AD40" s="144" t="str">
        <f t="shared" si="3"/>
        <v>Passeio de concreto</v>
      </c>
      <c r="AE40" s="186"/>
      <c r="AF40" s="180">
        <f t="shared" si="35"/>
        <v>0</v>
      </c>
      <c r="AG40" s="180">
        <f t="shared" si="17"/>
        <v>0</v>
      </c>
      <c r="AH40" s="181">
        <f t="shared" si="36"/>
        <v>0</v>
      </c>
      <c r="AI40" s="187"/>
      <c r="AJ40" s="90"/>
      <c r="AK40" s="90"/>
      <c r="AL40" s="183">
        <f t="shared" si="37"/>
        <v>0</v>
      </c>
      <c r="AM40" s="187"/>
      <c r="AN40" s="90"/>
      <c r="AO40" s="90"/>
      <c r="AP40" s="183">
        <f t="shared" si="23"/>
        <v>0</v>
      </c>
      <c r="AQ40" s="187"/>
      <c r="AR40" s="90"/>
      <c r="AS40" s="90"/>
      <c r="AT40" s="183">
        <f t="shared" si="24"/>
        <v>0</v>
      </c>
      <c r="AU40" s="187"/>
      <c r="AV40" s="90"/>
      <c r="AW40" s="90"/>
      <c r="AX40" s="183">
        <f t="shared" si="25"/>
        <v>0</v>
      </c>
      <c r="AY40" s="187"/>
      <c r="AZ40" s="90"/>
      <c r="BA40" s="90"/>
      <c r="BB40" s="183">
        <f t="shared" si="26"/>
        <v>0</v>
      </c>
      <c r="BC40" s="187"/>
      <c r="BD40" s="90"/>
      <c r="BE40" s="90"/>
      <c r="BF40" s="183">
        <f t="shared" si="27"/>
        <v>0</v>
      </c>
      <c r="BG40" s="187"/>
      <c r="BH40" s="90"/>
      <c r="BI40" s="90"/>
      <c r="BJ40" s="183">
        <f t="shared" si="28"/>
        <v>0</v>
      </c>
      <c r="BK40" s="187"/>
      <c r="BL40" s="90"/>
      <c r="BM40" s="90"/>
      <c r="BN40" s="183">
        <f t="shared" si="29"/>
        <v>0</v>
      </c>
      <c r="BO40" s="187"/>
      <c r="BP40" s="90"/>
      <c r="BQ40" s="90"/>
      <c r="BR40" s="183">
        <f t="shared" si="30"/>
        <v>0</v>
      </c>
      <c r="BS40" s="187"/>
      <c r="BT40" s="90"/>
      <c r="BU40" s="90"/>
      <c r="BV40" s="183">
        <f t="shared" si="31"/>
        <v>0</v>
      </c>
      <c r="BW40" s="187"/>
      <c r="BX40" s="90"/>
      <c r="BY40" s="90"/>
      <c r="BZ40" s="183">
        <f t="shared" si="32"/>
        <v>0</v>
      </c>
      <c r="CA40" s="187"/>
      <c r="CB40" s="90"/>
      <c r="CC40" s="90"/>
      <c r="CD40" s="183">
        <f t="shared" si="33"/>
        <v>0</v>
      </c>
    </row>
    <row r="41" spans="2:82" x14ac:dyDescent="0.3">
      <c r="B41" s="54"/>
      <c r="C41" s="54" t="str">
        <f t="shared" si="0"/>
        <v>CPU_Passeiodeconcreto</v>
      </c>
      <c r="D41" s="280">
        <f t="shared" si="1"/>
        <v>1</v>
      </c>
      <c r="E41" s="280">
        <f t="shared" si="2"/>
        <v>0</v>
      </c>
      <c r="F41" s="1"/>
      <c r="G41" s="28" t="str">
        <f>IFERROR(VLOOKUP(F41,Tabela7[[RECURSO]:[CUSTO]],2,FALSE),"")</f>
        <v/>
      </c>
      <c r="H41" s="92"/>
      <c r="I41" s="90"/>
      <c r="J41" s="45">
        <f>IFERROR(VLOOKUP(F41,Tabela7[[RECURSO]:[CUSTO]],3,FALSE),0)</f>
        <v>0</v>
      </c>
      <c r="K41" s="45">
        <f>I41*J41*CPU_47[[#This Row],[Nº]]</f>
        <v>0</v>
      </c>
      <c r="AD41" s="144" t="str">
        <f t="shared" si="3"/>
        <v>Passeio de concreto</v>
      </c>
      <c r="AE41" s="186"/>
      <c r="AF41" s="180">
        <f t="shared" si="35"/>
        <v>0</v>
      </c>
      <c r="AG41" s="180">
        <f t="shared" si="17"/>
        <v>0</v>
      </c>
      <c r="AH41" s="181">
        <f t="shared" si="36"/>
        <v>0</v>
      </c>
      <c r="AI41" s="187"/>
      <c r="AJ41" s="90"/>
      <c r="AK41" s="90"/>
      <c r="AL41" s="183">
        <f t="shared" si="37"/>
        <v>0</v>
      </c>
      <c r="AM41" s="187"/>
      <c r="AN41" s="90"/>
      <c r="AO41" s="90"/>
      <c r="AP41" s="183">
        <f t="shared" si="23"/>
        <v>0</v>
      </c>
      <c r="AQ41" s="187"/>
      <c r="AR41" s="90"/>
      <c r="AS41" s="90"/>
      <c r="AT41" s="183">
        <f t="shared" si="24"/>
        <v>0</v>
      </c>
      <c r="AU41" s="187"/>
      <c r="AV41" s="90"/>
      <c r="AW41" s="90"/>
      <c r="AX41" s="183">
        <f t="shared" si="25"/>
        <v>0</v>
      </c>
      <c r="AY41" s="187"/>
      <c r="AZ41" s="90"/>
      <c r="BA41" s="90"/>
      <c r="BB41" s="183">
        <f t="shared" si="26"/>
        <v>0</v>
      </c>
      <c r="BC41" s="187"/>
      <c r="BD41" s="90"/>
      <c r="BE41" s="90"/>
      <c r="BF41" s="183">
        <f t="shared" si="27"/>
        <v>0</v>
      </c>
      <c r="BG41" s="187"/>
      <c r="BH41" s="90"/>
      <c r="BI41" s="90"/>
      <c r="BJ41" s="183">
        <f t="shared" si="28"/>
        <v>0</v>
      </c>
      <c r="BK41" s="187"/>
      <c r="BL41" s="90"/>
      <c r="BM41" s="90"/>
      <c r="BN41" s="183">
        <f t="shared" si="29"/>
        <v>0</v>
      </c>
      <c r="BO41" s="187"/>
      <c r="BP41" s="90"/>
      <c r="BQ41" s="90"/>
      <c r="BR41" s="183">
        <f t="shared" si="30"/>
        <v>0</v>
      </c>
      <c r="BS41" s="187"/>
      <c r="BT41" s="90"/>
      <c r="BU41" s="90"/>
      <c r="BV41" s="183">
        <f t="shared" si="31"/>
        <v>0</v>
      </c>
      <c r="BW41" s="187"/>
      <c r="BX41" s="90"/>
      <c r="BY41" s="90"/>
      <c r="BZ41" s="183">
        <f t="shared" si="32"/>
        <v>0</v>
      </c>
      <c r="CA41" s="187"/>
      <c r="CB41" s="90"/>
      <c r="CC41" s="90"/>
      <c r="CD41" s="183">
        <f t="shared" si="33"/>
        <v>0</v>
      </c>
    </row>
    <row r="42" spans="2:82" x14ac:dyDescent="0.3">
      <c r="B42" s="54"/>
      <c r="C42" s="54" t="str">
        <f t="shared" si="0"/>
        <v>CPU_Passeiodeconcreto</v>
      </c>
      <c r="D42" s="280">
        <f t="shared" si="1"/>
        <v>1</v>
      </c>
      <c r="E42" s="280">
        <f t="shared" si="2"/>
        <v>0</v>
      </c>
      <c r="F42" s="1"/>
      <c r="G42" s="28" t="str">
        <f>IFERROR(VLOOKUP(F42,Tabela7[[RECURSO]:[CUSTO]],2,FALSE),"")</f>
        <v/>
      </c>
      <c r="H42" s="92"/>
      <c r="I42" s="90"/>
      <c r="J42" s="45">
        <f>IFERROR(VLOOKUP(F42,Tabela7[[RECURSO]:[CUSTO]],3,FALSE),0)</f>
        <v>0</v>
      </c>
      <c r="K42" s="45">
        <f>I42*J42*CPU_47[[#This Row],[Nº]]</f>
        <v>0</v>
      </c>
      <c r="AD42" s="144" t="str">
        <f t="shared" si="3"/>
        <v>Passeio de concreto</v>
      </c>
      <c r="AE42" s="186"/>
      <c r="AF42" s="180">
        <f t="shared" si="35"/>
        <v>0</v>
      </c>
      <c r="AG42" s="180">
        <f t="shared" si="17"/>
        <v>0</v>
      </c>
      <c r="AH42" s="181">
        <f t="shared" si="36"/>
        <v>0</v>
      </c>
      <c r="AI42" s="187"/>
      <c r="AJ42" s="90"/>
      <c r="AK42" s="90"/>
      <c r="AL42" s="183">
        <f t="shared" si="37"/>
        <v>0</v>
      </c>
      <c r="AM42" s="187"/>
      <c r="AN42" s="90"/>
      <c r="AO42" s="90"/>
      <c r="AP42" s="183">
        <f t="shared" si="23"/>
        <v>0</v>
      </c>
      <c r="AQ42" s="187"/>
      <c r="AR42" s="90"/>
      <c r="AS42" s="90"/>
      <c r="AT42" s="183">
        <f t="shared" si="24"/>
        <v>0</v>
      </c>
      <c r="AU42" s="187"/>
      <c r="AV42" s="90"/>
      <c r="AW42" s="90"/>
      <c r="AX42" s="183">
        <f t="shared" si="25"/>
        <v>0</v>
      </c>
      <c r="AY42" s="187"/>
      <c r="AZ42" s="90"/>
      <c r="BA42" s="90"/>
      <c r="BB42" s="183">
        <f t="shared" si="26"/>
        <v>0</v>
      </c>
      <c r="BC42" s="187"/>
      <c r="BD42" s="90"/>
      <c r="BE42" s="90"/>
      <c r="BF42" s="183">
        <f t="shared" si="27"/>
        <v>0</v>
      </c>
      <c r="BG42" s="187"/>
      <c r="BH42" s="90"/>
      <c r="BI42" s="90"/>
      <c r="BJ42" s="183">
        <f t="shared" si="28"/>
        <v>0</v>
      </c>
      <c r="BK42" s="187"/>
      <c r="BL42" s="90"/>
      <c r="BM42" s="90"/>
      <c r="BN42" s="183">
        <f t="shared" si="29"/>
        <v>0</v>
      </c>
      <c r="BO42" s="187"/>
      <c r="BP42" s="90"/>
      <c r="BQ42" s="90"/>
      <c r="BR42" s="183">
        <f t="shared" si="30"/>
        <v>0</v>
      </c>
      <c r="BS42" s="187"/>
      <c r="BT42" s="90"/>
      <c r="BU42" s="90"/>
      <c r="BV42" s="183">
        <f t="shared" si="31"/>
        <v>0</v>
      </c>
      <c r="BW42" s="187"/>
      <c r="BX42" s="90"/>
      <c r="BY42" s="90"/>
      <c r="BZ42" s="183">
        <f t="shared" si="32"/>
        <v>0</v>
      </c>
      <c r="CA42" s="187"/>
      <c r="CB42" s="90"/>
      <c r="CC42" s="90"/>
      <c r="CD42" s="183">
        <f t="shared" si="33"/>
        <v>0</v>
      </c>
    </row>
    <row r="43" spans="2:82" x14ac:dyDescent="0.3">
      <c r="B43" s="54"/>
      <c r="C43" s="54" t="str">
        <f t="shared" si="0"/>
        <v>CPU_Passeiodeconcreto</v>
      </c>
      <c r="D43" s="280">
        <f t="shared" si="1"/>
        <v>1</v>
      </c>
      <c r="E43" s="280">
        <f t="shared" si="2"/>
        <v>0</v>
      </c>
      <c r="F43" s="1"/>
      <c r="G43" s="28" t="str">
        <f>IFERROR(VLOOKUP(F43,Tabela7[[RECURSO]:[CUSTO]],2,FALSE),"")</f>
        <v/>
      </c>
      <c r="H43" s="92"/>
      <c r="I43" s="90"/>
      <c r="J43" s="45">
        <f>IFERROR(VLOOKUP(F43,Tabela7[[RECURSO]:[CUSTO]],3,FALSE),0)</f>
        <v>0</v>
      </c>
      <c r="K43" s="45">
        <f>I43*J43*CPU_47[[#This Row],[Nº]]</f>
        <v>0</v>
      </c>
      <c r="AD43" s="144" t="str">
        <f t="shared" si="3"/>
        <v>Passeio de concreto</v>
      </c>
      <c r="AE43" s="186"/>
      <c r="AF43" s="180">
        <f t="shared" si="35"/>
        <v>0</v>
      </c>
      <c r="AG43" s="180">
        <f t="shared" si="17"/>
        <v>0</v>
      </c>
      <c r="AH43" s="181">
        <f t="shared" si="36"/>
        <v>0</v>
      </c>
      <c r="AI43" s="187"/>
      <c r="AJ43" s="90"/>
      <c r="AK43" s="90"/>
      <c r="AL43" s="183">
        <f t="shared" si="37"/>
        <v>0</v>
      </c>
      <c r="AM43" s="187"/>
      <c r="AN43" s="90"/>
      <c r="AO43" s="90"/>
      <c r="AP43" s="183">
        <f t="shared" si="23"/>
        <v>0</v>
      </c>
      <c r="AQ43" s="187"/>
      <c r="AR43" s="90"/>
      <c r="AS43" s="90"/>
      <c r="AT43" s="183">
        <f t="shared" si="24"/>
        <v>0</v>
      </c>
      <c r="AU43" s="187"/>
      <c r="AV43" s="90"/>
      <c r="AW43" s="90"/>
      <c r="AX43" s="183">
        <f t="shared" si="25"/>
        <v>0</v>
      </c>
      <c r="AY43" s="187"/>
      <c r="AZ43" s="90"/>
      <c r="BA43" s="90"/>
      <c r="BB43" s="183">
        <f t="shared" si="26"/>
        <v>0</v>
      </c>
      <c r="BC43" s="187"/>
      <c r="BD43" s="90"/>
      <c r="BE43" s="90"/>
      <c r="BF43" s="183">
        <f t="shared" si="27"/>
        <v>0</v>
      </c>
      <c r="BG43" s="187"/>
      <c r="BH43" s="90"/>
      <c r="BI43" s="90"/>
      <c r="BJ43" s="183">
        <f t="shared" si="28"/>
        <v>0</v>
      </c>
      <c r="BK43" s="187"/>
      <c r="BL43" s="90"/>
      <c r="BM43" s="90"/>
      <c r="BN43" s="183">
        <f t="shared" si="29"/>
        <v>0</v>
      </c>
      <c r="BO43" s="187"/>
      <c r="BP43" s="90"/>
      <c r="BQ43" s="90"/>
      <c r="BR43" s="183">
        <f t="shared" si="30"/>
        <v>0</v>
      </c>
      <c r="BS43" s="187"/>
      <c r="BT43" s="90"/>
      <c r="BU43" s="90"/>
      <c r="BV43" s="183">
        <f t="shared" si="31"/>
        <v>0</v>
      </c>
      <c r="BW43" s="187"/>
      <c r="BX43" s="90"/>
      <c r="BY43" s="90"/>
      <c r="BZ43" s="183">
        <f t="shared" si="32"/>
        <v>0</v>
      </c>
      <c r="CA43" s="187"/>
      <c r="CB43" s="90"/>
      <c r="CC43" s="90"/>
      <c r="CD43" s="183">
        <f t="shared" si="33"/>
        <v>0</v>
      </c>
    </row>
    <row r="44" spans="2:82" x14ac:dyDescent="0.3">
      <c r="B44" s="54"/>
      <c r="C44" s="54" t="str">
        <f t="shared" si="0"/>
        <v>CPU_Passeiodeconcreto</v>
      </c>
      <c r="D44" s="280">
        <f t="shared" si="1"/>
        <v>1</v>
      </c>
      <c r="E44" s="280">
        <f t="shared" si="2"/>
        <v>0</v>
      </c>
      <c r="F44" s="1"/>
      <c r="G44" s="28" t="str">
        <f>IFERROR(VLOOKUP(F44,Tabela7[[RECURSO]:[CUSTO]],2,FALSE),"")</f>
        <v/>
      </c>
      <c r="H44" s="92"/>
      <c r="I44" s="90"/>
      <c r="J44" s="45">
        <f>IFERROR(VLOOKUP(F44,Tabela7[[RECURSO]:[CUSTO]],3,FALSE),0)</f>
        <v>0</v>
      </c>
      <c r="K44" s="45">
        <f>I44*J44*CPU_47[[#This Row],[Nº]]</f>
        <v>0</v>
      </c>
      <c r="AD44" s="144" t="str">
        <f t="shared" si="3"/>
        <v>Passeio de concreto</v>
      </c>
      <c r="AE44" s="186"/>
      <c r="AF44" s="180">
        <f t="shared" si="35"/>
        <v>0</v>
      </c>
      <c r="AG44" s="180">
        <f t="shared" si="17"/>
        <v>0</v>
      </c>
      <c r="AH44" s="181">
        <f t="shared" si="36"/>
        <v>0</v>
      </c>
      <c r="AI44" s="187"/>
      <c r="AJ44" s="90"/>
      <c r="AK44" s="90"/>
      <c r="AL44" s="183">
        <f t="shared" si="37"/>
        <v>0</v>
      </c>
      <c r="AM44" s="187"/>
      <c r="AN44" s="90"/>
      <c r="AO44" s="90"/>
      <c r="AP44" s="183">
        <f t="shared" si="23"/>
        <v>0</v>
      </c>
      <c r="AQ44" s="187"/>
      <c r="AR44" s="90"/>
      <c r="AS44" s="90"/>
      <c r="AT44" s="183">
        <f t="shared" si="24"/>
        <v>0</v>
      </c>
      <c r="AU44" s="187"/>
      <c r="AV44" s="90"/>
      <c r="AW44" s="90"/>
      <c r="AX44" s="183">
        <f t="shared" si="25"/>
        <v>0</v>
      </c>
      <c r="AY44" s="187"/>
      <c r="AZ44" s="90"/>
      <c r="BA44" s="90"/>
      <c r="BB44" s="183">
        <f t="shared" si="26"/>
        <v>0</v>
      </c>
      <c r="BC44" s="187"/>
      <c r="BD44" s="90"/>
      <c r="BE44" s="90"/>
      <c r="BF44" s="183">
        <f t="shared" si="27"/>
        <v>0</v>
      </c>
      <c r="BG44" s="187"/>
      <c r="BH44" s="90"/>
      <c r="BI44" s="90"/>
      <c r="BJ44" s="183">
        <f t="shared" si="28"/>
        <v>0</v>
      </c>
      <c r="BK44" s="187"/>
      <c r="BL44" s="90"/>
      <c r="BM44" s="90"/>
      <c r="BN44" s="183">
        <f t="shared" si="29"/>
        <v>0</v>
      </c>
      <c r="BO44" s="187"/>
      <c r="BP44" s="90"/>
      <c r="BQ44" s="90"/>
      <c r="BR44" s="183">
        <f t="shared" si="30"/>
        <v>0</v>
      </c>
      <c r="BS44" s="187"/>
      <c r="BT44" s="90"/>
      <c r="BU44" s="90"/>
      <c r="BV44" s="183">
        <f t="shared" si="31"/>
        <v>0</v>
      </c>
      <c r="BW44" s="187"/>
      <c r="BX44" s="90"/>
      <c r="BY44" s="90"/>
      <c r="BZ44" s="183">
        <f t="shared" si="32"/>
        <v>0</v>
      </c>
      <c r="CA44" s="187"/>
      <c r="CB44" s="90"/>
      <c r="CC44" s="90"/>
      <c r="CD44" s="183">
        <f t="shared" si="33"/>
        <v>0</v>
      </c>
    </row>
    <row r="45" spans="2:82" x14ac:dyDescent="0.3">
      <c r="B45" s="53"/>
      <c r="C45" s="53" t="str">
        <f t="shared" si="0"/>
        <v>CPU_Passeiodeconcreto</v>
      </c>
      <c r="D45" s="278">
        <f t="shared" si="1"/>
        <v>1</v>
      </c>
      <c r="E45" s="278">
        <f t="shared" si="2"/>
        <v>0</v>
      </c>
      <c r="F45" s="1"/>
      <c r="G45" s="28" t="str">
        <f>IFERROR(VLOOKUP(F45,Tabela7[[RECURSO]:[CUSTO]],2,FALSE),"")</f>
        <v/>
      </c>
      <c r="H45" s="92"/>
      <c r="I45" s="90"/>
      <c r="J45" s="45">
        <f>IFERROR(VLOOKUP(F45,Tabela7[[RECURSO]:[CUSTO]],3,FALSE),0)</f>
        <v>0</v>
      </c>
      <c r="K45" s="45">
        <f>I45*J45*CPU_47[[#This Row],[Nº]]</f>
        <v>0</v>
      </c>
      <c r="AD45" s="144" t="str">
        <f t="shared" si="3"/>
        <v>Passeio de concreto</v>
      </c>
      <c r="AE45" s="188"/>
      <c r="AF45" s="180">
        <f t="shared" si="35"/>
        <v>0</v>
      </c>
      <c r="AG45" s="180">
        <f t="shared" si="17"/>
        <v>0</v>
      </c>
      <c r="AH45" s="181">
        <f t="shared" si="36"/>
        <v>0</v>
      </c>
      <c r="AI45" s="189"/>
      <c r="AJ45" s="90"/>
      <c r="AK45" s="90"/>
      <c r="AL45" s="183">
        <f t="shared" si="37"/>
        <v>0</v>
      </c>
      <c r="AM45" s="189"/>
      <c r="AN45" s="90"/>
      <c r="AO45" s="90"/>
      <c r="AP45" s="183">
        <f t="shared" si="23"/>
        <v>0</v>
      </c>
      <c r="AQ45" s="189"/>
      <c r="AR45" s="90"/>
      <c r="AS45" s="90"/>
      <c r="AT45" s="183">
        <f t="shared" si="24"/>
        <v>0</v>
      </c>
      <c r="AU45" s="189"/>
      <c r="AV45" s="90"/>
      <c r="AW45" s="90"/>
      <c r="AX45" s="183">
        <f t="shared" si="25"/>
        <v>0</v>
      </c>
      <c r="AY45" s="189"/>
      <c r="AZ45" s="90"/>
      <c r="BA45" s="90"/>
      <c r="BB45" s="183">
        <f t="shared" si="26"/>
        <v>0</v>
      </c>
      <c r="BC45" s="189"/>
      <c r="BD45" s="90"/>
      <c r="BE45" s="90"/>
      <c r="BF45" s="183">
        <f t="shared" si="27"/>
        <v>0</v>
      </c>
      <c r="BG45" s="189"/>
      <c r="BH45" s="90"/>
      <c r="BI45" s="90"/>
      <c r="BJ45" s="183">
        <f t="shared" si="28"/>
        <v>0</v>
      </c>
      <c r="BK45" s="189"/>
      <c r="BL45" s="90"/>
      <c r="BM45" s="90"/>
      <c r="BN45" s="183">
        <f t="shared" si="29"/>
        <v>0</v>
      </c>
      <c r="BO45" s="189"/>
      <c r="BP45" s="90"/>
      <c r="BQ45" s="90"/>
      <c r="BR45" s="183">
        <f t="shared" si="30"/>
        <v>0</v>
      </c>
      <c r="BS45" s="189"/>
      <c r="BT45" s="90"/>
      <c r="BU45" s="90"/>
      <c r="BV45" s="183">
        <f t="shared" si="31"/>
        <v>0</v>
      </c>
      <c r="BW45" s="189"/>
      <c r="BX45" s="90"/>
      <c r="BY45" s="90"/>
      <c r="BZ45" s="183">
        <f t="shared" si="32"/>
        <v>0</v>
      </c>
      <c r="CA45" s="189"/>
      <c r="CB45" s="90"/>
      <c r="CC45" s="90"/>
      <c r="CD45" s="183">
        <f t="shared" si="33"/>
        <v>0</v>
      </c>
    </row>
    <row r="46" spans="2:82" x14ac:dyDescent="0.3">
      <c r="B46" s="53"/>
      <c r="C46" s="53" t="str">
        <f t="shared" si="0"/>
        <v>CPU_Passeiodeconcreto</v>
      </c>
      <c r="D46" s="278">
        <f t="shared" si="1"/>
        <v>1</v>
      </c>
      <c r="E46" s="278">
        <f t="shared" si="2"/>
        <v>0</v>
      </c>
      <c r="F46" s="1"/>
      <c r="G46" s="28" t="str">
        <f>IFERROR(VLOOKUP(F46,Tabela7[[RECURSO]:[CUSTO]],2,FALSE),"")</f>
        <v/>
      </c>
      <c r="H46" s="92"/>
      <c r="I46" s="90"/>
      <c r="J46" s="45">
        <f>IFERROR(VLOOKUP(F46,Tabela7[[RECURSO]:[CUSTO]],3,FALSE),0)</f>
        <v>0</v>
      </c>
      <c r="K46" s="45">
        <f>I46*J46*CPU_47[[#This Row],[Nº]]</f>
        <v>0</v>
      </c>
      <c r="O46">
        <f>O52/0.08</f>
        <v>82.924999999999997</v>
      </c>
      <c r="AD46" s="144" t="str">
        <f t="shared" si="3"/>
        <v>Passeio de concreto</v>
      </c>
      <c r="AE46" s="188"/>
      <c r="AF46" s="180">
        <f t="shared" si="35"/>
        <v>0</v>
      </c>
      <c r="AG46" s="180">
        <f t="shared" si="17"/>
        <v>0</v>
      </c>
      <c r="AH46" s="181">
        <f t="shared" si="36"/>
        <v>0</v>
      </c>
      <c r="AI46" s="189"/>
      <c r="AJ46" s="90"/>
      <c r="AK46" s="90"/>
      <c r="AL46" s="183">
        <f t="shared" si="37"/>
        <v>0</v>
      </c>
      <c r="AM46" s="189"/>
      <c r="AN46" s="90"/>
      <c r="AO46" s="90"/>
      <c r="AP46" s="183">
        <f t="shared" si="23"/>
        <v>0</v>
      </c>
      <c r="AQ46" s="189"/>
      <c r="AR46" s="90"/>
      <c r="AS46" s="90"/>
      <c r="AT46" s="183">
        <f t="shared" si="24"/>
        <v>0</v>
      </c>
      <c r="AU46" s="189"/>
      <c r="AV46" s="90"/>
      <c r="AW46" s="90"/>
      <c r="AX46" s="183">
        <f t="shared" si="25"/>
        <v>0</v>
      </c>
      <c r="AY46" s="189"/>
      <c r="AZ46" s="90"/>
      <c r="BA46" s="90"/>
      <c r="BB46" s="183">
        <f t="shared" si="26"/>
        <v>0</v>
      </c>
      <c r="BC46" s="189"/>
      <c r="BD46" s="90"/>
      <c r="BE46" s="90"/>
      <c r="BF46" s="183">
        <f t="shared" si="27"/>
        <v>0</v>
      </c>
      <c r="BG46" s="189"/>
      <c r="BH46" s="90"/>
      <c r="BI46" s="90"/>
      <c r="BJ46" s="183">
        <f t="shared" si="28"/>
        <v>0</v>
      </c>
      <c r="BK46" s="189"/>
      <c r="BL46" s="90"/>
      <c r="BM46" s="90"/>
      <c r="BN46" s="183">
        <f t="shared" si="29"/>
        <v>0</v>
      </c>
      <c r="BO46" s="189"/>
      <c r="BP46" s="90"/>
      <c r="BQ46" s="90"/>
      <c r="BR46" s="183">
        <f t="shared" si="30"/>
        <v>0</v>
      </c>
      <c r="BS46" s="189"/>
      <c r="BT46" s="90"/>
      <c r="BU46" s="90"/>
      <c r="BV46" s="183">
        <f t="shared" si="31"/>
        <v>0</v>
      </c>
      <c r="BW46" s="189"/>
      <c r="BX46" s="90"/>
      <c r="BY46" s="90"/>
      <c r="BZ46" s="183">
        <f t="shared" si="32"/>
        <v>0</v>
      </c>
      <c r="CA46" s="189"/>
      <c r="CB46" s="90"/>
      <c r="CC46" s="90"/>
      <c r="CD46" s="183">
        <f t="shared" si="33"/>
        <v>0</v>
      </c>
    </row>
    <row r="47" spans="2:82" x14ac:dyDescent="0.3">
      <c r="B47" s="53"/>
      <c r="C47" s="53" t="str">
        <f t="shared" si="0"/>
        <v>CPU_Passeiodeconcreto</v>
      </c>
      <c r="D47" s="278">
        <f t="shared" si="1"/>
        <v>1</v>
      </c>
      <c r="E47" s="278">
        <f t="shared" si="2"/>
        <v>0</v>
      </c>
      <c r="F47" s="1"/>
      <c r="G47" s="28" t="str">
        <f>IFERROR(VLOOKUP(F47,Tabela7[[RECURSO]:[CUSTO]],2,FALSE),"")</f>
        <v/>
      </c>
      <c r="H47" s="92"/>
      <c r="I47" s="90"/>
      <c r="J47" s="45">
        <f>IFERROR(VLOOKUP(F47,Tabela7[[RECURSO]:[CUSTO]],3,FALSE),0)</f>
        <v>0</v>
      </c>
      <c r="K47" s="45">
        <f>I47*J47*CPU_47[[#This Row],[Nº]]</f>
        <v>0</v>
      </c>
      <c r="AD47" s="144" t="str">
        <f t="shared" si="3"/>
        <v>Passeio de concreto</v>
      </c>
      <c r="AE47" s="188"/>
      <c r="AF47" s="180">
        <f t="shared" si="35"/>
        <v>0</v>
      </c>
      <c r="AG47" s="180">
        <f t="shared" si="17"/>
        <v>0</v>
      </c>
      <c r="AH47" s="181">
        <f t="shared" si="36"/>
        <v>0</v>
      </c>
      <c r="AI47" s="189"/>
      <c r="AJ47" s="90"/>
      <c r="AK47" s="90"/>
      <c r="AL47" s="183">
        <f t="shared" si="37"/>
        <v>0</v>
      </c>
      <c r="AM47" s="189"/>
      <c r="AN47" s="90"/>
      <c r="AO47" s="90"/>
      <c r="AP47" s="183">
        <f t="shared" si="23"/>
        <v>0</v>
      </c>
      <c r="AQ47" s="189"/>
      <c r="AR47" s="90"/>
      <c r="AS47" s="90"/>
      <c r="AT47" s="183">
        <f t="shared" si="24"/>
        <v>0</v>
      </c>
      <c r="AU47" s="189"/>
      <c r="AV47" s="90"/>
      <c r="AW47" s="90"/>
      <c r="AX47" s="183">
        <f t="shared" si="25"/>
        <v>0</v>
      </c>
      <c r="AY47" s="189"/>
      <c r="AZ47" s="90"/>
      <c r="BA47" s="90"/>
      <c r="BB47" s="183">
        <f t="shared" si="26"/>
        <v>0</v>
      </c>
      <c r="BC47" s="189"/>
      <c r="BD47" s="90"/>
      <c r="BE47" s="90"/>
      <c r="BF47" s="183">
        <f t="shared" si="27"/>
        <v>0</v>
      </c>
      <c r="BG47" s="189"/>
      <c r="BH47" s="90"/>
      <c r="BI47" s="90"/>
      <c r="BJ47" s="183">
        <f t="shared" si="28"/>
        <v>0</v>
      </c>
      <c r="BK47" s="189"/>
      <c r="BL47" s="90"/>
      <c r="BM47" s="90"/>
      <c r="BN47" s="183">
        <f t="shared" si="29"/>
        <v>0</v>
      </c>
      <c r="BO47" s="189"/>
      <c r="BP47" s="90"/>
      <c r="BQ47" s="90"/>
      <c r="BR47" s="183">
        <f t="shared" si="30"/>
        <v>0</v>
      </c>
      <c r="BS47" s="189"/>
      <c r="BT47" s="90"/>
      <c r="BU47" s="90"/>
      <c r="BV47" s="183">
        <f t="shared" si="31"/>
        <v>0</v>
      </c>
      <c r="BW47" s="189"/>
      <c r="BX47" s="90"/>
      <c r="BY47" s="90"/>
      <c r="BZ47" s="183">
        <f t="shared" si="32"/>
        <v>0</v>
      </c>
      <c r="CA47" s="189"/>
      <c r="CB47" s="90"/>
      <c r="CC47" s="90"/>
      <c r="CD47" s="183">
        <f t="shared" si="33"/>
        <v>0</v>
      </c>
    </row>
    <row r="48" spans="2:82" x14ac:dyDescent="0.3">
      <c r="B48" s="53"/>
      <c r="C48" s="53" t="str">
        <f t="shared" si="0"/>
        <v>CPU_Passeiodeconcreto</v>
      </c>
      <c r="D48" s="278">
        <f t="shared" si="1"/>
        <v>1</v>
      </c>
      <c r="E48" s="278">
        <f t="shared" si="2"/>
        <v>0</v>
      </c>
      <c r="F48" s="1"/>
      <c r="G48" s="28" t="str">
        <f>IFERROR(VLOOKUP(F48,Tabela7[[RECURSO]:[CUSTO]],2,FALSE),"")</f>
        <v/>
      </c>
      <c r="H48" s="92"/>
      <c r="I48" s="90"/>
      <c r="J48" s="45">
        <f>IFERROR(VLOOKUP(F48,Tabela7[[RECURSO]:[CUSTO]],3,FALSE),0)</f>
        <v>0</v>
      </c>
      <c r="K48" s="45">
        <f>I48*J48*CPU_47[[#This Row],[Nº]]</f>
        <v>0</v>
      </c>
      <c r="AD48" s="144" t="str">
        <f t="shared" si="3"/>
        <v>Passeio de concreto</v>
      </c>
      <c r="AE48" s="188"/>
      <c r="AF48" s="180">
        <f t="shared" si="35"/>
        <v>0</v>
      </c>
      <c r="AG48" s="180">
        <f t="shared" si="17"/>
        <v>0</v>
      </c>
      <c r="AH48" s="181">
        <f t="shared" si="36"/>
        <v>0</v>
      </c>
      <c r="AI48" s="189"/>
      <c r="AJ48" s="90"/>
      <c r="AK48" s="90"/>
      <c r="AL48" s="183">
        <f t="shared" si="37"/>
        <v>0</v>
      </c>
      <c r="AM48" s="189"/>
      <c r="AN48" s="90"/>
      <c r="AO48" s="90"/>
      <c r="AP48" s="183">
        <f t="shared" si="23"/>
        <v>0</v>
      </c>
      <c r="AQ48" s="189"/>
      <c r="AR48" s="90"/>
      <c r="AS48" s="90"/>
      <c r="AT48" s="183">
        <f t="shared" si="24"/>
        <v>0</v>
      </c>
      <c r="AU48" s="189"/>
      <c r="AV48" s="90"/>
      <c r="AW48" s="90"/>
      <c r="AX48" s="183">
        <f t="shared" si="25"/>
        <v>0</v>
      </c>
      <c r="AY48" s="189"/>
      <c r="AZ48" s="90"/>
      <c r="BA48" s="90"/>
      <c r="BB48" s="183">
        <f t="shared" si="26"/>
        <v>0</v>
      </c>
      <c r="BC48" s="189"/>
      <c r="BD48" s="90"/>
      <c r="BE48" s="90"/>
      <c r="BF48" s="183">
        <f t="shared" si="27"/>
        <v>0</v>
      </c>
      <c r="BG48" s="189"/>
      <c r="BH48" s="90"/>
      <c r="BI48" s="90"/>
      <c r="BJ48" s="183">
        <f t="shared" si="28"/>
        <v>0</v>
      </c>
      <c r="BK48" s="189"/>
      <c r="BL48" s="90"/>
      <c r="BM48" s="90"/>
      <c r="BN48" s="183">
        <f t="shared" si="29"/>
        <v>0</v>
      </c>
      <c r="BO48" s="189"/>
      <c r="BP48" s="90"/>
      <c r="BQ48" s="90"/>
      <c r="BR48" s="183">
        <f t="shared" si="30"/>
        <v>0</v>
      </c>
      <c r="BS48" s="189"/>
      <c r="BT48" s="90"/>
      <c r="BU48" s="90"/>
      <c r="BV48" s="183">
        <f t="shared" si="31"/>
        <v>0</v>
      </c>
      <c r="BW48" s="189"/>
      <c r="BX48" s="90"/>
      <c r="BY48" s="90"/>
      <c r="BZ48" s="183">
        <f t="shared" si="32"/>
        <v>0</v>
      </c>
      <c r="CA48" s="189"/>
      <c r="CB48" s="90"/>
      <c r="CC48" s="90"/>
      <c r="CD48" s="183">
        <f t="shared" si="33"/>
        <v>0</v>
      </c>
    </row>
    <row r="49" spans="2:82" ht="15" thickBot="1" x14ac:dyDescent="0.35">
      <c r="B49" s="53"/>
      <c r="C49" s="53" t="str">
        <f t="shared" si="0"/>
        <v>CPU_Passeiodeconcreto</v>
      </c>
      <c r="D49" s="278">
        <f t="shared" si="1"/>
        <v>1</v>
      </c>
      <c r="E49" s="278">
        <f t="shared" si="2"/>
        <v>0</v>
      </c>
      <c r="F49" s="1"/>
      <c r="G49" s="28" t="str">
        <f>IFERROR(VLOOKUP(F49,Tabela7[[RECURSO]:[CUSTO]],2,FALSE),"")</f>
        <v/>
      </c>
      <c r="H49" s="92"/>
      <c r="I49" s="90"/>
      <c r="J49" s="45">
        <f>IFERROR(VLOOKUP(F49,Tabela7[[RECURSO]:[CUSTO]],3,FALSE),0)</f>
        <v>0</v>
      </c>
      <c r="K49" s="45">
        <f>I49*J49*CPU_47[[#This Row],[Nº]]</f>
        <v>0</v>
      </c>
      <c r="M49" s="83" t="s">
        <v>701</v>
      </c>
      <c r="N49" s="87" t="s">
        <v>702</v>
      </c>
      <c r="AD49" s="144" t="str">
        <f t="shared" si="3"/>
        <v>Passeio de concreto</v>
      </c>
      <c r="AE49" s="188"/>
      <c r="AF49" s="180">
        <f t="shared" si="35"/>
        <v>0</v>
      </c>
      <c r="AG49" s="180">
        <f t="shared" si="17"/>
        <v>0</v>
      </c>
      <c r="AH49" s="181">
        <f t="shared" si="36"/>
        <v>0</v>
      </c>
      <c r="AI49" s="189"/>
      <c r="AJ49" s="90"/>
      <c r="AK49" s="90"/>
      <c r="AL49" s="183">
        <f t="shared" si="37"/>
        <v>0</v>
      </c>
      <c r="AM49" s="189"/>
      <c r="AN49" s="90"/>
      <c r="AO49" s="90"/>
      <c r="AP49" s="183">
        <f t="shared" si="23"/>
        <v>0</v>
      </c>
      <c r="AQ49" s="189"/>
      <c r="AR49" s="90"/>
      <c r="AS49" s="90"/>
      <c r="AT49" s="183">
        <f t="shared" si="24"/>
        <v>0</v>
      </c>
      <c r="AU49" s="189"/>
      <c r="AV49" s="90"/>
      <c r="AW49" s="90"/>
      <c r="AX49" s="183">
        <f t="shared" si="25"/>
        <v>0</v>
      </c>
      <c r="AY49" s="189"/>
      <c r="AZ49" s="90"/>
      <c r="BA49" s="90"/>
      <c r="BB49" s="183">
        <f t="shared" si="26"/>
        <v>0</v>
      </c>
      <c r="BC49" s="189"/>
      <c r="BD49" s="90"/>
      <c r="BE49" s="90"/>
      <c r="BF49" s="183">
        <f t="shared" si="27"/>
        <v>0</v>
      </c>
      <c r="BG49" s="189"/>
      <c r="BH49" s="90"/>
      <c r="BI49" s="90"/>
      <c r="BJ49" s="183">
        <f t="shared" si="28"/>
        <v>0</v>
      </c>
      <c r="BK49" s="189"/>
      <c r="BL49" s="90"/>
      <c r="BM49" s="90"/>
      <c r="BN49" s="183">
        <f t="shared" si="29"/>
        <v>0</v>
      </c>
      <c r="BO49" s="189"/>
      <c r="BP49" s="90"/>
      <c r="BQ49" s="90"/>
      <c r="BR49" s="183">
        <f t="shared" si="30"/>
        <v>0</v>
      </c>
      <c r="BS49" s="189"/>
      <c r="BT49" s="90"/>
      <c r="BU49" s="90"/>
      <c r="BV49" s="183">
        <f t="shared" si="31"/>
        <v>0</v>
      </c>
      <c r="BW49" s="189"/>
      <c r="BX49" s="90"/>
      <c r="BY49" s="90"/>
      <c r="BZ49" s="183">
        <f t="shared" si="32"/>
        <v>0</v>
      </c>
      <c r="CA49" s="189"/>
      <c r="CB49" s="90"/>
      <c r="CC49" s="90"/>
      <c r="CD49" s="183">
        <f t="shared" si="33"/>
        <v>0</v>
      </c>
    </row>
    <row r="50" spans="2:82" x14ac:dyDescent="0.3">
      <c r="B50" s="52" t="s">
        <v>693</v>
      </c>
      <c r="C50" s="52" t="str">
        <f t="shared" si="0"/>
        <v>CPU_Passeiodeconcreto</v>
      </c>
      <c r="D50" s="277">
        <f t="shared" si="1"/>
        <v>1</v>
      </c>
      <c r="E50" s="277">
        <f t="shared" si="2"/>
        <v>0</v>
      </c>
      <c r="F50" s="37"/>
      <c r="G50" s="38"/>
      <c r="H50" s="38"/>
      <c r="I50" s="37"/>
      <c r="J50" s="40">
        <f>IFERROR(K50/$B$6,0)</f>
        <v>4250.6866666666674</v>
      </c>
      <c r="K50" s="40">
        <f>SUM(K51:K62)</f>
        <v>4250.6866666666674</v>
      </c>
      <c r="M50" s="84" t="str">
        <f>"Consumo por "&amp;J3</f>
        <v>Consumo por UNID</v>
      </c>
      <c r="N50" s="89"/>
      <c r="O50" s="339" t="s">
        <v>771</v>
      </c>
      <c r="P50" s="340" t="s">
        <v>772</v>
      </c>
      <c r="Q50" s="340" t="s">
        <v>773</v>
      </c>
      <c r="R50" s="340" t="s">
        <v>774</v>
      </c>
      <c r="S50" s="340" t="s">
        <v>775</v>
      </c>
      <c r="T50" s="340" t="s">
        <v>776</v>
      </c>
      <c r="U50" s="340" t="s">
        <v>777</v>
      </c>
      <c r="V50" s="340" t="s">
        <v>778</v>
      </c>
      <c r="W50" s="341" t="s">
        <v>779</v>
      </c>
      <c r="AD50" s="144" t="str">
        <f t="shared" si="3"/>
        <v>Passeio de concreto</v>
      </c>
      <c r="AE50" s="190"/>
      <c r="AF50" s="191"/>
      <c r="AG50" s="40">
        <f>IFERROR(AH50/AF$3,0)</f>
        <v>0</v>
      </c>
      <c r="AH50" s="185">
        <f>SUM(AH51:AH62)</f>
        <v>0</v>
      </c>
      <c r="AI50" s="190"/>
      <c r="AJ50" s="37"/>
      <c r="AK50" s="40">
        <f>IFERROR(AL50/AJ$3,0)</f>
        <v>0</v>
      </c>
      <c r="AL50" s="185">
        <f>SUM(AL51:AL62)</f>
        <v>0</v>
      </c>
      <c r="AM50" s="190"/>
      <c r="AN50" s="37"/>
      <c r="AO50" s="40">
        <f>IFERROR(AP50/AN$3,0)</f>
        <v>0</v>
      </c>
      <c r="AP50" s="185">
        <f>SUM(AP51:AP62)</f>
        <v>0</v>
      </c>
      <c r="AQ50" s="190"/>
      <c r="AR50" s="37"/>
      <c r="AS50" s="40">
        <f>IFERROR(AT50/AR$3,0)</f>
        <v>0</v>
      </c>
      <c r="AT50" s="185">
        <f>SUM(AT51:AT62)</f>
        <v>0</v>
      </c>
      <c r="AU50" s="190"/>
      <c r="AV50" s="37"/>
      <c r="AW50" s="40">
        <f>IFERROR(AX50/AV$3,0)</f>
        <v>0</v>
      </c>
      <c r="AX50" s="185">
        <f>SUM(AX51:AX62)</f>
        <v>0</v>
      </c>
      <c r="AY50" s="190"/>
      <c r="AZ50" s="37"/>
      <c r="BA50" s="40">
        <f>IFERROR(BB50/AZ$3,0)</f>
        <v>0</v>
      </c>
      <c r="BB50" s="185">
        <f>SUM(BB51:BB62)</f>
        <v>0</v>
      </c>
      <c r="BC50" s="190"/>
      <c r="BD50" s="37"/>
      <c r="BE50" s="40">
        <f>IFERROR(BF50/BD$3,0)</f>
        <v>0</v>
      </c>
      <c r="BF50" s="185">
        <f>SUM(BF51:BF62)</f>
        <v>0</v>
      </c>
      <c r="BG50" s="190"/>
      <c r="BH50" s="37"/>
      <c r="BI50" s="40">
        <f>IFERROR(BJ50/BH$3,0)</f>
        <v>0</v>
      </c>
      <c r="BJ50" s="185">
        <f>SUM(BJ51:BJ62)</f>
        <v>0</v>
      </c>
      <c r="BK50" s="190"/>
      <c r="BL50" s="37"/>
      <c r="BM50" s="40">
        <f>IFERROR(BN50/BL$3,0)</f>
        <v>0</v>
      </c>
      <c r="BN50" s="185">
        <f>SUM(BN51:BN62)</f>
        <v>0</v>
      </c>
      <c r="BO50" s="190"/>
      <c r="BP50" s="37"/>
      <c r="BQ50" s="40">
        <f>IFERROR(BR50/BP$3,0)</f>
        <v>0</v>
      </c>
      <c r="BR50" s="185">
        <f>SUM(BR51:BR62)</f>
        <v>0</v>
      </c>
      <c r="BS50" s="190"/>
      <c r="BT50" s="37"/>
      <c r="BU50" s="40">
        <f>IFERROR(BV50/BT$3,0)</f>
        <v>0</v>
      </c>
      <c r="BV50" s="185">
        <f>SUM(BV51:BV62)</f>
        <v>0</v>
      </c>
      <c r="BW50" s="190"/>
      <c r="BX50" s="37"/>
      <c r="BY50" s="40">
        <f>IFERROR(BZ50/BX$3,0)</f>
        <v>0</v>
      </c>
      <c r="BZ50" s="185">
        <f>SUM(BZ51:BZ62)</f>
        <v>0</v>
      </c>
      <c r="CA50" s="190"/>
      <c r="CB50" s="37"/>
      <c r="CC50" s="40">
        <f>IFERROR(CD50/CB$3,0)</f>
        <v>0</v>
      </c>
      <c r="CD50" s="185">
        <f>SUM(CD51:CD62)</f>
        <v>0</v>
      </c>
    </row>
    <row r="51" spans="2:82" x14ac:dyDescent="0.3">
      <c r="B51" s="53"/>
      <c r="C51" s="53" t="str">
        <f t="shared" si="0"/>
        <v>CPU_Passeiodeconcreto</v>
      </c>
      <c r="D51" s="278">
        <f t="shared" si="1"/>
        <v>1</v>
      </c>
      <c r="E51" s="278">
        <f t="shared" si="2"/>
        <v>0</v>
      </c>
      <c r="F51" s="1" t="s">
        <v>782</v>
      </c>
      <c r="G51" s="28" t="str">
        <f>IFERROR(VLOOKUP(F51,Tabela7[[RECURSO]:[CUSTO]],2,FALSE),"")</f>
        <v>M3</v>
      </c>
      <c r="I51" s="90">
        <f>IFERROR(M51*$B$6,0)</f>
        <v>5.2472888888888898</v>
      </c>
      <c r="J51" s="45">
        <f>IFERROR(VLOOKUP(F51,Tabela7[[RECURSO]:[CUSTO]],3,FALSE),0)</f>
        <v>600</v>
      </c>
      <c r="K51" s="45">
        <f>I51*J51</f>
        <v>3148.3733333333339</v>
      </c>
      <c r="M51" s="85">
        <f>SUM(O51:W51)/9*0.08</f>
        <v>5.2472888888888898</v>
      </c>
      <c r="N51" s="88"/>
      <c r="O51" s="31">
        <v>45</v>
      </c>
      <c r="P51" s="1">
        <v>45</v>
      </c>
      <c r="Q51" s="1">
        <v>71.22</v>
      </c>
      <c r="R51" s="1">
        <v>45</v>
      </c>
      <c r="S51" s="1">
        <v>99.22</v>
      </c>
      <c r="T51" s="1">
        <v>71.22</v>
      </c>
      <c r="U51" s="1">
        <v>71.22</v>
      </c>
      <c r="V51" s="1">
        <v>71.22</v>
      </c>
      <c r="W51" s="342">
        <v>71.22</v>
      </c>
      <c r="AD51" s="144" t="str">
        <f t="shared" si="3"/>
        <v>Passeio de concreto</v>
      </c>
      <c r="AE51" s="192"/>
      <c r="AF51" s="180">
        <f t="shared" ref="AF51:AF62" si="38">AJ51+AN51+AR51+AV51+AZ51+BD51+BH51+BL51+BP51+BT51+BX51+CB51</f>
        <v>0</v>
      </c>
      <c r="AG51" s="180">
        <f t="shared" si="17"/>
        <v>0</v>
      </c>
      <c r="AH51" s="181">
        <f t="shared" ref="AH51:AH62" si="39">AL51+AP51+AT51+AX51+BB51+BF51+BJ51+BN51+BR51+BV51+BZ51+CD51</f>
        <v>0</v>
      </c>
      <c r="AI51" s="193"/>
      <c r="AJ51" s="90"/>
      <c r="AK51" s="90"/>
      <c r="AL51" s="183">
        <f t="shared" ref="AL51:AL62" si="40">AJ51*AK51</f>
        <v>0</v>
      </c>
      <c r="AM51" s="193"/>
      <c r="AN51" s="90"/>
      <c r="AO51" s="90"/>
      <c r="AP51" s="183">
        <f t="shared" si="23"/>
        <v>0</v>
      </c>
      <c r="AQ51" s="193"/>
      <c r="AR51" s="90"/>
      <c r="AS51" s="90"/>
      <c r="AT51" s="183">
        <f t="shared" si="24"/>
        <v>0</v>
      </c>
      <c r="AU51" s="193"/>
      <c r="AV51" s="90"/>
      <c r="AW51" s="90"/>
      <c r="AX51" s="183">
        <f t="shared" si="25"/>
        <v>0</v>
      </c>
      <c r="AY51" s="193"/>
      <c r="AZ51" s="90"/>
      <c r="BA51" s="90"/>
      <c r="BB51" s="183">
        <f t="shared" si="26"/>
        <v>0</v>
      </c>
      <c r="BC51" s="193"/>
      <c r="BD51" s="90"/>
      <c r="BE51" s="90"/>
      <c r="BF51" s="183">
        <f t="shared" si="27"/>
        <v>0</v>
      </c>
      <c r="BG51" s="193"/>
      <c r="BH51" s="90"/>
      <c r="BI51" s="90"/>
      <c r="BJ51" s="183">
        <f t="shared" si="28"/>
        <v>0</v>
      </c>
      <c r="BK51" s="193"/>
      <c r="BL51" s="90"/>
      <c r="BM51" s="90"/>
      <c r="BN51" s="183">
        <f t="shared" si="29"/>
        <v>0</v>
      </c>
      <c r="BO51" s="193"/>
      <c r="BP51" s="90"/>
      <c r="BQ51" s="90"/>
      <c r="BR51" s="183">
        <f t="shared" si="30"/>
        <v>0</v>
      </c>
      <c r="BS51" s="193"/>
      <c r="BT51" s="90"/>
      <c r="BU51" s="90"/>
      <c r="BV51" s="183">
        <f t="shared" si="31"/>
        <v>0</v>
      </c>
      <c r="BW51" s="193"/>
      <c r="BX51" s="90"/>
      <c r="BY51" s="90"/>
      <c r="BZ51" s="183">
        <f t="shared" si="32"/>
        <v>0</v>
      </c>
      <c r="CA51" s="193"/>
      <c r="CB51" s="90"/>
      <c r="CC51" s="90"/>
      <c r="CD51" s="183">
        <f t="shared" si="33"/>
        <v>0</v>
      </c>
    </row>
    <row r="52" spans="2:82" x14ac:dyDescent="0.3">
      <c r="B52" s="53"/>
      <c r="C52" s="53" t="str">
        <f t="shared" si="0"/>
        <v>CPU_Passeiodeconcreto</v>
      </c>
      <c r="D52" s="278">
        <f t="shared" si="1"/>
        <v>1</v>
      </c>
      <c r="E52" s="278">
        <f t="shared" si="2"/>
        <v>0</v>
      </c>
      <c r="F52" s="1" t="s">
        <v>787</v>
      </c>
      <c r="G52" s="28" t="str">
        <f>IFERROR(VLOOKUP(F52,Tabela7[[RECURSO]:[CUSTO]],2,FALSE),"")</f>
        <v>M</v>
      </c>
      <c r="I52" s="90">
        <f t="shared" ref="I52:I62" si="41">IFERROR(M52*$B$6,0)</f>
        <v>91.859444444444449</v>
      </c>
      <c r="J52" s="45">
        <f>IFERROR(VLOOKUP(F52,Tabela7[[RECURSO]:[CUSTO]],3,FALSE),0)</f>
        <v>12</v>
      </c>
      <c r="K52" s="45">
        <f t="shared" ref="K52:K62" si="42">I52*J52</f>
        <v>1102.3133333333335</v>
      </c>
      <c r="M52" s="85">
        <f>SUM(O52:W52)/0.08/9</f>
        <v>91.859444444444449</v>
      </c>
      <c r="N52" s="88"/>
      <c r="O52" s="31">
        <v>6.6340000000000003</v>
      </c>
      <c r="P52" s="1">
        <v>5.3072000000000008</v>
      </c>
      <c r="Q52" s="1">
        <v>7.6828000000000003</v>
      </c>
      <c r="R52" s="1">
        <v>7.6828000000000003</v>
      </c>
      <c r="S52" s="1">
        <v>8.1007999999999996</v>
      </c>
      <c r="T52" s="1">
        <v>7.6828000000000003</v>
      </c>
      <c r="U52" s="1">
        <v>7.6828000000000003</v>
      </c>
      <c r="V52" s="1">
        <v>7.6828000000000003</v>
      </c>
      <c r="W52" s="342">
        <v>7.6828000000000003</v>
      </c>
      <c r="AD52" s="144" t="str">
        <f t="shared" si="3"/>
        <v>Passeio de concreto</v>
      </c>
      <c r="AE52" s="192"/>
      <c r="AF52" s="180">
        <f t="shared" si="38"/>
        <v>0</v>
      </c>
      <c r="AG52" s="180">
        <f t="shared" si="17"/>
        <v>0</v>
      </c>
      <c r="AH52" s="181">
        <f t="shared" si="39"/>
        <v>0</v>
      </c>
      <c r="AI52" s="193"/>
      <c r="AJ52" s="90"/>
      <c r="AK52" s="90"/>
      <c r="AL52" s="183">
        <f t="shared" si="40"/>
        <v>0</v>
      </c>
      <c r="AM52" s="193"/>
      <c r="AN52" s="90"/>
      <c r="AO52" s="90"/>
      <c r="AP52" s="183">
        <f t="shared" si="23"/>
        <v>0</v>
      </c>
      <c r="AQ52" s="193"/>
      <c r="AR52" s="90"/>
      <c r="AS52" s="90"/>
      <c r="AT52" s="183">
        <f t="shared" si="24"/>
        <v>0</v>
      </c>
      <c r="AU52" s="193"/>
      <c r="AV52" s="90"/>
      <c r="AW52" s="90"/>
      <c r="AX52" s="183">
        <f t="shared" si="25"/>
        <v>0</v>
      </c>
      <c r="AY52" s="193"/>
      <c r="AZ52" s="90"/>
      <c r="BA52" s="90"/>
      <c r="BB52" s="183">
        <f t="shared" si="26"/>
        <v>0</v>
      </c>
      <c r="BC52" s="193"/>
      <c r="BD52" s="90"/>
      <c r="BE52" s="90"/>
      <c r="BF52" s="183">
        <f t="shared" si="27"/>
        <v>0</v>
      </c>
      <c r="BG52" s="193"/>
      <c r="BH52" s="90"/>
      <c r="BI52" s="90"/>
      <c r="BJ52" s="183">
        <f t="shared" si="28"/>
        <v>0</v>
      </c>
      <c r="BK52" s="193"/>
      <c r="BL52" s="90"/>
      <c r="BM52" s="90"/>
      <c r="BN52" s="183">
        <f t="shared" si="29"/>
        <v>0</v>
      </c>
      <c r="BO52" s="193"/>
      <c r="BP52" s="90"/>
      <c r="BQ52" s="90"/>
      <c r="BR52" s="183">
        <f t="shared" si="30"/>
        <v>0</v>
      </c>
      <c r="BS52" s="193"/>
      <c r="BT52" s="90"/>
      <c r="BU52" s="90"/>
      <c r="BV52" s="183">
        <f t="shared" si="31"/>
        <v>0</v>
      </c>
      <c r="BW52" s="193"/>
      <c r="BX52" s="90"/>
      <c r="BY52" s="90"/>
      <c r="BZ52" s="183">
        <f t="shared" si="32"/>
        <v>0</v>
      </c>
      <c r="CA52" s="193"/>
      <c r="CB52" s="90"/>
      <c r="CC52" s="90"/>
      <c r="CD52" s="183">
        <f t="shared" si="33"/>
        <v>0</v>
      </c>
    </row>
    <row r="53" spans="2:82" x14ac:dyDescent="0.3">
      <c r="B53" s="53"/>
      <c r="C53" s="53" t="str">
        <f t="shared" si="0"/>
        <v>CPU_Passeiodeconcreto</v>
      </c>
      <c r="D53" s="278">
        <f t="shared" si="1"/>
        <v>1</v>
      </c>
      <c r="E53" s="278">
        <f t="shared" si="2"/>
        <v>0</v>
      </c>
      <c r="F53" s="1"/>
      <c r="G53" s="28" t="str">
        <f>IFERROR(VLOOKUP(F53,Tabela7[[RECURSO]:[CUSTO]],2,FALSE),"")</f>
        <v/>
      </c>
      <c r="I53" s="90">
        <f t="shared" si="41"/>
        <v>0</v>
      </c>
      <c r="J53" s="45">
        <f>IFERROR(VLOOKUP(F53,Tabela7[[RECURSO]:[CUSTO]],3,FALSE),0)</f>
        <v>0</v>
      </c>
      <c r="K53" s="45">
        <f t="shared" si="42"/>
        <v>0</v>
      </c>
      <c r="M53" s="85"/>
      <c r="N53" s="88"/>
      <c r="O53" s="31"/>
      <c r="P53" s="1"/>
      <c r="Q53" s="1"/>
      <c r="R53" s="1"/>
      <c r="S53" s="1"/>
      <c r="T53" s="1"/>
      <c r="U53" s="1"/>
      <c r="V53" s="1"/>
      <c r="W53" s="342"/>
      <c r="AD53" s="144" t="str">
        <f t="shared" si="3"/>
        <v>Passeio de concreto</v>
      </c>
      <c r="AE53" s="192"/>
      <c r="AF53" s="180">
        <f t="shared" si="38"/>
        <v>0</v>
      </c>
      <c r="AG53" s="180">
        <f t="shared" si="17"/>
        <v>0</v>
      </c>
      <c r="AH53" s="181">
        <f t="shared" si="39"/>
        <v>0</v>
      </c>
      <c r="AI53" s="193"/>
      <c r="AJ53" s="90"/>
      <c r="AK53" s="90"/>
      <c r="AL53" s="183">
        <f t="shared" si="40"/>
        <v>0</v>
      </c>
      <c r="AM53" s="193"/>
      <c r="AN53" s="90"/>
      <c r="AO53" s="90"/>
      <c r="AP53" s="183">
        <f t="shared" si="23"/>
        <v>0</v>
      </c>
      <c r="AQ53" s="193"/>
      <c r="AR53" s="90"/>
      <c r="AS53" s="90"/>
      <c r="AT53" s="183">
        <f t="shared" si="24"/>
        <v>0</v>
      </c>
      <c r="AU53" s="193"/>
      <c r="AV53" s="90"/>
      <c r="AW53" s="90"/>
      <c r="AX53" s="183">
        <f t="shared" si="25"/>
        <v>0</v>
      </c>
      <c r="AY53" s="193"/>
      <c r="AZ53" s="90"/>
      <c r="BA53" s="90"/>
      <c r="BB53" s="183">
        <f t="shared" si="26"/>
        <v>0</v>
      </c>
      <c r="BC53" s="193"/>
      <c r="BD53" s="90"/>
      <c r="BE53" s="90"/>
      <c r="BF53" s="183">
        <f t="shared" si="27"/>
        <v>0</v>
      </c>
      <c r="BG53" s="193"/>
      <c r="BH53" s="90"/>
      <c r="BI53" s="90"/>
      <c r="BJ53" s="183">
        <f t="shared" si="28"/>
        <v>0</v>
      </c>
      <c r="BK53" s="193"/>
      <c r="BL53" s="90"/>
      <c r="BM53" s="90"/>
      <c r="BN53" s="183">
        <f t="shared" si="29"/>
        <v>0</v>
      </c>
      <c r="BO53" s="193"/>
      <c r="BP53" s="90"/>
      <c r="BQ53" s="90"/>
      <c r="BR53" s="183">
        <f t="shared" si="30"/>
        <v>0</v>
      </c>
      <c r="BS53" s="193"/>
      <c r="BT53" s="90"/>
      <c r="BU53" s="90"/>
      <c r="BV53" s="183">
        <f t="shared" si="31"/>
        <v>0</v>
      </c>
      <c r="BW53" s="193"/>
      <c r="BX53" s="90"/>
      <c r="BY53" s="90"/>
      <c r="BZ53" s="183">
        <f t="shared" si="32"/>
        <v>0</v>
      </c>
      <c r="CA53" s="193"/>
      <c r="CB53" s="90"/>
      <c r="CC53" s="90"/>
      <c r="CD53" s="183">
        <f t="shared" si="33"/>
        <v>0</v>
      </c>
    </row>
    <row r="54" spans="2:82" x14ac:dyDescent="0.3">
      <c r="B54" s="53"/>
      <c r="C54" s="53" t="str">
        <f t="shared" si="0"/>
        <v>CPU_Passeiodeconcreto</v>
      </c>
      <c r="D54" s="278">
        <f t="shared" si="1"/>
        <v>1</v>
      </c>
      <c r="E54" s="278">
        <f t="shared" si="2"/>
        <v>0</v>
      </c>
      <c r="F54" s="1"/>
      <c r="G54" s="28" t="str">
        <f>IFERROR(VLOOKUP(F54,Tabela7[[RECURSO]:[CUSTO]],2,FALSE),"")</f>
        <v/>
      </c>
      <c r="I54" s="90">
        <f t="shared" si="41"/>
        <v>0</v>
      </c>
      <c r="J54" s="45">
        <f>IFERROR(VLOOKUP(F54,Tabela7[[RECURSO]:[CUSTO]],3,FALSE),0)</f>
        <v>0</v>
      </c>
      <c r="K54" s="45">
        <f>I54*J54</f>
        <v>0</v>
      </c>
      <c r="M54" s="85"/>
      <c r="N54" s="88"/>
      <c r="O54" s="31"/>
      <c r="P54" s="1"/>
      <c r="Q54" s="1"/>
      <c r="R54" s="1"/>
      <c r="S54" s="1"/>
      <c r="T54" s="1"/>
      <c r="U54" s="1"/>
      <c r="V54" s="1"/>
      <c r="W54" s="342"/>
      <c r="AD54" s="144" t="str">
        <f>$B$3</f>
        <v>Passeio de concreto</v>
      </c>
      <c r="AE54" s="192"/>
      <c r="AF54" s="180">
        <f t="shared" si="38"/>
        <v>0</v>
      </c>
      <c r="AG54" s="180">
        <f t="shared" si="17"/>
        <v>0</v>
      </c>
      <c r="AH54" s="181">
        <f t="shared" si="39"/>
        <v>0</v>
      </c>
      <c r="AI54" s="193"/>
      <c r="AJ54" s="90"/>
      <c r="AK54" s="90"/>
      <c r="AL54" s="183">
        <f t="shared" si="40"/>
        <v>0</v>
      </c>
      <c r="AM54" s="193"/>
      <c r="AN54" s="90"/>
      <c r="AO54" s="90"/>
      <c r="AP54" s="183">
        <f t="shared" si="23"/>
        <v>0</v>
      </c>
      <c r="AQ54" s="193"/>
      <c r="AR54" s="90"/>
      <c r="AS54" s="90"/>
      <c r="AT54" s="183">
        <f t="shared" si="24"/>
        <v>0</v>
      </c>
      <c r="AU54" s="193"/>
      <c r="AV54" s="90"/>
      <c r="AW54" s="90"/>
      <c r="AX54" s="183">
        <f t="shared" si="25"/>
        <v>0</v>
      </c>
      <c r="AY54" s="193"/>
      <c r="AZ54" s="90"/>
      <c r="BA54" s="90"/>
      <c r="BB54" s="183">
        <f t="shared" si="26"/>
        <v>0</v>
      </c>
      <c r="BC54" s="193"/>
      <c r="BD54" s="90"/>
      <c r="BE54" s="90"/>
      <c r="BF54" s="183">
        <f t="shared" si="27"/>
        <v>0</v>
      </c>
      <c r="BG54" s="193"/>
      <c r="BH54" s="90"/>
      <c r="BI54" s="90"/>
      <c r="BJ54" s="183">
        <f t="shared" si="28"/>
        <v>0</v>
      </c>
      <c r="BK54" s="193"/>
      <c r="BL54" s="90"/>
      <c r="BM54" s="90"/>
      <c r="BN54" s="183">
        <f t="shared" si="29"/>
        <v>0</v>
      </c>
      <c r="BO54" s="193"/>
      <c r="BP54" s="90"/>
      <c r="BQ54" s="90"/>
      <c r="BR54" s="183">
        <f t="shared" si="30"/>
        <v>0</v>
      </c>
      <c r="BS54" s="193"/>
      <c r="BT54" s="90"/>
      <c r="BU54" s="90"/>
      <c r="BV54" s="183">
        <f t="shared" si="31"/>
        <v>0</v>
      </c>
      <c r="BW54" s="193"/>
      <c r="BX54" s="90"/>
      <c r="BY54" s="90"/>
      <c r="BZ54" s="183">
        <f t="shared" si="32"/>
        <v>0</v>
      </c>
      <c r="CA54" s="193"/>
      <c r="CB54" s="90"/>
      <c r="CC54" s="90"/>
      <c r="CD54" s="183">
        <f t="shared" si="33"/>
        <v>0</v>
      </c>
    </row>
    <row r="55" spans="2:82" x14ac:dyDescent="0.3">
      <c r="B55" s="53"/>
      <c r="C55" s="53" t="str">
        <f t="shared" si="0"/>
        <v>CPU_Passeiodeconcreto</v>
      </c>
      <c r="D55" s="278">
        <f t="shared" si="1"/>
        <v>1</v>
      </c>
      <c r="E55" s="278">
        <f t="shared" si="2"/>
        <v>0</v>
      </c>
      <c r="F55" s="1"/>
      <c r="G55" s="28" t="str">
        <f>IFERROR(VLOOKUP(F55,Tabela7[[RECURSO]:[CUSTO]],2,FALSE),"")</f>
        <v/>
      </c>
      <c r="I55" s="90">
        <f t="shared" si="41"/>
        <v>0</v>
      </c>
      <c r="J55" s="45">
        <f>IFERROR(VLOOKUP(F55,Tabela7[[RECURSO]:[CUSTO]],3,FALSE),0)</f>
        <v>0</v>
      </c>
      <c r="K55" s="45">
        <f t="shared" si="42"/>
        <v>0</v>
      </c>
      <c r="M55" s="85"/>
      <c r="N55" s="88"/>
      <c r="O55" s="31"/>
      <c r="P55" s="1"/>
      <c r="Q55" s="1"/>
      <c r="R55" s="1"/>
      <c r="S55" s="1"/>
      <c r="T55" s="1"/>
      <c r="U55" s="1"/>
      <c r="V55" s="1"/>
      <c r="W55" s="342"/>
      <c r="AD55" s="144" t="str">
        <f t="shared" si="3"/>
        <v>Passeio de concreto</v>
      </c>
      <c r="AE55" s="192"/>
      <c r="AF55" s="180">
        <f t="shared" si="38"/>
        <v>0</v>
      </c>
      <c r="AG55" s="180">
        <f t="shared" si="17"/>
        <v>0</v>
      </c>
      <c r="AH55" s="181">
        <f t="shared" si="39"/>
        <v>0</v>
      </c>
      <c r="AI55" s="193"/>
      <c r="AJ55" s="90"/>
      <c r="AK55" s="90"/>
      <c r="AL55" s="183">
        <f t="shared" si="40"/>
        <v>0</v>
      </c>
      <c r="AM55" s="193"/>
      <c r="AN55" s="90"/>
      <c r="AO55" s="90"/>
      <c r="AP55" s="183">
        <f t="shared" si="23"/>
        <v>0</v>
      </c>
      <c r="AQ55" s="193"/>
      <c r="AR55" s="90"/>
      <c r="AS55" s="90"/>
      <c r="AT55" s="183">
        <f t="shared" si="24"/>
        <v>0</v>
      </c>
      <c r="AU55" s="193"/>
      <c r="AV55" s="90"/>
      <c r="AW55" s="90"/>
      <c r="AX55" s="183">
        <f t="shared" si="25"/>
        <v>0</v>
      </c>
      <c r="AY55" s="193"/>
      <c r="AZ55" s="90"/>
      <c r="BA55" s="90"/>
      <c r="BB55" s="183">
        <f t="shared" si="26"/>
        <v>0</v>
      </c>
      <c r="BC55" s="193"/>
      <c r="BD55" s="90"/>
      <c r="BE55" s="90"/>
      <c r="BF55" s="183">
        <f t="shared" si="27"/>
        <v>0</v>
      </c>
      <c r="BG55" s="193"/>
      <c r="BH55" s="90"/>
      <c r="BI55" s="90"/>
      <c r="BJ55" s="183">
        <f t="shared" si="28"/>
        <v>0</v>
      </c>
      <c r="BK55" s="193"/>
      <c r="BL55" s="90"/>
      <c r="BM55" s="90"/>
      <c r="BN55" s="183">
        <f t="shared" si="29"/>
        <v>0</v>
      </c>
      <c r="BO55" s="193"/>
      <c r="BP55" s="90"/>
      <c r="BQ55" s="90"/>
      <c r="BR55" s="183">
        <f t="shared" si="30"/>
        <v>0</v>
      </c>
      <c r="BS55" s="193"/>
      <c r="BT55" s="90"/>
      <c r="BU55" s="90"/>
      <c r="BV55" s="183">
        <f t="shared" si="31"/>
        <v>0</v>
      </c>
      <c r="BW55" s="193"/>
      <c r="BX55" s="90"/>
      <c r="BY55" s="90"/>
      <c r="BZ55" s="183">
        <f t="shared" si="32"/>
        <v>0</v>
      </c>
      <c r="CA55" s="193"/>
      <c r="CB55" s="90"/>
      <c r="CC55" s="90"/>
      <c r="CD55" s="183">
        <f t="shared" si="33"/>
        <v>0</v>
      </c>
    </row>
    <row r="56" spans="2:82" x14ac:dyDescent="0.3">
      <c r="B56" s="53"/>
      <c r="C56" s="53" t="str">
        <f t="shared" si="0"/>
        <v>CPU_Passeiodeconcreto</v>
      </c>
      <c r="D56" s="278">
        <f t="shared" si="1"/>
        <v>1</v>
      </c>
      <c r="E56" s="278">
        <f t="shared" si="2"/>
        <v>0</v>
      </c>
      <c r="F56" s="1"/>
      <c r="G56" s="28" t="str">
        <f>IFERROR(VLOOKUP(F56,Tabela7[[RECURSO]:[CUSTO]],2,FALSE),"")</f>
        <v/>
      </c>
      <c r="I56" s="90">
        <f t="shared" si="41"/>
        <v>0</v>
      </c>
      <c r="J56" s="45">
        <f>IFERROR(VLOOKUP(F56,Tabela7[[RECURSO]:[CUSTO]],3,FALSE),0)</f>
        <v>0</v>
      </c>
      <c r="K56" s="45">
        <f t="shared" si="42"/>
        <v>0</v>
      </c>
      <c r="M56" s="85"/>
      <c r="N56" s="88"/>
      <c r="O56" s="31"/>
      <c r="P56" s="1"/>
      <c r="Q56" s="1"/>
      <c r="R56" s="1"/>
      <c r="S56" s="1"/>
      <c r="T56" s="1"/>
      <c r="U56" s="1"/>
      <c r="V56" s="1"/>
      <c r="W56" s="342"/>
      <c r="AD56" s="144" t="str">
        <f t="shared" si="3"/>
        <v>Passeio de concreto</v>
      </c>
      <c r="AE56" s="192"/>
      <c r="AF56" s="180">
        <f t="shared" si="38"/>
        <v>0</v>
      </c>
      <c r="AG56" s="180">
        <f t="shared" si="17"/>
        <v>0</v>
      </c>
      <c r="AH56" s="181">
        <f t="shared" si="39"/>
        <v>0</v>
      </c>
      <c r="AI56" s="193"/>
      <c r="AJ56" s="90"/>
      <c r="AK56" s="90"/>
      <c r="AL56" s="183">
        <f t="shared" si="40"/>
        <v>0</v>
      </c>
      <c r="AM56" s="193"/>
      <c r="AN56" s="90"/>
      <c r="AO56" s="90"/>
      <c r="AP56" s="183">
        <f t="shared" si="23"/>
        <v>0</v>
      </c>
      <c r="AQ56" s="193"/>
      <c r="AR56" s="90"/>
      <c r="AS56" s="90"/>
      <c r="AT56" s="183">
        <f t="shared" si="24"/>
        <v>0</v>
      </c>
      <c r="AU56" s="193"/>
      <c r="AV56" s="90"/>
      <c r="AW56" s="90"/>
      <c r="AX56" s="183">
        <f t="shared" si="25"/>
        <v>0</v>
      </c>
      <c r="AY56" s="193"/>
      <c r="AZ56" s="90"/>
      <c r="BA56" s="90"/>
      <c r="BB56" s="183">
        <f t="shared" si="26"/>
        <v>0</v>
      </c>
      <c r="BC56" s="193"/>
      <c r="BD56" s="90"/>
      <c r="BE56" s="90"/>
      <c r="BF56" s="183">
        <f t="shared" si="27"/>
        <v>0</v>
      </c>
      <c r="BG56" s="193"/>
      <c r="BH56" s="90"/>
      <c r="BI56" s="90"/>
      <c r="BJ56" s="183">
        <f t="shared" si="28"/>
        <v>0</v>
      </c>
      <c r="BK56" s="193"/>
      <c r="BL56" s="90"/>
      <c r="BM56" s="90"/>
      <c r="BN56" s="183">
        <f t="shared" si="29"/>
        <v>0</v>
      </c>
      <c r="BO56" s="193"/>
      <c r="BP56" s="90"/>
      <c r="BQ56" s="90"/>
      <c r="BR56" s="183">
        <f t="shared" si="30"/>
        <v>0</v>
      </c>
      <c r="BS56" s="193"/>
      <c r="BT56" s="90"/>
      <c r="BU56" s="90"/>
      <c r="BV56" s="183">
        <f t="shared" si="31"/>
        <v>0</v>
      </c>
      <c r="BW56" s="193"/>
      <c r="BX56" s="90"/>
      <c r="BY56" s="90"/>
      <c r="BZ56" s="183">
        <f t="shared" si="32"/>
        <v>0</v>
      </c>
      <c r="CA56" s="193"/>
      <c r="CB56" s="90"/>
      <c r="CC56" s="90"/>
      <c r="CD56" s="183">
        <f t="shared" si="33"/>
        <v>0</v>
      </c>
    </row>
    <row r="57" spans="2:82" x14ac:dyDescent="0.3">
      <c r="B57" s="53"/>
      <c r="C57" s="53" t="str">
        <f t="shared" si="0"/>
        <v>CPU_Passeiodeconcreto</v>
      </c>
      <c r="D57" s="278">
        <f t="shared" si="1"/>
        <v>1</v>
      </c>
      <c r="E57" s="278">
        <f t="shared" si="2"/>
        <v>0</v>
      </c>
      <c r="F57" s="1"/>
      <c r="G57" s="28" t="str">
        <f>IFERROR(VLOOKUP(F57,Tabela7[[RECURSO]:[CUSTO]],2,FALSE),"")</f>
        <v/>
      </c>
      <c r="I57" s="90">
        <f t="shared" si="41"/>
        <v>0</v>
      </c>
      <c r="J57" s="45">
        <f>IFERROR(VLOOKUP(F57,Tabela7[[RECURSO]:[CUSTO]],3,FALSE),0)</f>
        <v>0</v>
      </c>
      <c r="K57" s="45">
        <f t="shared" si="42"/>
        <v>0</v>
      </c>
      <c r="M57" s="85"/>
      <c r="N57" s="88"/>
      <c r="O57" s="31"/>
      <c r="P57" s="1"/>
      <c r="Q57" s="1"/>
      <c r="R57" s="1"/>
      <c r="S57" s="1"/>
      <c r="T57" s="1"/>
      <c r="U57" s="1"/>
      <c r="V57" s="1"/>
      <c r="W57" s="342"/>
      <c r="AD57" s="144" t="str">
        <f t="shared" si="3"/>
        <v>Passeio de concreto</v>
      </c>
      <c r="AE57" s="192"/>
      <c r="AF57" s="180">
        <f t="shared" si="38"/>
        <v>0</v>
      </c>
      <c r="AG57" s="180">
        <f t="shared" si="17"/>
        <v>0</v>
      </c>
      <c r="AH57" s="181">
        <f t="shared" si="39"/>
        <v>0</v>
      </c>
      <c r="AI57" s="193"/>
      <c r="AJ57" s="90"/>
      <c r="AK57" s="90"/>
      <c r="AL57" s="183">
        <f t="shared" si="40"/>
        <v>0</v>
      </c>
      <c r="AM57" s="193"/>
      <c r="AN57" s="90"/>
      <c r="AO57" s="90"/>
      <c r="AP57" s="183">
        <f t="shared" si="23"/>
        <v>0</v>
      </c>
      <c r="AQ57" s="193"/>
      <c r="AR57" s="90"/>
      <c r="AS57" s="90"/>
      <c r="AT57" s="183">
        <f t="shared" si="24"/>
        <v>0</v>
      </c>
      <c r="AU57" s="193"/>
      <c r="AV57" s="90"/>
      <c r="AW57" s="90"/>
      <c r="AX57" s="183">
        <f t="shared" si="25"/>
        <v>0</v>
      </c>
      <c r="AY57" s="193"/>
      <c r="AZ57" s="90"/>
      <c r="BA57" s="90"/>
      <c r="BB57" s="183">
        <f t="shared" si="26"/>
        <v>0</v>
      </c>
      <c r="BC57" s="193"/>
      <c r="BD57" s="90"/>
      <c r="BE57" s="90"/>
      <c r="BF57" s="183">
        <f t="shared" si="27"/>
        <v>0</v>
      </c>
      <c r="BG57" s="193"/>
      <c r="BH57" s="90"/>
      <c r="BI57" s="90"/>
      <c r="BJ57" s="183">
        <f t="shared" si="28"/>
        <v>0</v>
      </c>
      <c r="BK57" s="193"/>
      <c r="BL57" s="90"/>
      <c r="BM57" s="90"/>
      <c r="BN57" s="183">
        <f t="shared" si="29"/>
        <v>0</v>
      </c>
      <c r="BO57" s="193"/>
      <c r="BP57" s="90"/>
      <c r="BQ57" s="90"/>
      <c r="BR57" s="183">
        <f t="shared" si="30"/>
        <v>0</v>
      </c>
      <c r="BS57" s="193"/>
      <c r="BT57" s="90"/>
      <c r="BU57" s="90"/>
      <c r="BV57" s="183">
        <f t="shared" si="31"/>
        <v>0</v>
      </c>
      <c r="BW57" s="193"/>
      <c r="BX57" s="90"/>
      <c r="BY57" s="90"/>
      <c r="BZ57" s="183">
        <f t="shared" si="32"/>
        <v>0</v>
      </c>
      <c r="CA57" s="193"/>
      <c r="CB57" s="90"/>
      <c r="CC57" s="90"/>
      <c r="CD57" s="183">
        <f t="shared" si="33"/>
        <v>0</v>
      </c>
    </row>
    <row r="58" spans="2:82" x14ac:dyDescent="0.3">
      <c r="B58" s="53"/>
      <c r="C58" s="53" t="str">
        <f t="shared" si="0"/>
        <v>CPU_Passeiodeconcreto</v>
      </c>
      <c r="D58" s="278">
        <f t="shared" si="1"/>
        <v>1</v>
      </c>
      <c r="E58" s="278">
        <f t="shared" si="2"/>
        <v>0</v>
      </c>
      <c r="F58" s="1"/>
      <c r="G58" s="28" t="str">
        <f>IFERROR(VLOOKUP(F58,Tabela7[[RECURSO]:[CUSTO]],2,FALSE),"")</f>
        <v/>
      </c>
      <c r="I58" s="90">
        <f t="shared" si="41"/>
        <v>0</v>
      </c>
      <c r="J58" s="45">
        <f>IFERROR(VLOOKUP(F58,Tabela7[[RECURSO]:[CUSTO]],3,FALSE),0)</f>
        <v>0</v>
      </c>
      <c r="K58" s="45">
        <f t="shared" si="42"/>
        <v>0</v>
      </c>
      <c r="M58" s="85"/>
      <c r="N58" s="88"/>
      <c r="O58" s="31"/>
      <c r="P58" s="1"/>
      <c r="Q58" s="1"/>
      <c r="R58" s="1"/>
      <c r="S58" s="1"/>
      <c r="T58" s="1"/>
      <c r="U58" s="1"/>
      <c r="V58" s="1"/>
      <c r="W58" s="342"/>
      <c r="AD58" s="144" t="str">
        <f t="shared" si="3"/>
        <v>Passeio de concreto</v>
      </c>
      <c r="AE58" s="192"/>
      <c r="AF58" s="180">
        <f t="shared" si="38"/>
        <v>0</v>
      </c>
      <c r="AG58" s="180">
        <f t="shared" si="17"/>
        <v>0</v>
      </c>
      <c r="AH58" s="181">
        <f t="shared" si="39"/>
        <v>0</v>
      </c>
      <c r="AI58" s="193"/>
      <c r="AJ58" s="90"/>
      <c r="AK58" s="90"/>
      <c r="AL58" s="183">
        <f t="shared" si="40"/>
        <v>0</v>
      </c>
      <c r="AM58" s="193"/>
      <c r="AN58" s="90"/>
      <c r="AO58" s="90"/>
      <c r="AP58" s="183">
        <f t="shared" si="23"/>
        <v>0</v>
      </c>
      <c r="AQ58" s="193"/>
      <c r="AR58" s="90"/>
      <c r="AS58" s="90"/>
      <c r="AT58" s="183">
        <f t="shared" si="24"/>
        <v>0</v>
      </c>
      <c r="AU58" s="193"/>
      <c r="AV58" s="90"/>
      <c r="AW58" s="90"/>
      <c r="AX58" s="183">
        <f t="shared" si="25"/>
        <v>0</v>
      </c>
      <c r="AY58" s="193"/>
      <c r="AZ58" s="90"/>
      <c r="BA58" s="90"/>
      <c r="BB58" s="183">
        <f t="shared" si="26"/>
        <v>0</v>
      </c>
      <c r="BC58" s="193"/>
      <c r="BD58" s="90"/>
      <c r="BE58" s="90"/>
      <c r="BF58" s="183">
        <f t="shared" si="27"/>
        <v>0</v>
      </c>
      <c r="BG58" s="193"/>
      <c r="BH58" s="90"/>
      <c r="BI58" s="90"/>
      <c r="BJ58" s="183">
        <f t="shared" si="28"/>
        <v>0</v>
      </c>
      <c r="BK58" s="193"/>
      <c r="BL58" s="90"/>
      <c r="BM58" s="90"/>
      <c r="BN58" s="183">
        <f t="shared" si="29"/>
        <v>0</v>
      </c>
      <c r="BO58" s="193"/>
      <c r="BP58" s="90"/>
      <c r="BQ58" s="90"/>
      <c r="BR58" s="183">
        <f t="shared" si="30"/>
        <v>0</v>
      </c>
      <c r="BS58" s="193"/>
      <c r="BT58" s="90"/>
      <c r="BU58" s="90"/>
      <c r="BV58" s="183">
        <f t="shared" si="31"/>
        <v>0</v>
      </c>
      <c r="BW58" s="193"/>
      <c r="BX58" s="90"/>
      <c r="BY58" s="90"/>
      <c r="BZ58" s="183">
        <f t="shared" si="32"/>
        <v>0</v>
      </c>
      <c r="CA58" s="193"/>
      <c r="CB58" s="90"/>
      <c r="CC58" s="90"/>
      <c r="CD58" s="183">
        <f t="shared" si="33"/>
        <v>0</v>
      </c>
    </row>
    <row r="59" spans="2:82" x14ac:dyDescent="0.3">
      <c r="B59" s="53"/>
      <c r="C59" s="53" t="str">
        <f t="shared" si="0"/>
        <v>CPU_Passeiodeconcreto</v>
      </c>
      <c r="D59" s="278">
        <f t="shared" si="1"/>
        <v>1</v>
      </c>
      <c r="E59" s="278">
        <f t="shared" si="2"/>
        <v>0</v>
      </c>
      <c r="F59" s="1"/>
      <c r="G59" s="28" t="str">
        <f>IFERROR(VLOOKUP(F59,Tabela7[[RECURSO]:[CUSTO]],2,FALSE),"")</f>
        <v/>
      </c>
      <c r="I59" s="90">
        <f t="shared" si="41"/>
        <v>0</v>
      </c>
      <c r="J59" s="45">
        <f>IFERROR(VLOOKUP(F59,Tabela7[[RECURSO]:[CUSTO]],3,FALSE),0)</f>
        <v>0</v>
      </c>
      <c r="K59" s="45">
        <f t="shared" si="42"/>
        <v>0</v>
      </c>
      <c r="M59" s="85"/>
      <c r="N59" s="88"/>
      <c r="O59" s="31"/>
      <c r="P59" s="1"/>
      <c r="Q59" s="1"/>
      <c r="R59" s="1"/>
      <c r="S59" s="1"/>
      <c r="T59" s="1"/>
      <c r="U59" s="1"/>
      <c r="V59" s="1"/>
      <c r="W59" s="342"/>
      <c r="AD59" s="144" t="str">
        <f t="shared" si="3"/>
        <v>Passeio de concreto</v>
      </c>
      <c r="AE59" s="192"/>
      <c r="AF59" s="180">
        <f t="shared" si="38"/>
        <v>0</v>
      </c>
      <c r="AG59" s="180">
        <f t="shared" si="17"/>
        <v>0</v>
      </c>
      <c r="AH59" s="181">
        <f t="shared" si="39"/>
        <v>0</v>
      </c>
      <c r="AI59" s="193"/>
      <c r="AJ59" s="90"/>
      <c r="AK59" s="90"/>
      <c r="AL59" s="183">
        <f t="shared" si="40"/>
        <v>0</v>
      </c>
      <c r="AM59" s="193"/>
      <c r="AN59" s="90"/>
      <c r="AO59" s="90"/>
      <c r="AP59" s="183">
        <f t="shared" si="23"/>
        <v>0</v>
      </c>
      <c r="AQ59" s="193"/>
      <c r="AR59" s="90"/>
      <c r="AS59" s="90"/>
      <c r="AT59" s="183">
        <f t="shared" si="24"/>
        <v>0</v>
      </c>
      <c r="AU59" s="193"/>
      <c r="AV59" s="90"/>
      <c r="AW59" s="90"/>
      <c r="AX59" s="183">
        <f t="shared" si="25"/>
        <v>0</v>
      </c>
      <c r="AY59" s="193"/>
      <c r="AZ59" s="90"/>
      <c r="BA59" s="90"/>
      <c r="BB59" s="183">
        <f t="shared" si="26"/>
        <v>0</v>
      </c>
      <c r="BC59" s="193"/>
      <c r="BD59" s="90"/>
      <c r="BE59" s="90"/>
      <c r="BF59" s="183">
        <f t="shared" si="27"/>
        <v>0</v>
      </c>
      <c r="BG59" s="193"/>
      <c r="BH59" s="90"/>
      <c r="BI59" s="90"/>
      <c r="BJ59" s="183">
        <f t="shared" si="28"/>
        <v>0</v>
      </c>
      <c r="BK59" s="193"/>
      <c r="BL59" s="90"/>
      <c r="BM59" s="90"/>
      <c r="BN59" s="183">
        <f t="shared" si="29"/>
        <v>0</v>
      </c>
      <c r="BO59" s="193"/>
      <c r="BP59" s="90"/>
      <c r="BQ59" s="90"/>
      <c r="BR59" s="183">
        <f t="shared" si="30"/>
        <v>0</v>
      </c>
      <c r="BS59" s="193"/>
      <c r="BT59" s="90"/>
      <c r="BU59" s="90"/>
      <c r="BV59" s="183">
        <f t="shared" si="31"/>
        <v>0</v>
      </c>
      <c r="BW59" s="193"/>
      <c r="BX59" s="90"/>
      <c r="BY59" s="90"/>
      <c r="BZ59" s="183">
        <f t="shared" si="32"/>
        <v>0</v>
      </c>
      <c r="CA59" s="193"/>
      <c r="CB59" s="90"/>
      <c r="CC59" s="90"/>
      <c r="CD59" s="183">
        <f t="shared" si="33"/>
        <v>0</v>
      </c>
    </row>
    <row r="60" spans="2:82" x14ac:dyDescent="0.3">
      <c r="B60" s="53"/>
      <c r="C60" s="53" t="str">
        <f t="shared" si="0"/>
        <v>CPU_Passeiodeconcreto</v>
      </c>
      <c r="D60" s="278">
        <f t="shared" si="1"/>
        <v>1</v>
      </c>
      <c r="E60" s="278">
        <f t="shared" si="2"/>
        <v>0</v>
      </c>
      <c r="F60" s="1"/>
      <c r="G60" s="28" t="str">
        <f>IFERROR(VLOOKUP(F60,Tabela7[[RECURSO]:[CUSTO]],2,FALSE),"")</f>
        <v/>
      </c>
      <c r="I60" s="90">
        <f t="shared" si="41"/>
        <v>0</v>
      </c>
      <c r="J60" s="45">
        <f>IFERROR(VLOOKUP(F60,Tabela7[[RECURSO]:[CUSTO]],3,FALSE),0)</f>
        <v>0</v>
      </c>
      <c r="K60" s="45">
        <f t="shared" si="42"/>
        <v>0</v>
      </c>
      <c r="M60" s="85"/>
      <c r="N60" s="88"/>
      <c r="O60" s="31"/>
      <c r="P60" s="1"/>
      <c r="Q60" s="1"/>
      <c r="R60" s="1"/>
      <c r="S60" s="1"/>
      <c r="T60" s="1"/>
      <c r="U60" s="1"/>
      <c r="V60" s="1"/>
      <c r="W60" s="342"/>
      <c r="AD60" s="144" t="str">
        <f t="shared" si="3"/>
        <v>Passeio de concreto</v>
      </c>
      <c r="AE60" s="192"/>
      <c r="AF60" s="180">
        <f t="shared" si="38"/>
        <v>0</v>
      </c>
      <c r="AG60" s="180">
        <f t="shared" si="17"/>
        <v>0</v>
      </c>
      <c r="AH60" s="181">
        <f t="shared" si="39"/>
        <v>0</v>
      </c>
      <c r="AI60" s="193"/>
      <c r="AJ60" s="90"/>
      <c r="AK60" s="90"/>
      <c r="AL60" s="183">
        <f t="shared" si="40"/>
        <v>0</v>
      </c>
      <c r="AM60" s="193"/>
      <c r="AN60" s="90"/>
      <c r="AO60" s="90"/>
      <c r="AP60" s="183">
        <f t="shared" si="23"/>
        <v>0</v>
      </c>
      <c r="AQ60" s="193"/>
      <c r="AR60" s="90"/>
      <c r="AS60" s="90"/>
      <c r="AT60" s="183">
        <f t="shared" si="24"/>
        <v>0</v>
      </c>
      <c r="AU60" s="193"/>
      <c r="AV60" s="90"/>
      <c r="AW60" s="90"/>
      <c r="AX60" s="183">
        <f t="shared" si="25"/>
        <v>0</v>
      </c>
      <c r="AY60" s="193"/>
      <c r="AZ60" s="90"/>
      <c r="BA60" s="90"/>
      <c r="BB60" s="183">
        <f t="shared" si="26"/>
        <v>0</v>
      </c>
      <c r="BC60" s="193"/>
      <c r="BD60" s="90"/>
      <c r="BE60" s="90"/>
      <c r="BF60" s="183">
        <f t="shared" si="27"/>
        <v>0</v>
      </c>
      <c r="BG60" s="193"/>
      <c r="BH60" s="90"/>
      <c r="BI60" s="90"/>
      <c r="BJ60" s="183">
        <f t="shared" si="28"/>
        <v>0</v>
      </c>
      <c r="BK60" s="193"/>
      <c r="BL60" s="90"/>
      <c r="BM60" s="90"/>
      <c r="BN60" s="183">
        <f t="shared" si="29"/>
        <v>0</v>
      </c>
      <c r="BO60" s="193"/>
      <c r="BP60" s="90"/>
      <c r="BQ60" s="90"/>
      <c r="BR60" s="183">
        <f t="shared" si="30"/>
        <v>0</v>
      </c>
      <c r="BS60" s="193"/>
      <c r="BT60" s="90"/>
      <c r="BU60" s="90"/>
      <c r="BV60" s="183">
        <f t="shared" si="31"/>
        <v>0</v>
      </c>
      <c r="BW60" s="193"/>
      <c r="BX60" s="90"/>
      <c r="BY60" s="90"/>
      <c r="BZ60" s="183">
        <f t="shared" si="32"/>
        <v>0</v>
      </c>
      <c r="CA60" s="193"/>
      <c r="CB60" s="90"/>
      <c r="CC60" s="90"/>
      <c r="CD60" s="183">
        <f t="shared" si="33"/>
        <v>0</v>
      </c>
    </row>
    <row r="61" spans="2:82" x14ac:dyDescent="0.3">
      <c r="B61" s="53"/>
      <c r="C61" s="53" t="str">
        <f t="shared" si="0"/>
        <v>CPU_Passeiodeconcreto</v>
      </c>
      <c r="D61" s="278">
        <f t="shared" si="1"/>
        <v>1</v>
      </c>
      <c r="E61" s="278">
        <f t="shared" si="2"/>
        <v>0</v>
      </c>
      <c r="F61" s="1"/>
      <c r="G61" s="28" t="str">
        <f>IFERROR(VLOOKUP(F61,Tabela7[[RECURSO]:[CUSTO]],2,FALSE),"")</f>
        <v/>
      </c>
      <c r="I61" s="90">
        <f t="shared" si="41"/>
        <v>0</v>
      </c>
      <c r="J61" s="45">
        <f>IFERROR(VLOOKUP(F61,Tabela7[[RECURSO]:[CUSTO]],3,FALSE),0)</f>
        <v>0</v>
      </c>
      <c r="K61" s="45">
        <f t="shared" si="42"/>
        <v>0</v>
      </c>
      <c r="M61" s="85"/>
      <c r="N61" s="88"/>
      <c r="O61" s="31"/>
      <c r="P61" s="1"/>
      <c r="Q61" s="1"/>
      <c r="R61" s="1"/>
      <c r="S61" s="1"/>
      <c r="T61" s="1"/>
      <c r="U61" s="1"/>
      <c r="V61" s="1"/>
      <c r="W61" s="342"/>
      <c r="AD61" s="144" t="str">
        <f t="shared" si="3"/>
        <v>Passeio de concreto</v>
      </c>
      <c r="AE61" s="192"/>
      <c r="AF61" s="180">
        <f t="shared" si="38"/>
        <v>0</v>
      </c>
      <c r="AG61" s="180">
        <f t="shared" si="17"/>
        <v>0</v>
      </c>
      <c r="AH61" s="181">
        <f t="shared" si="39"/>
        <v>0</v>
      </c>
      <c r="AI61" s="193"/>
      <c r="AJ61" s="90"/>
      <c r="AK61" s="90"/>
      <c r="AL61" s="183">
        <f t="shared" si="40"/>
        <v>0</v>
      </c>
      <c r="AM61" s="193"/>
      <c r="AN61" s="90"/>
      <c r="AO61" s="90"/>
      <c r="AP61" s="183">
        <f t="shared" si="23"/>
        <v>0</v>
      </c>
      <c r="AQ61" s="193"/>
      <c r="AR61" s="90"/>
      <c r="AS61" s="90"/>
      <c r="AT61" s="183">
        <f t="shared" si="24"/>
        <v>0</v>
      </c>
      <c r="AU61" s="193"/>
      <c r="AV61" s="90"/>
      <c r="AW61" s="90"/>
      <c r="AX61" s="183">
        <f t="shared" si="25"/>
        <v>0</v>
      </c>
      <c r="AY61" s="193"/>
      <c r="AZ61" s="90"/>
      <c r="BA61" s="90"/>
      <c r="BB61" s="183">
        <f t="shared" si="26"/>
        <v>0</v>
      </c>
      <c r="BC61" s="193"/>
      <c r="BD61" s="90"/>
      <c r="BE61" s="90"/>
      <c r="BF61" s="183">
        <f t="shared" si="27"/>
        <v>0</v>
      </c>
      <c r="BG61" s="193"/>
      <c r="BH61" s="90"/>
      <c r="BI61" s="90"/>
      <c r="BJ61" s="183">
        <f t="shared" si="28"/>
        <v>0</v>
      </c>
      <c r="BK61" s="193"/>
      <c r="BL61" s="90"/>
      <c r="BM61" s="90"/>
      <c r="BN61" s="183">
        <f t="shared" si="29"/>
        <v>0</v>
      </c>
      <c r="BO61" s="193"/>
      <c r="BP61" s="90"/>
      <c r="BQ61" s="90"/>
      <c r="BR61" s="183">
        <f t="shared" si="30"/>
        <v>0</v>
      </c>
      <c r="BS61" s="193"/>
      <c r="BT61" s="90"/>
      <c r="BU61" s="90"/>
      <c r="BV61" s="183">
        <f t="shared" si="31"/>
        <v>0</v>
      </c>
      <c r="BW61" s="193"/>
      <c r="BX61" s="90"/>
      <c r="BY61" s="90"/>
      <c r="BZ61" s="183">
        <f t="shared" si="32"/>
        <v>0</v>
      </c>
      <c r="CA61" s="193"/>
      <c r="CB61" s="90"/>
      <c r="CC61" s="90"/>
      <c r="CD61" s="183">
        <f t="shared" si="33"/>
        <v>0</v>
      </c>
    </row>
    <row r="62" spans="2:82" ht="15" thickBot="1" x14ac:dyDescent="0.35">
      <c r="B62" s="53"/>
      <c r="C62" s="53" t="str">
        <f t="shared" si="0"/>
        <v>CPU_Passeiodeconcreto</v>
      </c>
      <c r="D62" s="278">
        <f t="shared" si="1"/>
        <v>1</v>
      </c>
      <c r="E62" s="278">
        <f t="shared" si="2"/>
        <v>0</v>
      </c>
      <c r="F62" s="1"/>
      <c r="G62" s="28" t="str">
        <f>IFERROR(VLOOKUP(F62,Tabela7[[RECURSO]:[CUSTO]],2,FALSE),"")</f>
        <v/>
      </c>
      <c r="I62" s="90">
        <f t="shared" si="41"/>
        <v>0</v>
      </c>
      <c r="J62" s="45">
        <f>IFERROR(VLOOKUP(F62,Tabela7[[RECURSO]:[CUSTO]],3,FALSE),0)</f>
        <v>0</v>
      </c>
      <c r="K62" s="45">
        <f t="shared" si="42"/>
        <v>0</v>
      </c>
      <c r="M62" s="86"/>
      <c r="N62" s="88"/>
      <c r="O62" s="51"/>
      <c r="P62" s="343"/>
      <c r="Q62" s="343"/>
      <c r="R62" s="343"/>
      <c r="S62" s="343"/>
      <c r="T62" s="343"/>
      <c r="U62" s="343"/>
      <c r="V62" s="343"/>
      <c r="W62" s="344"/>
      <c r="AD62" s="144" t="str">
        <f t="shared" si="3"/>
        <v>Passeio de concreto</v>
      </c>
      <c r="AE62" s="194"/>
      <c r="AF62" s="195">
        <f t="shared" si="38"/>
        <v>0</v>
      </c>
      <c r="AG62" s="195">
        <f t="shared" si="17"/>
        <v>0</v>
      </c>
      <c r="AH62" s="196">
        <f t="shared" si="39"/>
        <v>0</v>
      </c>
      <c r="AI62" s="197"/>
      <c r="AJ62" s="198"/>
      <c r="AK62" s="198"/>
      <c r="AL62" s="199">
        <f t="shared" si="40"/>
        <v>0</v>
      </c>
      <c r="AM62" s="197"/>
      <c r="AN62" s="198"/>
      <c r="AO62" s="198"/>
      <c r="AP62" s="199">
        <f t="shared" si="23"/>
        <v>0</v>
      </c>
      <c r="AQ62" s="197"/>
      <c r="AR62" s="198"/>
      <c r="AS62" s="198"/>
      <c r="AT62" s="199">
        <f t="shared" si="24"/>
        <v>0</v>
      </c>
      <c r="AU62" s="197"/>
      <c r="AV62" s="198"/>
      <c r="AW62" s="198"/>
      <c r="AX62" s="199">
        <f t="shared" si="25"/>
        <v>0</v>
      </c>
      <c r="AY62" s="197"/>
      <c r="AZ62" s="198"/>
      <c r="BA62" s="198"/>
      <c r="BB62" s="199">
        <f t="shared" si="26"/>
        <v>0</v>
      </c>
      <c r="BC62" s="197"/>
      <c r="BD62" s="198"/>
      <c r="BE62" s="198"/>
      <c r="BF62" s="199">
        <f t="shared" si="27"/>
        <v>0</v>
      </c>
      <c r="BG62" s="197"/>
      <c r="BH62" s="198"/>
      <c r="BI62" s="198"/>
      <c r="BJ62" s="199">
        <f t="shared" si="28"/>
        <v>0</v>
      </c>
      <c r="BK62" s="197"/>
      <c r="BL62" s="198"/>
      <c r="BM62" s="198"/>
      <c r="BN62" s="199">
        <f t="shared" si="29"/>
        <v>0</v>
      </c>
      <c r="BO62" s="197"/>
      <c r="BP62" s="198"/>
      <c r="BQ62" s="198"/>
      <c r="BR62" s="199">
        <f t="shared" si="30"/>
        <v>0</v>
      </c>
      <c r="BS62" s="197"/>
      <c r="BT62" s="198"/>
      <c r="BU62" s="198"/>
      <c r="BV62" s="199">
        <f t="shared" si="31"/>
        <v>0</v>
      </c>
      <c r="BW62" s="197"/>
      <c r="BX62" s="198"/>
      <c r="BY62" s="198"/>
      <c r="BZ62" s="199">
        <f t="shared" si="32"/>
        <v>0</v>
      </c>
      <c r="CA62" s="197"/>
      <c r="CB62" s="198"/>
      <c r="CC62" s="198"/>
      <c r="CD62" s="199">
        <f t="shared" si="33"/>
        <v>0</v>
      </c>
    </row>
  </sheetData>
  <conditionalFormatting sqref="K6:K7">
    <cfRule type="iconSet" priority="14">
      <iconSet>
        <cfvo type="percent" val="0"/>
        <cfvo type="num" val="0"/>
        <cfvo type="num" val="0.02"/>
      </iconSet>
    </cfRule>
  </conditionalFormatting>
  <conditionalFormatting sqref="AH6:AH7">
    <cfRule type="iconSet" priority="13">
      <iconSet>
        <cfvo type="percent" val="0"/>
        <cfvo type="num" val="0"/>
        <cfvo type="num" val="0.02"/>
      </iconSet>
    </cfRule>
  </conditionalFormatting>
  <conditionalFormatting sqref="AL6:AL7">
    <cfRule type="iconSet" priority="12">
      <iconSet>
        <cfvo type="percent" val="0"/>
        <cfvo type="num" val="0"/>
        <cfvo type="num" val="0.02"/>
      </iconSet>
    </cfRule>
  </conditionalFormatting>
  <conditionalFormatting sqref="AP6:AP7">
    <cfRule type="iconSet" priority="11">
      <iconSet>
        <cfvo type="percent" val="0"/>
        <cfvo type="num" val="0"/>
        <cfvo type="num" val="0.02"/>
      </iconSet>
    </cfRule>
  </conditionalFormatting>
  <conditionalFormatting sqref="AT6:AT7">
    <cfRule type="iconSet" priority="10">
      <iconSet>
        <cfvo type="percent" val="0"/>
        <cfvo type="num" val="0"/>
        <cfvo type="num" val="0.02"/>
      </iconSet>
    </cfRule>
  </conditionalFormatting>
  <conditionalFormatting sqref="AX6:AX7">
    <cfRule type="iconSet" priority="9">
      <iconSet>
        <cfvo type="percent" val="0"/>
        <cfvo type="num" val="0"/>
        <cfvo type="num" val="0.02"/>
      </iconSet>
    </cfRule>
  </conditionalFormatting>
  <conditionalFormatting sqref="BB6:BB7">
    <cfRule type="iconSet" priority="8">
      <iconSet>
        <cfvo type="percent" val="0"/>
        <cfvo type="num" val="0"/>
        <cfvo type="num" val="0.02"/>
      </iconSet>
    </cfRule>
  </conditionalFormatting>
  <conditionalFormatting sqref="BF6:BF7">
    <cfRule type="iconSet" priority="7">
      <iconSet>
        <cfvo type="percent" val="0"/>
        <cfvo type="num" val="0"/>
        <cfvo type="num" val="0.02"/>
      </iconSet>
    </cfRule>
  </conditionalFormatting>
  <conditionalFormatting sqref="BJ6:BJ7">
    <cfRule type="iconSet" priority="6">
      <iconSet>
        <cfvo type="percent" val="0"/>
        <cfvo type="num" val="0"/>
        <cfvo type="num" val="0.02"/>
      </iconSet>
    </cfRule>
  </conditionalFormatting>
  <conditionalFormatting sqref="BN6:BN7">
    <cfRule type="iconSet" priority="5">
      <iconSet>
        <cfvo type="percent" val="0"/>
        <cfvo type="num" val="0"/>
        <cfvo type="num" val="0.02"/>
      </iconSet>
    </cfRule>
  </conditionalFormatting>
  <conditionalFormatting sqref="BR6:BR7">
    <cfRule type="iconSet" priority="4">
      <iconSet>
        <cfvo type="percent" val="0"/>
        <cfvo type="num" val="0"/>
        <cfvo type="num" val="0.02"/>
      </iconSet>
    </cfRule>
  </conditionalFormatting>
  <conditionalFormatting sqref="BV6:BV7">
    <cfRule type="iconSet" priority="3">
      <iconSet>
        <cfvo type="percent" val="0"/>
        <cfvo type="num" val="0"/>
        <cfvo type="num" val="0.02"/>
      </iconSet>
    </cfRule>
  </conditionalFormatting>
  <conditionalFormatting sqref="BZ6:BZ7">
    <cfRule type="iconSet" priority="2">
      <iconSet>
        <cfvo type="percent" val="0"/>
        <cfvo type="num" val="0"/>
        <cfvo type="num" val="0.02"/>
      </iconSet>
    </cfRule>
  </conditionalFormatting>
  <conditionalFormatting sqref="CD6:CD7">
    <cfRule type="iconSet" priority="1">
      <iconSet>
        <cfvo type="percent" val="0"/>
        <cfvo type="num" val="0"/>
        <cfvo type="num" val="0.02"/>
      </iconSet>
    </cfRule>
  </conditionalFormatting>
  <dataValidations count="5">
    <dataValidation type="list" allowBlank="1" showInputMessage="1" showErrorMessage="1" sqref="F51:F62" xr:uid="{52A772FF-8010-4C13-8F8A-32EF6F6E5013}">
      <formula1>INDIRECT($B$50)</formula1>
    </dataValidation>
    <dataValidation type="list" allowBlank="1" showInputMessage="1" showErrorMessage="1" sqref="F38:F49" xr:uid="{5B6A8FEF-017D-421F-9E6D-7E11F4662F78}">
      <formula1>INDIRECT($B$37)</formula1>
    </dataValidation>
    <dataValidation type="list" allowBlank="1" showInputMessage="1" showErrorMessage="1" sqref="F25:F36" xr:uid="{4C95BE64-AEB1-49D5-8F0A-0C7483FD6E61}">
      <formula1>INDIRECT($B$24)</formula1>
    </dataValidation>
    <dataValidation type="list" allowBlank="1" showInputMessage="1" showErrorMessage="1" sqref="F12:F23" xr:uid="{5A3A2889-FF01-4040-9736-13300ABFE8E2}">
      <formula1>INDIRECT($B$11)</formula1>
    </dataValidation>
    <dataValidation type="list" allowBlank="1" showInputMessage="1" showErrorMessage="1" sqref="B3:E3" xr:uid="{960FF4F0-AE4C-4BDE-8FCF-B8F775D603C1}">
      <formula1>INDIRECT($B$2)</formula1>
    </dataValidation>
  </dataValidations>
  <pageMargins left="0.51181102362204722" right="0.51181102362204722" top="0.19685039370078741" bottom="0.19685039370078741" header="0.31496062992125984" footer="0.31496062992125984"/>
  <pageSetup paperSize="9" scale="82" orientation="portrait" r:id="rId1"/>
  <colBreaks count="1" manualBreakCount="1">
    <brk id="11" max="1048575" man="1"/>
  </colBreaks>
  <drawing r:id="rId2"/>
  <legacyDrawing r:id="rId3"/>
  <tableParts count="2">
    <tablePart r:id="rId4"/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ADA2F-F546-442F-8ED8-1369BB7E06F8}">
  <sheetPr codeName="Plan31"/>
  <dimension ref="A1:CD62"/>
  <sheetViews>
    <sheetView showGridLines="0" zoomScaleNormal="100" workbookViewId="0">
      <pane xSplit="14" ySplit="10" topLeftCell="O43" activePane="bottomRight" state="frozen"/>
      <selection pane="topRight" activeCell="C28" activeCellId="1" sqref="E13 C28"/>
      <selection pane="bottomLeft" activeCell="C28" activeCellId="1" sqref="E13 C28"/>
      <selection pane="bottomRight" activeCell="O50" sqref="O50:W62"/>
    </sheetView>
  </sheetViews>
  <sheetFormatPr defaultRowHeight="14.4" x14ac:dyDescent="0.3"/>
  <cols>
    <col min="1" max="1" width="4.109375" customWidth="1"/>
    <col min="2" max="2" width="16.109375" customWidth="1"/>
    <col min="3" max="5" width="16.109375" hidden="1" customWidth="1"/>
    <col min="6" max="6" width="40.6640625" customWidth="1"/>
    <col min="7" max="7" width="10.6640625" style="28" customWidth="1"/>
    <col min="8" max="8" width="7.6640625" style="28" customWidth="1"/>
    <col min="9" max="11" width="10.6640625" customWidth="1"/>
    <col min="12" max="12" width="2.33203125" customWidth="1"/>
    <col min="13" max="14" width="12.6640625" customWidth="1"/>
    <col min="15" max="15" width="14" bestFit="1" customWidth="1"/>
    <col min="30" max="30" width="12.44140625" bestFit="1" customWidth="1"/>
    <col min="31" max="31" width="7.6640625" customWidth="1"/>
    <col min="32" max="32" width="9.33203125" bestFit="1" customWidth="1"/>
    <col min="33" max="34" width="10.6640625" customWidth="1"/>
    <col min="35" max="35" width="7.6640625" customWidth="1"/>
    <col min="36" max="36" width="9.33203125" customWidth="1"/>
    <col min="37" max="38" width="10.6640625" customWidth="1"/>
    <col min="40" max="40" width="9.33203125" customWidth="1"/>
    <col min="42" max="42" width="9.6640625" customWidth="1"/>
    <col min="44" max="44" width="9.33203125" customWidth="1"/>
    <col min="46" max="46" width="9.6640625" customWidth="1"/>
    <col min="48" max="48" width="9.33203125" customWidth="1"/>
    <col min="50" max="50" width="9.6640625" customWidth="1"/>
    <col min="52" max="52" width="9.33203125" customWidth="1"/>
    <col min="54" max="54" width="9.6640625" customWidth="1"/>
    <col min="56" max="56" width="9.33203125" customWidth="1"/>
    <col min="58" max="58" width="9.6640625" customWidth="1"/>
    <col min="60" max="60" width="9.33203125" customWidth="1"/>
    <col min="62" max="62" width="9.6640625" customWidth="1"/>
    <col min="64" max="64" width="9.33203125" customWidth="1"/>
    <col min="66" max="66" width="9.6640625" customWidth="1"/>
    <col min="68" max="68" width="9.33203125" customWidth="1"/>
    <col min="70" max="70" width="9.6640625" customWidth="1"/>
    <col min="72" max="72" width="10" customWidth="1"/>
    <col min="73" max="73" width="9.5546875" customWidth="1"/>
    <col min="74" max="74" width="10.44140625" customWidth="1"/>
    <col min="76" max="76" width="10" customWidth="1"/>
    <col min="77" max="77" width="9.5546875" customWidth="1"/>
    <col min="78" max="78" width="10.44140625" customWidth="1"/>
    <col min="80" max="80" width="10" customWidth="1"/>
    <col min="81" max="81" width="9.5546875" customWidth="1"/>
    <col min="82" max="82" width="10.44140625" customWidth="1"/>
  </cols>
  <sheetData>
    <row r="1" spans="1:82" ht="26.4" customHeight="1" thickBot="1" x14ac:dyDescent="0.35">
      <c r="AE1" s="163" t="s">
        <v>678</v>
      </c>
    </row>
    <row r="2" spans="1:82" x14ac:dyDescent="0.3">
      <c r="B2" s="64" t="s">
        <v>679</v>
      </c>
      <c r="C2" s="67"/>
      <c r="D2" s="67"/>
      <c r="E2" s="67"/>
      <c r="F2" s="65"/>
      <c r="G2" s="66"/>
      <c r="H2" s="66"/>
      <c r="I2" s="65"/>
      <c r="J2" s="67" t="s">
        <v>680</v>
      </c>
      <c r="K2" s="68" t="s">
        <v>681</v>
      </c>
      <c r="M2" s="227" t="s">
        <v>682</v>
      </c>
      <c r="N2" s="228" t="s">
        <v>683</v>
      </c>
      <c r="O2" s="234" t="s">
        <v>684</v>
      </c>
      <c r="AE2" s="164" t="s">
        <v>590</v>
      </c>
      <c r="AF2" s="165" t="s">
        <v>20</v>
      </c>
      <c r="AG2" s="67"/>
      <c r="AH2" s="68" t="s">
        <v>681</v>
      </c>
      <c r="AI2" s="166">
        <v>44927</v>
      </c>
      <c r="AJ2" s="165" t="s">
        <v>20</v>
      </c>
      <c r="AK2" s="67"/>
      <c r="AL2" s="68" t="s">
        <v>681</v>
      </c>
      <c r="AM2" s="166">
        <v>44958</v>
      </c>
      <c r="AN2" s="165" t="s">
        <v>20</v>
      </c>
      <c r="AO2" s="67"/>
      <c r="AP2" s="68" t="s">
        <v>681</v>
      </c>
      <c r="AQ2" s="166">
        <v>44986</v>
      </c>
      <c r="AR2" s="165" t="s">
        <v>20</v>
      </c>
      <c r="AS2" s="67"/>
      <c r="AT2" s="68" t="s">
        <v>681</v>
      </c>
      <c r="AU2" s="166">
        <v>45017</v>
      </c>
      <c r="AV2" s="165" t="s">
        <v>20</v>
      </c>
      <c r="AW2" s="67"/>
      <c r="AX2" s="68" t="s">
        <v>681</v>
      </c>
      <c r="AY2" s="166">
        <v>45047</v>
      </c>
      <c r="AZ2" s="165" t="s">
        <v>20</v>
      </c>
      <c r="BA2" s="67"/>
      <c r="BB2" s="68" t="s">
        <v>681</v>
      </c>
      <c r="BC2" s="166">
        <v>45078</v>
      </c>
      <c r="BD2" s="165" t="s">
        <v>20</v>
      </c>
      <c r="BE2" s="67"/>
      <c r="BF2" s="68" t="s">
        <v>681</v>
      </c>
      <c r="BG2" s="166">
        <v>45108</v>
      </c>
      <c r="BH2" s="165" t="s">
        <v>20</v>
      </c>
      <c r="BI2" s="67"/>
      <c r="BJ2" s="68" t="s">
        <v>681</v>
      </c>
      <c r="BK2" s="166">
        <v>45139</v>
      </c>
      <c r="BL2" s="165" t="s">
        <v>20</v>
      </c>
      <c r="BM2" s="67"/>
      <c r="BN2" s="68" t="s">
        <v>681</v>
      </c>
      <c r="BO2" s="166">
        <v>45170</v>
      </c>
      <c r="BP2" s="165" t="s">
        <v>20</v>
      </c>
      <c r="BQ2" s="67"/>
      <c r="BR2" s="68" t="s">
        <v>681</v>
      </c>
      <c r="BS2" s="166">
        <v>45200</v>
      </c>
      <c r="BT2" s="165" t="s">
        <v>20</v>
      </c>
      <c r="BU2" s="67"/>
      <c r="BV2" s="68" t="s">
        <v>681</v>
      </c>
      <c r="BW2" s="166">
        <v>45231</v>
      </c>
      <c r="BX2" s="165" t="s">
        <v>20</v>
      </c>
      <c r="BY2" s="67"/>
      <c r="BZ2" s="68" t="s">
        <v>681</v>
      </c>
      <c r="CA2" s="166">
        <v>45261</v>
      </c>
      <c r="CB2" s="165" t="s">
        <v>20</v>
      </c>
      <c r="CC2" s="67"/>
      <c r="CD2" s="68" t="s">
        <v>681</v>
      </c>
    </row>
    <row r="3" spans="1:82" x14ac:dyDescent="0.3">
      <c r="A3" s="42" t="str">
        <f>"CPU_"&amp;LEFT(SUBSTITUTE(SUBSTITUTE(B3," ",""),"-",""),20)</f>
        <v>CPU_DrenagemSuperficial</v>
      </c>
      <c r="B3" s="31" t="s">
        <v>788</v>
      </c>
      <c r="C3" s="1"/>
      <c r="D3" s="1"/>
      <c r="E3" s="1"/>
      <c r="F3" s="73"/>
      <c r="G3" s="74"/>
      <c r="H3" s="74"/>
      <c r="I3" s="73"/>
      <c r="J3" s="74" t="str">
        <f>IFERROR(VLOOKUP(B3,Tabela1[[NOME SERVIÇO]:[UNID]],4,0),"")</f>
        <v>UNID</v>
      </c>
      <c r="K3" s="75">
        <f>IFERROR(J6/B6,0)</f>
        <v>0</v>
      </c>
      <c r="M3" s="229" t="s">
        <v>685</v>
      </c>
      <c r="N3" s="230">
        <f>K11</f>
        <v>0</v>
      </c>
      <c r="O3" s="235">
        <f>IFERROR(N3/$N$7,0)</f>
        <v>0</v>
      </c>
      <c r="AE3" s="167"/>
      <c r="AF3" s="168">
        <f>AJ3+AN3+AR3+AV3+AZ3+BD3+BH3+BL3+BP3+BT3+BX3+CB3</f>
        <v>0</v>
      </c>
      <c r="AG3" s="74"/>
      <c r="AH3" s="75">
        <f>IFERROR((AG6/AF3),0)</f>
        <v>0</v>
      </c>
      <c r="AI3" s="167"/>
      <c r="AJ3" s="168">
        <f>IFERROR(SUMPRODUCT(Plan_Orc!$I$4:$I$2002*Plan_Orc!$AB$4:$AB$2002*(Plan_Orc!$D$4:$D$2002=$B3)),0)</f>
        <v>0</v>
      </c>
      <c r="AK3" s="74"/>
      <c r="AL3" s="75">
        <f>IFERROR((AK6/AJ3),0)</f>
        <v>0</v>
      </c>
      <c r="AM3" s="167"/>
      <c r="AN3" s="168">
        <f>IFERROR(SUMPRODUCT(Plan_Orc!$I$4:$I$2002*Plan_Orc!$AC$4:$AC$2002*(Plan_Orc!$D$4:$D$2002=$B3)),0)</f>
        <v>0</v>
      </c>
      <c r="AO3" s="74"/>
      <c r="AP3" s="75">
        <f>IFERROR((AO6/AN3),0)</f>
        <v>0</v>
      </c>
      <c r="AQ3" s="167"/>
      <c r="AR3" s="168">
        <f>IFERROR(SUMPRODUCT(Plan_Orc!$I$4:$I$2002*Plan_Orc!$AD$4:$AD$2002*(Plan_Orc!$D$4:$D$2002=$B3)),0)</f>
        <v>0</v>
      </c>
      <c r="AS3" s="74"/>
      <c r="AT3" s="75">
        <f>IFERROR((AS6/AR3),0)</f>
        <v>0</v>
      </c>
      <c r="AU3" s="167"/>
      <c r="AV3" s="168">
        <f>IFERROR(SUMPRODUCT(Plan_Orc!$I$4:$I$2002*Plan_Orc!$AE$4:$AE$2002*(Plan_Orc!$D$4:$D$2002=$B3)),0)</f>
        <v>0</v>
      </c>
      <c r="AW3" s="74"/>
      <c r="AX3" s="75">
        <f>IFERROR((AW6/AV3),0)</f>
        <v>0</v>
      </c>
      <c r="AY3" s="167"/>
      <c r="AZ3" s="168">
        <f>IFERROR(SUMPRODUCT(Plan_Orc!$I$4:$I$2002*Plan_Orc!$AF$4:$AF$2002*(Plan_Orc!$D$4:$D$2002=$B3)),0)</f>
        <v>0</v>
      </c>
      <c r="BA3" s="74"/>
      <c r="BB3" s="75">
        <f>IFERROR((BA6/AZ3),0)</f>
        <v>0</v>
      </c>
      <c r="BC3" s="167"/>
      <c r="BD3" s="168">
        <f>IFERROR(SUMPRODUCT(Plan_Orc!$I$4:$I$2002*Plan_Orc!$AG$4:$AG$2002*(Plan_Orc!$D$4:$D$2002=$B3)),0)</f>
        <v>0</v>
      </c>
      <c r="BE3" s="74"/>
      <c r="BF3" s="75">
        <f>IFERROR((BE6/BD3),0)</f>
        <v>0</v>
      </c>
      <c r="BG3" s="167"/>
      <c r="BH3" s="168">
        <f>IFERROR(SUMPRODUCT(Plan_Orc!$I$4:$I$2002*Plan_Orc!$AH$4:$AH$2002*(Plan_Orc!$D$4:$D$2002=$B3)),0)</f>
        <v>0</v>
      </c>
      <c r="BI3" s="74"/>
      <c r="BJ3" s="75">
        <f>IFERROR((BI6/BH3),0)</f>
        <v>0</v>
      </c>
      <c r="BK3" s="167"/>
      <c r="BL3" s="168">
        <f>IFERROR(SUMPRODUCT(Plan_Orc!$I$4:$I$2002*Plan_Orc!$AI$4:$AI$2002*(Plan_Orc!$D$4:$D$2002=$B3)),0)</f>
        <v>0</v>
      </c>
      <c r="BM3" s="74"/>
      <c r="BN3" s="75">
        <f>IFERROR((BM6/BL3),0)</f>
        <v>0</v>
      </c>
      <c r="BO3" s="167"/>
      <c r="BP3" s="168">
        <f>IFERROR(SUMPRODUCT(Plan_Orc!$I$4:$I$2002*Plan_Orc!$AJ$4:$AJ$2002*(Plan_Orc!$D$4:$D$2002=$B3)),0)</f>
        <v>0</v>
      </c>
      <c r="BQ3" s="74"/>
      <c r="BR3" s="75">
        <f>IFERROR((BQ6/BP3),0)</f>
        <v>0</v>
      </c>
      <c r="BS3" s="167"/>
      <c r="BT3" s="168">
        <f>IFERROR(SUMPRODUCT(Plan_Orc!$I$4:$I$2002*Plan_Orc!$AK$4:$AK$2002*(Plan_Orc!$D$4:$D$2002=$B3)),0)</f>
        <v>0</v>
      </c>
      <c r="BU3" s="74"/>
      <c r="BV3" s="75">
        <f>IFERROR((BU6/BT3),0)</f>
        <v>0</v>
      </c>
      <c r="BW3" s="167"/>
      <c r="BX3" s="168">
        <f>IFERROR(SUMPRODUCT(Plan_Orc!$I$4:$I$2002*Plan_Orc!$AL$4:$AL$2002*(Plan_Orc!$D$4:$D$2002=$B3)),0)</f>
        <v>0</v>
      </c>
      <c r="BY3" s="74"/>
      <c r="BZ3" s="75">
        <f>IFERROR((BY6/BX3),0)</f>
        <v>0</v>
      </c>
      <c r="CA3" s="167"/>
      <c r="CB3" s="168">
        <f>IFERROR(SUMPRODUCT(Plan_Orc!$I$4:$I$2002*Plan_Orc!$AM$4:$AM$2002*(Plan_Orc!$D$4:$D$2002=$B3)),0)</f>
        <v>0</v>
      </c>
      <c r="CC3" s="74"/>
      <c r="CD3" s="75">
        <f>IFERROR((CC6/CB3),0)</f>
        <v>0</v>
      </c>
    </row>
    <row r="4" spans="1:82" x14ac:dyDescent="0.3">
      <c r="B4" s="32"/>
      <c r="K4" s="30"/>
      <c r="M4" s="229" t="s">
        <v>686</v>
      </c>
      <c r="N4" s="230">
        <f>+K24</f>
        <v>0</v>
      </c>
      <c r="O4" s="235">
        <f>IFERROR(N4/$N$7,0)</f>
        <v>0</v>
      </c>
      <c r="AE4" s="169"/>
      <c r="AH4" s="30"/>
      <c r="AI4" s="169"/>
      <c r="AL4" s="30"/>
      <c r="AM4" s="169"/>
      <c r="AP4" s="30"/>
      <c r="AQ4" s="169"/>
      <c r="AT4" s="30"/>
      <c r="AU4" s="169"/>
      <c r="AX4" s="30"/>
      <c r="AY4" s="169"/>
      <c r="BB4" s="30"/>
      <c r="BC4" s="169"/>
      <c r="BF4" s="30"/>
      <c r="BG4" s="169"/>
      <c r="BJ4" s="30"/>
      <c r="BK4" s="169"/>
      <c r="BN4" s="30"/>
      <c r="BO4" s="169"/>
      <c r="BR4" s="30"/>
      <c r="BS4" s="169"/>
      <c r="BV4" s="30"/>
      <c r="BW4" s="169"/>
      <c r="BZ4" s="30"/>
      <c r="CA4" s="169"/>
      <c r="CD4" s="30"/>
    </row>
    <row r="5" spans="1:82" x14ac:dyDescent="0.3">
      <c r="B5" s="69" t="s">
        <v>687</v>
      </c>
      <c r="C5" s="72"/>
      <c r="D5" s="72"/>
      <c r="E5" s="72"/>
      <c r="F5" s="70" t="s">
        <v>688</v>
      </c>
      <c r="G5" s="70" t="s">
        <v>689</v>
      </c>
      <c r="H5" s="70" t="s">
        <v>690</v>
      </c>
      <c r="I5" s="70" t="s">
        <v>691</v>
      </c>
      <c r="J5" s="70" t="s">
        <v>683</v>
      </c>
      <c r="K5" s="71" t="s">
        <v>593</v>
      </c>
      <c r="M5" s="229" t="s">
        <v>692</v>
      </c>
      <c r="N5" s="230">
        <f>+K37</f>
        <v>2013.7934805820514</v>
      </c>
      <c r="O5" s="235">
        <f>IFERROR(N5/$N$7,0)</f>
        <v>1</v>
      </c>
      <c r="AE5" s="170"/>
      <c r="AF5" s="70" t="s">
        <v>691</v>
      </c>
      <c r="AG5" s="70" t="s">
        <v>683</v>
      </c>
      <c r="AH5" s="71" t="s">
        <v>593</v>
      </c>
      <c r="AI5" s="170"/>
      <c r="AJ5" s="70" t="s">
        <v>691</v>
      </c>
      <c r="AK5" s="70" t="s">
        <v>683</v>
      </c>
      <c r="AL5" s="71" t="s">
        <v>593</v>
      </c>
      <c r="AM5" s="170"/>
      <c r="AN5" s="70" t="s">
        <v>691</v>
      </c>
      <c r="AO5" s="70" t="s">
        <v>683</v>
      </c>
      <c r="AP5" s="71" t="s">
        <v>593</v>
      </c>
      <c r="AQ5" s="170"/>
      <c r="AR5" s="70" t="s">
        <v>691</v>
      </c>
      <c r="AS5" s="70" t="s">
        <v>683</v>
      </c>
      <c r="AT5" s="71" t="s">
        <v>593</v>
      </c>
      <c r="AU5" s="170"/>
      <c r="AV5" s="70" t="s">
        <v>691</v>
      </c>
      <c r="AW5" s="70" t="s">
        <v>683</v>
      </c>
      <c r="AX5" s="71" t="s">
        <v>593</v>
      </c>
      <c r="AY5" s="170"/>
      <c r="AZ5" s="70" t="s">
        <v>691</v>
      </c>
      <c r="BA5" s="70" t="s">
        <v>683</v>
      </c>
      <c r="BB5" s="71" t="s">
        <v>593</v>
      </c>
      <c r="BC5" s="170"/>
      <c r="BD5" s="70" t="s">
        <v>691</v>
      </c>
      <c r="BE5" s="70" t="s">
        <v>683</v>
      </c>
      <c r="BF5" s="71" t="s">
        <v>593</v>
      </c>
      <c r="BG5" s="170"/>
      <c r="BH5" s="70" t="s">
        <v>691</v>
      </c>
      <c r="BI5" s="70" t="s">
        <v>683</v>
      </c>
      <c r="BJ5" s="71" t="s">
        <v>593</v>
      </c>
      <c r="BK5" s="170"/>
      <c r="BL5" s="70" t="s">
        <v>691</v>
      </c>
      <c r="BM5" s="70" t="s">
        <v>683</v>
      </c>
      <c r="BN5" s="71" t="s">
        <v>593</v>
      </c>
      <c r="BO5" s="170"/>
      <c r="BP5" s="70" t="s">
        <v>691</v>
      </c>
      <c r="BQ5" s="70" t="s">
        <v>683</v>
      </c>
      <c r="BR5" s="71" t="s">
        <v>593</v>
      </c>
      <c r="BS5" s="170"/>
      <c r="BT5" s="70" t="s">
        <v>691</v>
      </c>
      <c r="BU5" s="70" t="s">
        <v>683</v>
      </c>
      <c r="BV5" s="71" t="s">
        <v>593</v>
      </c>
      <c r="BW5" s="170"/>
      <c r="BX5" s="70" t="s">
        <v>691</v>
      </c>
      <c r="BY5" s="70" t="s">
        <v>683</v>
      </c>
      <c r="BZ5" s="71" t="s">
        <v>593</v>
      </c>
      <c r="CA5" s="170"/>
      <c r="CB5" s="70" t="s">
        <v>691</v>
      </c>
      <c r="CC5" s="70" t="s">
        <v>683</v>
      </c>
      <c r="CD5" s="71" t="s">
        <v>593</v>
      </c>
    </row>
    <row r="6" spans="1:82" s="2" customFormat="1" ht="30" customHeight="1" x14ac:dyDescent="0.3">
      <c r="B6" s="33">
        <f>B7/47</f>
        <v>0</v>
      </c>
      <c r="C6" s="275"/>
      <c r="D6" s="275"/>
      <c r="E6" s="275"/>
      <c r="F6" s="27" t="s">
        <v>789</v>
      </c>
      <c r="G6" s="35">
        <v>1</v>
      </c>
      <c r="H6" s="81" t="s">
        <v>347</v>
      </c>
      <c r="I6" s="55">
        <f>IFERROR(I7/B7*B6,0)</f>
        <v>0</v>
      </c>
      <c r="J6" s="55">
        <f>K11+K24+K37+K50</f>
        <v>2013.7934805820514</v>
      </c>
      <c r="K6" s="56">
        <f>IFERROR((I6-J6)/I6-PARAMETROS!C19,0)</f>
        <v>0</v>
      </c>
      <c r="M6" s="229" t="s">
        <v>693</v>
      </c>
      <c r="N6" s="230">
        <f>+K50</f>
        <v>0</v>
      </c>
      <c r="O6" s="235">
        <f>IFERROR(N6/$N$7,0)</f>
        <v>0</v>
      </c>
      <c r="AE6" s="171"/>
      <c r="AF6" s="55">
        <f>AJ6+AN6+AR6+AV6+AZ6+BD6+BH6+BL6+BP6+BT6+BX6+CB6</f>
        <v>0</v>
      </c>
      <c r="AG6" s="55">
        <f>AH11+AH24+AH37+AH50</f>
        <v>0</v>
      </c>
      <c r="AH6" s="56">
        <f>IFERROR((AF6-AG6)/AF6,0)</f>
        <v>0</v>
      </c>
      <c r="AI6" s="171"/>
      <c r="AJ6" s="55"/>
      <c r="AK6" s="55">
        <f>AL11+AL24+AL37+AL50</f>
        <v>0</v>
      </c>
      <c r="AL6" s="56">
        <f>IFERROR((AJ6-AK6)/AJ6,0)</f>
        <v>0</v>
      </c>
      <c r="AM6" s="171"/>
      <c r="AN6" s="55"/>
      <c r="AO6" s="55">
        <f>AP11+AP24+AP37+AP50</f>
        <v>0</v>
      </c>
      <c r="AP6" s="56">
        <f>IFERROR((AN6-AO6)/AN6,0)</f>
        <v>0</v>
      </c>
      <c r="AQ6" s="171"/>
      <c r="AR6" s="55"/>
      <c r="AS6" s="55">
        <f>AT11+AT24+AT37+AT50</f>
        <v>0</v>
      </c>
      <c r="AT6" s="56">
        <f>IFERROR((AR6-AS6)/AR6,0)</f>
        <v>0</v>
      </c>
      <c r="AU6" s="171"/>
      <c r="AV6" s="55"/>
      <c r="AW6" s="55">
        <f>AX11+AX24+AX37+AX50</f>
        <v>0</v>
      </c>
      <c r="AX6" s="56">
        <f>IFERROR((AV6-AW6)/AV6,0)</f>
        <v>0</v>
      </c>
      <c r="AY6" s="171"/>
      <c r="AZ6" s="55"/>
      <c r="BA6" s="55">
        <f>BB11+BB24+BB37+BB50</f>
        <v>0</v>
      </c>
      <c r="BB6" s="56">
        <f>IFERROR((AZ6-BA6)/AZ6,0)</f>
        <v>0</v>
      </c>
      <c r="BC6" s="171"/>
      <c r="BD6" s="55"/>
      <c r="BE6" s="55">
        <f>BF11+BF24+BF37+BF50</f>
        <v>0</v>
      </c>
      <c r="BF6" s="56">
        <f>IFERROR((BD6-BE6)/BD6,0)</f>
        <v>0</v>
      </c>
      <c r="BG6" s="171"/>
      <c r="BH6" s="55"/>
      <c r="BI6" s="55">
        <f>BJ11+BJ24+BJ37+BJ50</f>
        <v>0</v>
      </c>
      <c r="BJ6" s="56">
        <f>IFERROR((BH6-BI6)/BH6,0)</f>
        <v>0</v>
      </c>
      <c r="BK6" s="171"/>
      <c r="BL6" s="55"/>
      <c r="BM6" s="55">
        <f>BN11+BN24+BN37+BN50</f>
        <v>0</v>
      </c>
      <c r="BN6" s="56">
        <f>IFERROR((BL6-BM6)/BL6,0)</f>
        <v>0</v>
      </c>
      <c r="BO6" s="171"/>
      <c r="BP6" s="55"/>
      <c r="BQ6" s="55">
        <f>BR11+BR24+BR37+BR50</f>
        <v>0</v>
      </c>
      <c r="BR6" s="56">
        <f>IFERROR((BP6-BQ6)/BP6,0)</f>
        <v>0</v>
      </c>
      <c r="BS6" s="171"/>
      <c r="BT6" s="55"/>
      <c r="BU6" s="55">
        <f>BV11+BV24+BV37+BV50</f>
        <v>0</v>
      </c>
      <c r="BV6" s="56">
        <f>IFERROR((BT6-BU6)/BT6,0)</f>
        <v>0</v>
      </c>
      <c r="BW6" s="171"/>
      <c r="BX6" s="55"/>
      <c r="BY6" s="55">
        <f>BZ11+BZ24+BZ37+BZ50</f>
        <v>0</v>
      </c>
      <c r="BZ6" s="56">
        <f>IFERROR((BX6-BY6)/BX6,0)</f>
        <v>0</v>
      </c>
      <c r="CA6" s="171"/>
      <c r="CB6" s="55"/>
      <c r="CC6" s="55">
        <f>CD11+CD24+CD37+CD50</f>
        <v>0</v>
      </c>
      <c r="CD6" s="56">
        <f>IFERROR((CB6-CC6)/CB6,0)</f>
        <v>0</v>
      </c>
    </row>
    <row r="7" spans="1:82" s="2" customFormat="1" ht="30" customHeight="1" thickBot="1" x14ac:dyDescent="0.35">
      <c r="B7" s="34">
        <f>IFERROR(VLOOKUP(B3,Lucratividade!G4:N853,2,0),0)</f>
        <v>0</v>
      </c>
      <c r="C7" s="276"/>
      <c r="D7" s="276"/>
      <c r="E7" s="276"/>
      <c r="F7" s="50"/>
      <c r="G7" s="36">
        <f>IFERROR(B7/B6,0)</f>
        <v>0</v>
      </c>
      <c r="H7" s="82" t="s">
        <v>347</v>
      </c>
      <c r="I7" s="57">
        <f>IFERROR(VLOOKUP(B3,Lucratividade!G4:N132,6,0),0)</f>
        <v>0</v>
      </c>
      <c r="J7" s="58">
        <f>B7*K3</f>
        <v>0</v>
      </c>
      <c r="K7" s="59">
        <f>IFERROR((I7-J7)/I7-PARAMETROS!C19,0)</f>
        <v>0</v>
      </c>
      <c r="M7" s="231" t="s">
        <v>694</v>
      </c>
      <c r="N7" s="232">
        <f>SUM(N3:N6)</f>
        <v>2013.7934805820514</v>
      </c>
      <c r="O7" s="236"/>
      <c r="AE7" s="172"/>
      <c r="AF7" s="57"/>
      <c r="AG7" s="58"/>
      <c r="AH7" s="59"/>
      <c r="AI7" s="172"/>
      <c r="AJ7" s="57"/>
      <c r="AK7" s="58"/>
      <c r="AL7" s="59"/>
      <c r="AM7" s="172"/>
      <c r="AN7" s="57"/>
      <c r="AO7" s="58"/>
      <c r="AP7" s="59"/>
      <c r="AQ7" s="172"/>
      <c r="AR7" s="57"/>
      <c r="AS7" s="58"/>
      <c r="AT7" s="59"/>
      <c r="AU7" s="172"/>
      <c r="AV7" s="57"/>
      <c r="AW7" s="58"/>
      <c r="AX7" s="59"/>
      <c r="AY7" s="172"/>
      <c r="AZ7" s="57"/>
      <c r="BA7" s="58"/>
      <c r="BB7" s="59"/>
      <c r="BC7" s="172"/>
      <c r="BD7" s="57"/>
      <c r="BE7" s="58"/>
      <c r="BF7" s="59"/>
      <c r="BG7" s="172"/>
      <c r="BH7" s="57"/>
      <c r="BI7" s="58"/>
      <c r="BJ7" s="59"/>
      <c r="BK7" s="172"/>
      <c r="BL7" s="57"/>
      <c r="BM7" s="58"/>
      <c r="BN7" s="59"/>
      <c r="BO7" s="172"/>
      <c r="BP7" s="57"/>
      <c r="BQ7" s="58"/>
      <c r="BR7" s="59"/>
      <c r="BS7" s="172"/>
      <c r="BT7" s="57"/>
      <c r="BU7" s="58"/>
      <c r="BV7" s="59"/>
      <c r="BW7" s="172"/>
      <c r="BX7" s="57"/>
      <c r="BY7" s="58"/>
      <c r="BZ7" s="59"/>
      <c r="CA7" s="172"/>
      <c r="CB7" s="57"/>
      <c r="CC7" s="58"/>
      <c r="CD7" s="59"/>
    </row>
    <row r="8" spans="1:82" ht="4.2" customHeight="1" x14ac:dyDescent="0.3">
      <c r="AE8" s="28"/>
      <c r="AI8" s="28"/>
      <c r="AM8" s="28"/>
      <c r="AQ8" s="28"/>
      <c r="AU8" s="28"/>
      <c r="AY8" s="28"/>
      <c r="BC8" s="28"/>
      <c r="BG8" s="28"/>
      <c r="BK8" s="28"/>
      <c r="BO8" s="28"/>
      <c r="BS8" s="28"/>
      <c r="BW8" s="28"/>
      <c r="CA8" s="28"/>
    </row>
    <row r="9" spans="1:82" ht="4.95" customHeight="1" thickBot="1" x14ac:dyDescent="0.35">
      <c r="AE9" s="28"/>
      <c r="AI9" s="28"/>
      <c r="AM9" s="28"/>
      <c r="AQ9" s="28"/>
      <c r="AU9" s="28"/>
      <c r="AY9" s="28"/>
      <c r="BC9" s="28"/>
      <c r="BG9" s="28"/>
      <c r="BK9" s="28"/>
      <c r="BO9" s="28"/>
      <c r="BS9" s="28"/>
      <c r="BW9" s="28"/>
      <c r="CA9" s="28"/>
    </row>
    <row r="10" spans="1:82" ht="15" thickBot="1" x14ac:dyDescent="0.35">
      <c r="B10" s="72" t="s">
        <v>695</v>
      </c>
      <c r="C10" s="72" t="s">
        <v>679</v>
      </c>
      <c r="D10" s="72" t="s">
        <v>696</v>
      </c>
      <c r="E10" s="72" t="s">
        <v>697</v>
      </c>
      <c r="F10" s="72" t="s">
        <v>17</v>
      </c>
      <c r="G10" s="70" t="s">
        <v>690</v>
      </c>
      <c r="H10" s="70" t="s">
        <v>698</v>
      </c>
      <c r="I10" s="72" t="s">
        <v>20</v>
      </c>
      <c r="J10" s="72" t="s">
        <v>699</v>
      </c>
      <c r="K10" s="72" t="s">
        <v>700</v>
      </c>
      <c r="M10" s="83" t="s">
        <v>701</v>
      </c>
      <c r="N10" s="87" t="s">
        <v>702</v>
      </c>
      <c r="AD10" s="173" t="s">
        <v>703</v>
      </c>
      <c r="AE10" s="170" t="s">
        <v>698</v>
      </c>
      <c r="AF10" s="70" t="s">
        <v>20</v>
      </c>
      <c r="AG10" s="70" t="s">
        <v>699</v>
      </c>
      <c r="AH10" s="70" t="s">
        <v>700</v>
      </c>
      <c r="AI10" s="173" t="s">
        <v>704</v>
      </c>
      <c r="AJ10" s="174" t="s">
        <v>705</v>
      </c>
      <c r="AK10" s="174" t="s">
        <v>706</v>
      </c>
      <c r="AL10" s="175" t="s">
        <v>707</v>
      </c>
      <c r="AM10" s="173" t="s">
        <v>708</v>
      </c>
      <c r="AN10" s="174" t="s">
        <v>709</v>
      </c>
      <c r="AO10" s="174" t="s">
        <v>710</v>
      </c>
      <c r="AP10" s="175" t="s">
        <v>711</v>
      </c>
      <c r="AQ10" s="173" t="s">
        <v>712</v>
      </c>
      <c r="AR10" s="174" t="s">
        <v>713</v>
      </c>
      <c r="AS10" s="174" t="s">
        <v>714</v>
      </c>
      <c r="AT10" s="175" t="s">
        <v>715</v>
      </c>
      <c r="AU10" s="173" t="s">
        <v>716</v>
      </c>
      <c r="AV10" s="174" t="s">
        <v>717</v>
      </c>
      <c r="AW10" s="174" t="s">
        <v>718</v>
      </c>
      <c r="AX10" s="175" t="s">
        <v>719</v>
      </c>
      <c r="AY10" s="173" t="s">
        <v>720</v>
      </c>
      <c r="AZ10" s="174" t="s">
        <v>721</v>
      </c>
      <c r="BA10" s="174" t="s">
        <v>722</v>
      </c>
      <c r="BB10" s="175" t="s">
        <v>723</v>
      </c>
      <c r="BC10" s="173" t="s">
        <v>724</v>
      </c>
      <c r="BD10" s="174" t="s">
        <v>725</v>
      </c>
      <c r="BE10" s="174" t="s">
        <v>726</v>
      </c>
      <c r="BF10" s="175" t="s">
        <v>727</v>
      </c>
      <c r="BG10" s="173" t="s">
        <v>728</v>
      </c>
      <c r="BH10" s="174" t="s">
        <v>729</v>
      </c>
      <c r="BI10" s="174" t="s">
        <v>730</v>
      </c>
      <c r="BJ10" s="175" t="s">
        <v>731</v>
      </c>
      <c r="BK10" s="173" t="s">
        <v>732</v>
      </c>
      <c r="BL10" s="174" t="s">
        <v>733</v>
      </c>
      <c r="BM10" s="174" t="s">
        <v>734</v>
      </c>
      <c r="BN10" s="175" t="s">
        <v>735</v>
      </c>
      <c r="BO10" s="173" t="s">
        <v>736</v>
      </c>
      <c r="BP10" s="174" t="s">
        <v>737</v>
      </c>
      <c r="BQ10" s="174" t="s">
        <v>738</v>
      </c>
      <c r="BR10" s="175" t="s">
        <v>739</v>
      </c>
      <c r="BS10" s="173" t="s">
        <v>740</v>
      </c>
      <c r="BT10" s="174" t="s">
        <v>741</v>
      </c>
      <c r="BU10" s="174" t="s">
        <v>742</v>
      </c>
      <c r="BV10" s="175" t="s">
        <v>743</v>
      </c>
      <c r="BW10" s="173" t="s">
        <v>744</v>
      </c>
      <c r="BX10" s="174" t="s">
        <v>745</v>
      </c>
      <c r="BY10" s="174" t="s">
        <v>746</v>
      </c>
      <c r="BZ10" s="175" t="s">
        <v>747</v>
      </c>
      <c r="CA10" s="173" t="s">
        <v>748</v>
      </c>
      <c r="CB10" s="174" t="s">
        <v>749</v>
      </c>
      <c r="CC10" s="174" t="s">
        <v>750</v>
      </c>
      <c r="CD10" s="174" t="s">
        <v>751</v>
      </c>
    </row>
    <row r="11" spans="1:82" x14ac:dyDescent="0.3">
      <c r="B11" s="52" t="s">
        <v>752</v>
      </c>
      <c r="C11" s="52" t="str">
        <f t="shared" ref="C11:C62" si="0">$A$3</f>
        <v>CPU_DrenagemSuperficial</v>
      </c>
      <c r="D11" s="277">
        <f t="shared" ref="D11:D62" si="1">$B$6</f>
        <v>0</v>
      </c>
      <c r="E11" s="277">
        <f t="shared" ref="E11:E62" si="2">$B$7</f>
        <v>0</v>
      </c>
      <c r="F11" s="37"/>
      <c r="G11" s="38"/>
      <c r="H11" s="91"/>
      <c r="I11" s="40"/>
      <c r="J11" s="40">
        <f>IFERROR(K11/$B$6,0)</f>
        <v>0</v>
      </c>
      <c r="K11" s="40">
        <f>SUM(K12:K23)</f>
        <v>0</v>
      </c>
      <c r="M11" s="294" t="s">
        <v>753</v>
      </c>
      <c r="N11" s="295" t="s">
        <v>754</v>
      </c>
      <c r="O11" s="296" t="s">
        <v>755</v>
      </c>
      <c r="AD11" s="144" t="str">
        <f>$B$3</f>
        <v>Drenagem Superficial</v>
      </c>
      <c r="AE11" s="176"/>
      <c r="AF11" s="177"/>
      <c r="AG11" s="177">
        <f>IFERROR(AH11/AF$3,0)</f>
        <v>0</v>
      </c>
      <c r="AH11" s="178">
        <f>SUM(AH12:AH23)</f>
        <v>0</v>
      </c>
      <c r="AI11" s="176"/>
      <c r="AJ11" s="177"/>
      <c r="AK11" s="177">
        <f>IFERROR(AL11/AJ$3,0)</f>
        <v>0</v>
      </c>
      <c r="AL11" s="178">
        <f>SUM(AL12:AL23)</f>
        <v>0</v>
      </c>
      <c r="AM11" s="176"/>
      <c r="AN11" s="177"/>
      <c r="AO11" s="177">
        <f>IFERROR(AP11/AN$3,0)</f>
        <v>0</v>
      </c>
      <c r="AP11" s="178">
        <f>SUM(AP12:AP23)</f>
        <v>0</v>
      </c>
      <c r="AQ11" s="176"/>
      <c r="AR11" s="177"/>
      <c r="AS11" s="177">
        <f>IFERROR(AT11/AR$3,0)</f>
        <v>0</v>
      </c>
      <c r="AT11" s="178">
        <f>SUM(AT12:AT23)</f>
        <v>0</v>
      </c>
      <c r="AU11" s="176"/>
      <c r="AV11" s="177"/>
      <c r="AW11" s="177">
        <f>IFERROR(AX11/AV$3,0)</f>
        <v>0</v>
      </c>
      <c r="AX11" s="178">
        <f>SUM(AX12:AX23)</f>
        <v>0</v>
      </c>
      <c r="AY11" s="176"/>
      <c r="AZ11" s="177"/>
      <c r="BA11" s="177">
        <f>IFERROR(BB11/AZ$3,0)</f>
        <v>0</v>
      </c>
      <c r="BB11" s="178">
        <f>SUM(BB12:BB23)</f>
        <v>0</v>
      </c>
      <c r="BC11" s="176"/>
      <c r="BD11" s="177"/>
      <c r="BE11" s="177">
        <f>IFERROR(BF11/BD$3,0)</f>
        <v>0</v>
      </c>
      <c r="BF11" s="178">
        <f>SUM(BF12:BF23)</f>
        <v>0</v>
      </c>
      <c r="BG11" s="176"/>
      <c r="BH11" s="177"/>
      <c r="BI11" s="177">
        <f>IFERROR(BJ11/BH$3,0)</f>
        <v>0</v>
      </c>
      <c r="BJ11" s="178">
        <f>SUM(BJ12:BJ23)</f>
        <v>0</v>
      </c>
      <c r="BK11" s="176"/>
      <c r="BL11" s="177"/>
      <c r="BM11" s="177">
        <f>IFERROR(BN11/BL$3,0)</f>
        <v>0</v>
      </c>
      <c r="BN11" s="178">
        <f>SUM(BN12:BN23)</f>
        <v>0</v>
      </c>
      <c r="BO11" s="176"/>
      <c r="BP11" s="177"/>
      <c r="BQ11" s="177">
        <f>IFERROR(BR11/BP$3,0)</f>
        <v>0</v>
      </c>
      <c r="BR11" s="178">
        <f>SUM(BR12:BR23)</f>
        <v>0</v>
      </c>
      <c r="BS11" s="176"/>
      <c r="BT11" s="177"/>
      <c r="BU11" s="177">
        <f>IFERROR(BV11/BT$3,0)</f>
        <v>0</v>
      </c>
      <c r="BV11" s="178">
        <f>SUM(BV12:BV23)</f>
        <v>0</v>
      </c>
      <c r="BW11" s="176"/>
      <c r="BX11" s="177"/>
      <c r="BY11" s="177">
        <f>IFERROR(BZ11/BX$3,0)</f>
        <v>0</v>
      </c>
      <c r="BZ11" s="178">
        <f>SUM(BZ12:BZ23)</f>
        <v>0</v>
      </c>
      <c r="CA11" s="176"/>
      <c r="CB11" s="177"/>
      <c r="CC11" s="177">
        <f>IFERROR(CD11/CB$3,0)</f>
        <v>0</v>
      </c>
      <c r="CD11" s="178">
        <f>SUM(CD12:CD23)</f>
        <v>0</v>
      </c>
    </row>
    <row r="12" spans="1:82" x14ac:dyDescent="0.3">
      <c r="B12" s="53"/>
      <c r="C12" s="53" t="str">
        <f t="shared" si="0"/>
        <v>CPU_DrenagemSuperficial</v>
      </c>
      <c r="D12" s="278">
        <f t="shared" si="1"/>
        <v>0</v>
      </c>
      <c r="E12" s="278">
        <f t="shared" si="2"/>
        <v>0</v>
      </c>
      <c r="F12" s="46"/>
      <c r="G12" s="28" t="str">
        <f>IFERROR(VLOOKUP(F12,Tabela7[[RECURSO]:[CUSTO]],2,FALSE),"")</f>
        <v/>
      </c>
      <c r="H12" s="92"/>
      <c r="I12" s="90"/>
      <c r="J12" s="45">
        <f>IFERROR(VLOOKUP(F12,Tabela7[[RECURSO]:[CUSTO]],3,FALSE),0)</f>
        <v>0</v>
      </c>
      <c r="K12" s="45">
        <f>I12*J12*CPU_45[[#This Row],[Nº]]</f>
        <v>0</v>
      </c>
      <c r="M12" s="31"/>
      <c r="N12" s="297"/>
      <c r="O12" s="60">
        <f>IFERROR($B$6/(H12*I12*N12),0)</f>
        <v>0</v>
      </c>
      <c r="AD12" s="144" t="str">
        <f t="shared" ref="AD12:AD62" si="3">$B$3</f>
        <v>Drenagem Superficial</v>
      </c>
      <c r="AE12" s="179"/>
      <c r="AF12" s="180">
        <f>AJ12+AN12+AR12+AV12+AZ12+BD12+BH12+BL12+BP12+BT12+BX12+CB12</f>
        <v>0</v>
      </c>
      <c r="AG12" s="180">
        <f>IFERROR(AH12/AF12,0)</f>
        <v>0</v>
      </c>
      <c r="AH12" s="181">
        <f>AL12+AP12+AT12+AX12+BB12+BF12+BJ12+BN12+BR12+BV12+BZ12+CD12</f>
        <v>0</v>
      </c>
      <c r="AI12" s="182"/>
      <c r="AJ12" s="90"/>
      <c r="AK12" s="90"/>
      <c r="AL12" s="183">
        <f>AJ12*AK12</f>
        <v>0</v>
      </c>
      <c r="AM12" s="182"/>
      <c r="AN12" s="90"/>
      <c r="AO12" s="90"/>
      <c r="AP12" s="183">
        <f t="shared" ref="AP12:AP23" si="4">AN12*AO12</f>
        <v>0</v>
      </c>
      <c r="AQ12" s="182"/>
      <c r="AR12" s="90"/>
      <c r="AS12" s="90"/>
      <c r="AT12" s="183">
        <f t="shared" ref="AT12:AT23" si="5">AR12*AS12</f>
        <v>0</v>
      </c>
      <c r="AU12" s="182"/>
      <c r="AV12" s="90"/>
      <c r="AW12" s="90"/>
      <c r="AX12" s="183">
        <f t="shared" ref="AX12:AX23" si="6">AV12*AW12</f>
        <v>0</v>
      </c>
      <c r="AY12" s="182"/>
      <c r="AZ12" s="90"/>
      <c r="BA12" s="90"/>
      <c r="BB12" s="183">
        <f t="shared" ref="BB12:BB23" si="7">AZ12*BA12</f>
        <v>0</v>
      </c>
      <c r="BC12" s="182"/>
      <c r="BD12" s="90"/>
      <c r="BE12" s="90"/>
      <c r="BF12" s="183">
        <f t="shared" ref="BF12:BF23" si="8">BD12*BE12</f>
        <v>0</v>
      </c>
      <c r="BG12" s="182"/>
      <c r="BH12" s="90"/>
      <c r="BI12" s="90"/>
      <c r="BJ12" s="183">
        <f t="shared" ref="BJ12:BJ23" si="9">BH12*BI12</f>
        <v>0</v>
      </c>
      <c r="BK12" s="182"/>
      <c r="BL12" s="90"/>
      <c r="BM12" s="90"/>
      <c r="BN12" s="183">
        <f t="shared" ref="BN12:BN23" si="10">BL12*BM12</f>
        <v>0</v>
      </c>
      <c r="BO12" s="182"/>
      <c r="BP12" s="90"/>
      <c r="BQ12" s="90"/>
      <c r="BR12" s="183">
        <f t="shared" ref="BR12:BR23" si="11">BP12*BQ12</f>
        <v>0</v>
      </c>
      <c r="BS12" s="182"/>
      <c r="BT12" s="90"/>
      <c r="BU12" s="90"/>
      <c r="BV12" s="183">
        <f t="shared" ref="BV12:BV23" si="12">BT12*BU12</f>
        <v>0</v>
      </c>
      <c r="BW12" s="182"/>
      <c r="BX12" s="90"/>
      <c r="BY12" s="90"/>
      <c r="BZ12" s="183">
        <f t="shared" ref="BZ12:BZ23" si="13">BX12*BY12</f>
        <v>0</v>
      </c>
      <c r="CA12" s="182"/>
      <c r="CB12" s="90"/>
      <c r="CC12" s="90"/>
      <c r="CD12" s="183">
        <f t="shared" ref="CD12:CD23" si="14">CB12*CC12</f>
        <v>0</v>
      </c>
    </row>
    <row r="13" spans="1:82" x14ac:dyDescent="0.3">
      <c r="B13" s="53"/>
      <c r="C13" s="53" t="str">
        <f t="shared" si="0"/>
        <v>CPU_DrenagemSuperficial</v>
      </c>
      <c r="D13" s="278">
        <f t="shared" si="1"/>
        <v>0</v>
      </c>
      <c r="E13" s="278">
        <f t="shared" si="2"/>
        <v>0</v>
      </c>
      <c r="F13" s="1"/>
      <c r="G13" s="28" t="str">
        <f>IFERROR(VLOOKUP(F13,Tabela7[[RECURSO]:[CUSTO]],2,FALSE),"")</f>
        <v/>
      </c>
      <c r="H13" s="92"/>
      <c r="I13" s="90"/>
      <c r="J13" s="45">
        <f>IFERROR(VLOOKUP(F13,Tabela7[[RECURSO]:[CUSTO]],3,FALSE),0)</f>
        <v>0</v>
      </c>
      <c r="K13" s="45">
        <f>I13*J13*CPU_45[[#This Row],[Nº]]</f>
        <v>0</v>
      </c>
      <c r="M13" s="31"/>
      <c r="N13" s="297"/>
      <c r="O13" s="60">
        <f t="shared" ref="O13:O23" si="15">IFERROR($B$6/(H13*I13),0)</f>
        <v>0</v>
      </c>
      <c r="AD13" s="144" t="str">
        <f t="shared" si="3"/>
        <v>Drenagem Superficial</v>
      </c>
      <c r="AE13" s="179"/>
      <c r="AF13" s="180">
        <f t="shared" ref="AF13:AF23" si="16">AJ13+AN13+AR13+AV13+AZ13+BD13+BH13+BL13+BP13+BT13+BX13+CB13</f>
        <v>0</v>
      </c>
      <c r="AG13" s="180">
        <f t="shared" ref="AG13:AG62" si="17">IFERROR(AH13/AF13,0)</f>
        <v>0</v>
      </c>
      <c r="AH13" s="181">
        <f t="shared" ref="AH13:AH23" si="18">AL13+AP13+AT13+AX13+BB13+BF13+BJ13+BN13+BR13+BV13+BZ13+CD13</f>
        <v>0</v>
      </c>
      <c r="AI13" s="182"/>
      <c r="AJ13" s="90"/>
      <c r="AK13" s="90"/>
      <c r="AL13" s="183">
        <f t="shared" ref="AL13:AL23" si="19">AJ13*AK13</f>
        <v>0</v>
      </c>
      <c r="AM13" s="182"/>
      <c r="AN13" s="90"/>
      <c r="AO13" s="90"/>
      <c r="AP13" s="183">
        <f t="shared" si="4"/>
        <v>0</v>
      </c>
      <c r="AQ13" s="182"/>
      <c r="AR13" s="90"/>
      <c r="AS13" s="90"/>
      <c r="AT13" s="183">
        <f t="shared" si="5"/>
        <v>0</v>
      </c>
      <c r="AU13" s="182"/>
      <c r="AV13" s="90"/>
      <c r="AW13" s="90"/>
      <c r="AX13" s="183">
        <f t="shared" si="6"/>
        <v>0</v>
      </c>
      <c r="AY13" s="182"/>
      <c r="AZ13" s="90"/>
      <c r="BA13" s="90"/>
      <c r="BB13" s="183">
        <f t="shared" si="7"/>
        <v>0</v>
      </c>
      <c r="BC13" s="182"/>
      <c r="BD13" s="90"/>
      <c r="BE13" s="90"/>
      <c r="BF13" s="183">
        <f t="shared" si="8"/>
        <v>0</v>
      </c>
      <c r="BG13" s="182"/>
      <c r="BH13" s="90"/>
      <c r="BI13" s="90"/>
      <c r="BJ13" s="183">
        <f t="shared" si="9"/>
        <v>0</v>
      </c>
      <c r="BK13" s="182"/>
      <c r="BL13" s="90"/>
      <c r="BM13" s="90"/>
      <c r="BN13" s="183">
        <f t="shared" si="10"/>
        <v>0</v>
      </c>
      <c r="BO13" s="182"/>
      <c r="BP13" s="90"/>
      <c r="BQ13" s="90"/>
      <c r="BR13" s="183">
        <f t="shared" si="11"/>
        <v>0</v>
      </c>
      <c r="BS13" s="182"/>
      <c r="BT13" s="90"/>
      <c r="BU13" s="90"/>
      <c r="BV13" s="183">
        <f t="shared" si="12"/>
        <v>0</v>
      </c>
      <c r="BW13" s="182"/>
      <c r="BX13" s="90"/>
      <c r="BY13" s="90"/>
      <c r="BZ13" s="183">
        <f t="shared" si="13"/>
        <v>0</v>
      </c>
      <c r="CA13" s="182"/>
      <c r="CB13" s="90"/>
      <c r="CC13" s="90"/>
      <c r="CD13" s="183">
        <f t="shared" si="14"/>
        <v>0</v>
      </c>
    </row>
    <row r="14" spans="1:82" x14ac:dyDescent="0.3">
      <c r="B14" s="53"/>
      <c r="C14" s="53" t="str">
        <f t="shared" si="0"/>
        <v>CPU_DrenagemSuperficial</v>
      </c>
      <c r="D14" s="278">
        <f t="shared" si="1"/>
        <v>0</v>
      </c>
      <c r="E14" s="278">
        <f t="shared" si="2"/>
        <v>0</v>
      </c>
      <c r="F14" s="1"/>
      <c r="G14" s="28" t="str">
        <f>IFERROR(VLOOKUP(F14,Tabela7[[RECURSO]:[CUSTO]],2,FALSE),"")</f>
        <v/>
      </c>
      <c r="H14" s="92"/>
      <c r="I14" s="90"/>
      <c r="J14" s="45">
        <f>IFERROR(VLOOKUP(F14,Tabela7[[RECURSO]:[CUSTO]],3,FALSE),0)</f>
        <v>0</v>
      </c>
      <c r="K14" s="45">
        <f>I14*J14*CPU_45[[#This Row],[Nº]]</f>
        <v>0</v>
      </c>
      <c r="M14" s="31"/>
      <c r="N14" s="297"/>
      <c r="O14" s="60">
        <f t="shared" si="15"/>
        <v>0</v>
      </c>
      <c r="AD14" s="144" t="str">
        <f t="shared" si="3"/>
        <v>Drenagem Superficial</v>
      </c>
      <c r="AE14" s="179"/>
      <c r="AF14" s="180">
        <f t="shared" si="16"/>
        <v>0</v>
      </c>
      <c r="AG14" s="180">
        <f t="shared" si="17"/>
        <v>0</v>
      </c>
      <c r="AH14" s="181">
        <f t="shared" si="18"/>
        <v>0</v>
      </c>
      <c r="AI14" s="182"/>
      <c r="AJ14" s="90"/>
      <c r="AK14" s="90"/>
      <c r="AL14" s="183">
        <f t="shared" si="19"/>
        <v>0</v>
      </c>
      <c r="AM14" s="182"/>
      <c r="AN14" s="90"/>
      <c r="AO14" s="90"/>
      <c r="AP14" s="183">
        <f t="shared" si="4"/>
        <v>0</v>
      </c>
      <c r="AQ14" s="182"/>
      <c r="AR14" s="90"/>
      <c r="AS14" s="90"/>
      <c r="AT14" s="183">
        <f t="shared" si="5"/>
        <v>0</v>
      </c>
      <c r="AU14" s="182"/>
      <c r="AV14" s="90"/>
      <c r="AW14" s="90"/>
      <c r="AX14" s="183">
        <f t="shared" si="6"/>
        <v>0</v>
      </c>
      <c r="AY14" s="182"/>
      <c r="AZ14" s="90"/>
      <c r="BA14" s="90"/>
      <c r="BB14" s="183">
        <f t="shared" si="7"/>
        <v>0</v>
      </c>
      <c r="BC14" s="182"/>
      <c r="BD14" s="90"/>
      <c r="BE14" s="90"/>
      <c r="BF14" s="183">
        <f t="shared" si="8"/>
        <v>0</v>
      </c>
      <c r="BG14" s="182"/>
      <c r="BH14" s="90"/>
      <c r="BI14" s="90"/>
      <c r="BJ14" s="183">
        <f t="shared" si="9"/>
        <v>0</v>
      </c>
      <c r="BK14" s="182"/>
      <c r="BL14" s="90"/>
      <c r="BM14" s="90"/>
      <c r="BN14" s="183">
        <f t="shared" si="10"/>
        <v>0</v>
      </c>
      <c r="BO14" s="182"/>
      <c r="BP14" s="90"/>
      <c r="BQ14" s="90"/>
      <c r="BR14" s="183">
        <f t="shared" si="11"/>
        <v>0</v>
      </c>
      <c r="BS14" s="182"/>
      <c r="BT14" s="90"/>
      <c r="BU14" s="90"/>
      <c r="BV14" s="183">
        <f t="shared" si="12"/>
        <v>0</v>
      </c>
      <c r="BW14" s="182"/>
      <c r="BX14" s="90"/>
      <c r="BY14" s="90"/>
      <c r="BZ14" s="183">
        <f t="shared" si="13"/>
        <v>0</v>
      </c>
      <c r="CA14" s="182"/>
      <c r="CB14" s="90"/>
      <c r="CC14" s="90"/>
      <c r="CD14" s="183">
        <f t="shared" si="14"/>
        <v>0</v>
      </c>
    </row>
    <row r="15" spans="1:82" x14ac:dyDescent="0.3">
      <c r="B15" s="153"/>
      <c r="C15" s="153" t="str">
        <f t="shared" si="0"/>
        <v>CPU_DrenagemSuperficial</v>
      </c>
      <c r="D15" s="279">
        <f t="shared" si="1"/>
        <v>0</v>
      </c>
      <c r="E15" s="279">
        <f t="shared" si="2"/>
        <v>0</v>
      </c>
      <c r="F15" s="1"/>
      <c r="G15" s="28" t="str">
        <f>IFERROR(VLOOKUP(F15,Tabela7[[RECURSO]:[CUSTO]],2,FALSE),"")</f>
        <v/>
      </c>
      <c r="H15" s="92"/>
      <c r="I15" s="90"/>
      <c r="J15" s="45">
        <f>IFERROR(VLOOKUP(F15,Tabela7[[RECURSO]:[CUSTO]],3,FALSE),0)</f>
        <v>0</v>
      </c>
      <c r="K15" s="45">
        <f>I15*J15*CPU_45[[#This Row],[Nº]]</f>
        <v>0</v>
      </c>
      <c r="M15" s="31"/>
      <c r="N15" s="297"/>
      <c r="O15" s="60">
        <f t="shared" si="15"/>
        <v>0</v>
      </c>
      <c r="AD15" s="144" t="str">
        <f t="shared" si="3"/>
        <v>Drenagem Superficial</v>
      </c>
      <c r="AE15" s="179"/>
      <c r="AF15" s="180">
        <f t="shared" si="16"/>
        <v>0</v>
      </c>
      <c r="AG15" s="180">
        <f t="shared" si="17"/>
        <v>0</v>
      </c>
      <c r="AH15" s="181">
        <f t="shared" si="18"/>
        <v>0</v>
      </c>
      <c r="AI15" s="182"/>
      <c r="AJ15" s="90"/>
      <c r="AK15" s="90"/>
      <c r="AL15" s="183">
        <f t="shared" si="19"/>
        <v>0</v>
      </c>
      <c r="AM15" s="182"/>
      <c r="AN15" s="90"/>
      <c r="AO15" s="90"/>
      <c r="AP15" s="183">
        <f t="shared" si="4"/>
        <v>0</v>
      </c>
      <c r="AQ15" s="182"/>
      <c r="AR15" s="90"/>
      <c r="AS15" s="90"/>
      <c r="AT15" s="183">
        <f t="shared" si="5"/>
        <v>0</v>
      </c>
      <c r="AU15" s="182"/>
      <c r="AV15" s="90"/>
      <c r="AW15" s="90"/>
      <c r="AX15" s="183">
        <f t="shared" si="6"/>
        <v>0</v>
      </c>
      <c r="AY15" s="182"/>
      <c r="AZ15" s="90"/>
      <c r="BA15" s="90"/>
      <c r="BB15" s="183">
        <f t="shared" si="7"/>
        <v>0</v>
      </c>
      <c r="BC15" s="182"/>
      <c r="BD15" s="90"/>
      <c r="BE15" s="90"/>
      <c r="BF15" s="183">
        <f t="shared" si="8"/>
        <v>0</v>
      </c>
      <c r="BG15" s="182"/>
      <c r="BH15" s="90"/>
      <c r="BI15" s="90"/>
      <c r="BJ15" s="183">
        <f t="shared" si="9"/>
        <v>0</v>
      </c>
      <c r="BK15" s="182"/>
      <c r="BL15" s="90"/>
      <c r="BM15" s="90"/>
      <c r="BN15" s="183">
        <f t="shared" si="10"/>
        <v>0</v>
      </c>
      <c r="BO15" s="182"/>
      <c r="BP15" s="90"/>
      <c r="BQ15" s="90"/>
      <c r="BR15" s="183">
        <f t="shared" si="11"/>
        <v>0</v>
      </c>
      <c r="BS15" s="182"/>
      <c r="BT15" s="90"/>
      <c r="BU15" s="90"/>
      <c r="BV15" s="183">
        <f t="shared" si="12"/>
        <v>0</v>
      </c>
      <c r="BW15" s="182"/>
      <c r="BX15" s="90"/>
      <c r="BY15" s="90"/>
      <c r="BZ15" s="183">
        <f t="shared" si="13"/>
        <v>0</v>
      </c>
      <c r="CA15" s="182"/>
      <c r="CB15" s="90"/>
      <c r="CC15" s="90"/>
      <c r="CD15" s="183">
        <f t="shared" si="14"/>
        <v>0</v>
      </c>
    </row>
    <row r="16" spans="1:82" x14ac:dyDescent="0.3">
      <c r="B16" s="53"/>
      <c r="C16" s="53" t="str">
        <f t="shared" si="0"/>
        <v>CPU_DrenagemSuperficial</v>
      </c>
      <c r="D16" s="278">
        <f t="shared" si="1"/>
        <v>0</v>
      </c>
      <c r="E16" s="278">
        <f t="shared" si="2"/>
        <v>0</v>
      </c>
      <c r="F16" s="1"/>
      <c r="G16" s="28" t="str">
        <f>IFERROR(VLOOKUP(F16,Tabela7[[RECURSO]:[CUSTO]],2,FALSE),"")</f>
        <v/>
      </c>
      <c r="H16" s="92"/>
      <c r="I16" s="90"/>
      <c r="J16" s="45">
        <f>IFERROR(VLOOKUP(F16,Tabela7[[RECURSO]:[CUSTO]],3,FALSE),0)</f>
        <v>0</v>
      </c>
      <c r="K16" s="45">
        <f>I16*J16*CPU_45[[#This Row],[Nº]]</f>
        <v>0</v>
      </c>
      <c r="M16" s="31"/>
      <c r="N16" s="297"/>
      <c r="O16" s="60">
        <f t="shared" si="15"/>
        <v>0</v>
      </c>
      <c r="AD16" s="144" t="str">
        <f t="shared" si="3"/>
        <v>Drenagem Superficial</v>
      </c>
      <c r="AE16" s="179"/>
      <c r="AF16" s="180">
        <f t="shared" si="16"/>
        <v>0</v>
      </c>
      <c r="AG16" s="180">
        <f t="shared" si="17"/>
        <v>0</v>
      </c>
      <c r="AH16" s="181">
        <f t="shared" si="18"/>
        <v>0</v>
      </c>
      <c r="AI16" s="182"/>
      <c r="AJ16" s="90"/>
      <c r="AK16" s="90"/>
      <c r="AL16" s="183">
        <f t="shared" si="19"/>
        <v>0</v>
      </c>
      <c r="AM16" s="182"/>
      <c r="AN16" s="90"/>
      <c r="AO16" s="90"/>
      <c r="AP16" s="183">
        <f t="shared" si="4"/>
        <v>0</v>
      </c>
      <c r="AQ16" s="182"/>
      <c r="AR16" s="90"/>
      <c r="AS16" s="90"/>
      <c r="AT16" s="183">
        <f t="shared" si="5"/>
        <v>0</v>
      </c>
      <c r="AU16" s="182"/>
      <c r="AV16" s="90"/>
      <c r="AW16" s="90"/>
      <c r="AX16" s="183">
        <f t="shared" si="6"/>
        <v>0</v>
      </c>
      <c r="AY16" s="182"/>
      <c r="AZ16" s="90"/>
      <c r="BA16" s="90"/>
      <c r="BB16" s="183">
        <f t="shared" si="7"/>
        <v>0</v>
      </c>
      <c r="BC16" s="182"/>
      <c r="BD16" s="90"/>
      <c r="BE16" s="90"/>
      <c r="BF16" s="183">
        <f t="shared" si="8"/>
        <v>0</v>
      </c>
      <c r="BG16" s="182"/>
      <c r="BH16" s="90"/>
      <c r="BI16" s="90"/>
      <c r="BJ16" s="183">
        <f t="shared" si="9"/>
        <v>0</v>
      </c>
      <c r="BK16" s="182"/>
      <c r="BL16" s="90"/>
      <c r="BM16" s="90"/>
      <c r="BN16" s="183">
        <f t="shared" si="10"/>
        <v>0</v>
      </c>
      <c r="BO16" s="182"/>
      <c r="BP16" s="90"/>
      <c r="BQ16" s="90"/>
      <c r="BR16" s="183">
        <f t="shared" si="11"/>
        <v>0</v>
      </c>
      <c r="BS16" s="182"/>
      <c r="BT16" s="90"/>
      <c r="BU16" s="90"/>
      <c r="BV16" s="183">
        <f t="shared" si="12"/>
        <v>0</v>
      </c>
      <c r="BW16" s="182"/>
      <c r="BX16" s="90"/>
      <c r="BY16" s="90"/>
      <c r="BZ16" s="183">
        <f t="shared" si="13"/>
        <v>0</v>
      </c>
      <c r="CA16" s="182"/>
      <c r="CB16" s="90"/>
      <c r="CC16" s="90"/>
      <c r="CD16" s="183">
        <f t="shared" si="14"/>
        <v>0</v>
      </c>
    </row>
    <row r="17" spans="2:82" x14ac:dyDescent="0.3">
      <c r="B17" s="53"/>
      <c r="C17" s="53" t="str">
        <f t="shared" si="0"/>
        <v>CPU_DrenagemSuperficial</v>
      </c>
      <c r="D17" s="278">
        <f t="shared" si="1"/>
        <v>0</v>
      </c>
      <c r="E17" s="278">
        <f t="shared" si="2"/>
        <v>0</v>
      </c>
      <c r="F17" s="1"/>
      <c r="G17" s="28" t="str">
        <f>IFERROR(VLOOKUP(F17,Tabela7[[RECURSO]:[CUSTO]],2,FALSE),"")</f>
        <v/>
      </c>
      <c r="H17" s="92"/>
      <c r="I17" s="90"/>
      <c r="J17" s="45">
        <f>IFERROR(VLOOKUP(F17,Tabela7[[RECURSO]:[CUSTO]],3,FALSE),0)</f>
        <v>0</v>
      </c>
      <c r="K17" s="45">
        <f>I17*J17*CPU_45[[#This Row],[Nº]]</f>
        <v>0</v>
      </c>
      <c r="M17" s="31"/>
      <c r="N17" s="297"/>
      <c r="O17" s="60">
        <f t="shared" si="15"/>
        <v>0</v>
      </c>
      <c r="AD17" s="144" t="str">
        <f t="shared" si="3"/>
        <v>Drenagem Superficial</v>
      </c>
      <c r="AE17" s="179"/>
      <c r="AF17" s="180">
        <f t="shared" si="16"/>
        <v>0</v>
      </c>
      <c r="AG17" s="180">
        <f t="shared" si="17"/>
        <v>0</v>
      </c>
      <c r="AH17" s="181">
        <f t="shared" si="18"/>
        <v>0</v>
      </c>
      <c r="AI17" s="182"/>
      <c r="AJ17" s="90"/>
      <c r="AK17" s="90"/>
      <c r="AL17" s="183">
        <f t="shared" si="19"/>
        <v>0</v>
      </c>
      <c r="AM17" s="182"/>
      <c r="AN17" s="90"/>
      <c r="AO17" s="90"/>
      <c r="AP17" s="183">
        <f t="shared" si="4"/>
        <v>0</v>
      </c>
      <c r="AQ17" s="182"/>
      <c r="AR17" s="90"/>
      <c r="AS17" s="90"/>
      <c r="AT17" s="183">
        <f t="shared" si="5"/>
        <v>0</v>
      </c>
      <c r="AU17" s="182"/>
      <c r="AV17" s="90"/>
      <c r="AW17" s="90"/>
      <c r="AX17" s="183">
        <f t="shared" si="6"/>
        <v>0</v>
      </c>
      <c r="AY17" s="182"/>
      <c r="AZ17" s="90"/>
      <c r="BA17" s="90"/>
      <c r="BB17" s="183">
        <f t="shared" si="7"/>
        <v>0</v>
      </c>
      <c r="BC17" s="182"/>
      <c r="BD17" s="90"/>
      <c r="BE17" s="90"/>
      <c r="BF17" s="183">
        <f t="shared" si="8"/>
        <v>0</v>
      </c>
      <c r="BG17" s="182"/>
      <c r="BH17" s="90"/>
      <c r="BI17" s="90"/>
      <c r="BJ17" s="183">
        <f t="shared" si="9"/>
        <v>0</v>
      </c>
      <c r="BK17" s="182"/>
      <c r="BL17" s="90"/>
      <c r="BM17" s="90"/>
      <c r="BN17" s="183">
        <f t="shared" si="10"/>
        <v>0</v>
      </c>
      <c r="BO17" s="182"/>
      <c r="BP17" s="90"/>
      <c r="BQ17" s="90"/>
      <c r="BR17" s="183">
        <f t="shared" si="11"/>
        <v>0</v>
      </c>
      <c r="BS17" s="182"/>
      <c r="BT17" s="90"/>
      <c r="BU17" s="90"/>
      <c r="BV17" s="183">
        <f t="shared" si="12"/>
        <v>0</v>
      </c>
      <c r="BW17" s="182"/>
      <c r="BX17" s="90"/>
      <c r="BY17" s="90"/>
      <c r="BZ17" s="183">
        <f t="shared" si="13"/>
        <v>0</v>
      </c>
      <c r="CA17" s="182"/>
      <c r="CB17" s="90"/>
      <c r="CC17" s="90"/>
      <c r="CD17" s="183">
        <f t="shared" si="14"/>
        <v>0</v>
      </c>
    </row>
    <row r="18" spans="2:82" x14ac:dyDescent="0.3">
      <c r="B18" s="53"/>
      <c r="C18" s="53" t="str">
        <f t="shared" si="0"/>
        <v>CPU_DrenagemSuperficial</v>
      </c>
      <c r="D18" s="278">
        <f t="shared" si="1"/>
        <v>0</v>
      </c>
      <c r="E18" s="278">
        <f t="shared" si="2"/>
        <v>0</v>
      </c>
      <c r="F18" s="1"/>
      <c r="G18" s="28" t="str">
        <f>IFERROR(VLOOKUP(F18,Tabela7[[RECURSO]:[CUSTO]],2,FALSE),"")</f>
        <v/>
      </c>
      <c r="H18" s="92"/>
      <c r="I18" s="90"/>
      <c r="J18" s="45">
        <f>IFERROR(VLOOKUP(F18,Tabela7[[RECURSO]:[CUSTO]],3,FALSE),0)</f>
        <v>0</v>
      </c>
      <c r="K18" s="45">
        <f>I18*J18*CPU_45[[#This Row],[Nº]]</f>
        <v>0</v>
      </c>
      <c r="M18" s="31"/>
      <c r="N18" s="297"/>
      <c r="O18" s="60">
        <f t="shared" si="15"/>
        <v>0</v>
      </c>
      <c r="AD18" s="144" t="str">
        <f t="shared" si="3"/>
        <v>Drenagem Superficial</v>
      </c>
      <c r="AE18" s="179"/>
      <c r="AF18" s="180">
        <f t="shared" si="16"/>
        <v>0</v>
      </c>
      <c r="AG18" s="180">
        <f t="shared" si="17"/>
        <v>0</v>
      </c>
      <c r="AH18" s="181">
        <f t="shared" si="18"/>
        <v>0</v>
      </c>
      <c r="AI18" s="182"/>
      <c r="AJ18" s="90"/>
      <c r="AK18" s="90"/>
      <c r="AL18" s="183">
        <f t="shared" si="19"/>
        <v>0</v>
      </c>
      <c r="AM18" s="182"/>
      <c r="AN18" s="90"/>
      <c r="AO18" s="90"/>
      <c r="AP18" s="183">
        <f t="shared" si="4"/>
        <v>0</v>
      </c>
      <c r="AQ18" s="182"/>
      <c r="AR18" s="90"/>
      <c r="AS18" s="90"/>
      <c r="AT18" s="183">
        <f t="shared" si="5"/>
        <v>0</v>
      </c>
      <c r="AU18" s="182"/>
      <c r="AV18" s="90"/>
      <c r="AW18" s="90"/>
      <c r="AX18" s="183">
        <f t="shared" si="6"/>
        <v>0</v>
      </c>
      <c r="AY18" s="182"/>
      <c r="AZ18" s="90"/>
      <c r="BA18" s="90"/>
      <c r="BB18" s="183">
        <f t="shared" si="7"/>
        <v>0</v>
      </c>
      <c r="BC18" s="182"/>
      <c r="BD18" s="90"/>
      <c r="BE18" s="90"/>
      <c r="BF18" s="183">
        <f t="shared" si="8"/>
        <v>0</v>
      </c>
      <c r="BG18" s="182"/>
      <c r="BH18" s="90"/>
      <c r="BI18" s="90"/>
      <c r="BJ18" s="183">
        <f t="shared" si="9"/>
        <v>0</v>
      </c>
      <c r="BK18" s="182"/>
      <c r="BL18" s="90"/>
      <c r="BM18" s="90"/>
      <c r="BN18" s="183">
        <f t="shared" si="10"/>
        <v>0</v>
      </c>
      <c r="BO18" s="182"/>
      <c r="BP18" s="90"/>
      <c r="BQ18" s="90"/>
      <c r="BR18" s="183">
        <f t="shared" si="11"/>
        <v>0</v>
      </c>
      <c r="BS18" s="182"/>
      <c r="BT18" s="90"/>
      <c r="BU18" s="90"/>
      <c r="BV18" s="183">
        <f t="shared" si="12"/>
        <v>0</v>
      </c>
      <c r="BW18" s="182"/>
      <c r="BX18" s="90"/>
      <c r="BY18" s="90"/>
      <c r="BZ18" s="183">
        <f t="shared" si="13"/>
        <v>0</v>
      </c>
      <c r="CA18" s="182"/>
      <c r="CB18" s="90"/>
      <c r="CC18" s="90"/>
      <c r="CD18" s="183">
        <f t="shared" si="14"/>
        <v>0</v>
      </c>
    </row>
    <row r="19" spans="2:82" x14ac:dyDescent="0.3">
      <c r="B19" s="53"/>
      <c r="C19" s="53" t="str">
        <f t="shared" si="0"/>
        <v>CPU_DrenagemSuperficial</v>
      </c>
      <c r="D19" s="278">
        <f t="shared" si="1"/>
        <v>0</v>
      </c>
      <c r="E19" s="278">
        <f t="shared" si="2"/>
        <v>0</v>
      </c>
      <c r="F19" s="1"/>
      <c r="G19" s="28" t="str">
        <f>IFERROR(VLOOKUP(F19,Tabela7[[RECURSO]:[CUSTO]],2,FALSE),"")</f>
        <v/>
      </c>
      <c r="H19" s="92"/>
      <c r="I19" s="90"/>
      <c r="J19" s="45">
        <f>IFERROR(VLOOKUP(F19,Tabela7[[RECURSO]:[CUSTO]],3,FALSE),0)</f>
        <v>0</v>
      </c>
      <c r="K19" s="45">
        <f>I19*J19*CPU_45[[#This Row],[Nº]]</f>
        <v>0</v>
      </c>
      <c r="M19" s="31"/>
      <c r="N19" s="297"/>
      <c r="O19" s="60">
        <f t="shared" si="15"/>
        <v>0</v>
      </c>
      <c r="AD19" s="144" t="str">
        <f t="shared" si="3"/>
        <v>Drenagem Superficial</v>
      </c>
      <c r="AE19" s="179"/>
      <c r="AF19" s="180">
        <f t="shared" si="16"/>
        <v>0</v>
      </c>
      <c r="AG19" s="180">
        <f t="shared" si="17"/>
        <v>0</v>
      </c>
      <c r="AH19" s="181">
        <f t="shared" si="18"/>
        <v>0</v>
      </c>
      <c r="AI19" s="182"/>
      <c r="AJ19" s="90"/>
      <c r="AK19" s="90"/>
      <c r="AL19" s="183">
        <f t="shared" si="19"/>
        <v>0</v>
      </c>
      <c r="AM19" s="182"/>
      <c r="AN19" s="90"/>
      <c r="AO19" s="90"/>
      <c r="AP19" s="183">
        <f t="shared" si="4"/>
        <v>0</v>
      </c>
      <c r="AQ19" s="182"/>
      <c r="AR19" s="90"/>
      <c r="AS19" s="90"/>
      <c r="AT19" s="183">
        <f t="shared" si="5"/>
        <v>0</v>
      </c>
      <c r="AU19" s="182"/>
      <c r="AV19" s="90"/>
      <c r="AW19" s="90"/>
      <c r="AX19" s="183">
        <f t="shared" si="6"/>
        <v>0</v>
      </c>
      <c r="AY19" s="182"/>
      <c r="AZ19" s="90"/>
      <c r="BA19" s="90"/>
      <c r="BB19" s="183">
        <f t="shared" si="7"/>
        <v>0</v>
      </c>
      <c r="BC19" s="182"/>
      <c r="BD19" s="90"/>
      <c r="BE19" s="90"/>
      <c r="BF19" s="183">
        <f t="shared" si="8"/>
        <v>0</v>
      </c>
      <c r="BG19" s="182"/>
      <c r="BH19" s="90"/>
      <c r="BI19" s="90"/>
      <c r="BJ19" s="183">
        <f t="shared" si="9"/>
        <v>0</v>
      </c>
      <c r="BK19" s="182"/>
      <c r="BL19" s="90"/>
      <c r="BM19" s="90"/>
      <c r="BN19" s="183">
        <f t="shared" si="10"/>
        <v>0</v>
      </c>
      <c r="BO19" s="182"/>
      <c r="BP19" s="90"/>
      <c r="BQ19" s="90"/>
      <c r="BR19" s="183">
        <f t="shared" si="11"/>
        <v>0</v>
      </c>
      <c r="BS19" s="182"/>
      <c r="BT19" s="90"/>
      <c r="BU19" s="90"/>
      <c r="BV19" s="183">
        <f t="shared" si="12"/>
        <v>0</v>
      </c>
      <c r="BW19" s="182"/>
      <c r="BX19" s="90"/>
      <c r="BY19" s="90"/>
      <c r="BZ19" s="183">
        <f t="shared" si="13"/>
        <v>0</v>
      </c>
      <c r="CA19" s="182"/>
      <c r="CB19" s="90"/>
      <c r="CC19" s="90"/>
      <c r="CD19" s="183">
        <f t="shared" si="14"/>
        <v>0</v>
      </c>
    </row>
    <row r="20" spans="2:82" x14ac:dyDescent="0.3">
      <c r="B20" s="53"/>
      <c r="C20" s="53" t="str">
        <f t="shared" si="0"/>
        <v>CPU_DrenagemSuperficial</v>
      </c>
      <c r="D20" s="278">
        <f t="shared" si="1"/>
        <v>0</v>
      </c>
      <c r="E20" s="278">
        <f t="shared" si="2"/>
        <v>0</v>
      </c>
      <c r="F20" s="1"/>
      <c r="G20" s="28" t="str">
        <f>IFERROR(VLOOKUP(F20,Tabela7[[RECURSO]:[CUSTO]],2,FALSE),"")</f>
        <v/>
      </c>
      <c r="H20" s="92"/>
      <c r="I20" s="90"/>
      <c r="J20" s="45">
        <f>IFERROR(VLOOKUP(F20,Tabela7[[RECURSO]:[CUSTO]],3,FALSE),0)</f>
        <v>0</v>
      </c>
      <c r="K20" s="45">
        <f>I20*J20*CPU_45[[#This Row],[Nº]]</f>
        <v>0</v>
      </c>
      <c r="M20" s="31"/>
      <c r="N20" s="297"/>
      <c r="O20" s="60">
        <f t="shared" si="15"/>
        <v>0</v>
      </c>
      <c r="AD20" s="144" t="str">
        <f t="shared" si="3"/>
        <v>Drenagem Superficial</v>
      </c>
      <c r="AE20" s="179"/>
      <c r="AF20" s="180">
        <f t="shared" si="16"/>
        <v>0</v>
      </c>
      <c r="AG20" s="180">
        <f t="shared" si="17"/>
        <v>0</v>
      </c>
      <c r="AH20" s="181">
        <f t="shared" si="18"/>
        <v>0</v>
      </c>
      <c r="AI20" s="182"/>
      <c r="AJ20" s="90"/>
      <c r="AK20" s="90"/>
      <c r="AL20" s="183">
        <f t="shared" si="19"/>
        <v>0</v>
      </c>
      <c r="AM20" s="182"/>
      <c r="AN20" s="90"/>
      <c r="AO20" s="90"/>
      <c r="AP20" s="183">
        <f t="shared" si="4"/>
        <v>0</v>
      </c>
      <c r="AQ20" s="182"/>
      <c r="AR20" s="90"/>
      <c r="AS20" s="90"/>
      <c r="AT20" s="183">
        <f t="shared" si="5"/>
        <v>0</v>
      </c>
      <c r="AU20" s="182"/>
      <c r="AV20" s="90"/>
      <c r="AW20" s="90"/>
      <c r="AX20" s="183">
        <f t="shared" si="6"/>
        <v>0</v>
      </c>
      <c r="AY20" s="182"/>
      <c r="AZ20" s="90"/>
      <c r="BA20" s="90"/>
      <c r="BB20" s="183">
        <f t="shared" si="7"/>
        <v>0</v>
      </c>
      <c r="BC20" s="182"/>
      <c r="BD20" s="90"/>
      <c r="BE20" s="90"/>
      <c r="BF20" s="183">
        <f t="shared" si="8"/>
        <v>0</v>
      </c>
      <c r="BG20" s="182"/>
      <c r="BH20" s="90"/>
      <c r="BI20" s="90"/>
      <c r="BJ20" s="183">
        <f t="shared" si="9"/>
        <v>0</v>
      </c>
      <c r="BK20" s="182"/>
      <c r="BL20" s="90"/>
      <c r="BM20" s="90"/>
      <c r="BN20" s="183">
        <f t="shared" si="10"/>
        <v>0</v>
      </c>
      <c r="BO20" s="182"/>
      <c r="BP20" s="90"/>
      <c r="BQ20" s="90"/>
      <c r="BR20" s="183">
        <f t="shared" si="11"/>
        <v>0</v>
      </c>
      <c r="BS20" s="182"/>
      <c r="BT20" s="90"/>
      <c r="BU20" s="90"/>
      <c r="BV20" s="183">
        <f t="shared" si="12"/>
        <v>0</v>
      </c>
      <c r="BW20" s="182"/>
      <c r="BX20" s="90"/>
      <c r="BY20" s="90"/>
      <c r="BZ20" s="183">
        <f t="shared" si="13"/>
        <v>0</v>
      </c>
      <c r="CA20" s="182"/>
      <c r="CB20" s="90"/>
      <c r="CC20" s="90"/>
      <c r="CD20" s="183">
        <f t="shared" si="14"/>
        <v>0</v>
      </c>
    </row>
    <row r="21" spans="2:82" x14ac:dyDescent="0.3">
      <c r="B21" s="53"/>
      <c r="C21" s="53" t="str">
        <f t="shared" si="0"/>
        <v>CPU_DrenagemSuperficial</v>
      </c>
      <c r="D21" s="278">
        <f t="shared" si="1"/>
        <v>0</v>
      </c>
      <c r="E21" s="278">
        <f t="shared" si="2"/>
        <v>0</v>
      </c>
      <c r="F21" s="1"/>
      <c r="G21" s="28" t="str">
        <f>IFERROR(VLOOKUP(F21,Tabela7[[RECURSO]:[CUSTO]],2,FALSE),"")</f>
        <v/>
      </c>
      <c r="H21" s="92"/>
      <c r="I21" s="90"/>
      <c r="J21" s="45">
        <f>IFERROR(VLOOKUP(F21,Tabela7[[RECURSO]:[CUSTO]],3,FALSE),0)</f>
        <v>0</v>
      </c>
      <c r="K21" s="45">
        <f>I21*J21*CPU_45[[#This Row],[Nº]]</f>
        <v>0</v>
      </c>
      <c r="M21" s="31"/>
      <c r="N21" s="297"/>
      <c r="O21" s="60">
        <f t="shared" si="15"/>
        <v>0</v>
      </c>
      <c r="AD21" s="144" t="str">
        <f t="shared" si="3"/>
        <v>Drenagem Superficial</v>
      </c>
      <c r="AE21" s="179"/>
      <c r="AF21" s="180">
        <f t="shared" si="16"/>
        <v>0</v>
      </c>
      <c r="AG21" s="180">
        <f t="shared" si="17"/>
        <v>0</v>
      </c>
      <c r="AH21" s="181">
        <f t="shared" si="18"/>
        <v>0</v>
      </c>
      <c r="AI21" s="182"/>
      <c r="AJ21" s="90"/>
      <c r="AK21" s="90"/>
      <c r="AL21" s="183">
        <f t="shared" si="19"/>
        <v>0</v>
      </c>
      <c r="AM21" s="182"/>
      <c r="AN21" s="90"/>
      <c r="AO21" s="90"/>
      <c r="AP21" s="183">
        <f t="shared" si="4"/>
        <v>0</v>
      </c>
      <c r="AQ21" s="182"/>
      <c r="AR21" s="90"/>
      <c r="AS21" s="90"/>
      <c r="AT21" s="183">
        <f t="shared" si="5"/>
        <v>0</v>
      </c>
      <c r="AU21" s="182"/>
      <c r="AV21" s="90"/>
      <c r="AW21" s="90"/>
      <c r="AX21" s="183">
        <f t="shared" si="6"/>
        <v>0</v>
      </c>
      <c r="AY21" s="182"/>
      <c r="AZ21" s="90"/>
      <c r="BA21" s="90"/>
      <c r="BB21" s="183">
        <f t="shared" si="7"/>
        <v>0</v>
      </c>
      <c r="BC21" s="182"/>
      <c r="BD21" s="90"/>
      <c r="BE21" s="90"/>
      <c r="BF21" s="183">
        <f t="shared" si="8"/>
        <v>0</v>
      </c>
      <c r="BG21" s="182"/>
      <c r="BH21" s="90"/>
      <c r="BI21" s="90"/>
      <c r="BJ21" s="183">
        <f t="shared" si="9"/>
        <v>0</v>
      </c>
      <c r="BK21" s="182"/>
      <c r="BL21" s="90"/>
      <c r="BM21" s="90"/>
      <c r="BN21" s="183">
        <f t="shared" si="10"/>
        <v>0</v>
      </c>
      <c r="BO21" s="182"/>
      <c r="BP21" s="90"/>
      <c r="BQ21" s="90"/>
      <c r="BR21" s="183">
        <f t="shared" si="11"/>
        <v>0</v>
      </c>
      <c r="BS21" s="182"/>
      <c r="BT21" s="90"/>
      <c r="BU21" s="90"/>
      <c r="BV21" s="183">
        <f t="shared" si="12"/>
        <v>0</v>
      </c>
      <c r="BW21" s="182"/>
      <c r="BX21" s="90"/>
      <c r="BY21" s="90"/>
      <c r="BZ21" s="183">
        <f t="shared" si="13"/>
        <v>0</v>
      </c>
      <c r="CA21" s="182"/>
      <c r="CB21" s="90"/>
      <c r="CC21" s="90"/>
      <c r="CD21" s="183">
        <f t="shared" si="14"/>
        <v>0</v>
      </c>
    </row>
    <row r="22" spans="2:82" x14ac:dyDescent="0.3">
      <c r="B22" s="53"/>
      <c r="C22" s="53" t="str">
        <f t="shared" si="0"/>
        <v>CPU_DrenagemSuperficial</v>
      </c>
      <c r="D22" s="278">
        <f t="shared" si="1"/>
        <v>0</v>
      </c>
      <c r="E22" s="278">
        <f t="shared" si="2"/>
        <v>0</v>
      </c>
      <c r="F22" s="1"/>
      <c r="G22" s="28" t="str">
        <f>IFERROR(VLOOKUP(F22,Tabela7[[RECURSO]:[CUSTO]],2,FALSE),"")</f>
        <v/>
      </c>
      <c r="H22" s="92"/>
      <c r="I22" s="90"/>
      <c r="J22" s="45">
        <f>IFERROR(VLOOKUP(F22,Tabela7[[RECURSO]:[CUSTO]],3,FALSE),0)</f>
        <v>0</v>
      </c>
      <c r="K22" s="45">
        <f>I22*J22*CPU_45[[#This Row],[Nº]]</f>
        <v>0</v>
      </c>
      <c r="M22" s="31"/>
      <c r="N22" s="297"/>
      <c r="O22" s="60">
        <f t="shared" si="15"/>
        <v>0</v>
      </c>
      <c r="AD22" s="144" t="str">
        <f t="shared" si="3"/>
        <v>Drenagem Superficial</v>
      </c>
      <c r="AE22" s="179"/>
      <c r="AF22" s="180">
        <f t="shared" si="16"/>
        <v>0</v>
      </c>
      <c r="AG22" s="180">
        <f t="shared" si="17"/>
        <v>0</v>
      </c>
      <c r="AH22" s="181">
        <f t="shared" si="18"/>
        <v>0</v>
      </c>
      <c r="AI22" s="182"/>
      <c r="AJ22" s="90"/>
      <c r="AK22" s="90"/>
      <c r="AL22" s="183">
        <f t="shared" si="19"/>
        <v>0</v>
      </c>
      <c r="AM22" s="182"/>
      <c r="AN22" s="90"/>
      <c r="AO22" s="90"/>
      <c r="AP22" s="183">
        <f t="shared" si="4"/>
        <v>0</v>
      </c>
      <c r="AQ22" s="182"/>
      <c r="AR22" s="90"/>
      <c r="AS22" s="90"/>
      <c r="AT22" s="183">
        <f t="shared" si="5"/>
        <v>0</v>
      </c>
      <c r="AU22" s="182"/>
      <c r="AV22" s="90"/>
      <c r="AW22" s="90"/>
      <c r="AX22" s="183">
        <f t="shared" si="6"/>
        <v>0</v>
      </c>
      <c r="AY22" s="182"/>
      <c r="AZ22" s="90"/>
      <c r="BA22" s="90"/>
      <c r="BB22" s="183">
        <f t="shared" si="7"/>
        <v>0</v>
      </c>
      <c r="BC22" s="182"/>
      <c r="BD22" s="90"/>
      <c r="BE22" s="90"/>
      <c r="BF22" s="183">
        <f t="shared" si="8"/>
        <v>0</v>
      </c>
      <c r="BG22" s="182"/>
      <c r="BH22" s="90"/>
      <c r="BI22" s="90"/>
      <c r="BJ22" s="183">
        <f t="shared" si="9"/>
        <v>0</v>
      </c>
      <c r="BK22" s="182"/>
      <c r="BL22" s="90"/>
      <c r="BM22" s="90"/>
      <c r="BN22" s="183">
        <f t="shared" si="10"/>
        <v>0</v>
      </c>
      <c r="BO22" s="182"/>
      <c r="BP22" s="90"/>
      <c r="BQ22" s="90"/>
      <c r="BR22" s="183">
        <f t="shared" si="11"/>
        <v>0</v>
      </c>
      <c r="BS22" s="182"/>
      <c r="BT22" s="90"/>
      <c r="BU22" s="90"/>
      <c r="BV22" s="183">
        <f t="shared" si="12"/>
        <v>0</v>
      </c>
      <c r="BW22" s="182"/>
      <c r="BX22" s="90"/>
      <c r="BY22" s="90"/>
      <c r="BZ22" s="183">
        <f t="shared" si="13"/>
        <v>0</v>
      </c>
      <c r="CA22" s="182"/>
      <c r="CB22" s="90"/>
      <c r="CC22" s="90"/>
      <c r="CD22" s="183">
        <f t="shared" si="14"/>
        <v>0</v>
      </c>
    </row>
    <row r="23" spans="2:82" ht="15" thickBot="1" x14ac:dyDescent="0.35">
      <c r="B23" s="53"/>
      <c r="C23" s="53" t="str">
        <f t="shared" si="0"/>
        <v>CPU_DrenagemSuperficial</v>
      </c>
      <c r="D23" s="278">
        <f t="shared" si="1"/>
        <v>0</v>
      </c>
      <c r="E23" s="278">
        <f t="shared" si="2"/>
        <v>0</v>
      </c>
      <c r="F23" s="1"/>
      <c r="G23" s="28" t="str">
        <f>IFERROR(VLOOKUP(F23,Tabela7[[RECURSO]:[CUSTO]],2,FALSE),"")</f>
        <v/>
      </c>
      <c r="H23" s="92"/>
      <c r="I23" s="90"/>
      <c r="J23" s="45">
        <f>IFERROR(VLOOKUP(F23,Tabela7[[RECURSO]:[CUSTO]],3,FALSE),0)</f>
        <v>0</v>
      </c>
      <c r="K23" s="45">
        <f>I23*J23*CPU_45[[#This Row],[Nº]]</f>
        <v>0</v>
      </c>
      <c r="M23" s="51"/>
      <c r="N23" s="298"/>
      <c r="O23" s="61">
        <f t="shared" si="15"/>
        <v>0</v>
      </c>
      <c r="AD23" s="144" t="str">
        <f t="shared" si="3"/>
        <v>Drenagem Superficial</v>
      </c>
      <c r="AE23" s="179"/>
      <c r="AF23" s="180">
        <f t="shared" si="16"/>
        <v>0</v>
      </c>
      <c r="AG23" s="180">
        <f t="shared" si="17"/>
        <v>0</v>
      </c>
      <c r="AH23" s="181">
        <f t="shared" si="18"/>
        <v>0</v>
      </c>
      <c r="AI23" s="182"/>
      <c r="AJ23" s="90"/>
      <c r="AK23" s="90"/>
      <c r="AL23" s="183">
        <f t="shared" si="19"/>
        <v>0</v>
      </c>
      <c r="AM23" s="182"/>
      <c r="AN23" s="90"/>
      <c r="AO23" s="90"/>
      <c r="AP23" s="183">
        <f t="shared" si="4"/>
        <v>0</v>
      </c>
      <c r="AQ23" s="182"/>
      <c r="AR23" s="90"/>
      <c r="AS23" s="90"/>
      <c r="AT23" s="183">
        <f t="shared" si="5"/>
        <v>0</v>
      </c>
      <c r="AU23" s="182"/>
      <c r="AV23" s="90"/>
      <c r="AW23" s="90"/>
      <c r="AX23" s="183">
        <f t="shared" si="6"/>
        <v>0</v>
      </c>
      <c r="AY23" s="182"/>
      <c r="AZ23" s="90"/>
      <c r="BA23" s="90"/>
      <c r="BB23" s="183">
        <f t="shared" si="7"/>
        <v>0</v>
      </c>
      <c r="BC23" s="182"/>
      <c r="BD23" s="90"/>
      <c r="BE23" s="90"/>
      <c r="BF23" s="183">
        <f t="shared" si="8"/>
        <v>0</v>
      </c>
      <c r="BG23" s="182"/>
      <c r="BH23" s="90"/>
      <c r="BI23" s="90"/>
      <c r="BJ23" s="183">
        <f t="shared" si="9"/>
        <v>0</v>
      </c>
      <c r="BK23" s="182"/>
      <c r="BL23" s="90"/>
      <c r="BM23" s="90"/>
      <c r="BN23" s="183">
        <f t="shared" si="10"/>
        <v>0</v>
      </c>
      <c r="BO23" s="182"/>
      <c r="BP23" s="90"/>
      <c r="BQ23" s="90"/>
      <c r="BR23" s="183">
        <f t="shared" si="11"/>
        <v>0</v>
      </c>
      <c r="BS23" s="182"/>
      <c r="BT23" s="90"/>
      <c r="BU23" s="90"/>
      <c r="BV23" s="183">
        <f t="shared" si="12"/>
        <v>0</v>
      </c>
      <c r="BW23" s="182"/>
      <c r="BX23" s="90"/>
      <c r="BY23" s="90"/>
      <c r="BZ23" s="183">
        <f t="shared" si="13"/>
        <v>0</v>
      </c>
      <c r="CA23" s="182"/>
      <c r="CB23" s="90"/>
      <c r="CC23" s="90"/>
      <c r="CD23" s="183">
        <f t="shared" si="14"/>
        <v>0</v>
      </c>
    </row>
    <row r="24" spans="2:82" x14ac:dyDescent="0.3">
      <c r="B24" s="52" t="s">
        <v>686</v>
      </c>
      <c r="C24" s="52" t="str">
        <f t="shared" si="0"/>
        <v>CPU_DrenagemSuperficial</v>
      </c>
      <c r="D24" s="277">
        <f t="shared" si="1"/>
        <v>0</v>
      </c>
      <c r="E24" s="277">
        <f t="shared" si="2"/>
        <v>0</v>
      </c>
      <c r="F24" s="37"/>
      <c r="G24" s="38"/>
      <c r="H24" s="91"/>
      <c r="I24" s="40"/>
      <c r="J24" s="40">
        <f>IFERROR(K24/$B$6,0)</f>
        <v>0</v>
      </c>
      <c r="K24" s="40">
        <f>SUM(K25:K36)</f>
        <v>0</v>
      </c>
      <c r="AD24" s="144" t="str">
        <f t="shared" si="3"/>
        <v>Drenagem Superficial</v>
      </c>
      <c r="AE24" s="184"/>
      <c r="AF24" s="40"/>
      <c r="AG24" s="40">
        <f>IFERROR(AH24/AF$3,0)</f>
        <v>0</v>
      </c>
      <c r="AH24" s="185">
        <f>SUM(AH25:AH36)</f>
        <v>0</v>
      </c>
      <c r="AI24" s="184"/>
      <c r="AJ24" s="40"/>
      <c r="AK24" s="40">
        <f>IFERROR(AL24/AJ$3,0)</f>
        <v>0</v>
      </c>
      <c r="AL24" s="185">
        <f>SUM(AL25:AL36)</f>
        <v>0</v>
      </c>
      <c r="AM24" s="184"/>
      <c r="AN24" s="40"/>
      <c r="AO24" s="40">
        <f>IFERROR(AP24/AN$3,0)</f>
        <v>0</v>
      </c>
      <c r="AP24" s="185">
        <f>SUM(AP25:AP36)</f>
        <v>0</v>
      </c>
      <c r="AQ24" s="184"/>
      <c r="AR24" s="40"/>
      <c r="AS24" s="40">
        <f>IFERROR(AT24/AR$3,0)</f>
        <v>0</v>
      </c>
      <c r="AT24" s="185">
        <f>SUM(AT25:AT36)</f>
        <v>0</v>
      </c>
      <c r="AU24" s="184"/>
      <c r="AV24" s="40"/>
      <c r="AW24" s="40">
        <f>IFERROR(AX24/AV$3,0)</f>
        <v>0</v>
      </c>
      <c r="AX24" s="185">
        <f>SUM(AX25:AX36)</f>
        <v>0</v>
      </c>
      <c r="AY24" s="184"/>
      <c r="AZ24" s="40"/>
      <c r="BA24" s="40">
        <f>IFERROR(BB24/AZ$3,0)</f>
        <v>0</v>
      </c>
      <c r="BB24" s="185">
        <f>SUM(BB25:BB36)</f>
        <v>0</v>
      </c>
      <c r="BC24" s="184"/>
      <c r="BD24" s="40"/>
      <c r="BE24" s="40">
        <f>IFERROR(BF24/BD$3,0)</f>
        <v>0</v>
      </c>
      <c r="BF24" s="185">
        <f>SUM(BF25:BF36)</f>
        <v>0</v>
      </c>
      <c r="BG24" s="184"/>
      <c r="BH24" s="40"/>
      <c r="BI24" s="40">
        <f>IFERROR(BJ24/BH$3,0)</f>
        <v>0</v>
      </c>
      <c r="BJ24" s="185">
        <f>SUM(BJ25:BJ36)</f>
        <v>0</v>
      </c>
      <c r="BK24" s="184"/>
      <c r="BL24" s="40"/>
      <c r="BM24" s="40">
        <f>IFERROR(BN24/BL$3,0)</f>
        <v>0</v>
      </c>
      <c r="BN24" s="185">
        <f>SUM(BN25:BN36)</f>
        <v>0</v>
      </c>
      <c r="BO24" s="184"/>
      <c r="BP24" s="40"/>
      <c r="BQ24" s="40">
        <f>IFERROR(BR24/BP$3,0)</f>
        <v>0</v>
      </c>
      <c r="BR24" s="185">
        <f>SUM(BR25:BR36)</f>
        <v>0</v>
      </c>
      <c r="BS24" s="184"/>
      <c r="BT24" s="40"/>
      <c r="BU24" s="40">
        <f>IFERROR(BV24/BT$3,0)</f>
        <v>0</v>
      </c>
      <c r="BV24" s="185">
        <f>SUM(BV25:BV36)</f>
        <v>0</v>
      </c>
      <c r="BW24" s="184"/>
      <c r="BX24" s="40"/>
      <c r="BY24" s="40">
        <f>IFERROR(BZ24/BX$3,0)</f>
        <v>0</v>
      </c>
      <c r="BZ24" s="185">
        <f>SUM(BZ25:BZ36)</f>
        <v>0</v>
      </c>
      <c r="CA24" s="184"/>
      <c r="CB24" s="40"/>
      <c r="CC24" s="40">
        <f>IFERROR(CD24/CB$3,0)</f>
        <v>0</v>
      </c>
      <c r="CD24" s="185">
        <f>SUM(CD25:CD36)</f>
        <v>0</v>
      </c>
    </row>
    <row r="25" spans="2:82" x14ac:dyDescent="0.3">
      <c r="B25" s="53"/>
      <c r="C25" s="53" t="str">
        <f t="shared" si="0"/>
        <v>CPU_DrenagemSuperficial</v>
      </c>
      <c r="D25" s="278">
        <f t="shared" si="1"/>
        <v>0</v>
      </c>
      <c r="E25" s="278">
        <f t="shared" si="2"/>
        <v>0</v>
      </c>
      <c r="F25" s="1"/>
      <c r="G25" s="28" t="str">
        <f>IFERROR(VLOOKUP(F25,Tabela7[[RECURSO]:[CUSTO]],2,FALSE),"")</f>
        <v/>
      </c>
      <c r="H25" s="93"/>
      <c r="I25" s="90">
        <f>IFERROR(SUMPRODUCT(I12:I23,M12:M23,H12:H23,N12:N23),0)</f>
        <v>0</v>
      </c>
      <c r="J25" s="45">
        <f>IFERROR(VLOOKUP(F25,Tabela7[[RECURSO]:[CUSTO]],3,FALSE),0)</f>
        <v>0</v>
      </c>
      <c r="K25" s="45">
        <f>I25*J25</f>
        <v>0</v>
      </c>
      <c r="AD25" s="144" t="str">
        <f t="shared" si="3"/>
        <v>Drenagem Superficial</v>
      </c>
      <c r="AE25" s="179"/>
      <c r="AF25" s="180">
        <f t="shared" ref="AF25:AF36" si="20">AJ25+AN25+AR25+AV25+AZ25+BD25+BH25+BL25+BP25+BT25+BX25+CB25</f>
        <v>0</v>
      </c>
      <c r="AG25" s="180">
        <f t="shared" si="17"/>
        <v>0</v>
      </c>
      <c r="AH25" s="181">
        <f t="shared" ref="AH25:AH36" si="21">AL25+AP25+AT25+AX25+BB25+BF25+BJ25+BN25+BR25+BV25+BZ25+CD25</f>
        <v>0</v>
      </c>
      <c r="AI25" s="182"/>
      <c r="AJ25" s="90"/>
      <c r="AK25" s="90"/>
      <c r="AL25" s="183">
        <f t="shared" ref="AL25:AL36" si="22">AJ25*AK25</f>
        <v>0</v>
      </c>
      <c r="AM25" s="182"/>
      <c r="AN25" s="90"/>
      <c r="AO25" s="90"/>
      <c r="AP25" s="183">
        <f t="shared" ref="AP25:AP62" si="23">AN25*AO25</f>
        <v>0</v>
      </c>
      <c r="AQ25" s="182"/>
      <c r="AR25" s="90"/>
      <c r="AS25" s="90"/>
      <c r="AT25" s="183">
        <f t="shared" ref="AT25:AT62" si="24">AR25*AS25</f>
        <v>0</v>
      </c>
      <c r="AU25" s="182"/>
      <c r="AV25" s="90"/>
      <c r="AW25" s="90"/>
      <c r="AX25" s="183">
        <f t="shared" ref="AX25:AX62" si="25">AV25*AW25</f>
        <v>0</v>
      </c>
      <c r="AY25" s="182"/>
      <c r="AZ25" s="90"/>
      <c r="BA25" s="90"/>
      <c r="BB25" s="183">
        <f t="shared" ref="BB25:BB62" si="26">AZ25*BA25</f>
        <v>0</v>
      </c>
      <c r="BC25" s="182"/>
      <c r="BD25" s="90"/>
      <c r="BE25" s="90"/>
      <c r="BF25" s="183">
        <f t="shared" ref="BF25:BF62" si="27">BD25*BE25</f>
        <v>0</v>
      </c>
      <c r="BG25" s="182"/>
      <c r="BH25" s="90"/>
      <c r="BI25" s="90"/>
      <c r="BJ25" s="183">
        <f t="shared" ref="BJ25:BJ62" si="28">BH25*BI25</f>
        <v>0</v>
      </c>
      <c r="BK25" s="182"/>
      <c r="BL25" s="90"/>
      <c r="BM25" s="90"/>
      <c r="BN25" s="183">
        <f t="shared" ref="BN25:BN62" si="29">BL25*BM25</f>
        <v>0</v>
      </c>
      <c r="BO25" s="182"/>
      <c r="BP25" s="90"/>
      <c r="BQ25" s="90"/>
      <c r="BR25" s="183">
        <f t="shared" ref="BR25:BR62" si="30">BP25*BQ25</f>
        <v>0</v>
      </c>
      <c r="BS25" s="182"/>
      <c r="BT25" s="90"/>
      <c r="BU25" s="90"/>
      <c r="BV25" s="183">
        <f t="shared" ref="BV25:BV62" si="31">BT25*BU25</f>
        <v>0</v>
      </c>
      <c r="BW25" s="182"/>
      <c r="BX25" s="90"/>
      <c r="BY25" s="90"/>
      <c r="BZ25" s="183">
        <f t="shared" ref="BZ25:BZ62" si="32">BX25*BY25</f>
        <v>0</v>
      </c>
      <c r="CA25" s="182"/>
      <c r="CB25" s="90"/>
      <c r="CC25" s="90"/>
      <c r="CD25" s="183">
        <f t="shared" ref="CD25:CD62" si="33">CB25*CC25</f>
        <v>0</v>
      </c>
    </row>
    <row r="26" spans="2:82" x14ac:dyDescent="0.3">
      <c r="B26" s="53"/>
      <c r="C26" s="53" t="str">
        <f t="shared" si="0"/>
        <v>CPU_DrenagemSuperficial</v>
      </c>
      <c r="D26" s="278">
        <f t="shared" si="1"/>
        <v>0</v>
      </c>
      <c r="E26" s="278">
        <f t="shared" si="2"/>
        <v>0</v>
      </c>
      <c r="F26" s="1"/>
      <c r="G26" s="28" t="str">
        <f>IFERROR(VLOOKUP(F26,Tabela7[[RECURSO]:[CUSTO]],2,FALSE),"")</f>
        <v/>
      </c>
      <c r="H26" s="93"/>
      <c r="I26" s="90"/>
      <c r="J26" s="45">
        <f>IFERROR(VLOOKUP(F26,Tabela7[[RECURSO]:[CUSTO]],3,FALSE),0)</f>
        <v>0</v>
      </c>
      <c r="K26" s="45">
        <f t="shared" ref="K26:K36" si="34">I26*J26</f>
        <v>0</v>
      </c>
      <c r="AD26" s="144" t="str">
        <f t="shared" si="3"/>
        <v>Drenagem Superficial</v>
      </c>
      <c r="AE26" s="179"/>
      <c r="AF26" s="180">
        <f t="shared" si="20"/>
        <v>0</v>
      </c>
      <c r="AG26" s="180">
        <f t="shared" si="17"/>
        <v>0</v>
      </c>
      <c r="AH26" s="181">
        <f t="shared" si="21"/>
        <v>0</v>
      </c>
      <c r="AI26" s="182"/>
      <c r="AJ26" s="90"/>
      <c r="AK26" s="90"/>
      <c r="AL26" s="183">
        <f t="shared" si="22"/>
        <v>0</v>
      </c>
      <c r="AM26" s="182"/>
      <c r="AN26" s="90"/>
      <c r="AO26" s="90"/>
      <c r="AP26" s="183">
        <f t="shared" si="23"/>
        <v>0</v>
      </c>
      <c r="AQ26" s="182"/>
      <c r="AR26" s="90"/>
      <c r="AS26" s="90"/>
      <c r="AT26" s="183">
        <f t="shared" si="24"/>
        <v>0</v>
      </c>
      <c r="AU26" s="182"/>
      <c r="AV26" s="90"/>
      <c r="AW26" s="90"/>
      <c r="AX26" s="183">
        <f t="shared" si="25"/>
        <v>0</v>
      </c>
      <c r="AY26" s="182"/>
      <c r="AZ26" s="90"/>
      <c r="BA26" s="90"/>
      <c r="BB26" s="183">
        <f t="shared" si="26"/>
        <v>0</v>
      </c>
      <c r="BC26" s="182"/>
      <c r="BD26" s="90"/>
      <c r="BE26" s="90"/>
      <c r="BF26" s="183">
        <f t="shared" si="27"/>
        <v>0</v>
      </c>
      <c r="BG26" s="182"/>
      <c r="BH26" s="90"/>
      <c r="BI26" s="90"/>
      <c r="BJ26" s="183">
        <f t="shared" si="28"/>
        <v>0</v>
      </c>
      <c r="BK26" s="182"/>
      <c r="BL26" s="90"/>
      <c r="BM26" s="90"/>
      <c r="BN26" s="183">
        <f t="shared" si="29"/>
        <v>0</v>
      </c>
      <c r="BO26" s="182"/>
      <c r="BP26" s="90"/>
      <c r="BQ26" s="90"/>
      <c r="BR26" s="183">
        <f t="shared" si="30"/>
        <v>0</v>
      </c>
      <c r="BS26" s="182"/>
      <c r="BT26" s="90"/>
      <c r="BU26" s="90"/>
      <c r="BV26" s="183">
        <f t="shared" si="31"/>
        <v>0</v>
      </c>
      <c r="BW26" s="182"/>
      <c r="BX26" s="90"/>
      <c r="BY26" s="90"/>
      <c r="BZ26" s="183">
        <f t="shared" si="32"/>
        <v>0</v>
      </c>
      <c r="CA26" s="182"/>
      <c r="CB26" s="90"/>
      <c r="CC26" s="90"/>
      <c r="CD26" s="183">
        <f t="shared" si="33"/>
        <v>0</v>
      </c>
    </row>
    <row r="27" spans="2:82" x14ac:dyDescent="0.3">
      <c r="B27" s="53"/>
      <c r="C27" s="53" t="str">
        <f t="shared" si="0"/>
        <v>CPU_DrenagemSuperficial</v>
      </c>
      <c r="D27" s="278">
        <f t="shared" si="1"/>
        <v>0</v>
      </c>
      <c r="E27" s="278">
        <f t="shared" si="2"/>
        <v>0</v>
      </c>
      <c r="F27" s="1"/>
      <c r="G27" s="28" t="str">
        <f>IFERROR(VLOOKUP(F27,Tabela7[[RECURSO]:[CUSTO]],2,FALSE),"")</f>
        <v/>
      </c>
      <c r="H27" s="93"/>
      <c r="I27" s="90"/>
      <c r="J27" s="45">
        <f>IFERROR(VLOOKUP(F27,Tabela7[[RECURSO]:[CUSTO]],3,FALSE),0)</f>
        <v>0</v>
      </c>
      <c r="K27" s="45">
        <f t="shared" si="34"/>
        <v>0</v>
      </c>
      <c r="AD27" s="144" t="str">
        <f t="shared" si="3"/>
        <v>Drenagem Superficial</v>
      </c>
      <c r="AE27" s="179"/>
      <c r="AF27" s="180">
        <f t="shared" si="20"/>
        <v>0</v>
      </c>
      <c r="AG27" s="180">
        <f t="shared" si="17"/>
        <v>0</v>
      </c>
      <c r="AH27" s="181">
        <f t="shared" si="21"/>
        <v>0</v>
      </c>
      <c r="AI27" s="182"/>
      <c r="AJ27" s="90"/>
      <c r="AK27" s="90"/>
      <c r="AL27" s="183">
        <f t="shared" si="22"/>
        <v>0</v>
      </c>
      <c r="AM27" s="182"/>
      <c r="AN27" s="90"/>
      <c r="AO27" s="90"/>
      <c r="AP27" s="183">
        <f t="shared" si="23"/>
        <v>0</v>
      </c>
      <c r="AQ27" s="182"/>
      <c r="AR27" s="90"/>
      <c r="AS27" s="90"/>
      <c r="AT27" s="183">
        <f t="shared" si="24"/>
        <v>0</v>
      </c>
      <c r="AU27" s="182"/>
      <c r="AV27" s="90"/>
      <c r="AW27" s="90"/>
      <c r="AX27" s="183">
        <f t="shared" si="25"/>
        <v>0</v>
      </c>
      <c r="AY27" s="182"/>
      <c r="AZ27" s="90"/>
      <c r="BA27" s="90"/>
      <c r="BB27" s="183">
        <f t="shared" si="26"/>
        <v>0</v>
      </c>
      <c r="BC27" s="182"/>
      <c r="BD27" s="90"/>
      <c r="BE27" s="90"/>
      <c r="BF27" s="183">
        <f t="shared" si="27"/>
        <v>0</v>
      </c>
      <c r="BG27" s="182"/>
      <c r="BH27" s="90"/>
      <c r="BI27" s="90"/>
      <c r="BJ27" s="183">
        <f t="shared" si="28"/>
        <v>0</v>
      </c>
      <c r="BK27" s="182"/>
      <c r="BL27" s="90"/>
      <c r="BM27" s="90"/>
      <c r="BN27" s="183">
        <f t="shared" si="29"/>
        <v>0</v>
      </c>
      <c r="BO27" s="182"/>
      <c r="BP27" s="90"/>
      <c r="BQ27" s="90"/>
      <c r="BR27" s="183">
        <f t="shared" si="30"/>
        <v>0</v>
      </c>
      <c r="BS27" s="182"/>
      <c r="BT27" s="90"/>
      <c r="BU27" s="90"/>
      <c r="BV27" s="183">
        <f t="shared" si="31"/>
        <v>0</v>
      </c>
      <c r="BW27" s="182"/>
      <c r="BX27" s="90"/>
      <c r="BY27" s="90"/>
      <c r="BZ27" s="183">
        <f t="shared" si="32"/>
        <v>0</v>
      </c>
      <c r="CA27" s="182"/>
      <c r="CB27" s="90"/>
      <c r="CC27" s="90"/>
      <c r="CD27" s="183">
        <f t="shared" si="33"/>
        <v>0</v>
      </c>
    </row>
    <row r="28" spans="2:82" x14ac:dyDescent="0.3">
      <c r="B28" s="53"/>
      <c r="C28" s="53" t="str">
        <f t="shared" si="0"/>
        <v>CPU_DrenagemSuperficial</v>
      </c>
      <c r="D28" s="278">
        <f t="shared" si="1"/>
        <v>0</v>
      </c>
      <c r="E28" s="278">
        <f t="shared" si="2"/>
        <v>0</v>
      </c>
      <c r="F28" s="1"/>
      <c r="G28" s="28" t="str">
        <f>IFERROR(VLOOKUP(F28,Tabela7[[RECURSO]:[CUSTO]],2,FALSE),"")</f>
        <v/>
      </c>
      <c r="H28" s="93"/>
      <c r="I28" s="90"/>
      <c r="J28" s="45">
        <f>IFERROR(VLOOKUP(F28,Tabela7[[RECURSO]:[CUSTO]],3,FALSE),0)</f>
        <v>0</v>
      </c>
      <c r="K28" s="45">
        <f t="shared" si="34"/>
        <v>0</v>
      </c>
      <c r="AD28" s="144" t="str">
        <f t="shared" si="3"/>
        <v>Drenagem Superficial</v>
      </c>
      <c r="AE28" s="179"/>
      <c r="AF28" s="180">
        <f t="shared" si="20"/>
        <v>0</v>
      </c>
      <c r="AG28" s="180">
        <f t="shared" si="17"/>
        <v>0</v>
      </c>
      <c r="AH28" s="181">
        <f t="shared" si="21"/>
        <v>0</v>
      </c>
      <c r="AI28" s="182"/>
      <c r="AJ28" s="90"/>
      <c r="AK28" s="90"/>
      <c r="AL28" s="183">
        <f t="shared" si="22"/>
        <v>0</v>
      </c>
      <c r="AM28" s="182"/>
      <c r="AN28" s="90"/>
      <c r="AO28" s="90"/>
      <c r="AP28" s="183">
        <f t="shared" si="23"/>
        <v>0</v>
      </c>
      <c r="AQ28" s="182"/>
      <c r="AR28" s="90"/>
      <c r="AS28" s="90"/>
      <c r="AT28" s="183">
        <f t="shared" si="24"/>
        <v>0</v>
      </c>
      <c r="AU28" s="182"/>
      <c r="AV28" s="90"/>
      <c r="AW28" s="90"/>
      <c r="AX28" s="183">
        <f t="shared" si="25"/>
        <v>0</v>
      </c>
      <c r="AY28" s="182"/>
      <c r="AZ28" s="90"/>
      <c r="BA28" s="90"/>
      <c r="BB28" s="183">
        <f t="shared" si="26"/>
        <v>0</v>
      </c>
      <c r="BC28" s="182"/>
      <c r="BD28" s="90"/>
      <c r="BE28" s="90"/>
      <c r="BF28" s="183">
        <f t="shared" si="27"/>
        <v>0</v>
      </c>
      <c r="BG28" s="182"/>
      <c r="BH28" s="90"/>
      <c r="BI28" s="90"/>
      <c r="BJ28" s="183">
        <f t="shared" si="28"/>
        <v>0</v>
      </c>
      <c r="BK28" s="182"/>
      <c r="BL28" s="90"/>
      <c r="BM28" s="90"/>
      <c r="BN28" s="183">
        <f t="shared" si="29"/>
        <v>0</v>
      </c>
      <c r="BO28" s="182"/>
      <c r="BP28" s="90"/>
      <c r="BQ28" s="90"/>
      <c r="BR28" s="183">
        <f t="shared" si="30"/>
        <v>0</v>
      </c>
      <c r="BS28" s="182"/>
      <c r="BT28" s="90"/>
      <c r="BU28" s="90"/>
      <c r="BV28" s="183">
        <f t="shared" si="31"/>
        <v>0</v>
      </c>
      <c r="BW28" s="182"/>
      <c r="BX28" s="90"/>
      <c r="BY28" s="90"/>
      <c r="BZ28" s="183">
        <f t="shared" si="32"/>
        <v>0</v>
      </c>
      <c r="CA28" s="182"/>
      <c r="CB28" s="90"/>
      <c r="CC28" s="90"/>
      <c r="CD28" s="183">
        <f t="shared" si="33"/>
        <v>0</v>
      </c>
    </row>
    <row r="29" spans="2:82" x14ac:dyDescent="0.3">
      <c r="B29" s="53"/>
      <c r="C29" s="53" t="str">
        <f t="shared" si="0"/>
        <v>CPU_DrenagemSuperficial</v>
      </c>
      <c r="D29" s="278">
        <f t="shared" si="1"/>
        <v>0</v>
      </c>
      <c r="E29" s="278">
        <f t="shared" si="2"/>
        <v>0</v>
      </c>
      <c r="F29" s="1"/>
      <c r="G29" s="28" t="str">
        <f>IFERROR(VLOOKUP(F29,Tabela7[[RECURSO]:[CUSTO]],2,FALSE),"")</f>
        <v/>
      </c>
      <c r="H29" s="93"/>
      <c r="I29" s="90"/>
      <c r="J29" s="45">
        <f>IFERROR(VLOOKUP(F29,Tabela7[[RECURSO]:[CUSTO]],3,FALSE),0)</f>
        <v>0</v>
      </c>
      <c r="K29" s="45">
        <f t="shared" si="34"/>
        <v>0</v>
      </c>
      <c r="AD29" s="144" t="str">
        <f t="shared" si="3"/>
        <v>Drenagem Superficial</v>
      </c>
      <c r="AE29" s="179"/>
      <c r="AF29" s="180">
        <f t="shared" si="20"/>
        <v>0</v>
      </c>
      <c r="AG29" s="180">
        <f t="shared" si="17"/>
        <v>0</v>
      </c>
      <c r="AH29" s="181">
        <f t="shared" si="21"/>
        <v>0</v>
      </c>
      <c r="AI29" s="182"/>
      <c r="AJ29" s="90"/>
      <c r="AK29" s="90"/>
      <c r="AL29" s="183">
        <f t="shared" si="22"/>
        <v>0</v>
      </c>
      <c r="AM29" s="182"/>
      <c r="AN29" s="90"/>
      <c r="AO29" s="90"/>
      <c r="AP29" s="183">
        <f t="shared" si="23"/>
        <v>0</v>
      </c>
      <c r="AQ29" s="182"/>
      <c r="AR29" s="90"/>
      <c r="AS29" s="90"/>
      <c r="AT29" s="183">
        <f t="shared" si="24"/>
        <v>0</v>
      </c>
      <c r="AU29" s="182"/>
      <c r="AV29" s="90"/>
      <c r="AW29" s="90"/>
      <c r="AX29" s="183">
        <f t="shared" si="25"/>
        <v>0</v>
      </c>
      <c r="AY29" s="182"/>
      <c r="AZ29" s="90"/>
      <c r="BA29" s="90"/>
      <c r="BB29" s="183">
        <f t="shared" si="26"/>
        <v>0</v>
      </c>
      <c r="BC29" s="182"/>
      <c r="BD29" s="90"/>
      <c r="BE29" s="90"/>
      <c r="BF29" s="183">
        <f t="shared" si="27"/>
        <v>0</v>
      </c>
      <c r="BG29" s="182"/>
      <c r="BH29" s="90"/>
      <c r="BI29" s="90"/>
      <c r="BJ29" s="183">
        <f t="shared" si="28"/>
        <v>0</v>
      </c>
      <c r="BK29" s="182"/>
      <c r="BL29" s="90"/>
      <c r="BM29" s="90"/>
      <c r="BN29" s="183">
        <f t="shared" si="29"/>
        <v>0</v>
      </c>
      <c r="BO29" s="182"/>
      <c r="BP29" s="90"/>
      <c r="BQ29" s="90"/>
      <c r="BR29" s="183">
        <f t="shared" si="30"/>
        <v>0</v>
      </c>
      <c r="BS29" s="182"/>
      <c r="BT29" s="90"/>
      <c r="BU29" s="90"/>
      <c r="BV29" s="183">
        <f t="shared" si="31"/>
        <v>0</v>
      </c>
      <c r="BW29" s="182"/>
      <c r="BX29" s="90"/>
      <c r="BY29" s="90"/>
      <c r="BZ29" s="183">
        <f t="shared" si="32"/>
        <v>0</v>
      </c>
      <c r="CA29" s="182"/>
      <c r="CB29" s="90"/>
      <c r="CC29" s="90"/>
      <c r="CD29" s="183">
        <f t="shared" si="33"/>
        <v>0</v>
      </c>
    </row>
    <row r="30" spans="2:82" x14ac:dyDescent="0.3">
      <c r="B30" s="53"/>
      <c r="C30" s="53" t="str">
        <f t="shared" si="0"/>
        <v>CPU_DrenagemSuperficial</v>
      </c>
      <c r="D30" s="278">
        <f t="shared" si="1"/>
        <v>0</v>
      </c>
      <c r="E30" s="278">
        <f t="shared" si="2"/>
        <v>0</v>
      </c>
      <c r="F30" s="1"/>
      <c r="G30" s="28" t="str">
        <f>IFERROR(VLOOKUP(F30,Tabela7[[RECURSO]:[CUSTO]],2,FALSE),"")</f>
        <v/>
      </c>
      <c r="H30" s="93"/>
      <c r="I30" s="90"/>
      <c r="J30" s="45">
        <f>IFERROR(VLOOKUP(F30,Tabela7[[RECURSO]:[CUSTO]],3,FALSE),0)</f>
        <v>0</v>
      </c>
      <c r="K30" s="45">
        <f t="shared" si="34"/>
        <v>0</v>
      </c>
      <c r="AD30" s="144" t="str">
        <f t="shared" si="3"/>
        <v>Drenagem Superficial</v>
      </c>
      <c r="AE30" s="179"/>
      <c r="AF30" s="180">
        <f t="shared" si="20"/>
        <v>0</v>
      </c>
      <c r="AG30" s="180">
        <f t="shared" si="17"/>
        <v>0</v>
      </c>
      <c r="AH30" s="181">
        <f t="shared" si="21"/>
        <v>0</v>
      </c>
      <c r="AI30" s="182"/>
      <c r="AJ30" s="90"/>
      <c r="AK30" s="90"/>
      <c r="AL30" s="183">
        <f t="shared" si="22"/>
        <v>0</v>
      </c>
      <c r="AM30" s="182"/>
      <c r="AN30" s="90"/>
      <c r="AO30" s="90"/>
      <c r="AP30" s="183">
        <f t="shared" si="23"/>
        <v>0</v>
      </c>
      <c r="AQ30" s="182"/>
      <c r="AR30" s="90"/>
      <c r="AS30" s="90"/>
      <c r="AT30" s="183">
        <f t="shared" si="24"/>
        <v>0</v>
      </c>
      <c r="AU30" s="182"/>
      <c r="AV30" s="90"/>
      <c r="AW30" s="90"/>
      <c r="AX30" s="183">
        <f t="shared" si="25"/>
        <v>0</v>
      </c>
      <c r="AY30" s="182"/>
      <c r="AZ30" s="90"/>
      <c r="BA30" s="90"/>
      <c r="BB30" s="183">
        <f t="shared" si="26"/>
        <v>0</v>
      </c>
      <c r="BC30" s="182"/>
      <c r="BD30" s="90"/>
      <c r="BE30" s="90"/>
      <c r="BF30" s="183">
        <f t="shared" si="27"/>
        <v>0</v>
      </c>
      <c r="BG30" s="182"/>
      <c r="BH30" s="90"/>
      <c r="BI30" s="90"/>
      <c r="BJ30" s="183">
        <f t="shared" si="28"/>
        <v>0</v>
      </c>
      <c r="BK30" s="182"/>
      <c r="BL30" s="90"/>
      <c r="BM30" s="90"/>
      <c r="BN30" s="183">
        <f t="shared" si="29"/>
        <v>0</v>
      </c>
      <c r="BO30" s="182"/>
      <c r="BP30" s="90"/>
      <c r="BQ30" s="90"/>
      <c r="BR30" s="183">
        <f t="shared" si="30"/>
        <v>0</v>
      </c>
      <c r="BS30" s="182"/>
      <c r="BT30" s="90"/>
      <c r="BU30" s="90"/>
      <c r="BV30" s="183">
        <f t="shared" si="31"/>
        <v>0</v>
      </c>
      <c r="BW30" s="182"/>
      <c r="BX30" s="90"/>
      <c r="BY30" s="90"/>
      <c r="BZ30" s="183">
        <f t="shared" si="32"/>
        <v>0</v>
      </c>
      <c r="CA30" s="182"/>
      <c r="CB30" s="90"/>
      <c r="CC30" s="90"/>
      <c r="CD30" s="183">
        <f t="shared" si="33"/>
        <v>0</v>
      </c>
    </row>
    <row r="31" spans="2:82" x14ac:dyDescent="0.3">
      <c r="B31" s="53"/>
      <c r="C31" s="53" t="str">
        <f t="shared" si="0"/>
        <v>CPU_DrenagemSuperficial</v>
      </c>
      <c r="D31" s="278">
        <f t="shared" si="1"/>
        <v>0</v>
      </c>
      <c r="E31" s="278">
        <f t="shared" si="2"/>
        <v>0</v>
      </c>
      <c r="F31" s="1"/>
      <c r="G31" s="28" t="str">
        <f>IFERROR(VLOOKUP(F31,Tabela7[[RECURSO]:[CUSTO]],2,FALSE),"")</f>
        <v/>
      </c>
      <c r="H31" s="93"/>
      <c r="I31" s="90"/>
      <c r="J31" s="45">
        <f>IFERROR(VLOOKUP(F31,Tabela7[[RECURSO]:[CUSTO]],3,FALSE),0)</f>
        <v>0</v>
      </c>
      <c r="K31" s="45">
        <f t="shared" si="34"/>
        <v>0</v>
      </c>
      <c r="AD31" s="144" t="str">
        <f t="shared" si="3"/>
        <v>Drenagem Superficial</v>
      </c>
      <c r="AE31" s="179"/>
      <c r="AF31" s="180">
        <f t="shared" si="20"/>
        <v>0</v>
      </c>
      <c r="AG31" s="180">
        <f t="shared" si="17"/>
        <v>0</v>
      </c>
      <c r="AH31" s="181">
        <f t="shared" si="21"/>
        <v>0</v>
      </c>
      <c r="AI31" s="182"/>
      <c r="AJ31" s="90"/>
      <c r="AK31" s="90"/>
      <c r="AL31" s="183">
        <f t="shared" si="22"/>
        <v>0</v>
      </c>
      <c r="AM31" s="182"/>
      <c r="AN31" s="90"/>
      <c r="AO31" s="90"/>
      <c r="AP31" s="183">
        <f t="shared" si="23"/>
        <v>0</v>
      </c>
      <c r="AQ31" s="182"/>
      <c r="AR31" s="90"/>
      <c r="AS31" s="90"/>
      <c r="AT31" s="183">
        <f t="shared" si="24"/>
        <v>0</v>
      </c>
      <c r="AU31" s="182"/>
      <c r="AV31" s="90"/>
      <c r="AW31" s="90"/>
      <c r="AX31" s="183">
        <f t="shared" si="25"/>
        <v>0</v>
      </c>
      <c r="AY31" s="182"/>
      <c r="AZ31" s="90"/>
      <c r="BA31" s="90"/>
      <c r="BB31" s="183">
        <f t="shared" si="26"/>
        <v>0</v>
      </c>
      <c r="BC31" s="182"/>
      <c r="BD31" s="90"/>
      <c r="BE31" s="90"/>
      <c r="BF31" s="183">
        <f t="shared" si="27"/>
        <v>0</v>
      </c>
      <c r="BG31" s="182"/>
      <c r="BH31" s="90"/>
      <c r="BI31" s="90"/>
      <c r="BJ31" s="183">
        <f t="shared" si="28"/>
        <v>0</v>
      </c>
      <c r="BK31" s="182"/>
      <c r="BL31" s="90"/>
      <c r="BM31" s="90"/>
      <c r="BN31" s="183">
        <f t="shared" si="29"/>
        <v>0</v>
      </c>
      <c r="BO31" s="182"/>
      <c r="BP31" s="90"/>
      <c r="BQ31" s="90"/>
      <c r="BR31" s="183">
        <f t="shared" si="30"/>
        <v>0</v>
      </c>
      <c r="BS31" s="182"/>
      <c r="BT31" s="90"/>
      <c r="BU31" s="90"/>
      <c r="BV31" s="183">
        <f t="shared" si="31"/>
        <v>0</v>
      </c>
      <c r="BW31" s="182"/>
      <c r="BX31" s="90"/>
      <c r="BY31" s="90"/>
      <c r="BZ31" s="183">
        <f t="shared" si="32"/>
        <v>0</v>
      </c>
      <c r="CA31" s="182"/>
      <c r="CB31" s="90"/>
      <c r="CC31" s="90"/>
      <c r="CD31" s="183">
        <f t="shared" si="33"/>
        <v>0</v>
      </c>
    </row>
    <row r="32" spans="2:82" x14ac:dyDescent="0.3">
      <c r="B32" s="53"/>
      <c r="C32" s="53" t="str">
        <f t="shared" si="0"/>
        <v>CPU_DrenagemSuperficial</v>
      </c>
      <c r="D32" s="278">
        <f t="shared" si="1"/>
        <v>0</v>
      </c>
      <c r="E32" s="278">
        <f t="shared" si="2"/>
        <v>0</v>
      </c>
      <c r="F32" s="1"/>
      <c r="G32" s="28" t="str">
        <f>IFERROR(VLOOKUP(F32,Tabela7[[RECURSO]:[CUSTO]],2,FALSE),"")</f>
        <v/>
      </c>
      <c r="H32" s="93"/>
      <c r="I32" s="90"/>
      <c r="J32" s="45">
        <f>IFERROR(VLOOKUP(F32,Tabela7[[RECURSO]:[CUSTO]],3,FALSE),0)</f>
        <v>0</v>
      </c>
      <c r="K32" s="45">
        <f t="shared" si="34"/>
        <v>0</v>
      </c>
      <c r="AD32" s="144" t="str">
        <f t="shared" si="3"/>
        <v>Drenagem Superficial</v>
      </c>
      <c r="AE32" s="179"/>
      <c r="AF32" s="180">
        <f t="shared" si="20"/>
        <v>0</v>
      </c>
      <c r="AG32" s="180">
        <f t="shared" si="17"/>
        <v>0</v>
      </c>
      <c r="AH32" s="181">
        <f t="shared" si="21"/>
        <v>0</v>
      </c>
      <c r="AI32" s="182"/>
      <c r="AJ32" s="90"/>
      <c r="AK32" s="90"/>
      <c r="AL32" s="183">
        <f t="shared" si="22"/>
        <v>0</v>
      </c>
      <c r="AM32" s="182"/>
      <c r="AN32" s="90"/>
      <c r="AO32" s="90"/>
      <c r="AP32" s="183">
        <f t="shared" si="23"/>
        <v>0</v>
      </c>
      <c r="AQ32" s="182"/>
      <c r="AR32" s="90"/>
      <c r="AS32" s="90"/>
      <c r="AT32" s="183">
        <f t="shared" si="24"/>
        <v>0</v>
      </c>
      <c r="AU32" s="182"/>
      <c r="AV32" s="90"/>
      <c r="AW32" s="90"/>
      <c r="AX32" s="183">
        <f t="shared" si="25"/>
        <v>0</v>
      </c>
      <c r="AY32" s="182"/>
      <c r="AZ32" s="90"/>
      <c r="BA32" s="90"/>
      <c r="BB32" s="183">
        <f t="shared" si="26"/>
        <v>0</v>
      </c>
      <c r="BC32" s="182"/>
      <c r="BD32" s="90"/>
      <c r="BE32" s="90"/>
      <c r="BF32" s="183">
        <f t="shared" si="27"/>
        <v>0</v>
      </c>
      <c r="BG32" s="182"/>
      <c r="BH32" s="90"/>
      <c r="BI32" s="90"/>
      <c r="BJ32" s="183">
        <f t="shared" si="28"/>
        <v>0</v>
      </c>
      <c r="BK32" s="182"/>
      <c r="BL32" s="90"/>
      <c r="BM32" s="90"/>
      <c r="BN32" s="183">
        <f t="shared" si="29"/>
        <v>0</v>
      </c>
      <c r="BO32" s="182"/>
      <c r="BP32" s="90"/>
      <c r="BQ32" s="90"/>
      <c r="BR32" s="183">
        <f t="shared" si="30"/>
        <v>0</v>
      </c>
      <c r="BS32" s="182"/>
      <c r="BT32" s="90"/>
      <c r="BU32" s="90"/>
      <c r="BV32" s="183">
        <f t="shared" si="31"/>
        <v>0</v>
      </c>
      <c r="BW32" s="182"/>
      <c r="BX32" s="90"/>
      <c r="BY32" s="90"/>
      <c r="BZ32" s="183">
        <f t="shared" si="32"/>
        <v>0</v>
      </c>
      <c r="CA32" s="182"/>
      <c r="CB32" s="90"/>
      <c r="CC32" s="90"/>
      <c r="CD32" s="183">
        <f t="shared" si="33"/>
        <v>0</v>
      </c>
    </row>
    <row r="33" spans="2:82" x14ac:dyDescent="0.3">
      <c r="B33" s="53"/>
      <c r="C33" s="53" t="str">
        <f t="shared" si="0"/>
        <v>CPU_DrenagemSuperficial</v>
      </c>
      <c r="D33" s="278">
        <f t="shared" si="1"/>
        <v>0</v>
      </c>
      <c r="E33" s="278">
        <f t="shared" si="2"/>
        <v>0</v>
      </c>
      <c r="F33" s="1"/>
      <c r="G33" s="28" t="str">
        <f>IFERROR(VLOOKUP(F33,Tabela7[[RECURSO]:[CUSTO]],2,FALSE),"")</f>
        <v/>
      </c>
      <c r="H33" s="93"/>
      <c r="I33" s="90"/>
      <c r="J33" s="45">
        <f>IFERROR(VLOOKUP(F33,Tabela7[[RECURSO]:[CUSTO]],3,FALSE),0)</f>
        <v>0</v>
      </c>
      <c r="K33" s="45">
        <f t="shared" si="34"/>
        <v>0</v>
      </c>
      <c r="AD33" s="144" t="str">
        <f t="shared" si="3"/>
        <v>Drenagem Superficial</v>
      </c>
      <c r="AE33" s="179"/>
      <c r="AF33" s="180">
        <f t="shared" si="20"/>
        <v>0</v>
      </c>
      <c r="AG33" s="180">
        <f t="shared" si="17"/>
        <v>0</v>
      </c>
      <c r="AH33" s="181">
        <f t="shared" si="21"/>
        <v>0</v>
      </c>
      <c r="AI33" s="182"/>
      <c r="AJ33" s="90"/>
      <c r="AK33" s="90"/>
      <c r="AL33" s="183">
        <f t="shared" si="22"/>
        <v>0</v>
      </c>
      <c r="AM33" s="182"/>
      <c r="AN33" s="90"/>
      <c r="AO33" s="90"/>
      <c r="AP33" s="183">
        <f t="shared" si="23"/>
        <v>0</v>
      </c>
      <c r="AQ33" s="182"/>
      <c r="AR33" s="90"/>
      <c r="AS33" s="90"/>
      <c r="AT33" s="183">
        <f t="shared" si="24"/>
        <v>0</v>
      </c>
      <c r="AU33" s="182"/>
      <c r="AV33" s="90"/>
      <c r="AW33" s="90"/>
      <c r="AX33" s="183">
        <f t="shared" si="25"/>
        <v>0</v>
      </c>
      <c r="AY33" s="182"/>
      <c r="AZ33" s="90"/>
      <c r="BA33" s="90"/>
      <c r="BB33" s="183">
        <f t="shared" si="26"/>
        <v>0</v>
      </c>
      <c r="BC33" s="182"/>
      <c r="BD33" s="90"/>
      <c r="BE33" s="90"/>
      <c r="BF33" s="183">
        <f t="shared" si="27"/>
        <v>0</v>
      </c>
      <c r="BG33" s="182"/>
      <c r="BH33" s="90"/>
      <c r="BI33" s="90"/>
      <c r="BJ33" s="183">
        <f t="shared" si="28"/>
        <v>0</v>
      </c>
      <c r="BK33" s="182"/>
      <c r="BL33" s="90"/>
      <c r="BM33" s="90"/>
      <c r="BN33" s="183">
        <f t="shared" si="29"/>
        <v>0</v>
      </c>
      <c r="BO33" s="182"/>
      <c r="BP33" s="90"/>
      <c r="BQ33" s="90"/>
      <c r="BR33" s="183">
        <f t="shared" si="30"/>
        <v>0</v>
      </c>
      <c r="BS33" s="182"/>
      <c r="BT33" s="90"/>
      <c r="BU33" s="90"/>
      <c r="BV33" s="183">
        <f t="shared" si="31"/>
        <v>0</v>
      </c>
      <c r="BW33" s="182"/>
      <c r="BX33" s="90"/>
      <c r="BY33" s="90"/>
      <c r="BZ33" s="183">
        <f t="shared" si="32"/>
        <v>0</v>
      </c>
      <c r="CA33" s="182"/>
      <c r="CB33" s="90"/>
      <c r="CC33" s="90"/>
      <c r="CD33" s="183">
        <f t="shared" si="33"/>
        <v>0</v>
      </c>
    </row>
    <row r="34" spans="2:82" x14ac:dyDescent="0.3">
      <c r="B34" s="53"/>
      <c r="C34" s="53" t="str">
        <f t="shared" si="0"/>
        <v>CPU_DrenagemSuperficial</v>
      </c>
      <c r="D34" s="278">
        <f t="shared" si="1"/>
        <v>0</v>
      </c>
      <c r="E34" s="278">
        <f t="shared" si="2"/>
        <v>0</v>
      </c>
      <c r="F34" s="1"/>
      <c r="G34" s="28" t="str">
        <f>IFERROR(VLOOKUP(F34,Tabela7[[RECURSO]:[CUSTO]],2,FALSE),"")</f>
        <v/>
      </c>
      <c r="H34" s="93"/>
      <c r="I34" s="90"/>
      <c r="J34" s="45">
        <f>IFERROR(VLOOKUP(F34,Tabela7[[RECURSO]:[CUSTO]],3,FALSE),0)</f>
        <v>0</v>
      </c>
      <c r="K34" s="45">
        <f t="shared" si="34"/>
        <v>0</v>
      </c>
      <c r="AD34" s="144" t="str">
        <f t="shared" si="3"/>
        <v>Drenagem Superficial</v>
      </c>
      <c r="AE34" s="179"/>
      <c r="AF34" s="180">
        <f t="shared" si="20"/>
        <v>0</v>
      </c>
      <c r="AG34" s="180">
        <f t="shared" si="17"/>
        <v>0</v>
      </c>
      <c r="AH34" s="181">
        <f t="shared" si="21"/>
        <v>0</v>
      </c>
      <c r="AI34" s="182"/>
      <c r="AJ34" s="90"/>
      <c r="AK34" s="90"/>
      <c r="AL34" s="183">
        <f t="shared" si="22"/>
        <v>0</v>
      </c>
      <c r="AM34" s="182"/>
      <c r="AN34" s="90"/>
      <c r="AO34" s="90"/>
      <c r="AP34" s="183">
        <f t="shared" si="23"/>
        <v>0</v>
      </c>
      <c r="AQ34" s="182"/>
      <c r="AR34" s="90"/>
      <c r="AS34" s="90"/>
      <c r="AT34" s="183">
        <f t="shared" si="24"/>
        <v>0</v>
      </c>
      <c r="AU34" s="182"/>
      <c r="AV34" s="90"/>
      <c r="AW34" s="90"/>
      <c r="AX34" s="183">
        <f t="shared" si="25"/>
        <v>0</v>
      </c>
      <c r="AY34" s="182"/>
      <c r="AZ34" s="90"/>
      <c r="BA34" s="90"/>
      <c r="BB34" s="183">
        <f t="shared" si="26"/>
        <v>0</v>
      </c>
      <c r="BC34" s="182"/>
      <c r="BD34" s="90"/>
      <c r="BE34" s="90"/>
      <c r="BF34" s="183">
        <f t="shared" si="27"/>
        <v>0</v>
      </c>
      <c r="BG34" s="182"/>
      <c r="BH34" s="90"/>
      <c r="BI34" s="90"/>
      <c r="BJ34" s="183">
        <f t="shared" si="28"/>
        <v>0</v>
      </c>
      <c r="BK34" s="182"/>
      <c r="BL34" s="90"/>
      <c r="BM34" s="90"/>
      <c r="BN34" s="183">
        <f t="shared" si="29"/>
        <v>0</v>
      </c>
      <c r="BO34" s="182"/>
      <c r="BP34" s="90"/>
      <c r="BQ34" s="90"/>
      <c r="BR34" s="183">
        <f t="shared" si="30"/>
        <v>0</v>
      </c>
      <c r="BS34" s="182"/>
      <c r="BT34" s="90"/>
      <c r="BU34" s="90"/>
      <c r="BV34" s="183">
        <f t="shared" si="31"/>
        <v>0</v>
      </c>
      <c r="BW34" s="182"/>
      <c r="BX34" s="90"/>
      <c r="BY34" s="90"/>
      <c r="BZ34" s="183">
        <f t="shared" si="32"/>
        <v>0</v>
      </c>
      <c r="CA34" s="182"/>
      <c r="CB34" s="90"/>
      <c r="CC34" s="90"/>
      <c r="CD34" s="183">
        <f t="shared" si="33"/>
        <v>0</v>
      </c>
    </row>
    <row r="35" spans="2:82" x14ac:dyDescent="0.3">
      <c r="B35" s="53"/>
      <c r="C35" s="53" t="str">
        <f t="shared" si="0"/>
        <v>CPU_DrenagemSuperficial</v>
      </c>
      <c r="D35" s="278">
        <f t="shared" si="1"/>
        <v>0</v>
      </c>
      <c r="E35" s="278">
        <f t="shared" si="2"/>
        <v>0</v>
      </c>
      <c r="F35" s="1"/>
      <c r="G35" s="28" t="str">
        <f>IFERROR(VLOOKUP(F35,Tabela7[[RECURSO]:[CUSTO]],2,FALSE),"")</f>
        <v/>
      </c>
      <c r="H35" s="93"/>
      <c r="I35" s="90"/>
      <c r="J35" s="45">
        <f>IFERROR(VLOOKUP(F35,Tabela7[[RECURSO]:[CUSTO]],3,FALSE),0)</f>
        <v>0</v>
      </c>
      <c r="K35" s="45">
        <f t="shared" si="34"/>
        <v>0</v>
      </c>
      <c r="AD35" s="144" t="str">
        <f t="shared" si="3"/>
        <v>Drenagem Superficial</v>
      </c>
      <c r="AE35" s="179"/>
      <c r="AF35" s="180">
        <f t="shared" si="20"/>
        <v>0</v>
      </c>
      <c r="AG35" s="180">
        <f t="shared" si="17"/>
        <v>0</v>
      </c>
      <c r="AH35" s="181">
        <f t="shared" si="21"/>
        <v>0</v>
      </c>
      <c r="AI35" s="182"/>
      <c r="AJ35" s="90"/>
      <c r="AK35" s="90"/>
      <c r="AL35" s="183">
        <f t="shared" si="22"/>
        <v>0</v>
      </c>
      <c r="AM35" s="182"/>
      <c r="AN35" s="90"/>
      <c r="AO35" s="90"/>
      <c r="AP35" s="183">
        <f t="shared" si="23"/>
        <v>0</v>
      </c>
      <c r="AQ35" s="182"/>
      <c r="AR35" s="90"/>
      <c r="AS35" s="90"/>
      <c r="AT35" s="183">
        <f t="shared" si="24"/>
        <v>0</v>
      </c>
      <c r="AU35" s="182"/>
      <c r="AV35" s="90"/>
      <c r="AW35" s="90"/>
      <c r="AX35" s="183">
        <f t="shared" si="25"/>
        <v>0</v>
      </c>
      <c r="AY35" s="182"/>
      <c r="AZ35" s="90"/>
      <c r="BA35" s="90"/>
      <c r="BB35" s="183">
        <f t="shared" si="26"/>
        <v>0</v>
      </c>
      <c r="BC35" s="182"/>
      <c r="BD35" s="90"/>
      <c r="BE35" s="90"/>
      <c r="BF35" s="183">
        <f t="shared" si="27"/>
        <v>0</v>
      </c>
      <c r="BG35" s="182"/>
      <c r="BH35" s="90"/>
      <c r="BI35" s="90"/>
      <c r="BJ35" s="183">
        <f t="shared" si="28"/>
        <v>0</v>
      </c>
      <c r="BK35" s="182"/>
      <c r="BL35" s="90"/>
      <c r="BM35" s="90"/>
      <c r="BN35" s="183">
        <f t="shared" si="29"/>
        <v>0</v>
      </c>
      <c r="BO35" s="182"/>
      <c r="BP35" s="90"/>
      <c r="BQ35" s="90"/>
      <c r="BR35" s="183">
        <f t="shared" si="30"/>
        <v>0</v>
      </c>
      <c r="BS35" s="182"/>
      <c r="BT35" s="90"/>
      <c r="BU35" s="90"/>
      <c r="BV35" s="183">
        <f t="shared" si="31"/>
        <v>0</v>
      </c>
      <c r="BW35" s="182"/>
      <c r="BX35" s="90"/>
      <c r="BY35" s="90"/>
      <c r="BZ35" s="183">
        <f t="shared" si="32"/>
        <v>0</v>
      </c>
      <c r="CA35" s="182"/>
      <c r="CB35" s="90"/>
      <c r="CC35" s="90"/>
      <c r="CD35" s="183">
        <f t="shared" si="33"/>
        <v>0</v>
      </c>
    </row>
    <row r="36" spans="2:82" x14ac:dyDescent="0.3">
      <c r="B36" s="53"/>
      <c r="C36" s="53" t="str">
        <f t="shared" si="0"/>
        <v>CPU_DrenagemSuperficial</v>
      </c>
      <c r="D36" s="278">
        <f t="shared" si="1"/>
        <v>0</v>
      </c>
      <c r="E36" s="278">
        <f t="shared" si="2"/>
        <v>0</v>
      </c>
      <c r="F36" s="1"/>
      <c r="G36" s="28" t="str">
        <f>IFERROR(VLOOKUP(F36,Tabela7[[RECURSO]:[CUSTO]],2,FALSE),"")</f>
        <v/>
      </c>
      <c r="H36" s="93"/>
      <c r="I36" s="90"/>
      <c r="J36" s="45">
        <f>IFERROR(VLOOKUP(F36,Tabela7[[RECURSO]:[CUSTO]],3,FALSE),0)</f>
        <v>0</v>
      </c>
      <c r="K36" s="45">
        <f t="shared" si="34"/>
        <v>0</v>
      </c>
      <c r="AD36" s="144" t="str">
        <f t="shared" si="3"/>
        <v>Drenagem Superficial</v>
      </c>
      <c r="AE36" s="179"/>
      <c r="AF36" s="180">
        <f t="shared" si="20"/>
        <v>0</v>
      </c>
      <c r="AG36" s="180">
        <f t="shared" si="17"/>
        <v>0</v>
      </c>
      <c r="AH36" s="181">
        <f t="shared" si="21"/>
        <v>0</v>
      </c>
      <c r="AI36" s="182"/>
      <c r="AJ36" s="90"/>
      <c r="AK36" s="90"/>
      <c r="AL36" s="183">
        <f t="shared" si="22"/>
        <v>0</v>
      </c>
      <c r="AM36" s="182"/>
      <c r="AN36" s="90"/>
      <c r="AO36" s="90"/>
      <c r="AP36" s="183">
        <f t="shared" si="23"/>
        <v>0</v>
      </c>
      <c r="AQ36" s="182"/>
      <c r="AR36" s="90"/>
      <c r="AS36" s="90"/>
      <c r="AT36" s="183">
        <f t="shared" si="24"/>
        <v>0</v>
      </c>
      <c r="AU36" s="182"/>
      <c r="AV36" s="90"/>
      <c r="AW36" s="90"/>
      <c r="AX36" s="183">
        <f t="shared" si="25"/>
        <v>0</v>
      </c>
      <c r="AY36" s="182"/>
      <c r="AZ36" s="90"/>
      <c r="BA36" s="90"/>
      <c r="BB36" s="183">
        <f t="shared" si="26"/>
        <v>0</v>
      </c>
      <c r="BC36" s="182"/>
      <c r="BD36" s="90"/>
      <c r="BE36" s="90"/>
      <c r="BF36" s="183">
        <f t="shared" si="27"/>
        <v>0</v>
      </c>
      <c r="BG36" s="182"/>
      <c r="BH36" s="90"/>
      <c r="BI36" s="90"/>
      <c r="BJ36" s="183">
        <f t="shared" si="28"/>
        <v>0</v>
      </c>
      <c r="BK36" s="182"/>
      <c r="BL36" s="90"/>
      <c r="BM36" s="90"/>
      <c r="BN36" s="183">
        <f t="shared" si="29"/>
        <v>0</v>
      </c>
      <c r="BO36" s="182"/>
      <c r="BP36" s="90"/>
      <c r="BQ36" s="90"/>
      <c r="BR36" s="183">
        <f t="shared" si="30"/>
        <v>0</v>
      </c>
      <c r="BS36" s="182"/>
      <c r="BT36" s="90"/>
      <c r="BU36" s="90"/>
      <c r="BV36" s="183">
        <f t="shared" si="31"/>
        <v>0</v>
      </c>
      <c r="BW36" s="182"/>
      <c r="BX36" s="90"/>
      <c r="BY36" s="90"/>
      <c r="BZ36" s="183">
        <f t="shared" si="32"/>
        <v>0</v>
      </c>
      <c r="CA36" s="182"/>
      <c r="CB36" s="90"/>
      <c r="CC36" s="90"/>
      <c r="CD36" s="183">
        <f t="shared" si="33"/>
        <v>0</v>
      </c>
    </row>
    <row r="37" spans="2:82" x14ac:dyDescent="0.3">
      <c r="B37" s="52" t="s">
        <v>692</v>
      </c>
      <c r="C37" s="52" t="str">
        <f t="shared" si="0"/>
        <v>CPU_DrenagemSuperficial</v>
      </c>
      <c r="D37" s="277">
        <f t="shared" si="1"/>
        <v>0</v>
      </c>
      <c r="E37" s="277">
        <f t="shared" si="2"/>
        <v>0</v>
      </c>
      <c r="F37" s="37"/>
      <c r="G37" s="38"/>
      <c r="H37" s="91"/>
      <c r="I37" s="40"/>
      <c r="J37" s="40">
        <f>IFERROR(K37/$B$6,0)</f>
        <v>0</v>
      </c>
      <c r="K37" s="40">
        <f>SUM(K38:K49)</f>
        <v>2013.7934805820514</v>
      </c>
      <c r="M37" s="22"/>
      <c r="N37" s="39"/>
      <c r="AD37" s="144" t="str">
        <f t="shared" si="3"/>
        <v>Drenagem Superficial</v>
      </c>
      <c r="AE37" s="184"/>
      <c r="AF37" s="40"/>
      <c r="AG37" s="40">
        <f>IFERROR(AH37/AF$3,0)</f>
        <v>0</v>
      </c>
      <c r="AH37" s="185">
        <f>SUM(AH38:AH49)</f>
        <v>0</v>
      </c>
      <c r="AI37" s="184"/>
      <c r="AJ37" s="40"/>
      <c r="AK37" s="40">
        <f>IFERROR(AL37/AJ$3,0)</f>
        <v>0</v>
      </c>
      <c r="AL37" s="185">
        <f>SUM(AL38:AL49)</f>
        <v>0</v>
      </c>
      <c r="AM37" s="184"/>
      <c r="AN37" s="40"/>
      <c r="AO37" s="40">
        <f>IFERROR(AP37/AN$3,0)</f>
        <v>0</v>
      </c>
      <c r="AP37" s="185">
        <f>SUM(AP38:AP49)</f>
        <v>0</v>
      </c>
      <c r="AQ37" s="184"/>
      <c r="AR37" s="40"/>
      <c r="AS37" s="40">
        <f>IFERROR(AT37/AR$3,0)</f>
        <v>0</v>
      </c>
      <c r="AT37" s="185">
        <f>SUM(AT38:AT49)</f>
        <v>0</v>
      </c>
      <c r="AU37" s="184"/>
      <c r="AV37" s="40"/>
      <c r="AW37" s="40">
        <f>IFERROR(AX37/AV$3,0)</f>
        <v>0</v>
      </c>
      <c r="AX37" s="185">
        <f>SUM(AX38:AX49)</f>
        <v>0</v>
      </c>
      <c r="AY37" s="184"/>
      <c r="AZ37" s="40"/>
      <c r="BA37" s="40">
        <f>IFERROR(BB37/AZ$3,0)</f>
        <v>0</v>
      </c>
      <c r="BB37" s="185">
        <f>SUM(BB38:BB49)</f>
        <v>0</v>
      </c>
      <c r="BC37" s="184"/>
      <c r="BD37" s="40"/>
      <c r="BE37" s="40">
        <f>IFERROR(BF37/BD$3,0)</f>
        <v>0</v>
      </c>
      <c r="BF37" s="185">
        <f>SUM(BF38:BF49)</f>
        <v>0</v>
      </c>
      <c r="BG37" s="184"/>
      <c r="BH37" s="40"/>
      <c r="BI37" s="40">
        <f>IFERROR(BJ37/BH$3,0)</f>
        <v>0</v>
      </c>
      <c r="BJ37" s="185">
        <f>SUM(BJ38:BJ49)</f>
        <v>0</v>
      </c>
      <c r="BK37" s="184"/>
      <c r="BL37" s="40"/>
      <c r="BM37" s="40">
        <f>IFERROR(BN37/BL$3,0)</f>
        <v>0</v>
      </c>
      <c r="BN37" s="185">
        <f>SUM(BN38:BN49)</f>
        <v>0</v>
      </c>
      <c r="BO37" s="184"/>
      <c r="BP37" s="40"/>
      <c r="BQ37" s="40">
        <f>IFERROR(BR37/BP$3,0)</f>
        <v>0</v>
      </c>
      <c r="BR37" s="185">
        <f>SUM(BR38:BR49)</f>
        <v>0</v>
      </c>
      <c r="BS37" s="184"/>
      <c r="BT37" s="40"/>
      <c r="BU37" s="40">
        <f>IFERROR(BV37/BT$3,0)</f>
        <v>0</v>
      </c>
      <c r="BV37" s="185">
        <f>SUM(BV38:BV49)</f>
        <v>0</v>
      </c>
      <c r="BW37" s="184"/>
      <c r="BX37" s="40"/>
      <c r="BY37" s="40">
        <f>IFERROR(BZ37/BX$3,0)</f>
        <v>0</v>
      </c>
      <c r="BZ37" s="185">
        <f>SUM(BZ38:BZ49)</f>
        <v>0</v>
      </c>
      <c r="CA37" s="184"/>
      <c r="CB37" s="40"/>
      <c r="CC37" s="40">
        <f>IFERROR(CD37/CB$3,0)</f>
        <v>0</v>
      </c>
      <c r="CD37" s="185">
        <f>SUM(CD38:CD49)</f>
        <v>0</v>
      </c>
    </row>
    <row r="38" spans="2:82" x14ac:dyDescent="0.3">
      <c r="B38" s="54"/>
      <c r="C38" s="54" t="str">
        <f t="shared" si="0"/>
        <v>CPU_DrenagemSuperficial</v>
      </c>
      <c r="D38" s="280">
        <f t="shared" si="1"/>
        <v>0</v>
      </c>
      <c r="E38" s="280">
        <f t="shared" si="2"/>
        <v>0</v>
      </c>
      <c r="F38" s="1" t="s">
        <v>758</v>
      </c>
      <c r="G38" s="28" t="str">
        <f>IFERROR(VLOOKUP(F38,Tabela7[[RECURSO]:[CUSTO]],2,FALSE),"")</f>
        <v>H</v>
      </c>
      <c r="H38" s="92">
        <v>3</v>
      </c>
      <c r="I38" s="90">
        <v>10</v>
      </c>
      <c r="J38" s="45">
        <f>IFERROR(VLOOKUP(F38,Tabela7[[RECURSO]:[CUSTO]],3,FALSE),0)</f>
        <v>40.546465252092652</v>
      </c>
      <c r="K38" s="45">
        <f>I38*J38*CPU_45[[#This Row],[Nº]]</f>
        <v>1216.3939575627796</v>
      </c>
      <c r="AD38" s="144" t="str">
        <f t="shared" si="3"/>
        <v>Drenagem Superficial</v>
      </c>
      <c r="AE38" s="186"/>
      <c r="AF38" s="180">
        <f t="shared" ref="AF38:AF49" si="35">AJ38+AN38+AR38+AV38+AZ38+BD38+BH38+BL38+BP38+BT38+BX38+CB38</f>
        <v>0</v>
      </c>
      <c r="AG38" s="180">
        <f t="shared" si="17"/>
        <v>0</v>
      </c>
      <c r="AH38" s="181">
        <f t="shared" ref="AH38:AH49" si="36">AL38+AP38+AT38+AX38+BB38+BF38+BJ38+BN38+BR38+BV38+BZ38+CD38</f>
        <v>0</v>
      </c>
      <c r="AI38" s="187"/>
      <c r="AJ38" s="90"/>
      <c r="AK38" s="90"/>
      <c r="AL38" s="183">
        <f t="shared" ref="AL38:AL49" si="37">AJ38*AK38</f>
        <v>0</v>
      </c>
      <c r="AM38" s="187"/>
      <c r="AN38" s="90"/>
      <c r="AO38" s="90"/>
      <c r="AP38" s="183">
        <f t="shared" si="23"/>
        <v>0</v>
      </c>
      <c r="AQ38" s="187"/>
      <c r="AR38" s="90"/>
      <c r="AS38" s="90"/>
      <c r="AT38" s="183">
        <f t="shared" si="24"/>
        <v>0</v>
      </c>
      <c r="AU38" s="187"/>
      <c r="AV38" s="90"/>
      <c r="AW38" s="90"/>
      <c r="AX38" s="183">
        <f t="shared" si="25"/>
        <v>0</v>
      </c>
      <c r="AY38" s="187"/>
      <c r="AZ38" s="90"/>
      <c r="BA38" s="90"/>
      <c r="BB38" s="183">
        <f t="shared" si="26"/>
        <v>0</v>
      </c>
      <c r="BC38" s="187"/>
      <c r="BD38" s="90"/>
      <c r="BE38" s="90"/>
      <c r="BF38" s="183">
        <f t="shared" si="27"/>
        <v>0</v>
      </c>
      <c r="BG38" s="187"/>
      <c r="BH38" s="90"/>
      <c r="BI38" s="90"/>
      <c r="BJ38" s="183">
        <f t="shared" si="28"/>
        <v>0</v>
      </c>
      <c r="BK38" s="187"/>
      <c r="BL38" s="90"/>
      <c r="BM38" s="90"/>
      <c r="BN38" s="183">
        <f t="shared" si="29"/>
        <v>0</v>
      </c>
      <c r="BO38" s="187"/>
      <c r="BP38" s="90"/>
      <c r="BQ38" s="90"/>
      <c r="BR38" s="183">
        <f t="shared" si="30"/>
        <v>0</v>
      </c>
      <c r="BS38" s="187"/>
      <c r="BT38" s="90"/>
      <c r="BU38" s="90"/>
      <c r="BV38" s="183">
        <f t="shared" si="31"/>
        <v>0</v>
      </c>
      <c r="BW38" s="187"/>
      <c r="BX38" s="90"/>
      <c r="BY38" s="90"/>
      <c r="BZ38" s="183">
        <f t="shared" si="32"/>
        <v>0</v>
      </c>
      <c r="CA38" s="187"/>
      <c r="CB38" s="90"/>
      <c r="CC38" s="90"/>
      <c r="CD38" s="183">
        <f t="shared" si="33"/>
        <v>0</v>
      </c>
    </row>
    <row r="39" spans="2:82" x14ac:dyDescent="0.3">
      <c r="B39" s="54"/>
      <c r="C39" s="54" t="str">
        <f t="shared" si="0"/>
        <v>CPU_DrenagemSuperficial</v>
      </c>
      <c r="D39" s="280">
        <f t="shared" si="1"/>
        <v>0</v>
      </c>
      <c r="E39" s="280">
        <f t="shared" si="2"/>
        <v>0</v>
      </c>
      <c r="F39" s="1" t="s">
        <v>361</v>
      </c>
      <c r="G39" s="28" t="str">
        <f>IFERROR(VLOOKUP(F39,Tabela7[[RECURSO]:[CUSTO]],2,FALSE),"")</f>
        <v>H</v>
      </c>
      <c r="H39" s="92">
        <v>3</v>
      </c>
      <c r="I39" s="90">
        <v>10</v>
      </c>
      <c r="J39" s="45">
        <f>IFERROR(VLOOKUP(F39,Tabela7[[RECURSO]:[CUSTO]],3,FALSE),0)</f>
        <v>26.579984100642395</v>
      </c>
      <c r="K39" s="45">
        <f>I39*J39*CPU_45[[#This Row],[Nº]]</f>
        <v>797.39952301927178</v>
      </c>
      <c r="M39" s="22"/>
      <c r="AD39" s="144" t="str">
        <f t="shared" si="3"/>
        <v>Drenagem Superficial</v>
      </c>
      <c r="AE39" s="186"/>
      <c r="AF39" s="180">
        <f t="shared" si="35"/>
        <v>0</v>
      </c>
      <c r="AG39" s="180">
        <f t="shared" si="17"/>
        <v>0</v>
      </c>
      <c r="AH39" s="181">
        <f t="shared" si="36"/>
        <v>0</v>
      </c>
      <c r="AI39" s="187"/>
      <c r="AJ39" s="90"/>
      <c r="AK39" s="90"/>
      <c r="AL39" s="183">
        <f t="shared" si="37"/>
        <v>0</v>
      </c>
      <c r="AM39" s="187"/>
      <c r="AN39" s="90"/>
      <c r="AO39" s="90"/>
      <c r="AP39" s="183">
        <f t="shared" si="23"/>
        <v>0</v>
      </c>
      <c r="AQ39" s="187"/>
      <c r="AR39" s="90"/>
      <c r="AS39" s="90"/>
      <c r="AT39" s="183">
        <f t="shared" si="24"/>
        <v>0</v>
      </c>
      <c r="AU39" s="187"/>
      <c r="AV39" s="90"/>
      <c r="AW39" s="90"/>
      <c r="AX39" s="183">
        <f t="shared" si="25"/>
        <v>0</v>
      </c>
      <c r="AY39" s="187"/>
      <c r="AZ39" s="90"/>
      <c r="BA39" s="90"/>
      <c r="BB39" s="183">
        <f t="shared" si="26"/>
        <v>0</v>
      </c>
      <c r="BC39" s="187"/>
      <c r="BD39" s="90"/>
      <c r="BE39" s="90"/>
      <c r="BF39" s="183">
        <f t="shared" si="27"/>
        <v>0</v>
      </c>
      <c r="BG39" s="187"/>
      <c r="BH39" s="90"/>
      <c r="BI39" s="90"/>
      <c r="BJ39" s="183">
        <f t="shared" si="28"/>
        <v>0</v>
      </c>
      <c r="BK39" s="187"/>
      <c r="BL39" s="90"/>
      <c r="BM39" s="90"/>
      <c r="BN39" s="183">
        <f t="shared" si="29"/>
        <v>0</v>
      </c>
      <c r="BO39" s="187"/>
      <c r="BP39" s="90"/>
      <c r="BQ39" s="90"/>
      <c r="BR39" s="183">
        <f t="shared" si="30"/>
        <v>0</v>
      </c>
      <c r="BS39" s="187"/>
      <c r="BT39" s="90"/>
      <c r="BU39" s="90"/>
      <c r="BV39" s="183">
        <f t="shared" si="31"/>
        <v>0</v>
      </c>
      <c r="BW39" s="187"/>
      <c r="BX39" s="90"/>
      <c r="BY39" s="90"/>
      <c r="BZ39" s="183">
        <f t="shared" si="32"/>
        <v>0</v>
      </c>
      <c r="CA39" s="187"/>
      <c r="CB39" s="90"/>
      <c r="CC39" s="90"/>
      <c r="CD39" s="183">
        <f t="shared" si="33"/>
        <v>0</v>
      </c>
    </row>
    <row r="40" spans="2:82" x14ac:dyDescent="0.3">
      <c r="B40" s="54"/>
      <c r="C40" s="54" t="str">
        <f t="shared" si="0"/>
        <v>CPU_DrenagemSuperficial</v>
      </c>
      <c r="D40" s="280">
        <f t="shared" si="1"/>
        <v>0</v>
      </c>
      <c r="E40" s="280">
        <f t="shared" si="2"/>
        <v>0</v>
      </c>
      <c r="F40" s="1"/>
      <c r="G40" s="28" t="str">
        <f>IFERROR(VLOOKUP(F40,Tabela7[[RECURSO]:[CUSTO]],2,FALSE),"")</f>
        <v/>
      </c>
      <c r="H40" s="92"/>
      <c r="I40" s="90"/>
      <c r="J40" s="45">
        <f>IFERROR(VLOOKUP(F40,Tabela7[[RECURSO]:[CUSTO]],3,FALSE),0)</f>
        <v>0</v>
      </c>
      <c r="K40" s="45">
        <f>I40*J40*CPU_45[[#This Row],[Nº]]</f>
        <v>0</v>
      </c>
      <c r="AD40" s="144" t="str">
        <f t="shared" si="3"/>
        <v>Drenagem Superficial</v>
      </c>
      <c r="AE40" s="186"/>
      <c r="AF40" s="180">
        <f t="shared" si="35"/>
        <v>0</v>
      </c>
      <c r="AG40" s="180">
        <f t="shared" si="17"/>
        <v>0</v>
      </c>
      <c r="AH40" s="181">
        <f t="shared" si="36"/>
        <v>0</v>
      </c>
      <c r="AI40" s="187"/>
      <c r="AJ40" s="90"/>
      <c r="AK40" s="90"/>
      <c r="AL40" s="183">
        <f t="shared" si="37"/>
        <v>0</v>
      </c>
      <c r="AM40" s="187"/>
      <c r="AN40" s="90"/>
      <c r="AO40" s="90"/>
      <c r="AP40" s="183">
        <f t="shared" si="23"/>
        <v>0</v>
      </c>
      <c r="AQ40" s="187"/>
      <c r="AR40" s="90"/>
      <c r="AS40" s="90"/>
      <c r="AT40" s="183">
        <f t="shared" si="24"/>
        <v>0</v>
      </c>
      <c r="AU40" s="187"/>
      <c r="AV40" s="90"/>
      <c r="AW40" s="90"/>
      <c r="AX40" s="183">
        <f t="shared" si="25"/>
        <v>0</v>
      </c>
      <c r="AY40" s="187"/>
      <c r="AZ40" s="90"/>
      <c r="BA40" s="90"/>
      <c r="BB40" s="183">
        <f t="shared" si="26"/>
        <v>0</v>
      </c>
      <c r="BC40" s="187"/>
      <c r="BD40" s="90"/>
      <c r="BE40" s="90"/>
      <c r="BF40" s="183">
        <f t="shared" si="27"/>
        <v>0</v>
      </c>
      <c r="BG40" s="187"/>
      <c r="BH40" s="90"/>
      <c r="BI40" s="90"/>
      <c r="BJ40" s="183">
        <f t="shared" si="28"/>
        <v>0</v>
      </c>
      <c r="BK40" s="187"/>
      <c r="BL40" s="90"/>
      <c r="BM40" s="90"/>
      <c r="BN40" s="183">
        <f t="shared" si="29"/>
        <v>0</v>
      </c>
      <c r="BO40" s="187"/>
      <c r="BP40" s="90"/>
      <c r="BQ40" s="90"/>
      <c r="BR40" s="183">
        <f t="shared" si="30"/>
        <v>0</v>
      </c>
      <c r="BS40" s="187"/>
      <c r="BT40" s="90"/>
      <c r="BU40" s="90"/>
      <c r="BV40" s="183">
        <f t="shared" si="31"/>
        <v>0</v>
      </c>
      <c r="BW40" s="187"/>
      <c r="BX40" s="90"/>
      <c r="BY40" s="90"/>
      <c r="BZ40" s="183">
        <f t="shared" si="32"/>
        <v>0</v>
      </c>
      <c r="CA40" s="187"/>
      <c r="CB40" s="90"/>
      <c r="CC40" s="90"/>
      <c r="CD40" s="183">
        <f t="shared" si="33"/>
        <v>0</v>
      </c>
    </row>
    <row r="41" spans="2:82" x14ac:dyDescent="0.3">
      <c r="B41" s="54"/>
      <c r="C41" s="54" t="str">
        <f t="shared" si="0"/>
        <v>CPU_DrenagemSuperficial</v>
      </c>
      <c r="D41" s="280">
        <f t="shared" si="1"/>
        <v>0</v>
      </c>
      <c r="E41" s="280">
        <f t="shared" si="2"/>
        <v>0</v>
      </c>
      <c r="F41" s="1"/>
      <c r="G41" s="28" t="str">
        <f>IFERROR(VLOOKUP(F41,Tabela7[[RECURSO]:[CUSTO]],2,FALSE),"")</f>
        <v/>
      </c>
      <c r="H41" s="92"/>
      <c r="I41" s="90"/>
      <c r="J41" s="45">
        <f>IFERROR(VLOOKUP(F41,Tabela7[[RECURSO]:[CUSTO]],3,FALSE),0)</f>
        <v>0</v>
      </c>
      <c r="K41" s="45">
        <f>I41*J41*CPU_45[[#This Row],[Nº]]</f>
        <v>0</v>
      </c>
      <c r="AD41" s="144" t="str">
        <f t="shared" si="3"/>
        <v>Drenagem Superficial</v>
      </c>
      <c r="AE41" s="186"/>
      <c r="AF41" s="180">
        <f t="shared" si="35"/>
        <v>0</v>
      </c>
      <c r="AG41" s="180">
        <f t="shared" si="17"/>
        <v>0</v>
      </c>
      <c r="AH41" s="181">
        <f t="shared" si="36"/>
        <v>0</v>
      </c>
      <c r="AI41" s="187"/>
      <c r="AJ41" s="90"/>
      <c r="AK41" s="90"/>
      <c r="AL41" s="183">
        <f t="shared" si="37"/>
        <v>0</v>
      </c>
      <c r="AM41" s="187"/>
      <c r="AN41" s="90"/>
      <c r="AO41" s="90"/>
      <c r="AP41" s="183">
        <f t="shared" si="23"/>
        <v>0</v>
      </c>
      <c r="AQ41" s="187"/>
      <c r="AR41" s="90"/>
      <c r="AS41" s="90"/>
      <c r="AT41" s="183">
        <f t="shared" si="24"/>
        <v>0</v>
      </c>
      <c r="AU41" s="187"/>
      <c r="AV41" s="90"/>
      <c r="AW41" s="90"/>
      <c r="AX41" s="183">
        <f t="shared" si="25"/>
        <v>0</v>
      </c>
      <c r="AY41" s="187"/>
      <c r="AZ41" s="90"/>
      <c r="BA41" s="90"/>
      <c r="BB41" s="183">
        <f t="shared" si="26"/>
        <v>0</v>
      </c>
      <c r="BC41" s="187"/>
      <c r="BD41" s="90"/>
      <c r="BE41" s="90"/>
      <c r="BF41" s="183">
        <f t="shared" si="27"/>
        <v>0</v>
      </c>
      <c r="BG41" s="187"/>
      <c r="BH41" s="90"/>
      <c r="BI41" s="90"/>
      <c r="BJ41" s="183">
        <f t="shared" si="28"/>
        <v>0</v>
      </c>
      <c r="BK41" s="187"/>
      <c r="BL41" s="90"/>
      <c r="BM41" s="90"/>
      <c r="BN41" s="183">
        <f t="shared" si="29"/>
        <v>0</v>
      </c>
      <c r="BO41" s="187"/>
      <c r="BP41" s="90"/>
      <c r="BQ41" s="90"/>
      <c r="BR41" s="183">
        <f t="shared" si="30"/>
        <v>0</v>
      </c>
      <c r="BS41" s="187"/>
      <c r="BT41" s="90"/>
      <c r="BU41" s="90"/>
      <c r="BV41" s="183">
        <f t="shared" si="31"/>
        <v>0</v>
      </c>
      <c r="BW41" s="187"/>
      <c r="BX41" s="90"/>
      <c r="BY41" s="90"/>
      <c r="BZ41" s="183">
        <f t="shared" si="32"/>
        <v>0</v>
      </c>
      <c r="CA41" s="187"/>
      <c r="CB41" s="90"/>
      <c r="CC41" s="90"/>
      <c r="CD41" s="183">
        <f t="shared" si="33"/>
        <v>0</v>
      </c>
    </row>
    <row r="42" spans="2:82" x14ac:dyDescent="0.3">
      <c r="B42" s="54"/>
      <c r="C42" s="54" t="str">
        <f t="shared" si="0"/>
        <v>CPU_DrenagemSuperficial</v>
      </c>
      <c r="D42" s="280">
        <f t="shared" si="1"/>
        <v>0</v>
      </c>
      <c r="E42" s="280">
        <f t="shared" si="2"/>
        <v>0</v>
      </c>
      <c r="F42" s="1"/>
      <c r="G42" s="28" t="str">
        <f>IFERROR(VLOOKUP(F42,Tabela7[[RECURSO]:[CUSTO]],2,FALSE),"")</f>
        <v/>
      </c>
      <c r="H42" s="92"/>
      <c r="I42" s="90"/>
      <c r="J42" s="45">
        <f>IFERROR(VLOOKUP(F42,Tabela7[[RECURSO]:[CUSTO]],3,FALSE),0)</f>
        <v>0</v>
      </c>
      <c r="K42" s="45">
        <f>I42*J42*CPU_45[[#This Row],[Nº]]</f>
        <v>0</v>
      </c>
      <c r="AD42" s="144" t="str">
        <f t="shared" si="3"/>
        <v>Drenagem Superficial</v>
      </c>
      <c r="AE42" s="186"/>
      <c r="AF42" s="180">
        <f t="shared" si="35"/>
        <v>0</v>
      </c>
      <c r="AG42" s="180">
        <f t="shared" si="17"/>
        <v>0</v>
      </c>
      <c r="AH42" s="181">
        <f t="shared" si="36"/>
        <v>0</v>
      </c>
      <c r="AI42" s="187"/>
      <c r="AJ42" s="90"/>
      <c r="AK42" s="90"/>
      <c r="AL42" s="183">
        <f t="shared" si="37"/>
        <v>0</v>
      </c>
      <c r="AM42" s="187"/>
      <c r="AN42" s="90"/>
      <c r="AO42" s="90"/>
      <c r="AP42" s="183">
        <f t="shared" si="23"/>
        <v>0</v>
      </c>
      <c r="AQ42" s="187"/>
      <c r="AR42" s="90"/>
      <c r="AS42" s="90"/>
      <c r="AT42" s="183">
        <f t="shared" si="24"/>
        <v>0</v>
      </c>
      <c r="AU42" s="187"/>
      <c r="AV42" s="90"/>
      <c r="AW42" s="90"/>
      <c r="AX42" s="183">
        <f t="shared" si="25"/>
        <v>0</v>
      </c>
      <c r="AY42" s="187"/>
      <c r="AZ42" s="90"/>
      <c r="BA42" s="90"/>
      <c r="BB42" s="183">
        <f t="shared" si="26"/>
        <v>0</v>
      </c>
      <c r="BC42" s="187"/>
      <c r="BD42" s="90"/>
      <c r="BE42" s="90"/>
      <c r="BF42" s="183">
        <f t="shared" si="27"/>
        <v>0</v>
      </c>
      <c r="BG42" s="187"/>
      <c r="BH42" s="90"/>
      <c r="BI42" s="90"/>
      <c r="BJ42" s="183">
        <f t="shared" si="28"/>
        <v>0</v>
      </c>
      <c r="BK42" s="187"/>
      <c r="BL42" s="90"/>
      <c r="BM42" s="90"/>
      <c r="BN42" s="183">
        <f t="shared" si="29"/>
        <v>0</v>
      </c>
      <c r="BO42" s="187"/>
      <c r="BP42" s="90"/>
      <c r="BQ42" s="90"/>
      <c r="BR42" s="183">
        <f t="shared" si="30"/>
        <v>0</v>
      </c>
      <c r="BS42" s="187"/>
      <c r="BT42" s="90"/>
      <c r="BU42" s="90"/>
      <c r="BV42" s="183">
        <f t="shared" si="31"/>
        <v>0</v>
      </c>
      <c r="BW42" s="187"/>
      <c r="BX42" s="90"/>
      <c r="BY42" s="90"/>
      <c r="BZ42" s="183">
        <f t="shared" si="32"/>
        <v>0</v>
      </c>
      <c r="CA42" s="187"/>
      <c r="CB42" s="90"/>
      <c r="CC42" s="90"/>
      <c r="CD42" s="183">
        <f t="shared" si="33"/>
        <v>0</v>
      </c>
    </row>
    <row r="43" spans="2:82" x14ac:dyDescent="0.3">
      <c r="B43" s="54"/>
      <c r="C43" s="54" t="str">
        <f t="shared" si="0"/>
        <v>CPU_DrenagemSuperficial</v>
      </c>
      <c r="D43" s="280">
        <f t="shared" si="1"/>
        <v>0</v>
      </c>
      <c r="E43" s="280">
        <f t="shared" si="2"/>
        <v>0</v>
      </c>
      <c r="F43" s="1"/>
      <c r="G43" s="28" t="str">
        <f>IFERROR(VLOOKUP(F43,Tabela7[[RECURSO]:[CUSTO]],2,FALSE),"")</f>
        <v/>
      </c>
      <c r="H43" s="92"/>
      <c r="I43" s="90"/>
      <c r="J43" s="45">
        <f>IFERROR(VLOOKUP(F43,Tabela7[[RECURSO]:[CUSTO]],3,FALSE),0)</f>
        <v>0</v>
      </c>
      <c r="K43" s="45">
        <f>I43*J43*CPU_45[[#This Row],[Nº]]</f>
        <v>0</v>
      </c>
      <c r="AD43" s="144" t="str">
        <f t="shared" si="3"/>
        <v>Drenagem Superficial</v>
      </c>
      <c r="AE43" s="186"/>
      <c r="AF43" s="180">
        <f t="shared" si="35"/>
        <v>0</v>
      </c>
      <c r="AG43" s="180">
        <f t="shared" si="17"/>
        <v>0</v>
      </c>
      <c r="AH43" s="181">
        <f t="shared" si="36"/>
        <v>0</v>
      </c>
      <c r="AI43" s="187"/>
      <c r="AJ43" s="90"/>
      <c r="AK43" s="90"/>
      <c r="AL43" s="183">
        <f t="shared" si="37"/>
        <v>0</v>
      </c>
      <c r="AM43" s="187"/>
      <c r="AN43" s="90"/>
      <c r="AO43" s="90"/>
      <c r="AP43" s="183">
        <f t="shared" si="23"/>
        <v>0</v>
      </c>
      <c r="AQ43" s="187"/>
      <c r="AR43" s="90"/>
      <c r="AS43" s="90"/>
      <c r="AT43" s="183">
        <f t="shared" si="24"/>
        <v>0</v>
      </c>
      <c r="AU43" s="187"/>
      <c r="AV43" s="90"/>
      <c r="AW43" s="90"/>
      <c r="AX43" s="183">
        <f t="shared" si="25"/>
        <v>0</v>
      </c>
      <c r="AY43" s="187"/>
      <c r="AZ43" s="90"/>
      <c r="BA43" s="90"/>
      <c r="BB43" s="183">
        <f t="shared" si="26"/>
        <v>0</v>
      </c>
      <c r="BC43" s="187"/>
      <c r="BD43" s="90"/>
      <c r="BE43" s="90"/>
      <c r="BF43" s="183">
        <f t="shared" si="27"/>
        <v>0</v>
      </c>
      <c r="BG43" s="187"/>
      <c r="BH43" s="90"/>
      <c r="BI43" s="90"/>
      <c r="BJ43" s="183">
        <f t="shared" si="28"/>
        <v>0</v>
      </c>
      <c r="BK43" s="187"/>
      <c r="BL43" s="90"/>
      <c r="BM43" s="90"/>
      <c r="BN43" s="183">
        <f t="shared" si="29"/>
        <v>0</v>
      </c>
      <c r="BO43" s="187"/>
      <c r="BP43" s="90"/>
      <c r="BQ43" s="90"/>
      <c r="BR43" s="183">
        <f t="shared" si="30"/>
        <v>0</v>
      </c>
      <c r="BS43" s="187"/>
      <c r="BT43" s="90"/>
      <c r="BU43" s="90"/>
      <c r="BV43" s="183">
        <f t="shared" si="31"/>
        <v>0</v>
      </c>
      <c r="BW43" s="187"/>
      <c r="BX43" s="90"/>
      <c r="BY43" s="90"/>
      <c r="BZ43" s="183">
        <f t="shared" si="32"/>
        <v>0</v>
      </c>
      <c r="CA43" s="187"/>
      <c r="CB43" s="90"/>
      <c r="CC43" s="90"/>
      <c r="CD43" s="183">
        <f t="shared" si="33"/>
        <v>0</v>
      </c>
    </row>
    <row r="44" spans="2:82" x14ac:dyDescent="0.3">
      <c r="B44" s="54"/>
      <c r="C44" s="54" t="str">
        <f t="shared" si="0"/>
        <v>CPU_DrenagemSuperficial</v>
      </c>
      <c r="D44" s="280">
        <f t="shared" si="1"/>
        <v>0</v>
      </c>
      <c r="E44" s="280">
        <f t="shared" si="2"/>
        <v>0</v>
      </c>
      <c r="F44" s="1"/>
      <c r="G44" s="28" t="str">
        <f>IFERROR(VLOOKUP(F44,Tabela7[[RECURSO]:[CUSTO]],2,FALSE),"")</f>
        <v/>
      </c>
      <c r="H44" s="92"/>
      <c r="I44" s="90"/>
      <c r="J44" s="45">
        <f>IFERROR(VLOOKUP(F44,Tabela7[[RECURSO]:[CUSTO]],3,FALSE),0)</f>
        <v>0</v>
      </c>
      <c r="K44" s="45">
        <f>I44*J44*CPU_45[[#This Row],[Nº]]</f>
        <v>0</v>
      </c>
      <c r="AD44" s="144" t="str">
        <f t="shared" si="3"/>
        <v>Drenagem Superficial</v>
      </c>
      <c r="AE44" s="186"/>
      <c r="AF44" s="180">
        <f t="shared" si="35"/>
        <v>0</v>
      </c>
      <c r="AG44" s="180">
        <f t="shared" si="17"/>
        <v>0</v>
      </c>
      <c r="AH44" s="181">
        <f t="shared" si="36"/>
        <v>0</v>
      </c>
      <c r="AI44" s="187"/>
      <c r="AJ44" s="90"/>
      <c r="AK44" s="90"/>
      <c r="AL44" s="183">
        <f t="shared" si="37"/>
        <v>0</v>
      </c>
      <c r="AM44" s="187"/>
      <c r="AN44" s="90"/>
      <c r="AO44" s="90"/>
      <c r="AP44" s="183">
        <f t="shared" si="23"/>
        <v>0</v>
      </c>
      <c r="AQ44" s="187"/>
      <c r="AR44" s="90"/>
      <c r="AS44" s="90"/>
      <c r="AT44" s="183">
        <f t="shared" si="24"/>
        <v>0</v>
      </c>
      <c r="AU44" s="187"/>
      <c r="AV44" s="90"/>
      <c r="AW44" s="90"/>
      <c r="AX44" s="183">
        <f t="shared" si="25"/>
        <v>0</v>
      </c>
      <c r="AY44" s="187"/>
      <c r="AZ44" s="90"/>
      <c r="BA44" s="90"/>
      <c r="BB44" s="183">
        <f t="shared" si="26"/>
        <v>0</v>
      </c>
      <c r="BC44" s="187"/>
      <c r="BD44" s="90"/>
      <c r="BE44" s="90"/>
      <c r="BF44" s="183">
        <f t="shared" si="27"/>
        <v>0</v>
      </c>
      <c r="BG44" s="187"/>
      <c r="BH44" s="90"/>
      <c r="BI44" s="90"/>
      <c r="BJ44" s="183">
        <f t="shared" si="28"/>
        <v>0</v>
      </c>
      <c r="BK44" s="187"/>
      <c r="BL44" s="90"/>
      <c r="BM44" s="90"/>
      <c r="BN44" s="183">
        <f t="shared" si="29"/>
        <v>0</v>
      </c>
      <c r="BO44" s="187"/>
      <c r="BP44" s="90"/>
      <c r="BQ44" s="90"/>
      <c r="BR44" s="183">
        <f t="shared" si="30"/>
        <v>0</v>
      </c>
      <c r="BS44" s="187"/>
      <c r="BT44" s="90"/>
      <c r="BU44" s="90"/>
      <c r="BV44" s="183">
        <f t="shared" si="31"/>
        <v>0</v>
      </c>
      <c r="BW44" s="187"/>
      <c r="BX44" s="90"/>
      <c r="BY44" s="90"/>
      <c r="BZ44" s="183">
        <f t="shared" si="32"/>
        <v>0</v>
      </c>
      <c r="CA44" s="187"/>
      <c r="CB44" s="90"/>
      <c r="CC44" s="90"/>
      <c r="CD44" s="183">
        <f t="shared" si="33"/>
        <v>0</v>
      </c>
    </row>
    <row r="45" spans="2:82" x14ac:dyDescent="0.3">
      <c r="B45" s="53"/>
      <c r="C45" s="53" t="str">
        <f t="shared" si="0"/>
        <v>CPU_DrenagemSuperficial</v>
      </c>
      <c r="D45" s="278">
        <f t="shared" si="1"/>
        <v>0</v>
      </c>
      <c r="E45" s="278">
        <f t="shared" si="2"/>
        <v>0</v>
      </c>
      <c r="F45" s="1"/>
      <c r="G45" s="28" t="str">
        <f>IFERROR(VLOOKUP(F45,Tabela7[[RECURSO]:[CUSTO]],2,FALSE),"")</f>
        <v/>
      </c>
      <c r="H45" s="92"/>
      <c r="I45" s="90"/>
      <c r="J45" s="45">
        <f>IFERROR(VLOOKUP(F45,Tabela7[[RECURSO]:[CUSTO]],3,FALSE),0)</f>
        <v>0</v>
      </c>
      <c r="K45" s="45">
        <f>I45*J45*CPU_45[[#This Row],[Nº]]</f>
        <v>0</v>
      </c>
      <c r="AD45" s="144" t="str">
        <f t="shared" si="3"/>
        <v>Drenagem Superficial</v>
      </c>
      <c r="AE45" s="188"/>
      <c r="AF45" s="180">
        <f t="shared" si="35"/>
        <v>0</v>
      </c>
      <c r="AG45" s="180">
        <f t="shared" si="17"/>
        <v>0</v>
      </c>
      <c r="AH45" s="181">
        <f t="shared" si="36"/>
        <v>0</v>
      </c>
      <c r="AI45" s="189"/>
      <c r="AJ45" s="90"/>
      <c r="AK45" s="90"/>
      <c r="AL45" s="183">
        <f t="shared" si="37"/>
        <v>0</v>
      </c>
      <c r="AM45" s="189"/>
      <c r="AN45" s="90"/>
      <c r="AO45" s="90"/>
      <c r="AP45" s="183">
        <f t="shared" si="23"/>
        <v>0</v>
      </c>
      <c r="AQ45" s="189"/>
      <c r="AR45" s="90"/>
      <c r="AS45" s="90"/>
      <c r="AT45" s="183">
        <f t="shared" si="24"/>
        <v>0</v>
      </c>
      <c r="AU45" s="189"/>
      <c r="AV45" s="90"/>
      <c r="AW45" s="90"/>
      <c r="AX45" s="183">
        <f t="shared" si="25"/>
        <v>0</v>
      </c>
      <c r="AY45" s="189"/>
      <c r="AZ45" s="90"/>
      <c r="BA45" s="90"/>
      <c r="BB45" s="183">
        <f t="shared" si="26"/>
        <v>0</v>
      </c>
      <c r="BC45" s="189"/>
      <c r="BD45" s="90"/>
      <c r="BE45" s="90"/>
      <c r="BF45" s="183">
        <f t="shared" si="27"/>
        <v>0</v>
      </c>
      <c r="BG45" s="189"/>
      <c r="BH45" s="90"/>
      <c r="BI45" s="90"/>
      <c r="BJ45" s="183">
        <f t="shared" si="28"/>
        <v>0</v>
      </c>
      <c r="BK45" s="189"/>
      <c r="BL45" s="90"/>
      <c r="BM45" s="90"/>
      <c r="BN45" s="183">
        <f t="shared" si="29"/>
        <v>0</v>
      </c>
      <c r="BO45" s="189"/>
      <c r="BP45" s="90"/>
      <c r="BQ45" s="90"/>
      <c r="BR45" s="183">
        <f t="shared" si="30"/>
        <v>0</v>
      </c>
      <c r="BS45" s="189"/>
      <c r="BT45" s="90"/>
      <c r="BU45" s="90"/>
      <c r="BV45" s="183">
        <f t="shared" si="31"/>
        <v>0</v>
      </c>
      <c r="BW45" s="189"/>
      <c r="BX45" s="90"/>
      <c r="BY45" s="90"/>
      <c r="BZ45" s="183">
        <f t="shared" si="32"/>
        <v>0</v>
      </c>
      <c r="CA45" s="189"/>
      <c r="CB45" s="90"/>
      <c r="CC45" s="90"/>
      <c r="CD45" s="183">
        <f t="shared" si="33"/>
        <v>0</v>
      </c>
    </row>
    <row r="46" spans="2:82" x14ac:dyDescent="0.3">
      <c r="B46" s="53"/>
      <c r="C46" s="53" t="str">
        <f t="shared" si="0"/>
        <v>CPU_DrenagemSuperficial</v>
      </c>
      <c r="D46" s="278">
        <f t="shared" si="1"/>
        <v>0</v>
      </c>
      <c r="E46" s="278">
        <f t="shared" si="2"/>
        <v>0</v>
      </c>
      <c r="F46" s="1"/>
      <c r="G46" s="28" t="str">
        <f>IFERROR(VLOOKUP(F46,Tabela7[[RECURSO]:[CUSTO]],2,FALSE),"")</f>
        <v/>
      </c>
      <c r="H46" s="92"/>
      <c r="I46" s="90"/>
      <c r="J46" s="45">
        <f>IFERROR(VLOOKUP(F46,Tabela7[[RECURSO]:[CUSTO]],3,FALSE),0)</f>
        <v>0</v>
      </c>
      <c r="K46" s="45">
        <f>I46*J46*CPU_45[[#This Row],[Nº]]</f>
        <v>0</v>
      </c>
      <c r="AD46" s="144" t="str">
        <f t="shared" si="3"/>
        <v>Drenagem Superficial</v>
      </c>
      <c r="AE46" s="188"/>
      <c r="AF46" s="180">
        <f t="shared" si="35"/>
        <v>0</v>
      </c>
      <c r="AG46" s="180">
        <f t="shared" si="17"/>
        <v>0</v>
      </c>
      <c r="AH46" s="181">
        <f t="shared" si="36"/>
        <v>0</v>
      </c>
      <c r="AI46" s="189"/>
      <c r="AJ46" s="90"/>
      <c r="AK46" s="90"/>
      <c r="AL46" s="183">
        <f t="shared" si="37"/>
        <v>0</v>
      </c>
      <c r="AM46" s="189"/>
      <c r="AN46" s="90"/>
      <c r="AO46" s="90"/>
      <c r="AP46" s="183">
        <f t="shared" si="23"/>
        <v>0</v>
      </c>
      <c r="AQ46" s="189"/>
      <c r="AR46" s="90"/>
      <c r="AS46" s="90"/>
      <c r="AT46" s="183">
        <f t="shared" si="24"/>
        <v>0</v>
      </c>
      <c r="AU46" s="189"/>
      <c r="AV46" s="90"/>
      <c r="AW46" s="90"/>
      <c r="AX46" s="183">
        <f t="shared" si="25"/>
        <v>0</v>
      </c>
      <c r="AY46" s="189"/>
      <c r="AZ46" s="90"/>
      <c r="BA46" s="90"/>
      <c r="BB46" s="183">
        <f t="shared" si="26"/>
        <v>0</v>
      </c>
      <c r="BC46" s="189"/>
      <c r="BD46" s="90"/>
      <c r="BE46" s="90"/>
      <c r="BF46" s="183">
        <f t="shared" si="27"/>
        <v>0</v>
      </c>
      <c r="BG46" s="189"/>
      <c r="BH46" s="90"/>
      <c r="BI46" s="90"/>
      <c r="BJ46" s="183">
        <f t="shared" si="28"/>
        <v>0</v>
      </c>
      <c r="BK46" s="189"/>
      <c r="BL46" s="90"/>
      <c r="BM46" s="90"/>
      <c r="BN46" s="183">
        <f t="shared" si="29"/>
        <v>0</v>
      </c>
      <c r="BO46" s="189"/>
      <c r="BP46" s="90"/>
      <c r="BQ46" s="90"/>
      <c r="BR46" s="183">
        <f t="shared" si="30"/>
        <v>0</v>
      </c>
      <c r="BS46" s="189"/>
      <c r="BT46" s="90"/>
      <c r="BU46" s="90"/>
      <c r="BV46" s="183">
        <f t="shared" si="31"/>
        <v>0</v>
      </c>
      <c r="BW46" s="189"/>
      <c r="BX46" s="90"/>
      <c r="BY46" s="90"/>
      <c r="BZ46" s="183">
        <f t="shared" si="32"/>
        <v>0</v>
      </c>
      <c r="CA46" s="189"/>
      <c r="CB46" s="90"/>
      <c r="CC46" s="90"/>
      <c r="CD46" s="183">
        <f t="shared" si="33"/>
        <v>0</v>
      </c>
    </row>
    <row r="47" spans="2:82" x14ac:dyDescent="0.3">
      <c r="B47" s="53"/>
      <c r="C47" s="53" t="str">
        <f t="shared" si="0"/>
        <v>CPU_DrenagemSuperficial</v>
      </c>
      <c r="D47" s="278">
        <f t="shared" si="1"/>
        <v>0</v>
      </c>
      <c r="E47" s="278">
        <f t="shared" si="2"/>
        <v>0</v>
      </c>
      <c r="F47" s="1"/>
      <c r="G47" s="28" t="str">
        <f>IFERROR(VLOOKUP(F47,Tabela7[[RECURSO]:[CUSTO]],2,FALSE),"")</f>
        <v/>
      </c>
      <c r="H47" s="92"/>
      <c r="I47" s="90"/>
      <c r="J47" s="45">
        <f>IFERROR(VLOOKUP(F47,Tabela7[[RECURSO]:[CUSTO]],3,FALSE),0)</f>
        <v>0</v>
      </c>
      <c r="K47" s="45">
        <f>I47*J47*CPU_45[[#This Row],[Nº]]</f>
        <v>0</v>
      </c>
      <c r="AD47" s="144" t="str">
        <f t="shared" si="3"/>
        <v>Drenagem Superficial</v>
      </c>
      <c r="AE47" s="188"/>
      <c r="AF47" s="180">
        <f t="shared" si="35"/>
        <v>0</v>
      </c>
      <c r="AG47" s="180">
        <f t="shared" si="17"/>
        <v>0</v>
      </c>
      <c r="AH47" s="181">
        <f t="shared" si="36"/>
        <v>0</v>
      </c>
      <c r="AI47" s="189"/>
      <c r="AJ47" s="90"/>
      <c r="AK47" s="90"/>
      <c r="AL47" s="183">
        <f t="shared" si="37"/>
        <v>0</v>
      </c>
      <c r="AM47" s="189"/>
      <c r="AN47" s="90"/>
      <c r="AO47" s="90"/>
      <c r="AP47" s="183">
        <f t="shared" si="23"/>
        <v>0</v>
      </c>
      <c r="AQ47" s="189"/>
      <c r="AR47" s="90"/>
      <c r="AS47" s="90"/>
      <c r="AT47" s="183">
        <f t="shared" si="24"/>
        <v>0</v>
      </c>
      <c r="AU47" s="189"/>
      <c r="AV47" s="90"/>
      <c r="AW47" s="90"/>
      <c r="AX47" s="183">
        <f t="shared" si="25"/>
        <v>0</v>
      </c>
      <c r="AY47" s="189"/>
      <c r="AZ47" s="90"/>
      <c r="BA47" s="90"/>
      <c r="BB47" s="183">
        <f t="shared" si="26"/>
        <v>0</v>
      </c>
      <c r="BC47" s="189"/>
      <c r="BD47" s="90"/>
      <c r="BE47" s="90"/>
      <c r="BF47" s="183">
        <f t="shared" si="27"/>
        <v>0</v>
      </c>
      <c r="BG47" s="189"/>
      <c r="BH47" s="90"/>
      <c r="BI47" s="90"/>
      <c r="BJ47" s="183">
        <f t="shared" si="28"/>
        <v>0</v>
      </c>
      <c r="BK47" s="189"/>
      <c r="BL47" s="90"/>
      <c r="BM47" s="90"/>
      <c r="BN47" s="183">
        <f t="shared" si="29"/>
        <v>0</v>
      </c>
      <c r="BO47" s="189"/>
      <c r="BP47" s="90"/>
      <c r="BQ47" s="90"/>
      <c r="BR47" s="183">
        <f t="shared" si="30"/>
        <v>0</v>
      </c>
      <c r="BS47" s="189"/>
      <c r="BT47" s="90"/>
      <c r="BU47" s="90"/>
      <c r="BV47" s="183">
        <f t="shared" si="31"/>
        <v>0</v>
      </c>
      <c r="BW47" s="189"/>
      <c r="BX47" s="90"/>
      <c r="BY47" s="90"/>
      <c r="BZ47" s="183">
        <f t="shared" si="32"/>
        <v>0</v>
      </c>
      <c r="CA47" s="189"/>
      <c r="CB47" s="90"/>
      <c r="CC47" s="90"/>
      <c r="CD47" s="183">
        <f t="shared" si="33"/>
        <v>0</v>
      </c>
    </row>
    <row r="48" spans="2:82" x14ac:dyDescent="0.3">
      <c r="B48" s="53"/>
      <c r="C48" s="53" t="str">
        <f t="shared" si="0"/>
        <v>CPU_DrenagemSuperficial</v>
      </c>
      <c r="D48" s="278">
        <f t="shared" si="1"/>
        <v>0</v>
      </c>
      <c r="E48" s="278">
        <f t="shared" si="2"/>
        <v>0</v>
      </c>
      <c r="F48" s="1"/>
      <c r="G48" s="28" t="str">
        <f>IFERROR(VLOOKUP(F48,Tabela7[[RECURSO]:[CUSTO]],2,FALSE),"")</f>
        <v/>
      </c>
      <c r="H48" s="92"/>
      <c r="I48" s="90"/>
      <c r="J48" s="45">
        <f>IFERROR(VLOOKUP(F48,Tabela7[[RECURSO]:[CUSTO]],3,FALSE),0)</f>
        <v>0</v>
      </c>
      <c r="K48" s="45">
        <f>I48*J48*CPU_45[[#This Row],[Nº]]</f>
        <v>0</v>
      </c>
      <c r="AD48" s="144" t="str">
        <f t="shared" si="3"/>
        <v>Drenagem Superficial</v>
      </c>
      <c r="AE48" s="188"/>
      <c r="AF48" s="180">
        <f t="shared" si="35"/>
        <v>0</v>
      </c>
      <c r="AG48" s="180">
        <f t="shared" si="17"/>
        <v>0</v>
      </c>
      <c r="AH48" s="181">
        <f t="shared" si="36"/>
        <v>0</v>
      </c>
      <c r="AI48" s="189"/>
      <c r="AJ48" s="90"/>
      <c r="AK48" s="90"/>
      <c r="AL48" s="183">
        <f t="shared" si="37"/>
        <v>0</v>
      </c>
      <c r="AM48" s="189"/>
      <c r="AN48" s="90"/>
      <c r="AO48" s="90"/>
      <c r="AP48" s="183">
        <f t="shared" si="23"/>
        <v>0</v>
      </c>
      <c r="AQ48" s="189"/>
      <c r="AR48" s="90"/>
      <c r="AS48" s="90"/>
      <c r="AT48" s="183">
        <f t="shared" si="24"/>
        <v>0</v>
      </c>
      <c r="AU48" s="189"/>
      <c r="AV48" s="90"/>
      <c r="AW48" s="90"/>
      <c r="AX48" s="183">
        <f t="shared" si="25"/>
        <v>0</v>
      </c>
      <c r="AY48" s="189"/>
      <c r="AZ48" s="90"/>
      <c r="BA48" s="90"/>
      <c r="BB48" s="183">
        <f t="shared" si="26"/>
        <v>0</v>
      </c>
      <c r="BC48" s="189"/>
      <c r="BD48" s="90"/>
      <c r="BE48" s="90"/>
      <c r="BF48" s="183">
        <f t="shared" si="27"/>
        <v>0</v>
      </c>
      <c r="BG48" s="189"/>
      <c r="BH48" s="90"/>
      <c r="BI48" s="90"/>
      <c r="BJ48" s="183">
        <f t="shared" si="28"/>
        <v>0</v>
      </c>
      <c r="BK48" s="189"/>
      <c r="BL48" s="90"/>
      <c r="BM48" s="90"/>
      <c r="BN48" s="183">
        <f t="shared" si="29"/>
        <v>0</v>
      </c>
      <c r="BO48" s="189"/>
      <c r="BP48" s="90"/>
      <c r="BQ48" s="90"/>
      <c r="BR48" s="183">
        <f t="shared" si="30"/>
        <v>0</v>
      </c>
      <c r="BS48" s="189"/>
      <c r="BT48" s="90"/>
      <c r="BU48" s="90"/>
      <c r="BV48" s="183">
        <f t="shared" si="31"/>
        <v>0</v>
      </c>
      <c r="BW48" s="189"/>
      <c r="BX48" s="90"/>
      <c r="BY48" s="90"/>
      <c r="BZ48" s="183">
        <f t="shared" si="32"/>
        <v>0</v>
      </c>
      <c r="CA48" s="189"/>
      <c r="CB48" s="90"/>
      <c r="CC48" s="90"/>
      <c r="CD48" s="183">
        <f t="shared" si="33"/>
        <v>0</v>
      </c>
    </row>
    <row r="49" spans="2:82" ht="15" thickBot="1" x14ac:dyDescent="0.35">
      <c r="B49" s="53"/>
      <c r="C49" s="53" t="str">
        <f t="shared" si="0"/>
        <v>CPU_DrenagemSuperficial</v>
      </c>
      <c r="D49" s="278">
        <f t="shared" si="1"/>
        <v>0</v>
      </c>
      <c r="E49" s="278">
        <f t="shared" si="2"/>
        <v>0</v>
      </c>
      <c r="F49" s="1"/>
      <c r="G49" s="28" t="str">
        <f>IFERROR(VLOOKUP(F49,Tabela7[[RECURSO]:[CUSTO]],2,FALSE),"")</f>
        <v/>
      </c>
      <c r="H49" s="92"/>
      <c r="I49" s="90"/>
      <c r="J49" s="45">
        <f>IFERROR(VLOOKUP(F49,Tabela7[[RECURSO]:[CUSTO]],3,FALSE),0)</f>
        <v>0</v>
      </c>
      <c r="K49" s="45">
        <f>I49*J49*CPU_45[[#This Row],[Nº]]</f>
        <v>0</v>
      </c>
      <c r="M49" s="83" t="s">
        <v>701</v>
      </c>
      <c r="N49" s="87" t="s">
        <v>702</v>
      </c>
      <c r="AD49" s="144" t="str">
        <f t="shared" si="3"/>
        <v>Drenagem Superficial</v>
      </c>
      <c r="AE49" s="188"/>
      <c r="AF49" s="180">
        <f t="shared" si="35"/>
        <v>0</v>
      </c>
      <c r="AG49" s="180">
        <f t="shared" si="17"/>
        <v>0</v>
      </c>
      <c r="AH49" s="181">
        <f t="shared" si="36"/>
        <v>0</v>
      </c>
      <c r="AI49" s="189"/>
      <c r="AJ49" s="90"/>
      <c r="AK49" s="90"/>
      <c r="AL49" s="183">
        <f t="shared" si="37"/>
        <v>0</v>
      </c>
      <c r="AM49" s="189"/>
      <c r="AN49" s="90"/>
      <c r="AO49" s="90"/>
      <c r="AP49" s="183">
        <f t="shared" si="23"/>
        <v>0</v>
      </c>
      <c r="AQ49" s="189"/>
      <c r="AR49" s="90"/>
      <c r="AS49" s="90"/>
      <c r="AT49" s="183">
        <f t="shared" si="24"/>
        <v>0</v>
      </c>
      <c r="AU49" s="189"/>
      <c r="AV49" s="90"/>
      <c r="AW49" s="90"/>
      <c r="AX49" s="183">
        <f t="shared" si="25"/>
        <v>0</v>
      </c>
      <c r="AY49" s="189"/>
      <c r="AZ49" s="90"/>
      <c r="BA49" s="90"/>
      <c r="BB49" s="183">
        <f t="shared" si="26"/>
        <v>0</v>
      </c>
      <c r="BC49" s="189"/>
      <c r="BD49" s="90"/>
      <c r="BE49" s="90"/>
      <c r="BF49" s="183">
        <f t="shared" si="27"/>
        <v>0</v>
      </c>
      <c r="BG49" s="189"/>
      <c r="BH49" s="90"/>
      <c r="BI49" s="90"/>
      <c r="BJ49" s="183">
        <f t="shared" si="28"/>
        <v>0</v>
      </c>
      <c r="BK49" s="189"/>
      <c r="BL49" s="90"/>
      <c r="BM49" s="90"/>
      <c r="BN49" s="183">
        <f t="shared" si="29"/>
        <v>0</v>
      </c>
      <c r="BO49" s="189"/>
      <c r="BP49" s="90"/>
      <c r="BQ49" s="90"/>
      <c r="BR49" s="183">
        <f t="shared" si="30"/>
        <v>0</v>
      </c>
      <c r="BS49" s="189"/>
      <c r="BT49" s="90"/>
      <c r="BU49" s="90"/>
      <c r="BV49" s="183">
        <f t="shared" si="31"/>
        <v>0</v>
      </c>
      <c r="BW49" s="189"/>
      <c r="BX49" s="90"/>
      <c r="BY49" s="90"/>
      <c r="BZ49" s="183">
        <f t="shared" si="32"/>
        <v>0</v>
      </c>
      <c r="CA49" s="189"/>
      <c r="CB49" s="90"/>
      <c r="CC49" s="90"/>
      <c r="CD49" s="183">
        <f t="shared" si="33"/>
        <v>0</v>
      </c>
    </row>
    <row r="50" spans="2:82" x14ac:dyDescent="0.3">
      <c r="B50" s="52" t="s">
        <v>693</v>
      </c>
      <c r="C50" s="52" t="str">
        <f t="shared" si="0"/>
        <v>CPU_DrenagemSuperficial</v>
      </c>
      <c r="D50" s="277">
        <f t="shared" si="1"/>
        <v>0</v>
      </c>
      <c r="E50" s="277">
        <f t="shared" si="2"/>
        <v>0</v>
      </c>
      <c r="F50" s="37"/>
      <c r="G50" s="38"/>
      <c r="H50" s="38"/>
      <c r="I50" s="37"/>
      <c r="J50" s="40">
        <f>IFERROR(K50/$B$6,0)</f>
        <v>0</v>
      </c>
      <c r="K50" s="40">
        <f>SUM(K51:K62)</f>
        <v>0</v>
      </c>
      <c r="M50" s="84" t="str">
        <f>"Consumo por "&amp;J3</f>
        <v>Consumo por UNID</v>
      </c>
      <c r="N50" s="89"/>
      <c r="O50" s="339" t="s">
        <v>771</v>
      </c>
      <c r="P50" s="340" t="s">
        <v>772</v>
      </c>
      <c r="Q50" s="340" t="s">
        <v>773</v>
      </c>
      <c r="R50" s="340" t="s">
        <v>774</v>
      </c>
      <c r="S50" s="340" t="s">
        <v>775</v>
      </c>
      <c r="T50" s="340" t="s">
        <v>776</v>
      </c>
      <c r="U50" s="340" t="s">
        <v>777</v>
      </c>
      <c r="V50" s="340" t="s">
        <v>778</v>
      </c>
      <c r="W50" s="341" t="s">
        <v>779</v>
      </c>
      <c r="AD50" s="144" t="str">
        <f t="shared" si="3"/>
        <v>Drenagem Superficial</v>
      </c>
      <c r="AE50" s="190"/>
      <c r="AF50" s="191"/>
      <c r="AG50" s="40">
        <f>IFERROR(AH50/AF$3,0)</f>
        <v>0</v>
      </c>
      <c r="AH50" s="185">
        <f>SUM(AH51:AH62)</f>
        <v>0</v>
      </c>
      <c r="AI50" s="190"/>
      <c r="AJ50" s="37"/>
      <c r="AK50" s="40">
        <f>IFERROR(AL50/AJ$3,0)</f>
        <v>0</v>
      </c>
      <c r="AL50" s="185">
        <f>SUM(AL51:AL62)</f>
        <v>0</v>
      </c>
      <c r="AM50" s="190"/>
      <c r="AN50" s="37"/>
      <c r="AO50" s="40">
        <f>IFERROR(AP50/AN$3,0)</f>
        <v>0</v>
      </c>
      <c r="AP50" s="185">
        <f>SUM(AP51:AP62)</f>
        <v>0</v>
      </c>
      <c r="AQ50" s="190"/>
      <c r="AR50" s="37"/>
      <c r="AS50" s="40">
        <f>IFERROR(AT50/AR$3,0)</f>
        <v>0</v>
      </c>
      <c r="AT50" s="185">
        <f>SUM(AT51:AT62)</f>
        <v>0</v>
      </c>
      <c r="AU50" s="190"/>
      <c r="AV50" s="37"/>
      <c r="AW50" s="40">
        <f>IFERROR(AX50/AV$3,0)</f>
        <v>0</v>
      </c>
      <c r="AX50" s="185">
        <f>SUM(AX51:AX62)</f>
        <v>0</v>
      </c>
      <c r="AY50" s="190"/>
      <c r="AZ50" s="37"/>
      <c r="BA50" s="40">
        <f>IFERROR(BB50/AZ$3,0)</f>
        <v>0</v>
      </c>
      <c r="BB50" s="185">
        <f>SUM(BB51:BB62)</f>
        <v>0</v>
      </c>
      <c r="BC50" s="190"/>
      <c r="BD50" s="37"/>
      <c r="BE50" s="40">
        <f>IFERROR(BF50/BD$3,0)</f>
        <v>0</v>
      </c>
      <c r="BF50" s="185">
        <f>SUM(BF51:BF62)</f>
        <v>0</v>
      </c>
      <c r="BG50" s="190"/>
      <c r="BH50" s="37"/>
      <c r="BI50" s="40">
        <f>IFERROR(BJ50/BH$3,0)</f>
        <v>0</v>
      </c>
      <c r="BJ50" s="185">
        <f>SUM(BJ51:BJ62)</f>
        <v>0</v>
      </c>
      <c r="BK50" s="190"/>
      <c r="BL50" s="37"/>
      <c r="BM50" s="40">
        <f>IFERROR(BN50/BL$3,0)</f>
        <v>0</v>
      </c>
      <c r="BN50" s="185">
        <f>SUM(BN51:BN62)</f>
        <v>0</v>
      </c>
      <c r="BO50" s="190"/>
      <c r="BP50" s="37"/>
      <c r="BQ50" s="40">
        <f>IFERROR(BR50/BP$3,0)</f>
        <v>0</v>
      </c>
      <c r="BR50" s="185">
        <f>SUM(BR51:BR62)</f>
        <v>0</v>
      </c>
      <c r="BS50" s="190"/>
      <c r="BT50" s="37"/>
      <c r="BU50" s="40">
        <f>IFERROR(BV50/BT$3,0)</f>
        <v>0</v>
      </c>
      <c r="BV50" s="185">
        <f>SUM(BV51:BV62)</f>
        <v>0</v>
      </c>
      <c r="BW50" s="190"/>
      <c r="BX50" s="37"/>
      <c r="BY50" s="40">
        <f>IFERROR(BZ50/BX$3,0)</f>
        <v>0</v>
      </c>
      <c r="BZ50" s="185">
        <f>SUM(BZ51:BZ62)</f>
        <v>0</v>
      </c>
      <c r="CA50" s="190"/>
      <c r="CB50" s="37"/>
      <c r="CC50" s="40">
        <f>IFERROR(CD50/CB$3,0)</f>
        <v>0</v>
      </c>
      <c r="CD50" s="185">
        <f>SUM(CD51:CD62)</f>
        <v>0</v>
      </c>
    </row>
    <row r="51" spans="2:82" x14ac:dyDescent="0.3">
      <c r="B51" s="53"/>
      <c r="C51" s="53" t="str">
        <f t="shared" si="0"/>
        <v>CPU_DrenagemSuperficial</v>
      </c>
      <c r="D51" s="278">
        <f t="shared" si="1"/>
        <v>0</v>
      </c>
      <c r="E51" s="278">
        <f t="shared" si="2"/>
        <v>0</v>
      </c>
      <c r="F51" s="1" t="s">
        <v>782</v>
      </c>
      <c r="G51" s="28" t="str">
        <f>IFERROR(VLOOKUP(F51,Tabela7[[RECURSO]:[CUSTO]],2,FALSE),"")</f>
        <v>M3</v>
      </c>
      <c r="I51" s="90">
        <f>IFERROR(M51*$B$6,0)</f>
        <v>0</v>
      </c>
      <c r="J51" s="45">
        <f>IFERROR(VLOOKUP(F51,Tabela7[[RECURSO]:[CUSTO]],3,FALSE),0)</f>
        <v>600</v>
      </c>
      <c r="K51" s="45">
        <f>I51*J51</f>
        <v>0</v>
      </c>
      <c r="M51" s="350" t="e">
        <f>SUM(O51:W51)*0.1025/$B$7</f>
        <v>#DIV/0!</v>
      </c>
      <c r="N51" s="88" t="s">
        <v>790</v>
      </c>
      <c r="O51" s="31">
        <v>178</v>
      </c>
      <c r="P51" s="1">
        <v>189</v>
      </c>
      <c r="Q51" s="1">
        <v>167</v>
      </c>
      <c r="R51" s="1">
        <v>253</v>
      </c>
      <c r="S51" s="1">
        <v>0</v>
      </c>
      <c r="T51" s="1">
        <v>447</v>
      </c>
      <c r="U51" s="1">
        <v>239</v>
      </c>
      <c r="V51" s="1">
        <v>239</v>
      </c>
      <c r="W51" s="342">
        <v>239</v>
      </c>
      <c r="AD51" s="144" t="str">
        <f t="shared" si="3"/>
        <v>Drenagem Superficial</v>
      </c>
      <c r="AE51" s="192"/>
      <c r="AF51" s="180">
        <f t="shared" ref="AF51:AF62" si="38">AJ51+AN51+AR51+AV51+AZ51+BD51+BH51+BL51+BP51+BT51+BX51+CB51</f>
        <v>0</v>
      </c>
      <c r="AG51" s="180">
        <f t="shared" si="17"/>
        <v>0</v>
      </c>
      <c r="AH51" s="181">
        <f t="shared" ref="AH51:AH62" si="39">AL51+AP51+AT51+AX51+BB51+BF51+BJ51+BN51+BR51+BV51+BZ51+CD51</f>
        <v>0</v>
      </c>
      <c r="AI51" s="193"/>
      <c r="AJ51" s="90"/>
      <c r="AK51" s="90"/>
      <c r="AL51" s="183">
        <f t="shared" ref="AL51:AL62" si="40">AJ51*AK51</f>
        <v>0</v>
      </c>
      <c r="AM51" s="193"/>
      <c r="AN51" s="90"/>
      <c r="AO51" s="90"/>
      <c r="AP51" s="183">
        <f t="shared" si="23"/>
        <v>0</v>
      </c>
      <c r="AQ51" s="193"/>
      <c r="AR51" s="90"/>
      <c r="AS51" s="90"/>
      <c r="AT51" s="183">
        <f t="shared" si="24"/>
        <v>0</v>
      </c>
      <c r="AU51" s="193"/>
      <c r="AV51" s="90"/>
      <c r="AW51" s="90"/>
      <c r="AX51" s="183">
        <f t="shared" si="25"/>
        <v>0</v>
      </c>
      <c r="AY51" s="193"/>
      <c r="AZ51" s="90"/>
      <c r="BA51" s="90"/>
      <c r="BB51" s="183">
        <f t="shared" si="26"/>
        <v>0</v>
      </c>
      <c r="BC51" s="193"/>
      <c r="BD51" s="90"/>
      <c r="BE51" s="90"/>
      <c r="BF51" s="183">
        <f t="shared" si="27"/>
        <v>0</v>
      </c>
      <c r="BG51" s="193"/>
      <c r="BH51" s="90"/>
      <c r="BI51" s="90"/>
      <c r="BJ51" s="183">
        <f t="shared" si="28"/>
        <v>0</v>
      </c>
      <c r="BK51" s="193"/>
      <c r="BL51" s="90"/>
      <c r="BM51" s="90"/>
      <c r="BN51" s="183">
        <f t="shared" si="29"/>
        <v>0</v>
      </c>
      <c r="BO51" s="193"/>
      <c r="BP51" s="90"/>
      <c r="BQ51" s="90"/>
      <c r="BR51" s="183">
        <f t="shared" si="30"/>
        <v>0</v>
      </c>
      <c r="BS51" s="193"/>
      <c r="BT51" s="90"/>
      <c r="BU51" s="90"/>
      <c r="BV51" s="183">
        <f t="shared" si="31"/>
        <v>0</v>
      </c>
      <c r="BW51" s="193"/>
      <c r="BX51" s="90"/>
      <c r="BY51" s="90"/>
      <c r="BZ51" s="183">
        <f t="shared" si="32"/>
        <v>0</v>
      </c>
      <c r="CA51" s="193"/>
      <c r="CB51" s="90"/>
      <c r="CC51" s="90"/>
      <c r="CD51" s="183">
        <f t="shared" si="33"/>
        <v>0</v>
      </c>
    </row>
    <row r="52" spans="2:82" x14ac:dyDescent="0.3">
      <c r="B52" s="53"/>
      <c r="C52" s="53" t="str">
        <f t="shared" si="0"/>
        <v>CPU_DrenagemSuperficial</v>
      </c>
      <c r="D52" s="278">
        <f t="shared" si="1"/>
        <v>0</v>
      </c>
      <c r="E52" s="278">
        <f t="shared" si="2"/>
        <v>0</v>
      </c>
      <c r="F52" s="1" t="s">
        <v>782</v>
      </c>
      <c r="G52" s="28" t="str">
        <f>IFERROR(VLOOKUP(F52,Tabela7[[RECURSO]:[CUSTO]],2,FALSE),"")</f>
        <v>M3</v>
      </c>
      <c r="I52" s="90">
        <f t="shared" ref="I52:I62" si="41">IFERROR(M52*$B$6,0)</f>
        <v>0</v>
      </c>
      <c r="J52" s="45">
        <f>IFERROR(VLOOKUP(F52,Tabela7[[RECURSO]:[CUSTO]],3,FALSE),0)</f>
        <v>600</v>
      </c>
      <c r="K52" s="45">
        <f t="shared" ref="K52:K62" si="42">I52*J52</f>
        <v>0</v>
      </c>
      <c r="M52" s="350" t="e">
        <f>SUM(O52:W52)*0.1207/$B$7</f>
        <v>#DIV/0!</v>
      </c>
      <c r="N52" s="88" t="s">
        <v>791</v>
      </c>
      <c r="O52" s="31">
        <v>48</v>
      </c>
      <c r="P52" s="1">
        <v>85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342">
        <v>0</v>
      </c>
      <c r="AD52" s="144" t="str">
        <f t="shared" si="3"/>
        <v>Drenagem Superficial</v>
      </c>
      <c r="AE52" s="192"/>
      <c r="AF52" s="180">
        <f t="shared" si="38"/>
        <v>0</v>
      </c>
      <c r="AG52" s="180">
        <f t="shared" si="17"/>
        <v>0</v>
      </c>
      <c r="AH52" s="181">
        <f t="shared" si="39"/>
        <v>0</v>
      </c>
      <c r="AI52" s="193"/>
      <c r="AJ52" s="90"/>
      <c r="AK52" s="90"/>
      <c r="AL52" s="183">
        <f t="shared" si="40"/>
        <v>0</v>
      </c>
      <c r="AM52" s="193"/>
      <c r="AN52" s="90"/>
      <c r="AO52" s="90"/>
      <c r="AP52" s="183">
        <f t="shared" si="23"/>
        <v>0</v>
      </c>
      <c r="AQ52" s="193"/>
      <c r="AR52" s="90"/>
      <c r="AS52" s="90"/>
      <c r="AT52" s="183">
        <f t="shared" si="24"/>
        <v>0</v>
      </c>
      <c r="AU52" s="193"/>
      <c r="AV52" s="90"/>
      <c r="AW52" s="90"/>
      <c r="AX52" s="183">
        <f t="shared" si="25"/>
        <v>0</v>
      </c>
      <c r="AY52" s="193"/>
      <c r="AZ52" s="90"/>
      <c r="BA52" s="90"/>
      <c r="BB52" s="183">
        <f t="shared" si="26"/>
        <v>0</v>
      </c>
      <c r="BC52" s="193"/>
      <c r="BD52" s="90"/>
      <c r="BE52" s="90"/>
      <c r="BF52" s="183">
        <f t="shared" si="27"/>
        <v>0</v>
      </c>
      <c r="BG52" s="193"/>
      <c r="BH52" s="90"/>
      <c r="BI52" s="90"/>
      <c r="BJ52" s="183">
        <f t="shared" si="28"/>
        <v>0</v>
      </c>
      <c r="BK52" s="193"/>
      <c r="BL52" s="90"/>
      <c r="BM52" s="90"/>
      <c r="BN52" s="183">
        <f t="shared" si="29"/>
        <v>0</v>
      </c>
      <c r="BO52" s="193"/>
      <c r="BP52" s="90"/>
      <c r="BQ52" s="90"/>
      <c r="BR52" s="183">
        <f t="shared" si="30"/>
        <v>0</v>
      </c>
      <c r="BS52" s="193"/>
      <c r="BT52" s="90"/>
      <c r="BU52" s="90"/>
      <c r="BV52" s="183">
        <f t="shared" si="31"/>
        <v>0</v>
      </c>
      <c r="BW52" s="193"/>
      <c r="BX52" s="90"/>
      <c r="BY52" s="90"/>
      <c r="BZ52" s="183">
        <f t="shared" si="32"/>
        <v>0</v>
      </c>
      <c r="CA52" s="193"/>
      <c r="CB52" s="90"/>
      <c r="CC52" s="90"/>
      <c r="CD52" s="183">
        <f t="shared" si="33"/>
        <v>0</v>
      </c>
    </row>
    <row r="53" spans="2:82" x14ac:dyDescent="0.3">
      <c r="B53" s="53"/>
      <c r="C53" s="53" t="str">
        <f t="shared" si="0"/>
        <v>CPU_DrenagemSuperficial</v>
      </c>
      <c r="D53" s="278">
        <f t="shared" si="1"/>
        <v>0</v>
      </c>
      <c r="E53" s="278">
        <f t="shared" si="2"/>
        <v>0</v>
      </c>
      <c r="F53" s="1" t="s">
        <v>782</v>
      </c>
      <c r="G53" s="28" t="str">
        <f>IFERROR(VLOOKUP(F53,Tabela7[[RECURSO]:[CUSTO]],2,FALSE),"")</f>
        <v>M3</v>
      </c>
      <c r="I53" s="90">
        <f t="shared" si="41"/>
        <v>0</v>
      </c>
      <c r="J53" s="45">
        <f>IFERROR(VLOOKUP(F53,Tabela7[[RECURSO]:[CUSTO]],3,FALSE),0)</f>
        <v>600</v>
      </c>
      <c r="K53" s="45">
        <f t="shared" si="42"/>
        <v>0</v>
      </c>
      <c r="M53" s="350" t="e">
        <f>SUM(O53:W53)*0.0869/$B$7</f>
        <v>#DIV/0!</v>
      </c>
      <c r="N53" s="88" t="s">
        <v>792</v>
      </c>
      <c r="O53" s="31"/>
      <c r="P53" s="1"/>
      <c r="Q53" s="1"/>
      <c r="R53" s="1"/>
      <c r="S53" s="1">
        <v>231.45999999999998</v>
      </c>
      <c r="T53" s="1"/>
      <c r="U53" s="1"/>
      <c r="V53" s="1"/>
      <c r="W53" s="342"/>
      <c r="AD53" s="144" t="str">
        <f t="shared" si="3"/>
        <v>Drenagem Superficial</v>
      </c>
      <c r="AE53" s="192"/>
      <c r="AF53" s="180">
        <f t="shared" si="38"/>
        <v>0</v>
      </c>
      <c r="AG53" s="180">
        <f t="shared" si="17"/>
        <v>0</v>
      </c>
      <c r="AH53" s="181">
        <f t="shared" si="39"/>
        <v>0</v>
      </c>
      <c r="AI53" s="193"/>
      <c r="AJ53" s="90"/>
      <c r="AK53" s="90"/>
      <c r="AL53" s="183">
        <f t="shared" si="40"/>
        <v>0</v>
      </c>
      <c r="AM53" s="193"/>
      <c r="AN53" s="90"/>
      <c r="AO53" s="90"/>
      <c r="AP53" s="183">
        <f t="shared" si="23"/>
        <v>0</v>
      </c>
      <c r="AQ53" s="193"/>
      <c r="AR53" s="90"/>
      <c r="AS53" s="90"/>
      <c r="AT53" s="183">
        <f t="shared" si="24"/>
        <v>0</v>
      </c>
      <c r="AU53" s="193"/>
      <c r="AV53" s="90"/>
      <c r="AW53" s="90"/>
      <c r="AX53" s="183">
        <f t="shared" si="25"/>
        <v>0</v>
      </c>
      <c r="AY53" s="193"/>
      <c r="AZ53" s="90"/>
      <c r="BA53" s="90"/>
      <c r="BB53" s="183">
        <f t="shared" si="26"/>
        <v>0</v>
      </c>
      <c r="BC53" s="193"/>
      <c r="BD53" s="90"/>
      <c r="BE53" s="90"/>
      <c r="BF53" s="183">
        <f t="shared" si="27"/>
        <v>0</v>
      </c>
      <c r="BG53" s="193"/>
      <c r="BH53" s="90"/>
      <c r="BI53" s="90"/>
      <c r="BJ53" s="183">
        <f t="shared" si="28"/>
        <v>0</v>
      </c>
      <c r="BK53" s="193"/>
      <c r="BL53" s="90"/>
      <c r="BM53" s="90"/>
      <c r="BN53" s="183">
        <f t="shared" si="29"/>
        <v>0</v>
      </c>
      <c r="BO53" s="193"/>
      <c r="BP53" s="90"/>
      <c r="BQ53" s="90"/>
      <c r="BR53" s="183">
        <f t="shared" si="30"/>
        <v>0</v>
      </c>
      <c r="BS53" s="193"/>
      <c r="BT53" s="90"/>
      <c r="BU53" s="90"/>
      <c r="BV53" s="183">
        <f t="shared" si="31"/>
        <v>0</v>
      </c>
      <c r="BW53" s="193"/>
      <c r="BX53" s="90"/>
      <c r="BY53" s="90"/>
      <c r="BZ53" s="183">
        <f t="shared" si="32"/>
        <v>0</v>
      </c>
      <c r="CA53" s="193"/>
      <c r="CB53" s="90"/>
      <c r="CC53" s="90"/>
      <c r="CD53" s="183">
        <f t="shared" si="33"/>
        <v>0</v>
      </c>
    </row>
    <row r="54" spans="2:82" x14ac:dyDescent="0.3">
      <c r="B54" s="53"/>
      <c r="C54" s="53" t="str">
        <f t="shared" si="0"/>
        <v>CPU_DrenagemSuperficial</v>
      </c>
      <c r="D54" s="278">
        <f t="shared" si="1"/>
        <v>0</v>
      </c>
      <c r="E54" s="278">
        <f t="shared" si="2"/>
        <v>0</v>
      </c>
      <c r="F54" s="1"/>
      <c r="G54" s="28" t="str">
        <f>IFERROR(VLOOKUP(F54,Tabela7[[RECURSO]:[CUSTO]],2,FALSE),"")</f>
        <v/>
      </c>
      <c r="I54" s="90">
        <f t="shared" si="41"/>
        <v>0</v>
      </c>
      <c r="J54" s="45">
        <f>IFERROR(VLOOKUP(F54,Tabela7[[RECURSO]:[CUSTO]],3,FALSE),0)</f>
        <v>0</v>
      </c>
      <c r="K54" s="45">
        <f>I54*J54</f>
        <v>0</v>
      </c>
      <c r="M54" s="85"/>
      <c r="N54" s="88"/>
      <c r="O54" s="31"/>
      <c r="P54" s="1"/>
      <c r="Q54" s="1"/>
      <c r="R54" s="1"/>
      <c r="S54" s="1"/>
      <c r="T54" s="1"/>
      <c r="U54" s="1"/>
      <c r="V54" s="1"/>
      <c r="W54" s="342"/>
      <c r="AD54" s="144" t="str">
        <f>$B$3</f>
        <v>Drenagem Superficial</v>
      </c>
      <c r="AE54" s="192"/>
      <c r="AF54" s="180">
        <f t="shared" si="38"/>
        <v>0</v>
      </c>
      <c r="AG54" s="180">
        <f t="shared" si="17"/>
        <v>0</v>
      </c>
      <c r="AH54" s="181">
        <f t="shared" si="39"/>
        <v>0</v>
      </c>
      <c r="AI54" s="193"/>
      <c r="AJ54" s="90"/>
      <c r="AK54" s="90"/>
      <c r="AL54" s="183">
        <f t="shared" si="40"/>
        <v>0</v>
      </c>
      <c r="AM54" s="193"/>
      <c r="AN54" s="90"/>
      <c r="AO54" s="90"/>
      <c r="AP54" s="183">
        <f t="shared" si="23"/>
        <v>0</v>
      </c>
      <c r="AQ54" s="193"/>
      <c r="AR54" s="90"/>
      <c r="AS54" s="90"/>
      <c r="AT54" s="183">
        <f t="shared" si="24"/>
        <v>0</v>
      </c>
      <c r="AU54" s="193"/>
      <c r="AV54" s="90"/>
      <c r="AW54" s="90"/>
      <c r="AX54" s="183">
        <f t="shared" si="25"/>
        <v>0</v>
      </c>
      <c r="AY54" s="193"/>
      <c r="AZ54" s="90"/>
      <c r="BA54" s="90"/>
      <c r="BB54" s="183">
        <f t="shared" si="26"/>
        <v>0</v>
      </c>
      <c r="BC54" s="193"/>
      <c r="BD54" s="90"/>
      <c r="BE54" s="90"/>
      <c r="BF54" s="183">
        <f t="shared" si="27"/>
        <v>0</v>
      </c>
      <c r="BG54" s="193"/>
      <c r="BH54" s="90"/>
      <c r="BI54" s="90"/>
      <c r="BJ54" s="183">
        <f t="shared" si="28"/>
        <v>0</v>
      </c>
      <c r="BK54" s="193"/>
      <c r="BL54" s="90"/>
      <c r="BM54" s="90"/>
      <c r="BN54" s="183">
        <f t="shared" si="29"/>
        <v>0</v>
      </c>
      <c r="BO54" s="193"/>
      <c r="BP54" s="90"/>
      <c r="BQ54" s="90"/>
      <c r="BR54" s="183">
        <f t="shared" si="30"/>
        <v>0</v>
      </c>
      <c r="BS54" s="193"/>
      <c r="BT54" s="90"/>
      <c r="BU54" s="90"/>
      <c r="BV54" s="183">
        <f t="shared" si="31"/>
        <v>0</v>
      </c>
      <c r="BW54" s="193"/>
      <c r="BX54" s="90"/>
      <c r="BY54" s="90"/>
      <c r="BZ54" s="183">
        <f t="shared" si="32"/>
        <v>0</v>
      </c>
      <c r="CA54" s="193"/>
      <c r="CB54" s="90"/>
      <c r="CC54" s="90"/>
      <c r="CD54" s="183">
        <f t="shared" si="33"/>
        <v>0</v>
      </c>
    </row>
    <row r="55" spans="2:82" x14ac:dyDescent="0.3">
      <c r="B55" s="53"/>
      <c r="C55" s="53" t="str">
        <f t="shared" si="0"/>
        <v>CPU_DrenagemSuperficial</v>
      </c>
      <c r="D55" s="278">
        <f t="shared" si="1"/>
        <v>0</v>
      </c>
      <c r="E55" s="278">
        <f t="shared" si="2"/>
        <v>0</v>
      </c>
      <c r="F55" s="1"/>
      <c r="G55" s="28" t="str">
        <f>IFERROR(VLOOKUP(F55,Tabela7[[RECURSO]:[CUSTO]],2,FALSE),"")</f>
        <v/>
      </c>
      <c r="I55" s="90">
        <f t="shared" si="41"/>
        <v>0</v>
      </c>
      <c r="J55" s="45">
        <f>IFERROR(VLOOKUP(F55,Tabela7[[RECURSO]:[CUSTO]],3,FALSE),0)</f>
        <v>0</v>
      </c>
      <c r="K55" s="45">
        <f t="shared" si="42"/>
        <v>0</v>
      </c>
      <c r="M55" s="85"/>
      <c r="N55" s="88"/>
      <c r="O55" s="31"/>
      <c r="P55" s="1"/>
      <c r="Q55" s="1"/>
      <c r="R55" s="1"/>
      <c r="S55" s="1"/>
      <c r="T55" s="1"/>
      <c r="U55" s="1"/>
      <c r="V55" s="1"/>
      <c r="W55" s="342"/>
      <c r="AD55" s="144" t="str">
        <f t="shared" si="3"/>
        <v>Drenagem Superficial</v>
      </c>
      <c r="AE55" s="192"/>
      <c r="AF55" s="180">
        <f t="shared" si="38"/>
        <v>0</v>
      </c>
      <c r="AG55" s="180">
        <f t="shared" si="17"/>
        <v>0</v>
      </c>
      <c r="AH55" s="181">
        <f t="shared" si="39"/>
        <v>0</v>
      </c>
      <c r="AI55" s="193"/>
      <c r="AJ55" s="90"/>
      <c r="AK55" s="90"/>
      <c r="AL55" s="183">
        <f t="shared" si="40"/>
        <v>0</v>
      </c>
      <c r="AM55" s="193"/>
      <c r="AN55" s="90"/>
      <c r="AO55" s="90"/>
      <c r="AP55" s="183">
        <f t="shared" si="23"/>
        <v>0</v>
      </c>
      <c r="AQ55" s="193"/>
      <c r="AR55" s="90"/>
      <c r="AS55" s="90"/>
      <c r="AT55" s="183">
        <f t="shared" si="24"/>
        <v>0</v>
      </c>
      <c r="AU55" s="193"/>
      <c r="AV55" s="90"/>
      <c r="AW55" s="90"/>
      <c r="AX55" s="183">
        <f t="shared" si="25"/>
        <v>0</v>
      </c>
      <c r="AY55" s="193"/>
      <c r="AZ55" s="90"/>
      <c r="BA55" s="90"/>
      <c r="BB55" s="183">
        <f t="shared" si="26"/>
        <v>0</v>
      </c>
      <c r="BC55" s="193"/>
      <c r="BD55" s="90"/>
      <c r="BE55" s="90"/>
      <c r="BF55" s="183">
        <f t="shared" si="27"/>
        <v>0</v>
      </c>
      <c r="BG55" s="193"/>
      <c r="BH55" s="90"/>
      <c r="BI55" s="90"/>
      <c r="BJ55" s="183">
        <f t="shared" si="28"/>
        <v>0</v>
      </c>
      <c r="BK55" s="193"/>
      <c r="BL55" s="90"/>
      <c r="BM55" s="90"/>
      <c r="BN55" s="183">
        <f t="shared" si="29"/>
        <v>0</v>
      </c>
      <c r="BO55" s="193"/>
      <c r="BP55" s="90"/>
      <c r="BQ55" s="90"/>
      <c r="BR55" s="183">
        <f t="shared" si="30"/>
        <v>0</v>
      </c>
      <c r="BS55" s="193"/>
      <c r="BT55" s="90"/>
      <c r="BU55" s="90"/>
      <c r="BV55" s="183">
        <f t="shared" si="31"/>
        <v>0</v>
      </c>
      <c r="BW55" s="193"/>
      <c r="BX55" s="90"/>
      <c r="BY55" s="90"/>
      <c r="BZ55" s="183">
        <f t="shared" si="32"/>
        <v>0</v>
      </c>
      <c r="CA55" s="193"/>
      <c r="CB55" s="90"/>
      <c r="CC55" s="90"/>
      <c r="CD55" s="183">
        <f t="shared" si="33"/>
        <v>0</v>
      </c>
    </row>
    <row r="56" spans="2:82" x14ac:dyDescent="0.3">
      <c r="B56" s="53"/>
      <c r="C56" s="53" t="str">
        <f t="shared" si="0"/>
        <v>CPU_DrenagemSuperficial</v>
      </c>
      <c r="D56" s="278">
        <f t="shared" si="1"/>
        <v>0</v>
      </c>
      <c r="E56" s="278">
        <f t="shared" si="2"/>
        <v>0</v>
      </c>
      <c r="F56" s="1"/>
      <c r="G56" s="28" t="str">
        <f>IFERROR(VLOOKUP(F56,Tabela7[[RECURSO]:[CUSTO]],2,FALSE),"")</f>
        <v/>
      </c>
      <c r="I56" s="90">
        <f t="shared" si="41"/>
        <v>0</v>
      </c>
      <c r="J56" s="45">
        <f>IFERROR(VLOOKUP(F56,Tabela7[[RECURSO]:[CUSTO]],3,FALSE),0)</f>
        <v>0</v>
      </c>
      <c r="K56" s="45">
        <f t="shared" si="42"/>
        <v>0</v>
      </c>
      <c r="M56" s="85"/>
      <c r="N56" s="88"/>
      <c r="O56" s="31"/>
      <c r="P56" s="1"/>
      <c r="Q56" s="1"/>
      <c r="R56" s="1"/>
      <c r="S56" s="1"/>
      <c r="T56" s="1"/>
      <c r="U56" s="1"/>
      <c r="V56" s="1"/>
      <c r="W56" s="342"/>
      <c r="AD56" s="144" t="str">
        <f t="shared" si="3"/>
        <v>Drenagem Superficial</v>
      </c>
      <c r="AE56" s="192"/>
      <c r="AF56" s="180">
        <f t="shared" si="38"/>
        <v>0</v>
      </c>
      <c r="AG56" s="180">
        <f t="shared" si="17"/>
        <v>0</v>
      </c>
      <c r="AH56" s="181">
        <f t="shared" si="39"/>
        <v>0</v>
      </c>
      <c r="AI56" s="193"/>
      <c r="AJ56" s="90"/>
      <c r="AK56" s="90"/>
      <c r="AL56" s="183">
        <f t="shared" si="40"/>
        <v>0</v>
      </c>
      <c r="AM56" s="193"/>
      <c r="AN56" s="90"/>
      <c r="AO56" s="90"/>
      <c r="AP56" s="183">
        <f t="shared" si="23"/>
        <v>0</v>
      </c>
      <c r="AQ56" s="193"/>
      <c r="AR56" s="90"/>
      <c r="AS56" s="90"/>
      <c r="AT56" s="183">
        <f t="shared" si="24"/>
        <v>0</v>
      </c>
      <c r="AU56" s="193"/>
      <c r="AV56" s="90"/>
      <c r="AW56" s="90"/>
      <c r="AX56" s="183">
        <f t="shared" si="25"/>
        <v>0</v>
      </c>
      <c r="AY56" s="193"/>
      <c r="AZ56" s="90"/>
      <c r="BA56" s="90"/>
      <c r="BB56" s="183">
        <f t="shared" si="26"/>
        <v>0</v>
      </c>
      <c r="BC56" s="193"/>
      <c r="BD56" s="90"/>
      <c r="BE56" s="90"/>
      <c r="BF56" s="183">
        <f t="shared" si="27"/>
        <v>0</v>
      </c>
      <c r="BG56" s="193"/>
      <c r="BH56" s="90"/>
      <c r="BI56" s="90"/>
      <c r="BJ56" s="183">
        <f t="shared" si="28"/>
        <v>0</v>
      </c>
      <c r="BK56" s="193"/>
      <c r="BL56" s="90"/>
      <c r="BM56" s="90"/>
      <c r="BN56" s="183">
        <f t="shared" si="29"/>
        <v>0</v>
      </c>
      <c r="BO56" s="193"/>
      <c r="BP56" s="90"/>
      <c r="BQ56" s="90"/>
      <c r="BR56" s="183">
        <f t="shared" si="30"/>
        <v>0</v>
      </c>
      <c r="BS56" s="193"/>
      <c r="BT56" s="90"/>
      <c r="BU56" s="90"/>
      <c r="BV56" s="183">
        <f t="shared" si="31"/>
        <v>0</v>
      </c>
      <c r="BW56" s="193"/>
      <c r="BX56" s="90"/>
      <c r="BY56" s="90"/>
      <c r="BZ56" s="183">
        <f t="shared" si="32"/>
        <v>0</v>
      </c>
      <c r="CA56" s="193"/>
      <c r="CB56" s="90"/>
      <c r="CC56" s="90"/>
      <c r="CD56" s="183">
        <f t="shared" si="33"/>
        <v>0</v>
      </c>
    </row>
    <row r="57" spans="2:82" x14ac:dyDescent="0.3">
      <c r="B57" s="53"/>
      <c r="C57" s="53" t="str">
        <f t="shared" si="0"/>
        <v>CPU_DrenagemSuperficial</v>
      </c>
      <c r="D57" s="278">
        <f t="shared" si="1"/>
        <v>0</v>
      </c>
      <c r="E57" s="278">
        <f t="shared" si="2"/>
        <v>0</v>
      </c>
      <c r="F57" s="1"/>
      <c r="G57" s="28" t="str">
        <f>IFERROR(VLOOKUP(F57,Tabela7[[RECURSO]:[CUSTO]],2,FALSE),"")</f>
        <v/>
      </c>
      <c r="I57" s="90">
        <f t="shared" si="41"/>
        <v>0</v>
      </c>
      <c r="J57" s="45">
        <f>IFERROR(VLOOKUP(F57,Tabela7[[RECURSO]:[CUSTO]],3,FALSE),0)</f>
        <v>0</v>
      </c>
      <c r="K57" s="45">
        <f t="shared" si="42"/>
        <v>0</v>
      </c>
      <c r="M57" s="85"/>
      <c r="N57" s="88"/>
      <c r="O57" s="31"/>
      <c r="P57" s="1"/>
      <c r="Q57" s="1"/>
      <c r="R57" s="1"/>
      <c r="S57" s="1"/>
      <c r="T57" s="1"/>
      <c r="U57" s="1"/>
      <c r="V57" s="1"/>
      <c r="W57" s="342"/>
      <c r="AD57" s="144" t="str">
        <f t="shared" si="3"/>
        <v>Drenagem Superficial</v>
      </c>
      <c r="AE57" s="192"/>
      <c r="AF57" s="180">
        <f t="shared" si="38"/>
        <v>0</v>
      </c>
      <c r="AG57" s="180">
        <f t="shared" si="17"/>
        <v>0</v>
      </c>
      <c r="AH57" s="181">
        <f t="shared" si="39"/>
        <v>0</v>
      </c>
      <c r="AI57" s="193"/>
      <c r="AJ57" s="90"/>
      <c r="AK57" s="90"/>
      <c r="AL57" s="183">
        <f t="shared" si="40"/>
        <v>0</v>
      </c>
      <c r="AM57" s="193"/>
      <c r="AN57" s="90"/>
      <c r="AO57" s="90"/>
      <c r="AP57" s="183">
        <f t="shared" si="23"/>
        <v>0</v>
      </c>
      <c r="AQ57" s="193"/>
      <c r="AR57" s="90"/>
      <c r="AS57" s="90"/>
      <c r="AT57" s="183">
        <f t="shared" si="24"/>
        <v>0</v>
      </c>
      <c r="AU57" s="193"/>
      <c r="AV57" s="90"/>
      <c r="AW57" s="90"/>
      <c r="AX57" s="183">
        <f t="shared" si="25"/>
        <v>0</v>
      </c>
      <c r="AY57" s="193"/>
      <c r="AZ57" s="90"/>
      <c r="BA57" s="90"/>
      <c r="BB57" s="183">
        <f t="shared" si="26"/>
        <v>0</v>
      </c>
      <c r="BC57" s="193"/>
      <c r="BD57" s="90"/>
      <c r="BE57" s="90"/>
      <c r="BF57" s="183">
        <f t="shared" si="27"/>
        <v>0</v>
      </c>
      <c r="BG57" s="193"/>
      <c r="BH57" s="90"/>
      <c r="BI57" s="90"/>
      <c r="BJ57" s="183">
        <f t="shared" si="28"/>
        <v>0</v>
      </c>
      <c r="BK57" s="193"/>
      <c r="BL57" s="90"/>
      <c r="BM57" s="90"/>
      <c r="BN57" s="183">
        <f t="shared" si="29"/>
        <v>0</v>
      </c>
      <c r="BO57" s="193"/>
      <c r="BP57" s="90"/>
      <c r="BQ57" s="90"/>
      <c r="BR57" s="183">
        <f t="shared" si="30"/>
        <v>0</v>
      </c>
      <c r="BS57" s="193"/>
      <c r="BT57" s="90"/>
      <c r="BU57" s="90"/>
      <c r="BV57" s="183">
        <f t="shared" si="31"/>
        <v>0</v>
      </c>
      <c r="BW57" s="193"/>
      <c r="BX57" s="90"/>
      <c r="BY57" s="90"/>
      <c r="BZ57" s="183">
        <f t="shared" si="32"/>
        <v>0</v>
      </c>
      <c r="CA57" s="193"/>
      <c r="CB57" s="90"/>
      <c r="CC57" s="90"/>
      <c r="CD57" s="183">
        <f t="shared" si="33"/>
        <v>0</v>
      </c>
    </row>
    <row r="58" spans="2:82" x14ac:dyDescent="0.3">
      <c r="B58" s="53"/>
      <c r="C58" s="53" t="str">
        <f t="shared" si="0"/>
        <v>CPU_DrenagemSuperficial</v>
      </c>
      <c r="D58" s="278">
        <f t="shared" si="1"/>
        <v>0</v>
      </c>
      <c r="E58" s="278">
        <f t="shared" si="2"/>
        <v>0</v>
      </c>
      <c r="F58" s="1"/>
      <c r="G58" s="28" t="str">
        <f>IFERROR(VLOOKUP(F58,Tabela7[[RECURSO]:[CUSTO]],2,FALSE),"")</f>
        <v/>
      </c>
      <c r="I58" s="90">
        <f t="shared" si="41"/>
        <v>0</v>
      </c>
      <c r="J58" s="45">
        <f>IFERROR(VLOOKUP(F58,Tabela7[[RECURSO]:[CUSTO]],3,FALSE),0)</f>
        <v>0</v>
      </c>
      <c r="K58" s="45">
        <f t="shared" si="42"/>
        <v>0</v>
      </c>
      <c r="M58" s="85"/>
      <c r="N58" s="88"/>
      <c r="O58" s="31"/>
      <c r="P58" s="1"/>
      <c r="Q58" s="1"/>
      <c r="R58" s="1"/>
      <c r="S58" s="1"/>
      <c r="T58" s="1"/>
      <c r="U58" s="1"/>
      <c r="V58" s="1"/>
      <c r="W58" s="342"/>
      <c r="AD58" s="144" t="str">
        <f t="shared" si="3"/>
        <v>Drenagem Superficial</v>
      </c>
      <c r="AE58" s="192"/>
      <c r="AF58" s="180">
        <f t="shared" si="38"/>
        <v>0</v>
      </c>
      <c r="AG58" s="180">
        <f t="shared" si="17"/>
        <v>0</v>
      </c>
      <c r="AH58" s="181">
        <f t="shared" si="39"/>
        <v>0</v>
      </c>
      <c r="AI58" s="193"/>
      <c r="AJ58" s="90"/>
      <c r="AK58" s="90"/>
      <c r="AL58" s="183">
        <f t="shared" si="40"/>
        <v>0</v>
      </c>
      <c r="AM58" s="193"/>
      <c r="AN58" s="90"/>
      <c r="AO58" s="90"/>
      <c r="AP58" s="183">
        <f t="shared" si="23"/>
        <v>0</v>
      </c>
      <c r="AQ58" s="193"/>
      <c r="AR58" s="90"/>
      <c r="AS58" s="90"/>
      <c r="AT58" s="183">
        <f t="shared" si="24"/>
        <v>0</v>
      </c>
      <c r="AU58" s="193"/>
      <c r="AV58" s="90"/>
      <c r="AW58" s="90"/>
      <c r="AX58" s="183">
        <f t="shared" si="25"/>
        <v>0</v>
      </c>
      <c r="AY58" s="193"/>
      <c r="AZ58" s="90"/>
      <c r="BA58" s="90"/>
      <c r="BB58" s="183">
        <f t="shared" si="26"/>
        <v>0</v>
      </c>
      <c r="BC58" s="193"/>
      <c r="BD58" s="90"/>
      <c r="BE58" s="90"/>
      <c r="BF58" s="183">
        <f t="shared" si="27"/>
        <v>0</v>
      </c>
      <c r="BG58" s="193"/>
      <c r="BH58" s="90"/>
      <c r="BI58" s="90"/>
      <c r="BJ58" s="183">
        <f t="shared" si="28"/>
        <v>0</v>
      </c>
      <c r="BK58" s="193"/>
      <c r="BL58" s="90"/>
      <c r="BM58" s="90"/>
      <c r="BN58" s="183">
        <f t="shared" si="29"/>
        <v>0</v>
      </c>
      <c r="BO58" s="193"/>
      <c r="BP58" s="90"/>
      <c r="BQ58" s="90"/>
      <c r="BR58" s="183">
        <f t="shared" si="30"/>
        <v>0</v>
      </c>
      <c r="BS58" s="193"/>
      <c r="BT58" s="90"/>
      <c r="BU58" s="90"/>
      <c r="BV58" s="183">
        <f t="shared" si="31"/>
        <v>0</v>
      </c>
      <c r="BW58" s="193"/>
      <c r="BX58" s="90"/>
      <c r="BY58" s="90"/>
      <c r="BZ58" s="183">
        <f t="shared" si="32"/>
        <v>0</v>
      </c>
      <c r="CA58" s="193"/>
      <c r="CB58" s="90"/>
      <c r="CC58" s="90"/>
      <c r="CD58" s="183">
        <f t="shared" si="33"/>
        <v>0</v>
      </c>
    </row>
    <row r="59" spans="2:82" x14ac:dyDescent="0.3">
      <c r="B59" s="53"/>
      <c r="C59" s="53" t="str">
        <f t="shared" si="0"/>
        <v>CPU_DrenagemSuperficial</v>
      </c>
      <c r="D59" s="278">
        <f t="shared" si="1"/>
        <v>0</v>
      </c>
      <c r="E59" s="278">
        <f t="shared" si="2"/>
        <v>0</v>
      </c>
      <c r="F59" s="1"/>
      <c r="G59" s="28" t="str">
        <f>IFERROR(VLOOKUP(F59,Tabela7[[RECURSO]:[CUSTO]],2,FALSE),"")</f>
        <v/>
      </c>
      <c r="I59" s="90">
        <f t="shared" si="41"/>
        <v>0</v>
      </c>
      <c r="J59" s="45">
        <f>IFERROR(VLOOKUP(F59,Tabela7[[RECURSO]:[CUSTO]],3,FALSE),0)</f>
        <v>0</v>
      </c>
      <c r="K59" s="45">
        <f t="shared" si="42"/>
        <v>0</v>
      </c>
      <c r="M59" s="85"/>
      <c r="N59" s="88"/>
      <c r="O59" s="31"/>
      <c r="P59" s="1"/>
      <c r="Q59" s="1"/>
      <c r="R59" s="1"/>
      <c r="S59" s="1"/>
      <c r="T59" s="1"/>
      <c r="U59" s="1"/>
      <c r="V59" s="1"/>
      <c r="W59" s="342"/>
      <c r="AD59" s="144" t="str">
        <f t="shared" si="3"/>
        <v>Drenagem Superficial</v>
      </c>
      <c r="AE59" s="192"/>
      <c r="AF59" s="180">
        <f t="shared" si="38"/>
        <v>0</v>
      </c>
      <c r="AG59" s="180">
        <f t="shared" si="17"/>
        <v>0</v>
      </c>
      <c r="AH59" s="181">
        <f t="shared" si="39"/>
        <v>0</v>
      </c>
      <c r="AI59" s="193"/>
      <c r="AJ59" s="90"/>
      <c r="AK59" s="90"/>
      <c r="AL59" s="183">
        <f t="shared" si="40"/>
        <v>0</v>
      </c>
      <c r="AM59" s="193"/>
      <c r="AN59" s="90"/>
      <c r="AO59" s="90"/>
      <c r="AP59" s="183">
        <f t="shared" si="23"/>
        <v>0</v>
      </c>
      <c r="AQ59" s="193"/>
      <c r="AR59" s="90"/>
      <c r="AS59" s="90"/>
      <c r="AT59" s="183">
        <f t="shared" si="24"/>
        <v>0</v>
      </c>
      <c r="AU59" s="193"/>
      <c r="AV59" s="90"/>
      <c r="AW59" s="90"/>
      <c r="AX59" s="183">
        <f t="shared" si="25"/>
        <v>0</v>
      </c>
      <c r="AY59" s="193"/>
      <c r="AZ59" s="90"/>
      <c r="BA59" s="90"/>
      <c r="BB59" s="183">
        <f t="shared" si="26"/>
        <v>0</v>
      </c>
      <c r="BC59" s="193"/>
      <c r="BD59" s="90"/>
      <c r="BE59" s="90"/>
      <c r="BF59" s="183">
        <f t="shared" si="27"/>
        <v>0</v>
      </c>
      <c r="BG59" s="193"/>
      <c r="BH59" s="90"/>
      <c r="BI59" s="90"/>
      <c r="BJ59" s="183">
        <f t="shared" si="28"/>
        <v>0</v>
      </c>
      <c r="BK59" s="193"/>
      <c r="BL59" s="90"/>
      <c r="BM59" s="90"/>
      <c r="BN59" s="183">
        <f t="shared" si="29"/>
        <v>0</v>
      </c>
      <c r="BO59" s="193"/>
      <c r="BP59" s="90"/>
      <c r="BQ59" s="90"/>
      <c r="BR59" s="183">
        <f t="shared" si="30"/>
        <v>0</v>
      </c>
      <c r="BS59" s="193"/>
      <c r="BT59" s="90"/>
      <c r="BU59" s="90"/>
      <c r="BV59" s="183">
        <f t="shared" si="31"/>
        <v>0</v>
      </c>
      <c r="BW59" s="193"/>
      <c r="BX59" s="90"/>
      <c r="BY59" s="90"/>
      <c r="BZ59" s="183">
        <f t="shared" si="32"/>
        <v>0</v>
      </c>
      <c r="CA59" s="193"/>
      <c r="CB59" s="90"/>
      <c r="CC59" s="90"/>
      <c r="CD59" s="183">
        <f t="shared" si="33"/>
        <v>0</v>
      </c>
    </row>
    <row r="60" spans="2:82" x14ac:dyDescent="0.3">
      <c r="B60" s="53"/>
      <c r="C60" s="53" t="str">
        <f t="shared" si="0"/>
        <v>CPU_DrenagemSuperficial</v>
      </c>
      <c r="D60" s="278">
        <f t="shared" si="1"/>
        <v>0</v>
      </c>
      <c r="E60" s="278">
        <f t="shared" si="2"/>
        <v>0</v>
      </c>
      <c r="F60" s="1"/>
      <c r="G60" s="28" t="str">
        <f>IFERROR(VLOOKUP(F60,Tabela7[[RECURSO]:[CUSTO]],2,FALSE),"")</f>
        <v/>
      </c>
      <c r="I60" s="90">
        <f t="shared" si="41"/>
        <v>0</v>
      </c>
      <c r="J60" s="45">
        <f>IFERROR(VLOOKUP(F60,Tabela7[[RECURSO]:[CUSTO]],3,FALSE),0)</f>
        <v>0</v>
      </c>
      <c r="K60" s="45">
        <f t="shared" si="42"/>
        <v>0</v>
      </c>
      <c r="M60" s="85"/>
      <c r="N60" s="88"/>
      <c r="O60" s="31"/>
      <c r="P60" s="1"/>
      <c r="Q60" s="1"/>
      <c r="R60" s="1"/>
      <c r="S60" s="1"/>
      <c r="T60" s="1"/>
      <c r="U60" s="1"/>
      <c r="V60" s="1"/>
      <c r="W60" s="342"/>
      <c r="AD60" s="144" t="str">
        <f t="shared" si="3"/>
        <v>Drenagem Superficial</v>
      </c>
      <c r="AE60" s="192"/>
      <c r="AF60" s="180">
        <f t="shared" si="38"/>
        <v>0</v>
      </c>
      <c r="AG60" s="180">
        <f t="shared" si="17"/>
        <v>0</v>
      </c>
      <c r="AH60" s="181">
        <f t="shared" si="39"/>
        <v>0</v>
      </c>
      <c r="AI60" s="193"/>
      <c r="AJ60" s="90"/>
      <c r="AK60" s="90"/>
      <c r="AL60" s="183">
        <f t="shared" si="40"/>
        <v>0</v>
      </c>
      <c r="AM60" s="193"/>
      <c r="AN60" s="90"/>
      <c r="AO60" s="90"/>
      <c r="AP60" s="183">
        <f t="shared" si="23"/>
        <v>0</v>
      </c>
      <c r="AQ60" s="193"/>
      <c r="AR60" s="90"/>
      <c r="AS60" s="90"/>
      <c r="AT60" s="183">
        <f t="shared" si="24"/>
        <v>0</v>
      </c>
      <c r="AU60" s="193"/>
      <c r="AV60" s="90"/>
      <c r="AW60" s="90"/>
      <c r="AX60" s="183">
        <f t="shared" si="25"/>
        <v>0</v>
      </c>
      <c r="AY60" s="193"/>
      <c r="AZ60" s="90"/>
      <c r="BA60" s="90"/>
      <c r="BB60" s="183">
        <f t="shared" si="26"/>
        <v>0</v>
      </c>
      <c r="BC60" s="193"/>
      <c r="BD60" s="90"/>
      <c r="BE60" s="90"/>
      <c r="BF60" s="183">
        <f t="shared" si="27"/>
        <v>0</v>
      </c>
      <c r="BG60" s="193"/>
      <c r="BH60" s="90"/>
      <c r="BI60" s="90"/>
      <c r="BJ60" s="183">
        <f t="shared" si="28"/>
        <v>0</v>
      </c>
      <c r="BK60" s="193"/>
      <c r="BL60" s="90"/>
      <c r="BM60" s="90"/>
      <c r="BN60" s="183">
        <f t="shared" si="29"/>
        <v>0</v>
      </c>
      <c r="BO60" s="193"/>
      <c r="BP60" s="90"/>
      <c r="BQ60" s="90"/>
      <c r="BR60" s="183">
        <f t="shared" si="30"/>
        <v>0</v>
      </c>
      <c r="BS60" s="193"/>
      <c r="BT60" s="90"/>
      <c r="BU60" s="90"/>
      <c r="BV60" s="183">
        <f t="shared" si="31"/>
        <v>0</v>
      </c>
      <c r="BW60" s="193"/>
      <c r="BX60" s="90"/>
      <c r="BY60" s="90"/>
      <c r="BZ60" s="183">
        <f t="shared" si="32"/>
        <v>0</v>
      </c>
      <c r="CA60" s="193"/>
      <c r="CB60" s="90"/>
      <c r="CC60" s="90"/>
      <c r="CD60" s="183">
        <f t="shared" si="33"/>
        <v>0</v>
      </c>
    </row>
    <row r="61" spans="2:82" x14ac:dyDescent="0.3">
      <c r="B61" s="53"/>
      <c r="C61" s="53" t="str">
        <f t="shared" si="0"/>
        <v>CPU_DrenagemSuperficial</v>
      </c>
      <c r="D61" s="278">
        <f t="shared" si="1"/>
        <v>0</v>
      </c>
      <c r="E61" s="278">
        <f t="shared" si="2"/>
        <v>0</v>
      </c>
      <c r="F61" s="1"/>
      <c r="G61" s="28" t="str">
        <f>IFERROR(VLOOKUP(F61,Tabela7[[RECURSO]:[CUSTO]],2,FALSE),"")</f>
        <v/>
      </c>
      <c r="I61" s="90">
        <f t="shared" si="41"/>
        <v>0</v>
      </c>
      <c r="J61" s="45">
        <f>IFERROR(VLOOKUP(F61,Tabela7[[RECURSO]:[CUSTO]],3,FALSE),0)</f>
        <v>0</v>
      </c>
      <c r="K61" s="45">
        <f t="shared" si="42"/>
        <v>0</v>
      </c>
      <c r="M61" s="85"/>
      <c r="N61" s="88"/>
      <c r="O61" s="31"/>
      <c r="P61" s="1"/>
      <c r="Q61" s="1"/>
      <c r="R61" s="1"/>
      <c r="S61" s="1"/>
      <c r="T61" s="1"/>
      <c r="U61" s="1"/>
      <c r="V61" s="1"/>
      <c r="W61" s="342"/>
      <c r="AD61" s="144" t="str">
        <f t="shared" si="3"/>
        <v>Drenagem Superficial</v>
      </c>
      <c r="AE61" s="192"/>
      <c r="AF61" s="180">
        <f t="shared" si="38"/>
        <v>0</v>
      </c>
      <c r="AG61" s="180">
        <f t="shared" si="17"/>
        <v>0</v>
      </c>
      <c r="AH61" s="181">
        <f t="shared" si="39"/>
        <v>0</v>
      </c>
      <c r="AI61" s="193"/>
      <c r="AJ61" s="90"/>
      <c r="AK61" s="90"/>
      <c r="AL61" s="183">
        <f t="shared" si="40"/>
        <v>0</v>
      </c>
      <c r="AM61" s="193"/>
      <c r="AN61" s="90"/>
      <c r="AO61" s="90"/>
      <c r="AP61" s="183">
        <f t="shared" si="23"/>
        <v>0</v>
      </c>
      <c r="AQ61" s="193"/>
      <c r="AR61" s="90"/>
      <c r="AS61" s="90"/>
      <c r="AT61" s="183">
        <f t="shared" si="24"/>
        <v>0</v>
      </c>
      <c r="AU61" s="193"/>
      <c r="AV61" s="90"/>
      <c r="AW61" s="90"/>
      <c r="AX61" s="183">
        <f t="shared" si="25"/>
        <v>0</v>
      </c>
      <c r="AY61" s="193"/>
      <c r="AZ61" s="90"/>
      <c r="BA61" s="90"/>
      <c r="BB61" s="183">
        <f t="shared" si="26"/>
        <v>0</v>
      </c>
      <c r="BC61" s="193"/>
      <c r="BD61" s="90"/>
      <c r="BE61" s="90"/>
      <c r="BF61" s="183">
        <f t="shared" si="27"/>
        <v>0</v>
      </c>
      <c r="BG61" s="193"/>
      <c r="BH61" s="90"/>
      <c r="BI61" s="90"/>
      <c r="BJ61" s="183">
        <f t="shared" si="28"/>
        <v>0</v>
      </c>
      <c r="BK61" s="193"/>
      <c r="BL61" s="90"/>
      <c r="BM61" s="90"/>
      <c r="BN61" s="183">
        <f t="shared" si="29"/>
        <v>0</v>
      </c>
      <c r="BO61" s="193"/>
      <c r="BP61" s="90"/>
      <c r="BQ61" s="90"/>
      <c r="BR61" s="183">
        <f t="shared" si="30"/>
        <v>0</v>
      </c>
      <c r="BS61" s="193"/>
      <c r="BT61" s="90"/>
      <c r="BU61" s="90"/>
      <c r="BV61" s="183">
        <f t="shared" si="31"/>
        <v>0</v>
      </c>
      <c r="BW61" s="193"/>
      <c r="BX61" s="90"/>
      <c r="BY61" s="90"/>
      <c r="BZ61" s="183">
        <f t="shared" si="32"/>
        <v>0</v>
      </c>
      <c r="CA61" s="193"/>
      <c r="CB61" s="90"/>
      <c r="CC61" s="90"/>
      <c r="CD61" s="183">
        <f t="shared" si="33"/>
        <v>0</v>
      </c>
    </row>
    <row r="62" spans="2:82" ht="15" thickBot="1" x14ac:dyDescent="0.35">
      <c r="B62" s="53"/>
      <c r="C62" s="53" t="str">
        <f t="shared" si="0"/>
        <v>CPU_DrenagemSuperficial</v>
      </c>
      <c r="D62" s="278">
        <f t="shared" si="1"/>
        <v>0</v>
      </c>
      <c r="E62" s="278">
        <f t="shared" si="2"/>
        <v>0</v>
      </c>
      <c r="F62" s="1"/>
      <c r="G62" s="28" t="str">
        <f>IFERROR(VLOOKUP(F62,Tabela7[[RECURSO]:[CUSTO]],2,FALSE),"")</f>
        <v/>
      </c>
      <c r="I62" s="90">
        <f t="shared" si="41"/>
        <v>0</v>
      </c>
      <c r="J62" s="45">
        <f>IFERROR(VLOOKUP(F62,Tabela7[[RECURSO]:[CUSTO]],3,FALSE),0)</f>
        <v>0</v>
      </c>
      <c r="K62" s="45">
        <f t="shared" si="42"/>
        <v>0</v>
      </c>
      <c r="M62" s="86"/>
      <c r="N62" s="88"/>
      <c r="O62" s="51"/>
      <c r="P62" s="343"/>
      <c r="Q62" s="343"/>
      <c r="R62" s="343"/>
      <c r="S62" s="343"/>
      <c r="T62" s="343"/>
      <c r="U62" s="343"/>
      <c r="V62" s="343"/>
      <c r="W62" s="344"/>
      <c r="AD62" s="144" t="str">
        <f t="shared" si="3"/>
        <v>Drenagem Superficial</v>
      </c>
      <c r="AE62" s="194"/>
      <c r="AF62" s="195">
        <f t="shared" si="38"/>
        <v>0</v>
      </c>
      <c r="AG62" s="195">
        <f t="shared" si="17"/>
        <v>0</v>
      </c>
      <c r="AH62" s="196">
        <f t="shared" si="39"/>
        <v>0</v>
      </c>
      <c r="AI62" s="197"/>
      <c r="AJ62" s="198"/>
      <c r="AK62" s="198"/>
      <c r="AL62" s="199">
        <f t="shared" si="40"/>
        <v>0</v>
      </c>
      <c r="AM62" s="197"/>
      <c r="AN62" s="198"/>
      <c r="AO62" s="198"/>
      <c r="AP62" s="199">
        <f t="shared" si="23"/>
        <v>0</v>
      </c>
      <c r="AQ62" s="197"/>
      <c r="AR62" s="198"/>
      <c r="AS62" s="198"/>
      <c r="AT62" s="199">
        <f t="shared" si="24"/>
        <v>0</v>
      </c>
      <c r="AU62" s="197"/>
      <c r="AV62" s="198"/>
      <c r="AW62" s="198"/>
      <c r="AX62" s="199">
        <f t="shared" si="25"/>
        <v>0</v>
      </c>
      <c r="AY62" s="197"/>
      <c r="AZ62" s="198"/>
      <c r="BA62" s="198"/>
      <c r="BB62" s="199">
        <f t="shared" si="26"/>
        <v>0</v>
      </c>
      <c r="BC62" s="197"/>
      <c r="BD62" s="198"/>
      <c r="BE62" s="198"/>
      <c r="BF62" s="199">
        <f t="shared" si="27"/>
        <v>0</v>
      </c>
      <c r="BG62" s="197"/>
      <c r="BH62" s="198"/>
      <c r="BI62" s="198"/>
      <c r="BJ62" s="199">
        <f t="shared" si="28"/>
        <v>0</v>
      </c>
      <c r="BK62" s="197"/>
      <c r="BL62" s="198"/>
      <c r="BM62" s="198"/>
      <c r="BN62" s="199">
        <f t="shared" si="29"/>
        <v>0</v>
      </c>
      <c r="BO62" s="197"/>
      <c r="BP62" s="198"/>
      <c r="BQ62" s="198"/>
      <c r="BR62" s="199">
        <f t="shared" si="30"/>
        <v>0</v>
      </c>
      <c r="BS62" s="197"/>
      <c r="BT62" s="198"/>
      <c r="BU62" s="198"/>
      <c r="BV62" s="199">
        <f t="shared" si="31"/>
        <v>0</v>
      </c>
      <c r="BW62" s="197"/>
      <c r="BX62" s="198"/>
      <c r="BY62" s="198"/>
      <c r="BZ62" s="199">
        <f t="shared" si="32"/>
        <v>0</v>
      </c>
      <c r="CA62" s="197"/>
      <c r="CB62" s="198"/>
      <c r="CC62" s="198"/>
      <c r="CD62" s="199">
        <f t="shared" si="33"/>
        <v>0</v>
      </c>
    </row>
  </sheetData>
  <conditionalFormatting sqref="K6:K7">
    <cfRule type="iconSet" priority="14">
      <iconSet>
        <cfvo type="percent" val="0"/>
        <cfvo type="num" val="0"/>
        <cfvo type="num" val="0.02"/>
      </iconSet>
    </cfRule>
  </conditionalFormatting>
  <conditionalFormatting sqref="AH6:AH7">
    <cfRule type="iconSet" priority="13">
      <iconSet>
        <cfvo type="percent" val="0"/>
        <cfvo type="num" val="0"/>
        <cfvo type="num" val="0.02"/>
      </iconSet>
    </cfRule>
  </conditionalFormatting>
  <conditionalFormatting sqref="AL6:AL7">
    <cfRule type="iconSet" priority="12">
      <iconSet>
        <cfvo type="percent" val="0"/>
        <cfvo type="num" val="0"/>
        <cfvo type="num" val="0.02"/>
      </iconSet>
    </cfRule>
  </conditionalFormatting>
  <conditionalFormatting sqref="AP6:AP7">
    <cfRule type="iconSet" priority="11">
      <iconSet>
        <cfvo type="percent" val="0"/>
        <cfvo type="num" val="0"/>
        <cfvo type="num" val="0.02"/>
      </iconSet>
    </cfRule>
  </conditionalFormatting>
  <conditionalFormatting sqref="AT6:AT7">
    <cfRule type="iconSet" priority="10">
      <iconSet>
        <cfvo type="percent" val="0"/>
        <cfvo type="num" val="0"/>
        <cfvo type="num" val="0.02"/>
      </iconSet>
    </cfRule>
  </conditionalFormatting>
  <conditionalFormatting sqref="AX6:AX7">
    <cfRule type="iconSet" priority="9">
      <iconSet>
        <cfvo type="percent" val="0"/>
        <cfvo type="num" val="0"/>
        <cfvo type="num" val="0.02"/>
      </iconSet>
    </cfRule>
  </conditionalFormatting>
  <conditionalFormatting sqref="BB6:BB7">
    <cfRule type="iconSet" priority="8">
      <iconSet>
        <cfvo type="percent" val="0"/>
        <cfvo type="num" val="0"/>
        <cfvo type="num" val="0.02"/>
      </iconSet>
    </cfRule>
  </conditionalFormatting>
  <conditionalFormatting sqref="BF6:BF7">
    <cfRule type="iconSet" priority="7">
      <iconSet>
        <cfvo type="percent" val="0"/>
        <cfvo type="num" val="0"/>
        <cfvo type="num" val="0.02"/>
      </iconSet>
    </cfRule>
  </conditionalFormatting>
  <conditionalFormatting sqref="BJ6:BJ7">
    <cfRule type="iconSet" priority="6">
      <iconSet>
        <cfvo type="percent" val="0"/>
        <cfvo type="num" val="0"/>
        <cfvo type="num" val="0.02"/>
      </iconSet>
    </cfRule>
  </conditionalFormatting>
  <conditionalFormatting sqref="BN6:BN7">
    <cfRule type="iconSet" priority="5">
      <iconSet>
        <cfvo type="percent" val="0"/>
        <cfvo type="num" val="0"/>
        <cfvo type="num" val="0.02"/>
      </iconSet>
    </cfRule>
  </conditionalFormatting>
  <conditionalFormatting sqref="BR6:BR7">
    <cfRule type="iconSet" priority="4">
      <iconSet>
        <cfvo type="percent" val="0"/>
        <cfvo type="num" val="0"/>
        <cfvo type="num" val="0.02"/>
      </iconSet>
    </cfRule>
  </conditionalFormatting>
  <conditionalFormatting sqref="BV6:BV7">
    <cfRule type="iconSet" priority="3">
      <iconSet>
        <cfvo type="percent" val="0"/>
        <cfvo type="num" val="0"/>
        <cfvo type="num" val="0.02"/>
      </iconSet>
    </cfRule>
  </conditionalFormatting>
  <conditionalFormatting sqref="BZ6:BZ7">
    <cfRule type="iconSet" priority="2">
      <iconSet>
        <cfvo type="percent" val="0"/>
        <cfvo type="num" val="0"/>
        <cfvo type="num" val="0.02"/>
      </iconSet>
    </cfRule>
  </conditionalFormatting>
  <conditionalFormatting sqref="CD6:CD7">
    <cfRule type="iconSet" priority="1">
      <iconSet>
        <cfvo type="percent" val="0"/>
        <cfvo type="num" val="0"/>
        <cfvo type="num" val="0.02"/>
      </iconSet>
    </cfRule>
  </conditionalFormatting>
  <dataValidations count="5">
    <dataValidation type="list" allowBlank="1" showInputMessage="1" showErrorMessage="1" sqref="F51:F62" xr:uid="{5552CC92-21BE-46BB-B644-F2918462BF59}">
      <formula1>INDIRECT($B$50)</formula1>
    </dataValidation>
    <dataValidation type="list" allowBlank="1" showInputMessage="1" showErrorMessage="1" sqref="F38:F49" xr:uid="{EB4C8433-02E7-4C95-B307-998E14A52318}">
      <formula1>INDIRECT($B$37)</formula1>
    </dataValidation>
    <dataValidation type="list" allowBlank="1" showInputMessage="1" showErrorMessage="1" sqref="F25:F36" xr:uid="{4A6CC88E-DF52-4EE4-B347-E8077D71C177}">
      <formula1>INDIRECT($B$24)</formula1>
    </dataValidation>
    <dataValidation type="list" allowBlank="1" showInputMessage="1" showErrorMessage="1" sqref="F12:F23" xr:uid="{7E7BB114-42FD-4690-A3D5-48811B3D78E2}">
      <formula1>INDIRECT($B$11)</formula1>
    </dataValidation>
    <dataValidation type="list" allowBlank="1" showInputMessage="1" showErrorMessage="1" sqref="B3:E3" xr:uid="{4913E880-58AE-4EAC-9DBB-ED235B1AC6DC}">
      <formula1>INDIRECT($B$2)</formula1>
    </dataValidation>
  </dataValidations>
  <pageMargins left="0.51181102362204722" right="0.51181102362204722" top="0.19685039370078741" bottom="0.19685039370078741" header="0.31496062992125984" footer="0.31496062992125984"/>
  <pageSetup paperSize="9" scale="82" orientation="portrait" r:id="rId1"/>
  <colBreaks count="1" manualBreakCount="1">
    <brk id="11" max="1048575" man="1"/>
  </colBreaks>
  <drawing r:id="rId2"/>
  <legacyDrawing r:id="rId3"/>
  <tableParts count="2">
    <tablePart r:id="rId4"/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539F3-4D1C-46D7-96CF-67309E9CB16F}">
  <sheetPr codeName="Plan30"/>
  <dimension ref="A1:CD64"/>
  <sheetViews>
    <sheetView showGridLines="0" zoomScaleNormal="100" workbookViewId="0">
      <pane xSplit="14" ySplit="10" topLeftCell="O49" activePane="bottomRight" state="frozen"/>
      <selection pane="topRight" activeCell="C28" activeCellId="1" sqref="E13 C28"/>
      <selection pane="bottomLeft" activeCell="C28" activeCellId="1" sqref="E13 C28"/>
      <selection pane="bottomRight" activeCell="B3" sqref="B3"/>
    </sheetView>
  </sheetViews>
  <sheetFormatPr defaultRowHeight="14.4" x14ac:dyDescent="0.3"/>
  <cols>
    <col min="1" max="1" width="4.109375" customWidth="1"/>
    <col min="2" max="2" width="16.109375" customWidth="1"/>
    <col min="3" max="5" width="16.109375" hidden="1" customWidth="1"/>
    <col min="6" max="6" width="40.6640625" customWidth="1"/>
    <col min="7" max="7" width="10.6640625" style="28" customWidth="1"/>
    <col min="8" max="8" width="7.6640625" style="28" customWidth="1"/>
    <col min="9" max="11" width="10.6640625" customWidth="1"/>
    <col min="12" max="12" width="2.33203125" customWidth="1"/>
    <col min="13" max="14" width="12.6640625" customWidth="1"/>
    <col min="15" max="15" width="14" bestFit="1" customWidth="1"/>
    <col min="30" max="30" width="12.44140625" bestFit="1" customWidth="1"/>
    <col min="31" max="31" width="7.6640625" customWidth="1"/>
    <col min="32" max="32" width="9.33203125" bestFit="1" customWidth="1"/>
    <col min="33" max="34" width="10.6640625" customWidth="1"/>
    <col min="35" max="35" width="7.6640625" customWidth="1"/>
    <col min="36" max="36" width="9.33203125" customWidth="1"/>
    <col min="37" max="38" width="10.6640625" customWidth="1"/>
    <col min="40" max="40" width="9.33203125" customWidth="1"/>
    <col min="42" max="42" width="9.6640625" customWidth="1"/>
    <col min="44" max="44" width="9.33203125" customWidth="1"/>
    <col min="46" max="46" width="9.6640625" customWidth="1"/>
    <col min="48" max="48" width="9.33203125" customWidth="1"/>
    <col min="50" max="50" width="9.6640625" customWidth="1"/>
    <col min="52" max="52" width="9.33203125" customWidth="1"/>
    <col min="54" max="54" width="9.6640625" customWidth="1"/>
    <col min="56" max="56" width="9.33203125" customWidth="1"/>
    <col min="58" max="58" width="9.6640625" customWidth="1"/>
    <col min="60" max="60" width="9.33203125" customWidth="1"/>
    <col min="62" max="62" width="9.6640625" customWidth="1"/>
    <col min="64" max="64" width="9.33203125" customWidth="1"/>
    <col min="66" max="66" width="9.6640625" customWidth="1"/>
    <col min="68" max="68" width="9.33203125" customWidth="1"/>
    <col min="70" max="70" width="9.6640625" customWidth="1"/>
    <col min="72" max="72" width="10" customWidth="1"/>
    <col min="73" max="73" width="9.5546875" customWidth="1"/>
    <col min="74" max="74" width="10.44140625" customWidth="1"/>
    <col min="76" max="76" width="10" customWidth="1"/>
    <col min="77" max="77" width="9.5546875" customWidth="1"/>
    <col min="78" max="78" width="10.44140625" customWidth="1"/>
    <col min="80" max="80" width="10" customWidth="1"/>
    <col min="81" max="81" width="9.5546875" customWidth="1"/>
    <col min="82" max="82" width="10.44140625" customWidth="1"/>
  </cols>
  <sheetData>
    <row r="1" spans="1:82" ht="26.4" customHeight="1" thickBot="1" x14ac:dyDescent="0.35">
      <c r="AE1" s="163" t="s">
        <v>678</v>
      </c>
    </row>
    <row r="2" spans="1:82" x14ac:dyDescent="0.3">
      <c r="B2" s="64" t="s">
        <v>679</v>
      </c>
      <c r="C2" s="67"/>
      <c r="D2" s="67"/>
      <c r="E2" s="67"/>
      <c r="F2" s="65"/>
      <c r="G2" s="66"/>
      <c r="H2" s="66"/>
      <c r="I2" s="65"/>
      <c r="J2" s="67" t="s">
        <v>680</v>
      </c>
      <c r="K2" s="68" t="s">
        <v>681</v>
      </c>
      <c r="M2" s="227" t="s">
        <v>682</v>
      </c>
      <c r="N2" s="228" t="s">
        <v>683</v>
      </c>
      <c r="O2" s="234" t="s">
        <v>684</v>
      </c>
      <c r="AE2" s="164" t="s">
        <v>590</v>
      </c>
      <c r="AF2" s="165" t="s">
        <v>20</v>
      </c>
      <c r="AG2" s="67"/>
      <c r="AH2" s="68" t="s">
        <v>681</v>
      </c>
      <c r="AI2" s="166">
        <v>44927</v>
      </c>
      <c r="AJ2" s="165" t="s">
        <v>20</v>
      </c>
      <c r="AK2" s="67"/>
      <c r="AL2" s="68" t="s">
        <v>681</v>
      </c>
      <c r="AM2" s="166">
        <v>44958</v>
      </c>
      <c r="AN2" s="165" t="s">
        <v>20</v>
      </c>
      <c r="AO2" s="67"/>
      <c r="AP2" s="68" t="s">
        <v>681</v>
      </c>
      <c r="AQ2" s="166">
        <v>44986</v>
      </c>
      <c r="AR2" s="165" t="s">
        <v>20</v>
      </c>
      <c r="AS2" s="67"/>
      <c r="AT2" s="68" t="s">
        <v>681</v>
      </c>
      <c r="AU2" s="166">
        <v>45017</v>
      </c>
      <c r="AV2" s="165" t="s">
        <v>20</v>
      </c>
      <c r="AW2" s="67"/>
      <c r="AX2" s="68" t="s">
        <v>681</v>
      </c>
      <c r="AY2" s="166">
        <v>45047</v>
      </c>
      <c r="AZ2" s="165" t="s">
        <v>20</v>
      </c>
      <c r="BA2" s="67"/>
      <c r="BB2" s="68" t="s">
        <v>681</v>
      </c>
      <c r="BC2" s="166">
        <v>45078</v>
      </c>
      <c r="BD2" s="165" t="s">
        <v>20</v>
      </c>
      <c r="BE2" s="67"/>
      <c r="BF2" s="68" t="s">
        <v>681</v>
      </c>
      <c r="BG2" s="166">
        <v>45108</v>
      </c>
      <c r="BH2" s="165" t="s">
        <v>20</v>
      </c>
      <c r="BI2" s="67"/>
      <c r="BJ2" s="68" t="s">
        <v>681</v>
      </c>
      <c r="BK2" s="166">
        <v>45139</v>
      </c>
      <c r="BL2" s="165" t="s">
        <v>20</v>
      </c>
      <c r="BM2" s="67"/>
      <c r="BN2" s="68" t="s">
        <v>681</v>
      </c>
      <c r="BO2" s="166">
        <v>45170</v>
      </c>
      <c r="BP2" s="165" t="s">
        <v>20</v>
      </c>
      <c r="BQ2" s="67"/>
      <c r="BR2" s="68" t="s">
        <v>681</v>
      </c>
      <c r="BS2" s="166">
        <v>45200</v>
      </c>
      <c r="BT2" s="165" t="s">
        <v>20</v>
      </c>
      <c r="BU2" s="67"/>
      <c r="BV2" s="68" t="s">
        <v>681</v>
      </c>
      <c r="BW2" s="166">
        <v>45231</v>
      </c>
      <c r="BX2" s="165" t="s">
        <v>20</v>
      </c>
      <c r="BY2" s="67"/>
      <c r="BZ2" s="68" t="s">
        <v>681</v>
      </c>
      <c r="CA2" s="166">
        <v>45261</v>
      </c>
      <c r="CB2" s="165" t="s">
        <v>20</v>
      </c>
      <c r="CC2" s="67"/>
      <c r="CD2" s="68" t="s">
        <v>681</v>
      </c>
    </row>
    <row r="3" spans="1:82" x14ac:dyDescent="0.3">
      <c r="A3" s="42" t="str">
        <f>"CPU_"&amp;LEFT(SUBSTITUTE(SUBSTITUTE(B3," ",""),"-",""),20)</f>
        <v>CPU_CapaConcreto</v>
      </c>
      <c r="B3" s="31" t="s">
        <v>793</v>
      </c>
      <c r="C3" s="1"/>
      <c r="D3" s="1"/>
      <c r="E3" s="1"/>
      <c r="F3" s="73"/>
      <c r="G3" s="74"/>
      <c r="H3" s="74"/>
      <c r="I3" s="73"/>
      <c r="J3" s="74" t="str">
        <f>IFERROR(VLOOKUP(B3,Tabela1[[NOME SERVIÇO]:[UNID]],4,0),"")</f>
        <v>UNID</v>
      </c>
      <c r="K3" s="75">
        <f>IFERROR(J6/B6,0)</f>
        <v>35220.932072534873</v>
      </c>
      <c r="M3" s="229" t="s">
        <v>685</v>
      </c>
      <c r="N3" s="230">
        <f>K11</f>
        <v>0</v>
      </c>
      <c r="O3" s="235">
        <f>IFERROR(N3/$N$7,0)</f>
        <v>0</v>
      </c>
      <c r="AE3" s="167"/>
      <c r="AF3" s="168">
        <f>AJ3+AN3+AR3+AV3+AZ3+BD3+BH3+BL3+BP3+BT3+BX3+CB3</f>
        <v>0</v>
      </c>
      <c r="AG3" s="74"/>
      <c r="AH3" s="75">
        <f>IFERROR((AG6/AF3),0)</f>
        <v>0</v>
      </c>
      <c r="AI3" s="167"/>
      <c r="AJ3" s="168">
        <f>IFERROR(SUMPRODUCT(Plan_Orc!$I$4:$I$2002*Plan_Orc!$AB$4:$AB$2002*(Plan_Orc!$D$4:$D$2002=$B3)),0)</f>
        <v>0</v>
      </c>
      <c r="AK3" s="74"/>
      <c r="AL3" s="75">
        <f>IFERROR((AK6/AJ3),0)</f>
        <v>0</v>
      </c>
      <c r="AM3" s="167"/>
      <c r="AN3" s="168">
        <f>IFERROR(SUMPRODUCT(Plan_Orc!$I$4:$I$2002*Plan_Orc!$AC$4:$AC$2002*(Plan_Orc!$D$4:$D$2002=$B3)),0)</f>
        <v>0</v>
      </c>
      <c r="AO3" s="74"/>
      <c r="AP3" s="75">
        <f>IFERROR((AO6/AN3),0)</f>
        <v>0</v>
      </c>
      <c r="AQ3" s="167"/>
      <c r="AR3" s="168">
        <f>IFERROR(SUMPRODUCT(Plan_Orc!$I$4:$I$2002*Plan_Orc!$AD$4:$AD$2002*(Plan_Orc!$D$4:$D$2002=$B3)),0)</f>
        <v>0</v>
      </c>
      <c r="AS3" s="74"/>
      <c r="AT3" s="75">
        <f>IFERROR((AS6/AR3),0)</f>
        <v>0</v>
      </c>
      <c r="AU3" s="167"/>
      <c r="AV3" s="168">
        <f>IFERROR(SUMPRODUCT(Plan_Orc!$I$4:$I$2002*Plan_Orc!$AE$4:$AE$2002*(Plan_Orc!$D$4:$D$2002=$B3)),0)</f>
        <v>0</v>
      </c>
      <c r="AW3" s="74"/>
      <c r="AX3" s="75">
        <f>IFERROR((AW6/AV3),0)</f>
        <v>0</v>
      </c>
      <c r="AY3" s="167"/>
      <c r="AZ3" s="168">
        <f>IFERROR(SUMPRODUCT(Plan_Orc!$I$4:$I$2002*Plan_Orc!$AF$4:$AF$2002*(Plan_Orc!$D$4:$D$2002=$B3)),0)</f>
        <v>0</v>
      </c>
      <c r="BA3" s="74"/>
      <c r="BB3" s="75">
        <f>IFERROR((BA6/AZ3),0)</f>
        <v>0</v>
      </c>
      <c r="BC3" s="167"/>
      <c r="BD3" s="168">
        <f>IFERROR(SUMPRODUCT(Plan_Orc!$I$4:$I$2002*Plan_Orc!$AG$4:$AG$2002*(Plan_Orc!$D$4:$D$2002=$B3)),0)</f>
        <v>0</v>
      </c>
      <c r="BE3" s="74"/>
      <c r="BF3" s="75">
        <f>IFERROR((BE6/BD3),0)</f>
        <v>0</v>
      </c>
      <c r="BG3" s="167"/>
      <c r="BH3" s="168">
        <f>IFERROR(SUMPRODUCT(Plan_Orc!$I$4:$I$2002*Plan_Orc!$AH$4:$AH$2002*(Plan_Orc!$D$4:$D$2002=$B3)),0)</f>
        <v>0</v>
      </c>
      <c r="BI3" s="74"/>
      <c r="BJ3" s="75">
        <f>IFERROR((BI6/BH3),0)</f>
        <v>0</v>
      </c>
      <c r="BK3" s="167"/>
      <c r="BL3" s="168">
        <f>IFERROR(SUMPRODUCT(Plan_Orc!$I$4:$I$2002*Plan_Orc!$AI$4:$AI$2002*(Plan_Orc!$D$4:$D$2002=$B3)),0)</f>
        <v>0</v>
      </c>
      <c r="BM3" s="74"/>
      <c r="BN3" s="75">
        <f>IFERROR((BM6/BL3),0)</f>
        <v>0</v>
      </c>
      <c r="BO3" s="167"/>
      <c r="BP3" s="168">
        <f>IFERROR(SUMPRODUCT(Plan_Orc!$I$4:$I$2002*Plan_Orc!$AJ$4:$AJ$2002*(Plan_Orc!$D$4:$D$2002=$B3)),0)</f>
        <v>0</v>
      </c>
      <c r="BQ3" s="74"/>
      <c r="BR3" s="75">
        <f>IFERROR((BQ6/BP3),0)</f>
        <v>0</v>
      </c>
      <c r="BS3" s="167"/>
      <c r="BT3" s="168">
        <f>IFERROR(SUMPRODUCT(Plan_Orc!$I$4:$I$2002*Plan_Orc!$AK$4:$AK$2002*(Plan_Orc!$D$4:$D$2002=$B3)),0)</f>
        <v>0</v>
      </c>
      <c r="BU3" s="74"/>
      <c r="BV3" s="75">
        <f>IFERROR((BU6/BT3),0)</f>
        <v>0</v>
      </c>
      <c r="BW3" s="167"/>
      <c r="BX3" s="168">
        <f>IFERROR(SUMPRODUCT(Plan_Orc!$I$4:$I$2002*Plan_Orc!$AL$4:$AL$2002*(Plan_Orc!$D$4:$D$2002=$B3)),0)</f>
        <v>0</v>
      </c>
      <c r="BY3" s="74"/>
      <c r="BZ3" s="75">
        <f>IFERROR((BY6/BX3),0)</f>
        <v>0</v>
      </c>
      <c r="CA3" s="167"/>
      <c r="CB3" s="168">
        <f>IFERROR(SUMPRODUCT(Plan_Orc!$I$4:$I$2002*Plan_Orc!$AM$4:$AM$2002*(Plan_Orc!$D$4:$D$2002=$B3)),0)</f>
        <v>0</v>
      </c>
      <c r="CC3" s="74"/>
      <c r="CD3" s="75">
        <f>IFERROR((CC6/CB3),0)</f>
        <v>0</v>
      </c>
    </row>
    <row r="4" spans="1:82" x14ac:dyDescent="0.3">
      <c r="B4" s="32"/>
      <c r="K4" s="30"/>
      <c r="M4" s="229" t="s">
        <v>686</v>
      </c>
      <c r="N4" s="230">
        <f>+K24</f>
        <v>0</v>
      </c>
      <c r="O4" s="235">
        <f>IFERROR(N4/$N$7,0)</f>
        <v>0</v>
      </c>
      <c r="AE4" s="169"/>
      <c r="AH4" s="30"/>
      <c r="AI4" s="169"/>
      <c r="AL4" s="30"/>
      <c r="AM4" s="169"/>
      <c r="AP4" s="30"/>
      <c r="AQ4" s="169"/>
      <c r="AT4" s="30"/>
      <c r="AU4" s="169"/>
      <c r="AX4" s="30"/>
      <c r="AY4" s="169"/>
      <c r="BB4" s="30"/>
      <c r="BC4" s="169"/>
      <c r="BF4" s="30"/>
      <c r="BG4" s="169"/>
      <c r="BJ4" s="30"/>
      <c r="BK4" s="169"/>
      <c r="BN4" s="30"/>
      <c r="BO4" s="169"/>
      <c r="BR4" s="30"/>
      <c r="BS4" s="169"/>
      <c r="BV4" s="30"/>
      <c r="BW4" s="169"/>
      <c r="BZ4" s="30"/>
      <c r="CA4" s="169"/>
      <c r="CD4" s="30"/>
    </row>
    <row r="5" spans="1:82" x14ac:dyDescent="0.3">
      <c r="B5" s="69" t="s">
        <v>687</v>
      </c>
      <c r="C5" s="72"/>
      <c r="D5" s="72"/>
      <c r="E5" s="72"/>
      <c r="F5" s="70" t="s">
        <v>688</v>
      </c>
      <c r="G5" s="70" t="s">
        <v>689</v>
      </c>
      <c r="H5" s="70" t="s">
        <v>690</v>
      </c>
      <c r="I5" s="70" t="s">
        <v>691</v>
      </c>
      <c r="J5" s="70" t="s">
        <v>683</v>
      </c>
      <c r="K5" s="71" t="s">
        <v>593</v>
      </c>
      <c r="M5" s="229" t="s">
        <v>692</v>
      </c>
      <c r="N5" s="230">
        <f>+K37</f>
        <v>0</v>
      </c>
      <c r="O5" s="235">
        <f>IFERROR(N5/$N$7,0)</f>
        <v>0</v>
      </c>
      <c r="AE5" s="170"/>
      <c r="AF5" s="70" t="s">
        <v>691</v>
      </c>
      <c r="AG5" s="70" t="s">
        <v>683</v>
      </c>
      <c r="AH5" s="71" t="s">
        <v>593</v>
      </c>
      <c r="AI5" s="170"/>
      <c r="AJ5" s="70" t="s">
        <v>691</v>
      </c>
      <c r="AK5" s="70" t="s">
        <v>683</v>
      </c>
      <c r="AL5" s="71" t="s">
        <v>593</v>
      </c>
      <c r="AM5" s="170"/>
      <c r="AN5" s="70" t="s">
        <v>691</v>
      </c>
      <c r="AO5" s="70" t="s">
        <v>683</v>
      </c>
      <c r="AP5" s="71" t="s">
        <v>593</v>
      </c>
      <c r="AQ5" s="170"/>
      <c r="AR5" s="70" t="s">
        <v>691</v>
      </c>
      <c r="AS5" s="70" t="s">
        <v>683</v>
      </c>
      <c r="AT5" s="71" t="s">
        <v>593</v>
      </c>
      <c r="AU5" s="170"/>
      <c r="AV5" s="70" t="s">
        <v>691</v>
      </c>
      <c r="AW5" s="70" t="s">
        <v>683</v>
      </c>
      <c r="AX5" s="71" t="s">
        <v>593</v>
      </c>
      <c r="AY5" s="170"/>
      <c r="AZ5" s="70" t="s">
        <v>691</v>
      </c>
      <c r="BA5" s="70" t="s">
        <v>683</v>
      </c>
      <c r="BB5" s="71" t="s">
        <v>593</v>
      </c>
      <c r="BC5" s="170"/>
      <c r="BD5" s="70" t="s">
        <v>691</v>
      </c>
      <c r="BE5" s="70" t="s">
        <v>683</v>
      </c>
      <c r="BF5" s="71" t="s">
        <v>593</v>
      </c>
      <c r="BG5" s="170"/>
      <c r="BH5" s="70" t="s">
        <v>691</v>
      </c>
      <c r="BI5" s="70" t="s">
        <v>683</v>
      </c>
      <c r="BJ5" s="71" t="s">
        <v>593</v>
      </c>
      <c r="BK5" s="170"/>
      <c r="BL5" s="70" t="s">
        <v>691</v>
      </c>
      <c r="BM5" s="70" t="s">
        <v>683</v>
      </c>
      <c r="BN5" s="71" t="s">
        <v>593</v>
      </c>
      <c r="BO5" s="170"/>
      <c r="BP5" s="70" t="s">
        <v>691</v>
      </c>
      <c r="BQ5" s="70" t="s">
        <v>683</v>
      </c>
      <c r="BR5" s="71" t="s">
        <v>593</v>
      </c>
      <c r="BS5" s="170"/>
      <c r="BT5" s="70" t="s">
        <v>691</v>
      </c>
      <c r="BU5" s="70" t="s">
        <v>683</v>
      </c>
      <c r="BV5" s="71" t="s">
        <v>593</v>
      </c>
      <c r="BW5" s="170"/>
      <c r="BX5" s="70" t="s">
        <v>691</v>
      </c>
      <c r="BY5" s="70" t="s">
        <v>683</v>
      </c>
      <c r="BZ5" s="71" t="s">
        <v>593</v>
      </c>
      <c r="CA5" s="170"/>
      <c r="CB5" s="70" t="s">
        <v>691</v>
      </c>
      <c r="CC5" s="70" t="s">
        <v>683</v>
      </c>
      <c r="CD5" s="71" t="s">
        <v>593</v>
      </c>
    </row>
    <row r="6" spans="1:82" s="2" customFormat="1" ht="30" customHeight="1" x14ac:dyDescent="0.3">
      <c r="B6" s="33">
        <v>0.2</v>
      </c>
      <c r="C6" s="275"/>
      <c r="D6" s="275"/>
      <c r="E6" s="275"/>
      <c r="F6" s="27"/>
      <c r="G6" s="35">
        <v>1</v>
      </c>
      <c r="H6" s="81" t="s">
        <v>347</v>
      </c>
      <c r="I6" s="55">
        <f>IFERROR(I7/B7*B6,0)</f>
        <v>0</v>
      </c>
      <c r="J6" s="55">
        <f>K11+K24+K37+K50</f>
        <v>7044.1864145069758</v>
      </c>
      <c r="K6" s="56">
        <f>IFERROR((I6-J6)/I6-PARAMETROS!C19,0)</f>
        <v>0</v>
      </c>
      <c r="M6" s="229" t="s">
        <v>693</v>
      </c>
      <c r="N6" s="230">
        <f>+K50</f>
        <v>7044.1864145069758</v>
      </c>
      <c r="O6" s="235">
        <f>IFERROR(N6/$N$7,0)</f>
        <v>1</v>
      </c>
      <c r="AE6" s="171"/>
      <c r="AF6" s="55">
        <f>AJ6+AN6+AR6+AV6+AZ6+BD6+BH6+BL6+BP6+BT6+BX6+CB6</f>
        <v>0</v>
      </c>
      <c r="AG6" s="55">
        <f>AH11+AH24+AH37+AH50</f>
        <v>0</v>
      </c>
      <c r="AH6" s="56">
        <f>IFERROR((AF6-AG6)/AF6,0)</f>
        <v>0</v>
      </c>
      <c r="AI6" s="171"/>
      <c r="AJ6" s="55"/>
      <c r="AK6" s="55">
        <f>AL11+AL24+AL37+AL50</f>
        <v>0</v>
      </c>
      <c r="AL6" s="56">
        <f>IFERROR((AJ6-AK6)/AJ6,0)</f>
        <v>0</v>
      </c>
      <c r="AM6" s="171"/>
      <c r="AN6" s="55"/>
      <c r="AO6" s="55">
        <f>AP11+AP24+AP37+AP50</f>
        <v>0</v>
      </c>
      <c r="AP6" s="56">
        <f>IFERROR((AN6-AO6)/AN6,0)</f>
        <v>0</v>
      </c>
      <c r="AQ6" s="171"/>
      <c r="AR6" s="55"/>
      <c r="AS6" s="55">
        <f>AT11+AT24+AT37+AT50</f>
        <v>0</v>
      </c>
      <c r="AT6" s="56">
        <f>IFERROR((AR6-AS6)/AR6,0)</f>
        <v>0</v>
      </c>
      <c r="AU6" s="171"/>
      <c r="AV6" s="55"/>
      <c r="AW6" s="55">
        <f>AX11+AX24+AX37+AX50</f>
        <v>0</v>
      </c>
      <c r="AX6" s="56">
        <f>IFERROR((AV6-AW6)/AV6,0)</f>
        <v>0</v>
      </c>
      <c r="AY6" s="171"/>
      <c r="AZ6" s="55"/>
      <c r="BA6" s="55">
        <f>BB11+BB24+BB37+BB50</f>
        <v>0</v>
      </c>
      <c r="BB6" s="56">
        <f>IFERROR((AZ6-BA6)/AZ6,0)</f>
        <v>0</v>
      </c>
      <c r="BC6" s="171"/>
      <c r="BD6" s="55"/>
      <c r="BE6" s="55">
        <f>BF11+BF24+BF37+BF50</f>
        <v>0</v>
      </c>
      <c r="BF6" s="56">
        <f>IFERROR((BD6-BE6)/BD6,0)</f>
        <v>0</v>
      </c>
      <c r="BG6" s="171"/>
      <c r="BH6" s="55"/>
      <c r="BI6" s="55">
        <f>BJ11+BJ24+BJ37+BJ50</f>
        <v>0</v>
      </c>
      <c r="BJ6" s="56">
        <f>IFERROR((BH6-BI6)/BH6,0)</f>
        <v>0</v>
      </c>
      <c r="BK6" s="171"/>
      <c r="BL6" s="55"/>
      <c r="BM6" s="55">
        <f>BN11+BN24+BN37+BN50</f>
        <v>0</v>
      </c>
      <c r="BN6" s="56">
        <f>IFERROR((BL6-BM6)/BL6,0)</f>
        <v>0</v>
      </c>
      <c r="BO6" s="171"/>
      <c r="BP6" s="55"/>
      <c r="BQ6" s="55">
        <f>BR11+BR24+BR37+BR50</f>
        <v>0</v>
      </c>
      <c r="BR6" s="56">
        <f>IFERROR((BP6-BQ6)/BP6,0)</f>
        <v>0</v>
      </c>
      <c r="BS6" s="171"/>
      <c r="BT6" s="55"/>
      <c r="BU6" s="55">
        <f>BV11+BV24+BV37+BV50</f>
        <v>0</v>
      </c>
      <c r="BV6" s="56">
        <f>IFERROR((BT6-BU6)/BT6,0)</f>
        <v>0</v>
      </c>
      <c r="BW6" s="171"/>
      <c r="BX6" s="55"/>
      <c r="BY6" s="55">
        <f>BZ11+BZ24+BZ37+BZ50</f>
        <v>0</v>
      </c>
      <c r="BZ6" s="56">
        <f>IFERROR((BX6-BY6)/BX6,0)</f>
        <v>0</v>
      </c>
      <c r="CA6" s="171"/>
      <c r="CB6" s="55"/>
      <c r="CC6" s="55">
        <f>CD11+CD24+CD37+CD50</f>
        <v>0</v>
      </c>
      <c r="CD6" s="56">
        <f>IFERROR((CB6-CC6)/CB6,0)</f>
        <v>0</v>
      </c>
    </row>
    <row r="7" spans="1:82" s="2" customFormat="1" ht="30" customHeight="1" thickBot="1" x14ac:dyDescent="0.35">
      <c r="B7" s="34">
        <f>IFERROR(VLOOKUP(B3,Lucratividade!G4:N853,2,0),0)</f>
        <v>0</v>
      </c>
      <c r="C7" s="276"/>
      <c r="D7" s="276"/>
      <c r="E7" s="276"/>
      <c r="F7" s="50"/>
      <c r="G7" s="36">
        <f>IFERROR(B7/B6,0)</f>
        <v>0</v>
      </c>
      <c r="H7" s="82" t="s">
        <v>347</v>
      </c>
      <c r="I7" s="57">
        <f>IFERROR(VLOOKUP(B3,Lucratividade!G4:N132,6,0),0)</f>
        <v>0</v>
      </c>
      <c r="J7" s="58">
        <f>B7*K3</f>
        <v>0</v>
      </c>
      <c r="K7" s="59">
        <f>IFERROR((I7-J7)/I7-PARAMETROS!C19,0)</f>
        <v>0</v>
      </c>
      <c r="M7" s="231" t="s">
        <v>694</v>
      </c>
      <c r="N7" s="232">
        <f>SUM(N3:N6)</f>
        <v>7044.1864145069758</v>
      </c>
      <c r="O7" s="236"/>
      <c r="AE7" s="172"/>
      <c r="AF7" s="57"/>
      <c r="AG7" s="58"/>
      <c r="AH7" s="59"/>
      <c r="AI7" s="172"/>
      <c r="AJ7" s="57"/>
      <c r="AK7" s="58"/>
      <c r="AL7" s="59"/>
      <c r="AM7" s="172"/>
      <c r="AN7" s="57"/>
      <c r="AO7" s="58"/>
      <c r="AP7" s="59"/>
      <c r="AQ7" s="172"/>
      <c r="AR7" s="57"/>
      <c r="AS7" s="58"/>
      <c r="AT7" s="59"/>
      <c r="AU7" s="172"/>
      <c r="AV7" s="57"/>
      <c r="AW7" s="58"/>
      <c r="AX7" s="59"/>
      <c r="AY7" s="172"/>
      <c r="AZ7" s="57"/>
      <c r="BA7" s="58"/>
      <c r="BB7" s="59"/>
      <c r="BC7" s="172"/>
      <c r="BD7" s="57"/>
      <c r="BE7" s="58"/>
      <c r="BF7" s="59"/>
      <c r="BG7" s="172"/>
      <c r="BH7" s="57"/>
      <c r="BI7" s="58"/>
      <c r="BJ7" s="59"/>
      <c r="BK7" s="172"/>
      <c r="BL7" s="57"/>
      <c r="BM7" s="58"/>
      <c r="BN7" s="59"/>
      <c r="BO7" s="172"/>
      <c r="BP7" s="57"/>
      <c r="BQ7" s="58"/>
      <c r="BR7" s="59"/>
      <c r="BS7" s="172"/>
      <c r="BT7" s="57"/>
      <c r="BU7" s="58"/>
      <c r="BV7" s="59"/>
      <c r="BW7" s="172"/>
      <c r="BX7" s="57"/>
      <c r="BY7" s="58"/>
      <c r="BZ7" s="59"/>
      <c r="CA7" s="172"/>
      <c r="CB7" s="57"/>
      <c r="CC7" s="58"/>
      <c r="CD7" s="59"/>
    </row>
    <row r="8" spans="1:82" ht="4.2" customHeight="1" x14ac:dyDescent="0.3">
      <c r="AE8" s="28"/>
      <c r="AI8" s="28"/>
      <c r="AM8" s="28"/>
      <c r="AQ8" s="28"/>
      <c r="AU8" s="28"/>
      <c r="AY8" s="28"/>
      <c r="BC8" s="28"/>
      <c r="BG8" s="28"/>
      <c r="BK8" s="28"/>
      <c r="BO8" s="28"/>
      <c r="BS8" s="28"/>
      <c r="BW8" s="28"/>
      <c r="CA8" s="28"/>
    </row>
    <row r="9" spans="1:82" ht="4.95" customHeight="1" thickBot="1" x14ac:dyDescent="0.35">
      <c r="AE9" s="28"/>
      <c r="AI9" s="28"/>
      <c r="AM9" s="28"/>
      <c r="AQ9" s="28"/>
      <c r="AU9" s="28"/>
      <c r="AY9" s="28"/>
      <c r="BC9" s="28"/>
      <c r="BG9" s="28"/>
      <c r="BK9" s="28"/>
      <c r="BO9" s="28"/>
      <c r="BS9" s="28"/>
      <c r="BW9" s="28"/>
      <c r="CA9" s="28"/>
    </row>
    <row r="10" spans="1:82" ht="15" thickBot="1" x14ac:dyDescent="0.35">
      <c r="B10" s="72" t="s">
        <v>695</v>
      </c>
      <c r="C10" s="72" t="s">
        <v>679</v>
      </c>
      <c r="D10" s="72" t="s">
        <v>696</v>
      </c>
      <c r="E10" s="72" t="s">
        <v>697</v>
      </c>
      <c r="F10" s="72" t="s">
        <v>17</v>
      </c>
      <c r="G10" s="70" t="s">
        <v>690</v>
      </c>
      <c r="H10" s="70" t="s">
        <v>698</v>
      </c>
      <c r="I10" s="72" t="s">
        <v>20</v>
      </c>
      <c r="J10" s="72" t="s">
        <v>699</v>
      </c>
      <c r="K10" s="72" t="s">
        <v>700</v>
      </c>
      <c r="M10" s="83" t="s">
        <v>701</v>
      </c>
      <c r="N10" s="87" t="s">
        <v>702</v>
      </c>
      <c r="AD10" s="173" t="s">
        <v>703</v>
      </c>
      <c r="AE10" s="170" t="s">
        <v>698</v>
      </c>
      <c r="AF10" s="70" t="s">
        <v>20</v>
      </c>
      <c r="AG10" s="70" t="s">
        <v>699</v>
      </c>
      <c r="AH10" s="70" t="s">
        <v>700</v>
      </c>
      <c r="AI10" s="173" t="s">
        <v>704</v>
      </c>
      <c r="AJ10" s="174" t="s">
        <v>705</v>
      </c>
      <c r="AK10" s="174" t="s">
        <v>706</v>
      </c>
      <c r="AL10" s="175" t="s">
        <v>707</v>
      </c>
      <c r="AM10" s="173" t="s">
        <v>708</v>
      </c>
      <c r="AN10" s="174" t="s">
        <v>709</v>
      </c>
      <c r="AO10" s="174" t="s">
        <v>710</v>
      </c>
      <c r="AP10" s="175" t="s">
        <v>711</v>
      </c>
      <c r="AQ10" s="173" t="s">
        <v>712</v>
      </c>
      <c r="AR10" s="174" t="s">
        <v>713</v>
      </c>
      <c r="AS10" s="174" t="s">
        <v>714</v>
      </c>
      <c r="AT10" s="175" t="s">
        <v>715</v>
      </c>
      <c r="AU10" s="173" t="s">
        <v>716</v>
      </c>
      <c r="AV10" s="174" t="s">
        <v>717</v>
      </c>
      <c r="AW10" s="174" t="s">
        <v>718</v>
      </c>
      <c r="AX10" s="175" t="s">
        <v>719</v>
      </c>
      <c r="AY10" s="173" t="s">
        <v>720</v>
      </c>
      <c r="AZ10" s="174" t="s">
        <v>721</v>
      </c>
      <c r="BA10" s="174" t="s">
        <v>722</v>
      </c>
      <c r="BB10" s="175" t="s">
        <v>723</v>
      </c>
      <c r="BC10" s="173" t="s">
        <v>724</v>
      </c>
      <c r="BD10" s="174" t="s">
        <v>725</v>
      </c>
      <c r="BE10" s="174" t="s">
        <v>726</v>
      </c>
      <c r="BF10" s="175" t="s">
        <v>727</v>
      </c>
      <c r="BG10" s="173" t="s">
        <v>728</v>
      </c>
      <c r="BH10" s="174" t="s">
        <v>729</v>
      </c>
      <c r="BI10" s="174" t="s">
        <v>730</v>
      </c>
      <c r="BJ10" s="175" t="s">
        <v>731</v>
      </c>
      <c r="BK10" s="173" t="s">
        <v>732</v>
      </c>
      <c r="BL10" s="174" t="s">
        <v>733</v>
      </c>
      <c r="BM10" s="174" t="s">
        <v>734</v>
      </c>
      <c r="BN10" s="175" t="s">
        <v>735</v>
      </c>
      <c r="BO10" s="173" t="s">
        <v>736</v>
      </c>
      <c r="BP10" s="174" t="s">
        <v>737</v>
      </c>
      <c r="BQ10" s="174" t="s">
        <v>738</v>
      </c>
      <c r="BR10" s="175" t="s">
        <v>739</v>
      </c>
      <c r="BS10" s="173" t="s">
        <v>740</v>
      </c>
      <c r="BT10" s="174" t="s">
        <v>741</v>
      </c>
      <c r="BU10" s="174" t="s">
        <v>742</v>
      </c>
      <c r="BV10" s="175" t="s">
        <v>743</v>
      </c>
      <c r="BW10" s="173" t="s">
        <v>744</v>
      </c>
      <c r="BX10" s="174" t="s">
        <v>745</v>
      </c>
      <c r="BY10" s="174" t="s">
        <v>746</v>
      </c>
      <c r="BZ10" s="175" t="s">
        <v>747</v>
      </c>
      <c r="CA10" s="173" t="s">
        <v>748</v>
      </c>
      <c r="CB10" s="174" t="s">
        <v>749</v>
      </c>
      <c r="CC10" s="174" t="s">
        <v>750</v>
      </c>
      <c r="CD10" s="174" t="s">
        <v>751</v>
      </c>
    </row>
    <row r="11" spans="1:82" x14ac:dyDescent="0.3">
      <c r="B11" s="52" t="s">
        <v>752</v>
      </c>
      <c r="C11" s="52" t="str">
        <f t="shared" ref="C11:C62" si="0">$A$3</f>
        <v>CPU_CapaConcreto</v>
      </c>
      <c r="D11" s="277">
        <f t="shared" ref="D11:D62" si="1">$B$6</f>
        <v>0.2</v>
      </c>
      <c r="E11" s="277">
        <f t="shared" ref="E11:E62" si="2">$B$7</f>
        <v>0</v>
      </c>
      <c r="F11" s="37"/>
      <c r="G11" s="38"/>
      <c r="H11" s="91"/>
      <c r="I11" s="40"/>
      <c r="J11" s="40">
        <f>IFERROR(K11/$B$6,0)</f>
        <v>0</v>
      </c>
      <c r="K11" s="40">
        <f>SUM(K12:K23)</f>
        <v>0</v>
      </c>
      <c r="M11" s="294" t="s">
        <v>753</v>
      </c>
      <c r="N11" s="295" t="s">
        <v>754</v>
      </c>
      <c r="O11" s="296" t="s">
        <v>755</v>
      </c>
      <c r="AD11" s="144" t="str">
        <f>$B$3</f>
        <v>Capa Concreto</v>
      </c>
      <c r="AE11" s="176"/>
      <c r="AF11" s="177"/>
      <c r="AG11" s="177">
        <f>IFERROR(AH11/AF$3,0)</f>
        <v>0</v>
      </c>
      <c r="AH11" s="178">
        <f>SUM(AH12:AH23)</f>
        <v>0</v>
      </c>
      <c r="AI11" s="176"/>
      <c r="AJ11" s="177"/>
      <c r="AK11" s="177">
        <f>IFERROR(AL11/AJ$3,0)</f>
        <v>0</v>
      </c>
      <c r="AL11" s="178">
        <f>SUM(AL12:AL23)</f>
        <v>0</v>
      </c>
      <c r="AM11" s="176"/>
      <c r="AN11" s="177"/>
      <c r="AO11" s="177">
        <f>IFERROR(AP11/AN$3,0)</f>
        <v>0</v>
      </c>
      <c r="AP11" s="178">
        <f>SUM(AP12:AP23)</f>
        <v>0</v>
      </c>
      <c r="AQ11" s="176"/>
      <c r="AR11" s="177"/>
      <c r="AS11" s="177">
        <f>IFERROR(AT11/AR$3,0)</f>
        <v>0</v>
      </c>
      <c r="AT11" s="178">
        <f>SUM(AT12:AT23)</f>
        <v>0</v>
      </c>
      <c r="AU11" s="176"/>
      <c r="AV11" s="177"/>
      <c r="AW11" s="177">
        <f>IFERROR(AX11/AV$3,0)</f>
        <v>0</v>
      </c>
      <c r="AX11" s="178">
        <f>SUM(AX12:AX23)</f>
        <v>0</v>
      </c>
      <c r="AY11" s="176"/>
      <c r="AZ11" s="177"/>
      <c r="BA11" s="177">
        <f>IFERROR(BB11/AZ$3,0)</f>
        <v>0</v>
      </c>
      <c r="BB11" s="178">
        <f>SUM(BB12:BB23)</f>
        <v>0</v>
      </c>
      <c r="BC11" s="176"/>
      <c r="BD11" s="177"/>
      <c r="BE11" s="177">
        <f>IFERROR(BF11/BD$3,0)</f>
        <v>0</v>
      </c>
      <c r="BF11" s="178">
        <f>SUM(BF12:BF23)</f>
        <v>0</v>
      </c>
      <c r="BG11" s="176"/>
      <c r="BH11" s="177"/>
      <c r="BI11" s="177">
        <f>IFERROR(BJ11/BH$3,0)</f>
        <v>0</v>
      </c>
      <c r="BJ11" s="178">
        <f>SUM(BJ12:BJ23)</f>
        <v>0</v>
      </c>
      <c r="BK11" s="176"/>
      <c r="BL11" s="177"/>
      <c r="BM11" s="177">
        <f>IFERROR(BN11/BL$3,0)</f>
        <v>0</v>
      </c>
      <c r="BN11" s="178">
        <f>SUM(BN12:BN23)</f>
        <v>0</v>
      </c>
      <c r="BO11" s="176"/>
      <c r="BP11" s="177"/>
      <c r="BQ11" s="177">
        <f>IFERROR(BR11/BP$3,0)</f>
        <v>0</v>
      </c>
      <c r="BR11" s="178">
        <f>SUM(BR12:BR23)</f>
        <v>0</v>
      </c>
      <c r="BS11" s="176"/>
      <c r="BT11" s="177"/>
      <c r="BU11" s="177">
        <f>IFERROR(BV11/BT$3,0)</f>
        <v>0</v>
      </c>
      <c r="BV11" s="178">
        <f>SUM(BV12:BV23)</f>
        <v>0</v>
      </c>
      <c r="BW11" s="176"/>
      <c r="BX11" s="177"/>
      <c r="BY11" s="177">
        <f>IFERROR(BZ11/BX$3,0)</f>
        <v>0</v>
      </c>
      <c r="BZ11" s="178">
        <f>SUM(BZ12:BZ23)</f>
        <v>0</v>
      </c>
      <c r="CA11" s="176"/>
      <c r="CB11" s="177"/>
      <c r="CC11" s="177">
        <f>IFERROR(CD11/CB$3,0)</f>
        <v>0</v>
      </c>
      <c r="CD11" s="178">
        <f>SUM(CD12:CD23)</f>
        <v>0</v>
      </c>
    </row>
    <row r="12" spans="1:82" x14ac:dyDescent="0.3">
      <c r="B12" s="53"/>
      <c r="C12" s="53" t="str">
        <f t="shared" si="0"/>
        <v>CPU_CapaConcreto</v>
      </c>
      <c r="D12" s="278">
        <f t="shared" si="1"/>
        <v>0.2</v>
      </c>
      <c r="E12" s="278">
        <f t="shared" si="2"/>
        <v>0</v>
      </c>
      <c r="F12" s="46" t="s">
        <v>794</v>
      </c>
      <c r="G12" s="28" t="str">
        <f>IFERROR(VLOOKUP(F12,Tabela7[[RECURSO]:[CUSTO]],2,FALSE),"")</f>
        <v>H</v>
      </c>
      <c r="H12" s="92"/>
      <c r="I12" s="90">
        <f>200/22</f>
        <v>9.0909090909090917</v>
      </c>
      <c r="J12" s="45">
        <f>IFERROR(VLOOKUP(F12,Tabela7[[RECURSO]:[CUSTO]],3,FALSE),0)</f>
        <v>80</v>
      </c>
      <c r="K12" s="45">
        <f>I12*J12*CPU_43[[#This Row],[Nº]]</f>
        <v>0</v>
      </c>
      <c r="M12" s="31"/>
      <c r="N12" s="297"/>
      <c r="O12" s="60">
        <f>IFERROR($B$6/(H12*I12*N12),0)</f>
        <v>0</v>
      </c>
      <c r="AD12" s="144" t="str">
        <f t="shared" ref="AD12:AD62" si="3">$B$3</f>
        <v>Capa Concreto</v>
      </c>
      <c r="AE12" s="179"/>
      <c r="AF12" s="180">
        <f>AJ12+AN12+AR12+AV12+AZ12+BD12+BH12+BL12+BP12+BT12+BX12+CB12</f>
        <v>0</v>
      </c>
      <c r="AG12" s="180">
        <f>IFERROR(AH12/AF12,0)</f>
        <v>0</v>
      </c>
      <c r="AH12" s="181">
        <f>AL12+AP12+AT12+AX12+BB12+BF12+BJ12+BN12+BR12+BV12+BZ12+CD12</f>
        <v>0</v>
      </c>
      <c r="AI12" s="182"/>
      <c r="AJ12" s="90"/>
      <c r="AK12" s="90"/>
      <c r="AL12" s="183">
        <f>AJ12*AK12</f>
        <v>0</v>
      </c>
      <c r="AM12" s="182"/>
      <c r="AN12" s="90"/>
      <c r="AO12" s="90"/>
      <c r="AP12" s="183">
        <f t="shared" ref="AP12:AP23" si="4">AN12*AO12</f>
        <v>0</v>
      </c>
      <c r="AQ12" s="182"/>
      <c r="AR12" s="90"/>
      <c r="AS12" s="90"/>
      <c r="AT12" s="183">
        <f t="shared" ref="AT12:AT23" si="5">AR12*AS12</f>
        <v>0</v>
      </c>
      <c r="AU12" s="182"/>
      <c r="AV12" s="90"/>
      <c r="AW12" s="90"/>
      <c r="AX12" s="183">
        <f t="shared" ref="AX12:AX23" si="6">AV12*AW12</f>
        <v>0</v>
      </c>
      <c r="AY12" s="182"/>
      <c r="AZ12" s="90"/>
      <c r="BA12" s="90"/>
      <c r="BB12" s="183">
        <f t="shared" ref="BB12:BB23" si="7">AZ12*BA12</f>
        <v>0</v>
      </c>
      <c r="BC12" s="182"/>
      <c r="BD12" s="90"/>
      <c r="BE12" s="90"/>
      <c r="BF12" s="183">
        <f t="shared" ref="BF12:BF23" si="8">BD12*BE12</f>
        <v>0</v>
      </c>
      <c r="BG12" s="182"/>
      <c r="BH12" s="90"/>
      <c r="BI12" s="90"/>
      <c r="BJ12" s="183">
        <f t="shared" ref="BJ12:BJ23" si="9">BH12*BI12</f>
        <v>0</v>
      </c>
      <c r="BK12" s="182"/>
      <c r="BL12" s="90"/>
      <c r="BM12" s="90"/>
      <c r="BN12" s="183">
        <f t="shared" ref="BN12:BN23" si="10">BL12*BM12</f>
        <v>0</v>
      </c>
      <c r="BO12" s="182"/>
      <c r="BP12" s="90"/>
      <c r="BQ12" s="90"/>
      <c r="BR12" s="183">
        <f t="shared" ref="BR12:BR23" si="11">BP12*BQ12</f>
        <v>0</v>
      </c>
      <c r="BS12" s="182"/>
      <c r="BT12" s="90"/>
      <c r="BU12" s="90"/>
      <c r="BV12" s="183">
        <f t="shared" ref="BV12:BV23" si="12">BT12*BU12</f>
        <v>0</v>
      </c>
      <c r="BW12" s="182"/>
      <c r="BX12" s="90"/>
      <c r="BY12" s="90"/>
      <c r="BZ12" s="183">
        <f t="shared" ref="BZ12:BZ23" si="13">BX12*BY12</f>
        <v>0</v>
      </c>
      <c r="CA12" s="182"/>
      <c r="CB12" s="90"/>
      <c r="CC12" s="90"/>
      <c r="CD12" s="183">
        <f t="shared" ref="CD12:CD23" si="14">CB12*CC12</f>
        <v>0</v>
      </c>
    </row>
    <row r="13" spans="1:82" x14ac:dyDescent="0.3">
      <c r="B13" s="53"/>
      <c r="C13" s="53" t="str">
        <f t="shared" si="0"/>
        <v>CPU_CapaConcreto</v>
      </c>
      <c r="D13" s="278">
        <f t="shared" si="1"/>
        <v>0.2</v>
      </c>
      <c r="E13" s="278">
        <f t="shared" si="2"/>
        <v>0</v>
      </c>
      <c r="F13" s="1"/>
      <c r="G13" s="28" t="str">
        <f>IFERROR(VLOOKUP(F13,Tabela7[[RECURSO]:[CUSTO]],2,FALSE),"")</f>
        <v/>
      </c>
      <c r="H13" s="92"/>
      <c r="I13" s="90"/>
      <c r="J13" s="45">
        <f>IFERROR(VLOOKUP(F13,Tabela7[[RECURSO]:[CUSTO]],3,FALSE),0)</f>
        <v>0</v>
      </c>
      <c r="K13" s="45">
        <f>I13*J13*CPU_43[[#This Row],[Nº]]</f>
        <v>0</v>
      </c>
      <c r="M13" s="31"/>
      <c r="N13" s="297"/>
      <c r="O13" s="60">
        <f t="shared" ref="O13:O23" si="15">IFERROR($B$6/(H13*I13),0)</f>
        <v>0</v>
      </c>
      <c r="AD13" s="144" t="str">
        <f t="shared" si="3"/>
        <v>Capa Concreto</v>
      </c>
      <c r="AE13" s="179"/>
      <c r="AF13" s="180">
        <f t="shared" ref="AF13:AF23" si="16">AJ13+AN13+AR13+AV13+AZ13+BD13+BH13+BL13+BP13+BT13+BX13+CB13</f>
        <v>0</v>
      </c>
      <c r="AG13" s="180">
        <f t="shared" ref="AG13:AG62" si="17">IFERROR(AH13/AF13,0)</f>
        <v>0</v>
      </c>
      <c r="AH13" s="181">
        <f t="shared" ref="AH13:AH23" si="18">AL13+AP13+AT13+AX13+BB13+BF13+BJ13+BN13+BR13+BV13+BZ13+CD13</f>
        <v>0</v>
      </c>
      <c r="AI13" s="182"/>
      <c r="AJ13" s="90"/>
      <c r="AK13" s="90"/>
      <c r="AL13" s="183">
        <f t="shared" ref="AL13:AL23" si="19">AJ13*AK13</f>
        <v>0</v>
      </c>
      <c r="AM13" s="182"/>
      <c r="AN13" s="90"/>
      <c r="AO13" s="90"/>
      <c r="AP13" s="183">
        <f t="shared" si="4"/>
        <v>0</v>
      </c>
      <c r="AQ13" s="182"/>
      <c r="AR13" s="90"/>
      <c r="AS13" s="90"/>
      <c r="AT13" s="183">
        <f t="shared" si="5"/>
        <v>0</v>
      </c>
      <c r="AU13" s="182"/>
      <c r="AV13" s="90"/>
      <c r="AW13" s="90"/>
      <c r="AX13" s="183">
        <f t="shared" si="6"/>
        <v>0</v>
      </c>
      <c r="AY13" s="182"/>
      <c r="AZ13" s="90"/>
      <c r="BA13" s="90"/>
      <c r="BB13" s="183">
        <f t="shared" si="7"/>
        <v>0</v>
      </c>
      <c r="BC13" s="182"/>
      <c r="BD13" s="90"/>
      <c r="BE13" s="90"/>
      <c r="BF13" s="183">
        <f t="shared" si="8"/>
        <v>0</v>
      </c>
      <c r="BG13" s="182"/>
      <c r="BH13" s="90"/>
      <c r="BI13" s="90"/>
      <c r="BJ13" s="183">
        <f t="shared" si="9"/>
        <v>0</v>
      </c>
      <c r="BK13" s="182"/>
      <c r="BL13" s="90"/>
      <c r="BM13" s="90"/>
      <c r="BN13" s="183">
        <f t="shared" si="10"/>
        <v>0</v>
      </c>
      <c r="BO13" s="182"/>
      <c r="BP13" s="90"/>
      <c r="BQ13" s="90"/>
      <c r="BR13" s="183">
        <f t="shared" si="11"/>
        <v>0</v>
      </c>
      <c r="BS13" s="182"/>
      <c r="BT13" s="90"/>
      <c r="BU13" s="90"/>
      <c r="BV13" s="183">
        <f t="shared" si="12"/>
        <v>0</v>
      </c>
      <c r="BW13" s="182"/>
      <c r="BX13" s="90"/>
      <c r="BY13" s="90"/>
      <c r="BZ13" s="183">
        <f t="shared" si="13"/>
        <v>0</v>
      </c>
      <c r="CA13" s="182"/>
      <c r="CB13" s="90"/>
      <c r="CC13" s="90"/>
      <c r="CD13" s="183">
        <f t="shared" si="14"/>
        <v>0</v>
      </c>
    </row>
    <row r="14" spans="1:82" x14ac:dyDescent="0.3">
      <c r="B14" s="53"/>
      <c r="C14" s="53" t="str">
        <f t="shared" si="0"/>
        <v>CPU_CapaConcreto</v>
      </c>
      <c r="D14" s="278">
        <f t="shared" si="1"/>
        <v>0.2</v>
      </c>
      <c r="E14" s="278">
        <f t="shared" si="2"/>
        <v>0</v>
      </c>
      <c r="F14" s="1"/>
      <c r="G14" s="28" t="str">
        <f>IFERROR(VLOOKUP(F14,Tabela7[[RECURSO]:[CUSTO]],2,FALSE),"")</f>
        <v/>
      </c>
      <c r="H14" s="92"/>
      <c r="I14" s="90"/>
      <c r="J14" s="45">
        <f>IFERROR(VLOOKUP(F14,Tabela7[[RECURSO]:[CUSTO]],3,FALSE),0)</f>
        <v>0</v>
      </c>
      <c r="K14" s="45">
        <f>I14*J14*CPU_43[[#This Row],[Nº]]</f>
        <v>0</v>
      </c>
      <c r="M14" s="31"/>
      <c r="N14" s="297"/>
      <c r="O14" s="60">
        <f t="shared" si="15"/>
        <v>0</v>
      </c>
      <c r="AD14" s="144" t="str">
        <f t="shared" si="3"/>
        <v>Capa Concreto</v>
      </c>
      <c r="AE14" s="179"/>
      <c r="AF14" s="180">
        <f t="shared" si="16"/>
        <v>0</v>
      </c>
      <c r="AG14" s="180">
        <f t="shared" si="17"/>
        <v>0</v>
      </c>
      <c r="AH14" s="181">
        <f t="shared" si="18"/>
        <v>0</v>
      </c>
      <c r="AI14" s="182"/>
      <c r="AJ14" s="90"/>
      <c r="AK14" s="90"/>
      <c r="AL14" s="183">
        <f t="shared" si="19"/>
        <v>0</v>
      </c>
      <c r="AM14" s="182"/>
      <c r="AN14" s="90"/>
      <c r="AO14" s="90"/>
      <c r="AP14" s="183">
        <f t="shared" si="4"/>
        <v>0</v>
      </c>
      <c r="AQ14" s="182"/>
      <c r="AR14" s="90"/>
      <c r="AS14" s="90"/>
      <c r="AT14" s="183">
        <f t="shared" si="5"/>
        <v>0</v>
      </c>
      <c r="AU14" s="182"/>
      <c r="AV14" s="90"/>
      <c r="AW14" s="90"/>
      <c r="AX14" s="183">
        <f t="shared" si="6"/>
        <v>0</v>
      </c>
      <c r="AY14" s="182"/>
      <c r="AZ14" s="90"/>
      <c r="BA14" s="90"/>
      <c r="BB14" s="183">
        <f t="shared" si="7"/>
        <v>0</v>
      </c>
      <c r="BC14" s="182"/>
      <c r="BD14" s="90"/>
      <c r="BE14" s="90"/>
      <c r="BF14" s="183">
        <f t="shared" si="8"/>
        <v>0</v>
      </c>
      <c r="BG14" s="182"/>
      <c r="BH14" s="90"/>
      <c r="BI14" s="90"/>
      <c r="BJ14" s="183">
        <f t="shared" si="9"/>
        <v>0</v>
      </c>
      <c r="BK14" s="182"/>
      <c r="BL14" s="90"/>
      <c r="BM14" s="90"/>
      <c r="BN14" s="183">
        <f t="shared" si="10"/>
        <v>0</v>
      </c>
      <c r="BO14" s="182"/>
      <c r="BP14" s="90"/>
      <c r="BQ14" s="90"/>
      <c r="BR14" s="183">
        <f t="shared" si="11"/>
        <v>0</v>
      </c>
      <c r="BS14" s="182"/>
      <c r="BT14" s="90"/>
      <c r="BU14" s="90"/>
      <c r="BV14" s="183">
        <f t="shared" si="12"/>
        <v>0</v>
      </c>
      <c r="BW14" s="182"/>
      <c r="BX14" s="90"/>
      <c r="BY14" s="90"/>
      <c r="BZ14" s="183">
        <f t="shared" si="13"/>
        <v>0</v>
      </c>
      <c r="CA14" s="182"/>
      <c r="CB14" s="90"/>
      <c r="CC14" s="90"/>
      <c r="CD14" s="183">
        <f t="shared" si="14"/>
        <v>0</v>
      </c>
    </row>
    <row r="15" spans="1:82" x14ac:dyDescent="0.3">
      <c r="B15" s="153"/>
      <c r="C15" s="153" t="str">
        <f t="shared" si="0"/>
        <v>CPU_CapaConcreto</v>
      </c>
      <c r="D15" s="279">
        <f t="shared" si="1"/>
        <v>0.2</v>
      </c>
      <c r="E15" s="279">
        <f t="shared" si="2"/>
        <v>0</v>
      </c>
      <c r="F15" s="1"/>
      <c r="G15" s="28" t="str">
        <f>IFERROR(VLOOKUP(F15,Tabela7[[RECURSO]:[CUSTO]],2,FALSE),"")</f>
        <v/>
      </c>
      <c r="H15" s="92"/>
      <c r="I15" s="90"/>
      <c r="J15" s="45">
        <f>IFERROR(VLOOKUP(F15,Tabela7[[RECURSO]:[CUSTO]],3,FALSE),0)</f>
        <v>0</v>
      </c>
      <c r="K15" s="45">
        <f>I15*J15*CPU_43[[#This Row],[Nº]]</f>
        <v>0</v>
      </c>
      <c r="M15" s="31"/>
      <c r="N15" s="297"/>
      <c r="O15" s="60">
        <f t="shared" si="15"/>
        <v>0</v>
      </c>
      <c r="AD15" s="144" t="str">
        <f t="shared" si="3"/>
        <v>Capa Concreto</v>
      </c>
      <c r="AE15" s="179"/>
      <c r="AF15" s="180">
        <f t="shared" si="16"/>
        <v>0</v>
      </c>
      <c r="AG15" s="180">
        <f t="shared" si="17"/>
        <v>0</v>
      </c>
      <c r="AH15" s="181">
        <f t="shared" si="18"/>
        <v>0</v>
      </c>
      <c r="AI15" s="182"/>
      <c r="AJ15" s="90"/>
      <c r="AK15" s="90"/>
      <c r="AL15" s="183">
        <f t="shared" si="19"/>
        <v>0</v>
      </c>
      <c r="AM15" s="182"/>
      <c r="AN15" s="90"/>
      <c r="AO15" s="90"/>
      <c r="AP15" s="183">
        <f t="shared" si="4"/>
        <v>0</v>
      </c>
      <c r="AQ15" s="182"/>
      <c r="AR15" s="90"/>
      <c r="AS15" s="90"/>
      <c r="AT15" s="183">
        <f t="shared" si="5"/>
        <v>0</v>
      </c>
      <c r="AU15" s="182"/>
      <c r="AV15" s="90"/>
      <c r="AW15" s="90"/>
      <c r="AX15" s="183">
        <f t="shared" si="6"/>
        <v>0</v>
      </c>
      <c r="AY15" s="182"/>
      <c r="AZ15" s="90"/>
      <c r="BA15" s="90"/>
      <c r="BB15" s="183">
        <f t="shared" si="7"/>
        <v>0</v>
      </c>
      <c r="BC15" s="182"/>
      <c r="BD15" s="90"/>
      <c r="BE15" s="90"/>
      <c r="BF15" s="183">
        <f t="shared" si="8"/>
        <v>0</v>
      </c>
      <c r="BG15" s="182"/>
      <c r="BH15" s="90"/>
      <c r="BI15" s="90"/>
      <c r="BJ15" s="183">
        <f t="shared" si="9"/>
        <v>0</v>
      </c>
      <c r="BK15" s="182"/>
      <c r="BL15" s="90"/>
      <c r="BM15" s="90"/>
      <c r="BN15" s="183">
        <f t="shared" si="10"/>
        <v>0</v>
      </c>
      <c r="BO15" s="182"/>
      <c r="BP15" s="90"/>
      <c r="BQ15" s="90"/>
      <c r="BR15" s="183">
        <f t="shared" si="11"/>
        <v>0</v>
      </c>
      <c r="BS15" s="182"/>
      <c r="BT15" s="90"/>
      <c r="BU15" s="90"/>
      <c r="BV15" s="183">
        <f t="shared" si="12"/>
        <v>0</v>
      </c>
      <c r="BW15" s="182"/>
      <c r="BX15" s="90"/>
      <c r="BY15" s="90"/>
      <c r="BZ15" s="183">
        <f t="shared" si="13"/>
        <v>0</v>
      </c>
      <c r="CA15" s="182"/>
      <c r="CB15" s="90"/>
      <c r="CC15" s="90"/>
      <c r="CD15" s="183">
        <f t="shared" si="14"/>
        <v>0</v>
      </c>
    </row>
    <row r="16" spans="1:82" x14ac:dyDescent="0.3">
      <c r="B16" s="53"/>
      <c r="C16" s="53" t="str">
        <f t="shared" si="0"/>
        <v>CPU_CapaConcreto</v>
      </c>
      <c r="D16" s="278">
        <f t="shared" si="1"/>
        <v>0.2</v>
      </c>
      <c r="E16" s="278">
        <f t="shared" si="2"/>
        <v>0</v>
      </c>
      <c r="F16" s="1"/>
      <c r="G16" s="28" t="str">
        <f>IFERROR(VLOOKUP(F16,Tabela7[[RECURSO]:[CUSTO]],2,FALSE),"")</f>
        <v/>
      </c>
      <c r="H16" s="92"/>
      <c r="I16" s="90"/>
      <c r="J16" s="45">
        <f>IFERROR(VLOOKUP(F16,Tabela7[[RECURSO]:[CUSTO]],3,FALSE),0)</f>
        <v>0</v>
      </c>
      <c r="K16" s="45">
        <f>I16*J16*CPU_43[[#This Row],[Nº]]</f>
        <v>0</v>
      </c>
      <c r="M16" s="31"/>
      <c r="N16" s="297"/>
      <c r="O16" s="60">
        <f t="shared" si="15"/>
        <v>0</v>
      </c>
      <c r="AD16" s="144" t="str">
        <f t="shared" si="3"/>
        <v>Capa Concreto</v>
      </c>
      <c r="AE16" s="179"/>
      <c r="AF16" s="180">
        <f t="shared" si="16"/>
        <v>0</v>
      </c>
      <c r="AG16" s="180">
        <f t="shared" si="17"/>
        <v>0</v>
      </c>
      <c r="AH16" s="181">
        <f t="shared" si="18"/>
        <v>0</v>
      </c>
      <c r="AI16" s="182"/>
      <c r="AJ16" s="90"/>
      <c r="AK16" s="90"/>
      <c r="AL16" s="183">
        <f t="shared" si="19"/>
        <v>0</v>
      </c>
      <c r="AM16" s="182"/>
      <c r="AN16" s="90"/>
      <c r="AO16" s="90"/>
      <c r="AP16" s="183">
        <f t="shared" si="4"/>
        <v>0</v>
      </c>
      <c r="AQ16" s="182"/>
      <c r="AR16" s="90"/>
      <c r="AS16" s="90"/>
      <c r="AT16" s="183">
        <f t="shared" si="5"/>
        <v>0</v>
      </c>
      <c r="AU16" s="182"/>
      <c r="AV16" s="90"/>
      <c r="AW16" s="90"/>
      <c r="AX16" s="183">
        <f t="shared" si="6"/>
        <v>0</v>
      </c>
      <c r="AY16" s="182"/>
      <c r="AZ16" s="90"/>
      <c r="BA16" s="90"/>
      <c r="BB16" s="183">
        <f t="shared" si="7"/>
        <v>0</v>
      </c>
      <c r="BC16" s="182"/>
      <c r="BD16" s="90"/>
      <c r="BE16" s="90"/>
      <c r="BF16" s="183">
        <f t="shared" si="8"/>
        <v>0</v>
      </c>
      <c r="BG16" s="182"/>
      <c r="BH16" s="90"/>
      <c r="BI16" s="90"/>
      <c r="BJ16" s="183">
        <f t="shared" si="9"/>
        <v>0</v>
      </c>
      <c r="BK16" s="182"/>
      <c r="BL16" s="90"/>
      <c r="BM16" s="90"/>
      <c r="BN16" s="183">
        <f t="shared" si="10"/>
        <v>0</v>
      </c>
      <c r="BO16" s="182"/>
      <c r="BP16" s="90"/>
      <c r="BQ16" s="90"/>
      <c r="BR16" s="183">
        <f t="shared" si="11"/>
        <v>0</v>
      </c>
      <c r="BS16" s="182"/>
      <c r="BT16" s="90"/>
      <c r="BU16" s="90"/>
      <c r="BV16" s="183">
        <f t="shared" si="12"/>
        <v>0</v>
      </c>
      <c r="BW16" s="182"/>
      <c r="BX16" s="90"/>
      <c r="BY16" s="90"/>
      <c r="BZ16" s="183">
        <f t="shared" si="13"/>
        <v>0</v>
      </c>
      <c r="CA16" s="182"/>
      <c r="CB16" s="90"/>
      <c r="CC16" s="90"/>
      <c r="CD16" s="183">
        <f t="shared" si="14"/>
        <v>0</v>
      </c>
    </row>
    <row r="17" spans="2:82" x14ac:dyDescent="0.3">
      <c r="B17" s="53"/>
      <c r="C17" s="53" t="str">
        <f t="shared" si="0"/>
        <v>CPU_CapaConcreto</v>
      </c>
      <c r="D17" s="278">
        <f t="shared" si="1"/>
        <v>0.2</v>
      </c>
      <c r="E17" s="278">
        <f t="shared" si="2"/>
        <v>0</v>
      </c>
      <c r="F17" s="1"/>
      <c r="G17" s="28" t="str">
        <f>IFERROR(VLOOKUP(F17,Tabela7[[RECURSO]:[CUSTO]],2,FALSE),"")</f>
        <v/>
      </c>
      <c r="H17" s="92"/>
      <c r="I17" s="90"/>
      <c r="J17" s="45">
        <f>IFERROR(VLOOKUP(F17,Tabela7[[RECURSO]:[CUSTO]],3,FALSE),0)</f>
        <v>0</v>
      </c>
      <c r="K17" s="45">
        <f>I17*J17*CPU_43[[#This Row],[Nº]]</f>
        <v>0</v>
      </c>
      <c r="M17" s="31"/>
      <c r="N17" s="297"/>
      <c r="O17" s="60">
        <f t="shared" si="15"/>
        <v>0</v>
      </c>
      <c r="AD17" s="144" t="str">
        <f t="shared" si="3"/>
        <v>Capa Concreto</v>
      </c>
      <c r="AE17" s="179"/>
      <c r="AF17" s="180">
        <f t="shared" si="16"/>
        <v>0</v>
      </c>
      <c r="AG17" s="180">
        <f t="shared" si="17"/>
        <v>0</v>
      </c>
      <c r="AH17" s="181">
        <f t="shared" si="18"/>
        <v>0</v>
      </c>
      <c r="AI17" s="182"/>
      <c r="AJ17" s="90"/>
      <c r="AK17" s="90"/>
      <c r="AL17" s="183">
        <f t="shared" si="19"/>
        <v>0</v>
      </c>
      <c r="AM17" s="182"/>
      <c r="AN17" s="90"/>
      <c r="AO17" s="90"/>
      <c r="AP17" s="183">
        <f t="shared" si="4"/>
        <v>0</v>
      </c>
      <c r="AQ17" s="182"/>
      <c r="AR17" s="90"/>
      <c r="AS17" s="90"/>
      <c r="AT17" s="183">
        <f t="shared" si="5"/>
        <v>0</v>
      </c>
      <c r="AU17" s="182"/>
      <c r="AV17" s="90"/>
      <c r="AW17" s="90"/>
      <c r="AX17" s="183">
        <f t="shared" si="6"/>
        <v>0</v>
      </c>
      <c r="AY17" s="182"/>
      <c r="AZ17" s="90"/>
      <c r="BA17" s="90"/>
      <c r="BB17" s="183">
        <f t="shared" si="7"/>
        <v>0</v>
      </c>
      <c r="BC17" s="182"/>
      <c r="BD17" s="90"/>
      <c r="BE17" s="90"/>
      <c r="BF17" s="183">
        <f t="shared" si="8"/>
        <v>0</v>
      </c>
      <c r="BG17" s="182"/>
      <c r="BH17" s="90"/>
      <c r="BI17" s="90"/>
      <c r="BJ17" s="183">
        <f t="shared" si="9"/>
        <v>0</v>
      </c>
      <c r="BK17" s="182"/>
      <c r="BL17" s="90"/>
      <c r="BM17" s="90"/>
      <c r="BN17" s="183">
        <f t="shared" si="10"/>
        <v>0</v>
      </c>
      <c r="BO17" s="182"/>
      <c r="BP17" s="90"/>
      <c r="BQ17" s="90"/>
      <c r="BR17" s="183">
        <f t="shared" si="11"/>
        <v>0</v>
      </c>
      <c r="BS17" s="182"/>
      <c r="BT17" s="90"/>
      <c r="BU17" s="90"/>
      <c r="BV17" s="183">
        <f t="shared" si="12"/>
        <v>0</v>
      </c>
      <c r="BW17" s="182"/>
      <c r="BX17" s="90"/>
      <c r="BY17" s="90"/>
      <c r="BZ17" s="183">
        <f t="shared" si="13"/>
        <v>0</v>
      </c>
      <c r="CA17" s="182"/>
      <c r="CB17" s="90"/>
      <c r="CC17" s="90"/>
      <c r="CD17" s="183">
        <f t="shared" si="14"/>
        <v>0</v>
      </c>
    </row>
    <row r="18" spans="2:82" x14ac:dyDescent="0.3">
      <c r="B18" s="53"/>
      <c r="C18" s="53" t="str">
        <f t="shared" si="0"/>
        <v>CPU_CapaConcreto</v>
      </c>
      <c r="D18" s="278">
        <f t="shared" si="1"/>
        <v>0.2</v>
      </c>
      <c r="E18" s="278">
        <f t="shared" si="2"/>
        <v>0</v>
      </c>
      <c r="F18" s="1"/>
      <c r="G18" s="28" t="str">
        <f>IFERROR(VLOOKUP(F18,Tabela7[[RECURSO]:[CUSTO]],2,FALSE),"")</f>
        <v/>
      </c>
      <c r="H18" s="92"/>
      <c r="I18" s="90"/>
      <c r="J18" s="45">
        <f>IFERROR(VLOOKUP(F18,Tabela7[[RECURSO]:[CUSTO]],3,FALSE),0)</f>
        <v>0</v>
      </c>
      <c r="K18" s="45">
        <f>I18*J18*CPU_43[[#This Row],[Nº]]</f>
        <v>0</v>
      </c>
      <c r="M18" s="31"/>
      <c r="N18" s="297"/>
      <c r="O18" s="60">
        <f t="shared" si="15"/>
        <v>0</v>
      </c>
      <c r="AD18" s="144" t="str">
        <f t="shared" si="3"/>
        <v>Capa Concreto</v>
      </c>
      <c r="AE18" s="179"/>
      <c r="AF18" s="180">
        <f t="shared" si="16"/>
        <v>0</v>
      </c>
      <c r="AG18" s="180">
        <f t="shared" si="17"/>
        <v>0</v>
      </c>
      <c r="AH18" s="181">
        <f t="shared" si="18"/>
        <v>0</v>
      </c>
      <c r="AI18" s="182"/>
      <c r="AJ18" s="90"/>
      <c r="AK18" s="90"/>
      <c r="AL18" s="183">
        <f t="shared" si="19"/>
        <v>0</v>
      </c>
      <c r="AM18" s="182"/>
      <c r="AN18" s="90"/>
      <c r="AO18" s="90"/>
      <c r="AP18" s="183">
        <f t="shared" si="4"/>
        <v>0</v>
      </c>
      <c r="AQ18" s="182"/>
      <c r="AR18" s="90"/>
      <c r="AS18" s="90"/>
      <c r="AT18" s="183">
        <f t="shared" si="5"/>
        <v>0</v>
      </c>
      <c r="AU18" s="182"/>
      <c r="AV18" s="90"/>
      <c r="AW18" s="90"/>
      <c r="AX18" s="183">
        <f t="shared" si="6"/>
        <v>0</v>
      </c>
      <c r="AY18" s="182"/>
      <c r="AZ18" s="90"/>
      <c r="BA18" s="90"/>
      <c r="BB18" s="183">
        <f t="shared" si="7"/>
        <v>0</v>
      </c>
      <c r="BC18" s="182"/>
      <c r="BD18" s="90"/>
      <c r="BE18" s="90"/>
      <c r="BF18" s="183">
        <f t="shared" si="8"/>
        <v>0</v>
      </c>
      <c r="BG18" s="182"/>
      <c r="BH18" s="90"/>
      <c r="BI18" s="90"/>
      <c r="BJ18" s="183">
        <f t="shared" si="9"/>
        <v>0</v>
      </c>
      <c r="BK18" s="182"/>
      <c r="BL18" s="90"/>
      <c r="BM18" s="90"/>
      <c r="BN18" s="183">
        <f t="shared" si="10"/>
        <v>0</v>
      </c>
      <c r="BO18" s="182"/>
      <c r="BP18" s="90"/>
      <c r="BQ18" s="90"/>
      <c r="BR18" s="183">
        <f t="shared" si="11"/>
        <v>0</v>
      </c>
      <c r="BS18" s="182"/>
      <c r="BT18" s="90"/>
      <c r="BU18" s="90"/>
      <c r="BV18" s="183">
        <f t="shared" si="12"/>
        <v>0</v>
      </c>
      <c r="BW18" s="182"/>
      <c r="BX18" s="90"/>
      <c r="BY18" s="90"/>
      <c r="BZ18" s="183">
        <f t="shared" si="13"/>
        <v>0</v>
      </c>
      <c r="CA18" s="182"/>
      <c r="CB18" s="90"/>
      <c r="CC18" s="90"/>
      <c r="CD18" s="183">
        <f t="shared" si="14"/>
        <v>0</v>
      </c>
    </row>
    <row r="19" spans="2:82" x14ac:dyDescent="0.3">
      <c r="B19" s="53"/>
      <c r="C19" s="53" t="str">
        <f t="shared" si="0"/>
        <v>CPU_CapaConcreto</v>
      </c>
      <c r="D19" s="278">
        <f t="shared" si="1"/>
        <v>0.2</v>
      </c>
      <c r="E19" s="278">
        <f t="shared" si="2"/>
        <v>0</v>
      </c>
      <c r="F19" s="1"/>
      <c r="G19" s="28" t="str">
        <f>IFERROR(VLOOKUP(F19,Tabela7[[RECURSO]:[CUSTO]],2,FALSE),"")</f>
        <v/>
      </c>
      <c r="H19" s="92"/>
      <c r="I19" s="90"/>
      <c r="J19" s="45">
        <f>IFERROR(VLOOKUP(F19,Tabela7[[RECURSO]:[CUSTO]],3,FALSE),0)</f>
        <v>0</v>
      </c>
      <c r="K19" s="45">
        <f>I19*J19*CPU_43[[#This Row],[Nº]]</f>
        <v>0</v>
      </c>
      <c r="M19" s="31"/>
      <c r="N19" s="297"/>
      <c r="O19" s="60">
        <f t="shared" si="15"/>
        <v>0</v>
      </c>
      <c r="AD19" s="144" t="str">
        <f t="shared" si="3"/>
        <v>Capa Concreto</v>
      </c>
      <c r="AE19" s="179"/>
      <c r="AF19" s="180">
        <f t="shared" si="16"/>
        <v>0</v>
      </c>
      <c r="AG19" s="180">
        <f t="shared" si="17"/>
        <v>0</v>
      </c>
      <c r="AH19" s="181">
        <f t="shared" si="18"/>
        <v>0</v>
      </c>
      <c r="AI19" s="182"/>
      <c r="AJ19" s="90"/>
      <c r="AK19" s="90"/>
      <c r="AL19" s="183">
        <f t="shared" si="19"/>
        <v>0</v>
      </c>
      <c r="AM19" s="182"/>
      <c r="AN19" s="90"/>
      <c r="AO19" s="90"/>
      <c r="AP19" s="183">
        <f t="shared" si="4"/>
        <v>0</v>
      </c>
      <c r="AQ19" s="182"/>
      <c r="AR19" s="90"/>
      <c r="AS19" s="90"/>
      <c r="AT19" s="183">
        <f t="shared" si="5"/>
        <v>0</v>
      </c>
      <c r="AU19" s="182"/>
      <c r="AV19" s="90"/>
      <c r="AW19" s="90"/>
      <c r="AX19" s="183">
        <f t="shared" si="6"/>
        <v>0</v>
      </c>
      <c r="AY19" s="182"/>
      <c r="AZ19" s="90"/>
      <c r="BA19" s="90"/>
      <c r="BB19" s="183">
        <f t="shared" si="7"/>
        <v>0</v>
      </c>
      <c r="BC19" s="182"/>
      <c r="BD19" s="90"/>
      <c r="BE19" s="90"/>
      <c r="BF19" s="183">
        <f t="shared" si="8"/>
        <v>0</v>
      </c>
      <c r="BG19" s="182"/>
      <c r="BH19" s="90"/>
      <c r="BI19" s="90"/>
      <c r="BJ19" s="183">
        <f t="shared" si="9"/>
        <v>0</v>
      </c>
      <c r="BK19" s="182"/>
      <c r="BL19" s="90"/>
      <c r="BM19" s="90"/>
      <c r="BN19" s="183">
        <f t="shared" si="10"/>
        <v>0</v>
      </c>
      <c r="BO19" s="182"/>
      <c r="BP19" s="90"/>
      <c r="BQ19" s="90"/>
      <c r="BR19" s="183">
        <f t="shared" si="11"/>
        <v>0</v>
      </c>
      <c r="BS19" s="182"/>
      <c r="BT19" s="90"/>
      <c r="BU19" s="90"/>
      <c r="BV19" s="183">
        <f t="shared" si="12"/>
        <v>0</v>
      </c>
      <c r="BW19" s="182"/>
      <c r="BX19" s="90"/>
      <c r="BY19" s="90"/>
      <c r="BZ19" s="183">
        <f t="shared" si="13"/>
        <v>0</v>
      </c>
      <c r="CA19" s="182"/>
      <c r="CB19" s="90"/>
      <c r="CC19" s="90"/>
      <c r="CD19" s="183">
        <f t="shared" si="14"/>
        <v>0</v>
      </c>
    </row>
    <row r="20" spans="2:82" x14ac:dyDescent="0.3">
      <c r="B20" s="53"/>
      <c r="C20" s="53" t="str">
        <f t="shared" si="0"/>
        <v>CPU_CapaConcreto</v>
      </c>
      <c r="D20" s="278">
        <f t="shared" si="1"/>
        <v>0.2</v>
      </c>
      <c r="E20" s="278">
        <f t="shared" si="2"/>
        <v>0</v>
      </c>
      <c r="F20" s="1"/>
      <c r="G20" s="28" t="str">
        <f>IFERROR(VLOOKUP(F20,Tabela7[[RECURSO]:[CUSTO]],2,FALSE),"")</f>
        <v/>
      </c>
      <c r="H20" s="92"/>
      <c r="I20" s="90"/>
      <c r="J20" s="45">
        <f>IFERROR(VLOOKUP(F20,Tabela7[[RECURSO]:[CUSTO]],3,FALSE),0)</f>
        <v>0</v>
      </c>
      <c r="K20" s="45">
        <f>I20*J20*CPU_43[[#This Row],[Nº]]</f>
        <v>0</v>
      </c>
      <c r="M20" s="31"/>
      <c r="N20" s="297"/>
      <c r="O20" s="60">
        <f t="shared" si="15"/>
        <v>0</v>
      </c>
      <c r="AD20" s="144" t="str">
        <f t="shared" si="3"/>
        <v>Capa Concreto</v>
      </c>
      <c r="AE20" s="179"/>
      <c r="AF20" s="180">
        <f t="shared" si="16"/>
        <v>0</v>
      </c>
      <c r="AG20" s="180">
        <f t="shared" si="17"/>
        <v>0</v>
      </c>
      <c r="AH20" s="181">
        <f t="shared" si="18"/>
        <v>0</v>
      </c>
      <c r="AI20" s="182"/>
      <c r="AJ20" s="90"/>
      <c r="AK20" s="90"/>
      <c r="AL20" s="183">
        <f t="shared" si="19"/>
        <v>0</v>
      </c>
      <c r="AM20" s="182"/>
      <c r="AN20" s="90"/>
      <c r="AO20" s="90"/>
      <c r="AP20" s="183">
        <f t="shared" si="4"/>
        <v>0</v>
      </c>
      <c r="AQ20" s="182"/>
      <c r="AR20" s="90"/>
      <c r="AS20" s="90"/>
      <c r="AT20" s="183">
        <f t="shared" si="5"/>
        <v>0</v>
      </c>
      <c r="AU20" s="182"/>
      <c r="AV20" s="90"/>
      <c r="AW20" s="90"/>
      <c r="AX20" s="183">
        <f t="shared" si="6"/>
        <v>0</v>
      </c>
      <c r="AY20" s="182"/>
      <c r="AZ20" s="90"/>
      <c r="BA20" s="90"/>
      <c r="BB20" s="183">
        <f t="shared" si="7"/>
        <v>0</v>
      </c>
      <c r="BC20" s="182"/>
      <c r="BD20" s="90"/>
      <c r="BE20" s="90"/>
      <c r="BF20" s="183">
        <f t="shared" si="8"/>
        <v>0</v>
      </c>
      <c r="BG20" s="182"/>
      <c r="BH20" s="90"/>
      <c r="BI20" s="90"/>
      <c r="BJ20" s="183">
        <f t="shared" si="9"/>
        <v>0</v>
      </c>
      <c r="BK20" s="182"/>
      <c r="BL20" s="90"/>
      <c r="BM20" s="90"/>
      <c r="BN20" s="183">
        <f t="shared" si="10"/>
        <v>0</v>
      </c>
      <c r="BO20" s="182"/>
      <c r="BP20" s="90"/>
      <c r="BQ20" s="90"/>
      <c r="BR20" s="183">
        <f t="shared" si="11"/>
        <v>0</v>
      </c>
      <c r="BS20" s="182"/>
      <c r="BT20" s="90"/>
      <c r="BU20" s="90"/>
      <c r="BV20" s="183">
        <f t="shared" si="12"/>
        <v>0</v>
      </c>
      <c r="BW20" s="182"/>
      <c r="BX20" s="90"/>
      <c r="BY20" s="90"/>
      <c r="BZ20" s="183">
        <f t="shared" si="13"/>
        <v>0</v>
      </c>
      <c r="CA20" s="182"/>
      <c r="CB20" s="90"/>
      <c r="CC20" s="90"/>
      <c r="CD20" s="183">
        <f t="shared" si="14"/>
        <v>0</v>
      </c>
    </row>
    <row r="21" spans="2:82" x14ac:dyDescent="0.3">
      <c r="B21" s="53"/>
      <c r="C21" s="53" t="str">
        <f t="shared" si="0"/>
        <v>CPU_CapaConcreto</v>
      </c>
      <c r="D21" s="278">
        <f t="shared" si="1"/>
        <v>0.2</v>
      </c>
      <c r="E21" s="278">
        <f t="shared" si="2"/>
        <v>0</v>
      </c>
      <c r="F21" s="1"/>
      <c r="G21" s="28" t="str">
        <f>IFERROR(VLOOKUP(F21,Tabela7[[RECURSO]:[CUSTO]],2,FALSE),"")</f>
        <v/>
      </c>
      <c r="H21" s="92"/>
      <c r="I21" s="90"/>
      <c r="J21" s="45">
        <f>IFERROR(VLOOKUP(F21,Tabela7[[RECURSO]:[CUSTO]],3,FALSE),0)</f>
        <v>0</v>
      </c>
      <c r="K21" s="45">
        <f>I21*J21*CPU_43[[#This Row],[Nº]]</f>
        <v>0</v>
      </c>
      <c r="M21" s="31"/>
      <c r="N21" s="297"/>
      <c r="O21" s="60">
        <f t="shared" si="15"/>
        <v>0</v>
      </c>
      <c r="AD21" s="144" t="str">
        <f t="shared" si="3"/>
        <v>Capa Concreto</v>
      </c>
      <c r="AE21" s="179"/>
      <c r="AF21" s="180">
        <f t="shared" si="16"/>
        <v>0</v>
      </c>
      <c r="AG21" s="180">
        <f t="shared" si="17"/>
        <v>0</v>
      </c>
      <c r="AH21" s="181">
        <f t="shared" si="18"/>
        <v>0</v>
      </c>
      <c r="AI21" s="182"/>
      <c r="AJ21" s="90"/>
      <c r="AK21" s="90"/>
      <c r="AL21" s="183">
        <f t="shared" si="19"/>
        <v>0</v>
      </c>
      <c r="AM21" s="182"/>
      <c r="AN21" s="90"/>
      <c r="AO21" s="90"/>
      <c r="AP21" s="183">
        <f t="shared" si="4"/>
        <v>0</v>
      </c>
      <c r="AQ21" s="182"/>
      <c r="AR21" s="90"/>
      <c r="AS21" s="90"/>
      <c r="AT21" s="183">
        <f t="shared" si="5"/>
        <v>0</v>
      </c>
      <c r="AU21" s="182"/>
      <c r="AV21" s="90"/>
      <c r="AW21" s="90"/>
      <c r="AX21" s="183">
        <f t="shared" si="6"/>
        <v>0</v>
      </c>
      <c r="AY21" s="182"/>
      <c r="AZ21" s="90"/>
      <c r="BA21" s="90"/>
      <c r="BB21" s="183">
        <f t="shared" si="7"/>
        <v>0</v>
      </c>
      <c r="BC21" s="182"/>
      <c r="BD21" s="90"/>
      <c r="BE21" s="90"/>
      <c r="BF21" s="183">
        <f t="shared" si="8"/>
        <v>0</v>
      </c>
      <c r="BG21" s="182"/>
      <c r="BH21" s="90"/>
      <c r="BI21" s="90"/>
      <c r="BJ21" s="183">
        <f t="shared" si="9"/>
        <v>0</v>
      </c>
      <c r="BK21" s="182"/>
      <c r="BL21" s="90"/>
      <c r="BM21" s="90"/>
      <c r="BN21" s="183">
        <f t="shared" si="10"/>
        <v>0</v>
      </c>
      <c r="BO21" s="182"/>
      <c r="BP21" s="90"/>
      <c r="BQ21" s="90"/>
      <c r="BR21" s="183">
        <f t="shared" si="11"/>
        <v>0</v>
      </c>
      <c r="BS21" s="182"/>
      <c r="BT21" s="90"/>
      <c r="BU21" s="90"/>
      <c r="BV21" s="183">
        <f t="shared" si="12"/>
        <v>0</v>
      </c>
      <c r="BW21" s="182"/>
      <c r="BX21" s="90"/>
      <c r="BY21" s="90"/>
      <c r="BZ21" s="183">
        <f t="shared" si="13"/>
        <v>0</v>
      </c>
      <c r="CA21" s="182"/>
      <c r="CB21" s="90"/>
      <c r="CC21" s="90"/>
      <c r="CD21" s="183">
        <f t="shared" si="14"/>
        <v>0</v>
      </c>
    </row>
    <row r="22" spans="2:82" x14ac:dyDescent="0.3">
      <c r="B22" s="53"/>
      <c r="C22" s="53" t="str">
        <f t="shared" si="0"/>
        <v>CPU_CapaConcreto</v>
      </c>
      <c r="D22" s="278">
        <f t="shared" si="1"/>
        <v>0.2</v>
      </c>
      <c r="E22" s="278">
        <f t="shared" si="2"/>
        <v>0</v>
      </c>
      <c r="F22" s="1"/>
      <c r="G22" s="28" t="str">
        <f>IFERROR(VLOOKUP(F22,Tabela7[[RECURSO]:[CUSTO]],2,FALSE),"")</f>
        <v/>
      </c>
      <c r="H22" s="92"/>
      <c r="I22" s="90"/>
      <c r="J22" s="45">
        <f>IFERROR(VLOOKUP(F22,Tabela7[[RECURSO]:[CUSTO]],3,FALSE),0)</f>
        <v>0</v>
      </c>
      <c r="K22" s="45">
        <f>I22*J22*CPU_43[[#This Row],[Nº]]</f>
        <v>0</v>
      </c>
      <c r="M22" s="31"/>
      <c r="N22" s="297"/>
      <c r="O22" s="60">
        <f t="shared" si="15"/>
        <v>0</v>
      </c>
      <c r="AD22" s="144" t="str">
        <f t="shared" si="3"/>
        <v>Capa Concreto</v>
      </c>
      <c r="AE22" s="179"/>
      <c r="AF22" s="180">
        <f t="shared" si="16"/>
        <v>0</v>
      </c>
      <c r="AG22" s="180">
        <f t="shared" si="17"/>
        <v>0</v>
      </c>
      <c r="AH22" s="181">
        <f t="shared" si="18"/>
        <v>0</v>
      </c>
      <c r="AI22" s="182"/>
      <c r="AJ22" s="90"/>
      <c r="AK22" s="90"/>
      <c r="AL22" s="183">
        <f t="shared" si="19"/>
        <v>0</v>
      </c>
      <c r="AM22" s="182"/>
      <c r="AN22" s="90"/>
      <c r="AO22" s="90"/>
      <c r="AP22" s="183">
        <f t="shared" si="4"/>
        <v>0</v>
      </c>
      <c r="AQ22" s="182"/>
      <c r="AR22" s="90"/>
      <c r="AS22" s="90"/>
      <c r="AT22" s="183">
        <f t="shared" si="5"/>
        <v>0</v>
      </c>
      <c r="AU22" s="182"/>
      <c r="AV22" s="90"/>
      <c r="AW22" s="90"/>
      <c r="AX22" s="183">
        <f t="shared" si="6"/>
        <v>0</v>
      </c>
      <c r="AY22" s="182"/>
      <c r="AZ22" s="90"/>
      <c r="BA22" s="90"/>
      <c r="BB22" s="183">
        <f t="shared" si="7"/>
        <v>0</v>
      </c>
      <c r="BC22" s="182"/>
      <c r="BD22" s="90"/>
      <c r="BE22" s="90"/>
      <c r="BF22" s="183">
        <f t="shared" si="8"/>
        <v>0</v>
      </c>
      <c r="BG22" s="182"/>
      <c r="BH22" s="90"/>
      <c r="BI22" s="90"/>
      <c r="BJ22" s="183">
        <f t="shared" si="9"/>
        <v>0</v>
      </c>
      <c r="BK22" s="182"/>
      <c r="BL22" s="90"/>
      <c r="BM22" s="90"/>
      <c r="BN22" s="183">
        <f t="shared" si="10"/>
        <v>0</v>
      </c>
      <c r="BO22" s="182"/>
      <c r="BP22" s="90"/>
      <c r="BQ22" s="90"/>
      <c r="BR22" s="183">
        <f t="shared" si="11"/>
        <v>0</v>
      </c>
      <c r="BS22" s="182"/>
      <c r="BT22" s="90"/>
      <c r="BU22" s="90"/>
      <c r="BV22" s="183">
        <f t="shared" si="12"/>
        <v>0</v>
      </c>
      <c r="BW22" s="182"/>
      <c r="BX22" s="90"/>
      <c r="BY22" s="90"/>
      <c r="BZ22" s="183">
        <f t="shared" si="13"/>
        <v>0</v>
      </c>
      <c r="CA22" s="182"/>
      <c r="CB22" s="90"/>
      <c r="CC22" s="90"/>
      <c r="CD22" s="183">
        <f t="shared" si="14"/>
        <v>0</v>
      </c>
    </row>
    <row r="23" spans="2:82" ht="15" thickBot="1" x14ac:dyDescent="0.35">
      <c r="B23" s="53"/>
      <c r="C23" s="53" t="str">
        <f t="shared" si="0"/>
        <v>CPU_CapaConcreto</v>
      </c>
      <c r="D23" s="278">
        <f t="shared" si="1"/>
        <v>0.2</v>
      </c>
      <c r="E23" s="278">
        <f t="shared" si="2"/>
        <v>0</v>
      </c>
      <c r="F23" s="1"/>
      <c r="G23" s="28" t="str">
        <f>IFERROR(VLOOKUP(F23,Tabela7[[RECURSO]:[CUSTO]],2,FALSE),"")</f>
        <v/>
      </c>
      <c r="H23" s="92"/>
      <c r="I23" s="90"/>
      <c r="J23" s="45">
        <f>IFERROR(VLOOKUP(F23,Tabela7[[RECURSO]:[CUSTO]],3,FALSE),0)</f>
        <v>0</v>
      </c>
      <c r="K23" s="45">
        <f>I23*J23*CPU_43[[#This Row],[Nº]]</f>
        <v>0</v>
      </c>
      <c r="M23" s="51"/>
      <c r="N23" s="298"/>
      <c r="O23" s="61">
        <f t="shared" si="15"/>
        <v>0</v>
      </c>
      <c r="AD23" s="144" t="str">
        <f t="shared" si="3"/>
        <v>Capa Concreto</v>
      </c>
      <c r="AE23" s="179"/>
      <c r="AF23" s="180">
        <f t="shared" si="16"/>
        <v>0</v>
      </c>
      <c r="AG23" s="180">
        <f t="shared" si="17"/>
        <v>0</v>
      </c>
      <c r="AH23" s="181">
        <f t="shared" si="18"/>
        <v>0</v>
      </c>
      <c r="AI23" s="182"/>
      <c r="AJ23" s="90"/>
      <c r="AK23" s="90"/>
      <c r="AL23" s="183">
        <f t="shared" si="19"/>
        <v>0</v>
      </c>
      <c r="AM23" s="182"/>
      <c r="AN23" s="90"/>
      <c r="AO23" s="90"/>
      <c r="AP23" s="183">
        <f t="shared" si="4"/>
        <v>0</v>
      </c>
      <c r="AQ23" s="182"/>
      <c r="AR23" s="90"/>
      <c r="AS23" s="90"/>
      <c r="AT23" s="183">
        <f t="shared" si="5"/>
        <v>0</v>
      </c>
      <c r="AU23" s="182"/>
      <c r="AV23" s="90"/>
      <c r="AW23" s="90"/>
      <c r="AX23" s="183">
        <f t="shared" si="6"/>
        <v>0</v>
      </c>
      <c r="AY23" s="182"/>
      <c r="AZ23" s="90"/>
      <c r="BA23" s="90"/>
      <c r="BB23" s="183">
        <f t="shared" si="7"/>
        <v>0</v>
      </c>
      <c r="BC23" s="182"/>
      <c r="BD23" s="90"/>
      <c r="BE23" s="90"/>
      <c r="BF23" s="183">
        <f t="shared" si="8"/>
        <v>0</v>
      </c>
      <c r="BG23" s="182"/>
      <c r="BH23" s="90"/>
      <c r="BI23" s="90"/>
      <c r="BJ23" s="183">
        <f t="shared" si="9"/>
        <v>0</v>
      </c>
      <c r="BK23" s="182"/>
      <c r="BL23" s="90"/>
      <c r="BM23" s="90"/>
      <c r="BN23" s="183">
        <f t="shared" si="10"/>
        <v>0</v>
      </c>
      <c r="BO23" s="182"/>
      <c r="BP23" s="90"/>
      <c r="BQ23" s="90"/>
      <c r="BR23" s="183">
        <f t="shared" si="11"/>
        <v>0</v>
      </c>
      <c r="BS23" s="182"/>
      <c r="BT23" s="90"/>
      <c r="BU23" s="90"/>
      <c r="BV23" s="183">
        <f t="shared" si="12"/>
        <v>0</v>
      </c>
      <c r="BW23" s="182"/>
      <c r="BX23" s="90"/>
      <c r="BY23" s="90"/>
      <c r="BZ23" s="183">
        <f t="shared" si="13"/>
        <v>0</v>
      </c>
      <c r="CA23" s="182"/>
      <c r="CB23" s="90"/>
      <c r="CC23" s="90"/>
      <c r="CD23" s="183">
        <f t="shared" si="14"/>
        <v>0</v>
      </c>
    </row>
    <row r="24" spans="2:82" x14ac:dyDescent="0.3">
      <c r="B24" s="52" t="s">
        <v>686</v>
      </c>
      <c r="C24" s="52" t="str">
        <f t="shared" si="0"/>
        <v>CPU_CapaConcreto</v>
      </c>
      <c r="D24" s="277">
        <f t="shared" si="1"/>
        <v>0.2</v>
      </c>
      <c r="E24" s="277">
        <f t="shared" si="2"/>
        <v>0</v>
      </c>
      <c r="F24" s="37"/>
      <c r="G24" s="38"/>
      <c r="H24" s="91"/>
      <c r="I24" s="40"/>
      <c r="J24" s="40">
        <f>IFERROR(K24/$B$6,0)</f>
        <v>0</v>
      </c>
      <c r="K24" s="40">
        <f>SUM(K25:K36)</f>
        <v>0</v>
      </c>
      <c r="AD24" s="144" t="str">
        <f t="shared" si="3"/>
        <v>Capa Concreto</v>
      </c>
      <c r="AE24" s="184"/>
      <c r="AF24" s="40"/>
      <c r="AG24" s="40">
        <f>IFERROR(AH24/AF$3,0)</f>
        <v>0</v>
      </c>
      <c r="AH24" s="185">
        <f>SUM(AH25:AH36)</f>
        <v>0</v>
      </c>
      <c r="AI24" s="184"/>
      <c r="AJ24" s="40"/>
      <c r="AK24" s="40">
        <f>IFERROR(AL24/AJ$3,0)</f>
        <v>0</v>
      </c>
      <c r="AL24" s="185">
        <f>SUM(AL25:AL36)</f>
        <v>0</v>
      </c>
      <c r="AM24" s="184"/>
      <c r="AN24" s="40"/>
      <c r="AO24" s="40">
        <f>IFERROR(AP24/AN$3,0)</f>
        <v>0</v>
      </c>
      <c r="AP24" s="185">
        <f>SUM(AP25:AP36)</f>
        <v>0</v>
      </c>
      <c r="AQ24" s="184"/>
      <c r="AR24" s="40"/>
      <c r="AS24" s="40">
        <f>IFERROR(AT24/AR$3,0)</f>
        <v>0</v>
      </c>
      <c r="AT24" s="185">
        <f>SUM(AT25:AT36)</f>
        <v>0</v>
      </c>
      <c r="AU24" s="184"/>
      <c r="AV24" s="40"/>
      <c r="AW24" s="40">
        <f>IFERROR(AX24/AV$3,0)</f>
        <v>0</v>
      </c>
      <c r="AX24" s="185">
        <f>SUM(AX25:AX36)</f>
        <v>0</v>
      </c>
      <c r="AY24" s="184"/>
      <c r="AZ24" s="40"/>
      <c r="BA24" s="40">
        <f>IFERROR(BB24/AZ$3,0)</f>
        <v>0</v>
      </c>
      <c r="BB24" s="185">
        <f>SUM(BB25:BB36)</f>
        <v>0</v>
      </c>
      <c r="BC24" s="184"/>
      <c r="BD24" s="40"/>
      <c r="BE24" s="40">
        <f>IFERROR(BF24/BD$3,0)</f>
        <v>0</v>
      </c>
      <c r="BF24" s="185">
        <f>SUM(BF25:BF36)</f>
        <v>0</v>
      </c>
      <c r="BG24" s="184"/>
      <c r="BH24" s="40"/>
      <c r="BI24" s="40">
        <f>IFERROR(BJ24/BH$3,0)</f>
        <v>0</v>
      </c>
      <c r="BJ24" s="185">
        <f>SUM(BJ25:BJ36)</f>
        <v>0</v>
      </c>
      <c r="BK24" s="184"/>
      <c r="BL24" s="40"/>
      <c r="BM24" s="40">
        <f>IFERROR(BN24/BL$3,0)</f>
        <v>0</v>
      </c>
      <c r="BN24" s="185">
        <f>SUM(BN25:BN36)</f>
        <v>0</v>
      </c>
      <c r="BO24" s="184"/>
      <c r="BP24" s="40"/>
      <c r="BQ24" s="40">
        <f>IFERROR(BR24/BP$3,0)</f>
        <v>0</v>
      </c>
      <c r="BR24" s="185">
        <f>SUM(BR25:BR36)</f>
        <v>0</v>
      </c>
      <c r="BS24" s="184"/>
      <c r="BT24" s="40"/>
      <c r="BU24" s="40">
        <f>IFERROR(BV24/BT$3,0)</f>
        <v>0</v>
      </c>
      <c r="BV24" s="185">
        <f>SUM(BV25:BV36)</f>
        <v>0</v>
      </c>
      <c r="BW24" s="184"/>
      <c r="BX24" s="40"/>
      <c r="BY24" s="40">
        <f>IFERROR(BZ24/BX$3,0)</f>
        <v>0</v>
      </c>
      <c r="BZ24" s="185">
        <f>SUM(BZ25:BZ36)</f>
        <v>0</v>
      </c>
      <c r="CA24" s="184"/>
      <c r="CB24" s="40"/>
      <c r="CC24" s="40">
        <f>IFERROR(CD24/CB$3,0)</f>
        <v>0</v>
      </c>
      <c r="CD24" s="185">
        <f>SUM(CD25:CD36)</f>
        <v>0</v>
      </c>
    </row>
    <row r="25" spans="2:82" x14ac:dyDescent="0.3">
      <c r="B25" s="53"/>
      <c r="C25" s="53" t="str">
        <f t="shared" si="0"/>
        <v>CPU_CapaConcreto</v>
      </c>
      <c r="D25" s="278">
        <f t="shared" si="1"/>
        <v>0.2</v>
      </c>
      <c r="E25" s="278">
        <f t="shared" si="2"/>
        <v>0</v>
      </c>
      <c r="F25" s="1" t="s">
        <v>288</v>
      </c>
      <c r="G25" s="28" t="str">
        <f>IFERROR(VLOOKUP(F25,Tabela7[[RECURSO]:[CUSTO]],2,FALSE),"")</f>
        <v>L</v>
      </c>
      <c r="H25" s="93"/>
      <c r="I25" s="90">
        <f>IFERROR(SUMPRODUCT(I12:I23,M12:M23,H12:H23,N12:N23),0)</f>
        <v>0</v>
      </c>
      <c r="J25" s="45">
        <f>IFERROR(VLOOKUP(F25,Tabela7[[RECURSO]:[CUSTO]],3,FALSE),0)</f>
        <v>7</v>
      </c>
      <c r="K25" s="45">
        <f>I25*J25</f>
        <v>0</v>
      </c>
      <c r="AD25" s="144" t="str">
        <f t="shared" si="3"/>
        <v>Capa Concreto</v>
      </c>
      <c r="AE25" s="179"/>
      <c r="AF25" s="180">
        <f t="shared" ref="AF25:AF36" si="20">AJ25+AN25+AR25+AV25+AZ25+BD25+BH25+BL25+BP25+BT25+BX25+CB25</f>
        <v>0</v>
      </c>
      <c r="AG25" s="180">
        <f t="shared" si="17"/>
        <v>0</v>
      </c>
      <c r="AH25" s="181">
        <f t="shared" ref="AH25:AH36" si="21">AL25+AP25+AT25+AX25+BB25+BF25+BJ25+BN25+BR25+BV25+BZ25+CD25</f>
        <v>0</v>
      </c>
      <c r="AI25" s="182"/>
      <c r="AJ25" s="90"/>
      <c r="AK25" s="90"/>
      <c r="AL25" s="183">
        <f t="shared" ref="AL25:AL36" si="22">AJ25*AK25</f>
        <v>0</v>
      </c>
      <c r="AM25" s="182"/>
      <c r="AN25" s="90"/>
      <c r="AO25" s="90"/>
      <c r="AP25" s="183">
        <f t="shared" ref="AP25:AP62" si="23">AN25*AO25</f>
        <v>0</v>
      </c>
      <c r="AQ25" s="182"/>
      <c r="AR25" s="90"/>
      <c r="AS25" s="90"/>
      <c r="AT25" s="183">
        <f t="shared" ref="AT25:AT62" si="24">AR25*AS25</f>
        <v>0</v>
      </c>
      <c r="AU25" s="182"/>
      <c r="AV25" s="90"/>
      <c r="AW25" s="90"/>
      <c r="AX25" s="183">
        <f t="shared" ref="AX25:AX62" si="25">AV25*AW25</f>
        <v>0</v>
      </c>
      <c r="AY25" s="182"/>
      <c r="AZ25" s="90"/>
      <c r="BA25" s="90"/>
      <c r="BB25" s="183">
        <f t="shared" ref="BB25:BB62" si="26">AZ25*BA25</f>
        <v>0</v>
      </c>
      <c r="BC25" s="182"/>
      <c r="BD25" s="90"/>
      <c r="BE25" s="90"/>
      <c r="BF25" s="183">
        <f t="shared" ref="BF25:BF62" si="27">BD25*BE25</f>
        <v>0</v>
      </c>
      <c r="BG25" s="182"/>
      <c r="BH25" s="90"/>
      <c r="BI25" s="90"/>
      <c r="BJ25" s="183">
        <f t="shared" ref="BJ25:BJ62" si="28">BH25*BI25</f>
        <v>0</v>
      </c>
      <c r="BK25" s="182"/>
      <c r="BL25" s="90"/>
      <c r="BM25" s="90"/>
      <c r="BN25" s="183">
        <f t="shared" ref="BN25:BN62" si="29">BL25*BM25</f>
        <v>0</v>
      </c>
      <c r="BO25" s="182"/>
      <c r="BP25" s="90"/>
      <c r="BQ25" s="90"/>
      <c r="BR25" s="183">
        <f t="shared" ref="BR25:BR62" si="30">BP25*BQ25</f>
        <v>0</v>
      </c>
      <c r="BS25" s="182"/>
      <c r="BT25" s="90"/>
      <c r="BU25" s="90"/>
      <c r="BV25" s="183">
        <f t="shared" ref="BV25:BV62" si="31">BT25*BU25</f>
        <v>0</v>
      </c>
      <c r="BW25" s="182"/>
      <c r="BX25" s="90"/>
      <c r="BY25" s="90"/>
      <c r="BZ25" s="183">
        <f t="shared" ref="BZ25:BZ62" si="32">BX25*BY25</f>
        <v>0</v>
      </c>
      <c r="CA25" s="182"/>
      <c r="CB25" s="90"/>
      <c r="CC25" s="90"/>
      <c r="CD25" s="183">
        <f t="shared" ref="CD25:CD62" si="33">CB25*CC25</f>
        <v>0</v>
      </c>
    </row>
    <row r="26" spans="2:82" x14ac:dyDescent="0.3">
      <c r="B26" s="53"/>
      <c r="C26" s="53" t="str">
        <f t="shared" si="0"/>
        <v>CPU_CapaConcreto</v>
      </c>
      <c r="D26" s="278">
        <f t="shared" si="1"/>
        <v>0.2</v>
      </c>
      <c r="E26" s="278">
        <f t="shared" si="2"/>
        <v>0</v>
      </c>
      <c r="F26" s="1"/>
      <c r="G26" s="28" t="str">
        <f>IFERROR(VLOOKUP(F26,Tabela7[[RECURSO]:[CUSTO]],2,FALSE),"")</f>
        <v/>
      </c>
      <c r="H26" s="93"/>
      <c r="I26" s="90"/>
      <c r="J26" s="45">
        <f>IFERROR(VLOOKUP(F26,Tabela7[[RECURSO]:[CUSTO]],3,FALSE),0)</f>
        <v>0</v>
      </c>
      <c r="K26" s="45">
        <f t="shared" ref="K26:K36" si="34">I26*J26</f>
        <v>0</v>
      </c>
      <c r="AD26" s="144" t="str">
        <f t="shared" si="3"/>
        <v>Capa Concreto</v>
      </c>
      <c r="AE26" s="179"/>
      <c r="AF26" s="180">
        <f t="shared" si="20"/>
        <v>0</v>
      </c>
      <c r="AG26" s="180">
        <f t="shared" si="17"/>
        <v>0</v>
      </c>
      <c r="AH26" s="181">
        <f t="shared" si="21"/>
        <v>0</v>
      </c>
      <c r="AI26" s="182"/>
      <c r="AJ26" s="90"/>
      <c r="AK26" s="90"/>
      <c r="AL26" s="183">
        <f t="shared" si="22"/>
        <v>0</v>
      </c>
      <c r="AM26" s="182"/>
      <c r="AN26" s="90"/>
      <c r="AO26" s="90"/>
      <c r="AP26" s="183">
        <f t="shared" si="23"/>
        <v>0</v>
      </c>
      <c r="AQ26" s="182"/>
      <c r="AR26" s="90"/>
      <c r="AS26" s="90"/>
      <c r="AT26" s="183">
        <f t="shared" si="24"/>
        <v>0</v>
      </c>
      <c r="AU26" s="182"/>
      <c r="AV26" s="90"/>
      <c r="AW26" s="90"/>
      <c r="AX26" s="183">
        <f t="shared" si="25"/>
        <v>0</v>
      </c>
      <c r="AY26" s="182"/>
      <c r="AZ26" s="90"/>
      <c r="BA26" s="90"/>
      <c r="BB26" s="183">
        <f t="shared" si="26"/>
        <v>0</v>
      </c>
      <c r="BC26" s="182"/>
      <c r="BD26" s="90"/>
      <c r="BE26" s="90"/>
      <c r="BF26" s="183">
        <f t="shared" si="27"/>
        <v>0</v>
      </c>
      <c r="BG26" s="182"/>
      <c r="BH26" s="90"/>
      <c r="BI26" s="90"/>
      <c r="BJ26" s="183">
        <f t="shared" si="28"/>
        <v>0</v>
      </c>
      <c r="BK26" s="182"/>
      <c r="BL26" s="90"/>
      <c r="BM26" s="90"/>
      <c r="BN26" s="183">
        <f t="shared" si="29"/>
        <v>0</v>
      </c>
      <c r="BO26" s="182"/>
      <c r="BP26" s="90"/>
      <c r="BQ26" s="90"/>
      <c r="BR26" s="183">
        <f t="shared" si="30"/>
        <v>0</v>
      </c>
      <c r="BS26" s="182"/>
      <c r="BT26" s="90"/>
      <c r="BU26" s="90"/>
      <c r="BV26" s="183">
        <f t="shared" si="31"/>
        <v>0</v>
      </c>
      <c r="BW26" s="182"/>
      <c r="BX26" s="90"/>
      <c r="BY26" s="90"/>
      <c r="BZ26" s="183">
        <f t="shared" si="32"/>
        <v>0</v>
      </c>
      <c r="CA26" s="182"/>
      <c r="CB26" s="90"/>
      <c r="CC26" s="90"/>
      <c r="CD26" s="183">
        <f t="shared" si="33"/>
        <v>0</v>
      </c>
    </row>
    <row r="27" spans="2:82" x14ac:dyDescent="0.3">
      <c r="B27" s="53"/>
      <c r="C27" s="53" t="str">
        <f t="shared" si="0"/>
        <v>CPU_CapaConcreto</v>
      </c>
      <c r="D27" s="278">
        <f t="shared" si="1"/>
        <v>0.2</v>
      </c>
      <c r="E27" s="278">
        <f t="shared" si="2"/>
        <v>0</v>
      </c>
      <c r="F27" s="1"/>
      <c r="G27" s="28" t="str">
        <f>IFERROR(VLOOKUP(F27,Tabela7[[RECURSO]:[CUSTO]],2,FALSE),"")</f>
        <v/>
      </c>
      <c r="H27" s="93"/>
      <c r="I27" s="90"/>
      <c r="J27" s="45">
        <f>IFERROR(VLOOKUP(F27,Tabela7[[RECURSO]:[CUSTO]],3,FALSE),0)</f>
        <v>0</v>
      </c>
      <c r="K27" s="45">
        <f t="shared" si="34"/>
        <v>0</v>
      </c>
      <c r="AD27" s="144" t="str">
        <f t="shared" si="3"/>
        <v>Capa Concreto</v>
      </c>
      <c r="AE27" s="179"/>
      <c r="AF27" s="180">
        <f t="shared" si="20"/>
        <v>0</v>
      </c>
      <c r="AG27" s="180">
        <f t="shared" si="17"/>
        <v>0</v>
      </c>
      <c r="AH27" s="181">
        <f t="shared" si="21"/>
        <v>0</v>
      </c>
      <c r="AI27" s="182"/>
      <c r="AJ27" s="90"/>
      <c r="AK27" s="90"/>
      <c r="AL27" s="183">
        <f t="shared" si="22"/>
        <v>0</v>
      </c>
      <c r="AM27" s="182"/>
      <c r="AN27" s="90"/>
      <c r="AO27" s="90"/>
      <c r="AP27" s="183">
        <f t="shared" si="23"/>
        <v>0</v>
      </c>
      <c r="AQ27" s="182"/>
      <c r="AR27" s="90"/>
      <c r="AS27" s="90"/>
      <c r="AT27" s="183">
        <f t="shared" si="24"/>
        <v>0</v>
      </c>
      <c r="AU27" s="182"/>
      <c r="AV27" s="90"/>
      <c r="AW27" s="90"/>
      <c r="AX27" s="183">
        <f t="shared" si="25"/>
        <v>0</v>
      </c>
      <c r="AY27" s="182"/>
      <c r="AZ27" s="90"/>
      <c r="BA27" s="90"/>
      <c r="BB27" s="183">
        <f t="shared" si="26"/>
        <v>0</v>
      </c>
      <c r="BC27" s="182"/>
      <c r="BD27" s="90"/>
      <c r="BE27" s="90"/>
      <c r="BF27" s="183">
        <f t="shared" si="27"/>
        <v>0</v>
      </c>
      <c r="BG27" s="182"/>
      <c r="BH27" s="90"/>
      <c r="BI27" s="90"/>
      <c r="BJ27" s="183">
        <f t="shared" si="28"/>
        <v>0</v>
      </c>
      <c r="BK27" s="182"/>
      <c r="BL27" s="90"/>
      <c r="BM27" s="90"/>
      <c r="BN27" s="183">
        <f t="shared" si="29"/>
        <v>0</v>
      </c>
      <c r="BO27" s="182"/>
      <c r="BP27" s="90"/>
      <c r="BQ27" s="90"/>
      <c r="BR27" s="183">
        <f t="shared" si="30"/>
        <v>0</v>
      </c>
      <c r="BS27" s="182"/>
      <c r="BT27" s="90"/>
      <c r="BU27" s="90"/>
      <c r="BV27" s="183">
        <f t="shared" si="31"/>
        <v>0</v>
      </c>
      <c r="BW27" s="182"/>
      <c r="BX27" s="90"/>
      <c r="BY27" s="90"/>
      <c r="BZ27" s="183">
        <f t="shared" si="32"/>
        <v>0</v>
      </c>
      <c r="CA27" s="182"/>
      <c r="CB27" s="90"/>
      <c r="CC27" s="90"/>
      <c r="CD27" s="183">
        <f t="shared" si="33"/>
        <v>0</v>
      </c>
    </row>
    <row r="28" spans="2:82" x14ac:dyDescent="0.3">
      <c r="B28" s="53"/>
      <c r="C28" s="53" t="str">
        <f t="shared" si="0"/>
        <v>CPU_CapaConcreto</v>
      </c>
      <c r="D28" s="278">
        <f t="shared" si="1"/>
        <v>0.2</v>
      </c>
      <c r="E28" s="278">
        <f t="shared" si="2"/>
        <v>0</v>
      </c>
      <c r="F28" s="1"/>
      <c r="G28" s="28" t="str">
        <f>IFERROR(VLOOKUP(F28,Tabela7[[RECURSO]:[CUSTO]],2,FALSE),"")</f>
        <v/>
      </c>
      <c r="H28" s="93"/>
      <c r="I28" s="90"/>
      <c r="J28" s="45">
        <f>IFERROR(VLOOKUP(F28,Tabela7[[RECURSO]:[CUSTO]],3,FALSE),0)</f>
        <v>0</v>
      </c>
      <c r="K28" s="45">
        <f t="shared" si="34"/>
        <v>0</v>
      </c>
      <c r="AD28" s="144" t="str">
        <f t="shared" si="3"/>
        <v>Capa Concreto</v>
      </c>
      <c r="AE28" s="179"/>
      <c r="AF28" s="180">
        <f t="shared" si="20"/>
        <v>0</v>
      </c>
      <c r="AG28" s="180">
        <f t="shared" si="17"/>
        <v>0</v>
      </c>
      <c r="AH28" s="181">
        <f t="shared" si="21"/>
        <v>0</v>
      </c>
      <c r="AI28" s="182"/>
      <c r="AJ28" s="90"/>
      <c r="AK28" s="90"/>
      <c r="AL28" s="183">
        <f t="shared" si="22"/>
        <v>0</v>
      </c>
      <c r="AM28" s="182"/>
      <c r="AN28" s="90"/>
      <c r="AO28" s="90"/>
      <c r="AP28" s="183">
        <f t="shared" si="23"/>
        <v>0</v>
      </c>
      <c r="AQ28" s="182"/>
      <c r="AR28" s="90"/>
      <c r="AS28" s="90"/>
      <c r="AT28" s="183">
        <f t="shared" si="24"/>
        <v>0</v>
      </c>
      <c r="AU28" s="182"/>
      <c r="AV28" s="90"/>
      <c r="AW28" s="90"/>
      <c r="AX28" s="183">
        <f t="shared" si="25"/>
        <v>0</v>
      </c>
      <c r="AY28" s="182"/>
      <c r="AZ28" s="90"/>
      <c r="BA28" s="90"/>
      <c r="BB28" s="183">
        <f t="shared" si="26"/>
        <v>0</v>
      </c>
      <c r="BC28" s="182"/>
      <c r="BD28" s="90"/>
      <c r="BE28" s="90"/>
      <c r="BF28" s="183">
        <f t="shared" si="27"/>
        <v>0</v>
      </c>
      <c r="BG28" s="182"/>
      <c r="BH28" s="90"/>
      <c r="BI28" s="90"/>
      <c r="BJ28" s="183">
        <f t="shared" si="28"/>
        <v>0</v>
      </c>
      <c r="BK28" s="182"/>
      <c r="BL28" s="90"/>
      <c r="BM28" s="90"/>
      <c r="BN28" s="183">
        <f t="shared" si="29"/>
        <v>0</v>
      </c>
      <c r="BO28" s="182"/>
      <c r="BP28" s="90"/>
      <c r="BQ28" s="90"/>
      <c r="BR28" s="183">
        <f t="shared" si="30"/>
        <v>0</v>
      </c>
      <c r="BS28" s="182"/>
      <c r="BT28" s="90"/>
      <c r="BU28" s="90"/>
      <c r="BV28" s="183">
        <f t="shared" si="31"/>
        <v>0</v>
      </c>
      <c r="BW28" s="182"/>
      <c r="BX28" s="90"/>
      <c r="BY28" s="90"/>
      <c r="BZ28" s="183">
        <f t="shared" si="32"/>
        <v>0</v>
      </c>
      <c r="CA28" s="182"/>
      <c r="CB28" s="90"/>
      <c r="CC28" s="90"/>
      <c r="CD28" s="183">
        <f t="shared" si="33"/>
        <v>0</v>
      </c>
    </row>
    <row r="29" spans="2:82" x14ac:dyDescent="0.3">
      <c r="B29" s="53"/>
      <c r="C29" s="53" t="str">
        <f t="shared" si="0"/>
        <v>CPU_CapaConcreto</v>
      </c>
      <c r="D29" s="278">
        <f t="shared" si="1"/>
        <v>0.2</v>
      </c>
      <c r="E29" s="278">
        <f t="shared" si="2"/>
        <v>0</v>
      </c>
      <c r="F29" s="1"/>
      <c r="G29" s="28" t="str">
        <f>IFERROR(VLOOKUP(F29,Tabela7[[RECURSO]:[CUSTO]],2,FALSE),"")</f>
        <v/>
      </c>
      <c r="H29" s="93"/>
      <c r="I29" s="90"/>
      <c r="J29" s="45">
        <f>IFERROR(VLOOKUP(F29,Tabela7[[RECURSO]:[CUSTO]],3,FALSE),0)</f>
        <v>0</v>
      </c>
      <c r="K29" s="45">
        <f t="shared" si="34"/>
        <v>0</v>
      </c>
      <c r="AD29" s="144" t="str">
        <f t="shared" si="3"/>
        <v>Capa Concreto</v>
      </c>
      <c r="AE29" s="179"/>
      <c r="AF29" s="180">
        <f t="shared" si="20"/>
        <v>0</v>
      </c>
      <c r="AG29" s="180">
        <f t="shared" si="17"/>
        <v>0</v>
      </c>
      <c r="AH29" s="181">
        <f t="shared" si="21"/>
        <v>0</v>
      </c>
      <c r="AI29" s="182"/>
      <c r="AJ29" s="90"/>
      <c r="AK29" s="90"/>
      <c r="AL29" s="183">
        <f t="shared" si="22"/>
        <v>0</v>
      </c>
      <c r="AM29" s="182"/>
      <c r="AN29" s="90"/>
      <c r="AO29" s="90"/>
      <c r="AP29" s="183">
        <f t="shared" si="23"/>
        <v>0</v>
      </c>
      <c r="AQ29" s="182"/>
      <c r="AR29" s="90"/>
      <c r="AS29" s="90"/>
      <c r="AT29" s="183">
        <f t="shared" si="24"/>
        <v>0</v>
      </c>
      <c r="AU29" s="182"/>
      <c r="AV29" s="90"/>
      <c r="AW29" s="90"/>
      <c r="AX29" s="183">
        <f t="shared" si="25"/>
        <v>0</v>
      </c>
      <c r="AY29" s="182"/>
      <c r="AZ29" s="90"/>
      <c r="BA29" s="90"/>
      <c r="BB29" s="183">
        <f t="shared" si="26"/>
        <v>0</v>
      </c>
      <c r="BC29" s="182"/>
      <c r="BD29" s="90"/>
      <c r="BE29" s="90"/>
      <c r="BF29" s="183">
        <f t="shared" si="27"/>
        <v>0</v>
      </c>
      <c r="BG29" s="182"/>
      <c r="BH29" s="90"/>
      <c r="BI29" s="90"/>
      <c r="BJ29" s="183">
        <f t="shared" si="28"/>
        <v>0</v>
      </c>
      <c r="BK29" s="182"/>
      <c r="BL29" s="90"/>
      <c r="BM29" s="90"/>
      <c r="BN29" s="183">
        <f t="shared" si="29"/>
        <v>0</v>
      </c>
      <c r="BO29" s="182"/>
      <c r="BP29" s="90"/>
      <c r="BQ29" s="90"/>
      <c r="BR29" s="183">
        <f t="shared" si="30"/>
        <v>0</v>
      </c>
      <c r="BS29" s="182"/>
      <c r="BT29" s="90"/>
      <c r="BU29" s="90"/>
      <c r="BV29" s="183">
        <f t="shared" si="31"/>
        <v>0</v>
      </c>
      <c r="BW29" s="182"/>
      <c r="BX29" s="90"/>
      <c r="BY29" s="90"/>
      <c r="BZ29" s="183">
        <f t="shared" si="32"/>
        <v>0</v>
      </c>
      <c r="CA29" s="182"/>
      <c r="CB29" s="90"/>
      <c r="CC29" s="90"/>
      <c r="CD29" s="183">
        <f t="shared" si="33"/>
        <v>0</v>
      </c>
    </row>
    <row r="30" spans="2:82" x14ac:dyDescent="0.3">
      <c r="B30" s="53"/>
      <c r="C30" s="53" t="str">
        <f t="shared" si="0"/>
        <v>CPU_CapaConcreto</v>
      </c>
      <c r="D30" s="278">
        <f t="shared" si="1"/>
        <v>0.2</v>
      </c>
      <c r="E30" s="278">
        <f t="shared" si="2"/>
        <v>0</v>
      </c>
      <c r="F30" s="1"/>
      <c r="G30" s="28" t="str">
        <f>IFERROR(VLOOKUP(F30,Tabela7[[RECURSO]:[CUSTO]],2,FALSE),"")</f>
        <v/>
      </c>
      <c r="H30" s="93"/>
      <c r="I30" s="90"/>
      <c r="J30" s="45">
        <f>IFERROR(VLOOKUP(F30,Tabela7[[RECURSO]:[CUSTO]],3,FALSE),0)</f>
        <v>0</v>
      </c>
      <c r="K30" s="45">
        <f t="shared" si="34"/>
        <v>0</v>
      </c>
      <c r="AD30" s="144" t="str">
        <f t="shared" si="3"/>
        <v>Capa Concreto</v>
      </c>
      <c r="AE30" s="179"/>
      <c r="AF30" s="180">
        <f t="shared" si="20"/>
        <v>0</v>
      </c>
      <c r="AG30" s="180">
        <f t="shared" si="17"/>
        <v>0</v>
      </c>
      <c r="AH30" s="181">
        <f t="shared" si="21"/>
        <v>0</v>
      </c>
      <c r="AI30" s="182"/>
      <c r="AJ30" s="90"/>
      <c r="AK30" s="90"/>
      <c r="AL30" s="183">
        <f t="shared" si="22"/>
        <v>0</v>
      </c>
      <c r="AM30" s="182"/>
      <c r="AN30" s="90"/>
      <c r="AO30" s="90"/>
      <c r="AP30" s="183">
        <f t="shared" si="23"/>
        <v>0</v>
      </c>
      <c r="AQ30" s="182"/>
      <c r="AR30" s="90"/>
      <c r="AS30" s="90"/>
      <c r="AT30" s="183">
        <f t="shared" si="24"/>
        <v>0</v>
      </c>
      <c r="AU30" s="182"/>
      <c r="AV30" s="90"/>
      <c r="AW30" s="90"/>
      <c r="AX30" s="183">
        <f t="shared" si="25"/>
        <v>0</v>
      </c>
      <c r="AY30" s="182"/>
      <c r="AZ30" s="90"/>
      <c r="BA30" s="90"/>
      <c r="BB30" s="183">
        <f t="shared" si="26"/>
        <v>0</v>
      </c>
      <c r="BC30" s="182"/>
      <c r="BD30" s="90"/>
      <c r="BE30" s="90"/>
      <c r="BF30" s="183">
        <f t="shared" si="27"/>
        <v>0</v>
      </c>
      <c r="BG30" s="182"/>
      <c r="BH30" s="90"/>
      <c r="BI30" s="90"/>
      <c r="BJ30" s="183">
        <f t="shared" si="28"/>
        <v>0</v>
      </c>
      <c r="BK30" s="182"/>
      <c r="BL30" s="90"/>
      <c r="BM30" s="90"/>
      <c r="BN30" s="183">
        <f t="shared" si="29"/>
        <v>0</v>
      </c>
      <c r="BO30" s="182"/>
      <c r="BP30" s="90"/>
      <c r="BQ30" s="90"/>
      <c r="BR30" s="183">
        <f t="shared" si="30"/>
        <v>0</v>
      </c>
      <c r="BS30" s="182"/>
      <c r="BT30" s="90"/>
      <c r="BU30" s="90"/>
      <c r="BV30" s="183">
        <f t="shared" si="31"/>
        <v>0</v>
      </c>
      <c r="BW30" s="182"/>
      <c r="BX30" s="90"/>
      <c r="BY30" s="90"/>
      <c r="BZ30" s="183">
        <f t="shared" si="32"/>
        <v>0</v>
      </c>
      <c r="CA30" s="182"/>
      <c r="CB30" s="90"/>
      <c r="CC30" s="90"/>
      <c r="CD30" s="183">
        <f t="shared" si="33"/>
        <v>0</v>
      </c>
    </row>
    <row r="31" spans="2:82" x14ac:dyDescent="0.3">
      <c r="B31" s="53"/>
      <c r="C31" s="53" t="str">
        <f t="shared" si="0"/>
        <v>CPU_CapaConcreto</v>
      </c>
      <c r="D31" s="278">
        <f t="shared" si="1"/>
        <v>0.2</v>
      </c>
      <c r="E31" s="278">
        <f t="shared" si="2"/>
        <v>0</v>
      </c>
      <c r="F31" s="1"/>
      <c r="G31" s="28" t="str">
        <f>IFERROR(VLOOKUP(F31,Tabela7[[RECURSO]:[CUSTO]],2,FALSE),"")</f>
        <v/>
      </c>
      <c r="H31" s="93"/>
      <c r="I31" s="90"/>
      <c r="J31" s="45">
        <f>IFERROR(VLOOKUP(F31,Tabela7[[RECURSO]:[CUSTO]],3,FALSE),0)</f>
        <v>0</v>
      </c>
      <c r="K31" s="45">
        <f t="shared" si="34"/>
        <v>0</v>
      </c>
      <c r="AD31" s="144" t="str">
        <f t="shared" si="3"/>
        <v>Capa Concreto</v>
      </c>
      <c r="AE31" s="179"/>
      <c r="AF31" s="180">
        <f t="shared" si="20"/>
        <v>0</v>
      </c>
      <c r="AG31" s="180">
        <f t="shared" si="17"/>
        <v>0</v>
      </c>
      <c r="AH31" s="181">
        <f t="shared" si="21"/>
        <v>0</v>
      </c>
      <c r="AI31" s="182"/>
      <c r="AJ31" s="90"/>
      <c r="AK31" s="90"/>
      <c r="AL31" s="183">
        <f t="shared" si="22"/>
        <v>0</v>
      </c>
      <c r="AM31" s="182"/>
      <c r="AN31" s="90"/>
      <c r="AO31" s="90"/>
      <c r="AP31" s="183">
        <f t="shared" si="23"/>
        <v>0</v>
      </c>
      <c r="AQ31" s="182"/>
      <c r="AR31" s="90"/>
      <c r="AS31" s="90"/>
      <c r="AT31" s="183">
        <f t="shared" si="24"/>
        <v>0</v>
      </c>
      <c r="AU31" s="182"/>
      <c r="AV31" s="90"/>
      <c r="AW31" s="90"/>
      <c r="AX31" s="183">
        <f t="shared" si="25"/>
        <v>0</v>
      </c>
      <c r="AY31" s="182"/>
      <c r="AZ31" s="90"/>
      <c r="BA31" s="90"/>
      <c r="BB31" s="183">
        <f t="shared" si="26"/>
        <v>0</v>
      </c>
      <c r="BC31" s="182"/>
      <c r="BD31" s="90"/>
      <c r="BE31" s="90"/>
      <c r="BF31" s="183">
        <f t="shared" si="27"/>
        <v>0</v>
      </c>
      <c r="BG31" s="182"/>
      <c r="BH31" s="90"/>
      <c r="BI31" s="90"/>
      <c r="BJ31" s="183">
        <f t="shared" si="28"/>
        <v>0</v>
      </c>
      <c r="BK31" s="182"/>
      <c r="BL31" s="90"/>
      <c r="BM31" s="90"/>
      <c r="BN31" s="183">
        <f t="shared" si="29"/>
        <v>0</v>
      </c>
      <c r="BO31" s="182"/>
      <c r="BP31" s="90"/>
      <c r="BQ31" s="90"/>
      <c r="BR31" s="183">
        <f t="shared" si="30"/>
        <v>0</v>
      </c>
      <c r="BS31" s="182"/>
      <c r="BT31" s="90"/>
      <c r="BU31" s="90"/>
      <c r="BV31" s="183">
        <f t="shared" si="31"/>
        <v>0</v>
      </c>
      <c r="BW31" s="182"/>
      <c r="BX31" s="90"/>
      <c r="BY31" s="90"/>
      <c r="BZ31" s="183">
        <f t="shared" si="32"/>
        <v>0</v>
      </c>
      <c r="CA31" s="182"/>
      <c r="CB31" s="90"/>
      <c r="CC31" s="90"/>
      <c r="CD31" s="183">
        <f t="shared" si="33"/>
        <v>0</v>
      </c>
    </row>
    <row r="32" spans="2:82" x14ac:dyDescent="0.3">
      <c r="B32" s="53"/>
      <c r="C32" s="53" t="str">
        <f t="shared" si="0"/>
        <v>CPU_CapaConcreto</v>
      </c>
      <c r="D32" s="278">
        <f t="shared" si="1"/>
        <v>0.2</v>
      </c>
      <c r="E32" s="278">
        <f t="shared" si="2"/>
        <v>0</v>
      </c>
      <c r="F32" s="1"/>
      <c r="G32" s="28" t="str">
        <f>IFERROR(VLOOKUP(F32,Tabela7[[RECURSO]:[CUSTO]],2,FALSE),"")</f>
        <v/>
      </c>
      <c r="H32" s="93"/>
      <c r="I32" s="90"/>
      <c r="J32" s="45">
        <f>IFERROR(VLOOKUP(F32,Tabela7[[RECURSO]:[CUSTO]],3,FALSE),0)</f>
        <v>0</v>
      </c>
      <c r="K32" s="45">
        <f t="shared" si="34"/>
        <v>0</v>
      </c>
      <c r="AD32" s="144" t="str">
        <f t="shared" si="3"/>
        <v>Capa Concreto</v>
      </c>
      <c r="AE32" s="179"/>
      <c r="AF32" s="180">
        <f t="shared" si="20"/>
        <v>0</v>
      </c>
      <c r="AG32" s="180">
        <f t="shared" si="17"/>
        <v>0</v>
      </c>
      <c r="AH32" s="181">
        <f t="shared" si="21"/>
        <v>0</v>
      </c>
      <c r="AI32" s="182"/>
      <c r="AJ32" s="90"/>
      <c r="AK32" s="90"/>
      <c r="AL32" s="183">
        <f t="shared" si="22"/>
        <v>0</v>
      </c>
      <c r="AM32" s="182"/>
      <c r="AN32" s="90"/>
      <c r="AO32" s="90"/>
      <c r="AP32" s="183">
        <f t="shared" si="23"/>
        <v>0</v>
      </c>
      <c r="AQ32" s="182"/>
      <c r="AR32" s="90"/>
      <c r="AS32" s="90"/>
      <c r="AT32" s="183">
        <f t="shared" si="24"/>
        <v>0</v>
      </c>
      <c r="AU32" s="182"/>
      <c r="AV32" s="90"/>
      <c r="AW32" s="90"/>
      <c r="AX32" s="183">
        <f t="shared" si="25"/>
        <v>0</v>
      </c>
      <c r="AY32" s="182"/>
      <c r="AZ32" s="90"/>
      <c r="BA32" s="90"/>
      <c r="BB32" s="183">
        <f t="shared" si="26"/>
        <v>0</v>
      </c>
      <c r="BC32" s="182"/>
      <c r="BD32" s="90"/>
      <c r="BE32" s="90"/>
      <c r="BF32" s="183">
        <f t="shared" si="27"/>
        <v>0</v>
      </c>
      <c r="BG32" s="182"/>
      <c r="BH32" s="90"/>
      <c r="BI32" s="90"/>
      <c r="BJ32" s="183">
        <f t="shared" si="28"/>
        <v>0</v>
      </c>
      <c r="BK32" s="182"/>
      <c r="BL32" s="90"/>
      <c r="BM32" s="90"/>
      <c r="BN32" s="183">
        <f t="shared" si="29"/>
        <v>0</v>
      </c>
      <c r="BO32" s="182"/>
      <c r="BP32" s="90"/>
      <c r="BQ32" s="90"/>
      <c r="BR32" s="183">
        <f t="shared" si="30"/>
        <v>0</v>
      </c>
      <c r="BS32" s="182"/>
      <c r="BT32" s="90"/>
      <c r="BU32" s="90"/>
      <c r="BV32" s="183">
        <f t="shared" si="31"/>
        <v>0</v>
      </c>
      <c r="BW32" s="182"/>
      <c r="BX32" s="90"/>
      <c r="BY32" s="90"/>
      <c r="BZ32" s="183">
        <f t="shared" si="32"/>
        <v>0</v>
      </c>
      <c r="CA32" s="182"/>
      <c r="CB32" s="90"/>
      <c r="CC32" s="90"/>
      <c r="CD32" s="183">
        <f t="shared" si="33"/>
        <v>0</v>
      </c>
    </row>
    <row r="33" spans="2:82" x14ac:dyDescent="0.3">
      <c r="B33" s="53"/>
      <c r="C33" s="53" t="str">
        <f t="shared" si="0"/>
        <v>CPU_CapaConcreto</v>
      </c>
      <c r="D33" s="278">
        <f t="shared" si="1"/>
        <v>0.2</v>
      </c>
      <c r="E33" s="278">
        <f t="shared" si="2"/>
        <v>0</v>
      </c>
      <c r="F33" s="1"/>
      <c r="G33" s="28" t="str">
        <f>IFERROR(VLOOKUP(F33,Tabela7[[RECURSO]:[CUSTO]],2,FALSE),"")</f>
        <v/>
      </c>
      <c r="H33" s="93"/>
      <c r="I33" s="90"/>
      <c r="J33" s="45">
        <f>IFERROR(VLOOKUP(F33,Tabela7[[RECURSO]:[CUSTO]],3,FALSE),0)</f>
        <v>0</v>
      </c>
      <c r="K33" s="45">
        <f t="shared" si="34"/>
        <v>0</v>
      </c>
      <c r="AD33" s="144" t="str">
        <f t="shared" si="3"/>
        <v>Capa Concreto</v>
      </c>
      <c r="AE33" s="179"/>
      <c r="AF33" s="180">
        <f t="shared" si="20"/>
        <v>0</v>
      </c>
      <c r="AG33" s="180">
        <f t="shared" si="17"/>
        <v>0</v>
      </c>
      <c r="AH33" s="181">
        <f t="shared" si="21"/>
        <v>0</v>
      </c>
      <c r="AI33" s="182"/>
      <c r="AJ33" s="90"/>
      <c r="AK33" s="90"/>
      <c r="AL33" s="183">
        <f t="shared" si="22"/>
        <v>0</v>
      </c>
      <c r="AM33" s="182"/>
      <c r="AN33" s="90"/>
      <c r="AO33" s="90"/>
      <c r="AP33" s="183">
        <f t="shared" si="23"/>
        <v>0</v>
      </c>
      <c r="AQ33" s="182"/>
      <c r="AR33" s="90"/>
      <c r="AS33" s="90"/>
      <c r="AT33" s="183">
        <f t="shared" si="24"/>
        <v>0</v>
      </c>
      <c r="AU33" s="182"/>
      <c r="AV33" s="90"/>
      <c r="AW33" s="90"/>
      <c r="AX33" s="183">
        <f t="shared" si="25"/>
        <v>0</v>
      </c>
      <c r="AY33" s="182"/>
      <c r="AZ33" s="90"/>
      <c r="BA33" s="90"/>
      <c r="BB33" s="183">
        <f t="shared" si="26"/>
        <v>0</v>
      </c>
      <c r="BC33" s="182"/>
      <c r="BD33" s="90"/>
      <c r="BE33" s="90"/>
      <c r="BF33" s="183">
        <f t="shared" si="27"/>
        <v>0</v>
      </c>
      <c r="BG33" s="182"/>
      <c r="BH33" s="90"/>
      <c r="BI33" s="90"/>
      <c r="BJ33" s="183">
        <f t="shared" si="28"/>
        <v>0</v>
      </c>
      <c r="BK33" s="182"/>
      <c r="BL33" s="90"/>
      <c r="BM33" s="90"/>
      <c r="BN33" s="183">
        <f t="shared" si="29"/>
        <v>0</v>
      </c>
      <c r="BO33" s="182"/>
      <c r="BP33" s="90"/>
      <c r="BQ33" s="90"/>
      <c r="BR33" s="183">
        <f t="shared" si="30"/>
        <v>0</v>
      </c>
      <c r="BS33" s="182"/>
      <c r="BT33" s="90"/>
      <c r="BU33" s="90"/>
      <c r="BV33" s="183">
        <f t="shared" si="31"/>
        <v>0</v>
      </c>
      <c r="BW33" s="182"/>
      <c r="BX33" s="90"/>
      <c r="BY33" s="90"/>
      <c r="BZ33" s="183">
        <f t="shared" si="32"/>
        <v>0</v>
      </c>
      <c r="CA33" s="182"/>
      <c r="CB33" s="90"/>
      <c r="CC33" s="90"/>
      <c r="CD33" s="183">
        <f t="shared" si="33"/>
        <v>0</v>
      </c>
    </row>
    <row r="34" spans="2:82" x14ac:dyDescent="0.3">
      <c r="B34" s="53"/>
      <c r="C34" s="53" t="str">
        <f t="shared" si="0"/>
        <v>CPU_CapaConcreto</v>
      </c>
      <c r="D34" s="278">
        <f t="shared" si="1"/>
        <v>0.2</v>
      </c>
      <c r="E34" s="278">
        <f t="shared" si="2"/>
        <v>0</v>
      </c>
      <c r="F34" s="1"/>
      <c r="G34" s="28" t="str">
        <f>IFERROR(VLOOKUP(F34,Tabela7[[RECURSO]:[CUSTO]],2,FALSE),"")</f>
        <v/>
      </c>
      <c r="H34" s="93"/>
      <c r="I34" s="90"/>
      <c r="J34" s="45">
        <f>IFERROR(VLOOKUP(F34,Tabela7[[RECURSO]:[CUSTO]],3,FALSE),0)</f>
        <v>0</v>
      </c>
      <c r="K34" s="45">
        <f t="shared" si="34"/>
        <v>0</v>
      </c>
      <c r="AD34" s="144" t="str">
        <f t="shared" si="3"/>
        <v>Capa Concreto</v>
      </c>
      <c r="AE34" s="179"/>
      <c r="AF34" s="180">
        <f t="shared" si="20"/>
        <v>0</v>
      </c>
      <c r="AG34" s="180">
        <f t="shared" si="17"/>
        <v>0</v>
      </c>
      <c r="AH34" s="181">
        <f t="shared" si="21"/>
        <v>0</v>
      </c>
      <c r="AI34" s="182"/>
      <c r="AJ34" s="90"/>
      <c r="AK34" s="90"/>
      <c r="AL34" s="183">
        <f t="shared" si="22"/>
        <v>0</v>
      </c>
      <c r="AM34" s="182"/>
      <c r="AN34" s="90"/>
      <c r="AO34" s="90"/>
      <c r="AP34" s="183">
        <f t="shared" si="23"/>
        <v>0</v>
      </c>
      <c r="AQ34" s="182"/>
      <c r="AR34" s="90"/>
      <c r="AS34" s="90"/>
      <c r="AT34" s="183">
        <f t="shared" si="24"/>
        <v>0</v>
      </c>
      <c r="AU34" s="182"/>
      <c r="AV34" s="90"/>
      <c r="AW34" s="90"/>
      <c r="AX34" s="183">
        <f t="shared" si="25"/>
        <v>0</v>
      </c>
      <c r="AY34" s="182"/>
      <c r="AZ34" s="90"/>
      <c r="BA34" s="90"/>
      <c r="BB34" s="183">
        <f t="shared" si="26"/>
        <v>0</v>
      </c>
      <c r="BC34" s="182"/>
      <c r="BD34" s="90"/>
      <c r="BE34" s="90"/>
      <c r="BF34" s="183">
        <f t="shared" si="27"/>
        <v>0</v>
      </c>
      <c r="BG34" s="182"/>
      <c r="BH34" s="90"/>
      <c r="BI34" s="90"/>
      <c r="BJ34" s="183">
        <f t="shared" si="28"/>
        <v>0</v>
      </c>
      <c r="BK34" s="182"/>
      <c r="BL34" s="90"/>
      <c r="BM34" s="90"/>
      <c r="BN34" s="183">
        <f t="shared" si="29"/>
        <v>0</v>
      </c>
      <c r="BO34" s="182"/>
      <c r="BP34" s="90"/>
      <c r="BQ34" s="90"/>
      <c r="BR34" s="183">
        <f t="shared" si="30"/>
        <v>0</v>
      </c>
      <c r="BS34" s="182"/>
      <c r="BT34" s="90"/>
      <c r="BU34" s="90"/>
      <c r="BV34" s="183">
        <f t="shared" si="31"/>
        <v>0</v>
      </c>
      <c r="BW34" s="182"/>
      <c r="BX34" s="90"/>
      <c r="BY34" s="90"/>
      <c r="BZ34" s="183">
        <f t="shared" si="32"/>
        <v>0</v>
      </c>
      <c r="CA34" s="182"/>
      <c r="CB34" s="90"/>
      <c r="CC34" s="90"/>
      <c r="CD34" s="183">
        <f t="shared" si="33"/>
        <v>0</v>
      </c>
    </row>
    <row r="35" spans="2:82" x14ac:dyDescent="0.3">
      <c r="B35" s="53"/>
      <c r="C35" s="53" t="str">
        <f t="shared" si="0"/>
        <v>CPU_CapaConcreto</v>
      </c>
      <c r="D35" s="278">
        <f t="shared" si="1"/>
        <v>0.2</v>
      </c>
      <c r="E35" s="278">
        <f t="shared" si="2"/>
        <v>0</v>
      </c>
      <c r="F35" s="1"/>
      <c r="G35" s="28" t="str">
        <f>IFERROR(VLOOKUP(F35,Tabela7[[RECURSO]:[CUSTO]],2,FALSE),"")</f>
        <v/>
      </c>
      <c r="H35" s="93"/>
      <c r="I35" s="90"/>
      <c r="J35" s="45">
        <f>IFERROR(VLOOKUP(F35,Tabela7[[RECURSO]:[CUSTO]],3,FALSE),0)</f>
        <v>0</v>
      </c>
      <c r="K35" s="45">
        <f t="shared" si="34"/>
        <v>0</v>
      </c>
      <c r="AD35" s="144" t="str">
        <f t="shared" si="3"/>
        <v>Capa Concreto</v>
      </c>
      <c r="AE35" s="179"/>
      <c r="AF35" s="180">
        <f t="shared" si="20"/>
        <v>0</v>
      </c>
      <c r="AG35" s="180">
        <f t="shared" si="17"/>
        <v>0</v>
      </c>
      <c r="AH35" s="181">
        <f t="shared" si="21"/>
        <v>0</v>
      </c>
      <c r="AI35" s="182"/>
      <c r="AJ35" s="90"/>
      <c r="AK35" s="90"/>
      <c r="AL35" s="183">
        <f t="shared" si="22"/>
        <v>0</v>
      </c>
      <c r="AM35" s="182"/>
      <c r="AN35" s="90"/>
      <c r="AO35" s="90"/>
      <c r="AP35" s="183">
        <f t="shared" si="23"/>
        <v>0</v>
      </c>
      <c r="AQ35" s="182"/>
      <c r="AR35" s="90"/>
      <c r="AS35" s="90"/>
      <c r="AT35" s="183">
        <f t="shared" si="24"/>
        <v>0</v>
      </c>
      <c r="AU35" s="182"/>
      <c r="AV35" s="90"/>
      <c r="AW35" s="90"/>
      <c r="AX35" s="183">
        <f t="shared" si="25"/>
        <v>0</v>
      </c>
      <c r="AY35" s="182"/>
      <c r="AZ35" s="90"/>
      <c r="BA35" s="90"/>
      <c r="BB35" s="183">
        <f t="shared" si="26"/>
        <v>0</v>
      </c>
      <c r="BC35" s="182"/>
      <c r="BD35" s="90"/>
      <c r="BE35" s="90"/>
      <c r="BF35" s="183">
        <f t="shared" si="27"/>
        <v>0</v>
      </c>
      <c r="BG35" s="182"/>
      <c r="BH35" s="90"/>
      <c r="BI35" s="90"/>
      <c r="BJ35" s="183">
        <f t="shared" si="28"/>
        <v>0</v>
      </c>
      <c r="BK35" s="182"/>
      <c r="BL35" s="90"/>
      <c r="BM35" s="90"/>
      <c r="BN35" s="183">
        <f t="shared" si="29"/>
        <v>0</v>
      </c>
      <c r="BO35" s="182"/>
      <c r="BP35" s="90"/>
      <c r="BQ35" s="90"/>
      <c r="BR35" s="183">
        <f t="shared" si="30"/>
        <v>0</v>
      </c>
      <c r="BS35" s="182"/>
      <c r="BT35" s="90"/>
      <c r="BU35" s="90"/>
      <c r="BV35" s="183">
        <f t="shared" si="31"/>
        <v>0</v>
      </c>
      <c r="BW35" s="182"/>
      <c r="BX35" s="90"/>
      <c r="BY35" s="90"/>
      <c r="BZ35" s="183">
        <f t="shared" si="32"/>
        <v>0</v>
      </c>
      <c r="CA35" s="182"/>
      <c r="CB35" s="90"/>
      <c r="CC35" s="90"/>
      <c r="CD35" s="183">
        <f t="shared" si="33"/>
        <v>0</v>
      </c>
    </row>
    <row r="36" spans="2:82" x14ac:dyDescent="0.3">
      <c r="B36" s="53"/>
      <c r="C36" s="53" t="str">
        <f t="shared" si="0"/>
        <v>CPU_CapaConcreto</v>
      </c>
      <c r="D36" s="278">
        <f t="shared" si="1"/>
        <v>0.2</v>
      </c>
      <c r="E36" s="278">
        <f t="shared" si="2"/>
        <v>0</v>
      </c>
      <c r="F36" s="1"/>
      <c r="G36" s="28" t="str">
        <f>IFERROR(VLOOKUP(F36,Tabela7[[RECURSO]:[CUSTO]],2,FALSE),"")</f>
        <v/>
      </c>
      <c r="H36" s="93"/>
      <c r="I36" s="90"/>
      <c r="J36" s="45">
        <f>IFERROR(VLOOKUP(F36,Tabela7[[RECURSO]:[CUSTO]],3,FALSE),0)</f>
        <v>0</v>
      </c>
      <c r="K36" s="45">
        <f t="shared" si="34"/>
        <v>0</v>
      </c>
      <c r="AD36" s="144" t="str">
        <f t="shared" si="3"/>
        <v>Capa Concreto</v>
      </c>
      <c r="AE36" s="179"/>
      <c r="AF36" s="180">
        <f t="shared" si="20"/>
        <v>0</v>
      </c>
      <c r="AG36" s="180">
        <f t="shared" si="17"/>
        <v>0</v>
      </c>
      <c r="AH36" s="181">
        <f t="shared" si="21"/>
        <v>0</v>
      </c>
      <c r="AI36" s="182"/>
      <c r="AJ36" s="90"/>
      <c r="AK36" s="90"/>
      <c r="AL36" s="183">
        <f t="shared" si="22"/>
        <v>0</v>
      </c>
      <c r="AM36" s="182"/>
      <c r="AN36" s="90"/>
      <c r="AO36" s="90"/>
      <c r="AP36" s="183">
        <f t="shared" si="23"/>
        <v>0</v>
      </c>
      <c r="AQ36" s="182"/>
      <c r="AR36" s="90"/>
      <c r="AS36" s="90"/>
      <c r="AT36" s="183">
        <f t="shared" si="24"/>
        <v>0</v>
      </c>
      <c r="AU36" s="182"/>
      <c r="AV36" s="90"/>
      <c r="AW36" s="90"/>
      <c r="AX36" s="183">
        <f t="shared" si="25"/>
        <v>0</v>
      </c>
      <c r="AY36" s="182"/>
      <c r="AZ36" s="90"/>
      <c r="BA36" s="90"/>
      <c r="BB36" s="183">
        <f t="shared" si="26"/>
        <v>0</v>
      </c>
      <c r="BC36" s="182"/>
      <c r="BD36" s="90"/>
      <c r="BE36" s="90"/>
      <c r="BF36" s="183">
        <f t="shared" si="27"/>
        <v>0</v>
      </c>
      <c r="BG36" s="182"/>
      <c r="BH36" s="90"/>
      <c r="BI36" s="90"/>
      <c r="BJ36" s="183">
        <f t="shared" si="28"/>
        <v>0</v>
      </c>
      <c r="BK36" s="182"/>
      <c r="BL36" s="90"/>
      <c r="BM36" s="90"/>
      <c r="BN36" s="183">
        <f t="shared" si="29"/>
        <v>0</v>
      </c>
      <c r="BO36" s="182"/>
      <c r="BP36" s="90"/>
      <c r="BQ36" s="90"/>
      <c r="BR36" s="183">
        <f t="shared" si="30"/>
        <v>0</v>
      </c>
      <c r="BS36" s="182"/>
      <c r="BT36" s="90"/>
      <c r="BU36" s="90"/>
      <c r="BV36" s="183">
        <f t="shared" si="31"/>
        <v>0</v>
      </c>
      <c r="BW36" s="182"/>
      <c r="BX36" s="90"/>
      <c r="BY36" s="90"/>
      <c r="BZ36" s="183">
        <f t="shared" si="32"/>
        <v>0</v>
      </c>
      <c r="CA36" s="182"/>
      <c r="CB36" s="90"/>
      <c r="CC36" s="90"/>
      <c r="CD36" s="183">
        <f t="shared" si="33"/>
        <v>0</v>
      </c>
    </row>
    <row r="37" spans="2:82" x14ac:dyDescent="0.3">
      <c r="B37" s="52" t="s">
        <v>692</v>
      </c>
      <c r="C37" s="52" t="str">
        <f t="shared" si="0"/>
        <v>CPU_CapaConcreto</v>
      </c>
      <c r="D37" s="277">
        <f t="shared" si="1"/>
        <v>0.2</v>
      </c>
      <c r="E37" s="277">
        <f t="shared" si="2"/>
        <v>0</v>
      </c>
      <c r="F37" s="37"/>
      <c r="G37" s="38"/>
      <c r="H37" s="91"/>
      <c r="I37" s="40"/>
      <c r="J37" s="40">
        <f>IFERROR(K37/$B$6,0)</f>
        <v>0</v>
      </c>
      <c r="K37" s="40">
        <f>SUM(K38:K49)</f>
        <v>0</v>
      </c>
      <c r="N37" s="39"/>
      <c r="AD37" s="144" t="str">
        <f t="shared" si="3"/>
        <v>Capa Concreto</v>
      </c>
      <c r="AE37" s="184"/>
      <c r="AF37" s="40"/>
      <c r="AG37" s="40">
        <f>IFERROR(AH37/AF$3,0)</f>
        <v>0</v>
      </c>
      <c r="AH37" s="185">
        <f>SUM(AH38:AH49)</f>
        <v>0</v>
      </c>
      <c r="AI37" s="184"/>
      <c r="AJ37" s="40"/>
      <c r="AK37" s="40">
        <f>IFERROR(AL37/AJ$3,0)</f>
        <v>0</v>
      </c>
      <c r="AL37" s="185">
        <f>SUM(AL38:AL49)</f>
        <v>0</v>
      </c>
      <c r="AM37" s="184"/>
      <c r="AN37" s="40"/>
      <c r="AO37" s="40">
        <f>IFERROR(AP37/AN$3,0)</f>
        <v>0</v>
      </c>
      <c r="AP37" s="185">
        <f>SUM(AP38:AP49)</f>
        <v>0</v>
      </c>
      <c r="AQ37" s="184"/>
      <c r="AR37" s="40"/>
      <c r="AS37" s="40">
        <f>IFERROR(AT37/AR$3,0)</f>
        <v>0</v>
      </c>
      <c r="AT37" s="185">
        <f>SUM(AT38:AT49)</f>
        <v>0</v>
      </c>
      <c r="AU37" s="184"/>
      <c r="AV37" s="40"/>
      <c r="AW37" s="40">
        <f>IFERROR(AX37/AV$3,0)</f>
        <v>0</v>
      </c>
      <c r="AX37" s="185">
        <f>SUM(AX38:AX49)</f>
        <v>0</v>
      </c>
      <c r="AY37" s="184"/>
      <c r="AZ37" s="40"/>
      <c r="BA37" s="40">
        <f>IFERROR(BB37/AZ$3,0)</f>
        <v>0</v>
      </c>
      <c r="BB37" s="185">
        <f>SUM(BB38:BB49)</f>
        <v>0</v>
      </c>
      <c r="BC37" s="184"/>
      <c r="BD37" s="40"/>
      <c r="BE37" s="40">
        <f>IFERROR(BF37/BD$3,0)</f>
        <v>0</v>
      </c>
      <c r="BF37" s="185">
        <f>SUM(BF38:BF49)</f>
        <v>0</v>
      </c>
      <c r="BG37" s="184"/>
      <c r="BH37" s="40"/>
      <c r="BI37" s="40">
        <f>IFERROR(BJ37/BH$3,0)</f>
        <v>0</v>
      </c>
      <c r="BJ37" s="185">
        <f>SUM(BJ38:BJ49)</f>
        <v>0</v>
      </c>
      <c r="BK37" s="184"/>
      <c r="BL37" s="40"/>
      <c r="BM37" s="40">
        <f>IFERROR(BN37/BL$3,0)</f>
        <v>0</v>
      </c>
      <c r="BN37" s="185">
        <f>SUM(BN38:BN49)</f>
        <v>0</v>
      </c>
      <c r="BO37" s="184"/>
      <c r="BP37" s="40"/>
      <c r="BQ37" s="40">
        <f>IFERROR(BR37/BP$3,0)</f>
        <v>0</v>
      </c>
      <c r="BR37" s="185">
        <f>SUM(BR38:BR49)</f>
        <v>0</v>
      </c>
      <c r="BS37" s="184"/>
      <c r="BT37" s="40"/>
      <c r="BU37" s="40">
        <f>IFERROR(BV37/BT$3,0)</f>
        <v>0</v>
      </c>
      <c r="BV37" s="185">
        <f>SUM(BV38:BV49)</f>
        <v>0</v>
      </c>
      <c r="BW37" s="184"/>
      <c r="BX37" s="40"/>
      <c r="BY37" s="40">
        <f>IFERROR(BZ37/BX$3,0)</f>
        <v>0</v>
      </c>
      <c r="BZ37" s="185">
        <f>SUM(BZ38:BZ49)</f>
        <v>0</v>
      </c>
      <c r="CA37" s="184"/>
      <c r="CB37" s="40"/>
      <c r="CC37" s="40">
        <f>IFERROR(CD37/CB$3,0)</f>
        <v>0</v>
      </c>
      <c r="CD37" s="185">
        <f>SUM(CD38:CD49)</f>
        <v>0</v>
      </c>
    </row>
    <row r="38" spans="2:82" x14ac:dyDescent="0.3">
      <c r="B38" s="54"/>
      <c r="C38" s="54" t="str">
        <f t="shared" si="0"/>
        <v>CPU_CapaConcreto</v>
      </c>
      <c r="D38" s="280">
        <f t="shared" si="1"/>
        <v>0.2</v>
      </c>
      <c r="E38" s="280">
        <f t="shared" si="2"/>
        <v>0</v>
      </c>
      <c r="F38" s="1" t="s">
        <v>795</v>
      </c>
      <c r="G38" s="28" t="str">
        <f>IFERROR(VLOOKUP(F38,Tabela7[[RECURSO]:[CUSTO]],2,FALSE),"")</f>
        <v>H</v>
      </c>
      <c r="H38" s="92"/>
      <c r="I38" s="90"/>
      <c r="J38" s="45">
        <f>IFERROR(VLOOKUP(F38,Tabela7[[RECURSO]:[CUSTO]],3,FALSE),0)</f>
        <v>39.886288008565316</v>
      </c>
      <c r="K38" s="45">
        <f>I38*J38*CPU_43[[#This Row],[Nº]]</f>
        <v>0</v>
      </c>
      <c r="AD38" s="144" t="str">
        <f t="shared" si="3"/>
        <v>Capa Concreto</v>
      </c>
      <c r="AE38" s="186"/>
      <c r="AF38" s="180">
        <f t="shared" ref="AF38:AF49" si="35">AJ38+AN38+AR38+AV38+AZ38+BD38+BH38+BL38+BP38+BT38+BX38+CB38</f>
        <v>0</v>
      </c>
      <c r="AG38" s="180">
        <f t="shared" si="17"/>
        <v>0</v>
      </c>
      <c r="AH38" s="181">
        <f t="shared" ref="AH38:AH49" si="36">AL38+AP38+AT38+AX38+BB38+BF38+BJ38+BN38+BR38+BV38+BZ38+CD38</f>
        <v>0</v>
      </c>
      <c r="AI38" s="187"/>
      <c r="AJ38" s="90"/>
      <c r="AK38" s="90"/>
      <c r="AL38" s="183">
        <f t="shared" ref="AL38:AL49" si="37">AJ38*AK38</f>
        <v>0</v>
      </c>
      <c r="AM38" s="187"/>
      <c r="AN38" s="90"/>
      <c r="AO38" s="90"/>
      <c r="AP38" s="183">
        <f t="shared" si="23"/>
        <v>0</v>
      </c>
      <c r="AQ38" s="187"/>
      <c r="AR38" s="90"/>
      <c r="AS38" s="90"/>
      <c r="AT38" s="183">
        <f t="shared" si="24"/>
        <v>0</v>
      </c>
      <c r="AU38" s="187"/>
      <c r="AV38" s="90"/>
      <c r="AW38" s="90"/>
      <c r="AX38" s="183">
        <f t="shared" si="25"/>
        <v>0</v>
      </c>
      <c r="AY38" s="187"/>
      <c r="AZ38" s="90"/>
      <c r="BA38" s="90"/>
      <c r="BB38" s="183">
        <f t="shared" si="26"/>
        <v>0</v>
      </c>
      <c r="BC38" s="187"/>
      <c r="BD38" s="90"/>
      <c r="BE38" s="90"/>
      <c r="BF38" s="183">
        <f t="shared" si="27"/>
        <v>0</v>
      </c>
      <c r="BG38" s="187"/>
      <c r="BH38" s="90"/>
      <c r="BI38" s="90"/>
      <c r="BJ38" s="183">
        <f t="shared" si="28"/>
        <v>0</v>
      </c>
      <c r="BK38" s="187"/>
      <c r="BL38" s="90"/>
      <c r="BM38" s="90"/>
      <c r="BN38" s="183">
        <f t="shared" si="29"/>
        <v>0</v>
      </c>
      <c r="BO38" s="187"/>
      <c r="BP38" s="90"/>
      <c r="BQ38" s="90"/>
      <c r="BR38" s="183">
        <f t="shared" si="30"/>
        <v>0</v>
      </c>
      <c r="BS38" s="187"/>
      <c r="BT38" s="90"/>
      <c r="BU38" s="90"/>
      <c r="BV38" s="183">
        <f t="shared" si="31"/>
        <v>0</v>
      </c>
      <c r="BW38" s="187"/>
      <c r="BX38" s="90"/>
      <c r="BY38" s="90"/>
      <c r="BZ38" s="183">
        <f t="shared" si="32"/>
        <v>0</v>
      </c>
      <c r="CA38" s="187"/>
      <c r="CB38" s="90"/>
      <c r="CC38" s="90"/>
      <c r="CD38" s="183">
        <f t="shared" si="33"/>
        <v>0</v>
      </c>
    </row>
    <row r="39" spans="2:82" x14ac:dyDescent="0.3">
      <c r="B39" s="54"/>
      <c r="C39" s="54" t="str">
        <f t="shared" si="0"/>
        <v>CPU_CapaConcreto</v>
      </c>
      <c r="D39" s="280">
        <f t="shared" si="1"/>
        <v>0.2</v>
      </c>
      <c r="E39" s="280">
        <f t="shared" si="2"/>
        <v>0</v>
      </c>
      <c r="F39" s="1"/>
      <c r="G39" s="28" t="str">
        <f>IFERROR(VLOOKUP(F39,Tabela7[[RECURSO]:[CUSTO]],2,FALSE),"")</f>
        <v/>
      </c>
      <c r="H39" s="92"/>
      <c r="I39" s="90"/>
      <c r="J39" s="45">
        <f>IFERROR(VLOOKUP(F39,Tabela7[[RECURSO]:[CUSTO]],3,FALSE),0)</f>
        <v>0</v>
      </c>
      <c r="K39" s="45">
        <f>I39*J39*CPU_43[[#This Row],[Nº]]</f>
        <v>0</v>
      </c>
      <c r="AD39" s="144" t="str">
        <f t="shared" si="3"/>
        <v>Capa Concreto</v>
      </c>
      <c r="AE39" s="186"/>
      <c r="AF39" s="180">
        <f t="shared" si="35"/>
        <v>0</v>
      </c>
      <c r="AG39" s="180">
        <f t="shared" si="17"/>
        <v>0</v>
      </c>
      <c r="AH39" s="181">
        <f t="shared" si="36"/>
        <v>0</v>
      </c>
      <c r="AI39" s="187"/>
      <c r="AJ39" s="90"/>
      <c r="AK39" s="90"/>
      <c r="AL39" s="183">
        <f t="shared" si="37"/>
        <v>0</v>
      </c>
      <c r="AM39" s="187"/>
      <c r="AN39" s="90"/>
      <c r="AO39" s="90"/>
      <c r="AP39" s="183">
        <f t="shared" si="23"/>
        <v>0</v>
      </c>
      <c r="AQ39" s="187"/>
      <c r="AR39" s="90"/>
      <c r="AS39" s="90"/>
      <c r="AT39" s="183">
        <f t="shared" si="24"/>
        <v>0</v>
      </c>
      <c r="AU39" s="187"/>
      <c r="AV39" s="90"/>
      <c r="AW39" s="90"/>
      <c r="AX39" s="183">
        <f t="shared" si="25"/>
        <v>0</v>
      </c>
      <c r="AY39" s="187"/>
      <c r="AZ39" s="90"/>
      <c r="BA39" s="90"/>
      <c r="BB39" s="183">
        <f t="shared" si="26"/>
        <v>0</v>
      </c>
      <c r="BC39" s="187"/>
      <c r="BD39" s="90"/>
      <c r="BE39" s="90"/>
      <c r="BF39" s="183">
        <f t="shared" si="27"/>
        <v>0</v>
      </c>
      <c r="BG39" s="187"/>
      <c r="BH39" s="90"/>
      <c r="BI39" s="90"/>
      <c r="BJ39" s="183">
        <f t="shared" si="28"/>
        <v>0</v>
      </c>
      <c r="BK39" s="187"/>
      <c r="BL39" s="90"/>
      <c r="BM39" s="90"/>
      <c r="BN39" s="183">
        <f t="shared" si="29"/>
        <v>0</v>
      </c>
      <c r="BO39" s="187"/>
      <c r="BP39" s="90"/>
      <c r="BQ39" s="90"/>
      <c r="BR39" s="183">
        <f t="shared" si="30"/>
        <v>0</v>
      </c>
      <c r="BS39" s="187"/>
      <c r="BT39" s="90"/>
      <c r="BU39" s="90"/>
      <c r="BV39" s="183">
        <f t="shared" si="31"/>
        <v>0</v>
      </c>
      <c r="BW39" s="187"/>
      <c r="BX39" s="90"/>
      <c r="BY39" s="90"/>
      <c r="BZ39" s="183">
        <f t="shared" si="32"/>
        <v>0</v>
      </c>
      <c r="CA39" s="187"/>
      <c r="CB39" s="90"/>
      <c r="CC39" s="90"/>
      <c r="CD39" s="183">
        <f t="shared" si="33"/>
        <v>0</v>
      </c>
    </row>
    <row r="40" spans="2:82" x14ac:dyDescent="0.3">
      <c r="B40" s="54"/>
      <c r="C40" s="54" t="str">
        <f t="shared" si="0"/>
        <v>CPU_CapaConcreto</v>
      </c>
      <c r="D40" s="280">
        <f t="shared" si="1"/>
        <v>0.2</v>
      </c>
      <c r="E40" s="280">
        <f t="shared" si="2"/>
        <v>0</v>
      </c>
      <c r="F40" s="1"/>
      <c r="G40" s="28" t="str">
        <f>IFERROR(VLOOKUP(F40,Tabela7[[RECURSO]:[CUSTO]],2,FALSE),"")</f>
        <v/>
      </c>
      <c r="H40" s="92"/>
      <c r="I40" s="90"/>
      <c r="J40" s="45">
        <f>IFERROR(VLOOKUP(F40,Tabela7[[RECURSO]:[CUSTO]],3,FALSE),0)</f>
        <v>0</v>
      </c>
      <c r="K40" s="45">
        <f>I40*J40*CPU_43[[#This Row],[Nº]]</f>
        <v>0</v>
      </c>
      <c r="AD40" s="144" t="str">
        <f t="shared" si="3"/>
        <v>Capa Concreto</v>
      </c>
      <c r="AE40" s="186"/>
      <c r="AF40" s="180">
        <f t="shared" si="35"/>
        <v>0</v>
      </c>
      <c r="AG40" s="180">
        <f t="shared" si="17"/>
        <v>0</v>
      </c>
      <c r="AH40" s="181">
        <f t="shared" si="36"/>
        <v>0</v>
      </c>
      <c r="AI40" s="187"/>
      <c r="AJ40" s="90"/>
      <c r="AK40" s="90"/>
      <c r="AL40" s="183">
        <f t="shared" si="37"/>
        <v>0</v>
      </c>
      <c r="AM40" s="187"/>
      <c r="AN40" s="90"/>
      <c r="AO40" s="90"/>
      <c r="AP40" s="183">
        <f t="shared" si="23"/>
        <v>0</v>
      </c>
      <c r="AQ40" s="187"/>
      <c r="AR40" s="90"/>
      <c r="AS40" s="90"/>
      <c r="AT40" s="183">
        <f t="shared" si="24"/>
        <v>0</v>
      </c>
      <c r="AU40" s="187"/>
      <c r="AV40" s="90"/>
      <c r="AW40" s="90"/>
      <c r="AX40" s="183">
        <f t="shared" si="25"/>
        <v>0</v>
      </c>
      <c r="AY40" s="187"/>
      <c r="AZ40" s="90"/>
      <c r="BA40" s="90"/>
      <c r="BB40" s="183">
        <f t="shared" si="26"/>
        <v>0</v>
      </c>
      <c r="BC40" s="187"/>
      <c r="BD40" s="90"/>
      <c r="BE40" s="90"/>
      <c r="BF40" s="183">
        <f t="shared" si="27"/>
        <v>0</v>
      </c>
      <c r="BG40" s="187"/>
      <c r="BH40" s="90"/>
      <c r="BI40" s="90"/>
      <c r="BJ40" s="183">
        <f t="shared" si="28"/>
        <v>0</v>
      </c>
      <c r="BK40" s="187"/>
      <c r="BL40" s="90"/>
      <c r="BM40" s="90"/>
      <c r="BN40" s="183">
        <f t="shared" si="29"/>
        <v>0</v>
      </c>
      <c r="BO40" s="187"/>
      <c r="BP40" s="90"/>
      <c r="BQ40" s="90"/>
      <c r="BR40" s="183">
        <f t="shared" si="30"/>
        <v>0</v>
      </c>
      <c r="BS40" s="187"/>
      <c r="BT40" s="90"/>
      <c r="BU40" s="90"/>
      <c r="BV40" s="183">
        <f t="shared" si="31"/>
        <v>0</v>
      </c>
      <c r="BW40" s="187"/>
      <c r="BX40" s="90"/>
      <c r="BY40" s="90"/>
      <c r="BZ40" s="183">
        <f t="shared" si="32"/>
        <v>0</v>
      </c>
      <c r="CA40" s="187"/>
      <c r="CB40" s="90"/>
      <c r="CC40" s="90"/>
      <c r="CD40" s="183">
        <f t="shared" si="33"/>
        <v>0</v>
      </c>
    </row>
    <row r="41" spans="2:82" x14ac:dyDescent="0.3">
      <c r="B41" s="54"/>
      <c r="C41" s="54" t="str">
        <f t="shared" si="0"/>
        <v>CPU_CapaConcreto</v>
      </c>
      <c r="D41" s="280">
        <f t="shared" si="1"/>
        <v>0.2</v>
      </c>
      <c r="E41" s="280">
        <f t="shared" si="2"/>
        <v>0</v>
      </c>
      <c r="F41" s="1"/>
      <c r="G41" s="28" t="str">
        <f>IFERROR(VLOOKUP(F41,Tabela7[[RECURSO]:[CUSTO]],2,FALSE),"")</f>
        <v/>
      </c>
      <c r="H41" s="92"/>
      <c r="I41" s="90"/>
      <c r="J41" s="45">
        <f>IFERROR(VLOOKUP(F41,Tabela7[[RECURSO]:[CUSTO]],3,FALSE),0)</f>
        <v>0</v>
      </c>
      <c r="K41" s="45">
        <f>I41*J41*CPU_43[[#This Row],[Nº]]</f>
        <v>0</v>
      </c>
      <c r="AD41" s="144" t="str">
        <f t="shared" si="3"/>
        <v>Capa Concreto</v>
      </c>
      <c r="AE41" s="186"/>
      <c r="AF41" s="180">
        <f t="shared" si="35"/>
        <v>0</v>
      </c>
      <c r="AG41" s="180">
        <f t="shared" si="17"/>
        <v>0</v>
      </c>
      <c r="AH41" s="181">
        <f t="shared" si="36"/>
        <v>0</v>
      </c>
      <c r="AI41" s="187"/>
      <c r="AJ41" s="90"/>
      <c r="AK41" s="90"/>
      <c r="AL41" s="183">
        <f t="shared" si="37"/>
        <v>0</v>
      </c>
      <c r="AM41" s="187"/>
      <c r="AN41" s="90"/>
      <c r="AO41" s="90"/>
      <c r="AP41" s="183">
        <f t="shared" si="23"/>
        <v>0</v>
      </c>
      <c r="AQ41" s="187"/>
      <c r="AR41" s="90"/>
      <c r="AS41" s="90"/>
      <c r="AT41" s="183">
        <f t="shared" si="24"/>
        <v>0</v>
      </c>
      <c r="AU41" s="187"/>
      <c r="AV41" s="90"/>
      <c r="AW41" s="90"/>
      <c r="AX41" s="183">
        <f t="shared" si="25"/>
        <v>0</v>
      </c>
      <c r="AY41" s="187"/>
      <c r="AZ41" s="90"/>
      <c r="BA41" s="90"/>
      <c r="BB41" s="183">
        <f t="shared" si="26"/>
        <v>0</v>
      </c>
      <c r="BC41" s="187"/>
      <c r="BD41" s="90"/>
      <c r="BE41" s="90"/>
      <c r="BF41" s="183">
        <f t="shared" si="27"/>
        <v>0</v>
      </c>
      <c r="BG41" s="187"/>
      <c r="BH41" s="90"/>
      <c r="BI41" s="90"/>
      <c r="BJ41" s="183">
        <f t="shared" si="28"/>
        <v>0</v>
      </c>
      <c r="BK41" s="187"/>
      <c r="BL41" s="90"/>
      <c r="BM41" s="90"/>
      <c r="BN41" s="183">
        <f t="shared" si="29"/>
        <v>0</v>
      </c>
      <c r="BO41" s="187"/>
      <c r="BP41" s="90"/>
      <c r="BQ41" s="90"/>
      <c r="BR41" s="183">
        <f t="shared" si="30"/>
        <v>0</v>
      </c>
      <c r="BS41" s="187"/>
      <c r="BT41" s="90"/>
      <c r="BU41" s="90"/>
      <c r="BV41" s="183">
        <f t="shared" si="31"/>
        <v>0</v>
      </c>
      <c r="BW41" s="187"/>
      <c r="BX41" s="90"/>
      <c r="BY41" s="90"/>
      <c r="BZ41" s="183">
        <f t="shared" si="32"/>
        <v>0</v>
      </c>
      <c r="CA41" s="187"/>
      <c r="CB41" s="90"/>
      <c r="CC41" s="90"/>
      <c r="CD41" s="183">
        <f t="shared" si="33"/>
        <v>0</v>
      </c>
    </row>
    <row r="42" spans="2:82" x14ac:dyDescent="0.3">
      <c r="B42" s="54"/>
      <c r="C42" s="54" t="str">
        <f t="shared" si="0"/>
        <v>CPU_CapaConcreto</v>
      </c>
      <c r="D42" s="280">
        <f t="shared" si="1"/>
        <v>0.2</v>
      </c>
      <c r="E42" s="280">
        <f t="shared" si="2"/>
        <v>0</v>
      </c>
      <c r="F42" s="1"/>
      <c r="G42" s="28" t="str">
        <f>IFERROR(VLOOKUP(F42,Tabela7[[RECURSO]:[CUSTO]],2,FALSE),"")</f>
        <v/>
      </c>
      <c r="H42" s="92"/>
      <c r="I42" s="90"/>
      <c r="J42" s="45">
        <f>IFERROR(VLOOKUP(F42,Tabela7[[RECURSO]:[CUSTO]],3,FALSE),0)</f>
        <v>0</v>
      </c>
      <c r="K42" s="45">
        <f>I42*J42*CPU_43[[#This Row],[Nº]]</f>
        <v>0</v>
      </c>
      <c r="AD42" s="144" t="str">
        <f t="shared" si="3"/>
        <v>Capa Concreto</v>
      </c>
      <c r="AE42" s="186"/>
      <c r="AF42" s="180">
        <f t="shared" si="35"/>
        <v>0</v>
      </c>
      <c r="AG42" s="180">
        <f t="shared" si="17"/>
        <v>0</v>
      </c>
      <c r="AH42" s="181">
        <f t="shared" si="36"/>
        <v>0</v>
      </c>
      <c r="AI42" s="187"/>
      <c r="AJ42" s="90"/>
      <c r="AK42" s="90"/>
      <c r="AL42" s="183">
        <f t="shared" si="37"/>
        <v>0</v>
      </c>
      <c r="AM42" s="187"/>
      <c r="AN42" s="90"/>
      <c r="AO42" s="90"/>
      <c r="AP42" s="183">
        <f t="shared" si="23"/>
        <v>0</v>
      </c>
      <c r="AQ42" s="187"/>
      <c r="AR42" s="90"/>
      <c r="AS42" s="90"/>
      <c r="AT42" s="183">
        <f t="shared" si="24"/>
        <v>0</v>
      </c>
      <c r="AU42" s="187"/>
      <c r="AV42" s="90"/>
      <c r="AW42" s="90"/>
      <c r="AX42" s="183">
        <f t="shared" si="25"/>
        <v>0</v>
      </c>
      <c r="AY42" s="187"/>
      <c r="AZ42" s="90"/>
      <c r="BA42" s="90"/>
      <c r="BB42" s="183">
        <f t="shared" si="26"/>
        <v>0</v>
      </c>
      <c r="BC42" s="187"/>
      <c r="BD42" s="90"/>
      <c r="BE42" s="90"/>
      <c r="BF42" s="183">
        <f t="shared" si="27"/>
        <v>0</v>
      </c>
      <c r="BG42" s="187"/>
      <c r="BH42" s="90"/>
      <c r="BI42" s="90"/>
      <c r="BJ42" s="183">
        <f t="shared" si="28"/>
        <v>0</v>
      </c>
      <c r="BK42" s="187"/>
      <c r="BL42" s="90"/>
      <c r="BM42" s="90"/>
      <c r="BN42" s="183">
        <f t="shared" si="29"/>
        <v>0</v>
      </c>
      <c r="BO42" s="187"/>
      <c r="BP42" s="90"/>
      <c r="BQ42" s="90"/>
      <c r="BR42" s="183">
        <f t="shared" si="30"/>
        <v>0</v>
      </c>
      <c r="BS42" s="187"/>
      <c r="BT42" s="90"/>
      <c r="BU42" s="90"/>
      <c r="BV42" s="183">
        <f t="shared" si="31"/>
        <v>0</v>
      </c>
      <c r="BW42" s="187"/>
      <c r="BX42" s="90"/>
      <c r="BY42" s="90"/>
      <c r="BZ42" s="183">
        <f t="shared" si="32"/>
        <v>0</v>
      </c>
      <c r="CA42" s="187"/>
      <c r="CB42" s="90"/>
      <c r="CC42" s="90"/>
      <c r="CD42" s="183">
        <f t="shared" si="33"/>
        <v>0</v>
      </c>
    </row>
    <row r="43" spans="2:82" x14ac:dyDescent="0.3">
      <c r="B43" s="54"/>
      <c r="C43" s="54" t="str">
        <f t="shared" si="0"/>
        <v>CPU_CapaConcreto</v>
      </c>
      <c r="D43" s="280">
        <f t="shared" si="1"/>
        <v>0.2</v>
      </c>
      <c r="E43" s="280">
        <f t="shared" si="2"/>
        <v>0</v>
      </c>
      <c r="F43" s="1"/>
      <c r="G43" s="28" t="str">
        <f>IFERROR(VLOOKUP(F43,Tabela7[[RECURSO]:[CUSTO]],2,FALSE),"")</f>
        <v/>
      </c>
      <c r="H43" s="92"/>
      <c r="I43" s="90"/>
      <c r="J43" s="45">
        <f>IFERROR(VLOOKUP(F43,Tabela7[[RECURSO]:[CUSTO]],3,FALSE),0)</f>
        <v>0</v>
      </c>
      <c r="K43" s="45">
        <f>I43*J43*CPU_43[[#This Row],[Nº]]</f>
        <v>0</v>
      </c>
      <c r="AD43" s="144" t="str">
        <f t="shared" si="3"/>
        <v>Capa Concreto</v>
      </c>
      <c r="AE43" s="186"/>
      <c r="AF43" s="180">
        <f t="shared" si="35"/>
        <v>0</v>
      </c>
      <c r="AG43" s="180">
        <f t="shared" si="17"/>
        <v>0</v>
      </c>
      <c r="AH43" s="181">
        <f t="shared" si="36"/>
        <v>0</v>
      </c>
      <c r="AI43" s="187"/>
      <c r="AJ43" s="90"/>
      <c r="AK43" s="90"/>
      <c r="AL43" s="183">
        <f t="shared" si="37"/>
        <v>0</v>
      </c>
      <c r="AM43" s="187"/>
      <c r="AN43" s="90"/>
      <c r="AO43" s="90"/>
      <c r="AP43" s="183">
        <f t="shared" si="23"/>
        <v>0</v>
      </c>
      <c r="AQ43" s="187"/>
      <c r="AR43" s="90"/>
      <c r="AS43" s="90"/>
      <c r="AT43" s="183">
        <f t="shared" si="24"/>
        <v>0</v>
      </c>
      <c r="AU43" s="187"/>
      <c r="AV43" s="90"/>
      <c r="AW43" s="90"/>
      <c r="AX43" s="183">
        <f t="shared" si="25"/>
        <v>0</v>
      </c>
      <c r="AY43" s="187"/>
      <c r="AZ43" s="90"/>
      <c r="BA43" s="90"/>
      <c r="BB43" s="183">
        <f t="shared" si="26"/>
        <v>0</v>
      </c>
      <c r="BC43" s="187"/>
      <c r="BD43" s="90"/>
      <c r="BE43" s="90"/>
      <c r="BF43" s="183">
        <f t="shared" si="27"/>
        <v>0</v>
      </c>
      <c r="BG43" s="187"/>
      <c r="BH43" s="90"/>
      <c r="BI43" s="90"/>
      <c r="BJ43" s="183">
        <f t="shared" si="28"/>
        <v>0</v>
      </c>
      <c r="BK43" s="187"/>
      <c r="BL43" s="90"/>
      <c r="BM43" s="90"/>
      <c r="BN43" s="183">
        <f t="shared" si="29"/>
        <v>0</v>
      </c>
      <c r="BO43" s="187"/>
      <c r="BP43" s="90"/>
      <c r="BQ43" s="90"/>
      <c r="BR43" s="183">
        <f t="shared" si="30"/>
        <v>0</v>
      </c>
      <c r="BS43" s="187"/>
      <c r="BT43" s="90"/>
      <c r="BU43" s="90"/>
      <c r="BV43" s="183">
        <f t="shared" si="31"/>
        <v>0</v>
      </c>
      <c r="BW43" s="187"/>
      <c r="BX43" s="90"/>
      <c r="BY43" s="90"/>
      <c r="BZ43" s="183">
        <f t="shared" si="32"/>
        <v>0</v>
      </c>
      <c r="CA43" s="187"/>
      <c r="CB43" s="90"/>
      <c r="CC43" s="90"/>
      <c r="CD43" s="183">
        <f t="shared" si="33"/>
        <v>0</v>
      </c>
    </row>
    <row r="44" spans="2:82" x14ac:dyDescent="0.3">
      <c r="B44" s="54"/>
      <c r="C44" s="54" t="str">
        <f t="shared" si="0"/>
        <v>CPU_CapaConcreto</v>
      </c>
      <c r="D44" s="280">
        <f t="shared" si="1"/>
        <v>0.2</v>
      </c>
      <c r="E44" s="280">
        <f t="shared" si="2"/>
        <v>0</v>
      </c>
      <c r="F44" s="1"/>
      <c r="G44" s="28" t="str">
        <f>IFERROR(VLOOKUP(F44,Tabela7[[RECURSO]:[CUSTO]],2,FALSE),"")</f>
        <v/>
      </c>
      <c r="H44" s="92"/>
      <c r="I44" s="90"/>
      <c r="J44" s="45">
        <f>IFERROR(VLOOKUP(F44,Tabela7[[RECURSO]:[CUSTO]],3,FALSE),0)</f>
        <v>0</v>
      </c>
      <c r="K44" s="45">
        <f>I44*J44*CPU_43[[#This Row],[Nº]]</f>
        <v>0</v>
      </c>
      <c r="AD44" s="144" t="str">
        <f t="shared" si="3"/>
        <v>Capa Concreto</v>
      </c>
      <c r="AE44" s="186"/>
      <c r="AF44" s="180">
        <f t="shared" si="35"/>
        <v>0</v>
      </c>
      <c r="AG44" s="180">
        <f t="shared" si="17"/>
        <v>0</v>
      </c>
      <c r="AH44" s="181">
        <f t="shared" si="36"/>
        <v>0</v>
      </c>
      <c r="AI44" s="187"/>
      <c r="AJ44" s="90"/>
      <c r="AK44" s="90"/>
      <c r="AL44" s="183">
        <f t="shared" si="37"/>
        <v>0</v>
      </c>
      <c r="AM44" s="187"/>
      <c r="AN44" s="90"/>
      <c r="AO44" s="90"/>
      <c r="AP44" s="183">
        <f t="shared" si="23"/>
        <v>0</v>
      </c>
      <c r="AQ44" s="187"/>
      <c r="AR44" s="90"/>
      <c r="AS44" s="90"/>
      <c r="AT44" s="183">
        <f t="shared" si="24"/>
        <v>0</v>
      </c>
      <c r="AU44" s="187"/>
      <c r="AV44" s="90"/>
      <c r="AW44" s="90"/>
      <c r="AX44" s="183">
        <f t="shared" si="25"/>
        <v>0</v>
      </c>
      <c r="AY44" s="187"/>
      <c r="AZ44" s="90"/>
      <c r="BA44" s="90"/>
      <c r="BB44" s="183">
        <f t="shared" si="26"/>
        <v>0</v>
      </c>
      <c r="BC44" s="187"/>
      <c r="BD44" s="90"/>
      <c r="BE44" s="90"/>
      <c r="BF44" s="183">
        <f t="shared" si="27"/>
        <v>0</v>
      </c>
      <c r="BG44" s="187"/>
      <c r="BH44" s="90"/>
      <c r="BI44" s="90"/>
      <c r="BJ44" s="183">
        <f t="shared" si="28"/>
        <v>0</v>
      </c>
      <c r="BK44" s="187"/>
      <c r="BL44" s="90"/>
      <c r="BM44" s="90"/>
      <c r="BN44" s="183">
        <f t="shared" si="29"/>
        <v>0</v>
      </c>
      <c r="BO44" s="187"/>
      <c r="BP44" s="90"/>
      <c r="BQ44" s="90"/>
      <c r="BR44" s="183">
        <f t="shared" si="30"/>
        <v>0</v>
      </c>
      <c r="BS44" s="187"/>
      <c r="BT44" s="90"/>
      <c r="BU44" s="90"/>
      <c r="BV44" s="183">
        <f t="shared" si="31"/>
        <v>0</v>
      </c>
      <c r="BW44" s="187"/>
      <c r="BX44" s="90"/>
      <c r="BY44" s="90"/>
      <c r="BZ44" s="183">
        <f t="shared" si="32"/>
        <v>0</v>
      </c>
      <c r="CA44" s="187"/>
      <c r="CB44" s="90"/>
      <c r="CC44" s="90"/>
      <c r="CD44" s="183">
        <f t="shared" si="33"/>
        <v>0</v>
      </c>
    </row>
    <row r="45" spans="2:82" x14ac:dyDescent="0.3">
      <c r="B45" s="53"/>
      <c r="C45" s="53" t="str">
        <f t="shared" si="0"/>
        <v>CPU_CapaConcreto</v>
      </c>
      <c r="D45" s="278">
        <f t="shared" si="1"/>
        <v>0.2</v>
      </c>
      <c r="E45" s="278">
        <f t="shared" si="2"/>
        <v>0</v>
      </c>
      <c r="F45" s="1"/>
      <c r="G45" s="28" t="str">
        <f>IFERROR(VLOOKUP(F45,Tabela7[[RECURSO]:[CUSTO]],2,FALSE),"")</f>
        <v/>
      </c>
      <c r="H45" s="92"/>
      <c r="I45" s="90"/>
      <c r="J45" s="45">
        <f>IFERROR(VLOOKUP(F45,Tabela7[[RECURSO]:[CUSTO]],3,FALSE),0)</f>
        <v>0</v>
      </c>
      <c r="K45" s="45">
        <f>I45*J45*CPU_43[[#This Row],[Nº]]</f>
        <v>0</v>
      </c>
      <c r="AD45" s="144" t="str">
        <f t="shared" si="3"/>
        <v>Capa Concreto</v>
      </c>
      <c r="AE45" s="188"/>
      <c r="AF45" s="180">
        <f t="shared" si="35"/>
        <v>0</v>
      </c>
      <c r="AG45" s="180">
        <f t="shared" si="17"/>
        <v>0</v>
      </c>
      <c r="AH45" s="181">
        <f t="shared" si="36"/>
        <v>0</v>
      </c>
      <c r="AI45" s="189"/>
      <c r="AJ45" s="90"/>
      <c r="AK45" s="90"/>
      <c r="AL45" s="183">
        <f t="shared" si="37"/>
        <v>0</v>
      </c>
      <c r="AM45" s="189"/>
      <c r="AN45" s="90"/>
      <c r="AO45" s="90"/>
      <c r="AP45" s="183">
        <f t="shared" si="23"/>
        <v>0</v>
      </c>
      <c r="AQ45" s="189"/>
      <c r="AR45" s="90"/>
      <c r="AS45" s="90"/>
      <c r="AT45" s="183">
        <f t="shared" si="24"/>
        <v>0</v>
      </c>
      <c r="AU45" s="189"/>
      <c r="AV45" s="90"/>
      <c r="AW45" s="90"/>
      <c r="AX45" s="183">
        <f t="shared" si="25"/>
        <v>0</v>
      </c>
      <c r="AY45" s="189"/>
      <c r="AZ45" s="90"/>
      <c r="BA45" s="90"/>
      <c r="BB45" s="183">
        <f t="shared" si="26"/>
        <v>0</v>
      </c>
      <c r="BC45" s="189"/>
      <c r="BD45" s="90"/>
      <c r="BE45" s="90"/>
      <c r="BF45" s="183">
        <f t="shared" si="27"/>
        <v>0</v>
      </c>
      <c r="BG45" s="189"/>
      <c r="BH45" s="90"/>
      <c r="BI45" s="90"/>
      <c r="BJ45" s="183">
        <f t="shared" si="28"/>
        <v>0</v>
      </c>
      <c r="BK45" s="189"/>
      <c r="BL45" s="90"/>
      <c r="BM45" s="90"/>
      <c r="BN45" s="183">
        <f t="shared" si="29"/>
        <v>0</v>
      </c>
      <c r="BO45" s="189"/>
      <c r="BP45" s="90"/>
      <c r="BQ45" s="90"/>
      <c r="BR45" s="183">
        <f t="shared" si="30"/>
        <v>0</v>
      </c>
      <c r="BS45" s="189"/>
      <c r="BT45" s="90"/>
      <c r="BU45" s="90"/>
      <c r="BV45" s="183">
        <f t="shared" si="31"/>
        <v>0</v>
      </c>
      <c r="BW45" s="189"/>
      <c r="BX45" s="90"/>
      <c r="BY45" s="90"/>
      <c r="BZ45" s="183">
        <f t="shared" si="32"/>
        <v>0</v>
      </c>
      <c r="CA45" s="189"/>
      <c r="CB45" s="90"/>
      <c r="CC45" s="90"/>
      <c r="CD45" s="183">
        <f t="shared" si="33"/>
        <v>0</v>
      </c>
    </row>
    <row r="46" spans="2:82" x14ac:dyDescent="0.3">
      <c r="B46" s="53"/>
      <c r="C46" s="53" t="str">
        <f t="shared" si="0"/>
        <v>CPU_CapaConcreto</v>
      </c>
      <c r="D46" s="278">
        <f t="shared" si="1"/>
        <v>0.2</v>
      </c>
      <c r="E46" s="278">
        <f t="shared" si="2"/>
        <v>0</v>
      </c>
      <c r="F46" s="1"/>
      <c r="G46" s="28" t="str">
        <f>IFERROR(VLOOKUP(F46,Tabela7[[RECURSO]:[CUSTO]],2,FALSE),"")</f>
        <v/>
      </c>
      <c r="H46" s="92"/>
      <c r="I46" s="90"/>
      <c r="J46" s="45">
        <f>IFERROR(VLOOKUP(F46,Tabela7[[RECURSO]:[CUSTO]],3,FALSE),0)</f>
        <v>0</v>
      </c>
      <c r="K46" s="45">
        <f>I46*J46*CPU_43[[#This Row],[Nº]]</f>
        <v>0</v>
      </c>
      <c r="AD46" s="144" t="str">
        <f t="shared" si="3"/>
        <v>Capa Concreto</v>
      </c>
      <c r="AE46" s="188"/>
      <c r="AF46" s="180">
        <f t="shared" si="35"/>
        <v>0</v>
      </c>
      <c r="AG46" s="180">
        <f t="shared" si="17"/>
        <v>0</v>
      </c>
      <c r="AH46" s="181">
        <f t="shared" si="36"/>
        <v>0</v>
      </c>
      <c r="AI46" s="189"/>
      <c r="AJ46" s="90"/>
      <c r="AK46" s="90"/>
      <c r="AL46" s="183">
        <f t="shared" si="37"/>
        <v>0</v>
      </c>
      <c r="AM46" s="189"/>
      <c r="AN46" s="90"/>
      <c r="AO46" s="90"/>
      <c r="AP46" s="183">
        <f t="shared" si="23"/>
        <v>0</v>
      </c>
      <c r="AQ46" s="189"/>
      <c r="AR46" s="90"/>
      <c r="AS46" s="90"/>
      <c r="AT46" s="183">
        <f t="shared" si="24"/>
        <v>0</v>
      </c>
      <c r="AU46" s="189"/>
      <c r="AV46" s="90"/>
      <c r="AW46" s="90"/>
      <c r="AX46" s="183">
        <f t="shared" si="25"/>
        <v>0</v>
      </c>
      <c r="AY46" s="189"/>
      <c r="AZ46" s="90"/>
      <c r="BA46" s="90"/>
      <c r="BB46" s="183">
        <f t="shared" si="26"/>
        <v>0</v>
      </c>
      <c r="BC46" s="189"/>
      <c r="BD46" s="90"/>
      <c r="BE46" s="90"/>
      <c r="BF46" s="183">
        <f t="shared" si="27"/>
        <v>0</v>
      </c>
      <c r="BG46" s="189"/>
      <c r="BH46" s="90"/>
      <c r="BI46" s="90"/>
      <c r="BJ46" s="183">
        <f t="shared" si="28"/>
        <v>0</v>
      </c>
      <c r="BK46" s="189"/>
      <c r="BL46" s="90"/>
      <c r="BM46" s="90"/>
      <c r="BN46" s="183">
        <f t="shared" si="29"/>
        <v>0</v>
      </c>
      <c r="BO46" s="189"/>
      <c r="BP46" s="90"/>
      <c r="BQ46" s="90"/>
      <c r="BR46" s="183">
        <f t="shared" si="30"/>
        <v>0</v>
      </c>
      <c r="BS46" s="189"/>
      <c r="BT46" s="90"/>
      <c r="BU46" s="90"/>
      <c r="BV46" s="183">
        <f t="shared" si="31"/>
        <v>0</v>
      </c>
      <c r="BW46" s="189"/>
      <c r="BX46" s="90"/>
      <c r="BY46" s="90"/>
      <c r="BZ46" s="183">
        <f t="shared" si="32"/>
        <v>0</v>
      </c>
      <c r="CA46" s="189"/>
      <c r="CB46" s="90"/>
      <c r="CC46" s="90"/>
      <c r="CD46" s="183">
        <f t="shared" si="33"/>
        <v>0</v>
      </c>
    </row>
    <row r="47" spans="2:82" x14ac:dyDescent="0.3">
      <c r="B47" s="53"/>
      <c r="C47" s="53" t="str">
        <f t="shared" si="0"/>
        <v>CPU_CapaConcreto</v>
      </c>
      <c r="D47" s="278">
        <f t="shared" si="1"/>
        <v>0.2</v>
      </c>
      <c r="E47" s="278">
        <f t="shared" si="2"/>
        <v>0</v>
      </c>
      <c r="F47" s="1"/>
      <c r="G47" s="28" t="str">
        <f>IFERROR(VLOOKUP(F47,Tabela7[[RECURSO]:[CUSTO]],2,FALSE),"")</f>
        <v/>
      </c>
      <c r="H47" s="92"/>
      <c r="I47" s="90"/>
      <c r="J47" s="45">
        <f>IFERROR(VLOOKUP(F47,Tabela7[[RECURSO]:[CUSTO]],3,FALSE),0)</f>
        <v>0</v>
      </c>
      <c r="K47" s="45">
        <f>I47*J47*CPU_43[[#This Row],[Nº]]</f>
        <v>0</v>
      </c>
      <c r="AD47" s="144" t="str">
        <f t="shared" si="3"/>
        <v>Capa Concreto</v>
      </c>
      <c r="AE47" s="188"/>
      <c r="AF47" s="180">
        <f t="shared" si="35"/>
        <v>0</v>
      </c>
      <c r="AG47" s="180">
        <f t="shared" si="17"/>
        <v>0</v>
      </c>
      <c r="AH47" s="181">
        <f t="shared" si="36"/>
        <v>0</v>
      </c>
      <c r="AI47" s="189"/>
      <c r="AJ47" s="90"/>
      <c r="AK47" s="90"/>
      <c r="AL47" s="183">
        <f t="shared" si="37"/>
        <v>0</v>
      </c>
      <c r="AM47" s="189"/>
      <c r="AN47" s="90"/>
      <c r="AO47" s="90"/>
      <c r="AP47" s="183">
        <f t="shared" si="23"/>
        <v>0</v>
      </c>
      <c r="AQ47" s="189"/>
      <c r="AR47" s="90"/>
      <c r="AS47" s="90"/>
      <c r="AT47" s="183">
        <f t="shared" si="24"/>
        <v>0</v>
      </c>
      <c r="AU47" s="189"/>
      <c r="AV47" s="90"/>
      <c r="AW47" s="90"/>
      <c r="AX47" s="183">
        <f t="shared" si="25"/>
        <v>0</v>
      </c>
      <c r="AY47" s="189"/>
      <c r="AZ47" s="90"/>
      <c r="BA47" s="90"/>
      <c r="BB47" s="183">
        <f t="shared" si="26"/>
        <v>0</v>
      </c>
      <c r="BC47" s="189"/>
      <c r="BD47" s="90"/>
      <c r="BE47" s="90"/>
      <c r="BF47" s="183">
        <f t="shared" si="27"/>
        <v>0</v>
      </c>
      <c r="BG47" s="189"/>
      <c r="BH47" s="90"/>
      <c r="BI47" s="90"/>
      <c r="BJ47" s="183">
        <f t="shared" si="28"/>
        <v>0</v>
      </c>
      <c r="BK47" s="189"/>
      <c r="BL47" s="90"/>
      <c r="BM47" s="90"/>
      <c r="BN47" s="183">
        <f t="shared" si="29"/>
        <v>0</v>
      </c>
      <c r="BO47" s="189"/>
      <c r="BP47" s="90"/>
      <c r="BQ47" s="90"/>
      <c r="BR47" s="183">
        <f t="shared" si="30"/>
        <v>0</v>
      </c>
      <c r="BS47" s="189"/>
      <c r="BT47" s="90"/>
      <c r="BU47" s="90"/>
      <c r="BV47" s="183">
        <f t="shared" si="31"/>
        <v>0</v>
      </c>
      <c r="BW47" s="189"/>
      <c r="BX47" s="90"/>
      <c r="BY47" s="90"/>
      <c r="BZ47" s="183">
        <f t="shared" si="32"/>
        <v>0</v>
      </c>
      <c r="CA47" s="189"/>
      <c r="CB47" s="90"/>
      <c r="CC47" s="90"/>
      <c r="CD47" s="183">
        <f t="shared" si="33"/>
        <v>0</v>
      </c>
    </row>
    <row r="48" spans="2:82" x14ac:dyDescent="0.3">
      <c r="B48" s="53"/>
      <c r="C48" s="53" t="str">
        <f t="shared" si="0"/>
        <v>CPU_CapaConcreto</v>
      </c>
      <c r="D48" s="278">
        <f t="shared" si="1"/>
        <v>0.2</v>
      </c>
      <c r="E48" s="278">
        <f t="shared" si="2"/>
        <v>0</v>
      </c>
      <c r="F48" s="1"/>
      <c r="G48" s="28" t="str">
        <f>IFERROR(VLOOKUP(F48,Tabela7[[RECURSO]:[CUSTO]],2,FALSE),"")</f>
        <v/>
      </c>
      <c r="H48" s="92"/>
      <c r="I48" s="90"/>
      <c r="J48" s="45">
        <f>IFERROR(VLOOKUP(F48,Tabela7[[RECURSO]:[CUSTO]],3,FALSE),0)</f>
        <v>0</v>
      </c>
      <c r="K48" s="45">
        <f>I48*J48*CPU_43[[#This Row],[Nº]]</f>
        <v>0</v>
      </c>
      <c r="AD48" s="144" t="str">
        <f t="shared" si="3"/>
        <v>Capa Concreto</v>
      </c>
      <c r="AE48" s="188"/>
      <c r="AF48" s="180">
        <f t="shared" si="35"/>
        <v>0</v>
      </c>
      <c r="AG48" s="180">
        <f t="shared" si="17"/>
        <v>0</v>
      </c>
      <c r="AH48" s="181">
        <f t="shared" si="36"/>
        <v>0</v>
      </c>
      <c r="AI48" s="189"/>
      <c r="AJ48" s="90"/>
      <c r="AK48" s="90"/>
      <c r="AL48" s="183">
        <f t="shared" si="37"/>
        <v>0</v>
      </c>
      <c r="AM48" s="189"/>
      <c r="AN48" s="90"/>
      <c r="AO48" s="90"/>
      <c r="AP48" s="183">
        <f t="shared" si="23"/>
        <v>0</v>
      </c>
      <c r="AQ48" s="189"/>
      <c r="AR48" s="90"/>
      <c r="AS48" s="90"/>
      <c r="AT48" s="183">
        <f t="shared" si="24"/>
        <v>0</v>
      </c>
      <c r="AU48" s="189"/>
      <c r="AV48" s="90"/>
      <c r="AW48" s="90"/>
      <c r="AX48" s="183">
        <f t="shared" si="25"/>
        <v>0</v>
      </c>
      <c r="AY48" s="189"/>
      <c r="AZ48" s="90"/>
      <c r="BA48" s="90"/>
      <c r="BB48" s="183">
        <f t="shared" si="26"/>
        <v>0</v>
      </c>
      <c r="BC48" s="189"/>
      <c r="BD48" s="90"/>
      <c r="BE48" s="90"/>
      <c r="BF48" s="183">
        <f t="shared" si="27"/>
        <v>0</v>
      </c>
      <c r="BG48" s="189"/>
      <c r="BH48" s="90"/>
      <c r="BI48" s="90"/>
      <c r="BJ48" s="183">
        <f t="shared" si="28"/>
        <v>0</v>
      </c>
      <c r="BK48" s="189"/>
      <c r="BL48" s="90"/>
      <c r="BM48" s="90"/>
      <c r="BN48" s="183">
        <f t="shared" si="29"/>
        <v>0</v>
      </c>
      <c r="BO48" s="189"/>
      <c r="BP48" s="90"/>
      <c r="BQ48" s="90"/>
      <c r="BR48" s="183">
        <f t="shared" si="30"/>
        <v>0</v>
      </c>
      <c r="BS48" s="189"/>
      <c r="BT48" s="90"/>
      <c r="BU48" s="90"/>
      <c r="BV48" s="183">
        <f t="shared" si="31"/>
        <v>0</v>
      </c>
      <c r="BW48" s="189"/>
      <c r="BX48" s="90"/>
      <c r="BY48" s="90"/>
      <c r="BZ48" s="183">
        <f t="shared" si="32"/>
        <v>0</v>
      </c>
      <c r="CA48" s="189"/>
      <c r="CB48" s="90"/>
      <c r="CC48" s="90"/>
      <c r="CD48" s="183">
        <f t="shared" si="33"/>
        <v>0</v>
      </c>
    </row>
    <row r="49" spans="2:82" ht="15" thickBot="1" x14ac:dyDescent="0.35">
      <c r="B49" s="53"/>
      <c r="C49" s="53" t="str">
        <f t="shared" si="0"/>
        <v>CPU_CapaConcreto</v>
      </c>
      <c r="D49" s="278">
        <f t="shared" si="1"/>
        <v>0.2</v>
      </c>
      <c r="E49" s="278">
        <f t="shared" si="2"/>
        <v>0</v>
      </c>
      <c r="F49" s="1"/>
      <c r="G49" s="28" t="str">
        <f>IFERROR(VLOOKUP(F49,Tabela7[[RECURSO]:[CUSTO]],2,FALSE),"")</f>
        <v/>
      </c>
      <c r="H49" s="92"/>
      <c r="I49" s="90"/>
      <c r="J49" s="45">
        <f>IFERROR(VLOOKUP(F49,Tabela7[[RECURSO]:[CUSTO]],3,FALSE),0)</f>
        <v>0</v>
      </c>
      <c r="K49" s="45">
        <f>I49*J49*CPU_43[[#This Row],[Nº]]</f>
        <v>0</v>
      </c>
      <c r="M49" s="83" t="s">
        <v>701</v>
      </c>
      <c r="N49" s="87">
        <f>M51*9</f>
        <v>233.01265000000006</v>
      </c>
      <c r="AD49" s="144" t="str">
        <f t="shared" si="3"/>
        <v>Capa Concreto</v>
      </c>
      <c r="AE49" s="188"/>
      <c r="AF49" s="180">
        <f t="shared" si="35"/>
        <v>0</v>
      </c>
      <c r="AG49" s="180">
        <f t="shared" si="17"/>
        <v>0</v>
      </c>
      <c r="AH49" s="181">
        <f t="shared" si="36"/>
        <v>0</v>
      </c>
      <c r="AI49" s="189"/>
      <c r="AJ49" s="90"/>
      <c r="AK49" s="90"/>
      <c r="AL49" s="183">
        <f t="shared" si="37"/>
        <v>0</v>
      </c>
      <c r="AM49" s="189"/>
      <c r="AN49" s="90"/>
      <c r="AO49" s="90"/>
      <c r="AP49" s="183">
        <f t="shared" si="23"/>
        <v>0</v>
      </c>
      <c r="AQ49" s="189"/>
      <c r="AR49" s="90"/>
      <c r="AS49" s="90"/>
      <c r="AT49" s="183">
        <f t="shared" si="24"/>
        <v>0</v>
      </c>
      <c r="AU49" s="189"/>
      <c r="AV49" s="90"/>
      <c r="AW49" s="90"/>
      <c r="AX49" s="183">
        <f t="shared" si="25"/>
        <v>0</v>
      </c>
      <c r="AY49" s="189"/>
      <c r="AZ49" s="90"/>
      <c r="BA49" s="90"/>
      <c r="BB49" s="183">
        <f t="shared" si="26"/>
        <v>0</v>
      </c>
      <c r="BC49" s="189"/>
      <c r="BD49" s="90"/>
      <c r="BE49" s="90"/>
      <c r="BF49" s="183">
        <f t="shared" si="27"/>
        <v>0</v>
      </c>
      <c r="BG49" s="189"/>
      <c r="BH49" s="90"/>
      <c r="BI49" s="90"/>
      <c r="BJ49" s="183">
        <f t="shared" si="28"/>
        <v>0</v>
      </c>
      <c r="BK49" s="189"/>
      <c r="BL49" s="90"/>
      <c r="BM49" s="90"/>
      <c r="BN49" s="183">
        <f t="shared" si="29"/>
        <v>0</v>
      </c>
      <c r="BO49" s="189"/>
      <c r="BP49" s="90"/>
      <c r="BQ49" s="90"/>
      <c r="BR49" s="183">
        <f t="shared" si="30"/>
        <v>0</v>
      </c>
      <c r="BS49" s="189"/>
      <c r="BT49" s="90"/>
      <c r="BU49" s="90"/>
      <c r="BV49" s="183">
        <f t="shared" si="31"/>
        <v>0</v>
      </c>
      <c r="BW49" s="189"/>
      <c r="BX49" s="90"/>
      <c r="BY49" s="90"/>
      <c r="BZ49" s="183">
        <f t="shared" si="32"/>
        <v>0</v>
      </c>
      <c r="CA49" s="189"/>
      <c r="CB49" s="90"/>
      <c r="CC49" s="90"/>
      <c r="CD49" s="183">
        <f t="shared" si="33"/>
        <v>0</v>
      </c>
    </row>
    <row r="50" spans="2:82" x14ac:dyDescent="0.3">
      <c r="B50" s="52" t="s">
        <v>693</v>
      </c>
      <c r="C50" s="52" t="str">
        <f t="shared" si="0"/>
        <v>CPU_CapaConcreto</v>
      </c>
      <c r="D50" s="277">
        <f t="shared" si="1"/>
        <v>0.2</v>
      </c>
      <c r="E50" s="277">
        <f t="shared" si="2"/>
        <v>0</v>
      </c>
      <c r="F50" s="37"/>
      <c r="G50" s="38"/>
      <c r="H50" s="38"/>
      <c r="I50" s="37"/>
      <c r="J50" s="40">
        <f>IFERROR(K50/$B$6,0)</f>
        <v>35220.932072534873</v>
      </c>
      <c r="K50" s="40">
        <f>SUM(K51:K62)</f>
        <v>7044.1864145069758</v>
      </c>
      <c r="M50" s="84" t="str">
        <f>"Consumo por "&amp;J3</f>
        <v>Consumo por UNID</v>
      </c>
      <c r="N50" s="89"/>
      <c r="O50" s="339" t="s">
        <v>771</v>
      </c>
      <c r="P50" s="340" t="s">
        <v>772</v>
      </c>
      <c r="Q50" s="340" t="s">
        <v>773</v>
      </c>
      <c r="R50" s="340" t="s">
        <v>774</v>
      </c>
      <c r="S50" s="340" t="s">
        <v>775</v>
      </c>
      <c r="T50" s="340" t="s">
        <v>776</v>
      </c>
      <c r="U50" s="340" t="s">
        <v>777</v>
      </c>
      <c r="V50" s="340" t="s">
        <v>778</v>
      </c>
      <c r="W50" s="341" t="s">
        <v>779</v>
      </c>
      <c r="AD50" s="144" t="str">
        <f t="shared" si="3"/>
        <v>Capa Concreto</v>
      </c>
      <c r="AE50" s="190"/>
      <c r="AF50" s="191"/>
      <c r="AG50" s="40">
        <f>IFERROR(AH50/AF$3,0)</f>
        <v>0</v>
      </c>
      <c r="AH50" s="185">
        <f>SUM(AH51:AH62)</f>
        <v>0</v>
      </c>
      <c r="AI50" s="190"/>
      <c r="AJ50" s="37"/>
      <c r="AK50" s="40">
        <f>IFERROR(AL50/AJ$3,0)</f>
        <v>0</v>
      </c>
      <c r="AL50" s="185">
        <f>SUM(AL51:AL62)</f>
        <v>0</v>
      </c>
      <c r="AM50" s="190"/>
      <c r="AN50" s="37"/>
      <c r="AO50" s="40">
        <f>IFERROR(AP50/AN$3,0)</f>
        <v>0</v>
      </c>
      <c r="AP50" s="185">
        <f>SUM(AP51:AP62)</f>
        <v>0</v>
      </c>
      <c r="AQ50" s="190"/>
      <c r="AR50" s="37"/>
      <c r="AS50" s="40">
        <f>IFERROR(AT50/AR$3,0)</f>
        <v>0</v>
      </c>
      <c r="AT50" s="185">
        <f>SUM(AT51:AT62)</f>
        <v>0</v>
      </c>
      <c r="AU50" s="190"/>
      <c r="AV50" s="37"/>
      <c r="AW50" s="40">
        <f>IFERROR(AX50/AV$3,0)</f>
        <v>0</v>
      </c>
      <c r="AX50" s="185">
        <f>SUM(AX51:AX62)</f>
        <v>0</v>
      </c>
      <c r="AY50" s="190"/>
      <c r="AZ50" s="37"/>
      <c r="BA50" s="40">
        <f>IFERROR(BB50/AZ$3,0)</f>
        <v>0</v>
      </c>
      <c r="BB50" s="185">
        <f>SUM(BB51:BB62)</f>
        <v>0</v>
      </c>
      <c r="BC50" s="190"/>
      <c r="BD50" s="37"/>
      <c r="BE50" s="40">
        <f>IFERROR(BF50/BD$3,0)</f>
        <v>0</v>
      </c>
      <c r="BF50" s="185">
        <f>SUM(BF51:BF62)</f>
        <v>0</v>
      </c>
      <c r="BG50" s="190"/>
      <c r="BH50" s="37"/>
      <c r="BI50" s="40">
        <f>IFERROR(BJ50/BH$3,0)</f>
        <v>0</v>
      </c>
      <c r="BJ50" s="185">
        <f>SUM(BJ51:BJ62)</f>
        <v>0</v>
      </c>
      <c r="BK50" s="190"/>
      <c r="BL50" s="37"/>
      <c r="BM50" s="40">
        <f>IFERROR(BN50/BL$3,0)</f>
        <v>0</v>
      </c>
      <c r="BN50" s="185">
        <f>SUM(BN51:BN62)</f>
        <v>0</v>
      </c>
      <c r="BO50" s="190"/>
      <c r="BP50" s="37"/>
      <c r="BQ50" s="40">
        <f>IFERROR(BR50/BP$3,0)</f>
        <v>0</v>
      </c>
      <c r="BR50" s="185">
        <f>SUM(BR51:BR62)</f>
        <v>0</v>
      </c>
      <c r="BS50" s="190"/>
      <c r="BT50" s="37"/>
      <c r="BU50" s="40">
        <f>IFERROR(BV50/BT$3,0)</f>
        <v>0</v>
      </c>
      <c r="BV50" s="185">
        <f>SUM(BV51:BV62)</f>
        <v>0</v>
      </c>
      <c r="BW50" s="190"/>
      <c r="BX50" s="37"/>
      <c r="BY50" s="40">
        <f>IFERROR(BZ50/BX$3,0)</f>
        <v>0</v>
      </c>
      <c r="BZ50" s="185">
        <f>SUM(BZ51:BZ62)</f>
        <v>0</v>
      </c>
      <c r="CA50" s="190"/>
      <c r="CB50" s="37"/>
      <c r="CC50" s="40">
        <f>IFERROR(CD50/CB$3,0)</f>
        <v>0</v>
      </c>
      <c r="CD50" s="185">
        <f>SUM(CD51:CD62)</f>
        <v>0</v>
      </c>
    </row>
    <row r="51" spans="2:82" x14ac:dyDescent="0.3">
      <c r="B51" s="53"/>
      <c r="C51" s="53" t="str">
        <f t="shared" si="0"/>
        <v>CPU_CapaConcreto</v>
      </c>
      <c r="D51" s="278">
        <f t="shared" si="1"/>
        <v>0.2</v>
      </c>
      <c r="E51" s="278">
        <f t="shared" si="2"/>
        <v>0</v>
      </c>
      <c r="F51" s="1" t="s">
        <v>782</v>
      </c>
      <c r="G51" s="28" t="str">
        <f>IFERROR(VLOOKUP(F51,Tabela7[[RECURSO]:[CUSTO]],2,FALSE),"")</f>
        <v>M3</v>
      </c>
      <c r="I51" s="90">
        <f>IFERROR(M51*$B$6,0)</f>
        <v>5.1780588888888905</v>
      </c>
      <c r="J51" s="45">
        <f>IFERROR(VLOOKUP(F51,Tabela7[[RECURSO]:[CUSTO]],3,FALSE),0)</f>
        <v>600</v>
      </c>
      <c r="K51" s="45">
        <f>I51*J51</f>
        <v>3106.8353333333343</v>
      </c>
      <c r="M51" s="85">
        <f>SUM(O51:W51)/9</f>
        <v>25.89029444444445</v>
      </c>
      <c r="N51" s="88">
        <f>M51*CPU_43[[#This Row],[C. UNIT]]*$B$7</f>
        <v>0</v>
      </c>
      <c r="O51" s="31">
        <v>24.9023</v>
      </c>
      <c r="P51" s="1">
        <v>26.281199999999998</v>
      </c>
      <c r="Q51" s="1">
        <v>26.063800000000001</v>
      </c>
      <c r="R51" s="1">
        <v>26.14695</v>
      </c>
      <c r="S51" s="1">
        <v>25.363199999999999</v>
      </c>
      <c r="T51" s="1">
        <v>26.063800000000001</v>
      </c>
      <c r="U51" s="1">
        <v>26.063800000000001</v>
      </c>
      <c r="V51" s="1">
        <v>26.063800000000001</v>
      </c>
      <c r="W51" s="342">
        <v>26.063800000000001</v>
      </c>
      <c r="AD51" s="144" t="str">
        <f t="shared" si="3"/>
        <v>Capa Concreto</v>
      </c>
      <c r="AE51" s="192"/>
      <c r="AF51" s="180">
        <f t="shared" ref="AF51:AF62" si="38">AJ51+AN51+AR51+AV51+AZ51+BD51+BH51+BL51+BP51+BT51+BX51+CB51</f>
        <v>0</v>
      </c>
      <c r="AG51" s="180">
        <f t="shared" si="17"/>
        <v>0</v>
      </c>
      <c r="AH51" s="181">
        <f t="shared" ref="AH51:AH62" si="39">AL51+AP51+AT51+AX51+BB51+BF51+BJ51+BN51+BR51+BV51+BZ51+CD51</f>
        <v>0</v>
      </c>
      <c r="AI51" s="193"/>
      <c r="AJ51" s="90"/>
      <c r="AK51" s="90"/>
      <c r="AL51" s="183">
        <f t="shared" ref="AL51:AL62" si="40">AJ51*AK51</f>
        <v>0</v>
      </c>
      <c r="AM51" s="193"/>
      <c r="AN51" s="90"/>
      <c r="AO51" s="90"/>
      <c r="AP51" s="183">
        <f t="shared" si="23"/>
        <v>0</v>
      </c>
      <c r="AQ51" s="193"/>
      <c r="AR51" s="90"/>
      <c r="AS51" s="90"/>
      <c r="AT51" s="183">
        <f t="shared" si="24"/>
        <v>0</v>
      </c>
      <c r="AU51" s="193"/>
      <c r="AV51" s="90"/>
      <c r="AW51" s="90"/>
      <c r="AX51" s="183">
        <f t="shared" si="25"/>
        <v>0</v>
      </c>
      <c r="AY51" s="193"/>
      <c r="AZ51" s="90"/>
      <c r="BA51" s="90"/>
      <c r="BB51" s="183">
        <f t="shared" si="26"/>
        <v>0</v>
      </c>
      <c r="BC51" s="193"/>
      <c r="BD51" s="90"/>
      <c r="BE51" s="90"/>
      <c r="BF51" s="183">
        <f t="shared" si="27"/>
        <v>0</v>
      </c>
      <c r="BG51" s="193"/>
      <c r="BH51" s="90"/>
      <c r="BI51" s="90"/>
      <c r="BJ51" s="183">
        <f t="shared" si="28"/>
        <v>0</v>
      </c>
      <c r="BK51" s="193"/>
      <c r="BL51" s="90"/>
      <c r="BM51" s="90"/>
      <c r="BN51" s="183">
        <f t="shared" si="29"/>
        <v>0</v>
      </c>
      <c r="BO51" s="193"/>
      <c r="BP51" s="90"/>
      <c r="BQ51" s="90"/>
      <c r="BR51" s="183">
        <f t="shared" si="30"/>
        <v>0</v>
      </c>
      <c r="BS51" s="193"/>
      <c r="BT51" s="90"/>
      <c r="BU51" s="90"/>
      <c r="BV51" s="183">
        <f t="shared" si="31"/>
        <v>0</v>
      </c>
      <c r="BW51" s="193"/>
      <c r="BX51" s="90"/>
      <c r="BY51" s="90"/>
      <c r="BZ51" s="183">
        <f t="shared" si="32"/>
        <v>0</v>
      </c>
      <c r="CA51" s="193"/>
      <c r="CB51" s="90"/>
      <c r="CC51" s="90"/>
      <c r="CD51" s="183">
        <f t="shared" si="33"/>
        <v>0</v>
      </c>
    </row>
    <row r="52" spans="2:82" x14ac:dyDescent="0.3">
      <c r="B52" s="53"/>
      <c r="C52" s="53" t="str">
        <f t="shared" si="0"/>
        <v>CPU_CapaConcreto</v>
      </c>
      <c r="D52" s="278">
        <f t="shared" si="1"/>
        <v>0.2</v>
      </c>
      <c r="E52" s="278">
        <f t="shared" si="2"/>
        <v>0</v>
      </c>
      <c r="F52" s="1" t="s">
        <v>796</v>
      </c>
      <c r="G52" s="28" t="str">
        <f>IFERROR(VLOOKUP(F52,Tabela7[[RECURSO]:[CUSTO]],2,FALSE),"")</f>
        <v>KG</v>
      </c>
      <c r="I52" s="90">
        <f t="shared" ref="I52:I62" si="41">IFERROR(M52*$B$6,0)</f>
        <v>80.568888888888893</v>
      </c>
      <c r="J52" s="45">
        <f>IFERROR(VLOOKUP(F52,Tabela7[[RECURSO]:[CUSTO]],3,FALSE),0)</f>
        <v>7.7813852813852806</v>
      </c>
      <c r="K52" s="45">
        <f t="shared" ref="K52:K62" si="42">I52*J52</f>
        <v>626.93756613756614</v>
      </c>
      <c r="M52" s="85">
        <f t="shared" ref="M52:M62" si="43">SUM(O52:W52)/9</f>
        <v>402.84444444444443</v>
      </c>
      <c r="N52" s="88">
        <f>M52*CPU_43[[#This Row],[C. UNIT]]*$B$7</f>
        <v>0</v>
      </c>
      <c r="O52" s="31">
        <v>401.5</v>
      </c>
      <c r="P52" s="1">
        <v>401.5</v>
      </c>
      <c r="Q52" s="1">
        <v>401.5</v>
      </c>
      <c r="R52" s="1">
        <v>401.5</v>
      </c>
      <c r="S52" s="1">
        <v>413.6</v>
      </c>
      <c r="T52" s="1">
        <v>401.5</v>
      </c>
      <c r="U52" s="1">
        <v>401.5</v>
      </c>
      <c r="V52" s="1">
        <v>401.5</v>
      </c>
      <c r="W52" s="342">
        <v>401.5</v>
      </c>
      <c r="AD52" s="144" t="str">
        <f t="shared" si="3"/>
        <v>Capa Concreto</v>
      </c>
      <c r="AE52" s="192"/>
      <c r="AF52" s="180">
        <f t="shared" si="38"/>
        <v>0</v>
      </c>
      <c r="AG52" s="180">
        <f t="shared" si="17"/>
        <v>0</v>
      </c>
      <c r="AH52" s="181">
        <f t="shared" si="39"/>
        <v>0</v>
      </c>
      <c r="AI52" s="193"/>
      <c r="AJ52" s="90"/>
      <c r="AK52" s="90"/>
      <c r="AL52" s="183">
        <f t="shared" si="40"/>
        <v>0</v>
      </c>
      <c r="AM52" s="193"/>
      <c r="AN52" s="90"/>
      <c r="AO52" s="90"/>
      <c r="AP52" s="183">
        <f t="shared" si="23"/>
        <v>0</v>
      </c>
      <c r="AQ52" s="193"/>
      <c r="AR52" s="90"/>
      <c r="AS52" s="90"/>
      <c r="AT52" s="183">
        <f t="shared" si="24"/>
        <v>0</v>
      </c>
      <c r="AU52" s="193"/>
      <c r="AV52" s="90"/>
      <c r="AW52" s="90"/>
      <c r="AX52" s="183">
        <f t="shared" si="25"/>
        <v>0</v>
      </c>
      <c r="AY52" s="193"/>
      <c r="AZ52" s="90"/>
      <c r="BA52" s="90"/>
      <c r="BB52" s="183">
        <f t="shared" si="26"/>
        <v>0</v>
      </c>
      <c r="BC52" s="193"/>
      <c r="BD52" s="90"/>
      <c r="BE52" s="90"/>
      <c r="BF52" s="183">
        <f t="shared" si="27"/>
        <v>0</v>
      </c>
      <c r="BG52" s="193"/>
      <c r="BH52" s="90"/>
      <c r="BI52" s="90"/>
      <c r="BJ52" s="183">
        <f t="shared" si="28"/>
        <v>0</v>
      </c>
      <c r="BK52" s="193"/>
      <c r="BL52" s="90"/>
      <c r="BM52" s="90"/>
      <c r="BN52" s="183">
        <f t="shared" si="29"/>
        <v>0</v>
      </c>
      <c r="BO52" s="193"/>
      <c r="BP52" s="90"/>
      <c r="BQ52" s="90"/>
      <c r="BR52" s="183">
        <f t="shared" si="30"/>
        <v>0</v>
      </c>
      <c r="BS52" s="193"/>
      <c r="BT52" s="90"/>
      <c r="BU52" s="90"/>
      <c r="BV52" s="183">
        <f t="shared" si="31"/>
        <v>0</v>
      </c>
      <c r="BW52" s="193"/>
      <c r="BX52" s="90"/>
      <c r="BY52" s="90"/>
      <c r="BZ52" s="183">
        <f t="shared" si="32"/>
        <v>0</v>
      </c>
      <c r="CA52" s="193"/>
      <c r="CB52" s="90"/>
      <c r="CC52" s="90"/>
      <c r="CD52" s="183">
        <f t="shared" si="33"/>
        <v>0</v>
      </c>
    </row>
    <row r="53" spans="2:82" x14ac:dyDescent="0.3">
      <c r="B53" s="53"/>
      <c r="C53" s="53" t="str">
        <f t="shared" si="0"/>
        <v>CPU_CapaConcreto</v>
      </c>
      <c r="D53" s="278">
        <f t="shared" si="1"/>
        <v>0.2</v>
      </c>
      <c r="E53" s="278">
        <f t="shared" si="2"/>
        <v>0</v>
      </c>
      <c r="F53" s="1" t="s">
        <v>797</v>
      </c>
      <c r="G53" s="28" t="str">
        <f>IFERROR(VLOOKUP(F53,Tabela7[[RECURSO]:[CUSTO]],2,FALSE),"")</f>
        <v>M2</v>
      </c>
      <c r="I53" s="90">
        <f t="shared" si="41"/>
        <v>40.77511111111113</v>
      </c>
      <c r="J53" s="45">
        <f>IFERROR(VLOOKUP(F53,Tabela7[[RECURSO]:[CUSTO]],3,FALSE),0)</f>
        <v>2.835</v>
      </c>
      <c r="K53" s="45">
        <f t="shared" si="42"/>
        <v>115.59744000000005</v>
      </c>
      <c r="M53" s="85">
        <f t="shared" si="43"/>
        <v>203.87555555555562</v>
      </c>
      <c r="N53" s="88">
        <f>M53*CPU_43[[#This Row],[C. UNIT]]*$B$7</f>
        <v>0</v>
      </c>
      <c r="O53" s="31">
        <v>205.86</v>
      </c>
      <c r="P53" s="1">
        <v>205.86</v>
      </c>
      <c r="Q53" s="1">
        <v>205.86</v>
      </c>
      <c r="R53" s="1">
        <v>205.86</v>
      </c>
      <c r="S53" s="1">
        <v>188</v>
      </c>
      <c r="T53" s="1">
        <v>205.86</v>
      </c>
      <c r="U53" s="1">
        <v>205.86</v>
      </c>
      <c r="V53" s="1">
        <v>205.86</v>
      </c>
      <c r="W53" s="342">
        <v>205.86</v>
      </c>
      <c r="AD53" s="144" t="str">
        <f t="shared" si="3"/>
        <v>Capa Concreto</v>
      </c>
      <c r="AE53" s="192"/>
      <c r="AF53" s="180">
        <f t="shared" si="38"/>
        <v>0</v>
      </c>
      <c r="AG53" s="180">
        <f t="shared" si="17"/>
        <v>0</v>
      </c>
      <c r="AH53" s="181">
        <f t="shared" si="39"/>
        <v>0</v>
      </c>
      <c r="AI53" s="193"/>
      <c r="AJ53" s="90"/>
      <c r="AK53" s="90"/>
      <c r="AL53" s="183">
        <f t="shared" si="40"/>
        <v>0</v>
      </c>
      <c r="AM53" s="193"/>
      <c r="AN53" s="90"/>
      <c r="AO53" s="90"/>
      <c r="AP53" s="183">
        <f t="shared" si="23"/>
        <v>0</v>
      </c>
      <c r="AQ53" s="193"/>
      <c r="AR53" s="90"/>
      <c r="AS53" s="90"/>
      <c r="AT53" s="183">
        <f t="shared" si="24"/>
        <v>0</v>
      </c>
      <c r="AU53" s="193"/>
      <c r="AV53" s="90"/>
      <c r="AW53" s="90"/>
      <c r="AX53" s="183">
        <f t="shared" si="25"/>
        <v>0</v>
      </c>
      <c r="AY53" s="193"/>
      <c r="AZ53" s="90"/>
      <c r="BA53" s="90"/>
      <c r="BB53" s="183">
        <f t="shared" si="26"/>
        <v>0</v>
      </c>
      <c r="BC53" s="193"/>
      <c r="BD53" s="90"/>
      <c r="BE53" s="90"/>
      <c r="BF53" s="183">
        <f t="shared" si="27"/>
        <v>0</v>
      </c>
      <c r="BG53" s="193"/>
      <c r="BH53" s="90"/>
      <c r="BI53" s="90"/>
      <c r="BJ53" s="183">
        <f t="shared" si="28"/>
        <v>0</v>
      </c>
      <c r="BK53" s="193"/>
      <c r="BL53" s="90"/>
      <c r="BM53" s="90"/>
      <c r="BN53" s="183">
        <f t="shared" si="29"/>
        <v>0</v>
      </c>
      <c r="BO53" s="193"/>
      <c r="BP53" s="90"/>
      <c r="BQ53" s="90"/>
      <c r="BR53" s="183">
        <f t="shared" si="30"/>
        <v>0</v>
      </c>
      <c r="BS53" s="193"/>
      <c r="BT53" s="90"/>
      <c r="BU53" s="90"/>
      <c r="BV53" s="183">
        <f t="shared" si="31"/>
        <v>0</v>
      </c>
      <c r="BW53" s="193"/>
      <c r="BX53" s="90"/>
      <c r="BY53" s="90"/>
      <c r="BZ53" s="183">
        <f t="shared" si="32"/>
        <v>0</v>
      </c>
      <c r="CA53" s="193"/>
      <c r="CB53" s="90"/>
      <c r="CC53" s="90"/>
      <c r="CD53" s="183">
        <f t="shared" si="33"/>
        <v>0</v>
      </c>
    </row>
    <row r="54" spans="2:82" x14ac:dyDescent="0.3">
      <c r="B54" s="53"/>
      <c r="C54" s="53" t="str">
        <f t="shared" si="0"/>
        <v>CPU_CapaConcreto</v>
      </c>
      <c r="D54" s="278">
        <f t="shared" si="1"/>
        <v>0.2</v>
      </c>
      <c r="E54" s="278">
        <f t="shared" si="2"/>
        <v>0</v>
      </c>
      <c r="F54" s="1" t="s">
        <v>798</v>
      </c>
      <c r="G54" s="28" t="str">
        <f>IFERROR(VLOOKUP(F54,Tabela7[[RECURSO]:[CUSTO]],2,FALSE),"")</f>
        <v>M</v>
      </c>
      <c r="I54" s="90">
        <f t="shared" si="41"/>
        <v>3.3000000000000003</v>
      </c>
      <c r="J54" s="45">
        <f>IFERROR(VLOOKUP(F54,Tabela7[[RECURSO]:[CUSTO]],3,FALSE),0)</f>
        <v>135</v>
      </c>
      <c r="K54" s="45">
        <f>I54*J54</f>
        <v>445.50000000000006</v>
      </c>
      <c r="M54" s="85">
        <f t="shared" si="43"/>
        <v>16.5</v>
      </c>
      <c r="N54" s="88">
        <f>M54*CPU_43[[#This Row],[C. UNIT]]*$B$7</f>
        <v>0</v>
      </c>
      <c r="O54" s="31">
        <v>16.5</v>
      </c>
      <c r="P54" s="1">
        <v>16.5</v>
      </c>
      <c r="Q54" s="1">
        <v>16.5</v>
      </c>
      <c r="R54" s="1">
        <v>16.5</v>
      </c>
      <c r="S54" s="1">
        <v>16.5</v>
      </c>
      <c r="T54" s="1">
        <v>16.5</v>
      </c>
      <c r="U54" s="1">
        <v>16.5</v>
      </c>
      <c r="V54" s="1">
        <v>16.5</v>
      </c>
      <c r="W54" s="342">
        <v>16.5</v>
      </c>
      <c r="AD54" s="144" t="str">
        <f>$B$3</f>
        <v>Capa Concreto</v>
      </c>
      <c r="AE54" s="192"/>
      <c r="AF54" s="180">
        <f t="shared" si="38"/>
        <v>0</v>
      </c>
      <c r="AG54" s="180">
        <f t="shared" si="17"/>
        <v>0</v>
      </c>
      <c r="AH54" s="181">
        <f t="shared" si="39"/>
        <v>0</v>
      </c>
      <c r="AI54" s="193"/>
      <c r="AJ54" s="90"/>
      <c r="AK54" s="90"/>
      <c r="AL54" s="183">
        <f t="shared" si="40"/>
        <v>0</v>
      </c>
      <c r="AM54" s="193"/>
      <c r="AN54" s="90"/>
      <c r="AO54" s="90"/>
      <c r="AP54" s="183">
        <f t="shared" si="23"/>
        <v>0</v>
      </c>
      <c r="AQ54" s="193"/>
      <c r="AR54" s="90"/>
      <c r="AS54" s="90"/>
      <c r="AT54" s="183">
        <f t="shared" si="24"/>
        <v>0</v>
      </c>
      <c r="AU54" s="193"/>
      <c r="AV54" s="90"/>
      <c r="AW54" s="90"/>
      <c r="AX54" s="183">
        <f t="shared" si="25"/>
        <v>0</v>
      </c>
      <c r="AY54" s="193"/>
      <c r="AZ54" s="90"/>
      <c r="BA54" s="90"/>
      <c r="BB54" s="183">
        <f t="shared" si="26"/>
        <v>0</v>
      </c>
      <c r="BC54" s="193"/>
      <c r="BD54" s="90"/>
      <c r="BE54" s="90"/>
      <c r="BF54" s="183">
        <f t="shared" si="27"/>
        <v>0</v>
      </c>
      <c r="BG54" s="193"/>
      <c r="BH54" s="90"/>
      <c r="BI54" s="90"/>
      <c r="BJ54" s="183">
        <f t="shared" si="28"/>
        <v>0</v>
      </c>
      <c r="BK54" s="193"/>
      <c r="BL54" s="90"/>
      <c r="BM54" s="90"/>
      <c r="BN54" s="183">
        <f t="shared" si="29"/>
        <v>0</v>
      </c>
      <c r="BO54" s="193"/>
      <c r="BP54" s="90"/>
      <c r="BQ54" s="90"/>
      <c r="BR54" s="183">
        <f t="shared" si="30"/>
        <v>0</v>
      </c>
      <c r="BS54" s="193"/>
      <c r="BT54" s="90"/>
      <c r="BU54" s="90"/>
      <c r="BV54" s="183">
        <f t="shared" si="31"/>
        <v>0</v>
      </c>
      <c r="BW54" s="193"/>
      <c r="BX54" s="90"/>
      <c r="BY54" s="90"/>
      <c r="BZ54" s="183">
        <f t="shared" si="32"/>
        <v>0</v>
      </c>
      <c r="CA54" s="193"/>
      <c r="CB54" s="90"/>
      <c r="CC54" s="90"/>
      <c r="CD54" s="183">
        <f t="shared" si="33"/>
        <v>0</v>
      </c>
    </row>
    <row r="55" spans="2:82" x14ac:dyDescent="0.3">
      <c r="B55" s="53"/>
      <c r="C55" s="53" t="str">
        <f t="shared" si="0"/>
        <v>CPU_CapaConcreto</v>
      </c>
      <c r="D55" s="278">
        <f t="shared" si="1"/>
        <v>0.2</v>
      </c>
      <c r="E55" s="278">
        <f t="shared" si="2"/>
        <v>0</v>
      </c>
      <c r="F55" s="1" t="s">
        <v>799</v>
      </c>
      <c r="G55" s="28" t="str">
        <f>IFERROR(VLOOKUP(F55,Tabela7[[RECURSO]:[CUSTO]],2,FALSE),"")</f>
        <v>M3</v>
      </c>
      <c r="I55" s="90">
        <f t="shared" si="41"/>
        <v>2.0387555555555554</v>
      </c>
      <c r="J55" s="45">
        <f>IFERROR(VLOOKUP(F55,Tabela7[[RECURSO]:[CUSTO]],3,FALSE),0)</f>
        <v>180</v>
      </c>
      <c r="K55" s="45">
        <f t="shared" si="42"/>
        <v>366.976</v>
      </c>
      <c r="M55" s="85">
        <f t="shared" si="43"/>
        <v>10.193777777777777</v>
      </c>
      <c r="N55" s="88">
        <f>M55*CPU_43[[#This Row],[C. UNIT]]*$B$7</f>
        <v>0</v>
      </c>
      <c r="O55" s="31">
        <v>10.292999999999999</v>
      </c>
      <c r="P55" s="1">
        <v>10.292999999999999</v>
      </c>
      <c r="Q55" s="1">
        <v>10.292999999999999</v>
      </c>
      <c r="R55" s="1">
        <v>10.292999999999999</v>
      </c>
      <c r="S55" s="1">
        <v>9.4</v>
      </c>
      <c r="T55" s="1">
        <v>10.292999999999999</v>
      </c>
      <c r="U55" s="1">
        <v>10.292999999999999</v>
      </c>
      <c r="V55" s="1">
        <v>10.292999999999999</v>
      </c>
      <c r="W55" s="342">
        <v>10.292999999999999</v>
      </c>
      <c r="AD55" s="144" t="str">
        <f t="shared" si="3"/>
        <v>Capa Concreto</v>
      </c>
      <c r="AE55" s="192"/>
      <c r="AF55" s="180">
        <f t="shared" si="38"/>
        <v>0</v>
      </c>
      <c r="AG55" s="180">
        <f t="shared" si="17"/>
        <v>0</v>
      </c>
      <c r="AH55" s="181">
        <f t="shared" si="39"/>
        <v>0</v>
      </c>
      <c r="AI55" s="193"/>
      <c r="AJ55" s="90"/>
      <c r="AK55" s="90"/>
      <c r="AL55" s="183">
        <f t="shared" si="40"/>
        <v>0</v>
      </c>
      <c r="AM55" s="193"/>
      <c r="AN55" s="90"/>
      <c r="AO55" s="90"/>
      <c r="AP55" s="183">
        <f t="shared" si="23"/>
        <v>0</v>
      </c>
      <c r="AQ55" s="193"/>
      <c r="AR55" s="90"/>
      <c r="AS55" s="90"/>
      <c r="AT55" s="183">
        <f t="shared" si="24"/>
        <v>0</v>
      </c>
      <c r="AU55" s="193"/>
      <c r="AV55" s="90"/>
      <c r="AW55" s="90"/>
      <c r="AX55" s="183">
        <f t="shared" si="25"/>
        <v>0</v>
      </c>
      <c r="AY55" s="193"/>
      <c r="AZ55" s="90"/>
      <c r="BA55" s="90"/>
      <c r="BB55" s="183">
        <f t="shared" si="26"/>
        <v>0</v>
      </c>
      <c r="BC55" s="193"/>
      <c r="BD55" s="90"/>
      <c r="BE55" s="90"/>
      <c r="BF55" s="183">
        <f t="shared" si="27"/>
        <v>0</v>
      </c>
      <c r="BG55" s="193"/>
      <c r="BH55" s="90"/>
      <c r="BI55" s="90"/>
      <c r="BJ55" s="183">
        <f t="shared" si="28"/>
        <v>0</v>
      </c>
      <c r="BK55" s="193"/>
      <c r="BL55" s="90"/>
      <c r="BM55" s="90"/>
      <c r="BN55" s="183">
        <f t="shared" si="29"/>
        <v>0</v>
      </c>
      <c r="BO55" s="193"/>
      <c r="BP55" s="90"/>
      <c r="BQ55" s="90"/>
      <c r="BR55" s="183">
        <f t="shared" si="30"/>
        <v>0</v>
      </c>
      <c r="BS55" s="193"/>
      <c r="BT55" s="90"/>
      <c r="BU55" s="90"/>
      <c r="BV55" s="183">
        <f t="shared" si="31"/>
        <v>0</v>
      </c>
      <c r="BW55" s="193"/>
      <c r="BX55" s="90"/>
      <c r="BY55" s="90"/>
      <c r="BZ55" s="183">
        <f t="shared" si="32"/>
        <v>0</v>
      </c>
      <c r="CA55" s="193"/>
      <c r="CB55" s="90"/>
      <c r="CC55" s="90"/>
      <c r="CD55" s="183">
        <f t="shared" si="33"/>
        <v>0</v>
      </c>
    </row>
    <row r="56" spans="2:82" x14ac:dyDescent="0.3">
      <c r="B56" s="53"/>
      <c r="C56" s="53" t="str">
        <f t="shared" si="0"/>
        <v>CPU_CapaConcreto</v>
      </c>
      <c r="D56" s="278">
        <f t="shared" si="1"/>
        <v>0.2</v>
      </c>
      <c r="E56" s="278">
        <f t="shared" si="2"/>
        <v>0</v>
      </c>
      <c r="F56" s="1" t="s">
        <v>800</v>
      </c>
      <c r="G56" s="28" t="str">
        <f>IFERROR(VLOOKUP(F56,Tabela7[[RECURSO]:[CUSTO]],2,FALSE),"")</f>
        <v>M</v>
      </c>
      <c r="I56" s="90">
        <f t="shared" si="41"/>
        <v>1.2000000000000002</v>
      </c>
      <c r="J56" s="45">
        <f>IFERROR(VLOOKUP(F56,Tabela7[[RECURSO]:[CUSTO]],3,FALSE),0)</f>
        <v>8.1666666666666661</v>
      </c>
      <c r="K56" s="45">
        <f t="shared" si="42"/>
        <v>9.8000000000000007</v>
      </c>
      <c r="M56" s="85">
        <f t="shared" si="43"/>
        <v>6</v>
      </c>
      <c r="N56" s="88">
        <f>M56*CPU_43[[#This Row],[C. UNIT]]*$B$7</f>
        <v>0</v>
      </c>
      <c r="O56" s="31">
        <v>6</v>
      </c>
      <c r="P56" s="1">
        <v>6</v>
      </c>
      <c r="Q56" s="1">
        <v>6</v>
      </c>
      <c r="R56" s="1">
        <v>6</v>
      </c>
      <c r="S56" s="1">
        <v>6</v>
      </c>
      <c r="T56" s="1">
        <v>6</v>
      </c>
      <c r="U56" s="1">
        <v>6</v>
      </c>
      <c r="V56" s="1">
        <v>6</v>
      </c>
      <c r="W56" s="342">
        <v>6</v>
      </c>
      <c r="AD56" s="144" t="str">
        <f t="shared" si="3"/>
        <v>Capa Concreto</v>
      </c>
      <c r="AE56" s="192"/>
      <c r="AF56" s="180">
        <f t="shared" si="38"/>
        <v>0</v>
      </c>
      <c r="AG56" s="180">
        <f t="shared" si="17"/>
        <v>0</v>
      </c>
      <c r="AH56" s="181">
        <f t="shared" si="39"/>
        <v>0</v>
      </c>
      <c r="AI56" s="193"/>
      <c r="AJ56" s="90"/>
      <c r="AK56" s="90"/>
      <c r="AL56" s="183">
        <f t="shared" si="40"/>
        <v>0</v>
      </c>
      <c r="AM56" s="193"/>
      <c r="AN56" s="90"/>
      <c r="AO56" s="90"/>
      <c r="AP56" s="183">
        <f t="shared" si="23"/>
        <v>0</v>
      </c>
      <c r="AQ56" s="193"/>
      <c r="AR56" s="90"/>
      <c r="AS56" s="90"/>
      <c r="AT56" s="183">
        <f t="shared" si="24"/>
        <v>0</v>
      </c>
      <c r="AU56" s="193"/>
      <c r="AV56" s="90"/>
      <c r="AW56" s="90"/>
      <c r="AX56" s="183">
        <f t="shared" si="25"/>
        <v>0</v>
      </c>
      <c r="AY56" s="193"/>
      <c r="AZ56" s="90"/>
      <c r="BA56" s="90"/>
      <c r="BB56" s="183">
        <f t="shared" si="26"/>
        <v>0</v>
      </c>
      <c r="BC56" s="193"/>
      <c r="BD56" s="90"/>
      <c r="BE56" s="90"/>
      <c r="BF56" s="183">
        <f t="shared" si="27"/>
        <v>0</v>
      </c>
      <c r="BG56" s="193"/>
      <c r="BH56" s="90"/>
      <c r="BI56" s="90"/>
      <c r="BJ56" s="183">
        <f t="shared" si="28"/>
        <v>0</v>
      </c>
      <c r="BK56" s="193"/>
      <c r="BL56" s="90"/>
      <c r="BM56" s="90"/>
      <c r="BN56" s="183">
        <f t="shared" si="29"/>
        <v>0</v>
      </c>
      <c r="BO56" s="193"/>
      <c r="BP56" s="90"/>
      <c r="BQ56" s="90"/>
      <c r="BR56" s="183">
        <f t="shared" si="30"/>
        <v>0</v>
      </c>
      <c r="BS56" s="193"/>
      <c r="BT56" s="90"/>
      <c r="BU56" s="90"/>
      <c r="BV56" s="183">
        <f t="shared" si="31"/>
        <v>0</v>
      </c>
      <c r="BW56" s="193"/>
      <c r="BX56" s="90"/>
      <c r="BY56" s="90"/>
      <c r="BZ56" s="183">
        <f t="shared" si="32"/>
        <v>0</v>
      </c>
      <c r="CA56" s="193"/>
      <c r="CB56" s="90"/>
      <c r="CC56" s="90"/>
      <c r="CD56" s="183">
        <f t="shared" si="33"/>
        <v>0</v>
      </c>
    </row>
    <row r="57" spans="2:82" x14ac:dyDescent="0.3">
      <c r="B57" s="53"/>
      <c r="C57" s="53" t="str">
        <f t="shared" si="0"/>
        <v>CPU_CapaConcreto</v>
      </c>
      <c r="D57" s="278">
        <f t="shared" si="1"/>
        <v>0.2</v>
      </c>
      <c r="E57" s="278">
        <f t="shared" si="2"/>
        <v>0</v>
      </c>
      <c r="F57" s="1" t="s">
        <v>801</v>
      </c>
      <c r="G57" s="28" t="s">
        <v>82</v>
      </c>
      <c r="I57" s="90">
        <f t="shared" si="41"/>
        <v>40.77511111111113</v>
      </c>
      <c r="J57" s="45">
        <f>IFERROR(VLOOKUP(F57,Tabela7[[RECURSO]:[CUSTO]],3,FALSE),0)</f>
        <v>50</v>
      </c>
      <c r="K57" s="45">
        <f t="shared" si="42"/>
        <v>2038.7555555555564</v>
      </c>
      <c r="M57" s="85">
        <f t="shared" si="43"/>
        <v>203.87555555555562</v>
      </c>
      <c r="N57" s="88">
        <f>M57*CPU_43[[#This Row],[C. UNIT]]*$B$7</f>
        <v>0</v>
      </c>
      <c r="O57" s="31">
        <v>205.86</v>
      </c>
      <c r="P57" s="1">
        <v>205.86</v>
      </c>
      <c r="Q57" s="1">
        <v>205.86</v>
      </c>
      <c r="R57" s="1">
        <v>205.86</v>
      </c>
      <c r="S57" s="1">
        <v>188</v>
      </c>
      <c r="T57" s="1">
        <v>205.86</v>
      </c>
      <c r="U57" s="1">
        <v>205.86</v>
      </c>
      <c r="V57" s="1">
        <v>205.86</v>
      </c>
      <c r="W57" s="342">
        <v>205.86</v>
      </c>
      <c r="AD57" s="144" t="str">
        <f t="shared" si="3"/>
        <v>Capa Concreto</v>
      </c>
      <c r="AE57" s="192"/>
      <c r="AF57" s="180">
        <f t="shared" si="38"/>
        <v>0</v>
      </c>
      <c r="AG57" s="180">
        <f t="shared" si="17"/>
        <v>0</v>
      </c>
      <c r="AH57" s="181">
        <f t="shared" si="39"/>
        <v>0</v>
      </c>
      <c r="AI57" s="193"/>
      <c r="AJ57" s="90"/>
      <c r="AK57" s="90"/>
      <c r="AL57" s="183">
        <f t="shared" si="40"/>
        <v>0</v>
      </c>
      <c r="AM57" s="193"/>
      <c r="AN57" s="90"/>
      <c r="AO57" s="90"/>
      <c r="AP57" s="183">
        <f t="shared" si="23"/>
        <v>0</v>
      </c>
      <c r="AQ57" s="193"/>
      <c r="AR57" s="90"/>
      <c r="AS57" s="90"/>
      <c r="AT57" s="183">
        <f t="shared" si="24"/>
        <v>0</v>
      </c>
      <c r="AU57" s="193"/>
      <c r="AV57" s="90"/>
      <c r="AW57" s="90"/>
      <c r="AX57" s="183">
        <f t="shared" si="25"/>
        <v>0</v>
      </c>
      <c r="AY57" s="193"/>
      <c r="AZ57" s="90"/>
      <c r="BA57" s="90"/>
      <c r="BB57" s="183">
        <f t="shared" si="26"/>
        <v>0</v>
      </c>
      <c r="BC57" s="193"/>
      <c r="BD57" s="90"/>
      <c r="BE57" s="90"/>
      <c r="BF57" s="183">
        <f t="shared" si="27"/>
        <v>0</v>
      </c>
      <c r="BG57" s="193"/>
      <c r="BH57" s="90"/>
      <c r="BI57" s="90"/>
      <c r="BJ57" s="183">
        <f t="shared" si="28"/>
        <v>0</v>
      </c>
      <c r="BK57" s="193"/>
      <c r="BL57" s="90"/>
      <c r="BM57" s="90"/>
      <c r="BN57" s="183">
        <f t="shared" si="29"/>
        <v>0</v>
      </c>
      <c r="BO57" s="193"/>
      <c r="BP57" s="90"/>
      <c r="BQ57" s="90"/>
      <c r="BR57" s="183">
        <f t="shared" si="30"/>
        <v>0</v>
      </c>
      <c r="BS57" s="193"/>
      <c r="BT57" s="90"/>
      <c r="BU57" s="90"/>
      <c r="BV57" s="183">
        <f t="shared" si="31"/>
        <v>0</v>
      </c>
      <c r="BW57" s="193"/>
      <c r="BX57" s="90"/>
      <c r="BY57" s="90"/>
      <c r="BZ57" s="183">
        <f t="shared" si="32"/>
        <v>0</v>
      </c>
      <c r="CA57" s="193"/>
      <c r="CB57" s="90"/>
      <c r="CC57" s="90"/>
      <c r="CD57" s="183">
        <f t="shared" si="33"/>
        <v>0</v>
      </c>
    </row>
    <row r="58" spans="2:82" x14ac:dyDescent="0.3">
      <c r="B58" s="53"/>
      <c r="C58" s="53" t="str">
        <f t="shared" si="0"/>
        <v>CPU_CapaConcreto</v>
      </c>
      <c r="D58" s="278">
        <f t="shared" si="1"/>
        <v>0.2</v>
      </c>
      <c r="E58" s="278">
        <f t="shared" si="2"/>
        <v>0</v>
      </c>
      <c r="F58" s="1" t="s">
        <v>781</v>
      </c>
      <c r="G58" s="28" t="s">
        <v>802</v>
      </c>
      <c r="I58" s="90">
        <f t="shared" si="41"/>
        <v>1.6375555555555552</v>
      </c>
      <c r="J58" s="45">
        <f>IFERROR(VLOOKUP(F58,Tabela7[[RECURSO]:[CUSTO]],3,FALSE),0)</f>
        <v>8</v>
      </c>
      <c r="K58" s="45">
        <f t="shared" si="42"/>
        <v>13.100444444444442</v>
      </c>
      <c r="M58" s="85">
        <f t="shared" si="43"/>
        <v>8.1877777777777752</v>
      </c>
      <c r="N58" s="88">
        <f>M58*CPU_43[[#This Row],[C. UNIT]]*$B$7</f>
        <v>0</v>
      </c>
      <c r="O58" s="31">
        <v>12.36</v>
      </c>
      <c r="P58" s="1">
        <v>9.58</v>
      </c>
      <c r="Q58" s="1">
        <v>8.4599999999999991</v>
      </c>
      <c r="R58" s="1">
        <v>9.4499999999999993</v>
      </c>
      <c r="S58" s="1">
        <v>0</v>
      </c>
      <c r="T58" s="1">
        <v>8.4599999999999991</v>
      </c>
      <c r="U58" s="1">
        <v>8.4599999999999991</v>
      </c>
      <c r="V58" s="1">
        <v>8.4599999999999991</v>
      </c>
      <c r="W58" s="342">
        <v>8.4599999999999991</v>
      </c>
      <c r="AD58" s="144" t="str">
        <f t="shared" si="3"/>
        <v>Capa Concreto</v>
      </c>
      <c r="AE58" s="192"/>
      <c r="AF58" s="180">
        <f t="shared" si="38"/>
        <v>0</v>
      </c>
      <c r="AG58" s="180">
        <f t="shared" si="17"/>
        <v>0</v>
      </c>
      <c r="AH58" s="181">
        <f t="shared" si="39"/>
        <v>0</v>
      </c>
      <c r="AI58" s="193"/>
      <c r="AJ58" s="90"/>
      <c r="AK58" s="90"/>
      <c r="AL58" s="183">
        <f t="shared" si="40"/>
        <v>0</v>
      </c>
      <c r="AM58" s="193"/>
      <c r="AN58" s="90"/>
      <c r="AO58" s="90"/>
      <c r="AP58" s="183">
        <f t="shared" si="23"/>
        <v>0</v>
      </c>
      <c r="AQ58" s="193"/>
      <c r="AR58" s="90"/>
      <c r="AS58" s="90"/>
      <c r="AT58" s="183">
        <f t="shared" si="24"/>
        <v>0</v>
      </c>
      <c r="AU58" s="193"/>
      <c r="AV58" s="90"/>
      <c r="AW58" s="90"/>
      <c r="AX58" s="183">
        <f t="shared" si="25"/>
        <v>0</v>
      </c>
      <c r="AY58" s="193"/>
      <c r="AZ58" s="90"/>
      <c r="BA58" s="90"/>
      <c r="BB58" s="183">
        <f t="shared" si="26"/>
        <v>0</v>
      </c>
      <c r="BC58" s="193"/>
      <c r="BD58" s="90"/>
      <c r="BE58" s="90"/>
      <c r="BF58" s="183">
        <f t="shared" si="27"/>
        <v>0</v>
      </c>
      <c r="BG58" s="193"/>
      <c r="BH58" s="90"/>
      <c r="BI58" s="90"/>
      <c r="BJ58" s="183">
        <f t="shared" si="28"/>
        <v>0</v>
      </c>
      <c r="BK58" s="193"/>
      <c r="BL58" s="90"/>
      <c r="BM58" s="90"/>
      <c r="BN58" s="183">
        <f t="shared" si="29"/>
        <v>0</v>
      </c>
      <c r="BO58" s="193"/>
      <c r="BP58" s="90"/>
      <c r="BQ58" s="90"/>
      <c r="BR58" s="183">
        <f t="shared" si="30"/>
        <v>0</v>
      </c>
      <c r="BS58" s="193"/>
      <c r="BT58" s="90"/>
      <c r="BU58" s="90"/>
      <c r="BV58" s="183">
        <f t="shared" si="31"/>
        <v>0</v>
      </c>
      <c r="BW58" s="193"/>
      <c r="BX58" s="90"/>
      <c r="BY58" s="90"/>
      <c r="BZ58" s="183">
        <f t="shared" si="32"/>
        <v>0</v>
      </c>
      <c r="CA58" s="193"/>
      <c r="CB58" s="90"/>
      <c r="CC58" s="90"/>
      <c r="CD58" s="183">
        <f t="shared" si="33"/>
        <v>0</v>
      </c>
    </row>
    <row r="59" spans="2:82" x14ac:dyDescent="0.3">
      <c r="B59" s="53"/>
      <c r="C59" s="53" t="str">
        <f t="shared" si="0"/>
        <v>CPU_CapaConcreto</v>
      </c>
      <c r="D59" s="278">
        <f t="shared" si="1"/>
        <v>0.2</v>
      </c>
      <c r="E59" s="278">
        <f t="shared" si="2"/>
        <v>0</v>
      </c>
      <c r="F59" s="1" t="s">
        <v>787</v>
      </c>
      <c r="G59" s="28" t="s">
        <v>60</v>
      </c>
      <c r="I59" s="90">
        <f t="shared" si="41"/>
        <v>13.474992592592594</v>
      </c>
      <c r="J59" s="45">
        <f>IFERROR(VLOOKUP(F59,Tabela7[[RECURSO]:[CUSTO]],3,FALSE),0)</f>
        <v>12</v>
      </c>
      <c r="K59" s="45">
        <f t="shared" si="42"/>
        <v>161.69991111111113</v>
      </c>
      <c r="M59" s="85">
        <f t="shared" si="43"/>
        <v>67.374962962962968</v>
      </c>
      <c r="N59" s="88">
        <f>M59*CPU_43[[#This Row],[C. UNIT]]*$B$7</f>
        <v>0</v>
      </c>
      <c r="O59" s="31">
        <v>70.592000000000013</v>
      </c>
      <c r="P59" s="1">
        <v>66.585333333333338</v>
      </c>
      <c r="Q59" s="1">
        <v>67.585333333333338</v>
      </c>
      <c r="R59" s="1">
        <v>68.718666666666678</v>
      </c>
      <c r="S59" s="1">
        <v>62.552</v>
      </c>
      <c r="T59" s="1">
        <v>67.585333333333338</v>
      </c>
      <c r="U59" s="1">
        <v>67.585333333333338</v>
      </c>
      <c r="V59" s="1">
        <v>67.585333333333338</v>
      </c>
      <c r="W59" s="342">
        <v>67.585333333333338</v>
      </c>
      <c r="AD59" s="144" t="str">
        <f t="shared" si="3"/>
        <v>Capa Concreto</v>
      </c>
      <c r="AE59" s="192"/>
      <c r="AF59" s="180">
        <f t="shared" si="38"/>
        <v>0</v>
      </c>
      <c r="AG59" s="180">
        <f t="shared" si="17"/>
        <v>0</v>
      </c>
      <c r="AH59" s="181">
        <f t="shared" si="39"/>
        <v>0</v>
      </c>
      <c r="AI59" s="193"/>
      <c r="AJ59" s="90"/>
      <c r="AK59" s="90"/>
      <c r="AL59" s="183">
        <f t="shared" si="40"/>
        <v>0</v>
      </c>
      <c r="AM59" s="193"/>
      <c r="AN59" s="90"/>
      <c r="AO59" s="90"/>
      <c r="AP59" s="183">
        <f t="shared" si="23"/>
        <v>0</v>
      </c>
      <c r="AQ59" s="193"/>
      <c r="AR59" s="90"/>
      <c r="AS59" s="90"/>
      <c r="AT59" s="183">
        <f t="shared" si="24"/>
        <v>0</v>
      </c>
      <c r="AU59" s="193"/>
      <c r="AV59" s="90"/>
      <c r="AW59" s="90"/>
      <c r="AX59" s="183">
        <f t="shared" si="25"/>
        <v>0</v>
      </c>
      <c r="AY59" s="193"/>
      <c r="AZ59" s="90"/>
      <c r="BA59" s="90"/>
      <c r="BB59" s="183">
        <f t="shared" si="26"/>
        <v>0</v>
      </c>
      <c r="BC59" s="193"/>
      <c r="BD59" s="90"/>
      <c r="BE59" s="90"/>
      <c r="BF59" s="183">
        <f t="shared" si="27"/>
        <v>0</v>
      </c>
      <c r="BG59" s="193"/>
      <c r="BH59" s="90"/>
      <c r="BI59" s="90"/>
      <c r="BJ59" s="183">
        <f t="shared" si="28"/>
        <v>0</v>
      </c>
      <c r="BK59" s="193"/>
      <c r="BL59" s="90"/>
      <c r="BM59" s="90"/>
      <c r="BN59" s="183">
        <f t="shared" si="29"/>
        <v>0</v>
      </c>
      <c r="BO59" s="193"/>
      <c r="BP59" s="90"/>
      <c r="BQ59" s="90"/>
      <c r="BR59" s="183">
        <f t="shared" si="30"/>
        <v>0</v>
      </c>
      <c r="BS59" s="193"/>
      <c r="BT59" s="90"/>
      <c r="BU59" s="90"/>
      <c r="BV59" s="183">
        <f t="shared" si="31"/>
        <v>0</v>
      </c>
      <c r="BW59" s="193"/>
      <c r="BX59" s="90"/>
      <c r="BY59" s="90"/>
      <c r="BZ59" s="183">
        <f t="shared" si="32"/>
        <v>0</v>
      </c>
      <c r="CA59" s="193"/>
      <c r="CB59" s="90"/>
      <c r="CC59" s="90"/>
      <c r="CD59" s="183">
        <f t="shared" si="33"/>
        <v>0</v>
      </c>
    </row>
    <row r="60" spans="2:82" x14ac:dyDescent="0.3">
      <c r="B60" s="53"/>
      <c r="C60" s="53" t="str">
        <f t="shared" si="0"/>
        <v>CPU_CapaConcreto</v>
      </c>
      <c r="D60" s="278">
        <f t="shared" si="1"/>
        <v>0.2</v>
      </c>
      <c r="E60" s="278">
        <f t="shared" si="2"/>
        <v>0</v>
      </c>
      <c r="F60" s="1" t="s">
        <v>803</v>
      </c>
      <c r="G60" s="28" t="s">
        <v>60</v>
      </c>
      <c r="I60" s="90">
        <f t="shared" si="41"/>
        <v>13.474992592592594</v>
      </c>
      <c r="J60" s="45">
        <f>IFERROR(VLOOKUP(F60,Tabela7[[RECURSO]:[CUSTO]],3,FALSE),0)</f>
        <v>8</v>
      </c>
      <c r="K60" s="45">
        <f t="shared" si="42"/>
        <v>107.79994074074075</v>
      </c>
      <c r="M60" s="85">
        <f t="shared" si="43"/>
        <v>67.374962962962968</v>
      </c>
      <c r="N60" s="88">
        <f>M60*CPU_43[[#This Row],[C. UNIT]]*$B$7</f>
        <v>0</v>
      </c>
      <c r="O60" s="31">
        <v>70.592000000000013</v>
      </c>
      <c r="P60" s="1">
        <v>66.585333333333338</v>
      </c>
      <c r="Q60" s="1">
        <v>67.585333333333338</v>
      </c>
      <c r="R60" s="1">
        <v>68.718666666666678</v>
      </c>
      <c r="S60" s="1">
        <v>62.552</v>
      </c>
      <c r="T60" s="1">
        <v>67.585333333333338</v>
      </c>
      <c r="U60" s="1">
        <v>67.585333333333338</v>
      </c>
      <c r="V60" s="1">
        <v>67.585333333333338</v>
      </c>
      <c r="W60" s="342">
        <v>67.585333333333338</v>
      </c>
      <c r="AD60" s="144" t="str">
        <f t="shared" si="3"/>
        <v>Capa Concreto</v>
      </c>
      <c r="AE60" s="192"/>
      <c r="AF60" s="180">
        <f t="shared" si="38"/>
        <v>0</v>
      </c>
      <c r="AG60" s="180">
        <f t="shared" si="17"/>
        <v>0</v>
      </c>
      <c r="AH60" s="181">
        <f t="shared" si="39"/>
        <v>0</v>
      </c>
      <c r="AI60" s="193"/>
      <c r="AJ60" s="90"/>
      <c r="AK60" s="90"/>
      <c r="AL60" s="183">
        <f t="shared" si="40"/>
        <v>0</v>
      </c>
      <c r="AM60" s="193"/>
      <c r="AN60" s="90"/>
      <c r="AO60" s="90"/>
      <c r="AP60" s="183">
        <f t="shared" si="23"/>
        <v>0</v>
      </c>
      <c r="AQ60" s="193"/>
      <c r="AR60" s="90"/>
      <c r="AS60" s="90"/>
      <c r="AT60" s="183">
        <f t="shared" si="24"/>
        <v>0</v>
      </c>
      <c r="AU60" s="193"/>
      <c r="AV60" s="90"/>
      <c r="AW60" s="90"/>
      <c r="AX60" s="183">
        <f t="shared" si="25"/>
        <v>0</v>
      </c>
      <c r="AY60" s="193"/>
      <c r="AZ60" s="90"/>
      <c r="BA60" s="90"/>
      <c r="BB60" s="183">
        <f t="shared" si="26"/>
        <v>0</v>
      </c>
      <c r="BC60" s="193"/>
      <c r="BD60" s="90"/>
      <c r="BE60" s="90"/>
      <c r="BF60" s="183">
        <f t="shared" si="27"/>
        <v>0</v>
      </c>
      <c r="BG60" s="193"/>
      <c r="BH60" s="90"/>
      <c r="BI60" s="90"/>
      <c r="BJ60" s="183">
        <f t="shared" si="28"/>
        <v>0</v>
      </c>
      <c r="BK60" s="193"/>
      <c r="BL60" s="90"/>
      <c r="BM60" s="90"/>
      <c r="BN60" s="183">
        <f t="shared" si="29"/>
        <v>0</v>
      </c>
      <c r="BO60" s="193"/>
      <c r="BP60" s="90"/>
      <c r="BQ60" s="90"/>
      <c r="BR60" s="183">
        <f t="shared" si="30"/>
        <v>0</v>
      </c>
      <c r="BS60" s="193"/>
      <c r="BT60" s="90"/>
      <c r="BU60" s="90"/>
      <c r="BV60" s="183">
        <f t="shared" si="31"/>
        <v>0</v>
      </c>
      <c r="BW60" s="193"/>
      <c r="BX60" s="90"/>
      <c r="BY60" s="90"/>
      <c r="BZ60" s="183">
        <f t="shared" si="32"/>
        <v>0</v>
      </c>
      <c r="CA60" s="193"/>
      <c r="CB60" s="90"/>
      <c r="CC60" s="90"/>
      <c r="CD60" s="183">
        <f t="shared" si="33"/>
        <v>0</v>
      </c>
    </row>
    <row r="61" spans="2:82" x14ac:dyDescent="0.3">
      <c r="B61" s="53"/>
      <c r="C61" s="53" t="str">
        <f t="shared" si="0"/>
        <v>CPU_CapaConcreto</v>
      </c>
      <c r="D61" s="278">
        <f t="shared" si="1"/>
        <v>0.2</v>
      </c>
      <c r="E61" s="278">
        <f t="shared" si="2"/>
        <v>0</v>
      </c>
      <c r="F61" s="1" t="s">
        <v>804</v>
      </c>
      <c r="G61" s="28" t="s">
        <v>802</v>
      </c>
      <c r="I61" s="90">
        <f t="shared" si="41"/>
        <v>6.5777777777777775</v>
      </c>
      <c r="J61" s="45">
        <f>IFERROR(VLOOKUP(F61,Tabela7[[RECURSO]:[CUSTO]],3,FALSE),0)</f>
        <v>7.7813852813852806</v>
      </c>
      <c r="K61" s="45">
        <f t="shared" si="42"/>
        <v>51.184223184223178</v>
      </c>
      <c r="M61" s="85">
        <f t="shared" si="43"/>
        <v>32.888888888888886</v>
      </c>
      <c r="N61" s="88">
        <f>M61*CPU_43[[#This Row],[C. UNIT]]*$B$7</f>
        <v>0</v>
      </c>
      <c r="O61" s="31">
        <v>37</v>
      </c>
      <c r="P61" s="1">
        <v>37</v>
      </c>
      <c r="Q61" s="1">
        <v>37</v>
      </c>
      <c r="R61" s="1">
        <v>37</v>
      </c>
      <c r="S61" s="1">
        <v>0</v>
      </c>
      <c r="T61" s="1">
        <v>37</v>
      </c>
      <c r="U61" s="1">
        <v>37</v>
      </c>
      <c r="V61" s="1">
        <v>37</v>
      </c>
      <c r="W61" s="342">
        <v>37</v>
      </c>
      <c r="AD61" s="144" t="str">
        <f t="shared" si="3"/>
        <v>Capa Concreto</v>
      </c>
      <c r="AE61" s="192"/>
      <c r="AF61" s="180">
        <f t="shared" si="38"/>
        <v>0</v>
      </c>
      <c r="AG61" s="180">
        <f t="shared" si="17"/>
        <v>0</v>
      </c>
      <c r="AH61" s="181">
        <f t="shared" si="39"/>
        <v>0</v>
      </c>
      <c r="AI61" s="193"/>
      <c r="AJ61" s="90"/>
      <c r="AK61" s="90"/>
      <c r="AL61" s="183">
        <f t="shared" si="40"/>
        <v>0</v>
      </c>
      <c r="AM61" s="193"/>
      <c r="AN61" s="90"/>
      <c r="AO61" s="90"/>
      <c r="AP61" s="183">
        <f t="shared" si="23"/>
        <v>0</v>
      </c>
      <c r="AQ61" s="193"/>
      <c r="AR61" s="90"/>
      <c r="AS61" s="90"/>
      <c r="AT61" s="183">
        <f t="shared" si="24"/>
        <v>0</v>
      </c>
      <c r="AU61" s="193"/>
      <c r="AV61" s="90"/>
      <c r="AW61" s="90"/>
      <c r="AX61" s="183">
        <f t="shared" si="25"/>
        <v>0</v>
      </c>
      <c r="AY61" s="193"/>
      <c r="AZ61" s="90"/>
      <c r="BA61" s="90"/>
      <c r="BB61" s="183">
        <f t="shared" si="26"/>
        <v>0</v>
      </c>
      <c r="BC61" s="193"/>
      <c r="BD61" s="90"/>
      <c r="BE61" s="90"/>
      <c r="BF61" s="183">
        <f t="shared" si="27"/>
        <v>0</v>
      </c>
      <c r="BG61" s="193"/>
      <c r="BH61" s="90"/>
      <c r="BI61" s="90"/>
      <c r="BJ61" s="183">
        <f t="shared" si="28"/>
        <v>0</v>
      </c>
      <c r="BK61" s="193"/>
      <c r="BL61" s="90"/>
      <c r="BM61" s="90"/>
      <c r="BN61" s="183">
        <f t="shared" si="29"/>
        <v>0</v>
      </c>
      <c r="BO61" s="193"/>
      <c r="BP61" s="90"/>
      <c r="BQ61" s="90"/>
      <c r="BR61" s="183">
        <f t="shared" si="30"/>
        <v>0</v>
      </c>
      <c r="BS61" s="193"/>
      <c r="BT61" s="90"/>
      <c r="BU61" s="90"/>
      <c r="BV61" s="183">
        <f t="shared" si="31"/>
        <v>0</v>
      </c>
      <c r="BW61" s="193"/>
      <c r="BX61" s="90"/>
      <c r="BY61" s="90"/>
      <c r="BZ61" s="183">
        <f t="shared" si="32"/>
        <v>0</v>
      </c>
      <c r="CA61" s="193"/>
      <c r="CB61" s="90"/>
      <c r="CC61" s="90"/>
      <c r="CD61" s="183">
        <f t="shared" si="33"/>
        <v>0</v>
      </c>
    </row>
    <row r="62" spans="2:82" ht="15" thickBot="1" x14ac:dyDescent="0.35">
      <c r="B62" s="53"/>
      <c r="C62" s="53" t="str">
        <f t="shared" si="0"/>
        <v>CPU_CapaConcreto</v>
      </c>
      <c r="D62" s="278">
        <f t="shared" si="1"/>
        <v>0.2</v>
      </c>
      <c r="E62" s="278">
        <f t="shared" si="2"/>
        <v>0</v>
      </c>
      <c r="F62" s="1"/>
      <c r="G62" s="28" t="str">
        <f>IFERROR(VLOOKUP(F62,Tabela7[[RECURSO]:[CUSTO]],2,FALSE),"")</f>
        <v/>
      </c>
      <c r="I62" s="90">
        <f t="shared" si="41"/>
        <v>0</v>
      </c>
      <c r="J62" s="45">
        <f>IFERROR(VLOOKUP(F62,Tabela7[[RECURSO]:[CUSTO]],3,FALSE),0)</f>
        <v>0</v>
      </c>
      <c r="K62" s="45">
        <f t="shared" si="42"/>
        <v>0</v>
      </c>
      <c r="M62" s="86">
        <f t="shared" si="43"/>
        <v>0</v>
      </c>
      <c r="N62" s="88">
        <f>M62*CPU_43[[#This Row],[C. UNIT]]*$B$7</f>
        <v>0</v>
      </c>
      <c r="O62" s="51"/>
      <c r="P62" s="343"/>
      <c r="Q62" s="343"/>
      <c r="R62" s="343"/>
      <c r="S62" s="343"/>
      <c r="T62" s="343"/>
      <c r="U62" s="343"/>
      <c r="V62" s="343"/>
      <c r="W62" s="344"/>
      <c r="AD62" s="144" t="str">
        <f t="shared" si="3"/>
        <v>Capa Concreto</v>
      </c>
      <c r="AE62" s="194"/>
      <c r="AF62" s="195">
        <f t="shared" si="38"/>
        <v>0</v>
      </c>
      <c r="AG62" s="195">
        <f t="shared" si="17"/>
        <v>0</v>
      </c>
      <c r="AH62" s="196">
        <f t="shared" si="39"/>
        <v>0</v>
      </c>
      <c r="AI62" s="197"/>
      <c r="AJ62" s="198"/>
      <c r="AK62" s="198"/>
      <c r="AL62" s="199">
        <f t="shared" si="40"/>
        <v>0</v>
      </c>
      <c r="AM62" s="197"/>
      <c r="AN62" s="198"/>
      <c r="AO62" s="198"/>
      <c r="AP62" s="199">
        <f t="shared" si="23"/>
        <v>0</v>
      </c>
      <c r="AQ62" s="197"/>
      <c r="AR62" s="198"/>
      <c r="AS62" s="198"/>
      <c r="AT62" s="199">
        <f t="shared" si="24"/>
        <v>0</v>
      </c>
      <c r="AU62" s="197"/>
      <c r="AV62" s="198"/>
      <c r="AW62" s="198"/>
      <c r="AX62" s="199">
        <f t="shared" si="25"/>
        <v>0</v>
      </c>
      <c r="AY62" s="197"/>
      <c r="AZ62" s="198"/>
      <c r="BA62" s="198"/>
      <c r="BB62" s="199">
        <f t="shared" si="26"/>
        <v>0</v>
      </c>
      <c r="BC62" s="197"/>
      <c r="BD62" s="198"/>
      <c r="BE62" s="198"/>
      <c r="BF62" s="199">
        <f t="shared" si="27"/>
        <v>0</v>
      </c>
      <c r="BG62" s="197"/>
      <c r="BH62" s="198"/>
      <c r="BI62" s="198"/>
      <c r="BJ62" s="199">
        <f t="shared" si="28"/>
        <v>0</v>
      </c>
      <c r="BK62" s="197"/>
      <c r="BL62" s="198"/>
      <c r="BM62" s="198"/>
      <c r="BN62" s="199">
        <f t="shared" si="29"/>
        <v>0</v>
      </c>
      <c r="BO62" s="197"/>
      <c r="BP62" s="198"/>
      <c r="BQ62" s="198"/>
      <c r="BR62" s="199">
        <f t="shared" si="30"/>
        <v>0</v>
      </c>
      <c r="BS62" s="197"/>
      <c r="BT62" s="198"/>
      <c r="BU62" s="198"/>
      <c r="BV62" s="199">
        <f t="shared" si="31"/>
        <v>0</v>
      </c>
      <c r="BW62" s="197"/>
      <c r="BX62" s="198"/>
      <c r="BY62" s="198"/>
      <c r="BZ62" s="199">
        <f t="shared" si="32"/>
        <v>0</v>
      </c>
      <c r="CA62" s="197"/>
      <c r="CB62" s="198"/>
      <c r="CC62" s="198"/>
      <c r="CD62" s="199">
        <f t="shared" si="33"/>
        <v>0</v>
      </c>
    </row>
    <row r="64" spans="2:82" x14ac:dyDescent="0.3">
      <c r="M64" s="22"/>
    </row>
  </sheetData>
  <conditionalFormatting sqref="K6:K7">
    <cfRule type="iconSet" priority="14">
      <iconSet>
        <cfvo type="percent" val="0"/>
        <cfvo type="num" val="0"/>
        <cfvo type="num" val="0.02"/>
      </iconSet>
    </cfRule>
  </conditionalFormatting>
  <conditionalFormatting sqref="AH6:AH7">
    <cfRule type="iconSet" priority="13">
      <iconSet>
        <cfvo type="percent" val="0"/>
        <cfvo type="num" val="0"/>
        <cfvo type="num" val="0.02"/>
      </iconSet>
    </cfRule>
  </conditionalFormatting>
  <conditionalFormatting sqref="AL6:AL7">
    <cfRule type="iconSet" priority="12">
      <iconSet>
        <cfvo type="percent" val="0"/>
        <cfvo type="num" val="0"/>
        <cfvo type="num" val="0.02"/>
      </iconSet>
    </cfRule>
  </conditionalFormatting>
  <conditionalFormatting sqref="AP6:AP7">
    <cfRule type="iconSet" priority="11">
      <iconSet>
        <cfvo type="percent" val="0"/>
        <cfvo type="num" val="0"/>
        <cfvo type="num" val="0.02"/>
      </iconSet>
    </cfRule>
  </conditionalFormatting>
  <conditionalFormatting sqref="AT6:AT7">
    <cfRule type="iconSet" priority="10">
      <iconSet>
        <cfvo type="percent" val="0"/>
        <cfvo type="num" val="0"/>
        <cfvo type="num" val="0.02"/>
      </iconSet>
    </cfRule>
  </conditionalFormatting>
  <conditionalFormatting sqref="AX6:AX7">
    <cfRule type="iconSet" priority="9">
      <iconSet>
        <cfvo type="percent" val="0"/>
        <cfvo type="num" val="0"/>
        <cfvo type="num" val="0.02"/>
      </iconSet>
    </cfRule>
  </conditionalFormatting>
  <conditionalFormatting sqref="BB6:BB7">
    <cfRule type="iconSet" priority="8">
      <iconSet>
        <cfvo type="percent" val="0"/>
        <cfvo type="num" val="0"/>
        <cfvo type="num" val="0.02"/>
      </iconSet>
    </cfRule>
  </conditionalFormatting>
  <conditionalFormatting sqref="BF6:BF7">
    <cfRule type="iconSet" priority="7">
      <iconSet>
        <cfvo type="percent" val="0"/>
        <cfvo type="num" val="0"/>
        <cfvo type="num" val="0.02"/>
      </iconSet>
    </cfRule>
  </conditionalFormatting>
  <conditionalFormatting sqref="BJ6:BJ7">
    <cfRule type="iconSet" priority="6">
      <iconSet>
        <cfvo type="percent" val="0"/>
        <cfvo type="num" val="0"/>
        <cfvo type="num" val="0.02"/>
      </iconSet>
    </cfRule>
  </conditionalFormatting>
  <conditionalFormatting sqref="BN6:BN7">
    <cfRule type="iconSet" priority="5">
      <iconSet>
        <cfvo type="percent" val="0"/>
        <cfvo type="num" val="0"/>
        <cfvo type="num" val="0.02"/>
      </iconSet>
    </cfRule>
  </conditionalFormatting>
  <conditionalFormatting sqref="BR6:BR7">
    <cfRule type="iconSet" priority="4">
      <iconSet>
        <cfvo type="percent" val="0"/>
        <cfvo type="num" val="0"/>
        <cfvo type="num" val="0.02"/>
      </iconSet>
    </cfRule>
  </conditionalFormatting>
  <conditionalFormatting sqref="BV6:BV7">
    <cfRule type="iconSet" priority="3">
      <iconSet>
        <cfvo type="percent" val="0"/>
        <cfvo type="num" val="0"/>
        <cfvo type="num" val="0.02"/>
      </iconSet>
    </cfRule>
  </conditionalFormatting>
  <conditionalFormatting sqref="BZ6:BZ7">
    <cfRule type="iconSet" priority="2">
      <iconSet>
        <cfvo type="percent" val="0"/>
        <cfvo type="num" val="0"/>
        <cfvo type="num" val="0.02"/>
      </iconSet>
    </cfRule>
  </conditionalFormatting>
  <conditionalFormatting sqref="CD6:CD7">
    <cfRule type="iconSet" priority="1">
      <iconSet>
        <cfvo type="percent" val="0"/>
        <cfvo type="num" val="0"/>
        <cfvo type="num" val="0.02"/>
      </iconSet>
    </cfRule>
  </conditionalFormatting>
  <dataValidations count="5">
    <dataValidation type="list" allowBlank="1" showInputMessage="1" showErrorMessage="1" sqref="F51:F62" xr:uid="{F0CA514D-DE52-4879-8445-B1EFD13B7411}">
      <formula1>INDIRECT($B$50)</formula1>
    </dataValidation>
    <dataValidation type="list" allowBlank="1" showInputMessage="1" showErrorMessage="1" sqref="F38:F49" xr:uid="{36BEB149-751B-4F1C-9872-011864984E23}">
      <formula1>INDIRECT($B$37)</formula1>
    </dataValidation>
    <dataValidation type="list" allowBlank="1" showInputMessage="1" showErrorMessage="1" sqref="F25:F36" xr:uid="{8AD9C84A-D136-423C-9A16-163EB6C520FD}">
      <formula1>INDIRECT($B$24)</formula1>
    </dataValidation>
    <dataValidation type="list" allowBlank="1" showInputMessage="1" showErrorMessage="1" sqref="F12:F23" xr:uid="{E8DE0166-923E-4187-AFB9-D5211A5E464A}">
      <formula1>INDIRECT($B$11)</formula1>
    </dataValidation>
    <dataValidation type="list" allowBlank="1" showInputMessage="1" showErrorMessage="1" sqref="B3:E3" xr:uid="{B8FBFEFD-680B-4DA8-A593-21D96953EBEE}">
      <formula1>INDIRECT($B$2)</formula1>
    </dataValidation>
  </dataValidations>
  <pageMargins left="0.51181102362204722" right="0.51181102362204722" top="0.19685039370078741" bottom="0.19685039370078741" header="0.31496062992125984" footer="0.31496062992125984"/>
  <pageSetup paperSize="9" scale="82" orientation="portrait" r:id="rId1"/>
  <colBreaks count="1" manualBreakCount="1">
    <brk id="11" max="1048575" man="1"/>
  </colBreaks>
  <drawing r:id="rId2"/>
  <legacyDrawing r:id="rId3"/>
  <tableParts count="2">
    <tablePart r:id="rId4"/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61AA0-FDB0-4D42-B6C7-E6E4E800BC34}">
  <sheetPr codeName="Plan29"/>
  <dimension ref="A1:CD62"/>
  <sheetViews>
    <sheetView showGridLines="0" zoomScaleNormal="100" workbookViewId="0">
      <pane xSplit="14" ySplit="10" topLeftCell="O37" activePane="bottomRight" state="frozen"/>
      <selection pane="topRight" activeCell="C28" activeCellId="1" sqref="E13 C28"/>
      <selection pane="bottomLeft" activeCell="C28" activeCellId="1" sqref="E13 C28"/>
      <selection pane="bottomRight" activeCell="M52" sqref="M52"/>
    </sheetView>
  </sheetViews>
  <sheetFormatPr defaultRowHeight="14.4" x14ac:dyDescent="0.3"/>
  <cols>
    <col min="1" max="1" width="4.109375" customWidth="1"/>
    <col min="2" max="2" width="16.109375" customWidth="1"/>
    <col min="3" max="5" width="16.109375" hidden="1" customWidth="1"/>
    <col min="6" max="6" width="40.6640625" customWidth="1"/>
    <col min="7" max="7" width="10.6640625" style="28" customWidth="1"/>
    <col min="8" max="8" width="7.6640625" style="28" customWidth="1"/>
    <col min="9" max="11" width="10.6640625" customWidth="1"/>
    <col min="12" max="12" width="2.33203125" customWidth="1"/>
    <col min="13" max="14" width="12.6640625" customWidth="1"/>
    <col min="15" max="15" width="14" bestFit="1" customWidth="1"/>
    <col min="30" max="30" width="12.44140625" bestFit="1" customWidth="1"/>
    <col min="31" max="31" width="7.6640625" customWidth="1"/>
    <col min="32" max="32" width="9.33203125" bestFit="1" customWidth="1"/>
    <col min="33" max="34" width="10.6640625" customWidth="1"/>
    <col min="35" max="35" width="7.6640625" customWidth="1"/>
    <col min="36" max="36" width="9.33203125" customWidth="1"/>
    <col min="37" max="38" width="10.6640625" customWidth="1"/>
    <col min="40" max="40" width="9.33203125" customWidth="1"/>
    <col min="42" max="42" width="9.6640625" customWidth="1"/>
    <col min="44" max="44" width="9.33203125" customWidth="1"/>
    <col min="46" max="46" width="9.6640625" customWidth="1"/>
    <col min="48" max="48" width="9.33203125" customWidth="1"/>
    <col min="50" max="50" width="9.6640625" customWidth="1"/>
    <col min="52" max="52" width="9.33203125" customWidth="1"/>
    <col min="54" max="54" width="9.6640625" customWidth="1"/>
    <col min="56" max="56" width="9.33203125" customWidth="1"/>
    <col min="58" max="58" width="9.6640625" customWidth="1"/>
    <col min="60" max="60" width="9.33203125" customWidth="1"/>
    <col min="62" max="62" width="9.6640625" customWidth="1"/>
    <col min="64" max="64" width="9.33203125" customWidth="1"/>
    <col min="66" max="66" width="9.6640625" customWidth="1"/>
    <col min="68" max="68" width="9.33203125" customWidth="1"/>
    <col min="70" max="70" width="9.6640625" customWidth="1"/>
    <col min="72" max="72" width="10" customWidth="1"/>
    <col min="73" max="73" width="9.5546875" customWidth="1"/>
    <col min="74" max="74" width="10.44140625" customWidth="1"/>
    <col min="76" max="76" width="10" customWidth="1"/>
    <col min="77" max="77" width="9.5546875" customWidth="1"/>
    <col min="78" max="78" width="10.44140625" customWidth="1"/>
    <col min="80" max="80" width="10" customWidth="1"/>
    <col min="81" max="81" width="9.5546875" customWidth="1"/>
    <col min="82" max="82" width="10.44140625" customWidth="1"/>
  </cols>
  <sheetData>
    <row r="1" spans="1:82" ht="26.4" customHeight="1" thickBot="1" x14ac:dyDescent="0.35">
      <c r="AE1" s="163" t="s">
        <v>678</v>
      </c>
    </row>
    <row r="2" spans="1:82" x14ac:dyDescent="0.3">
      <c r="B2" s="64" t="s">
        <v>679</v>
      </c>
      <c r="C2" s="67"/>
      <c r="D2" s="67"/>
      <c r="E2" s="67"/>
      <c r="F2" s="65"/>
      <c r="G2" s="66"/>
      <c r="H2" s="66"/>
      <c r="I2" s="65"/>
      <c r="J2" s="67" t="s">
        <v>680</v>
      </c>
      <c r="K2" s="68" t="s">
        <v>681</v>
      </c>
      <c r="M2" s="227" t="s">
        <v>682</v>
      </c>
      <c r="N2" s="228" t="s">
        <v>683</v>
      </c>
      <c r="O2" s="234" t="s">
        <v>684</v>
      </c>
      <c r="AE2" s="164" t="s">
        <v>590</v>
      </c>
      <c r="AF2" s="165" t="s">
        <v>20</v>
      </c>
      <c r="AG2" s="67"/>
      <c r="AH2" s="68" t="s">
        <v>681</v>
      </c>
      <c r="AI2" s="166">
        <v>44927</v>
      </c>
      <c r="AJ2" s="165" t="s">
        <v>20</v>
      </c>
      <c r="AK2" s="67"/>
      <c r="AL2" s="68" t="s">
        <v>681</v>
      </c>
      <c r="AM2" s="166">
        <v>44958</v>
      </c>
      <c r="AN2" s="165" t="s">
        <v>20</v>
      </c>
      <c r="AO2" s="67"/>
      <c r="AP2" s="68" t="s">
        <v>681</v>
      </c>
      <c r="AQ2" s="166">
        <v>44986</v>
      </c>
      <c r="AR2" s="165" t="s">
        <v>20</v>
      </c>
      <c r="AS2" s="67"/>
      <c r="AT2" s="68" t="s">
        <v>681</v>
      </c>
      <c r="AU2" s="166">
        <v>45017</v>
      </c>
      <c r="AV2" s="165" t="s">
        <v>20</v>
      </c>
      <c r="AW2" s="67"/>
      <c r="AX2" s="68" t="s">
        <v>681</v>
      </c>
      <c r="AY2" s="166">
        <v>45047</v>
      </c>
      <c r="AZ2" s="165" t="s">
        <v>20</v>
      </c>
      <c r="BA2" s="67"/>
      <c r="BB2" s="68" t="s">
        <v>681</v>
      </c>
      <c r="BC2" s="166">
        <v>45078</v>
      </c>
      <c r="BD2" s="165" t="s">
        <v>20</v>
      </c>
      <c r="BE2" s="67"/>
      <c r="BF2" s="68" t="s">
        <v>681</v>
      </c>
      <c r="BG2" s="166">
        <v>45108</v>
      </c>
      <c r="BH2" s="165" t="s">
        <v>20</v>
      </c>
      <c r="BI2" s="67"/>
      <c r="BJ2" s="68" t="s">
        <v>681</v>
      </c>
      <c r="BK2" s="166">
        <v>45139</v>
      </c>
      <c r="BL2" s="165" t="s">
        <v>20</v>
      </c>
      <c r="BM2" s="67"/>
      <c r="BN2" s="68" t="s">
        <v>681</v>
      </c>
      <c r="BO2" s="166">
        <v>45170</v>
      </c>
      <c r="BP2" s="165" t="s">
        <v>20</v>
      </c>
      <c r="BQ2" s="67"/>
      <c r="BR2" s="68" t="s">
        <v>681</v>
      </c>
      <c r="BS2" s="166">
        <v>45200</v>
      </c>
      <c r="BT2" s="165" t="s">
        <v>20</v>
      </c>
      <c r="BU2" s="67"/>
      <c r="BV2" s="68" t="s">
        <v>681</v>
      </c>
      <c r="BW2" s="166">
        <v>45231</v>
      </c>
      <c r="BX2" s="165" t="s">
        <v>20</v>
      </c>
      <c r="BY2" s="67"/>
      <c r="BZ2" s="68" t="s">
        <v>681</v>
      </c>
      <c r="CA2" s="166">
        <v>45261</v>
      </c>
      <c r="CB2" s="165" t="s">
        <v>20</v>
      </c>
      <c r="CC2" s="67"/>
      <c r="CD2" s="68" t="s">
        <v>681</v>
      </c>
    </row>
    <row r="3" spans="1:82" x14ac:dyDescent="0.3">
      <c r="A3" s="42" t="str">
        <f>"CPU_"&amp;LEFT(SUBSTITUTE(SUBSTITUTE(B3," ",""),"-",""),20)</f>
        <v>CPU_IluminaçãoBSOeSAL</v>
      </c>
      <c r="B3" s="31" t="s">
        <v>805</v>
      </c>
      <c r="C3" s="1"/>
      <c r="D3" s="1"/>
      <c r="E3" s="1"/>
      <c r="F3" s="73"/>
      <c r="G3" s="74"/>
      <c r="H3" s="74"/>
      <c r="I3" s="73"/>
      <c r="J3" s="74" t="str">
        <f>IFERROR(VLOOKUP(B3,Tabela1[[NOME SERVIÇO]:[UNID]],4,0),"")</f>
        <v>UNID</v>
      </c>
      <c r="K3" s="75">
        <f>IFERROR(J6/B6,0)</f>
        <v>166666.66666666666</v>
      </c>
      <c r="M3" s="229" t="s">
        <v>685</v>
      </c>
      <c r="N3" s="230">
        <f>K11</f>
        <v>0</v>
      </c>
      <c r="O3" s="235">
        <f>IFERROR(N3/$N$7,0)</f>
        <v>0</v>
      </c>
      <c r="AE3" s="167"/>
      <c r="AF3" s="168">
        <f>AJ3+AN3+AR3+AV3+AZ3+BD3+BH3+BL3+BP3+BT3+BX3+CB3</f>
        <v>0</v>
      </c>
      <c r="AG3" s="74"/>
      <c r="AH3" s="75">
        <f>IFERROR((AG6/AF3),0)</f>
        <v>0</v>
      </c>
      <c r="AI3" s="167"/>
      <c r="AJ3" s="168">
        <f>IFERROR(SUMPRODUCT(Plan_Orc!$I$4:$I$2002*Plan_Orc!$AB$4:$AB$2002*(Plan_Orc!$D$4:$D$2002=$B3)),0)</f>
        <v>0</v>
      </c>
      <c r="AK3" s="74"/>
      <c r="AL3" s="75">
        <f>IFERROR((AK6/AJ3),0)</f>
        <v>0</v>
      </c>
      <c r="AM3" s="167"/>
      <c r="AN3" s="168">
        <f>IFERROR(SUMPRODUCT(Plan_Orc!$I$4:$I$2002*Plan_Orc!$AC$4:$AC$2002*(Plan_Orc!$D$4:$D$2002=$B3)),0)</f>
        <v>0</v>
      </c>
      <c r="AO3" s="74"/>
      <c r="AP3" s="75">
        <f>IFERROR((AO6/AN3),0)</f>
        <v>0</v>
      </c>
      <c r="AQ3" s="167"/>
      <c r="AR3" s="168">
        <f>IFERROR(SUMPRODUCT(Plan_Orc!$I$4:$I$2002*Plan_Orc!$AD$4:$AD$2002*(Plan_Orc!$D$4:$D$2002=$B3)),0)</f>
        <v>0</v>
      </c>
      <c r="AS3" s="74"/>
      <c r="AT3" s="75">
        <f>IFERROR((AS6/AR3),0)</f>
        <v>0</v>
      </c>
      <c r="AU3" s="167"/>
      <c r="AV3" s="168">
        <f>IFERROR(SUMPRODUCT(Plan_Orc!$I$4:$I$2002*Plan_Orc!$AE$4:$AE$2002*(Plan_Orc!$D$4:$D$2002=$B3)),0)</f>
        <v>0</v>
      </c>
      <c r="AW3" s="74"/>
      <c r="AX3" s="75">
        <f>IFERROR((AW6/AV3),0)</f>
        <v>0</v>
      </c>
      <c r="AY3" s="167"/>
      <c r="AZ3" s="168">
        <f>IFERROR(SUMPRODUCT(Plan_Orc!$I$4:$I$2002*Plan_Orc!$AF$4:$AF$2002*(Plan_Orc!$D$4:$D$2002=$B3)),0)</f>
        <v>0</v>
      </c>
      <c r="BA3" s="74"/>
      <c r="BB3" s="75">
        <f>IFERROR((BA6/AZ3),0)</f>
        <v>0</v>
      </c>
      <c r="BC3" s="167"/>
      <c r="BD3" s="168">
        <f>IFERROR(SUMPRODUCT(Plan_Orc!$I$4:$I$2002*Plan_Orc!$AG$4:$AG$2002*(Plan_Orc!$D$4:$D$2002=$B3)),0)</f>
        <v>0</v>
      </c>
      <c r="BE3" s="74"/>
      <c r="BF3" s="75">
        <f>IFERROR((BE6/BD3),0)</f>
        <v>0</v>
      </c>
      <c r="BG3" s="167"/>
      <c r="BH3" s="168">
        <f>IFERROR(SUMPRODUCT(Plan_Orc!$I$4:$I$2002*Plan_Orc!$AH$4:$AH$2002*(Plan_Orc!$D$4:$D$2002=$B3)),0)</f>
        <v>0</v>
      </c>
      <c r="BI3" s="74"/>
      <c r="BJ3" s="75">
        <f>IFERROR((BI6/BH3),0)</f>
        <v>0</v>
      </c>
      <c r="BK3" s="167"/>
      <c r="BL3" s="168">
        <f>IFERROR(SUMPRODUCT(Plan_Orc!$I$4:$I$2002*Plan_Orc!$AI$4:$AI$2002*(Plan_Orc!$D$4:$D$2002=$B3)),0)</f>
        <v>0</v>
      </c>
      <c r="BM3" s="74"/>
      <c r="BN3" s="75">
        <f>IFERROR((BM6/BL3),0)</f>
        <v>0</v>
      </c>
      <c r="BO3" s="167"/>
      <c r="BP3" s="168">
        <f>IFERROR(SUMPRODUCT(Plan_Orc!$I$4:$I$2002*Plan_Orc!$AJ$4:$AJ$2002*(Plan_Orc!$D$4:$D$2002=$B3)),0)</f>
        <v>0</v>
      </c>
      <c r="BQ3" s="74"/>
      <c r="BR3" s="75">
        <f>IFERROR((BQ6/BP3),0)</f>
        <v>0</v>
      </c>
      <c r="BS3" s="167"/>
      <c r="BT3" s="168">
        <f>IFERROR(SUMPRODUCT(Plan_Orc!$I$4:$I$2002*Plan_Orc!$AK$4:$AK$2002*(Plan_Orc!$D$4:$D$2002=$B3)),0)</f>
        <v>0</v>
      </c>
      <c r="BU3" s="74"/>
      <c r="BV3" s="75">
        <f>IFERROR((BU6/BT3),0)</f>
        <v>0</v>
      </c>
      <c r="BW3" s="167"/>
      <c r="BX3" s="168">
        <f>IFERROR(SUMPRODUCT(Plan_Orc!$I$4:$I$2002*Plan_Orc!$AL$4:$AL$2002*(Plan_Orc!$D$4:$D$2002=$B3)),0)</f>
        <v>0</v>
      </c>
      <c r="BY3" s="74"/>
      <c r="BZ3" s="75">
        <f>IFERROR((BY6/BX3),0)</f>
        <v>0</v>
      </c>
      <c r="CA3" s="167"/>
      <c r="CB3" s="168">
        <f>IFERROR(SUMPRODUCT(Plan_Orc!$I$4:$I$2002*Plan_Orc!$AM$4:$AM$2002*(Plan_Orc!$D$4:$D$2002=$B3)),0)</f>
        <v>0</v>
      </c>
      <c r="CC3" s="74"/>
      <c r="CD3" s="75">
        <f>IFERROR((CC6/CB3),0)</f>
        <v>0</v>
      </c>
    </row>
    <row r="4" spans="1:82" x14ac:dyDescent="0.3">
      <c r="B4" s="32"/>
      <c r="K4" s="30"/>
      <c r="M4" s="229" t="s">
        <v>686</v>
      </c>
      <c r="N4" s="230">
        <f>+K24</f>
        <v>0</v>
      </c>
      <c r="O4" s="235">
        <f>IFERROR(N4/$N$7,0)</f>
        <v>0</v>
      </c>
      <c r="AE4" s="169"/>
      <c r="AH4" s="30"/>
      <c r="AI4" s="169"/>
      <c r="AL4" s="30"/>
      <c r="AM4" s="169"/>
      <c r="AP4" s="30"/>
      <c r="AQ4" s="169"/>
      <c r="AT4" s="30"/>
      <c r="AU4" s="169"/>
      <c r="AX4" s="30"/>
      <c r="AY4" s="169"/>
      <c r="BB4" s="30"/>
      <c r="BC4" s="169"/>
      <c r="BF4" s="30"/>
      <c r="BG4" s="169"/>
      <c r="BJ4" s="30"/>
      <c r="BK4" s="169"/>
      <c r="BN4" s="30"/>
      <c r="BO4" s="169"/>
      <c r="BR4" s="30"/>
      <c r="BS4" s="169"/>
      <c r="BV4" s="30"/>
      <c r="BW4" s="169"/>
      <c r="BZ4" s="30"/>
      <c r="CA4" s="169"/>
      <c r="CD4" s="30"/>
    </row>
    <row r="5" spans="1:82" x14ac:dyDescent="0.3">
      <c r="B5" s="69" t="s">
        <v>687</v>
      </c>
      <c r="C5" s="72"/>
      <c r="D5" s="72"/>
      <c r="E5" s="72"/>
      <c r="F5" s="70" t="s">
        <v>688</v>
      </c>
      <c r="G5" s="70" t="s">
        <v>689</v>
      </c>
      <c r="H5" s="70" t="s">
        <v>690</v>
      </c>
      <c r="I5" s="70" t="s">
        <v>691</v>
      </c>
      <c r="J5" s="70" t="s">
        <v>683</v>
      </c>
      <c r="K5" s="71" t="s">
        <v>593</v>
      </c>
      <c r="M5" s="229" t="s">
        <v>692</v>
      </c>
      <c r="N5" s="230">
        <f>+K37</f>
        <v>0</v>
      </c>
      <c r="O5" s="235">
        <f>IFERROR(N5/$N$7,0)</f>
        <v>0</v>
      </c>
      <c r="AE5" s="170"/>
      <c r="AF5" s="70" t="s">
        <v>691</v>
      </c>
      <c r="AG5" s="70" t="s">
        <v>683</v>
      </c>
      <c r="AH5" s="71" t="s">
        <v>593</v>
      </c>
      <c r="AI5" s="170"/>
      <c r="AJ5" s="70" t="s">
        <v>691</v>
      </c>
      <c r="AK5" s="70" t="s">
        <v>683</v>
      </c>
      <c r="AL5" s="71" t="s">
        <v>593</v>
      </c>
      <c r="AM5" s="170"/>
      <c r="AN5" s="70" t="s">
        <v>691</v>
      </c>
      <c r="AO5" s="70" t="s">
        <v>683</v>
      </c>
      <c r="AP5" s="71" t="s">
        <v>593</v>
      </c>
      <c r="AQ5" s="170"/>
      <c r="AR5" s="70" t="s">
        <v>691</v>
      </c>
      <c r="AS5" s="70" t="s">
        <v>683</v>
      </c>
      <c r="AT5" s="71" t="s">
        <v>593</v>
      </c>
      <c r="AU5" s="170"/>
      <c r="AV5" s="70" t="s">
        <v>691</v>
      </c>
      <c r="AW5" s="70" t="s">
        <v>683</v>
      </c>
      <c r="AX5" s="71" t="s">
        <v>593</v>
      </c>
      <c r="AY5" s="170"/>
      <c r="AZ5" s="70" t="s">
        <v>691</v>
      </c>
      <c r="BA5" s="70" t="s">
        <v>683</v>
      </c>
      <c r="BB5" s="71" t="s">
        <v>593</v>
      </c>
      <c r="BC5" s="170"/>
      <c r="BD5" s="70" t="s">
        <v>691</v>
      </c>
      <c r="BE5" s="70" t="s">
        <v>683</v>
      </c>
      <c r="BF5" s="71" t="s">
        <v>593</v>
      </c>
      <c r="BG5" s="170"/>
      <c r="BH5" s="70" t="s">
        <v>691</v>
      </c>
      <c r="BI5" s="70" t="s">
        <v>683</v>
      </c>
      <c r="BJ5" s="71" t="s">
        <v>593</v>
      </c>
      <c r="BK5" s="170"/>
      <c r="BL5" s="70" t="s">
        <v>691</v>
      </c>
      <c r="BM5" s="70" t="s">
        <v>683</v>
      </c>
      <c r="BN5" s="71" t="s">
        <v>593</v>
      </c>
      <c r="BO5" s="170"/>
      <c r="BP5" s="70" t="s">
        <v>691</v>
      </c>
      <c r="BQ5" s="70" t="s">
        <v>683</v>
      </c>
      <c r="BR5" s="71" t="s">
        <v>593</v>
      </c>
      <c r="BS5" s="170"/>
      <c r="BT5" s="70" t="s">
        <v>691</v>
      </c>
      <c r="BU5" s="70" t="s">
        <v>683</v>
      </c>
      <c r="BV5" s="71" t="s">
        <v>593</v>
      </c>
      <c r="BW5" s="170"/>
      <c r="BX5" s="70" t="s">
        <v>691</v>
      </c>
      <c r="BY5" s="70" t="s">
        <v>683</v>
      </c>
      <c r="BZ5" s="71" t="s">
        <v>593</v>
      </c>
      <c r="CA5" s="170"/>
      <c r="CB5" s="70" t="s">
        <v>691</v>
      </c>
      <c r="CC5" s="70" t="s">
        <v>683</v>
      </c>
      <c r="CD5" s="71" t="s">
        <v>593</v>
      </c>
    </row>
    <row r="6" spans="1:82" s="2" customFormat="1" ht="30" customHeight="1" x14ac:dyDescent="0.3">
      <c r="B6" s="33">
        <v>1</v>
      </c>
      <c r="C6" s="275"/>
      <c r="D6" s="275"/>
      <c r="E6" s="275"/>
      <c r="F6" s="27"/>
      <c r="G6" s="35">
        <v>1</v>
      </c>
      <c r="H6" s="81" t="s">
        <v>347</v>
      </c>
      <c r="I6" s="55">
        <f>IFERROR(I7/B7*B6,0)</f>
        <v>0</v>
      </c>
      <c r="J6" s="55">
        <f>K11+K24+K37+K50</f>
        <v>166666.66666666666</v>
      </c>
      <c r="K6" s="56">
        <f>IFERROR((I6-J6)/I6-PARAMETROS!C19,0)</f>
        <v>0</v>
      </c>
      <c r="M6" s="229" t="s">
        <v>693</v>
      </c>
      <c r="N6" s="230">
        <f>+K50</f>
        <v>166666.66666666666</v>
      </c>
      <c r="O6" s="235">
        <f>IFERROR(N6/$N$7,0)</f>
        <v>1</v>
      </c>
      <c r="AE6" s="171"/>
      <c r="AF6" s="55">
        <f>AJ6+AN6+AR6+AV6+AZ6+BD6+BH6+BL6+BP6+BT6+BX6+CB6</f>
        <v>0</v>
      </c>
      <c r="AG6" s="55">
        <f>AH11+AH24+AH37+AH50</f>
        <v>0</v>
      </c>
      <c r="AH6" s="56">
        <f>IFERROR((AF6-AG6)/AF6,0)</f>
        <v>0</v>
      </c>
      <c r="AI6" s="171"/>
      <c r="AJ6" s="55"/>
      <c r="AK6" s="55">
        <f>AL11+AL24+AL37+AL50</f>
        <v>0</v>
      </c>
      <c r="AL6" s="56">
        <f>IFERROR((AJ6-AK6)/AJ6,0)</f>
        <v>0</v>
      </c>
      <c r="AM6" s="171"/>
      <c r="AN6" s="55"/>
      <c r="AO6" s="55">
        <f>AP11+AP24+AP37+AP50</f>
        <v>0</v>
      </c>
      <c r="AP6" s="56">
        <f>IFERROR((AN6-AO6)/AN6,0)</f>
        <v>0</v>
      </c>
      <c r="AQ6" s="171"/>
      <c r="AR6" s="55"/>
      <c r="AS6" s="55">
        <f>AT11+AT24+AT37+AT50</f>
        <v>0</v>
      </c>
      <c r="AT6" s="56">
        <f>IFERROR((AR6-AS6)/AR6,0)</f>
        <v>0</v>
      </c>
      <c r="AU6" s="171"/>
      <c r="AV6" s="55"/>
      <c r="AW6" s="55">
        <f>AX11+AX24+AX37+AX50</f>
        <v>0</v>
      </c>
      <c r="AX6" s="56">
        <f>IFERROR((AV6-AW6)/AV6,0)</f>
        <v>0</v>
      </c>
      <c r="AY6" s="171"/>
      <c r="AZ6" s="55"/>
      <c r="BA6" s="55">
        <f>BB11+BB24+BB37+BB50</f>
        <v>0</v>
      </c>
      <c r="BB6" s="56">
        <f>IFERROR((AZ6-BA6)/AZ6,0)</f>
        <v>0</v>
      </c>
      <c r="BC6" s="171"/>
      <c r="BD6" s="55"/>
      <c r="BE6" s="55">
        <f>BF11+BF24+BF37+BF50</f>
        <v>0</v>
      </c>
      <c r="BF6" s="56">
        <f>IFERROR((BD6-BE6)/BD6,0)</f>
        <v>0</v>
      </c>
      <c r="BG6" s="171"/>
      <c r="BH6" s="55"/>
      <c r="BI6" s="55">
        <f>BJ11+BJ24+BJ37+BJ50</f>
        <v>0</v>
      </c>
      <c r="BJ6" s="56">
        <f>IFERROR((BH6-BI6)/BH6,0)</f>
        <v>0</v>
      </c>
      <c r="BK6" s="171"/>
      <c r="BL6" s="55"/>
      <c r="BM6" s="55">
        <f>BN11+BN24+BN37+BN50</f>
        <v>0</v>
      </c>
      <c r="BN6" s="56">
        <f>IFERROR((BL6-BM6)/BL6,0)</f>
        <v>0</v>
      </c>
      <c r="BO6" s="171"/>
      <c r="BP6" s="55"/>
      <c r="BQ6" s="55">
        <f>BR11+BR24+BR37+BR50</f>
        <v>0</v>
      </c>
      <c r="BR6" s="56">
        <f>IFERROR((BP6-BQ6)/BP6,0)</f>
        <v>0</v>
      </c>
      <c r="BS6" s="171"/>
      <c r="BT6" s="55"/>
      <c r="BU6" s="55">
        <f>BV11+BV24+BV37+BV50</f>
        <v>0</v>
      </c>
      <c r="BV6" s="56">
        <f>IFERROR((BT6-BU6)/BT6,0)</f>
        <v>0</v>
      </c>
      <c r="BW6" s="171"/>
      <c r="BX6" s="55"/>
      <c r="BY6" s="55">
        <f>BZ11+BZ24+BZ37+BZ50</f>
        <v>0</v>
      </c>
      <c r="BZ6" s="56">
        <f>IFERROR((BX6-BY6)/BX6,0)</f>
        <v>0</v>
      </c>
      <c r="CA6" s="171"/>
      <c r="CB6" s="55"/>
      <c r="CC6" s="55">
        <f>CD11+CD24+CD37+CD50</f>
        <v>0</v>
      </c>
      <c r="CD6" s="56">
        <f>IFERROR((CB6-CC6)/CB6,0)</f>
        <v>0</v>
      </c>
    </row>
    <row r="7" spans="1:82" s="2" customFormat="1" ht="30" customHeight="1" thickBot="1" x14ac:dyDescent="0.35">
      <c r="B7" s="34">
        <f>IFERROR(VLOOKUP(B3,Lucratividade!G4:N853,2,0),0)</f>
        <v>0</v>
      </c>
      <c r="C7" s="276"/>
      <c r="D7" s="276"/>
      <c r="E7" s="276"/>
      <c r="F7" s="50"/>
      <c r="G7" s="36">
        <f>IFERROR(B7/B6,0)</f>
        <v>0</v>
      </c>
      <c r="H7" s="82" t="s">
        <v>347</v>
      </c>
      <c r="I7" s="57">
        <f>IFERROR(VLOOKUP(B3,Lucratividade!G4:N132,6,0),0)</f>
        <v>0</v>
      </c>
      <c r="J7" s="58">
        <f>B7*K3</f>
        <v>0</v>
      </c>
      <c r="K7" s="59">
        <f>IFERROR((I7-J7)/I7-PARAMETROS!C19,0)</f>
        <v>0</v>
      </c>
      <c r="M7" s="231" t="s">
        <v>694</v>
      </c>
      <c r="N7" s="232">
        <f>SUM(N3:N6)</f>
        <v>166666.66666666666</v>
      </c>
      <c r="O7" s="236"/>
      <c r="AE7" s="172"/>
      <c r="AF7" s="57"/>
      <c r="AG7" s="58"/>
      <c r="AH7" s="59"/>
      <c r="AI7" s="172"/>
      <c r="AJ7" s="57"/>
      <c r="AK7" s="58"/>
      <c r="AL7" s="59"/>
      <c r="AM7" s="172"/>
      <c r="AN7" s="57"/>
      <c r="AO7" s="58"/>
      <c r="AP7" s="59"/>
      <c r="AQ7" s="172"/>
      <c r="AR7" s="57"/>
      <c r="AS7" s="58"/>
      <c r="AT7" s="59"/>
      <c r="AU7" s="172"/>
      <c r="AV7" s="57"/>
      <c r="AW7" s="58"/>
      <c r="AX7" s="59"/>
      <c r="AY7" s="172"/>
      <c r="AZ7" s="57"/>
      <c r="BA7" s="58"/>
      <c r="BB7" s="59"/>
      <c r="BC7" s="172"/>
      <c r="BD7" s="57"/>
      <c r="BE7" s="58"/>
      <c r="BF7" s="59"/>
      <c r="BG7" s="172"/>
      <c r="BH7" s="57"/>
      <c r="BI7" s="58"/>
      <c r="BJ7" s="59"/>
      <c r="BK7" s="172"/>
      <c r="BL7" s="57"/>
      <c r="BM7" s="58"/>
      <c r="BN7" s="59"/>
      <c r="BO7" s="172"/>
      <c r="BP7" s="57"/>
      <c r="BQ7" s="58"/>
      <c r="BR7" s="59"/>
      <c r="BS7" s="172"/>
      <c r="BT7" s="57"/>
      <c r="BU7" s="58"/>
      <c r="BV7" s="59"/>
      <c r="BW7" s="172"/>
      <c r="BX7" s="57"/>
      <c r="BY7" s="58"/>
      <c r="BZ7" s="59"/>
      <c r="CA7" s="172"/>
      <c r="CB7" s="57"/>
      <c r="CC7" s="58"/>
      <c r="CD7" s="59"/>
    </row>
    <row r="8" spans="1:82" ht="4.2" customHeight="1" x14ac:dyDescent="0.3">
      <c r="AE8" s="28"/>
      <c r="AI8" s="28"/>
      <c r="AM8" s="28"/>
      <c r="AQ8" s="28"/>
      <c r="AU8" s="28"/>
      <c r="AY8" s="28"/>
      <c r="BC8" s="28"/>
      <c r="BG8" s="28"/>
      <c r="BK8" s="28"/>
      <c r="BO8" s="28"/>
      <c r="BS8" s="28"/>
      <c r="BW8" s="28"/>
      <c r="CA8" s="28"/>
    </row>
    <row r="9" spans="1:82" ht="4.95" customHeight="1" thickBot="1" x14ac:dyDescent="0.35">
      <c r="AE9" s="28"/>
      <c r="AI9" s="28"/>
      <c r="AM9" s="28"/>
      <c r="AQ9" s="28"/>
      <c r="AU9" s="28"/>
      <c r="AY9" s="28"/>
      <c r="BC9" s="28"/>
      <c r="BG9" s="28"/>
      <c r="BK9" s="28"/>
      <c r="BO9" s="28"/>
      <c r="BS9" s="28"/>
      <c r="BW9" s="28"/>
      <c r="CA9" s="28"/>
    </row>
    <row r="10" spans="1:82" ht="15" thickBot="1" x14ac:dyDescent="0.35">
      <c r="B10" s="72" t="s">
        <v>695</v>
      </c>
      <c r="C10" s="72" t="s">
        <v>679</v>
      </c>
      <c r="D10" s="72" t="s">
        <v>696</v>
      </c>
      <c r="E10" s="72" t="s">
        <v>697</v>
      </c>
      <c r="F10" s="72" t="s">
        <v>17</v>
      </c>
      <c r="G10" s="70" t="s">
        <v>690</v>
      </c>
      <c r="H10" s="70" t="s">
        <v>698</v>
      </c>
      <c r="I10" s="72" t="s">
        <v>20</v>
      </c>
      <c r="J10" s="72" t="s">
        <v>699</v>
      </c>
      <c r="K10" s="72" t="s">
        <v>700</v>
      </c>
      <c r="M10" s="83" t="s">
        <v>701</v>
      </c>
      <c r="N10" s="87" t="s">
        <v>702</v>
      </c>
      <c r="AD10" s="173" t="s">
        <v>703</v>
      </c>
      <c r="AE10" s="170" t="s">
        <v>698</v>
      </c>
      <c r="AF10" s="70" t="s">
        <v>20</v>
      </c>
      <c r="AG10" s="70" t="s">
        <v>699</v>
      </c>
      <c r="AH10" s="70" t="s">
        <v>700</v>
      </c>
      <c r="AI10" s="173" t="s">
        <v>704</v>
      </c>
      <c r="AJ10" s="174" t="s">
        <v>705</v>
      </c>
      <c r="AK10" s="174" t="s">
        <v>706</v>
      </c>
      <c r="AL10" s="175" t="s">
        <v>707</v>
      </c>
      <c r="AM10" s="173" t="s">
        <v>708</v>
      </c>
      <c r="AN10" s="174" t="s">
        <v>709</v>
      </c>
      <c r="AO10" s="174" t="s">
        <v>710</v>
      </c>
      <c r="AP10" s="175" t="s">
        <v>711</v>
      </c>
      <c r="AQ10" s="173" t="s">
        <v>712</v>
      </c>
      <c r="AR10" s="174" t="s">
        <v>713</v>
      </c>
      <c r="AS10" s="174" t="s">
        <v>714</v>
      </c>
      <c r="AT10" s="175" t="s">
        <v>715</v>
      </c>
      <c r="AU10" s="173" t="s">
        <v>716</v>
      </c>
      <c r="AV10" s="174" t="s">
        <v>717</v>
      </c>
      <c r="AW10" s="174" t="s">
        <v>718</v>
      </c>
      <c r="AX10" s="175" t="s">
        <v>719</v>
      </c>
      <c r="AY10" s="173" t="s">
        <v>720</v>
      </c>
      <c r="AZ10" s="174" t="s">
        <v>721</v>
      </c>
      <c r="BA10" s="174" t="s">
        <v>722</v>
      </c>
      <c r="BB10" s="175" t="s">
        <v>723</v>
      </c>
      <c r="BC10" s="173" t="s">
        <v>724</v>
      </c>
      <c r="BD10" s="174" t="s">
        <v>725</v>
      </c>
      <c r="BE10" s="174" t="s">
        <v>726</v>
      </c>
      <c r="BF10" s="175" t="s">
        <v>727</v>
      </c>
      <c r="BG10" s="173" t="s">
        <v>728</v>
      </c>
      <c r="BH10" s="174" t="s">
        <v>729</v>
      </c>
      <c r="BI10" s="174" t="s">
        <v>730</v>
      </c>
      <c r="BJ10" s="175" t="s">
        <v>731</v>
      </c>
      <c r="BK10" s="173" t="s">
        <v>732</v>
      </c>
      <c r="BL10" s="174" t="s">
        <v>733</v>
      </c>
      <c r="BM10" s="174" t="s">
        <v>734</v>
      </c>
      <c r="BN10" s="175" t="s">
        <v>735</v>
      </c>
      <c r="BO10" s="173" t="s">
        <v>736</v>
      </c>
      <c r="BP10" s="174" t="s">
        <v>737</v>
      </c>
      <c r="BQ10" s="174" t="s">
        <v>738</v>
      </c>
      <c r="BR10" s="175" t="s">
        <v>739</v>
      </c>
      <c r="BS10" s="173" t="s">
        <v>740</v>
      </c>
      <c r="BT10" s="174" t="s">
        <v>741</v>
      </c>
      <c r="BU10" s="174" t="s">
        <v>742</v>
      </c>
      <c r="BV10" s="175" t="s">
        <v>743</v>
      </c>
      <c r="BW10" s="173" t="s">
        <v>744</v>
      </c>
      <c r="BX10" s="174" t="s">
        <v>745</v>
      </c>
      <c r="BY10" s="174" t="s">
        <v>746</v>
      </c>
      <c r="BZ10" s="175" t="s">
        <v>747</v>
      </c>
      <c r="CA10" s="173" t="s">
        <v>748</v>
      </c>
      <c r="CB10" s="174" t="s">
        <v>749</v>
      </c>
      <c r="CC10" s="174" t="s">
        <v>750</v>
      </c>
      <c r="CD10" s="174" t="s">
        <v>751</v>
      </c>
    </row>
    <row r="11" spans="1:82" x14ac:dyDescent="0.3">
      <c r="B11" s="52" t="s">
        <v>752</v>
      </c>
      <c r="C11" s="52" t="str">
        <f t="shared" ref="C11:C62" si="0">$A$3</f>
        <v>CPU_IluminaçãoBSOeSAL</v>
      </c>
      <c r="D11" s="277">
        <f t="shared" ref="D11:D62" si="1">$B$6</f>
        <v>1</v>
      </c>
      <c r="E11" s="277">
        <f t="shared" ref="E11:E62" si="2">$B$7</f>
        <v>0</v>
      </c>
      <c r="F11" s="37"/>
      <c r="G11" s="38"/>
      <c r="H11" s="91"/>
      <c r="I11" s="40"/>
      <c r="J11" s="40">
        <f>IFERROR(K11/$B$6,0)</f>
        <v>0</v>
      </c>
      <c r="K11" s="40">
        <f>SUM(K12:K23)</f>
        <v>0</v>
      </c>
      <c r="M11" s="294" t="s">
        <v>753</v>
      </c>
      <c r="N11" s="295" t="s">
        <v>754</v>
      </c>
      <c r="O11" s="296" t="s">
        <v>755</v>
      </c>
      <c r="AD11" s="144" t="str">
        <f>$B$3</f>
        <v>Iluminação BSO e SAL</v>
      </c>
      <c r="AE11" s="176"/>
      <c r="AF11" s="177"/>
      <c r="AG11" s="177">
        <f>IFERROR(AH11/AF$3,0)</f>
        <v>0</v>
      </c>
      <c r="AH11" s="178">
        <f>SUM(AH12:AH23)</f>
        <v>0</v>
      </c>
      <c r="AI11" s="176"/>
      <c r="AJ11" s="177"/>
      <c r="AK11" s="177">
        <f>IFERROR(AL11/AJ$3,0)</f>
        <v>0</v>
      </c>
      <c r="AL11" s="178">
        <f>SUM(AL12:AL23)</f>
        <v>0</v>
      </c>
      <c r="AM11" s="176"/>
      <c r="AN11" s="177"/>
      <c r="AO11" s="177">
        <f>IFERROR(AP11/AN$3,0)</f>
        <v>0</v>
      </c>
      <c r="AP11" s="178">
        <f>SUM(AP12:AP23)</f>
        <v>0</v>
      </c>
      <c r="AQ11" s="176"/>
      <c r="AR11" s="177"/>
      <c r="AS11" s="177">
        <f>IFERROR(AT11/AR$3,0)</f>
        <v>0</v>
      </c>
      <c r="AT11" s="178">
        <f>SUM(AT12:AT23)</f>
        <v>0</v>
      </c>
      <c r="AU11" s="176"/>
      <c r="AV11" s="177"/>
      <c r="AW11" s="177">
        <f>IFERROR(AX11/AV$3,0)</f>
        <v>0</v>
      </c>
      <c r="AX11" s="178">
        <f>SUM(AX12:AX23)</f>
        <v>0</v>
      </c>
      <c r="AY11" s="176"/>
      <c r="AZ11" s="177"/>
      <c r="BA11" s="177">
        <f>IFERROR(BB11/AZ$3,0)</f>
        <v>0</v>
      </c>
      <c r="BB11" s="178">
        <f>SUM(BB12:BB23)</f>
        <v>0</v>
      </c>
      <c r="BC11" s="176"/>
      <c r="BD11" s="177"/>
      <c r="BE11" s="177">
        <f>IFERROR(BF11/BD$3,0)</f>
        <v>0</v>
      </c>
      <c r="BF11" s="178">
        <f>SUM(BF12:BF23)</f>
        <v>0</v>
      </c>
      <c r="BG11" s="176"/>
      <c r="BH11" s="177"/>
      <c r="BI11" s="177">
        <f>IFERROR(BJ11/BH$3,0)</f>
        <v>0</v>
      </c>
      <c r="BJ11" s="178">
        <f>SUM(BJ12:BJ23)</f>
        <v>0</v>
      </c>
      <c r="BK11" s="176"/>
      <c r="BL11" s="177"/>
      <c r="BM11" s="177">
        <f>IFERROR(BN11/BL$3,0)</f>
        <v>0</v>
      </c>
      <c r="BN11" s="178">
        <f>SUM(BN12:BN23)</f>
        <v>0</v>
      </c>
      <c r="BO11" s="176"/>
      <c r="BP11" s="177"/>
      <c r="BQ11" s="177">
        <f>IFERROR(BR11/BP$3,0)</f>
        <v>0</v>
      </c>
      <c r="BR11" s="178">
        <f>SUM(BR12:BR23)</f>
        <v>0</v>
      </c>
      <c r="BS11" s="176"/>
      <c r="BT11" s="177"/>
      <c r="BU11" s="177">
        <f>IFERROR(BV11/BT$3,0)</f>
        <v>0</v>
      </c>
      <c r="BV11" s="178">
        <f>SUM(BV12:BV23)</f>
        <v>0</v>
      </c>
      <c r="BW11" s="176"/>
      <c r="BX11" s="177"/>
      <c r="BY11" s="177">
        <f>IFERROR(BZ11/BX$3,0)</f>
        <v>0</v>
      </c>
      <c r="BZ11" s="178">
        <f>SUM(BZ12:BZ23)</f>
        <v>0</v>
      </c>
      <c r="CA11" s="176"/>
      <c r="CB11" s="177"/>
      <c r="CC11" s="177">
        <f>IFERROR(CD11/CB$3,0)</f>
        <v>0</v>
      </c>
      <c r="CD11" s="178">
        <f>SUM(CD12:CD23)</f>
        <v>0</v>
      </c>
    </row>
    <row r="12" spans="1:82" x14ac:dyDescent="0.3">
      <c r="B12" s="53"/>
      <c r="C12" s="53" t="str">
        <f t="shared" si="0"/>
        <v>CPU_IluminaçãoBSOeSAL</v>
      </c>
      <c r="D12" s="278">
        <f t="shared" si="1"/>
        <v>1</v>
      </c>
      <c r="E12" s="278">
        <f t="shared" si="2"/>
        <v>0</v>
      </c>
      <c r="F12" s="46"/>
      <c r="G12" s="28" t="str">
        <f>IFERROR(VLOOKUP(F12,Tabela7[[RECURSO]:[CUSTO]],2,FALSE),"")</f>
        <v/>
      </c>
      <c r="H12" s="92"/>
      <c r="I12" s="90"/>
      <c r="J12" s="45">
        <f>IFERROR(VLOOKUP(F12,Tabela7[[RECURSO]:[CUSTO]],3,FALSE),0)</f>
        <v>0</v>
      </c>
      <c r="K12" s="45">
        <f>I12*J12*CPU_41[[#This Row],[Nº]]</f>
        <v>0</v>
      </c>
      <c r="M12" s="31"/>
      <c r="N12" s="297"/>
      <c r="O12" s="60">
        <f>IFERROR($B$6/(H12*I12*N12),0)</f>
        <v>0</v>
      </c>
      <c r="AD12" s="144" t="str">
        <f t="shared" ref="AD12:AD62" si="3">$B$3</f>
        <v>Iluminação BSO e SAL</v>
      </c>
      <c r="AE12" s="179"/>
      <c r="AF12" s="180">
        <f>AJ12+AN12+AR12+AV12+AZ12+BD12+BH12+BL12+BP12+BT12+BX12+CB12</f>
        <v>0</v>
      </c>
      <c r="AG12" s="180">
        <f>IFERROR(AH12/AF12,0)</f>
        <v>0</v>
      </c>
      <c r="AH12" s="181">
        <f>AL12+AP12+AT12+AX12+BB12+BF12+BJ12+BN12+BR12+BV12+BZ12+CD12</f>
        <v>0</v>
      </c>
      <c r="AI12" s="182"/>
      <c r="AJ12" s="90"/>
      <c r="AK12" s="90"/>
      <c r="AL12" s="183">
        <f>AJ12*AK12</f>
        <v>0</v>
      </c>
      <c r="AM12" s="182"/>
      <c r="AN12" s="90"/>
      <c r="AO12" s="90"/>
      <c r="AP12" s="183">
        <f t="shared" ref="AP12:AP23" si="4">AN12*AO12</f>
        <v>0</v>
      </c>
      <c r="AQ12" s="182"/>
      <c r="AR12" s="90"/>
      <c r="AS12" s="90"/>
      <c r="AT12" s="183">
        <f t="shared" ref="AT12:AT23" si="5">AR12*AS12</f>
        <v>0</v>
      </c>
      <c r="AU12" s="182"/>
      <c r="AV12" s="90"/>
      <c r="AW12" s="90"/>
      <c r="AX12" s="183">
        <f t="shared" ref="AX12:AX23" si="6">AV12*AW12</f>
        <v>0</v>
      </c>
      <c r="AY12" s="182"/>
      <c r="AZ12" s="90"/>
      <c r="BA12" s="90"/>
      <c r="BB12" s="183">
        <f t="shared" ref="BB12:BB23" si="7">AZ12*BA12</f>
        <v>0</v>
      </c>
      <c r="BC12" s="182"/>
      <c r="BD12" s="90"/>
      <c r="BE12" s="90"/>
      <c r="BF12" s="183">
        <f t="shared" ref="BF12:BF23" si="8">BD12*BE12</f>
        <v>0</v>
      </c>
      <c r="BG12" s="182"/>
      <c r="BH12" s="90"/>
      <c r="BI12" s="90"/>
      <c r="BJ12" s="183">
        <f t="shared" ref="BJ12:BJ23" si="9">BH12*BI12</f>
        <v>0</v>
      </c>
      <c r="BK12" s="182"/>
      <c r="BL12" s="90"/>
      <c r="BM12" s="90"/>
      <c r="BN12" s="183">
        <f t="shared" ref="BN12:BN23" si="10">BL12*BM12</f>
        <v>0</v>
      </c>
      <c r="BO12" s="182"/>
      <c r="BP12" s="90"/>
      <c r="BQ12" s="90"/>
      <c r="BR12" s="183">
        <f t="shared" ref="BR12:BR23" si="11">BP12*BQ12</f>
        <v>0</v>
      </c>
      <c r="BS12" s="182"/>
      <c r="BT12" s="90"/>
      <c r="BU12" s="90"/>
      <c r="BV12" s="183">
        <f t="shared" ref="BV12:BV23" si="12">BT12*BU12</f>
        <v>0</v>
      </c>
      <c r="BW12" s="182"/>
      <c r="BX12" s="90"/>
      <c r="BY12" s="90"/>
      <c r="BZ12" s="183">
        <f t="shared" ref="BZ12:BZ23" si="13">BX12*BY12</f>
        <v>0</v>
      </c>
      <c r="CA12" s="182"/>
      <c r="CB12" s="90"/>
      <c r="CC12" s="90"/>
      <c r="CD12" s="183">
        <f t="shared" ref="CD12:CD23" si="14">CB12*CC12</f>
        <v>0</v>
      </c>
    </row>
    <row r="13" spans="1:82" x14ac:dyDescent="0.3">
      <c r="B13" s="53"/>
      <c r="C13" s="53" t="str">
        <f t="shared" si="0"/>
        <v>CPU_IluminaçãoBSOeSAL</v>
      </c>
      <c r="D13" s="278">
        <f t="shared" si="1"/>
        <v>1</v>
      </c>
      <c r="E13" s="278">
        <f t="shared" si="2"/>
        <v>0</v>
      </c>
      <c r="F13" s="1"/>
      <c r="G13" s="28" t="str">
        <f>IFERROR(VLOOKUP(F13,Tabela7[[RECURSO]:[CUSTO]],2,FALSE),"")</f>
        <v/>
      </c>
      <c r="H13" s="92"/>
      <c r="I13" s="90"/>
      <c r="J13" s="45">
        <f>IFERROR(VLOOKUP(F13,Tabela7[[RECURSO]:[CUSTO]],3,FALSE),0)</f>
        <v>0</v>
      </c>
      <c r="K13" s="45">
        <f>I13*J13*CPU_41[[#This Row],[Nº]]</f>
        <v>0</v>
      </c>
      <c r="M13" s="31"/>
      <c r="N13" s="297"/>
      <c r="O13" s="60">
        <f t="shared" ref="O13:O23" si="15">IFERROR($B$6/(H13*I13),0)</f>
        <v>0</v>
      </c>
      <c r="AD13" s="144" t="str">
        <f t="shared" si="3"/>
        <v>Iluminação BSO e SAL</v>
      </c>
      <c r="AE13" s="179"/>
      <c r="AF13" s="180">
        <f t="shared" ref="AF13:AF23" si="16">AJ13+AN13+AR13+AV13+AZ13+BD13+BH13+BL13+BP13+BT13+BX13+CB13</f>
        <v>0</v>
      </c>
      <c r="AG13" s="180">
        <f t="shared" ref="AG13:AG62" si="17">IFERROR(AH13/AF13,0)</f>
        <v>0</v>
      </c>
      <c r="AH13" s="181">
        <f t="shared" ref="AH13:AH23" si="18">AL13+AP13+AT13+AX13+BB13+BF13+BJ13+BN13+BR13+BV13+BZ13+CD13</f>
        <v>0</v>
      </c>
      <c r="AI13" s="182"/>
      <c r="AJ13" s="90"/>
      <c r="AK13" s="90"/>
      <c r="AL13" s="183">
        <f t="shared" ref="AL13:AL23" si="19">AJ13*AK13</f>
        <v>0</v>
      </c>
      <c r="AM13" s="182"/>
      <c r="AN13" s="90"/>
      <c r="AO13" s="90"/>
      <c r="AP13" s="183">
        <f t="shared" si="4"/>
        <v>0</v>
      </c>
      <c r="AQ13" s="182"/>
      <c r="AR13" s="90"/>
      <c r="AS13" s="90"/>
      <c r="AT13" s="183">
        <f t="shared" si="5"/>
        <v>0</v>
      </c>
      <c r="AU13" s="182"/>
      <c r="AV13" s="90"/>
      <c r="AW13" s="90"/>
      <c r="AX13" s="183">
        <f t="shared" si="6"/>
        <v>0</v>
      </c>
      <c r="AY13" s="182"/>
      <c r="AZ13" s="90"/>
      <c r="BA13" s="90"/>
      <c r="BB13" s="183">
        <f t="shared" si="7"/>
        <v>0</v>
      </c>
      <c r="BC13" s="182"/>
      <c r="BD13" s="90"/>
      <c r="BE13" s="90"/>
      <c r="BF13" s="183">
        <f t="shared" si="8"/>
        <v>0</v>
      </c>
      <c r="BG13" s="182"/>
      <c r="BH13" s="90"/>
      <c r="BI13" s="90"/>
      <c r="BJ13" s="183">
        <f t="shared" si="9"/>
        <v>0</v>
      </c>
      <c r="BK13" s="182"/>
      <c r="BL13" s="90"/>
      <c r="BM13" s="90"/>
      <c r="BN13" s="183">
        <f t="shared" si="10"/>
        <v>0</v>
      </c>
      <c r="BO13" s="182"/>
      <c r="BP13" s="90"/>
      <c r="BQ13" s="90"/>
      <c r="BR13" s="183">
        <f t="shared" si="11"/>
        <v>0</v>
      </c>
      <c r="BS13" s="182"/>
      <c r="BT13" s="90"/>
      <c r="BU13" s="90"/>
      <c r="BV13" s="183">
        <f t="shared" si="12"/>
        <v>0</v>
      </c>
      <c r="BW13" s="182"/>
      <c r="BX13" s="90"/>
      <c r="BY13" s="90"/>
      <c r="BZ13" s="183">
        <f t="shared" si="13"/>
        <v>0</v>
      </c>
      <c r="CA13" s="182"/>
      <c r="CB13" s="90"/>
      <c r="CC13" s="90"/>
      <c r="CD13" s="183">
        <f t="shared" si="14"/>
        <v>0</v>
      </c>
    </row>
    <row r="14" spans="1:82" x14ac:dyDescent="0.3">
      <c r="B14" s="53"/>
      <c r="C14" s="53" t="str">
        <f t="shared" si="0"/>
        <v>CPU_IluminaçãoBSOeSAL</v>
      </c>
      <c r="D14" s="278">
        <f t="shared" si="1"/>
        <v>1</v>
      </c>
      <c r="E14" s="278">
        <f t="shared" si="2"/>
        <v>0</v>
      </c>
      <c r="F14" s="1"/>
      <c r="G14" s="28" t="str">
        <f>IFERROR(VLOOKUP(F14,Tabela7[[RECURSO]:[CUSTO]],2,FALSE),"")</f>
        <v/>
      </c>
      <c r="H14" s="92"/>
      <c r="I14" s="90"/>
      <c r="J14" s="45">
        <f>IFERROR(VLOOKUP(F14,Tabela7[[RECURSO]:[CUSTO]],3,FALSE),0)</f>
        <v>0</v>
      </c>
      <c r="K14" s="45">
        <f>I14*J14*CPU_41[[#This Row],[Nº]]</f>
        <v>0</v>
      </c>
      <c r="M14" s="31"/>
      <c r="N14" s="297"/>
      <c r="O14" s="60">
        <f t="shared" si="15"/>
        <v>0</v>
      </c>
      <c r="AD14" s="144" t="str">
        <f t="shared" si="3"/>
        <v>Iluminação BSO e SAL</v>
      </c>
      <c r="AE14" s="179"/>
      <c r="AF14" s="180">
        <f t="shared" si="16"/>
        <v>0</v>
      </c>
      <c r="AG14" s="180">
        <f t="shared" si="17"/>
        <v>0</v>
      </c>
      <c r="AH14" s="181">
        <f t="shared" si="18"/>
        <v>0</v>
      </c>
      <c r="AI14" s="182"/>
      <c r="AJ14" s="90"/>
      <c r="AK14" s="90"/>
      <c r="AL14" s="183">
        <f t="shared" si="19"/>
        <v>0</v>
      </c>
      <c r="AM14" s="182"/>
      <c r="AN14" s="90"/>
      <c r="AO14" s="90"/>
      <c r="AP14" s="183">
        <f t="shared" si="4"/>
        <v>0</v>
      </c>
      <c r="AQ14" s="182"/>
      <c r="AR14" s="90"/>
      <c r="AS14" s="90"/>
      <c r="AT14" s="183">
        <f t="shared" si="5"/>
        <v>0</v>
      </c>
      <c r="AU14" s="182"/>
      <c r="AV14" s="90"/>
      <c r="AW14" s="90"/>
      <c r="AX14" s="183">
        <f t="shared" si="6"/>
        <v>0</v>
      </c>
      <c r="AY14" s="182"/>
      <c r="AZ14" s="90"/>
      <c r="BA14" s="90"/>
      <c r="BB14" s="183">
        <f t="shared" si="7"/>
        <v>0</v>
      </c>
      <c r="BC14" s="182"/>
      <c r="BD14" s="90"/>
      <c r="BE14" s="90"/>
      <c r="BF14" s="183">
        <f t="shared" si="8"/>
        <v>0</v>
      </c>
      <c r="BG14" s="182"/>
      <c r="BH14" s="90"/>
      <c r="BI14" s="90"/>
      <c r="BJ14" s="183">
        <f t="shared" si="9"/>
        <v>0</v>
      </c>
      <c r="BK14" s="182"/>
      <c r="BL14" s="90"/>
      <c r="BM14" s="90"/>
      <c r="BN14" s="183">
        <f t="shared" si="10"/>
        <v>0</v>
      </c>
      <c r="BO14" s="182"/>
      <c r="BP14" s="90"/>
      <c r="BQ14" s="90"/>
      <c r="BR14" s="183">
        <f t="shared" si="11"/>
        <v>0</v>
      </c>
      <c r="BS14" s="182"/>
      <c r="BT14" s="90"/>
      <c r="BU14" s="90"/>
      <c r="BV14" s="183">
        <f t="shared" si="12"/>
        <v>0</v>
      </c>
      <c r="BW14" s="182"/>
      <c r="BX14" s="90"/>
      <c r="BY14" s="90"/>
      <c r="BZ14" s="183">
        <f t="shared" si="13"/>
        <v>0</v>
      </c>
      <c r="CA14" s="182"/>
      <c r="CB14" s="90"/>
      <c r="CC14" s="90"/>
      <c r="CD14" s="183">
        <f t="shared" si="14"/>
        <v>0</v>
      </c>
    </row>
    <row r="15" spans="1:82" x14ac:dyDescent="0.3">
      <c r="B15" s="153"/>
      <c r="C15" s="153" t="str">
        <f t="shared" si="0"/>
        <v>CPU_IluminaçãoBSOeSAL</v>
      </c>
      <c r="D15" s="279">
        <f t="shared" si="1"/>
        <v>1</v>
      </c>
      <c r="E15" s="279">
        <f t="shared" si="2"/>
        <v>0</v>
      </c>
      <c r="F15" s="1"/>
      <c r="G15" s="28" t="str">
        <f>IFERROR(VLOOKUP(F15,Tabela7[[RECURSO]:[CUSTO]],2,FALSE),"")</f>
        <v/>
      </c>
      <c r="H15" s="92"/>
      <c r="I15" s="90"/>
      <c r="J15" s="45">
        <f>IFERROR(VLOOKUP(F15,Tabela7[[RECURSO]:[CUSTO]],3,FALSE),0)</f>
        <v>0</v>
      </c>
      <c r="K15" s="45">
        <f>I15*J15*CPU_41[[#This Row],[Nº]]</f>
        <v>0</v>
      </c>
      <c r="M15" s="31"/>
      <c r="N15" s="297"/>
      <c r="O15" s="60">
        <f t="shared" si="15"/>
        <v>0</v>
      </c>
      <c r="AD15" s="144" t="str">
        <f t="shared" si="3"/>
        <v>Iluminação BSO e SAL</v>
      </c>
      <c r="AE15" s="179"/>
      <c r="AF15" s="180">
        <f t="shared" si="16"/>
        <v>0</v>
      </c>
      <c r="AG15" s="180">
        <f t="shared" si="17"/>
        <v>0</v>
      </c>
      <c r="AH15" s="181">
        <f t="shared" si="18"/>
        <v>0</v>
      </c>
      <c r="AI15" s="182"/>
      <c r="AJ15" s="90"/>
      <c r="AK15" s="90"/>
      <c r="AL15" s="183">
        <f t="shared" si="19"/>
        <v>0</v>
      </c>
      <c r="AM15" s="182"/>
      <c r="AN15" s="90"/>
      <c r="AO15" s="90"/>
      <c r="AP15" s="183">
        <f t="shared" si="4"/>
        <v>0</v>
      </c>
      <c r="AQ15" s="182"/>
      <c r="AR15" s="90"/>
      <c r="AS15" s="90"/>
      <c r="AT15" s="183">
        <f t="shared" si="5"/>
        <v>0</v>
      </c>
      <c r="AU15" s="182"/>
      <c r="AV15" s="90"/>
      <c r="AW15" s="90"/>
      <c r="AX15" s="183">
        <f t="shared" si="6"/>
        <v>0</v>
      </c>
      <c r="AY15" s="182"/>
      <c r="AZ15" s="90"/>
      <c r="BA15" s="90"/>
      <c r="BB15" s="183">
        <f t="shared" si="7"/>
        <v>0</v>
      </c>
      <c r="BC15" s="182"/>
      <c r="BD15" s="90"/>
      <c r="BE15" s="90"/>
      <c r="BF15" s="183">
        <f t="shared" si="8"/>
        <v>0</v>
      </c>
      <c r="BG15" s="182"/>
      <c r="BH15" s="90"/>
      <c r="BI15" s="90"/>
      <c r="BJ15" s="183">
        <f t="shared" si="9"/>
        <v>0</v>
      </c>
      <c r="BK15" s="182"/>
      <c r="BL15" s="90"/>
      <c r="BM15" s="90"/>
      <c r="BN15" s="183">
        <f t="shared" si="10"/>
        <v>0</v>
      </c>
      <c r="BO15" s="182"/>
      <c r="BP15" s="90"/>
      <c r="BQ15" s="90"/>
      <c r="BR15" s="183">
        <f t="shared" si="11"/>
        <v>0</v>
      </c>
      <c r="BS15" s="182"/>
      <c r="BT15" s="90"/>
      <c r="BU15" s="90"/>
      <c r="BV15" s="183">
        <f t="shared" si="12"/>
        <v>0</v>
      </c>
      <c r="BW15" s="182"/>
      <c r="BX15" s="90"/>
      <c r="BY15" s="90"/>
      <c r="BZ15" s="183">
        <f t="shared" si="13"/>
        <v>0</v>
      </c>
      <c r="CA15" s="182"/>
      <c r="CB15" s="90"/>
      <c r="CC15" s="90"/>
      <c r="CD15" s="183">
        <f t="shared" si="14"/>
        <v>0</v>
      </c>
    </row>
    <row r="16" spans="1:82" x14ac:dyDescent="0.3">
      <c r="B16" s="53"/>
      <c r="C16" s="53" t="str">
        <f t="shared" si="0"/>
        <v>CPU_IluminaçãoBSOeSAL</v>
      </c>
      <c r="D16" s="278">
        <f t="shared" si="1"/>
        <v>1</v>
      </c>
      <c r="E16" s="278">
        <f t="shared" si="2"/>
        <v>0</v>
      </c>
      <c r="F16" s="1"/>
      <c r="G16" s="28" t="str">
        <f>IFERROR(VLOOKUP(F16,Tabela7[[RECURSO]:[CUSTO]],2,FALSE),"")</f>
        <v/>
      </c>
      <c r="H16" s="92"/>
      <c r="I16" s="90"/>
      <c r="J16" s="45">
        <f>IFERROR(VLOOKUP(F16,Tabela7[[RECURSO]:[CUSTO]],3,FALSE),0)</f>
        <v>0</v>
      </c>
      <c r="K16" s="45">
        <f>I16*J16*CPU_41[[#This Row],[Nº]]</f>
        <v>0</v>
      </c>
      <c r="M16" s="31"/>
      <c r="N16" s="297"/>
      <c r="O16" s="60">
        <f t="shared" si="15"/>
        <v>0</v>
      </c>
      <c r="AD16" s="144" t="str">
        <f t="shared" si="3"/>
        <v>Iluminação BSO e SAL</v>
      </c>
      <c r="AE16" s="179"/>
      <c r="AF16" s="180">
        <f t="shared" si="16"/>
        <v>0</v>
      </c>
      <c r="AG16" s="180">
        <f t="shared" si="17"/>
        <v>0</v>
      </c>
      <c r="AH16" s="181">
        <f t="shared" si="18"/>
        <v>0</v>
      </c>
      <c r="AI16" s="182"/>
      <c r="AJ16" s="90"/>
      <c r="AK16" s="90"/>
      <c r="AL16" s="183">
        <f t="shared" si="19"/>
        <v>0</v>
      </c>
      <c r="AM16" s="182"/>
      <c r="AN16" s="90"/>
      <c r="AO16" s="90"/>
      <c r="AP16" s="183">
        <f t="shared" si="4"/>
        <v>0</v>
      </c>
      <c r="AQ16" s="182"/>
      <c r="AR16" s="90"/>
      <c r="AS16" s="90"/>
      <c r="AT16" s="183">
        <f t="shared" si="5"/>
        <v>0</v>
      </c>
      <c r="AU16" s="182"/>
      <c r="AV16" s="90"/>
      <c r="AW16" s="90"/>
      <c r="AX16" s="183">
        <f t="shared" si="6"/>
        <v>0</v>
      </c>
      <c r="AY16" s="182"/>
      <c r="AZ16" s="90"/>
      <c r="BA16" s="90"/>
      <c r="BB16" s="183">
        <f t="shared" si="7"/>
        <v>0</v>
      </c>
      <c r="BC16" s="182"/>
      <c r="BD16" s="90"/>
      <c r="BE16" s="90"/>
      <c r="BF16" s="183">
        <f t="shared" si="8"/>
        <v>0</v>
      </c>
      <c r="BG16" s="182"/>
      <c r="BH16" s="90"/>
      <c r="BI16" s="90"/>
      <c r="BJ16" s="183">
        <f t="shared" si="9"/>
        <v>0</v>
      </c>
      <c r="BK16" s="182"/>
      <c r="BL16" s="90"/>
      <c r="BM16" s="90"/>
      <c r="BN16" s="183">
        <f t="shared" si="10"/>
        <v>0</v>
      </c>
      <c r="BO16" s="182"/>
      <c r="BP16" s="90"/>
      <c r="BQ16" s="90"/>
      <c r="BR16" s="183">
        <f t="shared" si="11"/>
        <v>0</v>
      </c>
      <c r="BS16" s="182"/>
      <c r="BT16" s="90"/>
      <c r="BU16" s="90"/>
      <c r="BV16" s="183">
        <f t="shared" si="12"/>
        <v>0</v>
      </c>
      <c r="BW16" s="182"/>
      <c r="BX16" s="90"/>
      <c r="BY16" s="90"/>
      <c r="BZ16" s="183">
        <f t="shared" si="13"/>
        <v>0</v>
      </c>
      <c r="CA16" s="182"/>
      <c r="CB16" s="90"/>
      <c r="CC16" s="90"/>
      <c r="CD16" s="183">
        <f t="shared" si="14"/>
        <v>0</v>
      </c>
    </row>
    <row r="17" spans="2:82" x14ac:dyDescent="0.3">
      <c r="B17" s="53"/>
      <c r="C17" s="53" t="str">
        <f t="shared" si="0"/>
        <v>CPU_IluminaçãoBSOeSAL</v>
      </c>
      <c r="D17" s="278">
        <f t="shared" si="1"/>
        <v>1</v>
      </c>
      <c r="E17" s="278">
        <f t="shared" si="2"/>
        <v>0</v>
      </c>
      <c r="F17" s="1"/>
      <c r="G17" s="28" t="str">
        <f>IFERROR(VLOOKUP(F17,Tabela7[[RECURSO]:[CUSTO]],2,FALSE),"")</f>
        <v/>
      </c>
      <c r="H17" s="92"/>
      <c r="I17" s="90"/>
      <c r="J17" s="45">
        <f>IFERROR(VLOOKUP(F17,Tabela7[[RECURSO]:[CUSTO]],3,FALSE),0)</f>
        <v>0</v>
      </c>
      <c r="K17" s="45">
        <f>I17*J17*CPU_41[[#This Row],[Nº]]</f>
        <v>0</v>
      </c>
      <c r="M17" s="31"/>
      <c r="N17" s="297"/>
      <c r="O17" s="60">
        <f t="shared" si="15"/>
        <v>0</v>
      </c>
      <c r="AD17" s="144" t="str">
        <f t="shared" si="3"/>
        <v>Iluminação BSO e SAL</v>
      </c>
      <c r="AE17" s="179"/>
      <c r="AF17" s="180">
        <f t="shared" si="16"/>
        <v>0</v>
      </c>
      <c r="AG17" s="180">
        <f t="shared" si="17"/>
        <v>0</v>
      </c>
      <c r="AH17" s="181">
        <f t="shared" si="18"/>
        <v>0</v>
      </c>
      <c r="AI17" s="182"/>
      <c r="AJ17" s="90"/>
      <c r="AK17" s="90"/>
      <c r="AL17" s="183">
        <f t="shared" si="19"/>
        <v>0</v>
      </c>
      <c r="AM17" s="182"/>
      <c r="AN17" s="90"/>
      <c r="AO17" s="90"/>
      <c r="AP17" s="183">
        <f t="shared" si="4"/>
        <v>0</v>
      </c>
      <c r="AQ17" s="182"/>
      <c r="AR17" s="90"/>
      <c r="AS17" s="90"/>
      <c r="AT17" s="183">
        <f t="shared" si="5"/>
        <v>0</v>
      </c>
      <c r="AU17" s="182"/>
      <c r="AV17" s="90"/>
      <c r="AW17" s="90"/>
      <c r="AX17" s="183">
        <f t="shared" si="6"/>
        <v>0</v>
      </c>
      <c r="AY17" s="182"/>
      <c r="AZ17" s="90"/>
      <c r="BA17" s="90"/>
      <c r="BB17" s="183">
        <f t="shared" si="7"/>
        <v>0</v>
      </c>
      <c r="BC17" s="182"/>
      <c r="BD17" s="90"/>
      <c r="BE17" s="90"/>
      <c r="BF17" s="183">
        <f t="shared" si="8"/>
        <v>0</v>
      </c>
      <c r="BG17" s="182"/>
      <c r="BH17" s="90"/>
      <c r="BI17" s="90"/>
      <c r="BJ17" s="183">
        <f t="shared" si="9"/>
        <v>0</v>
      </c>
      <c r="BK17" s="182"/>
      <c r="BL17" s="90"/>
      <c r="BM17" s="90"/>
      <c r="BN17" s="183">
        <f t="shared" si="10"/>
        <v>0</v>
      </c>
      <c r="BO17" s="182"/>
      <c r="BP17" s="90"/>
      <c r="BQ17" s="90"/>
      <c r="BR17" s="183">
        <f t="shared" si="11"/>
        <v>0</v>
      </c>
      <c r="BS17" s="182"/>
      <c r="BT17" s="90"/>
      <c r="BU17" s="90"/>
      <c r="BV17" s="183">
        <f t="shared" si="12"/>
        <v>0</v>
      </c>
      <c r="BW17" s="182"/>
      <c r="BX17" s="90"/>
      <c r="BY17" s="90"/>
      <c r="BZ17" s="183">
        <f t="shared" si="13"/>
        <v>0</v>
      </c>
      <c r="CA17" s="182"/>
      <c r="CB17" s="90"/>
      <c r="CC17" s="90"/>
      <c r="CD17" s="183">
        <f t="shared" si="14"/>
        <v>0</v>
      </c>
    </row>
    <row r="18" spans="2:82" x14ac:dyDescent="0.3">
      <c r="B18" s="53"/>
      <c r="C18" s="53" t="str">
        <f t="shared" si="0"/>
        <v>CPU_IluminaçãoBSOeSAL</v>
      </c>
      <c r="D18" s="278">
        <f t="shared" si="1"/>
        <v>1</v>
      </c>
      <c r="E18" s="278">
        <f t="shared" si="2"/>
        <v>0</v>
      </c>
      <c r="F18" s="1"/>
      <c r="G18" s="28" t="str">
        <f>IFERROR(VLOOKUP(F18,Tabela7[[RECURSO]:[CUSTO]],2,FALSE),"")</f>
        <v/>
      </c>
      <c r="H18" s="92"/>
      <c r="I18" s="90"/>
      <c r="J18" s="45">
        <f>IFERROR(VLOOKUP(F18,Tabela7[[RECURSO]:[CUSTO]],3,FALSE),0)</f>
        <v>0</v>
      </c>
      <c r="K18" s="45">
        <f>I18*J18*CPU_41[[#This Row],[Nº]]</f>
        <v>0</v>
      </c>
      <c r="M18" s="31"/>
      <c r="N18" s="297"/>
      <c r="O18" s="60">
        <f t="shared" si="15"/>
        <v>0</v>
      </c>
      <c r="AD18" s="144" t="str">
        <f t="shared" si="3"/>
        <v>Iluminação BSO e SAL</v>
      </c>
      <c r="AE18" s="179"/>
      <c r="AF18" s="180">
        <f t="shared" si="16"/>
        <v>0</v>
      </c>
      <c r="AG18" s="180">
        <f t="shared" si="17"/>
        <v>0</v>
      </c>
      <c r="AH18" s="181">
        <f t="shared" si="18"/>
        <v>0</v>
      </c>
      <c r="AI18" s="182"/>
      <c r="AJ18" s="90"/>
      <c r="AK18" s="90"/>
      <c r="AL18" s="183">
        <f t="shared" si="19"/>
        <v>0</v>
      </c>
      <c r="AM18" s="182"/>
      <c r="AN18" s="90"/>
      <c r="AO18" s="90"/>
      <c r="AP18" s="183">
        <f t="shared" si="4"/>
        <v>0</v>
      </c>
      <c r="AQ18" s="182"/>
      <c r="AR18" s="90"/>
      <c r="AS18" s="90"/>
      <c r="AT18" s="183">
        <f t="shared" si="5"/>
        <v>0</v>
      </c>
      <c r="AU18" s="182"/>
      <c r="AV18" s="90"/>
      <c r="AW18" s="90"/>
      <c r="AX18" s="183">
        <f t="shared" si="6"/>
        <v>0</v>
      </c>
      <c r="AY18" s="182"/>
      <c r="AZ18" s="90"/>
      <c r="BA18" s="90"/>
      <c r="BB18" s="183">
        <f t="shared" si="7"/>
        <v>0</v>
      </c>
      <c r="BC18" s="182"/>
      <c r="BD18" s="90"/>
      <c r="BE18" s="90"/>
      <c r="BF18" s="183">
        <f t="shared" si="8"/>
        <v>0</v>
      </c>
      <c r="BG18" s="182"/>
      <c r="BH18" s="90"/>
      <c r="BI18" s="90"/>
      <c r="BJ18" s="183">
        <f t="shared" si="9"/>
        <v>0</v>
      </c>
      <c r="BK18" s="182"/>
      <c r="BL18" s="90"/>
      <c r="BM18" s="90"/>
      <c r="BN18" s="183">
        <f t="shared" si="10"/>
        <v>0</v>
      </c>
      <c r="BO18" s="182"/>
      <c r="BP18" s="90"/>
      <c r="BQ18" s="90"/>
      <c r="BR18" s="183">
        <f t="shared" si="11"/>
        <v>0</v>
      </c>
      <c r="BS18" s="182"/>
      <c r="BT18" s="90"/>
      <c r="BU18" s="90"/>
      <c r="BV18" s="183">
        <f t="shared" si="12"/>
        <v>0</v>
      </c>
      <c r="BW18" s="182"/>
      <c r="BX18" s="90"/>
      <c r="BY18" s="90"/>
      <c r="BZ18" s="183">
        <f t="shared" si="13"/>
        <v>0</v>
      </c>
      <c r="CA18" s="182"/>
      <c r="CB18" s="90"/>
      <c r="CC18" s="90"/>
      <c r="CD18" s="183">
        <f t="shared" si="14"/>
        <v>0</v>
      </c>
    </row>
    <row r="19" spans="2:82" x14ac:dyDescent="0.3">
      <c r="B19" s="53"/>
      <c r="C19" s="53" t="str">
        <f t="shared" si="0"/>
        <v>CPU_IluminaçãoBSOeSAL</v>
      </c>
      <c r="D19" s="278">
        <f t="shared" si="1"/>
        <v>1</v>
      </c>
      <c r="E19" s="278">
        <f t="shared" si="2"/>
        <v>0</v>
      </c>
      <c r="F19" s="1"/>
      <c r="G19" s="28" t="str">
        <f>IFERROR(VLOOKUP(F19,Tabela7[[RECURSO]:[CUSTO]],2,FALSE),"")</f>
        <v/>
      </c>
      <c r="H19" s="92"/>
      <c r="I19" s="90"/>
      <c r="J19" s="45">
        <f>IFERROR(VLOOKUP(F19,Tabela7[[RECURSO]:[CUSTO]],3,FALSE),0)</f>
        <v>0</v>
      </c>
      <c r="K19" s="45">
        <f>I19*J19*CPU_41[[#This Row],[Nº]]</f>
        <v>0</v>
      </c>
      <c r="M19" s="31"/>
      <c r="N19" s="297"/>
      <c r="O19" s="60">
        <f t="shared" si="15"/>
        <v>0</v>
      </c>
      <c r="AD19" s="144" t="str">
        <f t="shared" si="3"/>
        <v>Iluminação BSO e SAL</v>
      </c>
      <c r="AE19" s="179"/>
      <c r="AF19" s="180">
        <f t="shared" si="16"/>
        <v>0</v>
      </c>
      <c r="AG19" s="180">
        <f t="shared" si="17"/>
        <v>0</v>
      </c>
      <c r="AH19" s="181">
        <f t="shared" si="18"/>
        <v>0</v>
      </c>
      <c r="AI19" s="182"/>
      <c r="AJ19" s="90"/>
      <c r="AK19" s="90"/>
      <c r="AL19" s="183">
        <f t="shared" si="19"/>
        <v>0</v>
      </c>
      <c r="AM19" s="182"/>
      <c r="AN19" s="90"/>
      <c r="AO19" s="90"/>
      <c r="AP19" s="183">
        <f t="shared" si="4"/>
        <v>0</v>
      </c>
      <c r="AQ19" s="182"/>
      <c r="AR19" s="90"/>
      <c r="AS19" s="90"/>
      <c r="AT19" s="183">
        <f t="shared" si="5"/>
        <v>0</v>
      </c>
      <c r="AU19" s="182"/>
      <c r="AV19" s="90"/>
      <c r="AW19" s="90"/>
      <c r="AX19" s="183">
        <f t="shared" si="6"/>
        <v>0</v>
      </c>
      <c r="AY19" s="182"/>
      <c r="AZ19" s="90"/>
      <c r="BA19" s="90"/>
      <c r="BB19" s="183">
        <f t="shared" si="7"/>
        <v>0</v>
      </c>
      <c r="BC19" s="182"/>
      <c r="BD19" s="90"/>
      <c r="BE19" s="90"/>
      <c r="BF19" s="183">
        <f t="shared" si="8"/>
        <v>0</v>
      </c>
      <c r="BG19" s="182"/>
      <c r="BH19" s="90"/>
      <c r="BI19" s="90"/>
      <c r="BJ19" s="183">
        <f t="shared" si="9"/>
        <v>0</v>
      </c>
      <c r="BK19" s="182"/>
      <c r="BL19" s="90"/>
      <c r="BM19" s="90"/>
      <c r="BN19" s="183">
        <f t="shared" si="10"/>
        <v>0</v>
      </c>
      <c r="BO19" s="182"/>
      <c r="BP19" s="90"/>
      <c r="BQ19" s="90"/>
      <c r="BR19" s="183">
        <f t="shared" si="11"/>
        <v>0</v>
      </c>
      <c r="BS19" s="182"/>
      <c r="BT19" s="90"/>
      <c r="BU19" s="90"/>
      <c r="BV19" s="183">
        <f t="shared" si="12"/>
        <v>0</v>
      </c>
      <c r="BW19" s="182"/>
      <c r="BX19" s="90"/>
      <c r="BY19" s="90"/>
      <c r="BZ19" s="183">
        <f t="shared" si="13"/>
        <v>0</v>
      </c>
      <c r="CA19" s="182"/>
      <c r="CB19" s="90"/>
      <c r="CC19" s="90"/>
      <c r="CD19" s="183">
        <f t="shared" si="14"/>
        <v>0</v>
      </c>
    </row>
    <row r="20" spans="2:82" x14ac:dyDescent="0.3">
      <c r="B20" s="53"/>
      <c r="C20" s="53" t="str">
        <f t="shared" si="0"/>
        <v>CPU_IluminaçãoBSOeSAL</v>
      </c>
      <c r="D20" s="278">
        <f t="shared" si="1"/>
        <v>1</v>
      </c>
      <c r="E20" s="278">
        <f t="shared" si="2"/>
        <v>0</v>
      </c>
      <c r="F20" s="1"/>
      <c r="G20" s="28" t="str">
        <f>IFERROR(VLOOKUP(F20,Tabela7[[RECURSO]:[CUSTO]],2,FALSE),"")</f>
        <v/>
      </c>
      <c r="H20" s="92"/>
      <c r="I20" s="90"/>
      <c r="J20" s="45">
        <f>IFERROR(VLOOKUP(F20,Tabela7[[RECURSO]:[CUSTO]],3,FALSE),0)</f>
        <v>0</v>
      </c>
      <c r="K20" s="45">
        <f>I20*J20*CPU_41[[#This Row],[Nº]]</f>
        <v>0</v>
      </c>
      <c r="M20" s="31"/>
      <c r="N20" s="297"/>
      <c r="O20" s="60">
        <f t="shared" si="15"/>
        <v>0</v>
      </c>
      <c r="AD20" s="144" t="str">
        <f t="shared" si="3"/>
        <v>Iluminação BSO e SAL</v>
      </c>
      <c r="AE20" s="179"/>
      <c r="AF20" s="180">
        <f t="shared" si="16"/>
        <v>0</v>
      </c>
      <c r="AG20" s="180">
        <f t="shared" si="17"/>
        <v>0</v>
      </c>
      <c r="AH20" s="181">
        <f t="shared" si="18"/>
        <v>0</v>
      </c>
      <c r="AI20" s="182"/>
      <c r="AJ20" s="90"/>
      <c r="AK20" s="90"/>
      <c r="AL20" s="183">
        <f t="shared" si="19"/>
        <v>0</v>
      </c>
      <c r="AM20" s="182"/>
      <c r="AN20" s="90"/>
      <c r="AO20" s="90"/>
      <c r="AP20" s="183">
        <f t="shared" si="4"/>
        <v>0</v>
      </c>
      <c r="AQ20" s="182"/>
      <c r="AR20" s="90"/>
      <c r="AS20" s="90"/>
      <c r="AT20" s="183">
        <f t="shared" si="5"/>
        <v>0</v>
      </c>
      <c r="AU20" s="182"/>
      <c r="AV20" s="90"/>
      <c r="AW20" s="90"/>
      <c r="AX20" s="183">
        <f t="shared" si="6"/>
        <v>0</v>
      </c>
      <c r="AY20" s="182"/>
      <c r="AZ20" s="90"/>
      <c r="BA20" s="90"/>
      <c r="BB20" s="183">
        <f t="shared" si="7"/>
        <v>0</v>
      </c>
      <c r="BC20" s="182"/>
      <c r="BD20" s="90"/>
      <c r="BE20" s="90"/>
      <c r="BF20" s="183">
        <f t="shared" si="8"/>
        <v>0</v>
      </c>
      <c r="BG20" s="182"/>
      <c r="BH20" s="90"/>
      <c r="BI20" s="90"/>
      <c r="BJ20" s="183">
        <f t="shared" si="9"/>
        <v>0</v>
      </c>
      <c r="BK20" s="182"/>
      <c r="BL20" s="90"/>
      <c r="BM20" s="90"/>
      <c r="BN20" s="183">
        <f t="shared" si="10"/>
        <v>0</v>
      </c>
      <c r="BO20" s="182"/>
      <c r="BP20" s="90"/>
      <c r="BQ20" s="90"/>
      <c r="BR20" s="183">
        <f t="shared" si="11"/>
        <v>0</v>
      </c>
      <c r="BS20" s="182"/>
      <c r="BT20" s="90"/>
      <c r="BU20" s="90"/>
      <c r="BV20" s="183">
        <f t="shared" si="12"/>
        <v>0</v>
      </c>
      <c r="BW20" s="182"/>
      <c r="BX20" s="90"/>
      <c r="BY20" s="90"/>
      <c r="BZ20" s="183">
        <f t="shared" si="13"/>
        <v>0</v>
      </c>
      <c r="CA20" s="182"/>
      <c r="CB20" s="90"/>
      <c r="CC20" s="90"/>
      <c r="CD20" s="183">
        <f t="shared" si="14"/>
        <v>0</v>
      </c>
    </row>
    <row r="21" spans="2:82" x14ac:dyDescent="0.3">
      <c r="B21" s="53"/>
      <c r="C21" s="53" t="str">
        <f t="shared" si="0"/>
        <v>CPU_IluminaçãoBSOeSAL</v>
      </c>
      <c r="D21" s="278">
        <f t="shared" si="1"/>
        <v>1</v>
      </c>
      <c r="E21" s="278">
        <f t="shared" si="2"/>
        <v>0</v>
      </c>
      <c r="F21" s="1"/>
      <c r="G21" s="28" t="str">
        <f>IFERROR(VLOOKUP(F21,Tabela7[[RECURSO]:[CUSTO]],2,FALSE),"")</f>
        <v/>
      </c>
      <c r="H21" s="92"/>
      <c r="I21" s="90"/>
      <c r="J21" s="45">
        <f>IFERROR(VLOOKUP(F21,Tabela7[[RECURSO]:[CUSTO]],3,FALSE),0)</f>
        <v>0</v>
      </c>
      <c r="K21" s="45">
        <f>I21*J21*CPU_41[[#This Row],[Nº]]</f>
        <v>0</v>
      </c>
      <c r="M21" s="31"/>
      <c r="N21" s="297"/>
      <c r="O21" s="60">
        <f t="shared" si="15"/>
        <v>0</v>
      </c>
      <c r="AD21" s="144" t="str">
        <f t="shared" si="3"/>
        <v>Iluminação BSO e SAL</v>
      </c>
      <c r="AE21" s="179"/>
      <c r="AF21" s="180">
        <f t="shared" si="16"/>
        <v>0</v>
      </c>
      <c r="AG21" s="180">
        <f t="shared" si="17"/>
        <v>0</v>
      </c>
      <c r="AH21" s="181">
        <f t="shared" si="18"/>
        <v>0</v>
      </c>
      <c r="AI21" s="182"/>
      <c r="AJ21" s="90"/>
      <c r="AK21" s="90"/>
      <c r="AL21" s="183">
        <f t="shared" si="19"/>
        <v>0</v>
      </c>
      <c r="AM21" s="182"/>
      <c r="AN21" s="90"/>
      <c r="AO21" s="90"/>
      <c r="AP21" s="183">
        <f t="shared" si="4"/>
        <v>0</v>
      </c>
      <c r="AQ21" s="182"/>
      <c r="AR21" s="90"/>
      <c r="AS21" s="90"/>
      <c r="AT21" s="183">
        <f t="shared" si="5"/>
        <v>0</v>
      </c>
      <c r="AU21" s="182"/>
      <c r="AV21" s="90"/>
      <c r="AW21" s="90"/>
      <c r="AX21" s="183">
        <f t="shared" si="6"/>
        <v>0</v>
      </c>
      <c r="AY21" s="182"/>
      <c r="AZ21" s="90"/>
      <c r="BA21" s="90"/>
      <c r="BB21" s="183">
        <f t="shared" si="7"/>
        <v>0</v>
      </c>
      <c r="BC21" s="182"/>
      <c r="BD21" s="90"/>
      <c r="BE21" s="90"/>
      <c r="BF21" s="183">
        <f t="shared" si="8"/>
        <v>0</v>
      </c>
      <c r="BG21" s="182"/>
      <c r="BH21" s="90"/>
      <c r="BI21" s="90"/>
      <c r="BJ21" s="183">
        <f t="shared" si="9"/>
        <v>0</v>
      </c>
      <c r="BK21" s="182"/>
      <c r="BL21" s="90"/>
      <c r="BM21" s="90"/>
      <c r="BN21" s="183">
        <f t="shared" si="10"/>
        <v>0</v>
      </c>
      <c r="BO21" s="182"/>
      <c r="BP21" s="90"/>
      <c r="BQ21" s="90"/>
      <c r="BR21" s="183">
        <f t="shared" si="11"/>
        <v>0</v>
      </c>
      <c r="BS21" s="182"/>
      <c r="BT21" s="90"/>
      <c r="BU21" s="90"/>
      <c r="BV21" s="183">
        <f t="shared" si="12"/>
        <v>0</v>
      </c>
      <c r="BW21" s="182"/>
      <c r="BX21" s="90"/>
      <c r="BY21" s="90"/>
      <c r="BZ21" s="183">
        <f t="shared" si="13"/>
        <v>0</v>
      </c>
      <c r="CA21" s="182"/>
      <c r="CB21" s="90"/>
      <c r="CC21" s="90"/>
      <c r="CD21" s="183">
        <f t="shared" si="14"/>
        <v>0</v>
      </c>
    </row>
    <row r="22" spans="2:82" x14ac:dyDescent="0.3">
      <c r="B22" s="53"/>
      <c r="C22" s="53" t="str">
        <f t="shared" si="0"/>
        <v>CPU_IluminaçãoBSOeSAL</v>
      </c>
      <c r="D22" s="278">
        <f t="shared" si="1"/>
        <v>1</v>
      </c>
      <c r="E22" s="278">
        <f t="shared" si="2"/>
        <v>0</v>
      </c>
      <c r="F22" s="1"/>
      <c r="G22" s="28" t="str">
        <f>IFERROR(VLOOKUP(F22,Tabela7[[RECURSO]:[CUSTO]],2,FALSE),"")</f>
        <v/>
      </c>
      <c r="H22" s="92"/>
      <c r="I22" s="90"/>
      <c r="J22" s="45">
        <f>IFERROR(VLOOKUP(F22,Tabela7[[RECURSO]:[CUSTO]],3,FALSE),0)</f>
        <v>0</v>
      </c>
      <c r="K22" s="45">
        <f>I22*J22*CPU_41[[#This Row],[Nº]]</f>
        <v>0</v>
      </c>
      <c r="M22" s="31"/>
      <c r="N22" s="297"/>
      <c r="O22" s="60">
        <f t="shared" si="15"/>
        <v>0</v>
      </c>
      <c r="AD22" s="144" t="str">
        <f t="shared" si="3"/>
        <v>Iluminação BSO e SAL</v>
      </c>
      <c r="AE22" s="179"/>
      <c r="AF22" s="180">
        <f t="shared" si="16"/>
        <v>0</v>
      </c>
      <c r="AG22" s="180">
        <f t="shared" si="17"/>
        <v>0</v>
      </c>
      <c r="AH22" s="181">
        <f t="shared" si="18"/>
        <v>0</v>
      </c>
      <c r="AI22" s="182"/>
      <c r="AJ22" s="90"/>
      <c r="AK22" s="90"/>
      <c r="AL22" s="183">
        <f t="shared" si="19"/>
        <v>0</v>
      </c>
      <c r="AM22" s="182"/>
      <c r="AN22" s="90"/>
      <c r="AO22" s="90"/>
      <c r="AP22" s="183">
        <f t="shared" si="4"/>
        <v>0</v>
      </c>
      <c r="AQ22" s="182"/>
      <c r="AR22" s="90"/>
      <c r="AS22" s="90"/>
      <c r="AT22" s="183">
        <f t="shared" si="5"/>
        <v>0</v>
      </c>
      <c r="AU22" s="182"/>
      <c r="AV22" s="90"/>
      <c r="AW22" s="90"/>
      <c r="AX22" s="183">
        <f t="shared" si="6"/>
        <v>0</v>
      </c>
      <c r="AY22" s="182"/>
      <c r="AZ22" s="90"/>
      <c r="BA22" s="90"/>
      <c r="BB22" s="183">
        <f t="shared" si="7"/>
        <v>0</v>
      </c>
      <c r="BC22" s="182"/>
      <c r="BD22" s="90"/>
      <c r="BE22" s="90"/>
      <c r="BF22" s="183">
        <f t="shared" si="8"/>
        <v>0</v>
      </c>
      <c r="BG22" s="182"/>
      <c r="BH22" s="90"/>
      <c r="BI22" s="90"/>
      <c r="BJ22" s="183">
        <f t="shared" si="9"/>
        <v>0</v>
      </c>
      <c r="BK22" s="182"/>
      <c r="BL22" s="90"/>
      <c r="BM22" s="90"/>
      <c r="BN22" s="183">
        <f t="shared" si="10"/>
        <v>0</v>
      </c>
      <c r="BO22" s="182"/>
      <c r="BP22" s="90"/>
      <c r="BQ22" s="90"/>
      <c r="BR22" s="183">
        <f t="shared" si="11"/>
        <v>0</v>
      </c>
      <c r="BS22" s="182"/>
      <c r="BT22" s="90"/>
      <c r="BU22" s="90"/>
      <c r="BV22" s="183">
        <f t="shared" si="12"/>
        <v>0</v>
      </c>
      <c r="BW22" s="182"/>
      <c r="BX22" s="90"/>
      <c r="BY22" s="90"/>
      <c r="BZ22" s="183">
        <f t="shared" si="13"/>
        <v>0</v>
      </c>
      <c r="CA22" s="182"/>
      <c r="CB22" s="90"/>
      <c r="CC22" s="90"/>
      <c r="CD22" s="183">
        <f t="shared" si="14"/>
        <v>0</v>
      </c>
    </row>
    <row r="23" spans="2:82" ht="15" thickBot="1" x14ac:dyDescent="0.35">
      <c r="B23" s="53"/>
      <c r="C23" s="53" t="str">
        <f t="shared" si="0"/>
        <v>CPU_IluminaçãoBSOeSAL</v>
      </c>
      <c r="D23" s="278">
        <f t="shared" si="1"/>
        <v>1</v>
      </c>
      <c r="E23" s="278">
        <f t="shared" si="2"/>
        <v>0</v>
      </c>
      <c r="F23" s="1"/>
      <c r="G23" s="28" t="str">
        <f>IFERROR(VLOOKUP(F23,Tabela7[[RECURSO]:[CUSTO]],2,FALSE),"")</f>
        <v/>
      </c>
      <c r="H23" s="92"/>
      <c r="I23" s="90"/>
      <c r="J23" s="45">
        <f>IFERROR(VLOOKUP(F23,Tabela7[[RECURSO]:[CUSTO]],3,FALSE),0)</f>
        <v>0</v>
      </c>
      <c r="K23" s="45">
        <f>I23*J23*CPU_41[[#This Row],[Nº]]</f>
        <v>0</v>
      </c>
      <c r="M23" s="51"/>
      <c r="N23" s="298"/>
      <c r="O23" s="61">
        <f t="shared" si="15"/>
        <v>0</v>
      </c>
      <c r="AD23" s="144" t="str">
        <f t="shared" si="3"/>
        <v>Iluminação BSO e SAL</v>
      </c>
      <c r="AE23" s="179"/>
      <c r="AF23" s="180">
        <f t="shared" si="16"/>
        <v>0</v>
      </c>
      <c r="AG23" s="180">
        <f t="shared" si="17"/>
        <v>0</v>
      </c>
      <c r="AH23" s="181">
        <f t="shared" si="18"/>
        <v>0</v>
      </c>
      <c r="AI23" s="182"/>
      <c r="AJ23" s="90"/>
      <c r="AK23" s="90"/>
      <c r="AL23" s="183">
        <f t="shared" si="19"/>
        <v>0</v>
      </c>
      <c r="AM23" s="182"/>
      <c r="AN23" s="90"/>
      <c r="AO23" s="90"/>
      <c r="AP23" s="183">
        <f t="shared" si="4"/>
        <v>0</v>
      </c>
      <c r="AQ23" s="182"/>
      <c r="AR23" s="90"/>
      <c r="AS23" s="90"/>
      <c r="AT23" s="183">
        <f t="shared" si="5"/>
        <v>0</v>
      </c>
      <c r="AU23" s="182"/>
      <c r="AV23" s="90"/>
      <c r="AW23" s="90"/>
      <c r="AX23" s="183">
        <f t="shared" si="6"/>
        <v>0</v>
      </c>
      <c r="AY23" s="182"/>
      <c r="AZ23" s="90"/>
      <c r="BA23" s="90"/>
      <c r="BB23" s="183">
        <f t="shared" si="7"/>
        <v>0</v>
      </c>
      <c r="BC23" s="182"/>
      <c r="BD23" s="90"/>
      <c r="BE23" s="90"/>
      <c r="BF23" s="183">
        <f t="shared" si="8"/>
        <v>0</v>
      </c>
      <c r="BG23" s="182"/>
      <c r="BH23" s="90"/>
      <c r="BI23" s="90"/>
      <c r="BJ23" s="183">
        <f t="shared" si="9"/>
        <v>0</v>
      </c>
      <c r="BK23" s="182"/>
      <c r="BL23" s="90"/>
      <c r="BM23" s="90"/>
      <c r="BN23" s="183">
        <f t="shared" si="10"/>
        <v>0</v>
      </c>
      <c r="BO23" s="182"/>
      <c r="BP23" s="90"/>
      <c r="BQ23" s="90"/>
      <c r="BR23" s="183">
        <f t="shared" si="11"/>
        <v>0</v>
      </c>
      <c r="BS23" s="182"/>
      <c r="BT23" s="90"/>
      <c r="BU23" s="90"/>
      <c r="BV23" s="183">
        <f t="shared" si="12"/>
        <v>0</v>
      </c>
      <c r="BW23" s="182"/>
      <c r="BX23" s="90"/>
      <c r="BY23" s="90"/>
      <c r="BZ23" s="183">
        <f t="shared" si="13"/>
        <v>0</v>
      </c>
      <c r="CA23" s="182"/>
      <c r="CB23" s="90"/>
      <c r="CC23" s="90"/>
      <c r="CD23" s="183">
        <f t="shared" si="14"/>
        <v>0</v>
      </c>
    </row>
    <row r="24" spans="2:82" x14ac:dyDescent="0.3">
      <c r="B24" s="52" t="s">
        <v>686</v>
      </c>
      <c r="C24" s="52" t="str">
        <f t="shared" si="0"/>
        <v>CPU_IluminaçãoBSOeSAL</v>
      </c>
      <c r="D24" s="277">
        <f t="shared" si="1"/>
        <v>1</v>
      </c>
      <c r="E24" s="277">
        <f t="shared" si="2"/>
        <v>0</v>
      </c>
      <c r="F24" s="37"/>
      <c r="G24" s="38"/>
      <c r="H24" s="91"/>
      <c r="I24" s="40"/>
      <c r="J24" s="40">
        <f>IFERROR(K24/$B$6,0)</f>
        <v>0</v>
      </c>
      <c r="K24" s="40">
        <f>SUM(K25:K36)</f>
        <v>0</v>
      </c>
      <c r="AD24" s="144" t="str">
        <f t="shared" si="3"/>
        <v>Iluminação BSO e SAL</v>
      </c>
      <c r="AE24" s="184"/>
      <c r="AF24" s="40"/>
      <c r="AG24" s="40">
        <f>IFERROR(AH24/AF$3,0)</f>
        <v>0</v>
      </c>
      <c r="AH24" s="185">
        <f>SUM(AH25:AH36)</f>
        <v>0</v>
      </c>
      <c r="AI24" s="184"/>
      <c r="AJ24" s="40"/>
      <c r="AK24" s="40">
        <f>IFERROR(AL24/AJ$3,0)</f>
        <v>0</v>
      </c>
      <c r="AL24" s="185">
        <f>SUM(AL25:AL36)</f>
        <v>0</v>
      </c>
      <c r="AM24" s="184"/>
      <c r="AN24" s="40"/>
      <c r="AO24" s="40">
        <f>IFERROR(AP24/AN$3,0)</f>
        <v>0</v>
      </c>
      <c r="AP24" s="185">
        <f>SUM(AP25:AP36)</f>
        <v>0</v>
      </c>
      <c r="AQ24" s="184"/>
      <c r="AR24" s="40"/>
      <c r="AS24" s="40">
        <f>IFERROR(AT24/AR$3,0)</f>
        <v>0</v>
      </c>
      <c r="AT24" s="185">
        <f>SUM(AT25:AT36)</f>
        <v>0</v>
      </c>
      <c r="AU24" s="184"/>
      <c r="AV24" s="40"/>
      <c r="AW24" s="40">
        <f>IFERROR(AX24/AV$3,0)</f>
        <v>0</v>
      </c>
      <c r="AX24" s="185">
        <f>SUM(AX25:AX36)</f>
        <v>0</v>
      </c>
      <c r="AY24" s="184"/>
      <c r="AZ24" s="40"/>
      <c r="BA24" s="40">
        <f>IFERROR(BB24/AZ$3,0)</f>
        <v>0</v>
      </c>
      <c r="BB24" s="185">
        <f>SUM(BB25:BB36)</f>
        <v>0</v>
      </c>
      <c r="BC24" s="184"/>
      <c r="BD24" s="40"/>
      <c r="BE24" s="40">
        <f>IFERROR(BF24/BD$3,0)</f>
        <v>0</v>
      </c>
      <c r="BF24" s="185">
        <f>SUM(BF25:BF36)</f>
        <v>0</v>
      </c>
      <c r="BG24" s="184"/>
      <c r="BH24" s="40"/>
      <c r="BI24" s="40">
        <f>IFERROR(BJ24/BH$3,0)</f>
        <v>0</v>
      </c>
      <c r="BJ24" s="185">
        <f>SUM(BJ25:BJ36)</f>
        <v>0</v>
      </c>
      <c r="BK24" s="184"/>
      <c r="BL24" s="40"/>
      <c r="BM24" s="40">
        <f>IFERROR(BN24/BL$3,0)</f>
        <v>0</v>
      </c>
      <c r="BN24" s="185">
        <f>SUM(BN25:BN36)</f>
        <v>0</v>
      </c>
      <c r="BO24" s="184"/>
      <c r="BP24" s="40"/>
      <c r="BQ24" s="40">
        <f>IFERROR(BR24/BP$3,0)</f>
        <v>0</v>
      </c>
      <c r="BR24" s="185">
        <f>SUM(BR25:BR36)</f>
        <v>0</v>
      </c>
      <c r="BS24" s="184"/>
      <c r="BT24" s="40"/>
      <c r="BU24" s="40">
        <f>IFERROR(BV24/BT$3,0)</f>
        <v>0</v>
      </c>
      <c r="BV24" s="185">
        <f>SUM(BV25:BV36)</f>
        <v>0</v>
      </c>
      <c r="BW24" s="184"/>
      <c r="BX24" s="40"/>
      <c r="BY24" s="40">
        <f>IFERROR(BZ24/BX$3,0)</f>
        <v>0</v>
      </c>
      <c r="BZ24" s="185">
        <f>SUM(BZ25:BZ36)</f>
        <v>0</v>
      </c>
      <c r="CA24" s="184"/>
      <c r="CB24" s="40"/>
      <c r="CC24" s="40">
        <f>IFERROR(CD24/CB$3,0)</f>
        <v>0</v>
      </c>
      <c r="CD24" s="185">
        <f>SUM(CD25:CD36)</f>
        <v>0</v>
      </c>
    </row>
    <row r="25" spans="2:82" x14ac:dyDescent="0.3">
      <c r="B25" s="53"/>
      <c r="C25" s="53" t="str">
        <f t="shared" si="0"/>
        <v>CPU_IluminaçãoBSOeSAL</v>
      </c>
      <c r="D25" s="278">
        <f t="shared" si="1"/>
        <v>1</v>
      </c>
      <c r="E25" s="278">
        <f t="shared" si="2"/>
        <v>0</v>
      </c>
      <c r="F25" s="1"/>
      <c r="G25" s="28" t="str">
        <f>IFERROR(VLOOKUP(F25,Tabela7[[RECURSO]:[CUSTO]],2,FALSE),"")</f>
        <v/>
      </c>
      <c r="H25" s="93"/>
      <c r="I25" s="90">
        <f>IFERROR(SUMPRODUCT(I12:I23,M12:M23,H12:H23,N12:N23),0)</f>
        <v>0</v>
      </c>
      <c r="J25" s="45">
        <f>IFERROR(VLOOKUP(F25,Tabela7[[RECURSO]:[CUSTO]],3,FALSE),0)</f>
        <v>0</v>
      </c>
      <c r="K25" s="45">
        <f>I25*J25</f>
        <v>0</v>
      </c>
      <c r="AD25" s="144" t="str">
        <f t="shared" si="3"/>
        <v>Iluminação BSO e SAL</v>
      </c>
      <c r="AE25" s="179"/>
      <c r="AF25" s="180">
        <f t="shared" ref="AF25:AF36" si="20">AJ25+AN25+AR25+AV25+AZ25+BD25+BH25+BL25+BP25+BT25+BX25+CB25</f>
        <v>0</v>
      </c>
      <c r="AG25" s="180">
        <f t="shared" si="17"/>
        <v>0</v>
      </c>
      <c r="AH25" s="181">
        <f t="shared" ref="AH25:AH36" si="21">AL25+AP25+AT25+AX25+BB25+BF25+BJ25+BN25+BR25+BV25+BZ25+CD25</f>
        <v>0</v>
      </c>
      <c r="AI25" s="182"/>
      <c r="AJ25" s="90"/>
      <c r="AK25" s="90"/>
      <c r="AL25" s="183">
        <f t="shared" ref="AL25:AL36" si="22">AJ25*AK25</f>
        <v>0</v>
      </c>
      <c r="AM25" s="182"/>
      <c r="AN25" s="90"/>
      <c r="AO25" s="90"/>
      <c r="AP25" s="183">
        <f t="shared" ref="AP25:AP62" si="23">AN25*AO25</f>
        <v>0</v>
      </c>
      <c r="AQ25" s="182"/>
      <c r="AR25" s="90"/>
      <c r="AS25" s="90"/>
      <c r="AT25" s="183">
        <f t="shared" ref="AT25:AT62" si="24">AR25*AS25</f>
        <v>0</v>
      </c>
      <c r="AU25" s="182"/>
      <c r="AV25" s="90"/>
      <c r="AW25" s="90"/>
      <c r="AX25" s="183">
        <f t="shared" ref="AX25:AX62" si="25">AV25*AW25</f>
        <v>0</v>
      </c>
      <c r="AY25" s="182"/>
      <c r="AZ25" s="90"/>
      <c r="BA25" s="90"/>
      <c r="BB25" s="183">
        <f t="shared" ref="BB25:BB62" si="26">AZ25*BA25</f>
        <v>0</v>
      </c>
      <c r="BC25" s="182"/>
      <c r="BD25" s="90"/>
      <c r="BE25" s="90"/>
      <c r="BF25" s="183">
        <f t="shared" ref="BF25:BF62" si="27">BD25*BE25</f>
        <v>0</v>
      </c>
      <c r="BG25" s="182"/>
      <c r="BH25" s="90"/>
      <c r="BI25" s="90"/>
      <c r="BJ25" s="183">
        <f t="shared" ref="BJ25:BJ62" si="28">BH25*BI25</f>
        <v>0</v>
      </c>
      <c r="BK25" s="182"/>
      <c r="BL25" s="90"/>
      <c r="BM25" s="90"/>
      <c r="BN25" s="183">
        <f t="shared" ref="BN25:BN62" si="29">BL25*BM25</f>
        <v>0</v>
      </c>
      <c r="BO25" s="182"/>
      <c r="BP25" s="90"/>
      <c r="BQ25" s="90"/>
      <c r="BR25" s="183">
        <f t="shared" ref="BR25:BR62" si="30">BP25*BQ25</f>
        <v>0</v>
      </c>
      <c r="BS25" s="182"/>
      <c r="BT25" s="90"/>
      <c r="BU25" s="90"/>
      <c r="BV25" s="183">
        <f t="shared" ref="BV25:BV62" si="31">BT25*BU25</f>
        <v>0</v>
      </c>
      <c r="BW25" s="182"/>
      <c r="BX25" s="90"/>
      <c r="BY25" s="90"/>
      <c r="BZ25" s="183">
        <f t="shared" ref="BZ25:BZ62" si="32">BX25*BY25</f>
        <v>0</v>
      </c>
      <c r="CA25" s="182"/>
      <c r="CB25" s="90"/>
      <c r="CC25" s="90"/>
      <c r="CD25" s="183">
        <f t="shared" ref="CD25:CD62" si="33">CB25*CC25</f>
        <v>0</v>
      </c>
    </row>
    <row r="26" spans="2:82" x14ac:dyDescent="0.3">
      <c r="B26" s="53"/>
      <c r="C26" s="53" t="str">
        <f t="shared" si="0"/>
        <v>CPU_IluminaçãoBSOeSAL</v>
      </c>
      <c r="D26" s="278">
        <f t="shared" si="1"/>
        <v>1</v>
      </c>
      <c r="E26" s="278">
        <f t="shared" si="2"/>
        <v>0</v>
      </c>
      <c r="F26" s="1"/>
      <c r="G26" s="28" t="str">
        <f>IFERROR(VLOOKUP(F26,Tabela7[[RECURSO]:[CUSTO]],2,FALSE),"")</f>
        <v/>
      </c>
      <c r="H26" s="93"/>
      <c r="I26" s="90"/>
      <c r="J26" s="45">
        <f>IFERROR(VLOOKUP(F26,Tabela7[[RECURSO]:[CUSTO]],3,FALSE),0)</f>
        <v>0</v>
      </c>
      <c r="K26" s="45">
        <f t="shared" ref="K26:K36" si="34">I26*J26</f>
        <v>0</v>
      </c>
      <c r="AD26" s="144" t="str">
        <f t="shared" si="3"/>
        <v>Iluminação BSO e SAL</v>
      </c>
      <c r="AE26" s="179"/>
      <c r="AF26" s="180">
        <f t="shared" si="20"/>
        <v>0</v>
      </c>
      <c r="AG26" s="180">
        <f t="shared" si="17"/>
        <v>0</v>
      </c>
      <c r="AH26" s="181">
        <f t="shared" si="21"/>
        <v>0</v>
      </c>
      <c r="AI26" s="182"/>
      <c r="AJ26" s="90"/>
      <c r="AK26" s="90"/>
      <c r="AL26" s="183">
        <f t="shared" si="22"/>
        <v>0</v>
      </c>
      <c r="AM26" s="182"/>
      <c r="AN26" s="90"/>
      <c r="AO26" s="90"/>
      <c r="AP26" s="183">
        <f t="shared" si="23"/>
        <v>0</v>
      </c>
      <c r="AQ26" s="182"/>
      <c r="AR26" s="90"/>
      <c r="AS26" s="90"/>
      <c r="AT26" s="183">
        <f t="shared" si="24"/>
        <v>0</v>
      </c>
      <c r="AU26" s="182"/>
      <c r="AV26" s="90"/>
      <c r="AW26" s="90"/>
      <c r="AX26" s="183">
        <f t="shared" si="25"/>
        <v>0</v>
      </c>
      <c r="AY26" s="182"/>
      <c r="AZ26" s="90"/>
      <c r="BA26" s="90"/>
      <c r="BB26" s="183">
        <f t="shared" si="26"/>
        <v>0</v>
      </c>
      <c r="BC26" s="182"/>
      <c r="BD26" s="90"/>
      <c r="BE26" s="90"/>
      <c r="BF26" s="183">
        <f t="shared" si="27"/>
        <v>0</v>
      </c>
      <c r="BG26" s="182"/>
      <c r="BH26" s="90"/>
      <c r="BI26" s="90"/>
      <c r="BJ26" s="183">
        <f t="shared" si="28"/>
        <v>0</v>
      </c>
      <c r="BK26" s="182"/>
      <c r="BL26" s="90"/>
      <c r="BM26" s="90"/>
      <c r="BN26" s="183">
        <f t="shared" si="29"/>
        <v>0</v>
      </c>
      <c r="BO26" s="182"/>
      <c r="BP26" s="90"/>
      <c r="BQ26" s="90"/>
      <c r="BR26" s="183">
        <f t="shared" si="30"/>
        <v>0</v>
      </c>
      <c r="BS26" s="182"/>
      <c r="BT26" s="90"/>
      <c r="BU26" s="90"/>
      <c r="BV26" s="183">
        <f t="shared" si="31"/>
        <v>0</v>
      </c>
      <c r="BW26" s="182"/>
      <c r="BX26" s="90"/>
      <c r="BY26" s="90"/>
      <c r="BZ26" s="183">
        <f t="shared" si="32"/>
        <v>0</v>
      </c>
      <c r="CA26" s="182"/>
      <c r="CB26" s="90"/>
      <c r="CC26" s="90"/>
      <c r="CD26" s="183">
        <f t="shared" si="33"/>
        <v>0</v>
      </c>
    </row>
    <row r="27" spans="2:82" x14ac:dyDescent="0.3">
      <c r="B27" s="53"/>
      <c r="C27" s="53" t="str">
        <f t="shared" si="0"/>
        <v>CPU_IluminaçãoBSOeSAL</v>
      </c>
      <c r="D27" s="278">
        <f t="shared" si="1"/>
        <v>1</v>
      </c>
      <c r="E27" s="278">
        <f t="shared" si="2"/>
        <v>0</v>
      </c>
      <c r="F27" s="1"/>
      <c r="G27" s="28" t="str">
        <f>IFERROR(VLOOKUP(F27,Tabela7[[RECURSO]:[CUSTO]],2,FALSE),"")</f>
        <v/>
      </c>
      <c r="H27" s="93"/>
      <c r="I27" s="90"/>
      <c r="J27" s="45">
        <f>IFERROR(VLOOKUP(F27,Tabela7[[RECURSO]:[CUSTO]],3,FALSE),0)</f>
        <v>0</v>
      </c>
      <c r="K27" s="45">
        <f t="shared" si="34"/>
        <v>0</v>
      </c>
      <c r="AD27" s="144" t="str">
        <f t="shared" si="3"/>
        <v>Iluminação BSO e SAL</v>
      </c>
      <c r="AE27" s="179"/>
      <c r="AF27" s="180">
        <f t="shared" si="20"/>
        <v>0</v>
      </c>
      <c r="AG27" s="180">
        <f t="shared" si="17"/>
        <v>0</v>
      </c>
      <c r="AH27" s="181">
        <f t="shared" si="21"/>
        <v>0</v>
      </c>
      <c r="AI27" s="182"/>
      <c r="AJ27" s="90"/>
      <c r="AK27" s="90"/>
      <c r="AL27" s="183">
        <f t="shared" si="22"/>
        <v>0</v>
      </c>
      <c r="AM27" s="182"/>
      <c r="AN27" s="90"/>
      <c r="AO27" s="90"/>
      <c r="AP27" s="183">
        <f t="shared" si="23"/>
        <v>0</v>
      </c>
      <c r="AQ27" s="182"/>
      <c r="AR27" s="90"/>
      <c r="AS27" s="90"/>
      <c r="AT27" s="183">
        <f t="shared" si="24"/>
        <v>0</v>
      </c>
      <c r="AU27" s="182"/>
      <c r="AV27" s="90"/>
      <c r="AW27" s="90"/>
      <c r="AX27" s="183">
        <f t="shared" si="25"/>
        <v>0</v>
      </c>
      <c r="AY27" s="182"/>
      <c r="AZ27" s="90"/>
      <c r="BA27" s="90"/>
      <c r="BB27" s="183">
        <f t="shared" si="26"/>
        <v>0</v>
      </c>
      <c r="BC27" s="182"/>
      <c r="BD27" s="90"/>
      <c r="BE27" s="90"/>
      <c r="BF27" s="183">
        <f t="shared" si="27"/>
        <v>0</v>
      </c>
      <c r="BG27" s="182"/>
      <c r="BH27" s="90"/>
      <c r="BI27" s="90"/>
      <c r="BJ27" s="183">
        <f t="shared" si="28"/>
        <v>0</v>
      </c>
      <c r="BK27" s="182"/>
      <c r="BL27" s="90"/>
      <c r="BM27" s="90"/>
      <c r="BN27" s="183">
        <f t="shared" si="29"/>
        <v>0</v>
      </c>
      <c r="BO27" s="182"/>
      <c r="BP27" s="90"/>
      <c r="BQ27" s="90"/>
      <c r="BR27" s="183">
        <f t="shared" si="30"/>
        <v>0</v>
      </c>
      <c r="BS27" s="182"/>
      <c r="BT27" s="90"/>
      <c r="BU27" s="90"/>
      <c r="BV27" s="183">
        <f t="shared" si="31"/>
        <v>0</v>
      </c>
      <c r="BW27" s="182"/>
      <c r="BX27" s="90"/>
      <c r="BY27" s="90"/>
      <c r="BZ27" s="183">
        <f t="shared" si="32"/>
        <v>0</v>
      </c>
      <c r="CA27" s="182"/>
      <c r="CB27" s="90"/>
      <c r="CC27" s="90"/>
      <c r="CD27" s="183">
        <f t="shared" si="33"/>
        <v>0</v>
      </c>
    </row>
    <row r="28" spans="2:82" x14ac:dyDescent="0.3">
      <c r="B28" s="53"/>
      <c r="C28" s="53" t="str">
        <f t="shared" si="0"/>
        <v>CPU_IluminaçãoBSOeSAL</v>
      </c>
      <c r="D28" s="278">
        <f t="shared" si="1"/>
        <v>1</v>
      </c>
      <c r="E28" s="278">
        <f t="shared" si="2"/>
        <v>0</v>
      </c>
      <c r="F28" s="1"/>
      <c r="G28" s="28" t="str">
        <f>IFERROR(VLOOKUP(F28,Tabela7[[RECURSO]:[CUSTO]],2,FALSE),"")</f>
        <v/>
      </c>
      <c r="H28" s="93"/>
      <c r="I28" s="90"/>
      <c r="J28" s="45">
        <f>IFERROR(VLOOKUP(F28,Tabela7[[RECURSO]:[CUSTO]],3,FALSE),0)</f>
        <v>0</v>
      </c>
      <c r="K28" s="45">
        <f t="shared" si="34"/>
        <v>0</v>
      </c>
      <c r="AD28" s="144" t="str">
        <f t="shared" si="3"/>
        <v>Iluminação BSO e SAL</v>
      </c>
      <c r="AE28" s="179"/>
      <c r="AF28" s="180">
        <f t="shared" si="20"/>
        <v>0</v>
      </c>
      <c r="AG28" s="180">
        <f t="shared" si="17"/>
        <v>0</v>
      </c>
      <c r="AH28" s="181">
        <f t="shared" si="21"/>
        <v>0</v>
      </c>
      <c r="AI28" s="182"/>
      <c r="AJ28" s="90"/>
      <c r="AK28" s="90"/>
      <c r="AL28" s="183">
        <f t="shared" si="22"/>
        <v>0</v>
      </c>
      <c r="AM28" s="182"/>
      <c r="AN28" s="90"/>
      <c r="AO28" s="90"/>
      <c r="AP28" s="183">
        <f t="shared" si="23"/>
        <v>0</v>
      </c>
      <c r="AQ28" s="182"/>
      <c r="AR28" s="90"/>
      <c r="AS28" s="90"/>
      <c r="AT28" s="183">
        <f t="shared" si="24"/>
        <v>0</v>
      </c>
      <c r="AU28" s="182"/>
      <c r="AV28" s="90"/>
      <c r="AW28" s="90"/>
      <c r="AX28" s="183">
        <f t="shared" si="25"/>
        <v>0</v>
      </c>
      <c r="AY28" s="182"/>
      <c r="AZ28" s="90"/>
      <c r="BA28" s="90"/>
      <c r="BB28" s="183">
        <f t="shared" si="26"/>
        <v>0</v>
      </c>
      <c r="BC28" s="182"/>
      <c r="BD28" s="90"/>
      <c r="BE28" s="90"/>
      <c r="BF28" s="183">
        <f t="shared" si="27"/>
        <v>0</v>
      </c>
      <c r="BG28" s="182"/>
      <c r="BH28" s="90"/>
      <c r="BI28" s="90"/>
      <c r="BJ28" s="183">
        <f t="shared" si="28"/>
        <v>0</v>
      </c>
      <c r="BK28" s="182"/>
      <c r="BL28" s="90"/>
      <c r="BM28" s="90"/>
      <c r="BN28" s="183">
        <f t="shared" si="29"/>
        <v>0</v>
      </c>
      <c r="BO28" s="182"/>
      <c r="BP28" s="90"/>
      <c r="BQ28" s="90"/>
      <c r="BR28" s="183">
        <f t="shared" si="30"/>
        <v>0</v>
      </c>
      <c r="BS28" s="182"/>
      <c r="BT28" s="90"/>
      <c r="BU28" s="90"/>
      <c r="BV28" s="183">
        <f t="shared" si="31"/>
        <v>0</v>
      </c>
      <c r="BW28" s="182"/>
      <c r="BX28" s="90"/>
      <c r="BY28" s="90"/>
      <c r="BZ28" s="183">
        <f t="shared" si="32"/>
        <v>0</v>
      </c>
      <c r="CA28" s="182"/>
      <c r="CB28" s="90"/>
      <c r="CC28" s="90"/>
      <c r="CD28" s="183">
        <f t="shared" si="33"/>
        <v>0</v>
      </c>
    </row>
    <row r="29" spans="2:82" x14ac:dyDescent="0.3">
      <c r="B29" s="53"/>
      <c r="C29" s="53" t="str">
        <f t="shared" si="0"/>
        <v>CPU_IluminaçãoBSOeSAL</v>
      </c>
      <c r="D29" s="278">
        <f t="shared" si="1"/>
        <v>1</v>
      </c>
      <c r="E29" s="278">
        <f t="shared" si="2"/>
        <v>0</v>
      </c>
      <c r="F29" s="1"/>
      <c r="G29" s="28" t="str">
        <f>IFERROR(VLOOKUP(F29,Tabela7[[RECURSO]:[CUSTO]],2,FALSE),"")</f>
        <v/>
      </c>
      <c r="H29" s="93"/>
      <c r="I29" s="90"/>
      <c r="J29" s="45">
        <f>IFERROR(VLOOKUP(F29,Tabela7[[RECURSO]:[CUSTO]],3,FALSE),0)</f>
        <v>0</v>
      </c>
      <c r="K29" s="45">
        <f t="shared" si="34"/>
        <v>0</v>
      </c>
      <c r="AD29" s="144" t="str">
        <f t="shared" si="3"/>
        <v>Iluminação BSO e SAL</v>
      </c>
      <c r="AE29" s="179"/>
      <c r="AF29" s="180">
        <f t="shared" si="20"/>
        <v>0</v>
      </c>
      <c r="AG29" s="180">
        <f t="shared" si="17"/>
        <v>0</v>
      </c>
      <c r="AH29" s="181">
        <f t="shared" si="21"/>
        <v>0</v>
      </c>
      <c r="AI29" s="182"/>
      <c r="AJ29" s="90"/>
      <c r="AK29" s="90"/>
      <c r="AL29" s="183">
        <f t="shared" si="22"/>
        <v>0</v>
      </c>
      <c r="AM29" s="182"/>
      <c r="AN29" s="90"/>
      <c r="AO29" s="90"/>
      <c r="AP29" s="183">
        <f t="shared" si="23"/>
        <v>0</v>
      </c>
      <c r="AQ29" s="182"/>
      <c r="AR29" s="90"/>
      <c r="AS29" s="90"/>
      <c r="AT29" s="183">
        <f t="shared" si="24"/>
        <v>0</v>
      </c>
      <c r="AU29" s="182"/>
      <c r="AV29" s="90"/>
      <c r="AW29" s="90"/>
      <c r="AX29" s="183">
        <f t="shared" si="25"/>
        <v>0</v>
      </c>
      <c r="AY29" s="182"/>
      <c r="AZ29" s="90"/>
      <c r="BA29" s="90"/>
      <c r="BB29" s="183">
        <f t="shared" si="26"/>
        <v>0</v>
      </c>
      <c r="BC29" s="182"/>
      <c r="BD29" s="90"/>
      <c r="BE29" s="90"/>
      <c r="BF29" s="183">
        <f t="shared" si="27"/>
        <v>0</v>
      </c>
      <c r="BG29" s="182"/>
      <c r="BH29" s="90"/>
      <c r="BI29" s="90"/>
      <c r="BJ29" s="183">
        <f t="shared" si="28"/>
        <v>0</v>
      </c>
      <c r="BK29" s="182"/>
      <c r="BL29" s="90"/>
      <c r="BM29" s="90"/>
      <c r="BN29" s="183">
        <f t="shared" si="29"/>
        <v>0</v>
      </c>
      <c r="BO29" s="182"/>
      <c r="BP29" s="90"/>
      <c r="BQ29" s="90"/>
      <c r="BR29" s="183">
        <f t="shared" si="30"/>
        <v>0</v>
      </c>
      <c r="BS29" s="182"/>
      <c r="BT29" s="90"/>
      <c r="BU29" s="90"/>
      <c r="BV29" s="183">
        <f t="shared" si="31"/>
        <v>0</v>
      </c>
      <c r="BW29" s="182"/>
      <c r="BX29" s="90"/>
      <c r="BY29" s="90"/>
      <c r="BZ29" s="183">
        <f t="shared" si="32"/>
        <v>0</v>
      </c>
      <c r="CA29" s="182"/>
      <c r="CB29" s="90"/>
      <c r="CC29" s="90"/>
      <c r="CD29" s="183">
        <f t="shared" si="33"/>
        <v>0</v>
      </c>
    </row>
    <row r="30" spans="2:82" x14ac:dyDescent="0.3">
      <c r="B30" s="53"/>
      <c r="C30" s="53" t="str">
        <f t="shared" si="0"/>
        <v>CPU_IluminaçãoBSOeSAL</v>
      </c>
      <c r="D30" s="278">
        <f t="shared" si="1"/>
        <v>1</v>
      </c>
      <c r="E30" s="278">
        <f t="shared" si="2"/>
        <v>0</v>
      </c>
      <c r="F30" s="1"/>
      <c r="G30" s="28" t="str">
        <f>IFERROR(VLOOKUP(F30,Tabela7[[RECURSO]:[CUSTO]],2,FALSE),"")</f>
        <v/>
      </c>
      <c r="H30" s="93"/>
      <c r="I30" s="90"/>
      <c r="J30" s="45">
        <f>IFERROR(VLOOKUP(F30,Tabela7[[RECURSO]:[CUSTO]],3,FALSE),0)</f>
        <v>0</v>
      </c>
      <c r="K30" s="45">
        <f t="shared" si="34"/>
        <v>0</v>
      </c>
      <c r="AD30" s="144" t="str">
        <f t="shared" si="3"/>
        <v>Iluminação BSO e SAL</v>
      </c>
      <c r="AE30" s="179"/>
      <c r="AF30" s="180">
        <f t="shared" si="20"/>
        <v>0</v>
      </c>
      <c r="AG30" s="180">
        <f t="shared" si="17"/>
        <v>0</v>
      </c>
      <c r="AH30" s="181">
        <f t="shared" si="21"/>
        <v>0</v>
      </c>
      <c r="AI30" s="182"/>
      <c r="AJ30" s="90"/>
      <c r="AK30" s="90"/>
      <c r="AL30" s="183">
        <f t="shared" si="22"/>
        <v>0</v>
      </c>
      <c r="AM30" s="182"/>
      <c r="AN30" s="90"/>
      <c r="AO30" s="90"/>
      <c r="AP30" s="183">
        <f t="shared" si="23"/>
        <v>0</v>
      </c>
      <c r="AQ30" s="182"/>
      <c r="AR30" s="90"/>
      <c r="AS30" s="90"/>
      <c r="AT30" s="183">
        <f t="shared" si="24"/>
        <v>0</v>
      </c>
      <c r="AU30" s="182"/>
      <c r="AV30" s="90"/>
      <c r="AW30" s="90"/>
      <c r="AX30" s="183">
        <f t="shared" si="25"/>
        <v>0</v>
      </c>
      <c r="AY30" s="182"/>
      <c r="AZ30" s="90"/>
      <c r="BA30" s="90"/>
      <c r="BB30" s="183">
        <f t="shared" si="26"/>
        <v>0</v>
      </c>
      <c r="BC30" s="182"/>
      <c r="BD30" s="90"/>
      <c r="BE30" s="90"/>
      <c r="BF30" s="183">
        <f t="shared" si="27"/>
        <v>0</v>
      </c>
      <c r="BG30" s="182"/>
      <c r="BH30" s="90"/>
      <c r="BI30" s="90"/>
      <c r="BJ30" s="183">
        <f t="shared" si="28"/>
        <v>0</v>
      </c>
      <c r="BK30" s="182"/>
      <c r="BL30" s="90"/>
      <c r="BM30" s="90"/>
      <c r="BN30" s="183">
        <f t="shared" si="29"/>
        <v>0</v>
      </c>
      <c r="BO30" s="182"/>
      <c r="BP30" s="90"/>
      <c r="BQ30" s="90"/>
      <c r="BR30" s="183">
        <f t="shared" si="30"/>
        <v>0</v>
      </c>
      <c r="BS30" s="182"/>
      <c r="BT30" s="90"/>
      <c r="BU30" s="90"/>
      <c r="BV30" s="183">
        <f t="shared" si="31"/>
        <v>0</v>
      </c>
      <c r="BW30" s="182"/>
      <c r="BX30" s="90"/>
      <c r="BY30" s="90"/>
      <c r="BZ30" s="183">
        <f t="shared" si="32"/>
        <v>0</v>
      </c>
      <c r="CA30" s="182"/>
      <c r="CB30" s="90"/>
      <c r="CC30" s="90"/>
      <c r="CD30" s="183">
        <f t="shared" si="33"/>
        <v>0</v>
      </c>
    </row>
    <row r="31" spans="2:82" x14ac:dyDescent="0.3">
      <c r="B31" s="53"/>
      <c r="C31" s="53" t="str">
        <f t="shared" si="0"/>
        <v>CPU_IluminaçãoBSOeSAL</v>
      </c>
      <c r="D31" s="278">
        <f t="shared" si="1"/>
        <v>1</v>
      </c>
      <c r="E31" s="278">
        <f t="shared" si="2"/>
        <v>0</v>
      </c>
      <c r="F31" s="1"/>
      <c r="G31" s="28" t="str">
        <f>IFERROR(VLOOKUP(F31,Tabela7[[RECURSO]:[CUSTO]],2,FALSE),"")</f>
        <v/>
      </c>
      <c r="H31" s="93"/>
      <c r="I31" s="90"/>
      <c r="J31" s="45">
        <f>IFERROR(VLOOKUP(F31,Tabela7[[RECURSO]:[CUSTO]],3,FALSE),0)</f>
        <v>0</v>
      </c>
      <c r="K31" s="45">
        <f t="shared" si="34"/>
        <v>0</v>
      </c>
      <c r="AD31" s="144" t="str">
        <f t="shared" si="3"/>
        <v>Iluminação BSO e SAL</v>
      </c>
      <c r="AE31" s="179"/>
      <c r="AF31" s="180">
        <f t="shared" si="20"/>
        <v>0</v>
      </c>
      <c r="AG31" s="180">
        <f t="shared" si="17"/>
        <v>0</v>
      </c>
      <c r="AH31" s="181">
        <f t="shared" si="21"/>
        <v>0</v>
      </c>
      <c r="AI31" s="182"/>
      <c r="AJ31" s="90"/>
      <c r="AK31" s="90"/>
      <c r="AL31" s="183">
        <f t="shared" si="22"/>
        <v>0</v>
      </c>
      <c r="AM31" s="182"/>
      <c r="AN31" s="90"/>
      <c r="AO31" s="90"/>
      <c r="AP31" s="183">
        <f t="shared" si="23"/>
        <v>0</v>
      </c>
      <c r="AQ31" s="182"/>
      <c r="AR31" s="90"/>
      <c r="AS31" s="90"/>
      <c r="AT31" s="183">
        <f t="shared" si="24"/>
        <v>0</v>
      </c>
      <c r="AU31" s="182"/>
      <c r="AV31" s="90"/>
      <c r="AW31" s="90"/>
      <c r="AX31" s="183">
        <f t="shared" si="25"/>
        <v>0</v>
      </c>
      <c r="AY31" s="182"/>
      <c r="AZ31" s="90"/>
      <c r="BA31" s="90"/>
      <c r="BB31" s="183">
        <f t="shared" si="26"/>
        <v>0</v>
      </c>
      <c r="BC31" s="182"/>
      <c r="BD31" s="90"/>
      <c r="BE31" s="90"/>
      <c r="BF31" s="183">
        <f t="shared" si="27"/>
        <v>0</v>
      </c>
      <c r="BG31" s="182"/>
      <c r="BH31" s="90"/>
      <c r="BI31" s="90"/>
      <c r="BJ31" s="183">
        <f t="shared" si="28"/>
        <v>0</v>
      </c>
      <c r="BK31" s="182"/>
      <c r="BL31" s="90"/>
      <c r="BM31" s="90"/>
      <c r="BN31" s="183">
        <f t="shared" si="29"/>
        <v>0</v>
      </c>
      <c r="BO31" s="182"/>
      <c r="BP31" s="90"/>
      <c r="BQ31" s="90"/>
      <c r="BR31" s="183">
        <f t="shared" si="30"/>
        <v>0</v>
      </c>
      <c r="BS31" s="182"/>
      <c r="BT31" s="90"/>
      <c r="BU31" s="90"/>
      <c r="BV31" s="183">
        <f t="shared" si="31"/>
        <v>0</v>
      </c>
      <c r="BW31" s="182"/>
      <c r="BX31" s="90"/>
      <c r="BY31" s="90"/>
      <c r="BZ31" s="183">
        <f t="shared" si="32"/>
        <v>0</v>
      </c>
      <c r="CA31" s="182"/>
      <c r="CB31" s="90"/>
      <c r="CC31" s="90"/>
      <c r="CD31" s="183">
        <f t="shared" si="33"/>
        <v>0</v>
      </c>
    </row>
    <row r="32" spans="2:82" x14ac:dyDescent="0.3">
      <c r="B32" s="53"/>
      <c r="C32" s="53" t="str">
        <f t="shared" si="0"/>
        <v>CPU_IluminaçãoBSOeSAL</v>
      </c>
      <c r="D32" s="278">
        <f t="shared" si="1"/>
        <v>1</v>
      </c>
      <c r="E32" s="278">
        <f t="shared" si="2"/>
        <v>0</v>
      </c>
      <c r="F32" s="1"/>
      <c r="G32" s="28" t="str">
        <f>IFERROR(VLOOKUP(F32,Tabela7[[RECURSO]:[CUSTO]],2,FALSE),"")</f>
        <v/>
      </c>
      <c r="H32" s="93"/>
      <c r="I32" s="90"/>
      <c r="J32" s="45">
        <f>IFERROR(VLOOKUP(F32,Tabela7[[RECURSO]:[CUSTO]],3,FALSE),0)</f>
        <v>0</v>
      </c>
      <c r="K32" s="45">
        <f t="shared" si="34"/>
        <v>0</v>
      </c>
      <c r="AD32" s="144" t="str">
        <f t="shared" si="3"/>
        <v>Iluminação BSO e SAL</v>
      </c>
      <c r="AE32" s="179"/>
      <c r="AF32" s="180">
        <f t="shared" si="20"/>
        <v>0</v>
      </c>
      <c r="AG32" s="180">
        <f t="shared" si="17"/>
        <v>0</v>
      </c>
      <c r="AH32" s="181">
        <f t="shared" si="21"/>
        <v>0</v>
      </c>
      <c r="AI32" s="182"/>
      <c r="AJ32" s="90"/>
      <c r="AK32" s="90"/>
      <c r="AL32" s="183">
        <f t="shared" si="22"/>
        <v>0</v>
      </c>
      <c r="AM32" s="182"/>
      <c r="AN32" s="90"/>
      <c r="AO32" s="90"/>
      <c r="AP32" s="183">
        <f t="shared" si="23"/>
        <v>0</v>
      </c>
      <c r="AQ32" s="182"/>
      <c r="AR32" s="90"/>
      <c r="AS32" s="90"/>
      <c r="AT32" s="183">
        <f t="shared" si="24"/>
        <v>0</v>
      </c>
      <c r="AU32" s="182"/>
      <c r="AV32" s="90"/>
      <c r="AW32" s="90"/>
      <c r="AX32" s="183">
        <f t="shared" si="25"/>
        <v>0</v>
      </c>
      <c r="AY32" s="182"/>
      <c r="AZ32" s="90"/>
      <c r="BA32" s="90"/>
      <c r="BB32" s="183">
        <f t="shared" si="26"/>
        <v>0</v>
      </c>
      <c r="BC32" s="182"/>
      <c r="BD32" s="90"/>
      <c r="BE32" s="90"/>
      <c r="BF32" s="183">
        <f t="shared" si="27"/>
        <v>0</v>
      </c>
      <c r="BG32" s="182"/>
      <c r="BH32" s="90"/>
      <c r="BI32" s="90"/>
      <c r="BJ32" s="183">
        <f t="shared" si="28"/>
        <v>0</v>
      </c>
      <c r="BK32" s="182"/>
      <c r="BL32" s="90"/>
      <c r="BM32" s="90"/>
      <c r="BN32" s="183">
        <f t="shared" si="29"/>
        <v>0</v>
      </c>
      <c r="BO32" s="182"/>
      <c r="BP32" s="90"/>
      <c r="BQ32" s="90"/>
      <c r="BR32" s="183">
        <f t="shared" si="30"/>
        <v>0</v>
      </c>
      <c r="BS32" s="182"/>
      <c r="BT32" s="90"/>
      <c r="BU32" s="90"/>
      <c r="BV32" s="183">
        <f t="shared" si="31"/>
        <v>0</v>
      </c>
      <c r="BW32" s="182"/>
      <c r="BX32" s="90"/>
      <c r="BY32" s="90"/>
      <c r="BZ32" s="183">
        <f t="shared" si="32"/>
        <v>0</v>
      </c>
      <c r="CA32" s="182"/>
      <c r="CB32" s="90"/>
      <c r="CC32" s="90"/>
      <c r="CD32" s="183">
        <f t="shared" si="33"/>
        <v>0</v>
      </c>
    </row>
    <row r="33" spans="2:82" x14ac:dyDescent="0.3">
      <c r="B33" s="53"/>
      <c r="C33" s="53" t="str">
        <f t="shared" si="0"/>
        <v>CPU_IluminaçãoBSOeSAL</v>
      </c>
      <c r="D33" s="278">
        <f t="shared" si="1"/>
        <v>1</v>
      </c>
      <c r="E33" s="278">
        <f t="shared" si="2"/>
        <v>0</v>
      </c>
      <c r="F33" s="1"/>
      <c r="G33" s="28" t="str">
        <f>IFERROR(VLOOKUP(F33,Tabela7[[RECURSO]:[CUSTO]],2,FALSE),"")</f>
        <v/>
      </c>
      <c r="H33" s="93"/>
      <c r="I33" s="90"/>
      <c r="J33" s="45">
        <f>IFERROR(VLOOKUP(F33,Tabela7[[RECURSO]:[CUSTO]],3,FALSE),0)</f>
        <v>0</v>
      </c>
      <c r="K33" s="45">
        <f t="shared" si="34"/>
        <v>0</v>
      </c>
      <c r="AD33" s="144" t="str">
        <f t="shared" si="3"/>
        <v>Iluminação BSO e SAL</v>
      </c>
      <c r="AE33" s="179"/>
      <c r="AF33" s="180">
        <f t="shared" si="20"/>
        <v>0</v>
      </c>
      <c r="AG33" s="180">
        <f t="shared" si="17"/>
        <v>0</v>
      </c>
      <c r="AH33" s="181">
        <f t="shared" si="21"/>
        <v>0</v>
      </c>
      <c r="AI33" s="182"/>
      <c r="AJ33" s="90"/>
      <c r="AK33" s="90"/>
      <c r="AL33" s="183">
        <f t="shared" si="22"/>
        <v>0</v>
      </c>
      <c r="AM33" s="182"/>
      <c r="AN33" s="90"/>
      <c r="AO33" s="90"/>
      <c r="AP33" s="183">
        <f t="shared" si="23"/>
        <v>0</v>
      </c>
      <c r="AQ33" s="182"/>
      <c r="AR33" s="90"/>
      <c r="AS33" s="90"/>
      <c r="AT33" s="183">
        <f t="shared" si="24"/>
        <v>0</v>
      </c>
      <c r="AU33" s="182"/>
      <c r="AV33" s="90"/>
      <c r="AW33" s="90"/>
      <c r="AX33" s="183">
        <f t="shared" si="25"/>
        <v>0</v>
      </c>
      <c r="AY33" s="182"/>
      <c r="AZ33" s="90"/>
      <c r="BA33" s="90"/>
      <c r="BB33" s="183">
        <f t="shared" si="26"/>
        <v>0</v>
      </c>
      <c r="BC33" s="182"/>
      <c r="BD33" s="90"/>
      <c r="BE33" s="90"/>
      <c r="BF33" s="183">
        <f t="shared" si="27"/>
        <v>0</v>
      </c>
      <c r="BG33" s="182"/>
      <c r="BH33" s="90"/>
      <c r="BI33" s="90"/>
      <c r="BJ33" s="183">
        <f t="shared" si="28"/>
        <v>0</v>
      </c>
      <c r="BK33" s="182"/>
      <c r="BL33" s="90"/>
      <c r="BM33" s="90"/>
      <c r="BN33" s="183">
        <f t="shared" si="29"/>
        <v>0</v>
      </c>
      <c r="BO33" s="182"/>
      <c r="BP33" s="90"/>
      <c r="BQ33" s="90"/>
      <c r="BR33" s="183">
        <f t="shared" si="30"/>
        <v>0</v>
      </c>
      <c r="BS33" s="182"/>
      <c r="BT33" s="90"/>
      <c r="BU33" s="90"/>
      <c r="BV33" s="183">
        <f t="shared" si="31"/>
        <v>0</v>
      </c>
      <c r="BW33" s="182"/>
      <c r="BX33" s="90"/>
      <c r="BY33" s="90"/>
      <c r="BZ33" s="183">
        <f t="shared" si="32"/>
        <v>0</v>
      </c>
      <c r="CA33" s="182"/>
      <c r="CB33" s="90"/>
      <c r="CC33" s="90"/>
      <c r="CD33" s="183">
        <f t="shared" si="33"/>
        <v>0</v>
      </c>
    </row>
    <row r="34" spans="2:82" x14ac:dyDescent="0.3">
      <c r="B34" s="53"/>
      <c r="C34" s="53" t="str">
        <f t="shared" si="0"/>
        <v>CPU_IluminaçãoBSOeSAL</v>
      </c>
      <c r="D34" s="278">
        <f t="shared" si="1"/>
        <v>1</v>
      </c>
      <c r="E34" s="278">
        <f t="shared" si="2"/>
        <v>0</v>
      </c>
      <c r="F34" s="1"/>
      <c r="G34" s="28" t="str">
        <f>IFERROR(VLOOKUP(F34,Tabela7[[RECURSO]:[CUSTO]],2,FALSE),"")</f>
        <v/>
      </c>
      <c r="H34" s="93"/>
      <c r="I34" s="90"/>
      <c r="J34" s="45">
        <f>IFERROR(VLOOKUP(F34,Tabela7[[RECURSO]:[CUSTO]],3,FALSE),0)</f>
        <v>0</v>
      </c>
      <c r="K34" s="45">
        <f t="shared" si="34"/>
        <v>0</v>
      </c>
      <c r="AD34" s="144" t="str">
        <f t="shared" si="3"/>
        <v>Iluminação BSO e SAL</v>
      </c>
      <c r="AE34" s="179"/>
      <c r="AF34" s="180">
        <f t="shared" si="20"/>
        <v>0</v>
      </c>
      <c r="AG34" s="180">
        <f t="shared" si="17"/>
        <v>0</v>
      </c>
      <c r="AH34" s="181">
        <f t="shared" si="21"/>
        <v>0</v>
      </c>
      <c r="AI34" s="182"/>
      <c r="AJ34" s="90"/>
      <c r="AK34" s="90"/>
      <c r="AL34" s="183">
        <f t="shared" si="22"/>
        <v>0</v>
      </c>
      <c r="AM34" s="182"/>
      <c r="AN34" s="90"/>
      <c r="AO34" s="90"/>
      <c r="AP34" s="183">
        <f t="shared" si="23"/>
        <v>0</v>
      </c>
      <c r="AQ34" s="182"/>
      <c r="AR34" s="90"/>
      <c r="AS34" s="90"/>
      <c r="AT34" s="183">
        <f t="shared" si="24"/>
        <v>0</v>
      </c>
      <c r="AU34" s="182"/>
      <c r="AV34" s="90"/>
      <c r="AW34" s="90"/>
      <c r="AX34" s="183">
        <f t="shared" si="25"/>
        <v>0</v>
      </c>
      <c r="AY34" s="182"/>
      <c r="AZ34" s="90"/>
      <c r="BA34" s="90"/>
      <c r="BB34" s="183">
        <f t="shared" si="26"/>
        <v>0</v>
      </c>
      <c r="BC34" s="182"/>
      <c r="BD34" s="90"/>
      <c r="BE34" s="90"/>
      <c r="BF34" s="183">
        <f t="shared" si="27"/>
        <v>0</v>
      </c>
      <c r="BG34" s="182"/>
      <c r="BH34" s="90"/>
      <c r="BI34" s="90"/>
      <c r="BJ34" s="183">
        <f t="shared" si="28"/>
        <v>0</v>
      </c>
      <c r="BK34" s="182"/>
      <c r="BL34" s="90"/>
      <c r="BM34" s="90"/>
      <c r="BN34" s="183">
        <f t="shared" si="29"/>
        <v>0</v>
      </c>
      <c r="BO34" s="182"/>
      <c r="BP34" s="90"/>
      <c r="BQ34" s="90"/>
      <c r="BR34" s="183">
        <f t="shared" si="30"/>
        <v>0</v>
      </c>
      <c r="BS34" s="182"/>
      <c r="BT34" s="90"/>
      <c r="BU34" s="90"/>
      <c r="BV34" s="183">
        <f t="shared" si="31"/>
        <v>0</v>
      </c>
      <c r="BW34" s="182"/>
      <c r="BX34" s="90"/>
      <c r="BY34" s="90"/>
      <c r="BZ34" s="183">
        <f t="shared" si="32"/>
        <v>0</v>
      </c>
      <c r="CA34" s="182"/>
      <c r="CB34" s="90"/>
      <c r="CC34" s="90"/>
      <c r="CD34" s="183">
        <f t="shared" si="33"/>
        <v>0</v>
      </c>
    </row>
    <row r="35" spans="2:82" x14ac:dyDescent="0.3">
      <c r="B35" s="53"/>
      <c r="C35" s="53" t="str">
        <f t="shared" si="0"/>
        <v>CPU_IluminaçãoBSOeSAL</v>
      </c>
      <c r="D35" s="278">
        <f t="shared" si="1"/>
        <v>1</v>
      </c>
      <c r="E35" s="278">
        <f t="shared" si="2"/>
        <v>0</v>
      </c>
      <c r="F35" s="1"/>
      <c r="G35" s="28" t="str">
        <f>IFERROR(VLOOKUP(F35,Tabela7[[RECURSO]:[CUSTO]],2,FALSE),"")</f>
        <v/>
      </c>
      <c r="H35" s="93"/>
      <c r="I35" s="90"/>
      <c r="J35" s="45">
        <f>IFERROR(VLOOKUP(F35,Tabela7[[RECURSO]:[CUSTO]],3,FALSE),0)</f>
        <v>0</v>
      </c>
      <c r="K35" s="45">
        <f t="shared" si="34"/>
        <v>0</v>
      </c>
      <c r="AD35" s="144" t="str">
        <f t="shared" si="3"/>
        <v>Iluminação BSO e SAL</v>
      </c>
      <c r="AE35" s="179"/>
      <c r="AF35" s="180">
        <f t="shared" si="20"/>
        <v>0</v>
      </c>
      <c r="AG35" s="180">
        <f t="shared" si="17"/>
        <v>0</v>
      </c>
      <c r="AH35" s="181">
        <f t="shared" si="21"/>
        <v>0</v>
      </c>
      <c r="AI35" s="182"/>
      <c r="AJ35" s="90"/>
      <c r="AK35" s="90"/>
      <c r="AL35" s="183">
        <f t="shared" si="22"/>
        <v>0</v>
      </c>
      <c r="AM35" s="182"/>
      <c r="AN35" s="90"/>
      <c r="AO35" s="90"/>
      <c r="AP35" s="183">
        <f t="shared" si="23"/>
        <v>0</v>
      </c>
      <c r="AQ35" s="182"/>
      <c r="AR35" s="90"/>
      <c r="AS35" s="90"/>
      <c r="AT35" s="183">
        <f t="shared" si="24"/>
        <v>0</v>
      </c>
      <c r="AU35" s="182"/>
      <c r="AV35" s="90"/>
      <c r="AW35" s="90"/>
      <c r="AX35" s="183">
        <f t="shared" si="25"/>
        <v>0</v>
      </c>
      <c r="AY35" s="182"/>
      <c r="AZ35" s="90"/>
      <c r="BA35" s="90"/>
      <c r="BB35" s="183">
        <f t="shared" si="26"/>
        <v>0</v>
      </c>
      <c r="BC35" s="182"/>
      <c r="BD35" s="90"/>
      <c r="BE35" s="90"/>
      <c r="BF35" s="183">
        <f t="shared" si="27"/>
        <v>0</v>
      </c>
      <c r="BG35" s="182"/>
      <c r="BH35" s="90"/>
      <c r="BI35" s="90"/>
      <c r="BJ35" s="183">
        <f t="shared" si="28"/>
        <v>0</v>
      </c>
      <c r="BK35" s="182"/>
      <c r="BL35" s="90"/>
      <c r="BM35" s="90"/>
      <c r="BN35" s="183">
        <f t="shared" si="29"/>
        <v>0</v>
      </c>
      <c r="BO35" s="182"/>
      <c r="BP35" s="90"/>
      <c r="BQ35" s="90"/>
      <c r="BR35" s="183">
        <f t="shared" si="30"/>
        <v>0</v>
      </c>
      <c r="BS35" s="182"/>
      <c r="BT35" s="90"/>
      <c r="BU35" s="90"/>
      <c r="BV35" s="183">
        <f t="shared" si="31"/>
        <v>0</v>
      </c>
      <c r="BW35" s="182"/>
      <c r="BX35" s="90"/>
      <c r="BY35" s="90"/>
      <c r="BZ35" s="183">
        <f t="shared" si="32"/>
        <v>0</v>
      </c>
      <c r="CA35" s="182"/>
      <c r="CB35" s="90"/>
      <c r="CC35" s="90"/>
      <c r="CD35" s="183">
        <f t="shared" si="33"/>
        <v>0</v>
      </c>
    </row>
    <row r="36" spans="2:82" x14ac:dyDescent="0.3">
      <c r="B36" s="53"/>
      <c r="C36" s="53" t="str">
        <f t="shared" si="0"/>
        <v>CPU_IluminaçãoBSOeSAL</v>
      </c>
      <c r="D36" s="278">
        <f t="shared" si="1"/>
        <v>1</v>
      </c>
      <c r="E36" s="278">
        <f t="shared" si="2"/>
        <v>0</v>
      </c>
      <c r="F36" s="1"/>
      <c r="G36" s="28" t="str">
        <f>IFERROR(VLOOKUP(F36,Tabela7[[RECURSO]:[CUSTO]],2,FALSE),"")</f>
        <v/>
      </c>
      <c r="H36" s="93"/>
      <c r="I36" s="90"/>
      <c r="J36" s="45">
        <f>IFERROR(VLOOKUP(F36,Tabela7[[RECURSO]:[CUSTO]],3,FALSE),0)</f>
        <v>0</v>
      </c>
      <c r="K36" s="45">
        <f t="shared" si="34"/>
        <v>0</v>
      </c>
      <c r="AD36" s="144" t="str">
        <f t="shared" si="3"/>
        <v>Iluminação BSO e SAL</v>
      </c>
      <c r="AE36" s="179"/>
      <c r="AF36" s="180">
        <f t="shared" si="20"/>
        <v>0</v>
      </c>
      <c r="AG36" s="180">
        <f t="shared" si="17"/>
        <v>0</v>
      </c>
      <c r="AH36" s="181">
        <f t="shared" si="21"/>
        <v>0</v>
      </c>
      <c r="AI36" s="182"/>
      <c r="AJ36" s="90"/>
      <c r="AK36" s="90"/>
      <c r="AL36" s="183">
        <f t="shared" si="22"/>
        <v>0</v>
      </c>
      <c r="AM36" s="182"/>
      <c r="AN36" s="90"/>
      <c r="AO36" s="90"/>
      <c r="AP36" s="183">
        <f t="shared" si="23"/>
        <v>0</v>
      </c>
      <c r="AQ36" s="182"/>
      <c r="AR36" s="90"/>
      <c r="AS36" s="90"/>
      <c r="AT36" s="183">
        <f t="shared" si="24"/>
        <v>0</v>
      </c>
      <c r="AU36" s="182"/>
      <c r="AV36" s="90"/>
      <c r="AW36" s="90"/>
      <c r="AX36" s="183">
        <f t="shared" si="25"/>
        <v>0</v>
      </c>
      <c r="AY36" s="182"/>
      <c r="AZ36" s="90"/>
      <c r="BA36" s="90"/>
      <c r="BB36" s="183">
        <f t="shared" si="26"/>
        <v>0</v>
      </c>
      <c r="BC36" s="182"/>
      <c r="BD36" s="90"/>
      <c r="BE36" s="90"/>
      <c r="BF36" s="183">
        <f t="shared" si="27"/>
        <v>0</v>
      </c>
      <c r="BG36" s="182"/>
      <c r="BH36" s="90"/>
      <c r="BI36" s="90"/>
      <c r="BJ36" s="183">
        <f t="shared" si="28"/>
        <v>0</v>
      </c>
      <c r="BK36" s="182"/>
      <c r="BL36" s="90"/>
      <c r="BM36" s="90"/>
      <c r="BN36" s="183">
        <f t="shared" si="29"/>
        <v>0</v>
      </c>
      <c r="BO36" s="182"/>
      <c r="BP36" s="90"/>
      <c r="BQ36" s="90"/>
      <c r="BR36" s="183">
        <f t="shared" si="30"/>
        <v>0</v>
      </c>
      <c r="BS36" s="182"/>
      <c r="BT36" s="90"/>
      <c r="BU36" s="90"/>
      <c r="BV36" s="183">
        <f t="shared" si="31"/>
        <v>0</v>
      </c>
      <c r="BW36" s="182"/>
      <c r="BX36" s="90"/>
      <c r="BY36" s="90"/>
      <c r="BZ36" s="183">
        <f t="shared" si="32"/>
        <v>0</v>
      </c>
      <c r="CA36" s="182"/>
      <c r="CB36" s="90"/>
      <c r="CC36" s="90"/>
      <c r="CD36" s="183">
        <f t="shared" si="33"/>
        <v>0</v>
      </c>
    </row>
    <row r="37" spans="2:82" x14ac:dyDescent="0.3">
      <c r="B37" s="52" t="s">
        <v>692</v>
      </c>
      <c r="C37" s="52" t="str">
        <f t="shared" si="0"/>
        <v>CPU_IluminaçãoBSOeSAL</v>
      </c>
      <c r="D37" s="277">
        <f t="shared" si="1"/>
        <v>1</v>
      </c>
      <c r="E37" s="277">
        <f t="shared" si="2"/>
        <v>0</v>
      </c>
      <c r="F37" s="37"/>
      <c r="G37" s="38"/>
      <c r="H37" s="91"/>
      <c r="I37" s="40"/>
      <c r="J37" s="40">
        <f>IFERROR(K37/$B$6,0)</f>
        <v>0</v>
      </c>
      <c r="K37" s="40">
        <f>SUM(K38:K49)</f>
        <v>0</v>
      </c>
      <c r="N37" s="39"/>
      <c r="AD37" s="144" t="str">
        <f t="shared" si="3"/>
        <v>Iluminação BSO e SAL</v>
      </c>
      <c r="AE37" s="184"/>
      <c r="AF37" s="40"/>
      <c r="AG37" s="40">
        <f>IFERROR(AH37/AF$3,0)</f>
        <v>0</v>
      </c>
      <c r="AH37" s="185">
        <f>SUM(AH38:AH49)</f>
        <v>0</v>
      </c>
      <c r="AI37" s="184"/>
      <c r="AJ37" s="40"/>
      <c r="AK37" s="40">
        <f>IFERROR(AL37/AJ$3,0)</f>
        <v>0</v>
      </c>
      <c r="AL37" s="185">
        <f>SUM(AL38:AL49)</f>
        <v>0</v>
      </c>
      <c r="AM37" s="184"/>
      <c r="AN37" s="40"/>
      <c r="AO37" s="40">
        <f>IFERROR(AP37/AN$3,0)</f>
        <v>0</v>
      </c>
      <c r="AP37" s="185">
        <f>SUM(AP38:AP49)</f>
        <v>0</v>
      </c>
      <c r="AQ37" s="184"/>
      <c r="AR37" s="40"/>
      <c r="AS37" s="40">
        <f>IFERROR(AT37/AR$3,0)</f>
        <v>0</v>
      </c>
      <c r="AT37" s="185">
        <f>SUM(AT38:AT49)</f>
        <v>0</v>
      </c>
      <c r="AU37" s="184"/>
      <c r="AV37" s="40"/>
      <c r="AW37" s="40">
        <f>IFERROR(AX37/AV$3,0)</f>
        <v>0</v>
      </c>
      <c r="AX37" s="185">
        <f>SUM(AX38:AX49)</f>
        <v>0</v>
      </c>
      <c r="AY37" s="184"/>
      <c r="AZ37" s="40"/>
      <c r="BA37" s="40">
        <f>IFERROR(BB37/AZ$3,0)</f>
        <v>0</v>
      </c>
      <c r="BB37" s="185">
        <f>SUM(BB38:BB49)</f>
        <v>0</v>
      </c>
      <c r="BC37" s="184"/>
      <c r="BD37" s="40"/>
      <c r="BE37" s="40">
        <f>IFERROR(BF37/BD$3,0)</f>
        <v>0</v>
      </c>
      <c r="BF37" s="185">
        <f>SUM(BF38:BF49)</f>
        <v>0</v>
      </c>
      <c r="BG37" s="184"/>
      <c r="BH37" s="40"/>
      <c r="BI37" s="40">
        <f>IFERROR(BJ37/BH$3,0)</f>
        <v>0</v>
      </c>
      <c r="BJ37" s="185">
        <f>SUM(BJ38:BJ49)</f>
        <v>0</v>
      </c>
      <c r="BK37" s="184"/>
      <c r="BL37" s="40"/>
      <c r="BM37" s="40">
        <f>IFERROR(BN37/BL$3,0)</f>
        <v>0</v>
      </c>
      <c r="BN37" s="185">
        <f>SUM(BN38:BN49)</f>
        <v>0</v>
      </c>
      <c r="BO37" s="184"/>
      <c r="BP37" s="40"/>
      <c r="BQ37" s="40">
        <f>IFERROR(BR37/BP$3,0)</f>
        <v>0</v>
      </c>
      <c r="BR37" s="185">
        <f>SUM(BR38:BR49)</f>
        <v>0</v>
      </c>
      <c r="BS37" s="184"/>
      <c r="BT37" s="40"/>
      <c r="BU37" s="40">
        <f>IFERROR(BV37/BT$3,0)</f>
        <v>0</v>
      </c>
      <c r="BV37" s="185">
        <f>SUM(BV38:BV49)</f>
        <v>0</v>
      </c>
      <c r="BW37" s="184"/>
      <c r="BX37" s="40"/>
      <c r="BY37" s="40">
        <f>IFERROR(BZ37/BX$3,0)</f>
        <v>0</v>
      </c>
      <c r="BZ37" s="185">
        <f>SUM(BZ38:BZ49)</f>
        <v>0</v>
      </c>
      <c r="CA37" s="184"/>
      <c r="CB37" s="40"/>
      <c r="CC37" s="40">
        <f>IFERROR(CD37/CB$3,0)</f>
        <v>0</v>
      </c>
      <c r="CD37" s="185">
        <f>SUM(CD38:CD49)</f>
        <v>0</v>
      </c>
    </row>
    <row r="38" spans="2:82" x14ac:dyDescent="0.3">
      <c r="B38" s="54"/>
      <c r="C38" s="54" t="str">
        <f t="shared" si="0"/>
        <v>CPU_IluminaçãoBSOeSAL</v>
      </c>
      <c r="D38" s="280">
        <f t="shared" si="1"/>
        <v>1</v>
      </c>
      <c r="E38" s="280">
        <f t="shared" si="2"/>
        <v>0</v>
      </c>
      <c r="F38" s="1"/>
      <c r="G38" s="28" t="str">
        <f>IFERROR(VLOOKUP(F38,Tabela7[[RECURSO]:[CUSTO]],2,FALSE),"")</f>
        <v/>
      </c>
      <c r="H38" s="92"/>
      <c r="I38" s="90"/>
      <c r="J38" s="45">
        <f>IFERROR(VLOOKUP(F38,Tabela7[[RECURSO]:[CUSTO]],3,FALSE),0)</f>
        <v>0</v>
      </c>
      <c r="K38" s="45">
        <f>I38*J38*CPU_41[[#This Row],[Nº]]</f>
        <v>0</v>
      </c>
      <c r="AD38" s="144" t="str">
        <f t="shared" si="3"/>
        <v>Iluminação BSO e SAL</v>
      </c>
      <c r="AE38" s="186"/>
      <c r="AF38" s="180">
        <f t="shared" ref="AF38:AF49" si="35">AJ38+AN38+AR38+AV38+AZ38+BD38+BH38+BL38+BP38+BT38+BX38+CB38</f>
        <v>0</v>
      </c>
      <c r="AG38" s="180">
        <f t="shared" si="17"/>
        <v>0</v>
      </c>
      <c r="AH38" s="181">
        <f t="shared" ref="AH38:AH49" si="36">AL38+AP38+AT38+AX38+BB38+BF38+BJ38+BN38+BR38+BV38+BZ38+CD38</f>
        <v>0</v>
      </c>
      <c r="AI38" s="187"/>
      <c r="AJ38" s="90"/>
      <c r="AK38" s="90"/>
      <c r="AL38" s="183">
        <f t="shared" ref="AL38:AL49" si="37">AJ38*AK38</f>
        <v>0</v>
      </c>
      <c r="AM38" s="187"/>
      <c r="AN38" s="90"/>
      <c r="AO38" s="90"/>
      <c r="AP38" s="183">
        <f t="shared" si="23"/>
        <v>0</v>
      </c>
      <c r="AQ38" s="187"/>
      <c r="AR38" s="90"/>
      <c r="AS38" s="90"/>
      <c r="AT38" s="183">
        <f t="shared" si="24"/>
        <v>0</v>
      </c>
      <c r="AU38" s="187"/>
      <c r="AV38" s="90"/>
      <c r="AW38" s="90"/>
      <c r="AX38" s="183">
        <f t="shared" si="25"/>
        <v>0</v>
      </c>
      <c r="AY38" s="187"/>
      <c r="AZ38" s="90"/>
      <c r="BA38" s="90"/>
      <c r="BB38" s="183">
        <f t="shared" si="26"/>
        <v>0</v>
      </c>
      <c r="BC38" s="187"/>
      <c r="BD38" s="90"/>
      <c r="BE38" s="90"/>
      <c r="BF38" s="183">
        <f t="shared" si="27"/>
        <v>0</v>
      </c>
      <c r="BG38" s="187"/>
      <c r="BH38" s="90"/>
      <c r="BI38" s="90"/>
      <c r="BJ38" s="183">
        <f t="shared" si="28"/>
        <v>0</v>
      </c>
      <c r="BK38" s="187"/>
      <c r="BL38" s="90"/>
      <c r="BM38" s="90"/>
      <c r="BN38" s="183">
        <f t="shared" si="29"/>
        <v>0</v>
      </c>
      <c r="BO38" s="187"/>
      <c r="BP38" s="90"/>
      <c r="BQ38" s="90"/>
      <c r="BR38" s="183">
        <f t="shared" si="30"/>
        <v>0</v>
      </c>
      <c r="BS38" s="187"/>
      <c r="BT38" s="90"/>
      <c r="BU38" s="90"/>
      <c r="BV38" s="183">
        <f t="shared" si="31"/>
        <v>0</v>
      </c>
      <c r="BW38" s="187"/>
      <c r="BX38" s="90"/>
      <c r="BY38" s="90"/>
      <c r="BZ38" s="183">
        <f t="shared" si="32"/>
        <v>0</v>
      </c>
      <c r="CA38" s="187"/>
      <c r="CB38" s="90"/>
      <c r="CC38" s="90"/>
      <c r="CD38" s="183">
        <f t="shared" si="33"/>
        <v>0</v>
      </c>
    </row>
    <row r="39" spans="2:82" x14ac:dyDescent="0.3">
      <c r="B39" s="54"/>
      <c r="C39" s="54" t="str">
        <f t="shared" si="0"/>
        <v>CPU_IluminaçãoBSOeSAL</v>
      </c>
      <c r="D39" s="280">
        <f t="shared" si="1"/>
        <v>1</v>
      </c>
      <c r="E39" s="280">
        <f t="shared" si="2"/>
        <v>0</v>
      </c>
      <c r="F39" s="1"/>
      <c r="G39" s="28" t="str">
        <f>IFERROR(VLOOKUP(F39,Tabela7[[RECURSO]:[CUSTO]],2,FALSE),"")</f>
        <v/>
      </c>
      <c r="H39" s="92"/>
      <c r="I39" s="90"/>
      <c r="J39" s="45">
        <f>IFERROR(VLOOKUP(F39,Tabela7[[RECURSO]:[CUSTO]],3,FALSE),0)</f>
        <v>0</v>
      </c>
      <c r="K39" s="45">
        <f>I39*J39*CPU_41[[#This Row],[Nº]]</f>
        <v>0</v>
      </c>
      <c r="AD39" s="144" t="str">
        <f t="shared" si="3"/>
        <v>Iluminação BSO e SAL</v>
      </c>
      <c r="AE39" s="186"/>
      <c r="AF39" s="180">
        <f t="shared" si="35"/>
        <v>0</v>
      </c>
      <c r="AG39" s="180">
        <f t="shared" si="17"/>
        <v>0</v>
      </c>
      <c r="AH39" s="181">
        <f t="shared" si="36"/>
        <v>0</v>
      </c>
      <c r="AI39" s="187"/>
      <c r="AJ39" s="90"/>
      <c r="AK39" s="90"/>
      <c r="AL39" s="183">
        <f t="shared" si="37"/>
        <v>0</v>
      </c>
      <c r="AM39" s="187"/>
      <c r="AN39" s="90"/>
      <c r="AO39" s="90"/>
      <c r="AP39" s="183">
        <f t="shared" si="23"/>
        <v>0</v>
      </c>
      <c r="AQ39" s="187"/>
      <c r="AR39" s="90"/>
      <c r="AS39" s="90"/>
      <c r="AT39" s="183">
        <f t="shared" si="24"/>
        <v>0</v>
      </c>
      <c r="AU39" s="187"/>
      <c r="AV39" s="90"/>
      <c r="AW39" s="90"/>
      <c r="AX39" s="183">
        <f t="shared" si="25"/>
        <v>0</v>
      </c>
      <c r="AY39" s="187"/>
      <c r="AZ39" s="90"/>
      <c r="BA39" s="90"/>
      <c r="BB39" s="183">
        <f t="shared" si="26"/>
        <v>0</v>
      </c>
      <c r="BC39" s="187"/>
      <c r="BD39" s="90"/>
      <c r="BE39" s="90"/>
      <c r="BF39" s="183">
        <f t="shared" si="27"/>
        <v>0</v>
      </c>
      <c r="BG39" s="187"/>
      <c r="BH39" s="90"/>
      <c r="BI39" s="90"/>
      <c r="BJ39" s="183">
        <f t="shared" si="28"/>
        <v>0</v>
      </c>
      <c r="BK39" s="187"/>
      <c r="BL39" s="90"/>
      <c r="BM39" s="90"/>
      <c r="BN39" s="183">
        <f t="shared" si="29"/>
        <v>0</v>
      </c>
      <c r="BO39" s="187"/>
      <c r="BP39" s="90"/>
      <c r="BQ39" s="90"/>
      <c r="BR39" s="183">
        <f t="shared" si="30"/>
        <v>0</v>
      </c>
      <c r="BS39" s="187"/>
      <c r="BT39" s="90"/>
      <c r="BU39" s="90"/>
      <c r="BV39" s="183">
        <f t="shared" si="31"/>
        <v>0</v>
      </c>
      <c r="BW39" s="187"/>
      <c r="BX39" s="90"/>
      <c r="BY39" s="90"/>
      <c r="BZ39" s="183">
        <f t="shared" si="32"/>
        <v>0</v>
      </c>
      <c r="CA39" s="187"/>
      <c r="CB39" s="90"/>
      <c r="CC39" s="90"/>
      <c r="CD39" s="183">
        <f t="shared" si="33"/>
        <v>0</v>
      </c>
    </row>
    <row r="40" spans="2:82" x14ac:dyDescent="0.3">
      <c r="B40" s="54"/>
      <c r="C40" s="54" t="str">
        <f t="shared" si="0"/>
        <v>CPU_IluminaçãoBSOeSAL</v>
      </c>
      <c r="D40" s="280">
        <f t="shared" si="1"/>
        <v>1</v>
      </c>
      <c r="E40" s="280">
        <f t="shared" si="2"/>
        <v>0</v>
      </c>
      <c r="F40" s="1"/>
      <c r="G40" s="28" t="str">
        <f>IFERROR(VLOOKUP(F40,Tabela7[[RECURSO]:[CUSTO]],2,FALSE),"")</f>
        <v/>
      </c>
      <c r="H40" s="92"/>
      <c r="I40" s="90"/>
      <c r="J40" s="45">
        <f>IFERROR(VLOOKUP(F40,Tabela7[[RECURSO]:[CUSTO]],3,FALSE),0)</f>
        <v>0</v>
      </c>
      <c r="K40" s="45">
        <f>I40*J40*CPU_41[[#This Row],[Nº]]</f>
        <v>0</v>
      </c>
      <c r="AD40" s="144" t="str">
        <f t="shared" si="3"/>
        <v>Iluminação BSO e SAL</v>
      </c>
      <c r="AE40" s="186"/>
      <c r="AF40" s="180">
        <f t="shared" si="35"/>
        <v>0</v>
      </c>
      <c r="AG40" s="180">
        <f t="shared" si="17"/>
        <v>0</v>
      </c>
      <c r="AH40" s="181">
        <f t="shared" si="36"/>
        <v>0</v>
      </c>
      <c r="AI40" s="187"/>
      <c r="AJ40" s="90"/>
      <c r="AK40" s="90"/>
      <c r="AL40" s="183">
        <f t="shared" si="37"/>
        <v>0</v>
      </c>
      <c r="AM40" s="187"/>
      <c r="AN40" s="90"/>
      <c r="AO40" s="90"/>
      <c r="AP40" s="183">
        <f t="shared" si="23"/>
        <v>0</v>
      </c>
      <c r="AQ40" s="187"/>
      <c r="AR40" s="90"/>
      <c r="AS40" s="90"/>
      <c r="AT40" s="183">
        <f t="shared" si="24"/>
        <v>0</v>
      </c>
      <c r="AU40" s="187"/>
      <c r="AV40" s="90"/>
      <c r="AW40" s="90"/>
      <c r="AX40" s="183">
        <f t="shared" si="25"/>
        <v>0</v>
      </c>
      <c r="AY40" s="187"/>
      <c r="AZ40" s="90"/>
      <c r="BA40" s="90"/>
      <c r="BB40" s="183">
        <f t="shared" si="26"/>
        <v>0</v>
      </c>
      <c r="BC40" s="187"/>
      <c r="BD40" s="90"/>
      <c r="BE40" s="90"/>
      <c r="BF40" s="183">
        <f t="shared" si="27"/>
        <v>0</v>
      </c>
      <c r="BG40" s="187"/>
      <c r="BH40" s="90"/>
      <c r="BI40" s="90"/>
      <c r="BJ40" s="183">
        <f t="shared" si="28"/>
        <v>0</v>
      </c>
      <c r="BK40" s="187"/>
      <c r="BL40" s="90"/>
      <c r="BM40" s="90"/>
      <c r="BN40" s="183">
        <f t="shared" si="29"/>
        <v>0</v>
      </c>
      <c r="BO40" s="187"/>
      <c r="BP40" s="90"/>
      <c r="BQ40" s="90"/>
      <c r="BR40" s="183">
        <f t="shared" si="30"/>
        <v>0</v>
      </c>
      <c r="BS40" s="187"/>
      <c r="BT40" s="90"/>
      <c r="BU40" s="90"/>
      <c r="BV40" s="183">
        <f t="shared" si="31"/>
        <v>0</v>
      </c>
      <c r="BW40" s="187"/>
      <c r="BX40" s="90"/>
      <c r="BY40" s="90"/>
      <c r="BZ40" s="183">
        <f t="shared" si="32"/>
        <v>0</v>
      </c>
      <c r="CA40" s="187"/>
      <c r="CB40" s="90"/>
      <c r="CC40" s="90"/>
      <c r="CD40" s="183">
        <f t="shared" si="33"/>
        <v>0</v>
      </c>
    </row>
    <row r="41" spans="2:82" x14ac:dyDescent="0.3">
      <c r="B41" s="54"/>
      <c r="C41" s="54" t="str">
        <f t="shared" si="0"/>
        <v>CPU_IluminaçãoBSOeSAL</v>
      </c>
      <c r="D41" s="280">
        <f t="shared" si="1"/>
        <v>1</v>
      </c>
      <c r="E41" s="280">
        <f t="shared" si="2"/>
        <v>0</v>
      </c>
      <c r="F41" s="1"/>
      <c r="G41" s="28" t="str">
        <f>IFERROR(VLOOKUP(F41,Tabela7[[RECURSO]:[CUSTO]],2,FALSE),"")</f>
        <v/>
      </c>
      <c r="H41" s="92"/>
      <c r="I41" s="90"/>
      <c r="J41" s="45">
        <f>IFERROR(VLOOKUP(F41,Tabela7[[RECURSO]:[CUSTO]],3,FALSE),0)</f>
        <v>0</v>
      </c>
      <c r="K41" s="45">
        <f>I41*J41*CPU_41[[#This Row],[Nº]]</f>
        <v>0</v>
      </c>
      <c r="AD41" s="144" t="str">
        <f t="shared" si="3"/>
        <v>Iluminação BSO e SAL</v>
      </c>
      <c r="AE41" s="186"/>
      <c r="AF41" s="180">
        <f t="shared" si="35"/>
        <v>0</v>
      </c>
      <c r="AG41" s="180">
        <f t="shared" si="17"/>
        <v>0</v>
      </c>
      <c r="AH41" s="181">
        <f t="shared" si="36"/>
        <v>0</v>
      </c>
      <c r="AI41" s="187"/>
      <c r="AJ41" s="90"/>
      <c r="AK41" s="90"/>
      <c r="AL41" s="183">
        <f t="shared" si="37"/>
        <v>0</v>
      </c>
      <c r="AM41" s="187"/>
      <c r="AN41" s="90"/>
      <c r="AO41" s="90"/>
      <c r="AP41" s="183">
        <f t="shared" si="23"/>
        <v>0</v>
      </c>
      <c r="AQ41" s="187"/>
      <c r="AR41" s="90"/>
      <c r="AS41" s="90"/>
      <c r="AT41" s="183">
        <f t="shared" si="24"/>
        <v>0</v>
      </c>
      <c r="AU41" s="187"/>
      <c r="AV41" s="90"/>
      <c r="AW41" s="90"/>
      <c r="AX41" s="183">
        <f t="shared" si="25"/>
        <v>0</v>
      </c>
      <c r="AY41" s="187"/>
      <c r="AZ41" s="90"/>
      <c r="BA41" s="90"/>
      <c r="BB41" s="183">
        <f t="shared" si="26"/>
        <v>0</v>
      </c>
      <c r="BC41" s="187"/>
      <c r="BD41" s="90"/>
      <c r="BE41" s="90"/>
      <c r="BF41" s="183">
        <f t="shared" si="27"/>
        <v>0</v>
      </c>
      <c r="BG41" s="187"/>
      <c r="BH41" s="90"/>
      <c r="BI41" s="90"/>
      <c r="BJ41" s="183">
        <f t="shared" si="28"/>
        <v>0</v>
      </c>
      <c r="BK41" s="187"/>
      <c r="BL41" s="90"/>
      <c r="BM41" s="90"/>
      <c r="BN41" s="183">
        <f t="shared" si="29"/>
        <v>0</v>
      </c>
      <c r="BO41" s="187"/>
      <c r="BP41" s="90"/>
      <c r="BQ41" s="90"/>
      <c r="BR41" s="183">
        <f t="shared" si="30"/>
        <v>0</v>
      </c>
      <c r="BS41" s="187"/>
      <c r="BT41" s="90"/>
      <c r="BU41" s="90"/>
      <c r="BV41" s="183">
        <f t="shared" si="31"/>
        <v>0</v>
      </c>
      <c r="BW41" s="187"/>
      <c r="BX41" s="90"/>
      <c r="BY41" s="90"/>
      <c r="BZ41" s="183">
        <f t="shared" si="32"/>
        <v>0</v>
      </c>
      <c r="CA41" s="187"/>
      <c r="CB41" s="90"/>
      <c r="CC41" s="90"/>
      <c r="CD41" s="183">
        <f t="shared" si="33"/>
        <v>0</v>
      </c>
    </row>
    <row r="42" spans="2:82" x14ac:dyDescent="0.3">
      <c r="B42" s="54"/>
      <c r="C42" s="54" t="str">
        <f t="shared" si="0"/>
        <v>CPU_IluminaçãoBSOeSAL</v>
      </c>
      <c r="D42" s="280">
        <f t="shared" si="1"/>
        <v>1</v>
      </c>
      <c r="E42" s="280">
        <f t="shared" si="2"/>
        <v>0</v>
      </c>
      <c r="F42" s="1"/>
      <c r="G42" s="28" t="str">
        <f>IFERROR(VLOOKUP(F42,Tabela7[[RECURSO]:[CUSTO]],2,FALSE),"")</f>
        <v/>
      </c>
      <c r="H42" s="92"/>
      <c r="I42" s="90"/>
      <c r="J42" s="45">
        <f>IFERROR(VLOOKUP(F42,Tabela7[[RECURSO]:[CUSTO]],3,FALSE),0)</f>
        <v>0</v>
      </c>
      <c r="K42" s="45">
        <f>I42*J42*CPU_41[[#This Row],[Nº]]</f>
        <v>0</v>
      </c>
      <c r="AD42" s="144" t="str">
        <f t="shared" si="3"/>
        <v>Iluminação BSO e SAL</v>
      </c>
      <c r="AE42" s="186"/>
      <c r="AF42" s="180">
        <f t="shared" si="35"/>
        <v>0</v>
      </c>
      <c r="AG42" s="180">
        <f t="shared" si="17"/>
        <v>0</v>
      </c>
      <c r="AH42" s="181">
        <f t="shared" si="36"/>
        <v>0</v>
      </c>
      <c r="AI42" s="187"/>
      <c r="AJ42" s="90"/>
      <c r="AK42" s="90"/>
      <c r="AL42" s="183">
        <f t="shared" si="37"/>
        <v>0</v>
      </c>
      <c r="AM42" s="187"/>
      <c r="AN42" s="90"/>
      <c r="AO42" s="90"/>
      <c r="AP42" s="183">
        <f t="shared" si="23"/>
        <v>0</v>
      </c>
      <c r="AQ42" s="187"/>
      <c r="AR42" s="90"/>
      <c r="AS42" s="90"/>
      <c r="AT42" s="183">
        <f t="shared" si="24"/>
        <v>0</v>
      </c>
      <c r="AU42" s="187"/>
      <c r="AV42" s="90"/>
      <c r="AW42" s="90"/>
      <c r="AX42" s="183">
        <f t="shared" si="25"/>
        <v>0</v>
      </c>
      <c r="AY42" s="187"/>
      <c r="AZ42" s="90"/>
      <c r="BA42" s="90"/>
      <c r="BB42" s="183">
        <f t="shared" si="26"/>
        <v>0</v>
      </c>
      <c r="BC42" s="187"/>
      <c r="BD42" s="90"/>
      <c r="BE42" s="90"/>
      <c r="BF42" s="183">
        <f t="shared" si="27"/>
        <v>0</v>
      </c>
      <c r="BG42" s="187"/>
      <c r="BH42" s="90"/>
      <c r="BI42" s="90"/>
      <c r="BJ42" s="183">
        <f t="shared" si="28"/>
        <v>0</v>
      </c>
      <c r="BK42" s="187"/>
      <c r="BL42" s="90"/>
      <c r="BM42" s="90"/>
      <c r="BN42" s="183">
        <f t="shared" si="29"/>
        <v>0</v>
      </c>
      <c r="BO42" s="187"/>
      <c r="BP42" s="90"/>
      <c r="BQ42" s="90"/>
      <c r="BR42" s="183">
        <f t="shared" si="30"/>
        <v>0</v>
      </c>
      <c r="BS42" s="187"/>
      <c r="BT42" s="90"/>
      <c r="BU42" s="90"/>
      <c r="BV42" s="183">
        <f t="shared" si="31"/>
        <v>0</v>
      </c>
      <c r="BW42" s="187"/>
      <c r="BX42" s="90"/>
      <c r="BY42" s="90"/>
      <c r="BZ42" s="183">
        <f t="shared" si="32"/>
        <v>0</v>
      </c>
      <c r="CA42" s="187"/>
      <c r="CB42" s="90"/>
      <c r="CC42" s="90"/>
      <c r="CD42" s="183">
        <f t="shared" si="33"/>
        <v>0</v>
      </c>
    </row>
    <row r="43" spans="2:82" x14ac:dyDescent="0.3">
      <c r="B43" s="54"/>
      <c r="C43" s="54" t="str">
        <f t="shared" si="0"/>
        <v>CPU_IluminaçãoBSOeSAL</v>
      </c>
      <c r="D43" s="280">
        <f t="shared" si="1"/>
        <v>1</v>
      </c>
      <c r="E43" s="280">
        <f t="shared" si="2"/>
        <v>0</v>
      </c>
      <c r="F43" s="1"/>
      <c r="G43" s="28" t="str">
        <f>IFERROR(VLOOKUP(F43,Tabela7[[RECURSO]:[CUSTO]],2,FALSE),"")</f>
        <v/>
      </c>
      <c r="H43" s="92"/>
      <c r="I43" s="90"/>
      <c r="J43" s="45">
        <f>IFERROR(VLOOKUP(F43,Tabela7[[RECURSO]:[CUSTO]],3,FALSE),0)</f>
        <v>0</v>
      </c>
      <c r="K43" s="45">
        <f>I43*J43*CPU_41[[#This Row],[Nº]]</f>
        <v>0</v>
      </c>
      <c r="AD43" s="144" t="str">
        <f t="shared" si="3"/>
        <v>Iluminação BSO e SAL</v>
      </c>
      <c r="AE43" s="186"/>
      <c r="AF43" s="180">
        <f t="shared" si="35"/>
        <v>0</v>
      </c>
      <c r="AG43" s="180">
        <f t="shared" si="17"/>
        <v>0</v>
      </c>
      <c r="AH43" s="181">
        <f t="shared" si="36"/>
        <v>0</v>
      </c>
      <c r="AI43" s="187"/>
      <c r="AJ43" s="90"/>
      <c r="AK43" s="90"/>
      <c r="AL43" s="183">
        <f t="shared" si="37"/>
        <v>0</v>
      </c>
      <c r="AM43" s="187"/>
      <c r="AN43" s="90"/>
      <c r="AO43" s="90"/>
      <c r="AP43" s="183">
        <f t="shared" si="23"/>
        <v>0</v>
      </c>
      <c r="AQ43" s="187"/>
      <c r="AR43" s="90"/>
      <c r="AS43" s="90"/>
      <c r="AT43" s="183">
        <f t="shared" si="24"/>
        <v>0</v>
      </c>
      <c r="AU43" s="187"/>
      <c r="AV43" s="90"/>
      <c r="AW43" s="90"/>
      <c r="AX43" s="183">
        <f t="shared" si="25"/>
        <v>0</v>
      </c>
      <c r="AY43" s="187"/>
      <c r="AZ43" s="90"/>
      <c r="BA43" s="90"/>
      <c r="BB43" s="183">
        <f t="shared" si="26"/>
        <v>0</v>
      </c>
      <c r="BC43" s="187"/>
      <c r="BD43" s="90"/>
      <c r="BE43" s="90"/>
      <c r="BF43" s="183">
        <f t="shared" si="27"/>
        <v>0</v>
      </c>
      <c r="BG43" s="187"/>
      <c r="BH43" s="90"/>
      <c r="BI43" s="90"/>
      <c r="BJ43" s="183">
        <f t="shared" si="28"/>
        <v>0</v>
      </c>
      <c r="BK43" s="187"/>
      <c r="BL43" s="90"/>
      <c r="BM43" s="90"/>
      <c r="BN43" s="183">
        <f t="shared" si="29"/>
        <v>0</v>
      </c>
      <c r="BO43" s="187"/>
      <c r="BP43" s="90"/>
      <c r="BQ43" s="90"/>
      <c r="BR43" s="183">
        <f t="shared" si="30"/>
        <v>0</v>
      </c>
      <c r="BS43" s="187"/>
      <c r="BT43" s="90"/>
      <c r="BU43" s="90"/>
      <c r="BV43" s="183">
        <f t="shared" si="31"/>
        <v>0</v>
      </c>
      <c r="BW43" s="187"/>
      <c r="BX43" s="90"/>
      <c r="BY43" s="90"/>
      <c r="BZ43" s="183">
        <f t="shared" si="32"/>
        <v>0</v>
      </c>
      <c r="CA43" s="187"/>
      <c r="CB43" s="90"/>
      <c r="CC43" s="90"/>
      <c r="CD43" s="183">
        <f t="shared" si="33"/>
        <v>0</v>
      </c>
    </row>
    <row r="44" spans="2:82" x14ac:dyDescent="0.3">
      <c r="B44" s="54"/>
      <c r="C44" s="54" t="str">
        <f t="shared" si="0"/>
        <v>CPU_IluminaçãoBSOeSAL</v>
      </c>
      <c r="D44" s="280">
        <f t="shared" si="1"/>
        <v>1</v>
      </c>
      <c r="E44" s="280">
        <f t="shared" si="2"/>
        <v>0</v>
      </c>
      <c r="F44" s="1"/>
      <c r="G44" s="28" t="str">
        <f>IFERROR(VLOOKUP(F44,Tabela7[[RECURSO]:[CUSTO]],2,FALSE),"")</f>
        <v/>
      </c>
      <c r="H44" s="92"/>
      <c r="I44" s="90"/>
      <c r="J44" s="45">
        <f>IFERROR(VLOOKUP(F44,Tabela7[[RECURSO]:[CUSTO]],3,FALSE),0)</f>
        <v>0</v>
      </c>
      <c r="K44" s="45">
        <f>I44*J44*CPU_41[[#This Row],[Nº]]</f>
        <v>0</v>
      </c>
      <c r="AD44" s="144" t="str">
        <f t="shared" si="3"/>
        <v>Iluminação BSO e SAL</v>
      </c>
      <c r="AE44" s="186"/>
      <c r="AF44" s="180">
        <f t="shared" si="35"/>
        <v>0</v>
      </c>
      <c r="AG44" s="180">
        <f t="shared" si="17"/>
        <v>0</v>
      </c>
      <c r="AH44" s="181">
        <f t="shared" si="36"/>
        <v>0</v>
      </c>
      <c r="AI44" s="187"/>
      <c r="AJ44" s="90"/>
      <c r="AK44" s="90"/>
      <c r="AL44" s="183">
        <f t="shared" si="37"/>
        <v>0</v>
      </c>
      <c r="AM44" s="187"/>
      <c r="AN44" s="90"/>
      <c r="AO44" s="90"/>
      <c r="AP44" s="183">
        <f t="shared" si="23"/>
        <v>0</v>
      </c>
      <c r="AQ44" s="187"/>
      <c r="AR44" s="90"/>
      <c r="AS44" s="90"/>
      <c r="AT44" s="183">
        <f t="shared" si="24"/>
        <v>0</v>
      </c>
      <c r="AU44" s="187"/>
      <c r="AV44" s="90"/>
      <c r="AW44" s="90"/>
      <c r="AX44" s="183">
        <f t="shared" si="25"/>
        <v>0</v>
      </c>
      <c r="AY44" s="187"/>
      <c r="AZ44" s="90"/>
      <c r="BA44" s="90"/>
      <c r="BB44" s="183">
        <f t="shared" si="26"/>
        <v>0</v>
      </c>
      <c r="BC44" s="187"/>
      <c r="BD44" s="90"/>
      <c r="BE44" s="90"/>
      <c r="BF44" s="183">
        <f t="shared" si="27"/>
        <v>0</v>
      </c>
      <c r="BG44" s="187"/>
      <c r="BH44" s="90"/>
      <c r="BI44" s="90"/>
      <c r="BJ44" s="183">
        <f t="shared" si="28"/>
        <v>0</v>
      </c>
      <c r="BK44" s="187"/>
      <c r="BL44" s="90"/>
      <c r="BM44" s="90"/>
      <c r="BN44" s="183">
        <f t="shared" si="29"/>
        <v>0</v>
      </c>
      <c r="BO44" s="187"/>
      <c r="BP44" s="90"/>
      <c r="BQ44" s="90"/>
      <c r="BR44" s="183">
        <f t="shared" si="30"/>
        <v>0</v>
      </c>
      <c r="BS44" s="187"/>
      <c r="BT44" s="90"/>
      <c r="BU44" s="90"/>
      <c r="BV44" s="183">
        <f t="shared" si="31"/>
        <v>0</v>
      </c>
      <c r="BW44" s="187"/>
      <c r="BX44" s="90"/>
      <c r="BY44" s="90"/>
      <c r="BZ44" s="183">
        <f t="shared" si="32"/>
        <v>0</v>
      </c>
      <c r="CA44" s="187"/>
      <c r="CB44" s="90"/>
      <c r="CC44" s="90"/>
      <c r="CD44" s="183">
        <f t="shared" si="33"/>
        <v>0</v>
      </c>
    </row>
    <row r="45" spans="2:82" x14ac:dyDescent="0.3">
      <c r="B45" s="53"/>
      <c r="C45" s="53" t="str">
        <f t="shared" si="0"/>
        <v>CPU_IluminaçãoBSOeSAL</v>
      </c>
      <c r="D45" s="278">
        <f t="shared" si="1"/>
        <v>1</v>
      </c>
      <c r="E45" s="278">
        <f t="shared" si="2"/>
        <v>0</v>
      </c>
      <c r="F45" s="1"/>
      <c r="G45" s="28" t="str">
        <f>IFERROR(VLOOKUP(F45,Tabela7[[RECURSO]:[CUSTO]],2,FALSE),"")</f>
        <v/>
      </c>
      <c r="H45" s="92"/>
      <c r="I45" s="90"/>
      <c r="J45" s="45">
        <f>IFERROR(VLOOKUP(F45,Tabela7[[RECURSO]:[CUSTO]],3,FALSE),0)</f>
        <v>0</v>
      </c>
      <c r="K45" s="45">
        <f>I45*J45*CPU_41[[#This Row],[Nº]]</f>
        <v>0</v>
      </c>
      <c r="AD45" s="144" t="str">
        <f t="shared" si="3"/>
        <v>Iluminação BSO e SAL</v>
      </c>
      <c r="AE45" s="188"/>
      <c r="AF45" s="180">
        <f t="shared" si="35"/>
        <v>0</v>
      </c>
      <c r="AG45" s="180">
        <f t="shared" si="17"/>
        <v>0</v>
      </c>
      <c r="AH45" s="181">
        <f t="shared" si="36"/>
        <v>0</v>
      </c>
      <c r="AI45" s="189"/>
      <c r="AJ45" s="90"/>
      <c r="AK45" s="90"/>
      <c r="AL45" s="183">
        <f t="shared" si="37"/>
        <v>0</v>
      </c>
      <c r="AM45" s="189"/>
      <c r="AN45" s="90"/>
      <c r="AO45" s="90"/>
      <c r="AP45" s="183">
        <f t="shared" si="23"/>
        <v>0</v>
      </c>
      <c r="AQ45" s="189"/>
      <c r="AR45" s="90"/>
      <c r="AS45" s="90"/>
      <c r="AT45" s="183">
        <f t="shared" si="24"/>
        <v>0</v>
      </c>
      <c r="AU45" s="189"/>
      <c r="AV45" s="90"/>
      <c r="AW45" s="90"/>
      <c r="AX45" s="183">
        <f t="shared" si="25"/>
        <v>0</v>
      </c>
      <c r="AY45" s="189"/>
      <c r="AZ45" s="90"/>
      <c r="BA45" s="90"/>
      <c r="BB45" s="183">
        <f t="shared" si="26"/>
        <v>0</v>
      </c>
      <c r="BC45" s="189"/>
      <c r="BD45" s="90"/>
      <c r="BE45" s="90"/>
      <c r="BF45" s="183">
        <f t="shared" si="27"/>
        <v>0</v>
      </c>
      <c r="BG45" s="189"/>
      <c r="BH45" s="90"/>
      <c r="BI45" s="90"/>
      <c r="BJ45" s="183">
        <f t="shared" si="28"/>
        <v>0</v>
      </c>
      <c r="BK45" s="189"/>
      <c r="BL45" s="90"/>
      <c r="BM45" s="90"/>
      <c r="BN45" s="183">
        <f t="shared" si="29"/>
        <v>0</v>
      </c>
      <c r="BO45" s="189"/>
      <c r="BP45" s="90"/>
      <c r="BQ45" s="90"/>
      <c r="BR45" s="183">
        <f t="shared" si="30"/>
        <v>0</v>
      </c>
      <c r="BS45" s="189"/>
      <c r="BT45" s="90"/>
      <c r="BU45" s="90"/>
      <c r="BV45" s="183">
        <f t="shared" si="31"/>
        <v>0</v>
      </c>
      <c r="BW45" s="189"/>
      <c r="BX45" s="90"/>
      <c r="BY45" s="90"/>
      <c r="BZ45" s="183">
        <f t="shared" si="32"/>
        <v>0</v>
      </c>
      <c r="CA45" s="189"/>
      <c r="CB45" s="90"/>
      <c r="CC45" s="90"/>
      <c r="CD45" s="183">
        <f t="shared" si="33"/>
        <v>0</v>
      </c>
    </row>
    <row r="46" spans="2:82" x14ac:dyDescent="0.3">
      <c r="B46" s="53"/>
      <c r="C46" s="53" t="str">
        <f t="shared" si="0"/>
        <v>CPU_IluminaçãoBSOeSAL</v>
      </c>
      <c r="D46" s="278">
        <f t="shared" si="1"/>
        <v>1</v>
      </c>
      <c r="E46" s="278">
        <f t="shared" si="2"/>
        <v>0</v>
      </c>
      <c r="F46" s="1"/>
      <c r="G46" s="28" t="str">
        <f>IFERROR(VLOOKUP(F46,Tabela7[[RECURSO]:[CUSTO]],2,FALSE),"")</f>
        <v/>
      </c>
      <c r="H46" s="92"/>
      <c r="I46" s="90"/>
      <c r="J46" s="45">
        <f>IFERROR(VLOOKUP(F46,Tabela7[[RECURSO]:[CUSTO]],3,FALSE),0)</f>
        <v>0</v>
      </c>
      <c r="K46" s="45">
        <f>I46*J46*CPU_41[[#This Row],[Nº]]</f>
        <v>0</v>
      </c>
      <c r="AD46" s="144" t="str">
        <f t="shared" si="3"/>
        <v>Iluminação BSO e SAL</v>
      </c>
      <c r="AE46" s="188"/>
      <c r="AF46" s="180">
        <f t="shared" si="35"/>
        <v>0</v>
      </c>
      <c r="AG46" s="180">
        <f t="shared" si="17"/>
        <v>0</v>
      </c>
      <c r="AH46" s="181">
        <f t="shared" si="36"/>
        <v>0</v>
      </c>
      <c r="AI46" s="189"/>
      <c r="AJ46" s="90"/>
      <c r="AK46" s="90"/>
      <c r="AL46" s="183">
        <f t="shared" si="37"/>
        <v>0</v>
      </c>
      <c r="AM46" s="189"/>
      <c r="AN46" s="90"/>
      <c r="AO46" s="90"/>
      <c r="AP46" s="183">
        <f t="shared" si="23"/>
        <v>0</v>
      </c>
      <c r="AQ46" s="189"/>
      <c r="AR46" s="90"/>
      <c r="AS46" s="90"/>
      <c r="AT46" s="183">
        <f t="shared" si="24"/>
        <v>0</v>
      </c>
      <c r="AU46" s="189"/>
      <c r="AV46" s="90"/>
      <c r="AW46" s="90"/>
      <c r="AX46" s="183">
        <f t="shared" si="25"/>
        <v>0</v>
      </c>
      <c r="AY46" s="189"/>
      <c r="AZ46" s="90"/>
      <c r="BA46" s="90"/>
      <c r="BB46" s="183">
        <f t="shared" si="26"/>
        <v>0</v>
      </c>
      <c r="BC46" s="189"/>
      <c r="BD46" s="90"/>
      <c r="BE46" s="90"/>
      <c r="BF46" s="183">
        <f t="shared" si="27"/>
        <v>0</v>
      </c>
      <c r="BG46" s="189"/>
      <c r="BH46" s="90"/>
      <c r="BI46" s="90"/>
      <c r="BJ46" s="183">
        <f t="shared" si="28"/>
        <v>0</v>
      </c>
      <c r="BK46" s="189"/>
      <c r="BL46" s="90"/>
      <c r="BM46" s="90"/>
      <c r="BN46" s="183">
        <f t="shared" si="29"/>
        <v>0</v>
      </c>
      <c r="BO46" s="189"/>
      <c r="BP46" s="90"/>
      <c r="BQ46" s="90"/>
      <c r="BR46" s="183">
        <f t="shared" si="30"/>
        <v>0</v>
      </c>
      <c r="BS46" s="189"/>
      <c r="BT46" s="90"/>
      <c r="BU46" s="90"/>
      <c r="BV46" s="183">
        <f t="shared" si="31"/>
        <v>0</v>
      </c>
      <c r="BW46" s="189"/>
      <c r="BX46" s="90"/>
      <c r="BY46" s="90"/>
      <c r="BZ46" s="183">
        <f t="shared" si="32"/>
        <v>0</v>
      </c>
      <c r="CA46" s="189"/>
      <c r="CB46" s="90"/>
      <c r="CC46" s="90"/>
      <c r="CD46" s="183">
        <f t="shared" si="33"/>
        <v>0</v>
      </c>
    </row>
    <row r="47" spans="2:82" x14ac:dyDescent="0.3">
      <c r="B47" s="53"/>
      <c r="C47" s="53" t="str">
        <f t="shared" si="0"/>
        <v>CPU_IluminaçãoBSOeSAL</v>
      </c>
      <c r="D47" s="278">
        <f t="shared" si="1"/>
        <v>1</v>
      </c>
      <c r="E47" s="278">
        <f t="shared" si="2"/>
        <v>0</v>
      </c>
      <c r="F47" s="1"/>
      <c r="G47" s="28" t="str">
        <f>IFERROR(VLOOKUP(F47,Tabela7[[RECURSO]:[CUSTO]],2,FALSE),"")</f>
        <v/>
      </c>
      <c r="H47" s="92"/>
      <c r="I47" s="90"/>
      <c r="J47" s="45">
        <f>IFERROR(VLOOKUP(F47,Tabela7[[RECURSO]:[CUSTO]],3,FALSE),0)</f>
        <v>0</v>
      </c>
      <c r="K47" s="45">
        <f>I47*J47*CPU_41[[#This Row],[Nº]]</f>
        <v>0</v>
      </c>
      <c r="AD47" s="144" t="str">
        <f t="shared" si="3"/>
        <v>Iluminação BSO e SAL</v>
      </c>
      <c r="AE47" s="188"/>
      <c r="AF47" s="180">
        <f t="shared" si="35"/>
        <v>0</v>
      </c>
      <c r="AG47" s="180">
        <f t="shared" si="17"/>
        <v>0</v>
      </c>
      <c r="AH47" s="181">
        <f t="shared" si="36"/>
        <v>0</v>
      </c>
      <c r="AI47" s="189"/>
      <c r="AJ47" s="90"/>
      <c r="AK47" s="90"/>
      <c r="AL47" s="183">
        <f t="shared" si="37"/>
        <v>0</v>
      </c>
      <c r="AM47" s="189"/>
      <c r="AN47" s="90"/>
      <c r="AO47" s="90"/>
      <c r="AP47" s="183">
        <f t="shared" si="23"/>
        <v>0</v>
      </c>
      <c r="AQ47" s="189"/>
      <c r="AR47" s="90"/>
      <c r="AS47" s="90"/>
      <c r="AT47" s="183">
        <f t="shared" si="24"/>
        <v>0</v>
      </c>
      <c r="AU47" s="189"/>
      <c r="AV47" s="90"/>
      <c r="AW47" s="90"/>
      <c r="AX47" s="183">
        <f t="shared" si="25"/>
        <v>0</v>
      </c>
      <c r="AY47" s="189"/>
      <c r="AZ47" s="90"/>
      <c r="BA47" s="90"/>
      <c r="BB47" s="183">
        <f t="shared" si="26"/>
        <v>0</v>
      </c>
      <c r="BC47" s="189"/>
      <c r="BD47" s="90"/>
      <c r="BE47" s="90"/>
      <c r="BF47" s="183">
        <f t="shared" si="27"/>
        <v>0</v>
      </c>
      <c r="BG47" s="189"/>
      <c r="BH47" s="90"/>
      <c r="BI47" s="90"/>
      <c r="BJ47" s="183">
        <f t="shared" si="28"/>
        <v>0</v>
      </c>
      <c r="BK47" s="189"/>
      <c r="BL47" s="90"/>
      <c r="BM47" s="90"/>
      <c r="BN47" s="183">
        <f t="shared" si="29"/>
        <v>0</v>
      </c>
      <c r="BO47" s="189"/>
      <c r="BP47" s="90"/>
      <c r="BQ47" s="90"/>
      <c r="BR47" s="183">
        <f t="shared" si="30"/>
        <v>0</v>
      </c>
      <c r="BS47" s="189"/>
      <c r="BT47" s="90"/>
      <c r="BU47" s="90"/>
      <c r="BV47" s="183">
        <f t="shared" si="31"/>
        <v>0</v>
      </c>
      <c r="BW47" s="189"/>
      <c r="BX47" s="90"/>
      <c r="BY47" s="90"/>
      <c r="BZ47" s="183">
        <f t="shared" si="32"/>
        <v>0</v>
      </c>
      <c r="CA47" s="189"/>
      <c r="CB47" s="90"/>
      <c r="CC47" s="90"/>
      <c r="CD47" s="183">
        <f t="shared" si="33"/>
        <v>0</v>
      </c>
    </row>
    <row r="48" spans="2:82" x14ac:dyDescent="0.3">
      <c r="B48" s="53"/>
      <c r="C48" s="53" t="str">
        <f t="shared" si="0"/>
        <v>CPU_IluminaçãoBSOeSAL</v>
      </c>
      <c r="D48" s="278">
        <f t="shared" si="1"/>
        <v>1</v>
      </c>
      <c r="E48" s="278">
        <f t="shared" si="2"/>
        <v>0</v>
      </c>
      <c r="F48" s="1"/>
      <c r="G48" s="28" t="str">
        <f>IFERROR(VLOOKUP(F48,Tabela7[[RECURSO]:[CUSTO]],2,FALSE),"")</f>
        <v/>
      </c>
      <c r="H48" s="92"/>
      <c r="I48" s="90"/>
      <c r="J48" s="45">
        <f>IFERROR(VLOOKUP(F48,Tabela7[[RECURSO]:[CUSTO]],3,FALSE),0)</f>
        <v>0</v>
      </c>
      <c r="K48" s="45">
        <f>I48*J48*CPU_41[[#This Row],[Nº]]</f>
        <v>0</v>
      </c>
      <c r="AD48" s="144" t="str">
        <f t="shared" si="3"/>
        <v>Iluminação BSO e SAL</v>
      </c>
      <c r="AE48" s="188"/>
      <c r="AF48" s="180">
        <f t="shared" si="35"/>
        <v>0</v>
      </c>
      <c r="AG48" s="180">
        <f t="shared" si="17"/>
        <v>0</v>
      </c>
      <c r="AH48" s="181">
        <f t="shared" si="36"/>
        <v>0</v>
      </c>
      <c r="AI48" s="189"/>
      <c r="AJ48" s="90"/>
      <c r="AK48" s="90"/>
      <c r="AL48" s="183">
        <f t="shared" si="37"/>
        <v>0</v>
      </c>
      <c r="AM48" s="189"/>
      <c r="AN48" s="90"/>
      <c r="AO48" s="90"/>
      <c r="AP48" s="183">
        <f t="shared" si="23"/>
        <v>0</v>
      </c>
      <c r="AQ48" s="189"/>
      <c r="AR48" s="90"/>
      <c r="AS48" s="90"/>
      <c r="AT48" s="183">
        <f t="shared" si="24"/>
        <v>0</v>
      </c>
      <c r="AU48" s="189"/>
      <c r="AV48" s="90"/>
      <c r="AW48" s="90"/>
      <c r="AX48" s="183">
        <f t="shared" si="25"/>
        <v>0</v>
      </c>
      <c r="AY48" s="189"/>
      <c r="AZ48" s="90"/>
      <c r="BA48" s="90"/>
      <c r="BB48" s="183">
        <f t="shared" si="26"/>
        <v>0</v>
      </c>
      <c r="BC48" s="189"/>
      <c r="BD48" s="90"/>
      <c r="BE48" s="90"/>
      <c r="BF48" s="183">
        <f t="shared" si="27"/>
        <v>0</v>
      </c>
      <c r="BG48" s="189"/>
      <c r="BH48" s="90"/>
      <c r="BI48" s="90"/>
      <c r="BJ48" s="183">
        <f t="shared" si="28"/>
        <v>0</v>
      </c>
      <c r="BK48" s="189"/>
      <c r="BL48" s="90"/>
      <c r="BM48" s="90"/>
      <c r="BN48" s="183">
        <f t="shared" si="29"/>
        <v>0</v>
      </c>
      <c r="BO48" s="189"/>
      <c r="BP48" s="90"/>
      <c r="BQ48" s="90"/>
      <c r="BR48" s="183">
        <f t="shared" si="30"/>
        <v>0</v>
      </c>
      <c r="BS48" s="189"/>
      <c r="BT48" s="90"/>
      <c r="BU48" s="90"/>
      <c r="BV48" s="183">
        <f t="shared" si="31"/>
        <v>0</v>
      </c>
      <c r="BW48" s="189"/>
      <c r="BX48" s="90"/>
      <c r="BY48" s="90"/>
      <c r="BZ48" s="183">
        <f t="shared" si="32"/>
        <v>0</v>
      </c>
      <c r="CA48" s="189"/>
      <c r="CB48" s="90"/>
      <c r="CC48" s="90"/>
      <c r="CD48" s="183">
        <f t="shared" si="33"/>
        <v>0</v>
      </c>
    </row>
    <row r="49" spans="2:82" ht="15" thickBot="1" x14ac:dyDescent="0.35">
      <c r="B49" s="53"/>
      <c r="C49" s="53" t="str">
        <f t="shared" si="0"/>
        <v>CPU_IluminaçãoBSOeSAL</v>
      </c>
      <c r="D49" s="278">
        <f t="shared" si="1"/>
        <v>1</v>
      </c>
      <c r="E49" s="278">
        <f t="shared" si="2"/>
        <v>0</v>
      </c>
      <c r="F49" s="1"/>
      <c r="G49" s="28" t="str">
        <f>IFERROR(VLOOKUP(F49,Tabela7[[RECURSO]:[CUSTO]],2,FALSE),"")</f>
        <v/>
      </c>
      <c r="H49" s="92"/>
      <c r="I49" s="90"/>
      <c r="J49" s="45">
        <f>IFERROR(VLOOKUP(F49,Tabela7[[RECURSO]:[CUSTO]],3,FALSE),0)</f>
        <v>0</v>
      </c>
      <c r="K49" s="45">
        <f>I49*J49*CPU_41[[#This Row],[Nº]]</f>
        <v>0</v>
      </c>
      <c r="M49" s="83" t="s">
        <v>701</v>
      </c>
      <c r="N49" s="87" t="s">
        <v>702</v>
      </c>
      <c r="AD49" s="144" t="str">
        <f t="shared" si="3"/>
        <v>Iluminação BSO e SAL</v>
      </c>
      <c r="AE49" s="188"/>
      <c r="AF49" s="180">
        <f t="shared" si="35"/>
        <v>0</v>
      </c>
      <c r="AG49" s="180">
        <f t="shared" si="17"/>
        <v>0</v>
      </c>
      <c r="AH49" s="181">
        <f t="shared" si="36"/>
        <v>0</v>
      </c>
      <c r="AI49" s="189"/>
      <c r="AJ49" s="90"/>
      <c r="AK49" s="90"/>
      <c r="AL49" s="183">
        <f t="shared" si="37"/>
        <v>0</v>
      </c>
      <c r="AM49" s="189"/>
      <c r="AN49" s="90"/>
      <c r="AO49" s="90"/>
      <c r="AP49" s="183">
        <f t="shared" si="23"/>
        <v>0</v>
      </c>
      <c r="AQ49" s="189"/>
      <c r="AR49" s="90"/>
      <c r="AS49" s="90"/>
      <c r="AT49" s="183">
        <f t="shared" si="24"/>
        <v>0</v>
      </c>
      <c r="AU49" s="189"/>
      <c r="AV49" s="90"/>
      <c r="AW49" s="90"/>
      <c r="AX49" s="183">
        <f t="shared" si="25"/>
        <v>0</v>
      </c>
      <c r="AY49" s="189"/>
      <c r="AZ49" s="90"/>
      <c r="BA49" s="90"/>
      <c r="BB49" s="183">
        <f t="shared" si="26"/>
        <v>0</v>
      </c>
      <c r="BC49" s="189"/>
      <c r="BD49" s="90"/>
      <c r="BE49" s="90"/>
      <c r="BF49" s="183">
        <f t="shared" si="27"/>
        <v>0</v>
      </c>
      <c r="BG49" s="189"/>
      <c r="BH49" s="90"/>
      <c r="BI49" s="90"/>
      <c r="BJ49" s="183">
        <f t="shared" si="28"/>
        <v>0</v>
      </c>
      <c r="BK49" s="189"/>
      <c r="BL49" s="90"/>
      <c r="BM49" s="90"/>
      <c r="BN49" s="183">
        <f t="shared" si="29"/>
        <v>0</v>
      </c>
      <c r="BO49" s="189"/>
      <c r="BP49" s="90"/>
      <c r="BQ49" s="90"/>
      <c r="BR49" s="183">
        <f t="shared" si="30"/>
        <v>0</v>
      </c>
      <c r="BS49" s="189"/>
      <c r="BT49" s="90"/>
      <c r="BU49" s="90"/>
      <c r="BV49" s="183">
        <f t="shared" si="31"/>
        <v>0</v>
      </c>
      <c r="BW49" s="189"/>
      <c r="BX49" s="90"/>
      <c r="BY49" s="90"/>
      <c r="BZ49" s="183">
        <f t="shared" si="32"/>
        <v>0</v>
      </c>
      <c r="CA49" s="189"/>
      <c r="CB49" s="90"/>
      <c r="CC49" s="90"/>
      <c r="CD49" s="183">
        <f t="shared" si="33"/>
        <v>0</v>
      </c>
    </row>
    <row r="50" spans="2:82" x14ac:dyDescent="0.3">
      <c r="B50" s="52" t="s">
        <v>693</v>
      </c>
      <c r="C50" s="52" t="str">
        <f t="shared" si="0"/>
        <v>CPU_IluminaçãoBSOeSAL</v>
      </c>
      <c r="D50" s="277">
        <f t="shared" si="1"/>
        <v>1</v>
      </c>
      <c r="E50" s="277">
        <f t="shared" si="2"/>
        <v>0</v>
      </c>
      <c r="F50" s="37"/>
      <c r="G50" s="38"/>
      <c r="H50" s="38"/>
      <c r="I50" s="37"/>
      <c r="J50" s="40">
        <f>IFERROR(K50/$B$6,0)</f>
        <v>166666.66666666666</v>
      </c>
      <c r="K50" s="40">
        <f>SUM(K51:K62)</f>
        <v>166666.66666666666</v>
      </c>
      <c r="M50" s="84" t="str">
        <f>"Consumo por "&amp;J3</f>
        <v>Consumo por UNID</v>
      </c>
      <c r="N50" s="89"/>
      <c r="AD50" s="144" t="str">
        <f t="shared" si="3"/>
        <v>Iluminação BSO e SAL</v>
      </c>
      <c r="AE50" s="190"/>
      <c r="AF50" s="191"/>
      <c r="AG50" s="40">
        <f>IFERROR(AH50/AF$3,0)</f>
        <v>0</v>
      </c>
      <c r="AH50" s="185">
        <f>SUM(AH51:AH62)</f>
        <v>0</v>
      </c>
      <c r="AI50" s="190"/>
      <c r="AJ50" s="37"/>
      <c r="AK50" s="40">
        <f>IFERROR(AL50/AJ$3,0)</f>
        <v>0</v>
      </c>
      <c r="AL50" s="185">
        <f>SUM(AL51:AL62)</f>
        <v>0</v>
      </c>
      <c r="AM50" s="190"/>
      <c r="AN50" s="37"/>
      <c r="AO50" s="40">
        <f>IFERROR(AP50/AN$3,0)</f>
        <v>0</v>
      </c>
      <c r="AP50" s="185">
        <f>SUM(AP51:AP62)</f>
        <v>0</v>
      </c>
      <c r="AQ50" s="190"/>
      <c r="AR50" s="37"/>
      <c r="AS50" s="40">
        <f>IFERROR(AT50/AR$3,0)</f>
        <v>0</v>
      </c>
      <c r="AT50" s="185">
        <f>SUM(AT51:AT62)</f>
        <v>0</v>
      </c>
      <c r="AU50" s="190"/>
      <c r="AV50" s="37"/>
      <c r="AW50" s="40">
        <f>IFERROR(AX50/AV$3,0)</f>
        <v>0</v>
      </c>
      <c r="AX50" s="185">
        <f>SUM(AX51:AX62)</f>
        <v>0</v>
      </c>
      <c r="AY50" s="190"/>
      <c r="AZ50" s="37"/>
      <c r="BA50" s="40">
        <f>IFERROR(BB50/AZ$3,0)</f>
        <v>0</v>
      </c>
      <c r="BB50" s="185">
        <f>SUM(BB51:BB62)</f>
        <v>0</v>
      </c>
      <c r="BC50" s="190"/>
      <c r="BD50" s="37"/>
      <c r="BE50" s="40">
        <f>IFERROR(BF50/BD$3,0)</f>
        <v>0</v>
      </c>
      <c r="BF50" s="185">
        <f>SUM(BF51:BF62)</f>
        <v>0</v>
      </c>
      <c r="BG50" s="190"/>
      <c r="BH50" s="37"/>
      <c r="BI50" s="40">
        <f>IFERROR(BJ50/BH$3,0)</f>
        <v>0</v>
      </c>
      <c r="BJ50" s="185">
        <f>SUM(BJ51:BJ62)</f>
        <v>0</v>
      </c>
      <c r="BK50" s="190"/>
      <c r="BL50" s="37"/>
      <c r="BM50" s="40">
        <f>IFERROR(BN50/BL$3,0)</f>
        <v>0</v>
      </c>
      <c r="BN50" s="185">
        <f>SUM(BN51:BN62)</f>
        <v>0</v>
      </c>
      <c r="BO50" s="190"/>
      <c r="BP50" s="37"/>
      <c r="BQ50" s="40">
        <f>IFERROR(BR50/BP$3,0)</f>
        <v>0</v>
      </c>
      <c r="BR50" s="185">
        <f>SUM(BR51:BR62)</f>
        <v>0</v>
      </c>
      <c r="BS50" s="190"/>
      <c r="BT50" s="37"/>
      <c r="BU50" s="40">
        <f>IFERROR(BV50/BT$3,0)</f>
        <v>0</v>
      </c>
      <c r="BV50" s="185">
        <f>SUM(BV51:BV62)</f>
        <v>0</v>
      </c>
      <c r="BW50" s="190"/>
      <c r="BX50" s="37"/>
      <c r="BY50" s="40">
        <f>IFERROR(BZ50/BX$3,0)</f>
        <v>0</v>
      </c>
      <c r="BZ50" s="185">
        <f>SUM(BZ51:BZ62)</f>
        <v>0</v>
      </c>
      <c r="CA50" s="190"/>
      <c r="CB50" s="37"/>
      <c r="CC50" s="40">
        <f>IFERROR(CD50/CB$3,0)</f>
        <v>0</v>
      </c>
      <c r="CD50" s="185">
        <f>SUM(CD51:CD62)</f>
        <v>0</v>
      </c>
    </row>
    <row r="51" spans="2:82" x14ac:dyDescent="0.3">
      <c r="B51" s="53"/>
      <c r="C51" s="53" t="str">
        <f t="shared" si="0"/>
        <v>CPU_IluminaçãoBSOeSAL</v>
      </c>
      <c r="D51" s="278">
        <f t="shared" si="1"/>
        <v>1</v>
      </c>
      <c r="E51" s="278">
        <f t="shared" si="2"/>
        <v>0</v>
      </c>
      <c r="F51" s="1" t="s">
        <v>806</v>
      </c>
      <c r="G51" s="28" t="str">
        <f>IFERROR(VLOOKUP(F51,Tabela7[[RECURSO]:[CUSTO]],2,FALSE),"")</f>
        <v>VB</v>
      </c>
      <c r="I51" s="90">
        <f>IFERROR(M51*$B$6,0)</f>
        <v>166666.66666666666</v>
      </c>
      <c r="J51" s="45">
        <f>IFERROR(VLOOKUP(F51,Tabela7[[RECURSO]:[CUSTO]],3,FALSE),0)</f>
        <v>1</v>
      </c>
      <c r="K51" s="45">
        <f>I51*J51</f>
        <v>166666.66666666666</v>
      </c>
      <c r="M51" s="85">
        <f>1500000/9</f>
        <v>166666.66666666666</v>
      </c>
      <c r="N51" s="88"/>
      <c r="AD51" s="144" t="str">
        <f t="shared" si="3"/>
        <v>Iluminação BSO e SAL</v>
      </c>
      <c r="AE51" s="192"/>
      <c r="AF51" s="180">
        <f t="shared" ref="AF51:AF62" si="38">AJ51+AN51+AR51+AV51+AZ51+BD51+BH51+BL51+BP51+BT51+BX51+CB51</f>
        <v>0</v>
      </c>
      <c r="AG51" s="180">
        <f t="shared" si="17"/>
        <v>0</v>
      </c>
      <c r="AH51" s="181">
        <f t="shared" ref="AH51:AH62" si="39">AL51+AP51+AT51+AX51+BB51+BF51+BJ51+BN51+BR51+BV51+BZ51+CD51</f>
        <v>0</v>
      </c>
      <c r="AI51" s="193"/>
      <c r="AJ51" s="90"/>
      <c r="AK51" s="90"/>
      <c r="AL51" s="183">
        <f t="shared" ref="AL51:AL62" si="40">AJ51*AK51</f>
        <v>0</v>
      </c>
      <c r="AM51" s="193"/>
      <c r="AN51" s="90"/>
      <c r="AO51" s="90"/>
      <c r="AP51" s="183">
        <f t="shared" si="23"/>
        <v>0</v>
      </c>
      <c r="AQ51" s="193"/>
      <c r="AR51" s="90"/>
      <c r="AS51" s="90"/>
      <c r="AT51" s="183">
        <f t="shared" si="24"/>
        <v>0</v>
      </c>
      <c r="AU51" s="193"/>
      <c r="AV51" s="90"/>
      <c r="AW51" s="90"/>
      <c r="AX51" s="183">
        <f t="shared" si="25"/>
        <v>0</v>
      </c>
      <c r="AY51" s="193"/>
      <c r="AZ51" s="90"/>
      <c r="BA51" s="90"/>
      <c r="BB51" s="183">
        <f t="shared" si="26"/>
        <v>0</v>
      </c>
      <c r="BC51" s="193"/>
      <c r="BD51" s="90"/>
      <c r="BE51" s="90"/>
      <c r="BF51" s="183">
        <f t="shared" si="27"/>
        <v>0</v>
      </c>
      <c r="BG51" s="193"/>
      <c r="BH51" s="90"/>
      <c r="BI51" s="90"/>
      <c r="BJ51" s="183">
        <f t="shared" si="28"/>
        <v>0</v>
      </c>
      <c r="BK51" s="193"/>
      <c r="BL51" s="90"/>
      <c r="BM51" s="90"/>
      <c r="BN51" s="183">
        <f t="shared" si="29"/>
        <v>0</v>
      </c>
      <c r="BO51" s="193"/>
      <c r="BP51" s="90"/>
      <c r="BQ51" s="90"/>
      <c r="BR51" s="183">
        <f t="shared" si="30"/>
        <v>0</v>
      </c>
      <c r="BS51" s="193"/>
      <c r="BT51" s="90"/>
      <c r="BU51" s="90"/>
      <c r="BV51" s="183">
        <f t="shared" si="31"/>
        <v>0</v>
      </c>
      <c r="BW51" s="193"/>
      <c r="BX51" s="90"/>
      <c r="BY51" s="90"/>
      <c r="BZ51" s="183">
        <f t="shared" si="32"/>
        <v>0</v>
      </c>
      <c r="CA51" s="193"/>
      <c r="CB51" s="90"/>
      <c r="CC51" s="90"/>
      <c r="CD51" s="183">
        <f t="shared" si="33"/>
        <v>0</v>
      </c>
    </row>
    <row r="52" spans="2:82" x14ac:dyDescent="0.3">
      <c r="B52" s="53"/>
      <c r="C52" s="53" t="str">
        <f t="shared" si="0"/>
        <v>CPU_IluminaçãoBSOeSAL</v>
      </c>
      <c r="D52" s="278">
        <f t="shared" si="1"/>
        <v>1</v>
      </c>
      <c r="E52" s="278">
        <f t="shared" si="2"/>
        <v>0</v>
      </c>
      <c r="F52" s="1"/>
      <c r="G52" s="28" t="str">
        <f>IFERROR(VLOOKUP(F52,Tabela7[[RECURSO]:[CUSTO]],2,FALSE),"")</f>
        <v/>
      </c>
      <c r="I52" s="90">
        <f t="shared" ref="I52:I62" si="41">IFERROR(M52*$B$6,0)</f>
        <v>0</v>
      </c>
      <c r="J52" s="45">
        <f>IFERROR(VLOOKUP(F52,Tabela7[[RECURSO]:[CUSTO]],3,FALSE),0)</f>
        <v>0</v>
      </c>
      <c r="K52" s="45">
        <f t="shared" ref="K52:K62" si="42">I52*J52</f>
        <v>0</v>
      </c>
      <c r="M52" s="85"/>
      <c r="N52" s="88"/>
      <c r="AD52" s="144" t="str">
        <f t="shared" si="3"/>
        <v>Iluminação BSO e SAL</v>
      </c>
      <c r="AE52" s="192"/>
      <c r="AF52" s="180">
        <f t="shared" si="38"/>
        <v>0</v>
      </c>
      <c r="AG52" s="180">
        <f t="shared" si="17"/>
        <v>0</v>
      </c>
      <c r="AH52" s="181">
        <f t="shared" si="39"/>
        <v>0</v>
      </c>
      <c r="AI52" s="193"/>
      <c r="AJ52" s="90"/>
      <c r="AK52" s="90"/>
      <c r="AL52" s="183">
        <f t="shared" si="40"/>
        <v>0</v>
      </c>
      <c r="AM52" s="193"/>
      <c r="AN52" s="90"/>
      <c r="AO52" s="90"/>
      <c r="AP52" s="183">
        <f t="shared" si="23"/>
        <v>0</v>
      </c>
      <c r="AQ52" s="193"/>
      <c r="AR52" s="90"/>
      <c r="AS52" s="90"/>
      <c r="AT52" s="183">
        <f t="shared" si="24"/>
        <v>0</v>
      </c>
      <c r="AU52" s="193"/>
      <c r="AV52" s="90"/>
      <c r="AW52" s="90"/>
      <c r="AX52" s="183">
        <f t="shared" si="25"/>
        <v>0</v>
      </c>
      <c r="AY52" s="193"/>
      <c r="AZ52" s="90"/>
      <c r="BA52" s="90"/>
      <c r="BB52" s="183">
        <f t="shared" si="26"/>
        <v>0</v>
      </c>
      <c r="BC52" s="193"/>
      <c r="BD52" s="90"/>
      <c r="BE52" s="90"/>
      <c r="BF52" s="183">
        <f t="shared" si="27"/>
        <v>0</v>
      </c>
      <c r="BG52" s="193"/>
      <c r="BH52" s="90"/>
      <c r="BI52" s="90"/>
      <c r="BJ52" s="183">
        <f t="shared" si="28"/>
        <v>0</v>
      </c>
      <c r="BK52" s="193"/>
      <c r="BL52" s="90"/>
      <c r="BM52" s="90"/>
      <c r="BN52" s="183">
        <f t="shared" si="29"/>
        <v>0</v>
      </c>
      <c r="BO52" s="193"/>
      <c r="BP52" s="90"/>
      <c r="BQ52" s="90"/>
      <c r="BR52" s="183">
        <f t="shared" si="30"/>
        <v>0</v>
      </c>
      <c r="BS52" s="193"/>
      <c r="BT52" s="90"/>
      <c r="BU52" s="90"/>
      <c r="BV52" s="183">
        <f t="shared" si="31"/>
        <v>0</v>
      </c>
      <c r="BW52" s="193"/>
      <c r="BX52" s="90"/>
      <c r="BY52" s="90"/>
      <c r="BZ52" s="183">
        <f t="shared" si="32"/>
        <v>0</v>
      </c>
      <c r="CA52" s="193"/>
      <c r="CB52" s="90"/>
      <c r="CC52" s="90"/>
      <c r="CD52" s="183">
        <f t="shared" si="33"/>
        <v>0</v>
      </c>
    </row>
    <row r="53" spans="2:82" x14ac:dyDescent="0.3">
      <c r="B53" s="53"/>
      <c r="C53" s="53" t="str">
        <f t="shared" si="0"/>
        <v>CPU_IluminaçãoBSOeSAL</v>
      </c>
      <c r="D53" s="278">
        <f t="shared" si="1"/>
        <v>1</v>
      </c>
      <c r="E53" s="278">
        <f t="shared" si="2"/>
        <v>0</v>
      </c>
      <c r="F53" s="1"/>
      <c r="G53" s="28" t="str">
        <f>IFERROR(VLOOKUP(F53,Tabela7[[RECURSO]:[CUSTO]],2,FALSE),"")</f>
        <v/>
      </c>
      <c r="I53" s="90">
        <f t="shared" si="41"/>
        <v>0</v>
      </c>
      <c r="J53" s="45">
        <f>IFERROR(VLOOKUP(F53,Tabela7[[RECURSO]:[CUSTO]],3,FALSE),0)</f>
        <v>0</v>
      </c>
      <c r="K53" s="45">
        <f t="shared" si="42"/>
        <v>0</v>
      </c>
      <c r="M53" s="85"/>
      <c r="N53" s="88"/>
      <c r="AD53" s="144" t="str">
        <f t="shared" si="3"/>
        <v>Iluminação BSO e SAL</v>
      </c>
      <c r="AE53" s="192"/>
      <c r="AF53" s="180">
        <f t="shared" si="38"/>
        <v>0</v>
      </c>
      <c r="AG53" s="180">
        <f t="shared" si="17"/>
        <v>0</v>
      </c>
      <c r="AH53" s="181">
        <f t="shared" si="39"/>
        <v>0</v>
      </c>
      <c r="AI53" s="193"/>
      <c r="AJ53" s="90"/>
      <c r="AK53" s="90"/>
      <c r="AL53" s="183">
        <f t="shared" si="40"/>
        <v>0</v>
      </c>
      <c r="AM53" s="193"/>
      <c r="AN53" s="90"/>
      <c r="AO53" s="90"/>
      <c r="AP53" s="183">
        <f t="shared" si="23"/>
        <v>0</v>
      </c>
      <c r="AQ53" s="193"/>
      <c r="AR53" s="90"/>
      <c r="AS53" s="90"/>
      <c r="AT53" s="183">
        <f t="shared" si="24"/>
        <v>0</v>
      </c>
      <c r="AU53" s="193"/>
      <c r="AV53" s="90"/>
      <c r="AW53" s="90"/>
      <c r="AX53" s="183">
        <f t="shared" si="25"/>
        <v>0</v>
      </c>
      <c r="AY53" s="193"/>
      <c r="AZ53" s="90"/>
      <c r="BA53" s="90"/>
      <c r="BB53" s="183">
        <f t="shared" si="26"/>
        <v>0</v>
      </c>
      <c r="BC53" s="193"/>
      <c r="BD53" s="90"/>
      <c r="BE53" s="90"/>
      <c r="BF53" s="183">
        <f t="shared" si="27"/>
        <v>0</v>
      </c>
      <c r="BG53" s="193"/>
      <c r="BH53" s="90"/>
      <c r="BI53" s="90"/>
      <c r="BJ53" s="183">
        <f t="shared" si="28"/>
        <v>0</v>
      </c>
      <c r="BK53" s="193"/>
      <c r="BL53" s="90"/>
      <c r="BM53" s="90"/>
      <c r="BN53" s="183">
        <f t="shared" si="29"/>
        <v>0</v>
      </c>
      <c r="BO53" s="193"/>
      <c r="BP53" s="90"/>
      <c r="BQ53" s="90"/>
      <c r="BR53" s="183">
        <f t="shared" si="30"/>
        <v>0</v>
      </c>
      <c r="BS53" s="193"/>
      <c r="BT53" s="90"/>
      <c r="BU53" s="90"/>
      <c r="BV53" s="183">
        <f t="shared" si="31"/>
        <v>0</v>
      </c>
      <c r="BW53" s="193"/>
      <c r="BX53" s="90"/>
      <c r="BY53" s="90"/>
      <c r="BZ53" s="183">
        <f t="shared" si="32"/>
        <v>0</v>
      </c>
      <c r="CA53" s="193"/>
      <c r="CB53" s="90"/>
      <c r="CC53" s="90"/>
      <c r="CD53" s="183">
        <f t="shared" si="33"/>
        <v>0</v>
      </c>
    </row>
    <row r="54" spans="2:82" x14ac:dyDescent="0.3">
      <c r="B54" s="53"/>
      <c r="C54" s="53" t="str">
        <f t="shared" si="0"/>
        <v>CPU_IluminaçãoBSOeSAL</v>
      </c>
      <c r="D54" s="278">
        <f t="shared" si="1"/>
        <v>1</v>
      </c>
      <c r="E54" s="278">
        <f t="shared" si="2"/>
        <v>0</v>
      </c>
      <c r="F54" s="1"/>
      <c r="G54" s="28" t="str">
        <f>IFERROR(VLOOKUP(F54,Tabela7[[RECURSO]:[CUSTO]],2,FALSE),"")</f>
        <v/>
      </c>
      <c r="I54" s="90">
        <f t="shared" si="41"/>
        <v>0</v>
      </c>
      <c r="J54" s="45">
        <f>IFERROR(VLOOKUP(F54,Tabela7[[RECURSO]:[CUSTO]],3,FALSE),0)</f>
        <v>0</v>
      </c>
      <c r="K54" s="45">
        <f>I54*J54</f>
        <v>0</v>
      </c>
      <c r="M54" s="85"/>
      <c r="N54" s="88"/>
      <c r="AD54" s="144" t="str">
        <f>$B$3</f>
        <v>Iluminação BSO e SAL</v>
      </c>
      <c r="AE54" s="192"/>
      <c r="AF54" s="180">
        <f t="shared" si="38"/>
        <v>0</v>
      </c>
      <c r="AG54" s="180">
        <f t="shared" si="17"/>
        <v>0</v>
      </c>
      <c r="AH54" s="181">
        <f t="shared" si="39"/>
        <v>0</v>
      </c>
      <c r="AI54" s="193"/>
      <c r="AJ54" s="90"/>
      <c r="AK54" s="90"/>
      <c r="AL54" s="183">
        <f t="shared" si="40"/>
        <v>0</v>
      </c>
      <c r="AM54" s="193"/>
      <c r="AN54" s="90"/>
      <c r="AO54" s="90"/>
      <c r="AP54" s="183">
        <f t="shared" si="23"/>
        <v>0</v>
      </c>
      <c r="AQ54" s="193"/>
      <c r="AR54" s="90"/>
      <c r="AS54" s="90"/>
      <c r="AT54" s="183">
        <f t="shared" si="24"/>
        <v>0</v>
      </c>
      <c r="AU54" s="193"/>
      <c r="AV54" s="90"/>
      <c r="AW54" s="90"/>
      <c r="AX54" s="183">
        <f t="shared" si="25"/>
        <v>0</v>
      </c>
      <c r="AY54" s="193"/>
      <c r="AZ54" s="90"/>
      <c r="BA54" s="90"/>
      <c r="BB54" s="183">
        <f t="shared" si="26"/>
        <v>0</v>
      </c>
      <c r="BC54" s="193"/>
      <c r="BD54" s="90"/>
      <c r="BE54" s="90"/>
      <c r="BF54" s="183">
        <f t="shared" si="27"/>
        <v>0</v>
      </c>
      <c r="BG54" s="193"/>
      <c r="BH54" s="90"/>
      <c r="BI54" s="90"/>
      <c r="BJ54" s="183">
        <f t="shared" si="28"/>
        <v>0</v>
      </c>
      <c r="BK54" s="193"/>
      <c r="BL54" s="90"/>
      <c r="BM54" s="90"/>
      <c r="BN54" s="183">
        <f t="shared" si="29"/>
        <v>0</v>
      </c>
      <c r="BO54" s="193"/>
      <c r="BP54" s="90"/>
      <c r="BQ54" s="90"/>
      <c r="BR54" s="183">
        <f t="shared" si="30"/>
        <v>0</v>
      </c>
      <c r="BS54" s="193"/>
      <c r="BT54" s="90"/>
      <c r="BU54" s="90"/>
      <c r="BV54" s="183">
        <f t="shared" si="31"/>
        <v>0</v>
      </c>
      <c r="BW54" s="193"/>
      <c r="BX54" s="90"/>
      <c r="BY54" s="90"/>
      <c r="BZ54" s="183">
        <f t="shared" si="32"/>
        <v>0</v>
      </c>
      <c r="CA54" s="193"/>
      <c r="CB54" s="90"/>
      <c r="CC54" s="90"/>
      <c r="CD54" s="183">
        <f t="shared" si="33"/>
        <v>0</v>
      </c>
    </row>
    <row r="55" spans="2:82" x14ac:dyDescent="0.3">
      <c r="B55" s="53"/>
      <c r="C55" s="53" t="str">
        <f t="shared" si="0"/>
        <v>CPU_IluminaçãoBSOeSAL</v>
      </c>
      <c r="D55" s="278">
        <f t="shared" si="1"/>
        <v>1</v>
      </c>
      <c r="E55" s="278">
        <f t="shared" si="2"/>
        <v>0</v>
      </c>
      <c r="F55" s="1"/>
      <c r="G55" s="28" t="str">
        <f>IFERROR(VLOOKUP(F55,Tabela7[[RECURSO]:[CUSTO]],2,FALSE),"")</f>
        <v/>
      </c>
      <c r="I55" s="90">
        <f t="shared" si="41"/>
        <v>0</v>
      </c>
      <c r="J55" s="45">
        <f>IFERROR(VLOOKUP(F55,Tabela7[[RECURSO]:[CUSTO]],3,FALSE),0)</f>
        <v>0</v>
      </c>
      <c r="K55" s="45">
        <f t="shared" si="42"/>
        <v>0</v>
      </c>
      <c r="M55" s="85"/>
      <c r="N55" s="88"/>
      <c r="AD55" s="144" t="str">
        <f t="shared" si="3"/>
        <v>Iluminação BSO e SAL</v>
      </c>
      <c r="AE55" s="192"/>
      <c r="AF55" s="180">
        <f t="shared" si="38"/>
        <v>0</v>
      </c>
      <c r="AG55" s="180">
        <f t="shared" si="17"/>
        <v>0</v>
      </c>
      <c r="AH55" s="181">
        <f t="shared" si="39"/>
        <v>0</v>
      </c>
      <c r="AI55" s="193"/>
      <c r="AJ55" s="90"/>
      <c r="AK55" s="90"/>
      <c r="AL55" s="183">
        <f t="shared" si="40"/>
        <v>0</v>
      </c>
      <c r="AM55" s="193"/>
      <c r="AN55" s="90"/>
      <c r="AO55" s="90"/>
      <c r="AP55" s="183">
        <f t="shared" si="23"/>
        <v>0</v>
      </c>
      <c r="AQ55" s="193"/>
      <c r="AR55" s="90"/>
      <c r="AS55" s="90"/>
      <c r="AT55" s="183">
        <f t="shared" si="24"/>
        <v>0</v>
      </c>
      <c r="AU55" s="193"/>
      <c r="AV55" s="90"/>
      <c r="AW55" s="90"/>
      <c r="AX55" s="183">
        <f t="shared" si="25"/>
        <v>0</v>
      </c>
      <c r="AY55" s="193"/>
      <c r="AZ55" s="90"/>
      <c r="BA55" s="90"/>
      <c r="BB55" s="183">
        <f t="shared" si="26"/>
        <v>0</v>
      </c>
      <c r="BC55" s="193"/>
      <c r="BD55" s="90"/>
      <c r="BE55" s="90"/>
      <c r="BF55" s="183">
        <f t="shared" si="27"/>
        <v>0</v>
      </c>
      <c r="BG55" s="193"/>
      <c r="BH55" s="90"/>
      <c r="BI55" s="90"/>
      <c r="BJ55" s="183">
        <f t="shared" si="28"/>
        <v>0</v>
      </c>
      <c r="BK55" s="193"/>
      <c r="BL55" s="90"/>
      <c r="BM55" s="90"/>
      <c r="BN55" s="183">
        <f t="shared" si="29"/>
        <v>0</v>
      </c>
      <c r="BO55" s="193"/>
      <c r="BP55" s="90"/>
      <c r="BQ55" s="90"/>
      <c r="BR55" s="183">
        <f t="shared" si="30"/>
        <v>0</v>
      </c>
      <c r="BS55" s="193"/>
      <c r="BT55" s="90"/>
      <c r="BU55" s="90"/>
      <c r="BV55" s="183">
        <f t="shared" si="31"/>
        <v>0</v>
      </c>
      <c r="BW55" s="193"/>
      <c r="BX55" s="90"/>
      <c r="BY55" s="90"/>
      <c r="BZ55" s="183">
        <f t="shared" si="32"/>
        <v>0</v>
      </c>
      <c r="CA55" s="193"/>
      <c r="CB55" s="90"/>
      <c r="CC55" s="90"/>
      <c r="CD55" s="183">
        <f t="shared" si="33"/>
        <v>0</v>
      </c>
    </row>
    <row r="56" spans="2:82" x14ac:dyDescent="0.3">
      <c r="B56" s="53"/>
      <c r="C56" s="53" t="str">
        <f t="shared" si="0"/>
        <v>CPU_IluminaçãoBSOeSAL</v>
      </c>
      <c r="D56" s="278">
        <f t="shared" si="1"/>
        <v>1</v>
      </c>
      <c r="E56" s="278">
        <f t="shared" si="2"/>
        <v>0</v>
      </c>
      <c r="F56" s="1"/>
      <c r="G56" s="28" t="str">
        <f>IFERROR(VLOOKUP(F56,Tabela7[[RECURSO]:[CUSTO]],2,FALSE),"")</f>
        <v/>
      </c>
      <c r="I56" s="90">
        <f t="shared" si="41"/>
        <v>0</v>
      </c>
      <c r="J56" s="45">
        <f>IFERROR(VLOOKUP(F56,Tabela7[[RECURSO]:[CUSTO]],3,FALSE),0)</f>
        <v>0</v>
      </c>
      <c r="K56" s="45">
        <f t="shared" si="42"/>
        <v>0</v>
      </c>
      <c r="M56" s="85"/>
      <c r="N56" s="88"/>
      <c r="AD56" s="144" t="str">
        <f t="shared" si="3"/>
        <v>Iluminação BSO e SAL</v>
      </c>
      <c r="AE56" s="192"/>
      <c r="AF56" s="180">
        <f t="shared" si="38"/>
        <v>0</v>
      </c>
      <c r="AG56" s="180">
        <f t="shared" si="17"/>
        <v>0</v>
      </c>
      <c r="AH56" s="181">
        <f t="shared" si="39"/>
        <v>0</v>
      </c>
      <c r="AI56" s="193"/>
      <c r="AJ56" s="90"/>
      <c r="AK56" s="90"/>
      <c r="AL56" s="183">
        <f t="shared" si="40"/>
        <v>0</v>
      </c>
      <c r="AM56" s="193"/>
      <c r="AN56" s="90"/>
      <c r="AO56" s="90"/>
      <c r="AP56" s="183">
        <f t="shared" si="23"/>
        <v>0</v>
      </c>
      <c r="AQ56" s="193"/>
      <c r="AR56" s="90"/>
      <c r="AS56" s="90"/>
      <c r="AT56" s="183">
        <f t="shared" si="24"/>
        <v>0</v>
      </c>
      <c r="AU56" s="193"/>
      <c r="AV56" s="90"/>
      <c r="AW56" s="90"/>
      <c r="AX56" s="183">
        <f t="shared" si="25"/>
        <v>0</v>
      </c>
      <c r="AY56" s="193"/>
      <c r="AZ56" s="90"/>
      <c r="BA56" s="90"/>
      <c r="BB56" s="183">
        <f t="shared" si="26"/>
        <v>0</v>
      </c>
      <c r="BC56" s="193"/>
      <c r="BD56" s="90"/>
      <c r="BE56" s="90"/>
      <c r="BF56" s="183">
        <f t="shared" si="27"/>
        <v>0</v>
      </c>
      <c r="BG56" s="193"/>
      <c r="BH56" s="90"/>
      <c r="BI56" s="90"/>
      <c r="BJ56" s="183">
        <f t="shared" si="28"/>
        <v>0</v>
      </c>
      <c r="BK56" s="193"/>
      <c r="BL56" s="90"/>
      <c r="BM56" s="90"/>
      <c r="BN56" s="183">
        <f t="shared" si="29"/>
        <v>0</v>
      </c>
      <c r="BO56" s="193"/>
      <c r="BP56" s="90"/>
      <c r="BQ56" s="90"/>
      <c r="BR56" s="183">
        <f t="shared" si="30"/>
        <v>0</v>
      </c>
      <c r="BS56" s="193"/>
      <c r="BT56" s="90"/>
      <c r="BU56" s="90"/>
      <c r="BV56" s="183">
        <f t="shared" si="31"/>
        <v>0</v>
      </c>
      <c r="BW56" s="193"/>
      <c r="BX56" s="90"/>
      <c r="BY56" s="90"/>
      <c r="BZ56" s="183">
        <f t="shared" si="32"/>
        <v>0</v>
      </c>
      <c r="CA56" s="193"/>
      <c r="CB56" s="90"/>
      <c r="CC56" s="90"/>
      <c r="CD56" s="183">
        <f t="shared" si="33"/>
        <v>0</v>
      </c>
    </row>
    <row r="57" spans="2:82" x14ac:dyDescent="0.3">
      <c r="B57" s="53"/>
      <c r="C57" s="53" t="str">
        <f t="shared" si="0"/>
        <v>CPU_IluminaçãoBSOeSAL</v>
      </c>
      <c r="D57" s="278">
        <f t="shared" si="1"/>
        <v>1</v>
      </c>
      <c r="E57" s="278">
        <f t="shared" si="2"/>
        <v>0</v>
      </c>
      <c r="F57" s="1"/>
      <c r="G57" s="28" t="str">
        <f>IFERROR(VLOOKUP(F57,Tabela7[[RECURSO]:[CUSTO]],2,FALSE),"")</f>
        <v/>
      </c>
      <c r="I57" s="90">
        <f t="shared" si="41"/>
        <v>0</v>
      </c>
      <c r="J57" s="45">
        <f>IFERROR(VLOOKUP(F57,Tabela7[[RECURSO]:[CUSTO]],3,FALSE),0)</f>
        <v>0</v>
      </c>
      <c r="K57" s="45">
        <f t="shared" si="42"/>
        <v>0</v>
      </c>
      <c r="M57" s="85"/>
      <c r="N57" s="88"/>
      <c r="AD57" s="144" t="str">
        <f t="shared" si="3"/>
        <v>Iluminação BSO e SAL</v>
      </c>
      <c r="AE57" s="192"/>
      <c r="AF57" s="180">
        <f t="shared" si="38"/>
        <v>0</v>
      </c>
      <c r="AG57" s="180">
        <f t="shared" si="17"/>
        <v>0</v>
      </c>
      <c r="AH57" s="181">
        <f t="shared" si="39"/>
        <v>0</v>
      </c>
      <c r="AI57" s="193"/>
      <c r="AJ57" s="90"/>
      <c r="AK57" s="90"/>
      <c r="AL57" s="183">
        <f t="shared" si="40"/>
        <v>0</v>
      </c>
      <c r="AM57" s="193"/>
      <c r="AN57" s="90"/>
      <c r="AO57" s="90"/>
      <c r="AP57" s="183">
        <f t="shared" si="23"/>
        <v>0</v>
      </c>
      <c r="AQ57" s="193"/>
      <c r="AR57" s="90"/>
      <c r="AS57" s="90"/>
      <c r="AT57" s="183">
        <f t="shared" si="24"/>
        <v>0</v>
      </c>
      <c r="AU57" s="193"/>
      <c r="AV57" s="90"/>
      <c r="AW57" s="90"/>
      <c r="AX57" s="183">
        <f t="shared" si="25"/>
        <v>0</v>
      </c>
      <c r="AY57" s="193"/>
      <c r="AZ57" s="90"/>
      <c r="BA57" s="90"/>
      <c r="BB57" s="183">
        <f t="shared" si="26"/>
        <v>0</v>
      </c>
      <c r="BC57" s="193"/>
      <c r="BD57" s="90"/>
      <c r="BE57" s="90"/>
      <c r="BF57" s="183">
        <f t="shared" si="27"/>
        <v>0</v>
      </c>
      <c r="BG57" s="193"/>
      <c r="BH57" s="90"/>
      <c r="BI57" s="90"/>
      <c r="BJ57" s="183">
        <f t="shared" si="28"/>
        <v>0</v>
      </c>
      <c r="BK57" s="193"/>
      <c r="BL57" s="90"/>
      <c r="BM57" s="90"/>
      <c r="BN57" s="183">
        <f t="shared" si="29"/>
        <v>0</v>
      </c>
      <c r="BO57" s="193"/>
      <c r="BP57" s="90"/>
      <c r="BQ57" s="90"/>
      <c r="BR57" s="183">
        <f t="shared" si="30"/>
        <v>0</v>
      </c>
      <c r="BS57" s="193"/>
      <c r="BT57" s="90"/>
      <c r="BU57" s="90"/>
      <c r="BV57" s="183">
        <f t="shared" si="31"/>
        <v>0</v>
      </c>
      <c r="BW57" s="193"/>
      <c r="BX57" s="90"/>
      <c r="BY57" s="90"/>
      <c r="BZ57" s="183">
        <f t="shared" si="32"/>
        <v>0</v>
      </c>
      <c r="CA57" s="193"/>
      <c r="CB57" s="90"/>
      <c r="CC57" s="90"/>
      <c r="CD57" s="183">
        <f t="shared" si="33"/>
        <v>0</v>
      </c>
    </row>
    <row r="58" spans="2:82" x14ac:dyDescent="0.3">
      <c r="B58" s="53"/>
      <c r="C58" s="53" t="str">
        <f t="shared" si="0"/>
        <v>CPU_IluminaçãoBSOeSAL</v>
      </c>
      <c r="D58" s="278">
        <f t="shared" si="1"/>
        <v>1</v>
      </c>
      <c r="E58" s="278">
        <f t="shared" si="2"/>
        <v>0</v>
      </c>
      <c r="F58" s="1"/>
      <c r="G58" s="28" t="str">
        <f>IFERROR(VLOOKUP(F58,Tabela7[[RECURSO]:[CUSTO]],2,FALSE),"")</f>
        <v/>
      </c>
      <c r="I58" s="90">
        <f t="shared" si="41"/>
        <v>0</v>
      </c>
      <c r="J58" s="45">
        <f>IFERROR(VLOOKUP(F58,Tabela7[[RECURSO]:[CUSTO]],3,FALSE),0)</f>
        <v>0</v>
      </c>
      <c r="K58" s="45">
        <f t="shared" si="42"/>
        <v>0</v>
      </c>
      <c r="M58" s="85"/>
      <c r="N58" s="88"/>
      <c r="AD58" s="144" t="str">
        <f t="shared" si="3"/>
        <v>Iluminação BSO e SAL</v>
      </c>
      <c r="AE58" s="192"/>
      <c r="AF58" s="180">
        <f t="shared" si="38"/>
        <v>0</v>
      </c>
      <c r="AG58" s="180">
        <f t="shared" si="17"/>
        <v>0</v>
      </c>
      <c r="AH58" s="181">
        <f t="shared" si="39"/>
        <v>0</v>
      </c>
      <c r="AI58" s="193"/>
      <c r="AJ58" s="90"/>
      <c r="AK58" s="90"/>
      <c r="AL58" s="183">
        <f t="shared" si="40"/>
        <v>0</v>
      </c>
      <c r="AM58" s="193"/>
      <c r="AN58" s="90"/>
      <c r="AO58" s="90"/>
      <c r="AP58" s="183">
        <f t="shared" si="23"/>
        <v>0</v>
      </c>
      <c r="AQ58" s="193"/>
      <c r="AR58" s="90"/>
      <c r="AS58" s="90"/>
      <c r="AT58" s="183">
        <f t="shared" si="24"/>
        <v>0</v>
      </c>
      <c r="AU58" s="193"/>
      <c r="AV58" s="90"/>
      <c r="AW58" s="90"/>
      <c r="AX58" s="183">
        <f t="shared" si="25"/>
        <v>0</v>
      </c>
      <c r="AY58" s="193"/>
      <c r="AZ58" s="90"/>
      <c r="BA58" s="90"/>
      <c r="BB58" s="183">
        <f t="shared" si="26"/>
        <v>0</v>
      </c>
      <c r="BC58" s="193"/>
      <c r="BD58" s="90"/>
      <c r="BE58" s="90"/>
      <c r="BF58" s="183">
        <f t="shared" si="27"/>
        <v>0</v>
      </c>
      <c r="BG58" s="193"/>
      <c r="BH58" s="90"/>
      <c r="BI58" s="90"/>
      <c r="BJ58" s="183">
        <f t="shared" si="28"/>
        <v>0</v>
      </c>
      <c r="BK58" s="193"/>
      <c r="BL58" s="90"/>
      <c r="BM58" s="90"/>
      <c r="BN58" s="183">
        <f t="shared" si="29"/>
        <v>0</v>
      </c>
      <c r="BO58" s="193"/>
      <c r="BP58" s="90"/>
      <c r="BQ58" s="90"/>
      <c r="BR58" s="183">
        <f t="shared" si="30"/>
        <v>0</v>
      </c>
      <c r="BS58" s="193"/>
      <c r="BT58" s="90"/>
      <c r="BU58" s="90"/>
      <c r="BV58" s="183">
        <f t="shared" si="31"/>
        <v>0</v>
      </c>
      <c r="BW58" s="193"/>
      <c r="BX58" s="90"/>
      <c r="BY58" s="90"/>
      <c r="BZ58" s="183">
        <f t="shared" si="32"/>
        <v>0</v>
      </c>
      <c r="CA58" s="193"/>
      <c r="CB58" s="90"/>
      <c r="CC58" s="90"/>
      <c r="CD58" s="183">
        <f t="shared" si="33"/>
        <v>0</v>
      </c>
    </row>
    <row r="59" spans="2:82" x14ac:dyDescent="0.3">
      <c r="B59" s="53"/>
      <c r="C59" s="53" t="str">
        <f t="shared" si="0"/>
        <v>CPU_IluminaçãoBSOeSAL</v>
      </c>
      <c r="D59" s="278">
        <f t="shared" si="1"/>
        <v>1</v>
      </c>
      <c r="E59" s="278">
        <f t="shared" si="2"/>
        <v>0</v>
      </c>
      <c r="F59" s="1"/>
      <c r="G59" s="28" t="str">
        <f>IFERROR(VLOOKUP(F59,Tabela7[[RECURSO]:[CUSTO]],2,FALSE),"")</f>
        <v/>
      </c>
      <c r="I59" s="90">
        <f t="shared" si="41"/>
        <v>0</v>
      </c>
      <c r="J59" s="45">
        <f>IFERROR(VLOOKUP(F59,Tabela7[[RECURSO]:[CUSTO]],3,FALSE),0)</f>
        <v>0</v>
      </c>
      <c r="K59" s="45">
        <f t="shared" si="42"/>
        <v>0</v>
      </c>
      <c r="M59" s="85"/>
      <c r="N59" s="88"/>
      <c r="AD59" s="144" t="str">
        <f t="shared" si="3"/>
        <v>Iluminação BSO e SAL</v>
      </c>
      <c r="AE59" s="192"/>
      <c r="AF59" s="180">
        <f t="shared" si="38"/>
        <v>0</v>
      </c>
      <c r="AG59" s="180">
        <f t="shared" si="17"/>
        <v>0</v>
      </c>
      <c r="AH59" s="181">
        <f t="shared" si="39"/>
        <v>0</v>
      </c>
      <c r="AI59" s="193"/>
      <c r="AJ59" s="90"/>
      <c r="AK59" s="90"/>
      <c r="AL59" s="183">
        <f t="shared" si="40"/>
        <v>0</v>
      </c>
      <c r="AM59" s="193"/>
      <c r="AN59" s="90"/>
      <c r="AO59" s="90"/>
      <c r="AP59" s="183">
        <f t="shared" si="23"/>
        <v>0</v>
      </c>
      <c r="AQ59" s="193"/>
      <c r="AR59" s="90"/>
      <c r="AS59" s="90"/>
      <c r="AT59" s="183">
        <f t="shared" si="24"/>
        <v>0</v>
      </c>
      <c r="AU59" s="193"/>
      <c r="AV59" s="90"/>
      <c r="AW59" s="90"/>
      <c r="AX59" s="183">
        <f t="shared" si="25"/>
        <v>0</v>
      </c>
      <c r="AY59" s="193"/>
      <c r="AZ59" s="90"/>
      <c r="BA59" s="90"/>
      <c r="BB59" s="183">
        <f t="shared" si="26"/>
        <v>0</v>
      </c>
      <c r="BC59" s="193"/>
      <c r="BD59" s="90"/>
      <c r="BE59" s="90"/>
      <c r="BF59" s="183">
        <f t="shared" si="27"/>
        <v>0</v>
      </c>
      <c r="BG59" s="193"/>
      <c r="BH59" s="90"/>
      <c r="BI59" s="90"/>
      <c r="BJ59" s="183">
        <f t="shared" si="28"/>
        <v>0</v>
      </c>
      <c r="BK59" s="193"/>
      <c r="BL59" s="90"/>
      <c r="BM59" s="90"/>
      <c r="BN59" s="183">
        <f t="shared" si="29"/>
        <v>0</v>
      </c>
      <c r="BO59" s="193"/>
      <c r="BP59" s="90"/>
      <c r="BQ59" s="90"/>
      <c r="BR59" s="183">
        <f t="shared" si="30"/>
        <v>0</v>
      </c>
      <c r="BS59" s="193"/>
      <c r="BT59" s="90"/>
      <c r="BU59" s="90"/>
      <c r="BV59" s="183">
        <f t="shared" si="31"/>
        <v>0</v>
      </c>
      <c r="BW59" s="193"/>
      <c r="BX59" s="90"/>
      <c r="BY59" s="90"/>
      <c r="BZ59" s="183">
        <f t="shared" si="32"/>
        <v>0</v>
      </c>
      <c r="CA59" s="193"/>
      <c r="CB59" s="90"/>
      <c r="CC59" s="90"/>
      <c r="CD59" s="183">
        <f t="shared" si="33"/>
        <v>0</v>
      </c>
    </row>
    <row r="60" spans="2:82" x14ac:dyDescent="0.3">
      <c r="B60" s="53"/>
      <c r="C60" s="53" t="str">
        <f t="shared" si="0"/>
        <v>CPU_IluminaçãoBSOeSAL</v>
      </c>
      <c r="D60" s="278">
        <f t="shared" si="1"/>
        <v>1</v>
      </c>
      <c r="E60" s="278">
        <f t="shared" si="2"/>
        <v>0</v>
      </c>
      <c r="F60" s="1"/>
      <c r="G60" s="28" t="str">
        <f>IFERROR(VLOOKUP(F60,Tabela7[[RECURSO]:[CUSTO]],2,FALSE),"")</f>
        <v/>
      </c>
      <c r="I60" s="90">
        <f t="shared" si="41"/>
        <v>0</v>
      </c>
      <c r="J60" s="45">
        <f>IFERROR(VLOOKUP(F60,Tabela7[[RECURSO]:[CUSTO]],3,FALSE),0)</f>
        <v>0</v>
      </c>
      <c r="K60" s="45">
        <f t="shared" si="42"/>
        <v>0</v>
      </c>
      <c r="M60" s="85"/>
      <c r="N60" s="88"/>
      <c r="AD60" s="144" t="str">
        <f t="shared" si="3"/>
        <v>Iluminação BSO e SAL</v>
      </c>
      <c r="AE60" s="192"/>
      <c r="AF60" s="180">
        <f t="shared" si="38"/>
        <v>0</v>
      </c>
      <c r="AG60" s="180">
        <f t="shared" si="17"/>
        <v>0</v>
      </c>
      <c r="AH60" s="181">
        <f t="shared" si="39"/>
        <v>0</v>
      </c>
      <c r="AI60" s="193"/>
      <c r="AJ60" s="90"/>
      <c r="AK60" s="90"/>
      <c r="AL60" s="183">
        <f t="shared" si="40"/>
        <v>0</v>
      </c>
      <c r="AM60" s="193"/>
      <c r="AN60" s="90"/>
      <c r="AO60" s="90"/>
      <c r="AP60" s="183">
        <f t="shared" si="23"/>
        <v>0</v>
      </c>
      <c r="AQ60" s="193"/>
      <c r="AR60" s="90"/>
      <c r="AS60" s="90"/>
      <c r="AT60" s="183">
        <f t="shared" si="24"/>
        <v>0</v>
      </c>
      <c r="AU60" s="193"/>
      <c r="AV60" s="90"/>
      <c r="AW60" s="90"/>
      <c r="AX60" s="183">
        <f t="shared" si="25"/>
        <v>0</v>
      </c>
      <c r="AY60" s="193"/>
      <c r="AZ60" s="90"/>
      <c r="BA60" s="90"/>
      <c r="BB60" s="183">
        <f t="shared" si="26"/>
        <v>0</v>
      </c>
      <c r="BC60" s="193"/>
      <c r="BD60" s="90"/>
      <c r="BE60" s="90"/>
      <c r="BF60" s="183">
        <f t="shared" si="27"/>
        <v>0</v>
      </c>
      <c r="BG60" s="193"/>
      <c r="BH60" s="90"/>
      <c r="BI60" s="90"/>
      <c r="BJ60" s="183">
        <f t="shared" si="28"/>
        <v>0</v>
      </c>
      <c r="BK60" s="193"/>
      <c r="BL60" s="90"/>
      <c r="BM60" s="90"/>
      <c r="BN60" s="183">
        <f t="shared" si="29"/>
        <v>0</v>
      </c>
      <c r="BO60" s="193"/>
      <c r="BP60" s="90"/>
      <c r="BQ60" s="90"/>
      <c r="BR60" s="183">
        <f t="shared" si="30"/>
        <v>0</v>
      </c>
      <c r="BS60" s="193"/>
      <c r="BT60" s="90"/>
      <c r="BU60" s="90"/>
      <c r="BV60" s="183">
        <f t="shared" si="31"/>
        <v>0</v>
      </c>
      <c r="BW60" s="193"/>
      <c r="BX60" s="90"/>
      <c r="BY60" s="90"/>
      <c r="BZ60" s="183">
        <f t="shared" si="32"/>
        <v>0</v>
      </c>
      <c r="CA60" s="193"/>
      <c r="CB60" s="90"/>
      <c r="CC60" s="90"/>
      <c r="CD60" s="183">
        <f t="shared" si="33"/>
        <v>0</v>
      </c>
    </row>
    <row r="61" spans="2:82" x14ac:dyDescent="0.3">
      <c r="B61" s="53"/>
      <c r="C61" s="53" t="str">
        <f t="shared" si="0"/>
        <v>CPU_IluminaçãoBSOeSAL</v>
      </c>
      <c r="D61" s="278">
        <f t="shared" si="1"/>
        <v>1</v>
      </c>
      <c r="E61" s="278">
        <f t="shared" si="2"/>
        <v>0</v>
      </c>
      <c r="F61" s="1"/>
      <c r="G61" s="28" t="str">
        <f>IFERROR(VLOOKUP(F61,Tabela7[[RECURSO]:[CUSTO]],2,FALSE),"")</f>
        <v/>
      </c>
      <c r="I61" s="90">
        <f t="shared" si="41"/>
        <v>0</v>
      </c>
      <c r="J61" s="45">
        <f>IFERROR(VLOOKUP(F61,Tabela7[[RECURSO]:[CUSTO]],3,FALSE),0)</f>
        <v>0</v>
      </c>
      <c r="K61" s="45">
        <f t="shared" si="42"/>
        <v>0</v>
      </c>
      <c r="M61" s="85"/>
      <c r="N61" s="88"/>
      <c r="AD61" s="144" t="str">
        <f t="shared" si="3"/>
        <v>Iluminação BSO e SAL</v>
      </c>
      <c r="AE61" s="192"/>
      <c r="AF61" s="180">
        <f t="shared" si="38"/>
        <v>0</v>
      </c>
      <c r="AG61" s="180">
        <f t="shared" si="17"/>
        <v>0</v>
      </c>
      <c r="AH61" s="181">
        <f t="shared" si="39"/>
        <v>0</v>
      </c>
      <c r="AI61" s="193"/>
      <c r="AJ61" s="90"/>
      <c r="AK61" s="90"/>
      <c r="AL61" s="183">
        <f t="shared" si="40"/>
        <v>0</v>
      </c>
      <c r="AM61" s="193"/>
      <c r="AN61" s="90"/>
      <c r="AO61" s="90"/>
      <c r="AP61" s="183">
        <f t="shared" si="23"/>
        <v>0</v>
      </c>
      <c r="AQ61" s="193"/>
      <c r="AR61" s="90"/>
      <c r="AS61" s="90"/>
      <c r="AT61" s="183">
        <f t="shared" si="24"/>
        <v>0</v>
      </c>
      <c r="AU61" s="193"/>
      <c r="AV61" s="90"/>
      <c r="AW61" s="90"/>
      <c r="AX61" s="183">
        <f t="shared" si="25"/>
        <v>0</v>
      </c>
      <c r="AY61" s="193"/>
      <c r="AZ61" s="90"/>
      <c r="BA61" s="90"/>
      <c r="BB61" s="183">
        <f t="shared" si="26"/>
        <v>0</v>
      </c>
      <c r="BC61" s="193"/>
      <c r="BD61" s="90"/>
      <c r="BE61" s="90"/>
      <c r="BF61" s="183">
        <f t="shared" si="27"/>
        <v>0</v>
      </c>
      <c r="BG61" s="193"/>
      <c r="BH61" s="90"/>
      <c r="BI61" s="90"/>
      <c r="BJ61" s="183">
        <f t="shared" si="28"/>
        <v>0</v>
      </c>
      <c r="BK61" s="193"/>
      <c r="BL61" s="90"/>
      <c r="BM61" s="90"/>
      <c r="BN61" s="183">
        <f t="shared" si="29"/>
        <v>0</v>
      </c>
      <c r="BO61" s="193"/>
      <c r="BP61" s="90"/>
      <c r="BQ61" s="90"/>
      <c r="BR61" s="183">
        <f t="shared" si="30"/>
        <v>0</v>
      </c>
      <c r="BS61" s="193"/>
      <c r="BT61" s="90"/>
      <c r="BU61" s="90"/>
      <c r="BV61" s="183">
        <f t="shared" si="31"/>
        <v>0</v>
      </c>
      <c r="BW61" s="193"/>
      <c r="BX61" s="90"/>
      <c r="BY61" s="90"/>
      <c r="BZ61" s="183">
        <f t="shared" si="32"/>
        <v>0</v>
      </c>
      <c r="CA61" s="193"/>
      <c r="CB61" s="90"/>
      <c r="CC61" s="90"/>
      <c r="CD61" s="183">
        <f t="shared" si="33"/>
        <v>0</v>
      </c>
    </row>
    <row r="62" spans="2:82" ht="15" thickBot="1" x14ac:dyDescent="0.35">
      <c r="B62" s="53"/>
      <c r="C62" s="53" t="str">
        <f t="shared" si="0"/>
        <v>CPU_IluminaçãoBSOeSAL</v>
      </c>
      <c r="D62" s="278">
        <f t="shared" si="1"/>
        <v>1</v>
      </c>
      <c r="E62" s="278">
        <f t="shared" si="2"/>
        <v>0</v>
      </c>
      <c r="F62" s="1"/>
      <c r="G62" s="28" t="str">
        <f>IFERROR(VLOOKUP(F62,Tabela7[[RECURSO]:[CUSTO]],2,FALSE),"")</f>
        <v/>
      </c>
      <c r="I62" s="90">
        <f t="shared" si="41"/>
        <v>0</v>
      </c>
      <c r="J62" s="45">
        <f>IFERROR(VLOOKUP(F62,Tabela7[[RECURSO]:[CUSTO]],3,FALSE),0)</f>
        <v>0</v>
      </c>
      <c r="K62" s="45">
        <f t="shared" si="42"/>
        <v>0</v>
      </c>
      <c r="M62" s="86"/>
      <c r="N62" s="88"/>
      <c r="AD62" s="144" t="str">
        <f t="shared" si="3"/>
        <v>Iluminação BSO e SAL</v>
      </c>
      <c r="AE62" s="194"/>
      <c r="AF62" s="195">
        <f t="shared" si="38"/>
        <v>0</v>
      </c>
      <c r="AG62" s="195">
        <f t="shared" si="17"/>
        <v>0</v>
      </c>
      <c r="AH62" s="196">
        <f t="shared" si="39"/>
        <v>0</v>
      </c>
      <c r="AI62" s="197"/>
      <c r="AJ62" s="198"/>
      <c r="AK62" s="198"/>
      <c r="AL62" s="199">
        <f t="shared" si="40"/>
        <v>0</v>
      </c>
      <c r="AM62" s="197"/>
      <c r="AN62" s="198"/>
      <c r="AO62" s="198"/>
      <c r="AP62" s="199">
        <f t="shared" si="23"/>
        <v>0</v>
      </c>
      <c r="AQ62" s="197"/>
      <c r="AR62" s="198"/>
      <c r="AS62" s="198"/>
      <c r="AT62" s="199">
        <f t="shared" si="24"/>
        <v>0</v>
      </c>
      <c r="AU62" s="197"/>
      <c r="AV62" s="198"/>
      <c r="AW62" s="198"/>
      <c r="AX62" s="199">
        <f t="shared" si="25"/>
        <v>0</v>
      </c>
      <c r="AY62" s="197"/>
      <c r="AZ62" s="198"/>
      <c r="BA62" s="198"/>
      <c r="BB62" s="199">
        <f t="shared" si="26"/>
        <v>0</v>
      </c>
      <c r="BC62" s="197"/>
      <c r="BD62" s="198"/>
      <c r="BE62" s="198"/>
      <c r="BF62" s="199">
        <f t="shared" si="27"/>
        <v>0</v>
      </c>
      <c r="BG62" s="197"/>
      <c r="BH62" s="198"/>
      <c r="BI62" s="198"/>
      <c r="BJ62" s="199">
        <f t="shared" si="28"/>
        <v>0</v>
      </c>
      <c r="BK62" s="197"/>
      <c r="BL62" s="198"/>
      <c r="BM62" s="198"/>
      <c r="BN62" s="199">
        <f t="shared" si="29"/>
        <v>0</v>
      </c>
      <c r="BO62" s="197"/>
      <c r="BP62" s="198"/>
      <c r="BQ62" s="198"/>
      <c r="BR62" s="199">
        <f t="shared" si="30"/>
        <v>0</v>
      </c>
      <c r="BS62" s="197"/>
      <c r="BT62" s="198"/>
      <c r="BU62" s="198"/>
      <c r="BV62" s="199">
        <f t="shared" si="31"/>
        <v>0</v>
      </c>
      <c r="BW62" s="197"/>
      <c r="BX62" s="198"/>
      <c r="BY62" s="198"/>
      <c r="BZ62" s="199">
        <f t="shared" si="32"/>
        <v>0</v>
      </c>
      <c r="CA62" s="197"/>
      <c r="CB62" s="198"/>
      <c r="CC62" s="198"/>
      <c r="CD62" s="199">
        <f t="shared" si="33"/>
        <v>0</v>
      </c>
    </row>
  </sheetData>
  <conditionalFormatting sqref="K6:K7">
    <cfRule type="iconSet" priority="14">
      <iconSet>
        <cfvo type="percent" val="0"/>
        <cfvo type="num" val="0"/>
        <cfvo type="num" val="0.02"/>
      </iconSet>
    </cfRule>
  </conditionalFormatting>
  <conditionalFormatting sqref="AH6:AH7">
    <cfRule type="iconSet" priority="13">
      <iconSet>
        <cfvo type="percent" val="0"/>
        <cfvo type="num" val="0"/>
        <cfvo type="num" val="0.02"/>
      </iconSet>
    </cfRule>
  </conditionalFormatting>
  <conditionalFormatting sqref="AL6:AL7">
    <cfRule type="iconSet" priority="12">
      <iconSet>
        <cfvo type="percent" val="0"/>
        <cfvo type="num" val="0"/>
        <cfvo type="num" val="0.02"/>
      </iconSet>
    </cfRule>
  </conditionalFormatting>
  <conditionalFormatting sqref="AP6:AP7">
    <cfRule type="iconSet" priority="11">
      <iconSet>
        <cfvo type="percent" val="0"/>
        <cfvo type="num" val="0"/>
        <cfvo type="num" val="0.02"/>
      </iconSet>
    </cfRule>
  </conditionalFormatting>
  <conditionalFormatting sqref="AT6:AT7">
    <cfRule type="iconSet" priority="10">
      <iconSet>
        <cfvo type="percent" val="0"/>
        <cfvo type="num" val="0"/>
        <cfvo type="num" val="0.02"/>
      </iconSet>
    </cfRule>
  </conditionalFormatting>
  <conditionalFormatting sqref="AX6:AX7">
    <cfRule type="iconSet" priority="9">
      <iconSet>
        <cfvo type="percent" val="0"/>
        <cfvo type="num" val="0"/>
        <cfvo type="num" val="0.02"/>
      </iconSet>
    </cfRule>
  </conditionalFormatting>
  <conditionalFormatting sqref="BB6:BB7">
    <cfRule type="iconSet" priority="8">
      <iconSet>
        <cfvo type="percent" val="0"/>
        <cfvo type="num" val="0"/>
        <cfvo type="num" val="0.02"/>
      </iconSet>
    </cfRule>
  </conditionalFormatting>
  <conditionalFormatting sqref="BF6:BF7">
    <cfRule type="iconSet" priority="7">
      <iconSet>
        <cfvo type="percent" val="0"/>
        <cfvo type="num" val="0"/>
        <cfvo type="num" val="0.02"/>
      </iconSet>
    </cfRule>
  </conditionalFormatting>
  <conditionalFormatting sqref="BJ6:BJ7">
    <cfRule type="iconSet" priority="6">
      <iconSet>
        <cfvo type="percent" val="0"/>
        <cfvo type="num" val="0"/>
        <cfvo type="num" val="0.02"/>
      </iconSet>
    </cfRule>
  </conditionalFormatting>
  <conditionalFormatting sqref="BN6:BN7">
    <cfRule type="iconSet" priority="5">
      <iconSet>
        <cfvo type="percent" val="0"/>
        <cfvo type="num" val="0"/>
        <cfvo type="num" val="0.02"/>
      </iconSet>
    </cfRule>
  </conditionalFormatting>
  <conditionalFormatting sqref="BR6:BR7">
    <cfRule type="iconSet" priority="4">
      <iconSet>
        <cfvo type="percent" val="0"/>
        <cfvo type="num" val="0"/>
        <cfvo type="num" val="0.02"/>
      </iconSet>
    </cfRule>
  </conditionalFormatting>
  <conditionalFormatting sqref="BV6:BV7">
    <cfRule type="iconSet" priority="3">
      <iconSet>
        <cfvo type="percent" val="0"/>
        <cfvo type="num" val="0"/>
        <cfvo type="num" val="0.02"/>
      </iconSet>
    </cfRule>
  </conditionalFormatting>
  <conditionalFormatting sqref="BZ6:BZ7">
    <cfRule type="iconSet" priority="2">
      <iconSet>
        <cfvo type="percent" val="0"/>
        <cfvo type="num" val="0"/>
        <cfvo type="num" val="0.02"/>
      </iconSet>
    </cfRule>
  </conditionalFormatting>
  <conditionalFormatting sqref="CD6:CD7">
    <cfRule type="iconSet" priority="1">
      <iconSet>
        <cfvo type="percent" val="0"/>
        <cfvo type="num" val="0"/>
        <cfvo type="num" val="0.02"/>
      </iconSet>
    </cfRule>
  </conditionalFormatting>
  <dataValidations count="5">
    <dataValidation type="list" allowBlank="1" showInputMessage="1" showErrorMessage="1" sqref="F51:F62" xr:uid="{837BADEB-B36D-4CEE-8C3B-EEDE97525134}">
      <formula1>INDIRECT($B$50)</formula1>
    </dataValidation>
    <dataValidation type="list" allowBlank="1" showInputMessage="1" showErrorMessage="1" sqref="F38:F49" xr:uid="{68CC7D11-E3E9-450A-B118-48856A9E0396}">
      <formula1>INDIRECT($B$37)</formula1>
    </dataValidation>
    <dataValidation type="list" allowBlank="1" showInputMessage="1" showErrorMessage="1" sqref="F25:F36" xr:uid="{404D60F6-E13F-4ACB-92C6-078F2CFB78F1}">
      <formula1>INDIRECT($B$24)</formula1>
    </dataValidation>
    <dataValidation type="list" allowBlank="1" showInputMessage="1" showErrorMessage="1" sqref="F12:F23" xr:uid="{90B2894A-D53B-45DB-B7F2-FB74389DFA86}">
      <formula1>INDIRECT($B$11)</formula1>
    </dataValidation>
    <dataValidation type="list" allowBlank="1" showInputMessage="1" showErrorMessage="1" sqref="B3:E3" xr:uid="{2B256D5A-378E-4059-9DA0-321AF48BCC89}">
      <formula1>INDIRECT($B$2)</formula1>
    </dataValidation>
  </dataValidations>
  <pageMargins left="0.51181102362204722" right="0.51181102362204722" top="0.19685039370078741" bottom="0.19685039370078741" header="0.31496062992125984" footer="0.31496062992125984"/>
  <pageSetup paperSize="9" scale="82" orientation="portrait" r:id="rId1"/>
  <colBreaks count="1" manualBreakCount="1">
    <brk id="11" max="1048575" man="1"/>
  </colBreaks>
  <drawing r:id="rId2"/>
  <legacyDrawing r:id="rId3"/>
  <tableParts count="2">
    <tablePart r:id="rId4"/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ECB3C-B5D1-4A30-B83B-694AF21815EE}">
  <sheetPr codeName="Plan28"/>
  <dimension ref="A1:CD62"/>
  <sheetViews>
    <sheetView showGridLines="0" zoomScaleNormal="100" workbookViewId="0">
      <pane xSplit="14" ySplit="10" topLeftCell="O46" activePane="bottomRight" state="frozen"/>
      <selection pane="topRight" activeCell="C28" activeCellId="1" sqref="E13 C28"/>
      <selection pane="bottomLeft" activeCell="C28" activeCellId="1" sqref="E13 C28"/>
      <selection pane="bottomRight" activeCell="M52" sqref="M52"/>
    </sheetView>
  </sheetViews>
  <sheetFormatPr defaultRowHeight="14.4" x14ac:dyDescent="0.3"/>
  <cols>
    <col min="1" max="1" width="4.109375" customWidth="1"/>
    <col min="2" max="2" width="16.109375" customWidth="1"/>
    <col min="3" max="5" width="16.109375" hidden="1" customWidth="1"/>
    <col min="6" max="6" width="40.6640625" customWidth="1"/>
    <col min="7" max="7" width="10.6640625" style="28" customWidth="1"/>
    <col min="8" max="8" width="7.6640625" style="28" customWidth="1"/>
    <col min="9" max="11" width="10.6640625" customWidth="1"/>
    <col min="12" max="12" width="2.33203125" customWidth="1"/>
    <col min="13" max="14" width="12.6640625" customWidth="1"/>
    <col min="15" max="15" width="14" bestFit="1" customWidth="1"/>
    <col min="30" max="30" width="12.44140625" bestFit="1" customWidth="1"/>
    <col min="31" max="31" width="7.6640625" customWidth="1"/>
    <col min="32" max="32" width="9.33203125" bestFit="1" customWidth="1"/>
    <col min="33" max="34" width="10.6640625" customWidth="1"/>
    <col min="35" max="35" width="7.6640625" customWidth="1"/>
    <col min="36" max="36" width="9.33203125" customWidth="1"/>
    <col min="37" max="38" width="10.6640625" customWidth="1"/>
    <col min="40" max="40" width="9.33203125" customWidth="1"/>
    <col min="42" max="42" width="9.6640625" customWidth="1"/>
    <col min="44" max="44" width="9.33203125" customWidth="1"/>
    <col min="46" max="46" width="9.6640625" customWidth="1"/>
    <col min="48" max="48" width="9.33203125" customWidth="1"/>
    <col min="50" max="50" width="9.6640625" customWidth="1"/>
    <col min="52" max="52" width="9.33203125" customWidth="1"/>
    <col min="54" max="54" width="9.6640625" customWidth="1"/>
    <col min="56" max="56" width="9.33203125" customWidth="1"/>
    <col min="58" max="58" width="9.6640625" customWidth="1"/>
    <col min="60" max="60" width="9.33203125" customWidth="1"/>
    <col min="62" max="62" width="9.6640625" customWidth="1"/>
    <col min="64" max="64" width="9.33203125" customWidth="1"/>
    <col min="66" max="66" width="9.6640625" customWidth="1"/>
    <col min="68" max="68" width="9.33203125" customWidth="1"/>
    <col min="70" max="70" width="9.6640625" customWidth="1"/>
    <col min="72" max="72" width="10" customWidth="1"/>
    <col min="73" max="73" width="9.5546875" customWidth="1"/>
    <col min="74" max="74" width="10.44140625" customWidth="1"/>
    <col min="76" max="76" width="10" customWidth="1"/>
    <col min="77" max="77" width="9.5546875" customWidth="1"/>
    <col min="78" max="78" width="10.44140625" customWidth="1"/>
    <col min="80" max="80" width="10" customWidth="1"/>
    <col min="81" max="81" width="9.5546875" customWidth="1"/>
    <col min="82" max="82" width="10.44140625" customWidth="1"/>
  </cols>
  <sheetData>
    <row r="1" spans="1:82" ht="26.4" customHeight="1" thickBot="1" x14ac:dyDescent="0.35">
      <c r="AE1" s="163" t="s">
        <v>678</v>
      </c>
    </row>
    <row r="2" spans="1:82" x14ac:dyDescent="0.3">
      <c r="B2" s="64" t="s">
        <v>679</v>
      </c>
      <c r="C2" s="67"/>
      <c r="D2" s="67"/>
      <c r="E2" s="67"/>
      <c r="F2" s="65"/>
      <c r="G2" s="66"/>
      <c r="H2" s="66"/>
      <c r="I2" s="65"/>
      <c r="J2" s="67" t="s">
        <v>680</v>
      </c>
      <c r="K2" s="68" t="s">
        <v>681</v>
      </c>
      <c r="M2" s="227" t="s">
        <v>682</v>
      </c>
      <c r="N2" s="228" t="s">
        <v>683</v>
      </c>
      <c r="O2" s="234" t="s">
        <v>684</v>
      </c>
      <c r="AE2" s="164" t="s">
        <v>590</v>
      </c>
      <c r="AF2" s="165" t="s">
        <v>20</v>
      </c>
      <c r="AG2" s="67"/>
      <c r="AH2" s="68" t="s">
        <v>681</v>
      </c>
      <c r="AI2" s="166">
        <v>44927</v>
      </c>
      <c r="AJ2" s="165" t="s">
        <v>20</v>
      </c>
      <c r="AK2" s="67"/>
      <c r="AL2" s="68" t="s">
        <v>681</v>
      </c>
      <c r="AM2" s="166">
        <v>44958</v>
      </c>
      <c r="AN2" s="165" t="s">
        <v>20</v>
      </c>
      <c r="AO2" s="67"/>
      <c r="AP2" s="68" t="s">
        <v>681</v>
      </c>
      <c r="AQ2" s="166">
        <v>44986</v>
      </c>
      <c r="AR2" s="165" t="s">
        <v>20</v>
      </c>
      <c r="AS2" s="67"/>
      <c r="AT2" s="68" t="s">
        <v>681</v>
      </c>
      <c r="AU2" s="166">
        <v>45017</v>
      </c>
      <c r="AV2" s="165" t="s">
        <v>20</v>
      </c>
      <c r="AW2" s="67"/>
      <c r="AX2" s="68" t="s">
        <v>681</v>
      </c>
      <c r="AY2" s="166">
        <v>45047</v>
      </c>
      <c r="AZ2" s="165" t="s">
        <v>20</v>
      </c>
      <c r="BA2" s="67"/>
      <c r="BB2" s="68" t="s">
        <v>681</v>
      </c>
      <c r="BC2" s="166">
        <v>45078</v>
      </c>
      <c r="BD2" s="165" t="s">
        <v>20</v>
      </c>
      <c r="BE2" s="67"/>
      <c r="BF2" s="68" t="s">
        <v>681</v>
      </c>
      <c r="BG2" s="166">
        <v>45108</v>
      </c>
      <c r="BH2" s="165" t="s">
        <v>20</v>
      </c>
      <c r="BI2" s="67"/>
      <c r="BJ2" s="68" t="s">
        <v>681</v>
      </c>
      <c r="BK2" s="166">
        <v>45139</v>
      </c>
      <c r="BL2" s="165" t="s">
        <v>20</v>
      </c>
      <c r="BM2" s="67"/>
      <c r="BN2" s="68" t="s">
        <v>681</v>
      </c>
      <c r="BO2" s="166">
        <v>45170</v>
      </c>
      <c r="BP2" s="165" t="s">
        <v>20</v>
      </c>
      <c r="BQ2" s="67"/>
      <c r="BR2" s="68" t="s">
        <v>681</v>
      </c>
      <c r="BS2" s="166">
        <v>45200</v>
      </c>
      <c r="BT2" s="165" t="s">
        <v>20</v>
      </c>
      <c r="BU2" s="67"/>
      <c r="BV2" s="68" t="s">
        <v>681</v>
      </c>
      <c r="BW2" s="166">
        <v>45231</v>
      </c>
      <c r="BX2" s="165" t="s">
        <v>20</v>
      </c>
      <c r="BY2" s="67"/>
      <c r="BZ2" s="68" t="s">
        <v>681</v>
      </c>
      <c r="CA2" s="166">
        <v>45261</v>
      </c>
      <c r="CB2" s="165" t="s">
        <v>20</v>
      </c>
      <c r="CC2" s="67"/>
      <c r="CD2" s="68" t="s">
        <v>681</v>
      </c>
    </row>
    <row r="3" spans="1:82" x14ac:dyDescent="0.3">
      <c r="A3" s="42" t="str">
        <f>"CPU_"&amp;LEFT(SUBSTITUTE(SUBSTITUTE(B3," ",""),"-",""),20)</f>
        <v>CPU_Iluminaçãodeaproxima</v>
      </c>
      <c r="B3" s="31" t="s">
        <v>807</v>
      </c>
      <c r="C3" s="1"/>
      <c r="D3" s="1"/>
      <c r="E3" s="1"/>
      <c r="F3" s="73"/>
      <c r="G3" s="74"/>
      <c r="H3" s="74"/>
      <c r="I3" s="73"/>
      <c r="J3" s="74" t="str">
        <f>IFERROR(VLOOKUP(B3,Tabela1[[NOME SERVIÇO]:[UNID]],4,0),"")</f>
        <v>UNID</v>
      </c>
      <c r="K3" s="75">
        <f>IFERROR(J6/B6,0)</f>
        <v>155555.55555555556</v>
      </c>
      <c r="M3" s="229" t="s">
        <v>685</v>
      </c>
      <c r="N3" s="230">
        <f>K11</f>
        <v>0</v>
      </c>
      <c r="O3" s="235">
        <f>IFERROR(N3/$N$7,0)</f>
        <v>0</v>
      </c>
      <c r="AE3" s="167"/>
      <c r="AF3" s="168">
        <f>AJ3+AN3+AR3+AV3+AZ3+BD3+BH3+BL3+BP3+BT3+BX3+CB3</f>
        <v>0</v>
      </c>
      <c r="AG3" s="74"/>
      <c r="AH3" s="75">
        <f>IFERROR((AG6/AF3),0)</f>
        <v>0</v>
      </c>
      <c r="AI3" s="167"/>
      <c r="AJ3" s="168">
        <f>IFERROR(SUMPRODUCT(Plan_Orc!$I$4:$I$2002*Plan_Orc!$AB$4:$AB$2002*(Plan_Orc!$D$4:$D$2002=$B3)),0)</f>
        <v>0</v>
      </c>
      <c r="AK3" s="74"/>
      <c r="AL3" s="75">
        <f>IFERROR((AK6/AJ3),0)</f>
        <v>0</v>
      </c>
      <c r="AM3" s="167"/>
      <c r="AN3" s="168">
        <f>IFERROR(SUMPRODUCT(Plan_Orc!$I$4:$I$2002*Plan_Orc!$AC$4:$AC$2002*(Plan_Orc!$D$4:$D$2002=$B3)),0)</f>
        <v>0</v>
      </c>
      <c r="AO3" s="74"/>
      <c r="AP3" s="75">
        <f>IFERROR((AO6/AN3),0)</f>
        <v>0</v>
      </c>
      <c r="AQ3" s="167"/>
      <c r="AR3" s="168">
        <f>IFERROR(SUMPRODUCT(Plan_Orc!$I$4:$I$2002*Plan_Orc!$AD$4:$AD$2002*(Plan_Orc!$D$4:$D$2002=$B3)),0)</f>
        <v>0</v>
      </c>
      <c r="AS3" s="74"/>
      <c r="AT3" s="75">
        <f>IFERROR((AS6/AR3),0)</f>
        <v>0</v>
      </c>
      <c r="AU3" s="167"/>
      <c r="AV3" s="168">
        <f>IFERROR(SUMPRODUCT(Plan_Orc!$I$4:$I$2002*Plan_Orc!$AE$4:$AE$2002*(Plan_Orc!$D$4:$D$2002=$B3)),0)</f>
        <v>0</v>
      </c>
      <c r="AW3" s="74"/>
      <c r="AX3" s="75">
        <f>IFERROR((AW6/AV3),0)</f>
        <v>0</v>
      </c>
      <c r="AY3" s="167"/>
      <c r="AZ3" s="168">
        <f>IFERROR(SUMPRODUCT(Plan_Orc!$I$4:$I$2002*Plan_Orc!$AF$4:$AF$2002*(Plan_Orc!$D$4:$D$2002=$B3)),0)</f>
        <v>0</v>
      </c>
      <c r="BA3" s="74"/>
      <c r="BB3" s="75">
        <f>IFERROR((BA6/AZ3),0)</f>
        <v>0</v>
      </c>
      <c r="BC3" s="167"/>
      <c r="BD3" s="168">
        <f>IFERROR(SUMPRODUCT(Plan_Orc!$I$4:$I$2002*Plan_Orc!$AG$4:$AG$2002*(Plan_Orc!$D$4:$D$2002=$B3)),0)</f>
        <v>0</v>
      </c>
      <c r="BE3" s="74"/>
      <c r="BF3" s="75">
        <f>IFERROR((BE6/BD3),0)</f>
        <v>0</v>
      </c>
      <c r="BG3" s="167"/>
      <c r="BH3" s="168">
        <f>IFERROR(SUMPRODUCT(Plan_Orc!$I$4:$I$2002*Plan_Orc!$AH$4:$AH$2002*(Plan_Orc!$D$4:$D$2002=$B3)),0)</f>
        <v>0</v>
      </c>
      <c r="BI3" s="74"/>
      <c r="BJ3" s="75">
        <f>IFERROR((BI6/BH3),0)</f>
        <v>0</v>
      </c>
      <c r="BK3" s="167"/>
      <c r="BL3" s="168">
        <f>IFERROR(SUMPRODUCT(Plan_Orc!$I$4:$I$2002*Plan_Orc!$AI$4:$AI$2002*(Plan_Orc!$D$4:$D$2002=$B3)),0)</f>
        <v>0</v>
      </c>
      <c r="BM3" s="74"/>
      <c r="BN3" s="75">
        <f>IFERROR((BM6/BL3),0)</f>
        <v>0</v>
      </c>
      <c r="BO3" s="167"/>
      <c r="BP3" s="168">
        <f>IFERROR(SUMPRODUCT(Plan_Orc!$I$4:$I$2002*Plan_Orc!$AJ$4:$AJ$2002*(Plan_Orc!$D$4:$D$2002=$B3)),0)</f>
        <v>0</v>
      </c>
      <c r="BQ3" s="74"/>
      <c r="BR3" s="75">
        <f>IFERROR((BQ6/BP3),0)</f>
        <v>0</v>
      </c>
      <c r="BS3" s="167"/>
      <c r="BT3" s="168">
        <f>IFERROR(SUMPRODUCT(Plan_Orc!$I$4:$I$2002*Plan_Orc!$AK$4:$AK$2002*(Plan_Orc!$D$4:$D$2002=$B3)),0)</f>
        <v>0</v>
      </c>
      <c r="BU3" s="74"/>
      <c r="BV3" s="75">
        <f>IFERROR((BU6/BT3),0)</f>
        <v>0</v>
      </c>
      <c r="BW3" s="167"/>
      <c r="BX3" s="168">
        <f>IFERROR(SUMPRODUCT(Plan_Orc!$I$4:$I$2002*Plan_Orc!$AL$4:$AL$2002*(Plan_Orc!$D$4:$D$2002=$B3)),0)</f>
        <v>0</v>
      </c>
      <c r="BY3" s="74"/>
      <c r="BZ3" s="75">
        <f>IFERROR((BY6/BX3),0)</f>
        <v>0</v>
      </c>
      <c r="CA3" s="167"/>
      <c r="CB3" s="168">
        <f>IFERROR(SUMPRODUCT(Plan_Orc!$I$4:$I$2002*Plan_Orc!$AM$4:$AM$2002*(Plan_Orc!$D$4:$D$2002=$B3)),0)</f>
        <v>0</v>
      </c>
      <c r="CC3" s="74"/>
      <c r="CD3" s="75">
        <f>IFERROR((CC6/CB3),0)</f>
        <v>0</v>
      </c>
    </row>
    <row r="4" spans="1:82" x14ac:dyDescent="0.3">
      <c r="B4" s="32"/>
      <c r="K4" s="30"/>
      <c r="M4" s="229" t="s">
        <v>686</v>
      </c>
      <c r="N4" s="230">
        <f>+K24</f>
        <v>0</v>
      </c>
      <c r="O4" s="235">
        <f>IFERROR(N4/$N$7,0)</f>
        <v>0</v>
      </c>
      <c r="AE4" s="169"/>
      <c r="AH4" s="30"/>
      <c r="AI4" s="169"/>
      <c r="AL4" s="30"/>
      <c r="AM4" s="169"/>
      <c r="AP4" s="30"/>
      <c r="AQ4" s="169"/>
      <c r="AT4" s="30"/>
      <c r="AU4" s="169"/>
      <c r="AX4" s="30"/>
      <c r="AY4" s="169"/>
      <c r="BB4" s="30"/>
      <c r="BC4" s="169"/>
      <c r="BF4" s="30"/>
      <c r="BG4" s="169"/>
      <c r="BJ4" s="30"/>
      <c r="BK4" s="169"/>
      <c r="BN4" s="30"/>
      <c r="BO4" s="169"/>
      <c r="BR4" s="30"/>
      <c r="BS4" s="169"/>
      <c r="BV4" s="30"/>
      <c r="BW4" s="169"/>
      <c r="BZ4" s="30"/>
      <c r="CA4" s="169"/>
      <c r="CD4" s="30"/>
    </row>
    <row r="5" spans="1:82" x14ac:dyDescent="0.3">
      <c r="B5" s="69" t="s">
        <v>687</v>
      </c>
      <c r="C5" s="72"/>
      <c r="D5" s="72"/>
      <c r="E5" s="72"/>
      <c r="F5" s="70" t="s">
        <v>688</v>
      </c>
      <c r="G5" s="70" t="s">
        <v>689</v>
      </c>
      <c r="H5" s="70" t="s">
        <v>690</v>
      </c>
      <c r="I5" s="70" t="s">
        <v>691</v>
      </c>
      <c r="J5" s="70" t="s">
        <v>683</v>
      </c>
      <c r="K5" s="71" t="s">
        <v>593</v>
      </c>
      <c r="M5" s="229" t="s">
        <v>692</v>
      </c>
      <c r="N5" s="230">
        <f>+K37</f>
        <v>0</v>
      </c>
      <c r="O5" s="235">
        <f>IFERROR(N5/$N$7,0)</f>
        <v>0</v>
      </c>
      <c r="AE5" s="170"/>
      <c r="AF5" s="70" t="s">
        <v>691</v>
      </c>
      <c r="AG5" s="70" t="s">
        <v>683</v>
      </c>
      <c r="AH5" s="71" t="s">
        <v>593</v>
      </c>
      <c r="AI5" s="170"/>
      <c r="AJ5" s="70" t="s">
        <v>691</v>
      </c>
      <c r="AK5" s="70" t="s">
        <v>683</v>
      </c>
      <c r="AL5" s="71" t="s">
        <v>593</v>
      </c>
      <c r="AM5" s="170"/>
      <c r="AN5" s="70" t="s">
        <v>691</v>
      </c>
      <c r="AO5" s="70" t="s">
        <v>683</v>
      </c>
      <c r="AP5" s="71" t="s">
        <v>593</v>
      </c>
      <c r="AQ5" s="170"/>
      <c r="AR5" s="70" t="s">
        <v>691</v>
      </c>
      <c r="AS5" s="70" t="s">
        <v>683</v>
      </c>
      <c r="AT5" s="71" t="s">
        <v>593</v>
      </c>
      <c r="AU5" s="170"/>
      <c r="AV5" s="70" t="s">
        <v>691</v>
      </c>
      <c r="AW5" s="70" t="s">
        <v>683</v>
      </c>
      <c r="AX5" s="71" t="s">
        <v>593</v>
      </c>
      <c r="AY5" s="170"/>
      <c r="AZ5" s="70" t="s">
        <v>691</v>
      </c>
      <c r="BA5" s="70" t="s">
        <v>683</v>
      </c>
      <c r="BB5" s="71" t="s">
        <v>593</v>
      </c>
      <c r="BC5" s="170"/>
      <c r="BD5" s="70" t="s">
        <v>691</v>
      </c>
      <c r="BE5" s="70" t="s">
        <v>683</v>
      </c>
      <c r="BF5" s="71" t="s">
        <v>593</v>
      </c>
      <c r="BG5" s="170"/>
      <c r="BH5" s="70" t="s">
        <v>691</v>
      </c>
      <c r="BI5" s="70" t="s">
        <v>683</v>
      </c>
      <c r="BJ5" s="71" t="s">
        <v>593</v>
      </c>
      <c r="BK5" s="170"/>
      <c r="BL5" s="70" t="s">
        <v>691</v>
      </c>
      <c r="BM5" s="70" t="s">
        <v>683</v>
      </c>
      <c r="BN5" s="71" t="s">
        <v>593</v>
      </c>
      <c r="BO5" s="170"/>
      <c r="BP5" s="70" t="s">
        <v>691</v>
      </c>
      <c r="BQ5" s="70" t="s">
        <v>683</v>
      </c>
      <c r="BR5" s="71" t="s">
        <v>593</v>
      </c>
      <c r="BS5" s="170"/>
      <c r="BT5" s="70" t="s">
        <v>691</v>
      </c>
      <c r="BU5" s="70" t="s">
        <v>683</v>
      </c>
      <c r="BV5" s="71" t="s">
        <v>593</v>
      </c>
      <c r="BW5" s="170"/>
      <c r="BX5" s="70" t="s">
        <v>691</v>
      </c>
      <c r="BY5" s="70" t="s">
        <v>683</v>
      </c>
      <c r="BZ5" s="71" t="s">
        <v>593</v>
      </c>
      <c r="CA5" s="170"/>
      <c r="CB5" s="70" t="s">
        <v>691</v>
      </c>
      <c r="CC5" s="70" t="s">
        <v>683</v>
      </c>
      <c r="CD5" s="71" t="s">
        <v>593</v>
      </c>
    </row>
    <row r="6" spans="1:82" s="2" customFormat="1" ht="30" customHeight="1" x14ac:dyDescent="0.3">
      <c r="B6" s="33">
        <v>1</v>
      </c>
      <c r="C6" s="275"/>
      <c r="D6" s="275"/>
      <c r="E6" s="275"/>
      <c r="F6" s="27"/>
      <c r="G6" s="35">
        <v>1</v>
      </c>
      <c r="H6" s="81" t="s">
        <v>347</v>
      </c>
      <c r="I6" s="55">
        <f>IFERROR(I7/B7*B6,0)</f>
        <v>0</v>
      </c>
      <c r="J6" s="55">
        <f>K11+K24+K37+K50</f>
        <v>155555.55555555556</v>
      </c>
      <c r="K6" s="56">
        <f>IFERROR((I6-J6)/I6-PARAMETROS!C19,0)</f>
        <v>0</v>
      </c>
      <c r="M6" s="229" t="s">
        <v>693</v>
      </c>
      <c r="N6" s="230">
        <f>+K50</f>
        <v>155555.55555555556</v>
      </c>
      <c r="O6" s="235">
        <f>IFERROR(N6/$N$7,0)</f>
        <v>1</v>
      </c>
      <c r="AE6" s="171"/>
      <c r="AF6" s="55">
        <f>AJ6+AN6+AR6+AV6+AZ6+BD6+BH6+BL6+BP6+BT6+BX6+CB6</f>
        <v>0</v>
      </c>
      <c r="AG6" s="55">
        <f>AH11+AH24+AH37+AH50</f>
        <v>0</v>
      </c>
      <c r="AH6" s="56">
        <f>IFERROR((AF6-AG6)/AF6,0)</f>
        <v>0</v>
      </c>
      <c r="AI6" s="171"/>
      <c r="AJ6" s="55"/>
      <c r="AK6" s="55">
        <f>AL11+AL24+AL37+AL50</f>
        <v>0</v>
      </c>
      <c r="AL6" s="56">
        <f>IFERROR((AJ6-AK6)/AJ6,0)</f>
        <v>0</v>
      </c>
      <c r="AM6" s="171"/>
      <c r="AN6" s="55"/>
      <c r="AO6" s="55">
        <f>AP11+AP24+AP37+AP50</f>
        <v>0</v>
      </c>
      <c r="AP6" s="56">
        <f>IFERROR((AN6-AO6)/AN6,0)</f>
        <v>0</v>
      </c>
      <c r="AQ6" s="171"/>
      <c r="AR6" s="55"/>
      <c r="AS6" s="55">
        <f>AT11+AT24+AT37+AT50</f>
        <v>0</v>
      </c>
      <c r="AT6" s="56">
        <f>IFERROR((AR6-AS6)/AR6,0)</f>
        <v>0</v>
      </c>
      <c r="AU6" s="171"/>
      <c r="AV6" s="55"/>
      <c r="AW6" s="55">
        <f>AX11+AX24+AX37+AX50</f>
        <v>0</v>
      </c>
      <c r="AX6" s="56">
        <f>IFERROR((AV6-AW6)/AV6,0)</f>
        <v>0</v>
      </c>
      <c r="AY6" s="171"/>
      <c r="AZ6" s="55"/>
      <c r="BA6" s="55">
        <f>BB11+BB24+BB37+BB50</f>
        <v>0</v>
      </c>
      <c r="BB6" s="56">
        <f>IFERROR((AZ6-BA6)/AZ6,0)</f>
        <v>0</v>
      </c>
      <c r="BC6" s="171"/>
      <c r="BD6" s="55"/>
      <c r="BE6" s="55">
        <f>BF11+BF24+BF37+BF50</f>
        <v>0</v>
      </c>
      <c r="BF6" s="56">
        <f>IFERROR((BD6-BE6)/BD6,0)</f>
        <v>0</v>
      </c>
      <c r="BG6" s="171"/>
      <c r="BH6" s="55"/>
      <c r="BI6" s="55">
        <f>BJ11+BJ24+BJ37+BJ50</f>
        <v>0</v>
      </c>
      <c r="BJ6" s="56">
        <f>IFERROR((BH6-BI6)/BH6,0)</f>
        <v>0</v>
      </c>
      <c r="BK6" s="171"/>
      <c r="BL6" s="55"/>
      <c r="BM6" s="55">
        <f>BN11+BN24+BN37+BN50</f>
        <v>0</v>
      </c>
      <c r="BN6" s="56">
        <f>IFERROR((BL6-BM6)/BL6,0)</f>
        <v>0</v>
      </c>
      <c r="BO6" s="171"/>
      <c r="BP6" s="55"/>
      <c r="BQ6" s="55">
        <f>BR11+BR24+BR37+BR50</f>
        <v>0</v>
      </c>
      <c r="BR6" s="56">
        <f>IFERROR((BP6-BQ6)/BP6,0)</f>
        <v>0</v>
      </c>
      <c r="BS6" s="171"/>
      <c r="BT6" s="55"/>
      <c r="BU6" s="55">
        <f>BV11+BV24+BV37+BV50</f>
        <v>0</v>
      </c>
      <c r="BV6" s="56">
        <f>IFERROR((BT6-BU6)/BT6,0)</f>
        <v>0</v>
      </c>
      <c r="BW6" s="171"/>
      <c r="BX6" s="55"/>
      <c r="BY6" s="55">
        <f>BZ11+BZ24+BZ37+BZ50</f>
        <v>0</v>
      </c>
      <c r="BZ6" s="56">
        <f>IFERROR((BX6-BY6)/BX6,0)</f>
        <v>0</v>
      </c>
      <c r="CA6" s="171"/>
      <c r="CB6" s="55"/>
      <c r="CC6" s="55">
        <f>CD11+CD24+CD37+CD50</f>
        <v>0</v>
      </c>
      <c r="CD6" s="56">
        <f>IFERROR((CB6-CC6)/CB6,0)</f>
        <v>0</v>
      </c>
    </row>
    <row r="7" spans="1:82" s="2" customFormat="1" ht="30" customHeight="1" thickBot="1" x14ac:dyDescent="0.35">
      <c r="B7" s="34">
        <f>IFERROR(VLOOKUP(B3,Lucratividade!G4:N853,2,0),0)</f>
        <v>0</v>
      </c>
      <c r="C7" s="276"/>
      <c r="D7" s="276"/>
      <c r="E7" s="276"/>
      <c r="F7" s="50"/>
      <c r="G7" s="36">
        <f>IFERROR(B7/B6,0)</f>
        <v>0</v>
      </c>
      <c r="H7" s="82" t="s">
        <v>347</v>
      </c>
      <c r="I7" s="57">
        <f>IFERROR(VLOOKUP(B3,Lucratividade!G4:N132,6,0),0)</f>
        <v>0</v>
      </c>
      <c r="J7" s="58">
        <f>B7*K3</f>
        <v>0</v>
      </c>
      <c r="K7" s="59">
        <f>IFERROR((I7-J7)/I7-PARAMETROS!C19,0)</f>
        <v>0</v>
      </c>
      <c r="M7" s="231" t="s">
        <v>694</v>
      </c>
      <c r="N7" s="232">
        <f>SUM(N3:N6)</f>
        <v>155555.55555555556</v>
      </c>
      <c r="O7" s="236"/>
      <c r="AE7" s="172"/>
      <c r="AF7" s="57"/>
      <c r="AG7" s="58"/>
      <c r="AH7" s="59"/>
      <c r="AI7" s="172"/>
      <c r="AJ7" s="57"/>
      <c r="AK7" s="58"/>
      <c r="AL7" s="59"/>
      <c r="AM7" s="172"/>
      <c r="AN7" s="57"/>
      <c r="AO7" s="58"/>
      <c r="AP7" s="59"/>
      <c r="AQ7" s="172"/>
      <c r="AR7" s="57"/>
      <c r="AS7" s="58"/>
      <c r="AT7" s="59"/>
      <c r="AU7" s="172"/>
      <c r="AV7" s="57"/>
      <c r="AW7" s="58"/>
      <c r="AX7" s="59"/>
      <c r="AY7" s="172"/>
      <c r="AZ7" s="57"/>
      <c r="BA7" s="58"/>
      <c r="BB7" s="59"/>
      <c r="BC7" s="172"/>
      <c r="BD7" s="57"/>
      <c r="BE7" s="58"/>
      <c r="BF7" s="59"/>
      <c r="BG7" s="172"/>
      <c r="BH7" s="57"/>
      <c r="BI7" s="58"/>
      <c r="BJ7" s="59"/>
      <c r="BK7" s="172"/>
      <c r="BL7" s="57"/>
      <c r="BM7" s="58"/>
      <c r="BN7" s="59"/>
      <c r="BO7" s="172"/>
      <c r="BP7" s="57"/>
      <c r="BQ7" s="58"/>
      <c r="BR7" s="59"/>
      <c r="BS7" s="172"/>
      <c r="BT7" s="57"/>
      <c r="BU7" s="58"/>
      <c r="BV7" s="59"/>
      <c r="BW7" s="172"/>
      <c r="BX7" s="57"/>
      <c r="BY7" s="58"/>
      <c r="BZ7" s="59"/>
      <c r="CA7" s="172"/>
      <c r="CB7" s="57"/>
      <c r="CC7" s="58"/>
      <c r="CD7" s="59"/>
    </row>
    <row r="8" spans="1:82" ht="4.2" customHeight="1" x14ac:dyDescent="0.3">
      <c r="AE8" s="28"/>
      <c r="AI8" s="28"/>
      <c r="AM8" s="28"/>
      <c r="AQ8" s="28"/>
      <c r="AU8" s="28"/>
      <c r="AY8" s="28"/>
      <c r="BC8" s="28"/>
      <c r="BG8" s="28"/>
      <c r="BK8" s="28"/>
      <c r="BO8" s="28"/>
      <c r="BS8" s="28"/>
      <c r="BW8" s="28"/>
      <c r="CA8" s="28"/>
    </row>
    <row r="9" spans="1:82" ht="4.95" customHeight="1" thickBot="1" x14ac:dyDescent="0.35">
      <c r="AE9" s="28"/>
      <c r="AI9" s="28"/>
      <c r="AM9" s="28"/>
      <c r="AQ9" s="28"/>
      <c r="AU9" s="28"/>
      <c r="AY9" s="28"/>
      <c r="BC9" s="28"/>
      <c r="BG9" s="28"/>
      <c r="BK9" s="28"/>
      <c r="BO9" s="28"/>
      <c r="BS9" s="28"/>
      <c r="BW9" s="28"/>
      <c r="CA9" s="28"/>
    </row>
    <row r="10" spans="1:82" ht="15" thickBot="1" x14ac:dyDescent="0.35">
      <c r="B10" s="72" t="s">
        <v>695</v>
      </c>
      <c r="C10" s="72" t="s">
        <v>679</v>
      </c>
      <c r="D10" s="72" t="s">
        <v>696</v>
      </c>
      <c r="E10" s="72" t="s">
        <v>697</v>
      </c>
      <c r="F10" s="72" t="s">
        <v>17</v>
      </c>
      <c r="G10" s="70" t="s">
        <v>690</v>
      </c>
      <c r="H10" s="70" t="s">
        <v>698</v>
      </c>
      <c r="I10" s="72" t="s">
        <v>20</v>
      </c>
      <c r="J10" s="72" t="s">
        <v>699</v>
      </c>
      <c r="K10" s="72" t="s">
        <v>700</v>
      </c>
      <c r="M10" s="83" t="s">
        <v>701</v>
      </c>
      <c r="N10" s="87" t="s">
        <v>702</v>
      </c>
      <c r="AD10" s="173" t="s">
        <v>703</v>
      </c>
      <c r="AE10" s="170" t="s">
        <v>698</v>
      </c>
      <c r="AF10" s="70" t="s">
        <v>20</v>
      </c>
      <c r="AG10" s="70" t="s">
        <v>699</v>
      </c>
      <c r="AH10" s="70" t="s">
        <v>700</v>
      </c>
      <c r="AI10" s="173" t="s">
        <v>704</v>
      </c>
      <c r="AJ10" s="174" t="s">
        <v>705</v>
      </c>
      <c r="AK10" s="174" t="s">
        <v>706</v>
      </c>
      <c r="AL10" s="175" t="s">
        <v>707</v>
      </c>
      <c r="AM10" s="173" t="s">
        <v>708</v>
      </c>
      <c r="AN10" s="174" t="s">
        <v>709</v>
      </c>
      <c r="AO10" s="174" t="s">
        <v>710</v>
      </c>
      <c r="AP10" s="175" t="s">
        <v>711</v>
      </c>
      <c r="AQ10" s="173" t="s">
        <v>712</v>
      </c>
      <c r="AR10" s="174" t="s">
        <v>713</v>
      </c>
      <c r="AS10" s="174" t="s">
        <v>714</v>
      </c>
      <c r="AT10" s="175" t="s">
        <v>715</v>
      </c>
      <c r="AU10" s="173" t="s">
        <v>716</v>
      </c>
      <c r="AV10" s="174" t="s">
        <v>717</v>
      </c>
      <c r="AW10" s="174" t="s">
        <v>718</v>
      </c>
      <c r="AX10" s="175" t="s">
        <v>719</v>
      </c>
      <c r="AY10" s="173" t="s">
        <v>720</v>
      </c>
      <c r="AZ10" s="174" t="s">
        <v>721</v>
      </c>
      <c r="BA10" s="174" t="s">
        <v>722</v>
      </c>
      <c r="BB10" s="175" t="s">
        <v>723</v>
      </c>
      <c r="BC10" s="173" t="s">
        <v>724</v>
      </c>
      <c r="BD10" s="174" t="s">
        <v>725</v>
      </c>
      <c r="BE10" s="174" t="s">
        <v>726</v>
      </c>
      <c r="BF10" s="175" t="s">
        <v>727</v>
      </c>
      <c r="BG10" s="173" t="s">
        <v>728</v>
      </c>
      <c r="BH10" s="174" t="s">
        <v>729</v>
      </c>
      <c r="BI10" s="174" t="s">
        <v>730</v>
      </c>
      <c r="BJ10" s="175" t="s">
        <v>731</v>
      </c>
      <c r="BK10" s="173" t="s">
        <v>732</v>
      </c>
      <c r="BL10" s="174" t="s">
        <v>733</v>
      </c>
      <c r="BM10" s="174" t="s">
        <v>734</v>
      </c>
      <c r="BN10" s="175" t="s">
        <v>735</v>
      </c>
      <c r="BO10" s="173" t="s">
        <v>736</v>
      </c>
      <c r="BP10" s="174" t="s">
        <v>737</v>
      </c>
      <c r="BQ10" s="174" t="s">
        <v>738</v>
      </c>
      <c r="BR10" s="175" t="s">
        <v>739</v>
      </c>
      <c r="BS10" s="173" t="s">
        <v>740</v>
      </c>
      <c r="BT10" s="174" t="s">
        <v>741</v>
      </c>
      <c r="BU10" s="174" t="s">
        <v>742</v>
      </c>
      <c r="BV10" s="175" t="s">
        <v>743</v>
      </c>
      <c r="BW10" s="173" t="s">
        <v>744</v>
      </c>
      <c r="BX10" s="174" t="s">
        <v>745</v>
      </c>
      <c r="BY10" s="174" t="s">
        <v>746</v>
      </c>
      <c r="BZ10" s="175" t="s">
        <v>747</v>
      </c>
      <c r="CA10" s="173" t="s">
        <v>748</v>
      </c>
      <c r="CB10" s="174" t="s">
        <v>749</v>
      </c>
      <c r="CC10" s="174" t="s">
        <v>750</v>
      </c>
      <c r="CD10" s="174" t="s">
        <v>751</v>
      </c>
    </row>
    <row r="11" spans="1:82" x14ac:dyDescent="0.3">
      <c r="B11" s="52" t="s">
        <v>752</v>
      </c>
      <c r="C11" s="52" t="str">
        <f t="shared" ref="C11:C62" si="0">$A$3</f>
        <v>CPU_Iluminaçãodeaproxima</v>
      </c>
      <c r="D11" s="277">
        <f t="shared" ref="D11:D62" si="1">$B$6</f>
        <v>1</v>
      </c>
      <c r="E11" s="277">
        <f t="shared" ref="E11:E62" si="2">$B$7</f>
        <v>0</v>
      </c>
      <c r="F11" s="37"/>
      <c r="G11" s="38"/>
      <c r="H11" s="91"/>
      <c r="I11" s="40"/>
      <c r="J11" s="40">
        <f>IFERROR(K11/$B$6,0)</f>
        <v>0</v>
      </c>
      <c r="K11" s="40">
        <f>SUM(K12:K23)</f>
        <v>0</v>
      </c>
      <c r="M11" s="294" t="s">
        <v>753</v>
      </c>
      <c r="N11" s="295" t="s">
        <v>754</v>
      </c>
      <c r="O11" s="296" t="s">
        <v>755</v>
      </c>
      <c r="AD11" s="144" t="str">
        <f>$B$3</f>
        <v>Iluminação de aproximação</v>
      </c>
      <c r="AE11" s="176"/>
      <c r="AF11" s="177"/>
      <c r="AG11" s="177">
        <f>IFERROR(AH11/AF$3,0)</f>
        <v>0</v>
      </c>
      <c r="AH11" s="178">
        <f>SUM(AH12:AH23)</f>
        <v>0</v>
      </c>
      <c r="AI11" s="176"/>
      <c r="AJ11" s="177"/>
      <c r="AK11" s="177">
        <f>IFERROR(AL11/AJ$3,0)</f>
        <v>0</v>
      </c>
      <c r="AL11" s="178">
        <f>SUM(AL12:AL23)</f>
        <v>0</v>
      </c>
      <c r="AM11" s="176"/>
      <c r="AN11" s="177"/>
      <c r="AO11" s="177">
        <f>IFERROR(AP11/AN$3,0)</f>
        <v>0</v>
      </c>
      <c r="AP11" s="178">
        <f>SUM(AP12:AP23)</f>
        <v>0</v>
      </c>
      <c r="AQ11" s="176"/>
      <c r="AR11" s="177"/>
      <c r="AS11" s="177">
        <f>IFERROR(AT11/AR$3,0)</f>
        <v>0</v>
      </c>
      <c r="AT11" s="178">
        <f>SUM(AT12:AT23)</f>
        <v>0</v>
      </c>
      <c r="AU11" s="176"/>
      <c r="AV11" s="177"/>
      <c r="AW11" s="177">
        <f>IFERROR(AX11/AV$3,0)</f>
        <v>0</v>
      </c>
      <c r="AX11" s="178">
        <f>SUM(AX12:AX23)</f>
        <v>0</v>
      </c>
      <c r="AY11" s="176"/>
      <c r="AZ11" s="177"/>
      <c r="BA11" s="177">
        <f>IFERROR(BB11/AZ$3,0)</f>
        <v>0</v>
      </c>
      <c r="BB11" s="178">
        <f>SUM(BB12:BB23)</f>
        <v>0</v>
      </c>
      <c r="BC11" s="176"/>
      <c r="BD11" s="177"/>
      <c r="BE11" s="177">
        <f>IFERROR(BF11/BD$3,0)</f>
        <v>0</v>
      </c>
      <c r="BF11" s="178">
        <f>SUM(BF12:BF23)</f>
        <v>0</v>
      </c>
      <c r="BG11" s="176"/>
      <c r="BH11" s="177"/>
      <c r="BI11" s="177">
        <f>IFERROR(BJ11/BH$3,0)</f>
        <v>0</v>
      </c>
      <c r="BJ11" s="178">
        <f>SUM(BJ12:BJ23)</f>
        <v>0</v>
      </c>
      <c r="BK11" s="176"/>
      <c r="BL11" s="177"/>
      <c r="BM11" s="177">
        <f>IFERROR(BN11/BL$3,0)</f>
        <v>0</v>
      </c>
      <c r="BN11" s="178">
        <f>SUM(BN12:BN23)</f>
        <v>0</v>
      </c>
      <c r="BO11" s="176"/>
      <c r="BP11" s="177"/>
      <c r="BQ11" s="177">
        <f>IFERROR(BR11/BP$3,0)</f>
        <v>0</v>
      </c>
      <c r="BR11" s="178">
        <f>SUM(BR12:BR23)</f>
        <v>0</v>
      </c>
      <c r="BS11" s="176"/>
      <c r="BT11" s="177"/>
      <c r="BU11" s="177">
        <f>IFERROR(BV11/BT$3,0)</f>
        <v>0</v>
      </c>
      <c r="BV11" s="178">
        <f>SUM(BV12:BV23)</f>
        <v>0</v>
      </c>
      <c r="BW11" s="176"/>
      <c r="BX11" s="177"/>
      <c r="BY11" s="177">
        <f>IFERROR(BZ11/BX$3,0)</f>
        <v>0</v>
      </c>
      <c r="BZ11" s="178">
        <f>SUM(BZ12:BZ23)</f>
        <v>0</v>
      </c>
      <c r="CA11" s="176"/>
      <c r="CB11" s="177"/>
      <c r="CC11" s="177">
        <f>IFERROR(CD11/CB$3,0)</f>
        <v>0</v>
      </c>
      <c r="CD11" s="178">
        <f>SUM(CD12:CD23)</f>
        <v>0</v>
      </c>
    </row>
    <row r="12" spans="1:82" x14ac:dyDescent="0.3">
      <c r="B12" s="53"/>
      <c r="C12" s="53" t="str">
        <f t="shared" si="0"/>
        <v>CPU_Iluminaçãodeaproxima</v>
      </c>
      <c r="D12" s="278">
        <f t="shared" si="1"/>
        <v>1</v>
      </c>
      <c r="E12" s="278">
        <f t="shared" si="2"/>
        <v>0</v>
      </c>
      <c r="F12" s="46"/>
      <c r="G12" s="28" t="str">
        <f>IFERROR(VLOOKUP(F12,Tabela7[[RECURSO]:[CUSTO]],2,FALSE),"")</f>
        <v/>
      </c>
      <c r="H12" s="92"/>
      <c r="I12" s="90"/>
      <c r="J12" s="45">
        <f>IFERROR(VLOOKUP(F12,Tabela7[[RECURSO]:[CUSTO]],3,FALSE),0)</f>
        <v>0</v>
      </c>
      <c r="K12" s="45">
        <f>I12*J12*CPU_39[[#This Row],[Nº]]</f>
        <v>0</v>
      </c>
      <c r="M12" s="31"/>
      <c r="N12" s="297"/>
      <c r="O12" s="60">
        <f>IFERROR($B$6/(H12*I12*N12),0)</f>
        <v>0</v>
      </c>
      <c r="AD12" s="144" t="str">
        <f t="shared" ref="AD12:AD62" si="3">$B$3</f>
        <v>Iluminação de aproximação</v>
      </c>
      <c r="AE12" s="179"/>
      <c r="AF12" s="180">
        <f>AJ12+AN12+AR12+AV12+AZ12+BD12+BH12+BL12+BP12+BT12+BX12+CB12</f>
        <v>0</v>
      </c>
      <c r="AG12" s="180">
        <f>IFERROR(AH12/AF12,0)</f>
        <v>0</v>
      </c>
      <c r="AH12" s="181">
        <f>AL12+AP12+AT12+AX12+BB12+BF12+BJ12+BN12+BR12+BV12+BZ12+CD12</f>
        <v>0</v>
      </c>
      <c r="AI12" s="182"/>
      <c r="AJ12" s="90"/>
      <c r="AK12" s="90"/>
      <c r="AL12" s="183">
        <f>AJ12*AK12</f>
        <v>0</v>
      </c>
      <c r="AM12" s="182"/>
      <c r="AN12" s="90"/>
      <c r="AO12" s="90"/>
      <c r="AP12" s="183">
        <f t="shared" ref="AP12:AP23" si="4">AN12*AO12</f>
        <v>0</v>
      </c>
      <c r="AQ12" s="182"/>
      <c r="AR12" s="90"/>
      <c r="AS12" s="90"/>
      <c r="AT12" s="183">
        <f t="shared" ref="AT12:AT23" si="5">AR12*AS12</f>
        <v>0</v>
      </c>
      <c r="AU12" s="182"/>
      <c r="AV12" s="90"/>
      <c r="AW12" s="90"/>
      <c r="AX12" s="183">
        <f t="shared" ref="AX12:AX23" si="6">AV12*AW12</f>
        <v>0</v>
      </c>
      <c r="AY12" s="182"/>
      <c r="AZ12" s="90"/>
      <c r="BA12" s="90"/>
      <c r="BB12" s="183">
        <f t="shared" ref="BB12:BB23" si="7">AZ12*BA12</f>
        <v>0</v>
      </c>
      <c r="BC12" s="182"/>
      <c r="BD12" s="90"/>
      <c r="BE12" s="90"/>
      <c r="BF12" s="183">
        <f t="shared" ref="BF12:BF23" si="8">BD12*BE12</f>
        <v>0</v>
      </c>
      <c r="BG12" s="182"/>
      <c r="BH12" s="90"/>
      <c r="BI12" s="90"/>
      <c r="BJ12" s="183">
        <f t="shared" ref="BJ12:BJ23" si="9">BH12*BI12</f>
        <v>0</v>
      </c>
      <c r="BK12" s="182"/>
      <c r="BL12" s="90"/>
      <c r="BM12" s="90"/>
      <c r="BN12" s="183">
        <f t="shared" ref="BN12:BN23" si="10">BL12*BM12</f>
        <v>0</v>
      </c>
      <c r="BO12" s="182"/>
      <c r="BP12" s="90"/>
      <c r="BQ12" s="90"/>
      <c r="BR12" s="183">
        <f t="shared" ref="BR12:BR23" si="11">BP12*BQ12</f>
        <v>0</v>
      </c>
      <c r="BS12" s="182"/>
      <c r="BT12" s="90"/>
      <c r="BU12" s="90"/>
      <c r="BV12" s="183">
        <f t="shared" ref="BV12:BV23" si="12">BT12*BU12</f>
        <v>0</v>
      </c>
      <c r="BW12" s="182"/>
      <c r="BX12" s="90"/>
      <c r="BY12" s="90"/>
      <c r="BZ12" s="183">
        <f t="shared" ref="BZ12:BZ23" si="13">BX12*BY12</f>
        <v>0</v>
      </c>
      <c r="CA12" s="182"/>
      <c r="CB12" s="90"/>
      <c r="CC12" s="90"/>
      <c r="CD12" s="183">
        <f t="shared" ref="CD12:CD23" si="14">CB12*CC12</f>
        <v>0</v>
      </c>
    </row>
    <row r="13" spans="1:82" x14ac:dyDescent="0.3">
      <c r="B13" s="53"/>
      <c r="C13" s="53" t="str">
        <f t="shared" si="0"/>
        <v>CPU_Iluminaçãodeaproxima</v>
      </c>
      <c r="D13" s="278">
        <f t="shared" si="1"/>
        <v>1</v>
      </c>
      <c r="E13" s="278">
        <f t="shared" si="2"/>
        <v>0</v>
      </c>
      <c r="F13" s="1"/>
      <c r="G13" s="28" t="str">
        <f>IFERROR(VLOOKUP(F13,Tabela7[[RECURSO]:[CUSTO]],2,FALSE),"")</f>
        <v/>
      </c>
      <c r="H13" s="92"/>
      <c r="I13" s="90"/>
      <c r="J13" s="45">
        <f>IFERROR(VLOOKUP(F13,Tabela7[[RECURSO]:[CUSTO]],3,FALSE),0)</f>
        <v>0</v>
      </c>
      <c r="K13" s="45">
        <f>I13*J13*CPU_39[[#This Row],[Nº]]</f>
        <v>0</v>
      </c>
      <c r="M13" s="31"/>
      <c r="N13" s="297"/>
      <c r="O13" s="60">
        <f t="shared" ref="O13:O23" si="15">IFERROR($B$6/(H13*I13),0)</f>
        <v>0</v>
      </c>
      <c r="AD13" s="144" t="str">
        <f t="shared" si="3"/>
        <v>Iluminação de aproximação</v>
      </c>
      <c r="AE13" s="179"/>
      <c r="AF13" s="180">
        <f t="shared" ref="AF13:AF23" si="16">AJ13+AN13+AR13+AV13+AZ13+BD13+BH13+BL13+BP13+BT13+BX13+CB13</f>
        <v>0</v>
      </c>
      <c r="AG13" s="180">
        <f t="shared" ref="AG13:AG62" si="17">IFERROR(AH13/AF13,0)</f>
        <v>0</v>
      </c>
      <c r="AH13" s="181">
        <f t="shared" ref="AH13:AH23" si="18">AL13+AP13+AT13+AX13+BB13+BF13+BJ13+BN13+BR13+BV13+BZ13+CD13</f>
        <v>0</v>
      </c>
      <c r="AI13" s="182"/>
      <c r="AJ13" s="90"/>
      <c r="AK13" s="90"/>
      <c r="AL13" s="183">
        <f t="shared" ref="AL13:AL23" si="19">AJ13*AK13</f>
        <v>0</v>
      </c>
      <c r="AM13" s="182"/>
      <c r="AN13" s="90"/>
      <c r="AO13" s="90"/>
      <c r="AP13" s="183">
        <f t="shared" si="4"/>
        <v>0</v>
      </c>
      <c r="AQ13" s="182"/>
      <c r="AR13" s="90"/>
      <c r="AS13" s="90"/>
      <c r="AT13" s="183">
        <f t="shared" si="5"/>
        <v>0</v>
      </c>
      <c r="AU13" s="182"/>
      <c r="AV13" s="90"/>
      <c r="AW13" s="90"/>
      <c r="AX13" s="183">
        <f t="shared" si="6"/>
        <v>0</v>
      </c>
      <c r="AY13" s="182"/>
      <c r="AZ13" s="90"/>
      <c r="BA13" s="90"/>
      <c r="BB13" s="183">
        <f t="shared" si="7"/>
        <v>0</v>
      </c>
      <c r="BC13" s="182"/>
      <c r="BD13" s="90"/>
      <c r="BE13" s="90"/>
      <c r="BF13" s="183">
        <f t="shared" si="8"/>
        <v>0</v>
      </c>
      <c r="BG13" s="182"/>
      <c r="BH13" s="90"/>
      <c r="BI13" s="90"/>
      <c r="BJ13" s="183">
        <f t="shared" si="9"/>
        <v>0</v>
      </c>
      <c r="BK13" s="182"/>
      <c r="BL13" s="90"/>
      <c r="BM13" s="90"/>
      <c r="BN13" s="183">
        <f t="shared" si="10"/>
        <v>0</v>
      </c>
      <c r="BO13" s="182"/>
      <c r="BP13" s="90"/>
      <c r="BQ13" s="90"/>
      <c r="BR13" s="183">
        <f t="shared" si="11"/>
        <v>0</v>
      </c>
      <c r="BS13" s="182"/>
      <c r="BT13" s="90"/>
      <c r="BU13" s="90"/>
      <c r="BV13" s="183">
        <f t="shared" si="12"/>
        <v>0</v>
      </c>
      <c r="BW13" s="182"/>
      <c r="BX13" s="90"/>
      <c r="BY13" s="90"/>
      <c r="BZ13" s="183">
        <f t="shared" si="13"/>
        <v>0</v>
      </c>
      <c r="CA13" s="182"/>
      <c r="CB13" s="90"/>
      <c r="CC13" s="90"/>
      <c r="CD13" s="183">
        <f t="shared" si="14"/>
        <v>0</v>
      </c>
    </row>
    <row r="14" spans="1:82" x14ac:dyDescent="0.3">
      <c r="B14" s="53"/>
      <c r="C14" s="53" t="str">
        <f t="shared" si="0"/>
        <v>CPU_Iluminaçãodeaproxima</v>
      </c>
      <c r="D14" s="278">
        <f t="shared" si="1"/>
        <v>1</v>
      </c>
      <c r="E14" s="278">
        <f t="shared" si="2"/>
        <v>0</v>
      </c>
      <c r="F14" s="1"/>
      <c r="G14" s="28" t="str">
        <f>IFERROR(VLOOKUP(F14,Tabela7[[RECURSO]:[CUSTO]],2,FALSE),"")</f>
        <v/>
      </c>
      <c r="H14" s="92"/>
      <c r="I14" s="90"/>
      <c r="J14" s="45">
        <f>IFERROR(VLOOKUP(F14,Tabela7[[RECURSO]:[CUSTO]],3,FALSE),0)</f>
        <v>0</v>
      </c>
      <c r="K14" s="45">
        <f>I14*J14*CPU_39[[#This Row],[Nº]]</f>
        <v>0</v>
      </c>
      <c r="M14" s="31"/>
      <c r="N14" s="297"/>
      <c r="O14" s="60">
        <f t="shared" si="15"/>
        <v>0</v>
      </c>
      <c r="AD14" s="144" t="str">
        <f t="shared" si="3"/>
        <v>Iluminação de aproximação</v>
      </c>
      <c r="AE14" s="179"/>
      <c r="AF14" s="180">
        <f t="shared" si="16"/>
        <v>0</v>
      </c>
      <c r="AG14" s="180">
        <f t="shared" si="17"/>
        <v>0</v>
      </c>
      <c r="AH14" s="181">
        <f t="shared" si="18"/>
        <v>0</v>
      </c>
      <c r="AI14" s="182"/>
      <c r="AJ14" s="90"/>
      <c r="AK14" s="90"/>
      <c r="AL14" s="183">
        <f t="shared" si="19"/>
        <v>0</v>
      </c>
      <c r="AM14" s="182"/>
      <c r="AN14" s="90"/>
      <c r="AO14" s="90"/>
      <c r="AP14" s="183">
        <f t="shared" si="4"/>
        <v>0</v>
      </c>
      <c r="AQ14" s="182"/>
      <c r="AR14" s="90"/>
      <c r="AS14" s="90"/>
      <c r="AT14" s="183">
        <f t="shared" si="5"/>
        <v>0</v>
      </c>
      <c r="AU14" s="182"/>
      <c r="AV14" s="90"/>
      <c r="AW14" s="90"/>
      <c r="AX14" s="183">
        <f t="shared" si="6"/>
        <v>0</v>
      </c>
      <c r="AY14" s="182"/>
      <c r="AZ14" s="90"/>
      <c r="BA14" s="90"/>
      <c r="BB14" s="183">
        <f t="shared" si="7"/>
        <v>0</v>
      </c>
      <c r="BC14" s="182"/>
      <c r="BD14" s="90"/>
      <c r="BE14" s="90"/>
      <c r="BF14" s="183">
        <f t="shared" si="8"/>
        <v>0</v>
      </c>
      <c r="BG14" s="182"/>
      <c r="BH14" s="90"/>
      <c r="BI14" s="90"/>
      <c r="BJ14" s="183">
        <f t="shared" si="9"/>
        <v>0</v>
      </c>
      <c r="BK14" s="182"/>
      <c r="BL14" s="90"/>
      <c r="BM14" s="90"/>
      <c r="BN14" s="183">
        <f t="shared" si="10"/>
        <v>0</v>
      </c>
      <c r="BO14" s="182"/>
      <c r="BP14" s="90"/>
      <c r="BQ14" s="90"/>
      <c r="BR14" s="183">
        <f t="shared" si="11"/>
        <v>0</v>
      </c>
      <c r="BS14" s="182"/>
      <c r="BT14" s="90"/>
      <c r="BU14" s="90"/>
      <c r="BV14" s="183">
        <f t="shared" si="12"/>
        <v>0</v>
      </c>
      <c r="BW14" s="182"/>
      <c r="BX14" s="90"/>
      <c r="BY14" s="90"/>
      <c r="BZ14" s="183">
        <f t="shared" si="13"/>
        <v>0</v>
      </c>
      <c r="CA14" s="182"/>
      <c r="CB14" s="90"/>
      <c r="CC14" s="90"/>
      <c r="CD14" s="183">
        <f t="shared" si="14"/>
        <v>0</v>
      </c>
    </row>
    <row r="15" spans="1:82" x14ac:dyDescent="0.3">
      <c r="B15" s="153"/>
      <c r="C15" s="153" t="str">
        <f t="shared" si="0"/>
        <v>CPU_Iluminaçãodeaproxima</v>
      </c>
      <c r="D15" s="279">
        <f t="shared" si="1"/>
        <v>1</v>
      </c>
      <c r="E15" s="279">
        <f t="shared" si="2"/>
        <v>0</v>
      </c>
      <c r="F15" s="1"/>
      <c r="G15" s="28" t="str">
        <f>IFERROR(VLOOKUP(F15,Tabela7[[RECURSO]:[CUSTO]],2,FALSE),"")</f>
        <v/>
      </c>
      <c r="H15" s="92"/>
      <c r="I15" s="90"/>
      <c r="J15" s="45">
        <f>IFERROR(VLOOKUP(F15,Tabela7[[RECURSO]:[CUSTO]],3,FALSE),0)</f>
        <v>0</v>
      </c>
      <c r="K15" s="45">
        <f>I15*J15*CPU_39[[#This Row],[Nº]]</f>
        <v>0</v>
      </c>
      <c r="M15" s="31"/>
      <c r="N15" s="297"/>
      <c r="O15" s="60">
        <f t="shared" si="15"/>
        <v>0</v>
      </c>
      <c r="AD15" s="144" t="str">
        <f t="shared" si="3"/>
        <v>Iluminação de aproximação</v>
      </c>
      <c r="AE15" s="179"/>
      <c r="AF15" s="180">
        <f t="shared" si="16"/>
        <v>0</v>
      </c>
      <c r="AG15" s="180">
        <f t="shared" si="17"/>
        <v>0</v>
      </c>
      <c r="AH15" s="181">
        <f t="shared" si="18"/>
        <v>0</v>
      </c>
      <c r="AI15" s="182"/>
      <c r="AJ15" s="90"/>
      <c r="AK15" s="90"/>
      <c r="AL15" s="183">
        <f t="shared" si="19"/>
        <v>0</v>
      </c>
      <c r="AM15" s="182"/>
      <c r="AN15" s="90"/>
      <c r="AO15" s="90"/>
      <c r="AP15" s="183">
        <f t="shared" si="4"/>
        <v>0</v>
      </c>
      <c r="AQ15" s="182"/>
      <c r="AR15" s="90"/>
      <c r="AS15" s="90"/>
      <c r="AT15" s="183">
        <f t="shared" si="5"/>
        <v>0</v>
      </c>
      <c r="AU15" s="182"/>
      <c r="AV15" s="90"/>
      <c r="AW15" s="90"/>
      <c r="AX15" s="183">
        <f t="shared" si="6"/>
        <v>0</v>
      </c>
      <c r="AY15" s="182"/>
      <c r="AZ15" s="90"/>
      <c r="BA15" s="90"/>
      <c r="BB15" s="183">
        <f t="shared" si="7"/>
        <v>0</v>
      </c>
      <c r="BC15" s="182"/>
      <c r="BD15" s="90"/>
      <c r="BE15" s="90"/>
      <c r="BF15" s="183">
        <f t="shared" si="8"/>
        <v>0</v>
      </c>
      <c r="BG15" s="182"/>
      <c r="BH15" s="90"/>
      <c r="BI15" s="90"/>
      <c r="BJ15" s="183">
        <f t="shared" si="9"/>
        <v>0</v>
      </c>
      <c r="BK15" s="182"/>
      <c r="BL15" s="90"/>
      <c r="BM15" s="90"/>
      <c r="BN15" s="183">
        <f t="shared" si="10"/>
        <v>0</v>
      </c>
      <c r="BO15" s="182"/>
      <c r="BP15" s="90"/>
      <c r="BQ15" s="90"/>
      <c r="BR15" s="183">
        <f t="shared" si="11"/>
        <v>0</v>
      </c>
      <c r="BS15" s="182"/>
      <c r="BT15" s="90"/>
      <c r="BU15" s="90"/>
      <c r="BV15" s="183">
        <f t="shared" si="12"/>
        <v>0</v>
      </c>
      <c r="BW15" s="182"/>
      <c r="BX15" s="90"/>
      <c r="BY15" s="90"/>
      <c r="BZ15" s="183">
        <f t="shared" si="13"/>
        <v>0</v>
      </c>
      <c r="CA15" s="182"/>
      <c r="CB15" s="90"/>
      <c r="CC15" s="90"/>
      <c r="CD15" s="183">
        <f t="shared" si="14"/>
        <v>0</v>
      </c>
    </row>
    <row r="16" spans="1:82" x14ac:dyDescent="0.3">
      <c r="B16" s="53"/>
      <c r="C16" s="53" t="str">
        <f t="shared" si="0"/>
        <v>CPU_Iluminaçãodeaproxima</v>
      </c>
      <c r="D16" s="278">
        <f t="shared" si="1"/>
        <v>1</v>
      </c>
      <c r="E16" s="278">
        <f t="shared" si="2"/>
        <v>0</v>
      </c>
      <c r="F16" s="1"/>
      <c r="G16" s="28" t="str">
        <f>IFERROR(VLOOKUP(F16,Tabela7[[RECURSO]:[CUSTO]],2,FALSE),"")</f>
        <v/>
      </c>
      <c r="H16" s="92"/>
      <c r="I16" s="90"/>
      <c r="J16" s="45">
        <f>IFERROR(VLOOKUP(F16,Tabela7[[RECURSO]:[CUSTO]],3,FALSE),0)</f>
        <v>0</v>
      </c>
      <c r="K16" s="45">
        <f>I16*J16*CPU_39[[#This Row],[Nº]]</f>
        <v>0</v>
      </c>
      <c r="M16" s="31"/>
      <c r="N16" s="297"/>
      <c r="O16" s="60">
        <f t="shared" si="15"/>
        <v>0</v>
      </c>
      <c r="AD16" s="144" t="str">
        <f t="shared" si="3"/>
        <v>Iluminação de aproximação</v>
      </c>
      <c r="AE16" s="179"/>
      <c r="AF16" s="180">
        <f t="shared" si="16"/>
        <v>0</v>
      </c>
      <c r="AG16" s="180">
        <f t="shared" si="17"/>
        <v>0</v>
      </c>
      <c r="AH16" s="181">
        <f t="shared" si="18"/>
        <v>0</v>
      </c>
      <c r="AI16" s="182"/>
      <c r="AJ16" s="90"/>
      <c r="AK16" s="90"/>
      <c r="AL16" s="183">
        <f t="shared" si="19"/>
        <v>0</v>
      </c>
      <c r="AM16" s="182"/>
      <c r="AN16" s="90"/>
      <c r="AO16" s="90"/>
      <c r="AP16" s="183">
        <f t="shared" si="4"/>
        <v>0</v>
      </c>
      <c r="AQ16" s="182"/>
      <c r="AR16" s="90"/>
      <c r="AS16" s="90"/>
      <c r="AT16" s="183">
        <f t="shared" si="5"/>
        <v>0</v>
      </c>
      <c r="AU16" s="182"/>
      <c r="AV16" s="90"/>
      <c r="AW16" s="90"/>
      <c r="AX16" s="183">
        <f t="shared" si="6"/>
        <v>0</v>
      </c>
      <c r="AY16" s="182"/>
      <c r="AZ16" s="90"/>
      <c r="BA16" s="90"/>
      <c r="BB16" s="183">
        <f t="shared" si="7"/>
        <v>0</v>
      </c>
      <c r="BC16" s="182"/>
      <c r="BD16" s="90"/>
      <c r="BE16" s="90"/>
      <c r="BF16" s="183">
        <f t="shared" si="8"/>
        <v>0</v>
      </c>
      <c r="BG16" s="182"/>
      <c r="BH16" s="90"/>
      <c r="BI16" s="90"/>
      <c r="BJ16" s="183">
        <f t="shared" si="9"/>
        <v>0</v>
      </c>
      <c r="BK16" s="182"/>
      <c r="BL16" s="90"/>
      <c r="BM16" s="90"/>
      <c r="BN16" s="183">
        <f t="shared" si="10"/>
        <v>0</v>
      </c>
      <c r="BO16" s="182"/>
      <c r="BP16" s="90"/>
      <c r="BQ16" s="90"/>
      <c r="BR16" s="183">
        <f t="shared" si="11"/>
        <v>0</v>
      </c>
      <c r="BS16" s="182"/>
      <c r="BT16" s="90"/>
      <c r="BU16" s="90"/>
      <c r="BV16" s="183">
        <f t="shared" si="12"/>
        <v>0</v>
      </c>
      <c r="BW16" s="182"/>
      <c r="BX16" s="90"/>
      <c r="BY16" s="90"/>
      <c r="BZ16" s="183">
        <f t="shared" si="13"/>
        <v>0</v>
      </c>
      <c r="CA16" s="182"/>
      <c r="CB16" s="90"/>
      <c r="CC16" s="90"/>
      <c r="CD16" s="183">
        <f t="shared" si="14"/>
        <v>0</v>
      </c>
    </row>
    <row r="17" spans="2:82" x14ac:dyDescent="0.3">
      <c r="B17" s="53"/>
      <c r="C17" s="53" t="str">
        <f t="shared" si="0"/>
        <v>CPU_Iluminaçãodeaproxima</v>
      </c>
      <c r="D17" s="278">
        <f t="shared" si="1"/>
        <v>1</v>
      </c>
      <c r="E17" s="278">
        <f t="shared" si="2"/>
        <v>0</v>
      </c>
      <c r="F17" s="1"/>
      <c r="G17" s="28" t="str">
        <f>IFERROR(VLOOKUP(F17,Tabela7[[RECURSO]:[CUSTO]],2,FALSE),"")</f>
        <v/>
      </c>
      <c r="H17" s="92"/>
      <c r="I17" s="90"/>
      <c r="J17" s="45">
        <f>IFERROR(VLOOKUP(F17,Tabela7[[RECURSO]:[CUSTO]],3,FALSE),0)</f>
        <v>0</v>
      </c>
      <c r="K17" s="45">
        <f>I17*J17*CPU_39[[#This Row],[Nº]]</f>
        <v>0</v>
      </c>
      <c r="M17" s="31"/>
      <c r="N17" s="297"/>
      <c r="O17" s="60">
        <f t="shared" si="15"/>
        <v>0</v>
      </c>
      <c r="AD17" s="144" t="str">
        <f t="shared" si="3"/>
        <v>Iluminação de aproximação</v>
      </c>
      <c r="AE17" s="179"/>
      <c r="AF17" s="180">
        <f t="shared" si="16"/>
        <v>0</v>
      </c>
      <c r="AG17" s="180">
        <f t="shared" si="17"/>
        <v>0</v>
      </c>
      <c r="AH17" s="181">
        <f t="shared" si="18"/>
        <v>0</v>
      </c>
      <c r="AI17" s="182"/>
      <c r="AJ17" s="90"/>
      <c r="AK17" s="90"/>
      <c r="AL17" s="183">
        <f t="shared" si="19"/>
        <v>0</v>
      </c>
      <c r="AM17" s="182"/>
      <c r="AN17" s="90"/>
      <c r="AO17" s="90"/>
      <c r="AP17" s="183">
        <f t="shared" si="4"/>
        <v>0</v>
      </c>
      <c r="AQ17" s="182"/>
      <c r="AR17" s="90"/>
      <c r="AS17" s="90"/>
      <c r="AT17" s="183">
        <f t="shared" si="5"/>
        <v>0</v>
      </c>
      <c r="AU17" s="182"/>
      <c r="AV17" s="90"/>
      <c r="AW17" s="90"/>
      <c r="AX17" s="183">
        <f t="shared" si="6"/>
        <v>0</v>
      </c>
      <c r="AY17" s="182"/>
      <c r="AZ17" s="90"/>
      <c r="BA17" s="90"/>
      <c r="BB17" s="183">
        <f t="shared" si="7"/>
        <v>0</v>
      </c>
      <c r="BC17" s="182"/>
      <c r="BD17" s="90"/>
      <c r="BE17" s="90"/>
      <c r="BF17" s="183">
        <f t="shared" si="8"/>
        <v>0</v>
      </c>
      <c r="BG17" s="182"/>
      <c r="BH17" s="90"/>
      <c r="BI17" s="90"/>
      <c r="BJ17" s="183">
        <f t="shared" si="9"/>
        <v>0</v>
      </c>
      <c r="BK17" s="182"/>
      <c r="BL17" s="90"/>
      <c r="BM17" s="90"/>
      <c r="BN17" s="183">
        <f t="shared" si="10"/>
        <v>0</v>
      </c>
      <c r="BO17" s="182"/>
      <c r="BP17" s="90"/>
      <c r="BQ17" s="90"/>
      <c r="BR17" s="183">
        <f t="shared" si="11"/>
        <v>0</v>
      </c>
      <c r="BS17" s="182"/>
      <c r="BT17" s="90"/>
      <c r="BU17" s="90"/>
      <c r="BV17" s="183">
        <f t="shared" si="12"/>
        <v>0</v>
      </c>
      <c r="BW17" s="182"/>
      <c r="BX17" s="90"/>
      <c r="BY17" s="90"/>
      <c r="BZ17" s="183">
        <f t="shared" si="13"/>
        <v>0</v>
      </c>
      <c r="CA17" s="182"/>
      <c r="CB17" s="90"/>
      <c r="CC17" s="90"/>
      <c r="CD17" s="183">
        <f t="shared" si="14"/>
        <v>0</v>
      </c>
    </row>
    <row r="18" spans="2:82" x14ac:dyDescent="0.3">
      <c r="B18" s="53"/>
      <c r="C18" s="53" t="str">
        <f t="shared" si="0"/>
        <v>CPU_Iluminaçãodeaproxima</v>
      </c>
      <c r="D18" s="278">
        <f t="shared" si="1"/>
        <v>1</v>
      </c>
      <c r="E18" s="278">
        <f t="shared" si="2"/>
        <v>0</v>
      </c>
      <c r="F18" s="1"/>
      <c r="G18" s="28" t="str">
        <f>IFERROR(VLOOKUP(F18,Tabela7[[RECURSO]:[CUSTO]],2,FALSE),"")</f>
        <v/>
      </c>
      <c r="H18" s="92"/>
      <c r="I18" s="90"/>
      <c r="J18" s="45">
        <f>IFERROR(VLOOKUP(F18,Tabela7[[RECURSO]:[CUSTO]],3,FALSE),0)</f>
        <v>0</v>
      </c>
      <c r="K18" s="45">
        <f>I18*J18*CPU_39[[#This Row],[Nº]]</f>
        <v>0</v>
      </c>
      <c r="M18" s="31"/>
      <c r="N18" s="297"/>
      <c r="O18" s="60">
        <f t="shared" si="15"/>
        <v>0</v>
      </c>
      <c r="AD18" s="144" t="str">
        <f t="shared" si="3"/>
        <v>Iluminação de aproximação</v>
      </c>
      <c r="AE18" s="179"/>
      <c r="AF18" s="180">
        <f t="shared" si="16"/>
        <v>0</v>
      </c>
      <c r="AG18" s="180">
        <f t="shared" si="17"/>
        <v>0</v>
      </c>
      <c r="AH18" s="181">
        <f t="shared" si="18"/>
        <v>0</v>
      </c>
      <c r="AI18" s="182"/>
      <c r="AJ18" s="90"/>
      <c r="AK18" s="90"/>
      <c r="AL18" s="183">
        <f t="shared" si="19"/>
        <v>0</v>
      </c>
      <c r="AM18" s="182"/>
      <c r="AN18" s="90"/>
      <c r="AO18" s="90"/>
      <c r="AP18" s="183">
        <f t="shared" si="4"/>
        <v>0</v>
      </c>
      <c r="AQ18" s="182"/>
      <c r="AR18" s="90"/>
      <c r="AS18" s="90"/>
      <c r="AT18" s="183">
        <f t="shared" si="5"/>
        <v>0</v>
      </c>
      <c r="AU18" s="182"/>
      <c r="AV18" s="90"/>
      <c r="AW18" s="90"/>
      <c r="AX18" s="183">
        <f t="shared" si="6"/>
        <v>0</v>
      </c>
      <c r="AY18" s="182"/>
      <c r="AZ18" s="90"/>
      <c r="BA18" s="90"/>
      <c r="BB18" s="183">
        <f t="shared" si="7"/>
        <v>0</v>
      </c>
      <c r="BC18" s="182"/>
      <c r="BD18" s="90"/>
      <c r="BE18" s="90"/>
      <c r="BF18" s="183">
        <f t="shared" si="8"/>
        <v>0</v>
      </c>
      <c r="BG18" s="182"/>
      <c r="BH18" s="90"/>
      <c r="BI18" s="90"/>
      <c r="BJ18" s="183">
        <f t="shared" si="9"/>
        <v>0</v>
      </c>
      <c r="BK18" s="182"/>
      <c r="BL18" s="90"/>
      <c r="BM18" s="90"/>
      <c r="BN18" s="183">
        <f t="shared" si="10"/>
        <v>0</v>
      </c>
      <c r="BO18" s="182"/>
      <c r="BP18" s="90"/>
      <c r="BQ18" s="90"/>
      <c r="BR18" s="183">
        <f t="shared" si="11"/>
        <v>0</v>
      </c>
      <c r="BS18" s="182"/>
      <c r="BT18" s="90"/>
      <c r="BU18" s="90"/>
      <c r="BV18" s="183">
        <f t="shared" si="12"/>
        <v>0</v>
      </c>
      <c r="BW18" s="182"/>
      <c r="BX18" s="90"/>
      <c r="BY18" s="90"/>
      <c r="BZ18" s="183">
        <f t="shared" si="13"/>
        <v>0</v>
      </c>
      <c r="CA18" s="182"/>
      <c r="CB18" s="90"/>
      <c r="CC18" s="90"/>
      <c r="CD18" s="183">
        <f t="shared" si="14"/>
        <v>0</v>
      </c>
    </row>
    <row r="19" spans="2:82" x14ac:dyDescent="0.3">
      <c r="B19" s="53"/>
      <c r="C19" s="53" t="str">
        <f t="shared" si="0"/>
        <v>CPU_Iluminaçãodeaproxima</v>
      </c>
      <c r="D19" s="278">
        <f t="shared" si="1"/>
        <v>1</v>
      </c>
      <c r="E19" s="278">
        <f t="shared" si="2"/>
        <v>0</v>
      </c>
      <c r="F19" s="1"/>
      <c r="G19" s="28" t="str">
        <f>IFERROR(VLOOKUP(F19,Tabela7[[RECURSO]:[CUSTO]],2,FALSE),"")</f>
        <v/>
      </c>
      <c r="H19" s="92"/>
      <c r="I19" s="90"/>
      <c r="J19" s="45">
        <f>IFERROR(VLOOKUP(F19,Tabela7[[RECURSO]:[CUSTO]],3,FALSE),0)</f>
        <v>0</v>
      </c>
      <c r="K19" s="45">
        <f>I19*J19*CPU_39[[#This Row],[Nº]]</f>
        <v>0</v>
      </c>
      <c r="M19" s="31"/>
      <c r="N19" s="297"/>
      <c r="O19" s="60">
        <f t="shared" si="15"/>
        <v>0</v>
      </c>
      <c r="AD19" s="144" t="str">
        <f t="shared" si="3"/>
        <v>Iluminação de aproximação</v>
      </c>
      <c r="AE19" s="179"/>
      <c r="AF19" s="180">
        <f t="shared" si="16"/>
        <v>0</v>
      </c>
      <c r="AG19" s="180">
        <f t="shared" si="17"/>
        <v>0</v>
      </c>
      <c r="AH19" s="181">
        <f t="shared" si="18"/>
        <v>0</v>
      </c>
      <c r="AI19" s="182"/>
      <c r="AJ19" s="90"/>
      <c r="AK19" s="90"/>
      <c r="AL19" s="183">
        <f t="shared" si="19"/>
        <v>0</v>
      </c>
      <c r="AM19" s="182"/>
      <c r="AN19" s="90"/>
      <c r="AO19" s="90"/>
      <c r="AP19" s="183">
        <f t="shared" si="4"/>
        <v>0</v>
      </c>
      <c r="AQ19" s="182"/>
      <c r="AR19" s="90"/>
      <c r="AS19" s="90"/>
      <c r="AT19" s="183">
        <f t="shared" si="5"/>
        <v>0</v>
      </c>
      <c r="AU19" s="182"/>
      <c r="AV19" s="90"/>
      <c r="AW19" s="90"/>
      <c r="AX19" s="183">
        <f t="shared" si="6"/>
        <v>0</v>
      </c>
      <c r="AY19" s="182"/>
      <c r="AZ19" s="90"/>
      <c r="BA19" s="90"/>
      <c r="BB19" s="183">
        <f t="shared" si="7"/>
        <v>0</v>
      </c>
      <c r="BC19" s="182"/>
      <c r="BD19" s="90"/>
      <c r="BE19" s="90"/>
      <c r="BF19" s="183">
        <f t="shared" si="8"/>
        <v>0</v>
      </c>
      <c r="BG19" s="182"/>
      <c r="BH19" s="90"/>
      <c r="BI19" s="90"/>
      <c r="BJ19" s="183">
        <f t="shared" si="9"/>
        <v>0</v>
      </c>
      <c r="BK19" s="182"/>
      <c r="BL19" s="90"/>
      <c r="BM19" s="90"/>
      <c r="BN19" s="183">
        <f t="shared" si="10"/>
        <v>0</v>
      </c>
      <c r="BO19" s="182"/>
      <c r="BP19" s="90"/>
      <c r="BQ19" s="90"/>
      <c r="BR19" s="183">
        <f t="shared" si="11"/>
        <v>0</v>
      </c>
      <c r="BS19" s="182"/>
      <c r="BT19" s="90"/>
      <c r="BU19" s="90"/>
      <c r="BV19" s="183">
        <f t="shared" si="12"/>
        <v>0</v>
      </c>
      <c r="BW19" s="182"/>
      <c r="BX19" s="90"/>
      <c r="BY19" s="90"/>
      <c r="BZ19" s="183">
        <f t="shared" si="13"/>
        <v>0</v>
      </c>
      <c r="CA19" s="182"/>
      <c r="CB19" s="90"/>
      <c r="CC19" s="90"/>
      <c r="CD19" s="183">
        <f t="shared" si="14"/>
        <v>0</v>
      </c>
    </row>
    <row r="20" spans="2:82" x14ac:dyDescent="0.3">
      <c r="B20" s="53"/>
      <c r="C20" s="53" t="str">
        <f t="shared" si="0"/>
        <v>CPU_Iluminaçãodeaproxima</v>
      </c>
      <c r="D20" s="278">
        <f t="shared" si="1"/>
        <v>1</v>
      </c>
      <c r="E20" s="278">
        <f t="shared" si="2"/>
        <v>0</v>
      </c>
      <c r="F20" s="1"/>
      <c r="G20" s="28" t="str">
        <f>IFERROR(VLOOKUP(F20,Tabela7[[RECURSO]:[CUSTO]],2,FALSE),"")</f>
        <v/>
      </c>
      <c r="H20" s="92"/>
      <c r="I20" s="90"/>
      <c r="J20" s="45">
        <f>IFERROR(VLOOKUP(F20,Tabela7[[RECURSO]:[CUSTO]],3,FALSE),0)</f>
        <v>0</v>
      </c>
      <c r="K20" s="45">
        <f>I20*J20*CPU_39[[#This Row],[Nº]]</f>
        <v>0</v>
      </c>
      <c r="M20" s="31"/>
      <c r="N20" s="297"/>
      <c r="O20" s="60">
        <f t="shared" si="15"/>
        <v>0</v>
      </c>
      <c r="AD20" s="144" t="str">
        <f t="shared" si="3"/>
        <v>Iluminação de aproximação</v>
      </c>
      <c r="AE20" s="179"/>
      <c r="AF20" s="180">
        <f t="shared" si="16"/>
        <v>0</v>
      </c>
      <c r="AG20" s="180">
        <f t="shared" si="17"/>
        <v>0</v>
      </c>
      <c r="AH20" s="181">
        <f t="shared" si="18"/>
        <v>0</v>
      </c>
      <c r="AI20" s="182"/>
      <c r="AJ20" s="90"/>
      <c r="AK20" s="90"/>
      <c r="AL20" s="183">
        <f t="shared" si="19"/>
        <v>0</v>
      </c>
      <c r="AM20" s="182"/>
      <c r="AN20" s="90"/>
      <c r="AO20" s="90"/>
      <c r="AP20" s="183">
        <f t="shared" si="4"/>
        <v>0</v>
      </c>
      <c r="AQ20" s="182"/>
      <c r="AR20" s="90"/>
      <c r="AS20" s="90"/>
      <c r="AT20" s="183">
        <f t="shared" si="5"/>
        <v>0</v>
      </c>
      <c r="AU20" s="182"/>
      <c r="AV20" s="90"/>
      <c r="AW20" s="90"/>
      <c r="AX20" s="183">
        <f t="shared" si="6"/>
        <v>0</v>
      </c>
      <c r="AY20" s="182"/>
      <c r="AZ20" s="90"/>
      <c r="BA20" s="90"/>
      <c r="BB20" s="183">
        <f t="shared" si="7"/>
        <v>0</v>
      </c>
      <c r="BC20" s="182"/>
      <c r="BD20" s="90"/>
      <c r="BE20" s="90"/>
      <c r="BF20" s="183">
        <f t="shared" si="8"/>
        <v>0</v>
      </c>
      <c r="BG20" s="182"/>
      <c r="BH20" s="90"/>
      <c r="BI20" s="90"/>
      <c r="BJ20" s="183">
        <f t="shared" si="9"/>
        <v>0</v>
      </c>
      <c r="BK20" s="182"/>
      <c r="BL20" s="90"/>
      <c r="BM20" s="90"/>
      <c r="BN20" s="183">
        <f t="shared" si="10"/>
        <v>0</v>
      </c>
      <c r="BO20" s="182"/>
      <c r="BP20" s="90"/>
      <c r="BQ20" s="90"/>
      <c r="BR20" s="183">
        <f t="shared" si="11"/>
        <v>0</v>
      </c>
      <c r="BS20" s="182"/>
      <c r="BT20" s="90"/>
      <c r="BU20" s="90"/>
      <c r="BV20" s="183">
        <f t="shared" si="12"/>
        <v>0</v>
      </c>
      <c r="BW20" s="182"/>
      <c r="BX20" s="90"/>
      <c r="BY20" s="90"/>
      <c r="BZ20" s="183">
        <f t="shared" si="13"/>
        <v>0</v>
      </c>
      <c r="CA20" s="182"/>
      <c r="CB20" s="90"/>
      <c r="CC20" s="90"/>
      <c r="CD20" s="183">
        <f t="shared" si="14"/>
        <v>0</v>
      </c>
    </row>
    <row r="21" spans="2:82" x14ac:dyDescent="0.3">
      <c r="B21" s="53"/>
      <c r="C21" s="53" t="str">
        <f t="shared" si="0"/>
        <v>CPU_Iluminaçãodeaproxima</v>
      </c>
      <c r="D21" s="278">
        <f t="shared" si="1"/>
        <v>1</v>
      </c>
      <c r="E21" s="278">
        <f t="shared" si="2"/>
        <v>0</v>
      </c>
      <c r="F21" s="1"/>
      <c r="G21" s="28" t="str">
        <f>IFERROR(VLOOKUP(F21,Tabela7[[RECURSO]:[CUSTO]],2,FALSE),"")</f>
        <v/>
      </c>
      <c r="H21" s="92"/>
      <c r="I21" s="90"/>
      <c r="J21" s="45">
        <f>IFERROR(VLOOKUP(F21,Tabela7[[RECURSO]:[CUSTO]],3,FALSE),0)</f>
        <v>0</v>
      </c>
      <c r="K21" s="45">
        <f>I21*J21*CPU_39[[#This Row],[Nº]]</f>
        <v>0</v>
      </c>
      <c r="M21" s="31"/>
      <c r="N21" s="297"/>
      <c r="O21" s="60">
        <f t="shared" si="15"/>
        <v>0</v>
      </c>
      <c r="AD21" s="144" t="str">
        <f t="shared" si="3"/>
        <v>Iluminação de aproximação</v>
      </c>
      <c r="AE21" s="179"/>
      <c r="AF21" s="180">
        <f t="shared" si="16"/>
        <v>0</v>
      </c>
      <c r="AG21" s="180">
        <f t="shared" si="17"/>
        <v>0</v>
      </c>
      <c r="AH21" s="181">
        <f t="shared" si="18"/>
        <v>0</v>
      </c>
      <c r="AI21" s="182"/>
      <c r="AJ21" s="90"/>
      <c r="AK21" s="90"/>
      <c r="AL21" s="183">
        <f t="shared" si="19"/>
        <v>0</v>
      </c>
      <c r="AM21" s="182"/>
      <c r="AN21" s="90"/>
      <c r="AO21" s="90"/>
      <c r="AP21" s="183">
        <f t="shared" si="4"/>
        <v>0</v>
      </c>
      <c r="AQ21" s="182"/>
      <c r="AR21" s="90"/>
      <c r="AS21" s="90"/>
      <c r="AT21" s="183">
        <f t="shared" si="5"/>
        <v>0</v>
      </c>
      <c r="AU21" s="182"/>
      <c r="AV21" s="90"/>
      <c r="AW21" s="90"/>
      <c r="AX21" s="183">
        <f t="shared" si="6"/>
        <v>0</v>
      </c>
      <c r="AY21" s="182"/>
      <c r="AZ21" s="90"/>
      <c r="BA21" s="90"/>
      <c r="BB21" s="183">
        <f t="shared" si="7"/>
        <v>0</v>
      </c>
      <c r="BC21" s="182"/>
      <c r="BD21" s="90"/>
      <c r="BE21" s="90"/>
      <c r="BF21" s="183">
        <f t="shared" si="8"/>
        <v>0</v>
      </c>
      <c r="BG21" s="182"/>
      <c r="BH21" s="90"/>
      <c r="BI21" s="90"/>
      <c r="BJ21" s="183">
        <f t="shared" si="9"/>
        <v>0</v>
      </c>
      <c r="BK21" s="182"/>
      <c r="BL21" s="90"/>
      <c r="BM21" s="90"/>
      <c r="BN21" s="183">
        <f t="shared" si="10"/>
        <v>0</v>
      </c>
      <c r="BO21" s="182"/>
      <c r="BP21" s="90"/>
      <c r="BQ21" s="90"/>
      <c r="BR21" s="183">
        <f t="shared" si="11"/>
        <v>0</v>
      </c>
      <c r="BS21" s="182"/>
      <c r="BT21" s="90"/>
      <c r="BU21" s="90"/>
      <c r="BV21" s="183">
        <f t="shared" si="12"/>
        <v>0</v>
      </c>
      <c r="BW21" s="182"/>
      <c r="BX21" s="90"/>
      <c r="BY21" s="90"/>
      <c r="BZ21" s="183">
        <f t="shared" si="13"/>
        <v>0</v>
      </c>
      <c r="CA21" s="182"/>
      <c r="CB21" s="90"/>
      <c r="CC21" s="90"/>
      <c r="CD21" s="183">
        <f t="shared" si="14"/>
        <v>0</v>
      </c>
    </row>
    <row r="22" spans="2:82" x14ac:dyDescent="0.3">
      <c r="B22" s="53"/>
      <c r="C22" s="53" t="str">
        <f t="shared" si="0"/>
        <v>CPU_Iluminaçãodeaproxima</v>
      </c>
      <c r="D22" s="278">
        <f t="shared" si="1"/>
        <v>1</v>
      </c>
      <c r="E22" s="278">
        <f t="shared" si="2"/>
        <v>0</v>
      </c>
      <c r="F22" s="1"/>
      <c r="G22" s="28" t="str">
        <f>IFERROR(VLOOKUP(F22,Tabela7[[RECURSO]:[CUSTO]],2,FALSE),"")</f>
        <v/>
      </c>
      <c r="H22" s="92"/>
      <c r="I22" s="90"/>
      <c r="J22" s="45">
        <f>IFERROR(VLOOKUP(F22,Tabela7[[RECURSO]:[CUSTO]],3,FALSE),0)</f>
        <v>0</v>
      </c>
      <c r="K22" s="45">
        <f>I22*J22*CPU_39[[#This Row],[Nº]]</f>
        <v>0</v>
      </c>
      <c r="M22" s="31"/>
      <c r="N22" s="297"/>
      <c r="O22" s="60">
        <f t="shared" si="15"/>
        <v>0</v>
      </c>
      <c r="AD22" s="144" t="str">
        <f t="shared" si="3"/>
        <v>Iluminação de aproximação</v>
      </c>
      <c r="AE22" s="179"/>
      <c r="AF22" s="180">
        <f t="shared" si="16"/>
        <v>0</v>
      </c>
      <c r="AG22" s="180">
        <f t="shared" si="17"/>
        <v>0</v>
      </c>
      <c r="AH22" s="181">
        <f t="shared" si="18"/>
        <v>0</v>
      </c>
      <c r="AI22" s="182"/>
      <c r="AJ22" s="90"/>
      <c r="AK22" s="90"/>
      <c r="AL22" s="183">
        <f t="shared" si="19"/>
        <v>0</v>
      </c>
      <c r="AM22" s="182"/>
      <c r="AN22" s="90"/>
      <c r="AO22" s="90"/>
      <c r="AP22" s="183">
        <f t="shared" si="4"/>
        <v>0</v>
      </c>
      <c r="AQ22" s="182"/>
      <c r="AR22" s="90"/>
      <c r="AS22" s="90"/>
      <c r="AT22" s="183">
        <f t="shared" si="5"/>
        <v>0</v>
      </c>
      <c r="AU22" s="182"/>
      <c r="AV22" s="90"/>
      <c r="AW22" s="90"/>
      <c r="AX22" s="183">
        <f t="shared" si="6"/>
        <v>0</v>
      </c>
      <c r="AY22" s="182"/>
      <c r="AZ22" s="90"/>
      <c r="BA22" s="90"/>
      <c r="BB22" s="183">
        <f t="shared" si="7"/>
        <v>0</v>
      </c>
      <c r="BC22" s="182"/>
      <c r="BD22" s="90"/>
      <c r="BE22" s="90"/>
      <c r="BF22" s="183">
        <f t="shared" si="8"/>
        <v>0</v>
      </c>
      <c r="BG22" s="182"/>
      <c r="BH22" s="90"/>
      <c r="BI22" s="90"/>
      <c r="BJ22" s="183">
        <f t="shared" si="9"/>
        <v>0</v>
      </c>
      <c r="BK22" s="182"/>
      <c r="BL22" s="90"/>
      <c r="BM22" s="90"/>
      <c r="BN22" s="183">
        <f t="shared" si="10"/>
        <v>0</v>
      </c>
      <c r="BO22" s="182"/>
      <c r="BP22" s="90"/>
      <c r="BQ22" s="90"/>
      <c r="BR22" s="183">
        <f t="shared" si="11"/>
        <v>0</v>
      </c>
      <c r="BS22" s="182"/>
      <c r="BT22" s="90"/>
      <c r="BU22" s="90"/>
      <c r="BV22" s="183">
        <f t="shared" si="12"/>
        <v>0</v>
      </c>
      <c r="BW22" s="182"/>
      <c r="BX22" s="90"/>
      <c r="BY22" s="90"/>
      <c r="BZ22" s="183">
        <f t="shared" si="13"/>
        <v>0</v>
      </c>
      <c r="CA22" s="182"/>
      <c r="CB22" s="90"/>
      <c r="CC22" s="90"/>
      <c r="CD22" s="183">
        <f t="shared" si="14"/>
        <v>0</v>
      </c>
    </row>
    <row r="23" spans="2:82" ht="15" thickBot="1" x14ac:dyDescent="0.35">
      <c r="B23" s="53"/>
      <c r="C23" s="53" t="str">
        <f t="shared" si="0"/>
        <v>CPU_Iluminaçãodeaproxima</v>
      </c>
      <c r="D23" s="278">
        <f t="shared" si="1"/>
        <v>1</v>
      </c>
      <c r="E23" s="278">
        <f t="shared" si="2"/>
        <v>0</v>
      </c>
      <c r="F23" s="1"/>
      <c r="G23" s="28" t="str">
        <f>IFERROR(VLOOKUP(F23,Tabela7[[RECURSO]:[CUSTO]],2,FALSE),"")</f>
        <v/>
      </c>
      <c r="H23" s="92"/>
      <c r="I23" s="90"/>
      <c r="J23" s="45">
        <f>IFERROR(VLOOKUP(F23,Tabela7[[RECURSO]:[CUSTO]],3,FALSE),0)</f>
        <v>0</v>
      </c>
      <c r="K23" s="45">
        <f>I23*J23*CPU_39[[#This Row],[Nº]]</f>
        <v>0</v>
      </c>
      <c r="M23" s="51"/>
      <c r="N23" s="298"/>
      <c r="O23" s="61">
        <f t="shared" si="15"/>
        <v>0</v>
      </c>
      <c r="AD23" s="144" t="str">
        <f t="shared" si="3"/>
        <v>Iluminação de aproximação</v>
      </c>
      <c r="AE23" s="179"/>
      <c r="AF23" s="180">
        <f t="shared" si="16"/>
        <v>0</v>
      </c>
      <c r="AG23" s="180">
        <f t="shared" si="17"/>
        <v>0</v>
      </c>
      <c r="AH23" s="181">
        <f t="shared" si="18"/>
        <v>0</v>
      </c>
      <c r="AI23" s="182"/>
      <c r="AJ23" s="90"/>
      <c r="AK23" s="90"/>
      <c r="AL23" s="183">
        <f t="shared" si="19"/>
        <v>0</v>
      </c>
      <c r="AM23" s="182"/>
      <c r="AN23" s="90"/>
      <c r="AO23" s="90"/>
      <c r="AP23" s="183">
        <f t="shared" si="4"/>
        <v>0</v>
      </c>
      <c r="AQ23" s="182"/>
      <c r="AR23" s="90"/>
      <c r="AS23" s="90"/>
      <c r="AT23" s="183">
        <f t="shared" si="5"/>
        <v>0</v>
      </c>
      <c r="AU23" s="182"/>
      <c r="AV23" s="90"/>
      <c r="AW23" s="90"/>
      <c r="AX23" s="183">
        <f t="shared" si="6"/>
        <v>0</v>
      </c>
      <c r="AY23" s="182"/>
      <c r="AZ23" s="90"/>
      <c r="BA23" s="90"/>
      <c r="BB23" s="183">
        <f t="shared" si="7"/>
        <v>0</v>
      </c>
      <c r="BC23" s="182"/>
      <c r="BD23" s="90"/>
      <c r="BE23" s="90"/>
      <c r="BF23" s="183">
        <f t="shared" si="8"/>
        <v>0</v>
      </c>
      <c r="BG23" s="182"/>
      <c r="BH23" s="90"/>
      <c r="BI23" s="90"/>
      <c r="BJ23" s="183">
        <f t="shared" si="9"/>
        <v>0</v>
      </c>
      <c r="BK23" s="182"/>
      <c r="BL23" s="90"/>
      <c r="BM23" s="90"/>
      <c r="BN23" s="183">
        <f t="shared" si="10"/>
        <v>0</v>
      </c>
      <c r="BO23" s="182"/>
      <c r="BP23" s="90"/>
      <c r="BQ23" s="90"/>
      <c r="BR23" s="183">
        <f t="shared" si="11"/>
        <v>0</v>
      </c>
      <c r="BS23" s="182"/>
      <c r="BT23" s="90"/>
      <c r="BU23" s="90"/>
      <c r="BV23" s="183">
        <f t="shared" si="12"/>
        <v>0</v>
      </c>
      <c r="BW23" s="182"/>
      <c r="BX23" s="90"/>
      <c r="BY23" s="90"/>
      <c r="BZ23" s="183">
        <f t="shared" si="13"/>
        <v>0</v>
      </c>
      <c r="CA23" s="182"/>
      <c r="CB23" s="90"/>
      <c r="CC23" s="90"/>
      <c r="CD23" s="183">
        <f t="shared" si="14"/>
        <v>0</v>
      </c>
    </row>
    <row r="24" spans="2:82" x14ac:dyDescent="0.3">
      <c r="B24" s="52" t="s">
        <v>686</v>
      </c>
      <c r="C24" s="52" t="str">
        <f t="shared" si="0"/>
        <v>CPU_Iluminaçãodeaproxima</v>
      </c>
      <c r="D24" s="277">
        <f t="shared" si="1"/>
        <v>1</v>
      </c>
      <c r="E24" s="277">
        <f t="shared" si="2"/>
        <v>0</v>
      </c>
      <c r="F24" s="37"/>
      <c r="G24" s="38"/>
      <c r="H24" s="91"/>
      <c r="I24" s="40"/>
      <c r="J24" s="40">
        <f>IFERROR(K24/$B$6,0)</f>
        <v>0</v>
      </c>
      <c r="K24" s="40">
        <f>SUM(K25:K36)</f>
        <v>0</v>
      </c>
      <c r="AD24" s="144" t="str">
        <f t="shared" si="3"/>
        <v>Iluminação de aproximação</v>
      </c>
      <c r="AE24" s="184"/>
      <c r="AF24" s="40"/>
      <c r="AG24" s="40">
        <f>IFERROR(AH24/AF$3,0)</f>
        <v>0</v>
      </c>
      <c r="AH24" s="185">
        <f>SUM(AH25:AH36)</f>
        <v>0</v>
      </c>
      <c r="AI24" s="184"/>
      <c r="AJ24" s="40"/>
      <c r="AK24" s="40">
        <f>IFERROR(AL24/AJ$3,0)</f>
        <v>0</v>
      </c>
      <c r="AL24" s="185">
        <f>SUM(AL25:AL36)</f>
        <v>0</v>
      </c>
      <c r="AM24" s="184"/>
      <c r="AN24" s="40"/>
      <c r="AO24" s="40">
        <f>IFERROR(AP24/AN$3,0)</f>
        <v>0</v>
      </c>
      <c r="AP24" s="185">
        <f>SUM(AP25:AP36)</f>
        <v>0</v>
      </c>
      <c r="AQ24" s="184"/>
      <c r="AR24" s="40"/>
      <c r="AS24" s="40">
        <f>IFERROR(AT24/AR$3,0)</f>
        <v>0</v>
      </c>
      <c r="AT24" s="185">
        <f>SUM(AT25:AT36)</f>
        <v>0</v>
      </c>
      <c r="AU24" s="184"/>
      <c r="AV24" s="40"/>
      <c r="AW24" s="40">
        <f>IFERROR(AX24/AV$3,0)</f>
        <v>0</v>
      </c>
      <c r="AX24" s="185">
        <f>SUM(AX25:AX36)</f>
        <v>0</v>
      </c>
      <c r="AY24" s="184"/>
      <c r="AZ24" s="40"/>
      <c r="BA24" s="40">
        <f>IFERROR(BB24/AZ$3,0)</f>
        <v>0</v>
      </c>
      <c r="BB24" s="185">
        <f>SUM(BB25:BB36)</f>
        <v>0</v>
      </c>
      <c r="BC24" s="184"/>
      <c r="BD24" s="40"/>
      <c r="BE24" s="40">
        <f>IFERROR(BF24/BD$3,0)</f>
        <v>0</v>
      </c>
      <c r="BF24" s="185">
        <f>SUM(BF25:BF36)</f>
        <v>0</v>
      </c>
      <c r="BG24" s="184"/>
      <c r="BH24" s="40"/>
      <c r="BI24" s="40">
        <f>IFERROR(BJ24/BH$3,0)</f>
        <v>0</v>
      </c>
      <c r="BJ24" s="185">
        <f>SUM(BJ25:BJ36)</f>
        <v>0</v>
      </c>
      <c r="BK24" s="184"/>
      <c r="BL24" s="40"/>
      <c r="BM24" s="40">
        <f>IFERROR(BN24/BL$3,0)</f>
        <v>0</v>
      </c>
      <c r="BN24" s="185">
        <f>SUM(BN25:BN36)</f>
        <v>0</v>
      </c>
      <c r="BO24" s="184"/>
      <c r="BP24" s="40"/>
      <c r="BQ24" s="40">
        <f>IFERROR(BR24/BP$3,0)</f>
        <v>0</v>
      </c>
      <c r="BR24" s="185">
        <f>SUM(BR25:BR36)</f>
        <v>0</v>
      </c>
      <c r="BS24" s="184"/>
      <c r="BT24" s="40"/>
      <c r="BU24" s="40">
        <f>IFERROR(BV24/BT$3,0)</f>
        <v>0</v>
      </c>
      <c r="BV24" s="185">
        <f>SUM(BV25:BV36)</f>
        <v>0</v>
      </c>
      <c r="BW24" s="184"/>
      <c r="BX24" s="40"/>
      <c r="BY24" s="40">
        <f>IFERROR(BZ24/BX$3,0)</f>
        <v>0</v>
      </c>
      <c r="BZ24" s="185">
        <f>SUM(BZ25:BZ36)</f>
        <v>0</v>
      </c>
      <c r="CA24" s="184"/>
      <c r="CB24" s="40"/>
      <c r="CC24" s="40">
        <f>IFERROR(CD24/CB$3,0)</f>
        <v>0</v>
      </c>
      <c r="CD24" s="185">
        <f>SUM(CD25:CD36)</f>
        <v>0</v>
      </c>
    </row>
    <row r="25" spans="2:82" x14ac:dyDescent="0.3">
      <c r="B25" s="53"/>
      <c r="C25" s="53" t="str">
        <f t="shared" si="0"/>
        <v>CPU_Iluminaçãodeaproxima</v>
      </c>
      <c r="D25" s="278">
        <f t="shared" si="1"/>
        <v>1</v>
      </c>
      <c r="E25" s="278">
        <f t="shared" si="2"/>
        <v>0</v>
      </c>
      <c r="F25" s="1"/>
      <c r="G25" s="28" t="str">
        <f>IFERROR(VLOOKUP(F25,Tabela7[[RECURSO]:[CUSTO]],2,FALSE),"")</f>
        <v/>
      </c>
      <c r="H25" s="93"/>
      <c r="I25" s="90">
        <f>IFERROR(SUMPRODUCT(I12:I23,M12:M23,H12:H23,N12:N23),0)</f>
        <v>0</v>
      </c>
      <c r="J25" s="45">
        <f>IFERROR(VLOOKUP(F25,Tabela7[[RECURSO]:[CUSTO]],3,FALSE),0)</f>
        <v>0</v>
      </c>
      <c r="K25" s="45">
        <f>I25*J25</f>
        <v>0</v>
      </c>
      <c r="AD25" s="144" t="str">
        <f t="shared" si="3"/>
        <v>Iluminação de aproximação</v>
      </c>
      <c r="AE25" s="179"/>
      <c r="AF25" s="180">
        <f t="shared" ref="AF25:AF36" si="20">AJ25+AN25+AR25+AV25+AZ25+BD25+BH25+BL25+BP25+BT25+BX25+CB25</f>
        <v>0</v>
      </c>
      <c r="AG25" s="180">
        <f t="shared" si="17"/>
        <v>0</v>
      </c>
      <c r="AH25" s="181">
        <f t="shared" ref="AH25:AH36" si="21">AL25+AP25+AT25+AX25+BB25+BF25+BJ25+BN25+BR25+BV25+BZ25+CD25</f>
        <v>0</v>
      </c>
      <c r="AI25" s="182"/>
      <c r="AJ25" s="90"/>
      <c r="AK25" s="90"/>
      <c r="AL25" s="183">
        <f t="shared" ref="AL25:AL36" si="22">AJ25*AK25</f>
        <v>0</v>
      </c>
      <c r="AM25" s="182"/>
      <c r="AN25" s="90"/>
      <c r="AO25" s="90"/>
      <c r="AP25" s="183">
        <f t="shared" ref="AP25:AP62" si="23">AN25*AO25</f>
        <v>0</v>
      </c>
      <c r="AQ25" s="182"/>
      <c r="AR25" s="90"/>
      <c r="AS25" s="90"/>
      <c r="AT25" s="183">
        <f t="shared" ref="AT25:AT62" si="24">AR25*AS25</f>
        <v>0</v>
      </c>
      <c r="AU25" s="182"/>
      <c r="AV25" s="90"/>
      <c r="AW25" s="90"/>
      <c r="AX25" s="183">
        <f t="shared" ref="AX25:AX62" si="25">AV25*AW25</f>
        <v>0</v>
      </c>
      <c r="AY25" s="182"/>
      <c r="AZ25" s="90"/>
      <c r="BA25" s="90"/>
      <c r="BB25" s="183">
        <f t="shared" ref="BB25:BB62" si="26">AZ25*BA25</f>
        <v>0</v>
      </c>
      <c r="BC25" s="182"/>
      <c r="BD25" s="90"/>
      <c r="BE25" s="90"/>
      <c r="BF25" s="183">
        <f t="shared" ref="BF25:BF62" si="27">BD25*BE25</f>
        <v>0</v>
      </c>
      <c r="BG25" s="182"/>
      <c r="BH25" s="90"/>
      <c r="BI25" s="90"/>
      <c r="BJ25" s="183">
        <f t="shared" ref="BJ25:BJ62" si="28">BH25*BI25</f>
        <v>0</v>
      </c>
      <c r="BK25" s="182"/>
      <c r="BL25" s="90"/>
      <c r="BM25" s="90"/>
      <c r="BN25" s="183">
        <f t="shared" ref="BN25:BN62" si="29">BL25*BM25</f>
        <v>0</v>
      </c>
      <c r="BO25" s="182"/>
      <c r="BP25" s="90"/>
      <c r="BQ25" s="90"/>
      <c r="BR25" s="183">
        <f t="shared" ref="BR25:BR62" si="30">BP25*BQ25</f>
        <v>0</v>
      </c>
      <c r="BS25" s="182"/>
      <c r="BT25" s="90"/>
      <c r="BU25" s="90"/>
      <c r="BV25" s="183">
        <f t="shared" ref="BV25:BV62" si="31">BT25*BU25</f>
        <v>0</v>
      </c>
      <c r="BW25" s="182"/>
      <c r="BX25" s="90"/>
      <c r="BY25" s="90"/>
      <c r="BZ25" s="183">
        <f t="shared" ref="BZ25:BZ62" si="32">BX25*BY25</f>
        <v>0</v>
      </c>
      <c r="CA25" s="182"/>
      <c r="CB25" s="90"/>
      <c r="CC25" s="90"/>
      <c r="CD25" s="183">
        <f t="shared" ref="CD25:CD62" si="33">CB25*CC25</f>
        <v>0</v>
      </c>
    </row>
    <row r="26" spans="2:82" x14ac:dyDescent="0.3">
      <c r="B26" s="53"/>
      <c r="C26" s="53" t="str">
        <f t="shared" si="0"/>
        <v>CPU_Iluminaçãodeaproxima</v>
      </c>
      <c r="D26" s="278">
        <f t="shared" si="1"/>
        <v>1</v>
      </c>
      <c r="E26" s="278">
        <f t="shared" si="2"/>
        <v>0</v>
      </c>
      <c r="F26" s="1"/>
      <c r="G26" s="28" t="str">
        <f>IFERROR(VLOOKUP(F26,Tabela7[[RECURSO]:[CUSTO]],2,FALSE),"")</f>
        <v/>
      </c>
      <c r="H26" s="93"/>
      <c r="I26" s="90"/>
      <c r="J26" s="45">
        <f>IFERROR(VLOOKUP(F26,Tabela7[[RECURSO]:[CUSTO]],3,FALSE),0)</f>
        <v>0</v>
      </c>
      <c r="K26" s="45">
        <f t="shared" ref="K26:K36" si="34">I26*J26</f>
        <v>0</v>
      </c>
      <c r="AD26" s="144" t="str">
        <f t="shared" si="3"/>
        <v>Iluminação de aproximação</v>
      </c>
      <c r="AE26" s="179"/>
      <c r="AF26" s="180">
        <f t="shared" si="20"/>
        <v>0</v>
      </c>
      <c r="AG26" s="180">
        <f t="shared" si="17"/>
        <v>0</v>
      </c>
      <c r="AH26" s="181">
        <f t="shared" si="21"/>
        <v>0</v>
      </c>
      <c r="AI26" s="182"/>
      <c r="AJ26" s="90"/>
      <c r="AK26" s="90"/>
      <c r="AL26" s="183">
        <f t="shared" si="22"/>
        <v>0</v>
      </c>
      <c r="AM26" s="182"/>
      <c r="AN26" s="90"/>
      <c r="AO26" s="90"/>
      <c r="AP26" s="183">
        <f t="shared" si="23"/>
        <v>0</v>
      </c>
      <c r="AQ26" s="182"/>
      <c r="AR26" s="90"/>
      <c r="AS26" s="90"/>
      <c r="AT26" s="183">
        <f t="shared" si="24"/>
        <v>0</v>
      </c>
      <c r="AU26" s="182"/>
      <c r="AV26" s="90"/>
      <c r="AW26" s="90"/>
      <c r="AX26" s="183">
        <f t="shared" si="25"/>
        <v>0</v>
      </c>
      <c r="AY26" s="182"/>
      <c r="AZ26" s="90"/>
      <c r="BA26" s="90"/>
      <c r="BB26" s="183">
        <f t="shared" si="26"/>
        <v>0</v>
      </c>
      <c r="BC26" s="182"/>
      <c r="BD26" s="90"/>
      <c r="BE26" s="90"/>
      <c r="BF26" s="183">
        <f t="shared" si="27"/>
        <v>0</v>
      </c>
      <c r="BG26" s="182"/>
      <c r="BH26" s="90"/>
      <c r="BI26" s="90"/>
      <c r="BJ26" s="183">
        <f t="shared" si="28"/>
        <v>0</v>
      </c>
      <c r="BK26" s="182"/>
      <c r="BL26" s="90"/>
      <c r="BM26" s="90"/>
      <c r="BN26" s="183">
        <f t="shared" si="29"/>
        <v>0</v>
      </c>
      <c r="BO26" s="182"/>
      <c r="BP26" s="90"/>
      <c r="BQ26" s="90"/>
      <c r="BR26" s="183">
        <f t="shared" si="30"/>
        <v>0</v>
      </c>
      <c r="BS26" s="182"/>
      <c r="BT26" s="90"/>
      <c r="BU26" s="90"/>
      <c r="BV26" s="183">
        <f t="shared" si="31"/>
        <v>0</v>
      </c>
      <c r="BW26" s="182"/>
      <c r="BX26" s="90"/>
      <c r="BY26" s="90"/>
      <c r="BZ26" s="183">
        <f t="shared" si="32"/>
        <v>0</v>
      </c>
      <c r="CA26" s="182"/>
      <c r="CB26" s="90"/>
      <c r="CC26" s="90"/>
      <c r="CD26" s="183">
        <f t="shared" si="33"/>
        <v>0</v>
      </c>
    </row>
    <row r="27" spans="2:82" x14ac:dyDescent="0.3">
      <c r="B27" s="53"/>
      <c r="C27" s="53" t="str">
        <f t="shared" si="0"/>
        <v>CPU_Iluminaçãodeaproxima</v>
      </c>
      <c r="D27" s="278">
        <f t="shared" si="1"/>
        <v>1</v>
      </c>
      <c r="E27" s="278">
        <f t="shared" si="2"/>
        <v>0</v>
      </c>
      <c r="F27" s="1"/>
      <c r="G27" s="28" t="str">
        <f>IFERROR(VLOOKUP(F27,Tabela7[[RECURSO]:[CUSTO]],2,FALSE),"")</f>
        <v/>
      </c>
      <c r="H27" s="93"/>
      <c r="I27" s="90"/>
      <c r="J27" s="45">
        <f>IFERROR(VLOOKUP(F27,Tabela7[[RECURSO]:[CUSTO]],3,FALSE),0)</f>
        <v>0</v>
      </c>
      <c r="K27" s="45">
        <f t="shared" si="34"/>
        <v>0</v>
      </c>
      <c r="AD27" s="144" t="str">
        <f t="shared" si="3"/>
        <v>Iluminação de aproximação</v>
      </c>
      <c r="AE27" s="179"/>
      <c r="AF27" s="180">
        <f t="shared" si="20"/>
        <v>0</v>
      </c>
      <c r="AG27" s="180">
        <f t="shared" si="17"/>
        <v>0</v>
      </c>
      <c r="AH27" s="181">
        <f t="shared" si="21"/>
        <v>0</v>
      </c>
      <c r="AI27" s="182"/>
      <c r="AJ27" s="90"/>
      <c r="AK27" s="90"/>
      <c r="AL27" s="183">
        <f t="shared" si="22"/>
        <v>0</v>
      </c>
      <c r="AM27" s="182"/>
      <c r="AN27" s="90"/>
      <c r="AO27" s="90"/>
      <c r="AP27" s="183">
        <f t="shared" si="23"/>
        <v>0</v>
      </c>
      <c r="AQ27" s="182"/>
      <c r="AR27" s="90"/>
      <c r="AS27" s="90"/>
      <c r="AT27" s="183">
        <f t="shared" si="24"/>
        <v>0</v>
      </c>
      <c r="AU27" s="182"/>
      <c r="AV27" s="90"/>
      <c r="AW27" s="90"/>
      <c r="AX27" s="183">
        <f t="shared" si="25"/>
        <v>0</v>
      </c>
      <c r="AY27" s="182"/>
      <c r="AZ27" s="90"/>
      <c r="BA27" s="90"/>
      <c r="BB27" s="183">
        <f t="shared" si="26"/>
        <v>0</v>
      </c>
      <c r="BC27" s="182"/>
      <c r="BD27" s="90"/>
      <c r="BE27" s="90"/>
      <c r="BF27" s="183">
        <f t="shared" si="27"/>
        <v>0</v>
      </c>
      <c r="BG27" s="182"/>
      <c r="BH27" s="90"/>
      <c r="BI27" s="90"/>
      <c r="BJ27" s="183">
        <f t="shared" si="28"/>
        <v>0</v>
      </c>
      <c r="BK27" s="182"/>
      <c r="BL27" s="90"/>
      <c r="BM27" s="90"/>
      <c r="BN27" s="183">
        <f t="shared" si="29"/>
        <v>0</v>
      </c>
      <c r="BO27" s="182"/>
      <c r="BP27" s="90"/>
      <c r="BQ27" s="90"/>
      <c r="BR27" s="183">
        <f t="shared" si="30"/>
        <v>0</v>
      </c>
      <c r="BS27" s="182"/>
      <c r="BT27" s="90"/>
      <c r="BU27" s="90"/>
      <c r="BV27" s="183">
        <f t="shared" si="31"/>
        <v>0</v>
      </c>
      <c r="BW27" s="182"/>
      <c r="BX27" s="90"/>
      <c r="BY27" s="90"/>
      <c r="BZ27" s="183">
        <f t="shared" si="32"/>
        <v>0</v>
      </c>
      <c r="CA27" s="182"/>
      <c r="CB27" s="90"/>
      <c r="CC27" s="90"/>
      <c r="CD27" s="183">
        <f t="shared" si="33"/>
        <v>0</v>
      </c>
    </row>
    <row r="28" spans="2:82" x14ac:dyDescent="0.3">
      <c r="B28" s="53"/>
      <c r="C28" s="53" t="str">
        <f t="shared" si="0"/>
        <v>CPU_Iluminaçãodeaproxima</v>
      </c>
      <c r="D28" s="278">
        <f t="shared" si="1"/>
        <v>1</v>
      </c>
      <c r="E28" s="278">
        <f t="shared" si="2"/>
        <v>0</v>
      </c>
      <c r="F28" s="1"/>
      <c r="G28" s="28" t="str">
        <f>IFERROR(VLOOKUP(F28,Tabela7[[RECURSO]:[CUSTO]],2,FALSE),"")</f>
        <v/>
      </c>
      <c r="H28" s="93"/>
      <c r="I28" s="90"/>
      <c r="J28" s="45">
        <f>IFERROR(VLOOKUP(F28,Tabela7[[RECURSO]:[CUSTO]],3,FALSE),0)</f>
        <v>0</v>
      </c>
      <c r="K28" s="45">
        <f t="shared" si="34"/>
        <v>0</v>
      </c>
      <c r="AD28" s="144" t="str">
        <f t="shared" si="3"/>
        <v>Iluminação de aproximação</v>
      </c>
      <c r="AE28" s="179"/>
      <c r="AF28" s="180">
        <f t="shared" si="20"/>
        <v>0</v>
      </c>
      <c r="AG28" s="180">
        <f t="shared" si="17"/>
        <v>0</v>
      </c>
      <c r="AH28" s="181">
        <f t="shared" si="21"/>
        <v>0</v>
      </c>
      <c r="AI28" s="182"/>
      <c r="AJ28" s="90"/>
      <c r="AK28" s="90"/>
      <c r="AL28" s="183">
        <f t="shared" si="22"/>
        <v>0</v>
      </c>
      <c r="AM28" s="182"/>
      <c r="AN28" s="90"/>
      <c r="AO28" s="90"/>
      <c r="AP28" s="183">
        <f t="shared" si="23"/>
        <v>0</v>
      </c>
      <c r="AQ28" s="182"/>
      <c r="AR28" s="90"/>
      <c r="AS28" s="90"/>
      <c r="AT28" s="183">
        <f t="shared" si="24"/>
        <v>0</v>
      </c>
      <c r="AU28" s="182"/>
      <c r="AV28" s="90"/>
      <c r="AW28" s="90"/>
      <c r="AX28" s="183">
        <f t="shared" si="25"/>
        <v>0</v>
      </c>
      <c r="AY28" s="182"/>
      <c r="AZ28" s="90"/>
      <c r="BA28" s="90"/>
      <c r="BB28" s="183">
        <f t="shared" si="26"/>
        <v>0</v>
      </c>
      <c r="BC28" s="182"/>
      <c r="BD28" s="90"/>
      <c r="BE28" s="90"/>
      <c r="BF28" s="183">
        <f t="shared" si="27"/>
        <v>0</v>
      </c>
      <c r="BG28" s="182"/>
      <c r="BH28" s="90"/>
      <c r="BI28" s="90"/>
      <c r="BJ28" s="183">
        <f t="shared" si="28"/>
        <v>0</v>
      </c>
      <c r="BK28" s="182"/>
      <c r="BL28" s="90"/>
      <c r="BM28" s="90"/>
      <c r="BN28" s="183">
        <f t="shared" si="29"/>
        <v>0</v>
      </c>
      <c r="BO28" s="182"/>
      <c r="BP28" s="90"/>
      <c r="BQ28" s="90"/>
      <c r="BR28" s="183">
        <f t="shared" si="30"/>
        <v>0</v>
      </c>
      <c r="BS28" s="182"/>
      <c r="BT28" s="90"/>
      <c r="BU28" s="90"/>
      <c r="BV28" s="183">
        <f t="shared" si="31"/>
        <v>0</v>
      </c>
      <c r="BW28" s="182"/>
      <c r="BX28" s="90"/>
      <c r="BY28" s="90"/>
      <c r="BZ28" s="183">
        <f t="shared" si="32"/>
        <v>0</v>
      </c>
      <c r="CA28" s="182"/>
      <c r="CB28" s="90"/>
      <c r="CC28" s="90"/>
      <c r="CD28" s="183">
        <f t="shared" si="33"/>
        <v>0</v>
      </c>
    </row>
    <row r="29" spans="2:82" x14ac:dyDescent="0.3">
      <c r="B29" s="53"/>
      <c r="C29" s="53" t="str">
        <f t="shared" si="0"/>
        <v>CPU_Iluminaçãodeaproxima</v>
      </c>
      <c r="D29" s="278">
        <f t="shared" si="1"/>
        <v>1</v>
      </c>
      <c r="E29" s="278">
        <f t="shared" si="2"/>
        <v>0</v>
      </c>
      <c r="F29" s="1"/>
      <c r="G29" s="28" t="str">
        <f>IFERROR(VLOOKUP(F29,Tabela7[[RECURSO]:[CUSTO]],2,FALSE),"")</f>
        <v/>
      </c>
      <c r="H29" s="93"/>
      <c r="I29" s="90"/>
      <c r="J29" s="45">
        <f>IFERROR(VLOOKUP(F29,Tabela7[[RECURSO]:[CUSTO]],3,FALSE),0)</f>
        <v>0</v>
      </c>
      <c r="K29" s="45">
        <f t="shared" si="34"/>
        <v>0</v>
      </c>
      <c r="AD29" s="144" t="str">
        <f t="shared" si="3"/>
        <v>Iluminação de aproximação</v>
      </c>
      <c r="AE29" s="179"/>
      <c r="AF29" s="180">
        <f t="shared" si="20"/>
        <v>0</v>
      </c>
      <c r="AG29" s="180">
        <f t="shared" si="17"/>
        <v>0</v>
      </c>
      <c r="AH29" s="181">
        <f t="shared" si="21"/>
        <v>0</v>
      </c>
      <c r="AI29" s="182"/>
      <c r="AJ29" s="90"/>
      <c r="AK29" s="90"/>
      <c r="AL29" s="183">
        <f t="shared" si="22"/>
        <v>0</v>
      </c>
      <c r="AM29" s="182"/>
      <c r="AN29" s="90"/>
      <c r="AO29" s="90"/>
      <c r="AP29" s="183">
        <f t="shared" si="23"/>
        <v>0</v>
      </c>
      <c r="AQ29" s="182"/>
      <c r="AR29" s="90"/>
      <c r="AS29" s="90"/>
      <c r="AT29" s="183">
        <f t="shared" si="24"/>
        <v>0</v>
      </c>
      <c r="AU29" s="182"/>
      <c r="AV29" s="90"/>
      <c r="AW29" s="90"/>
      <c r="AX29" s="183">
        <f t="shared" si="25"/>
        <v>0</v>
      </c>
      <c r="AY29" s="182"/>
      <c r="AZ29" s="90"/>
      <c r="BA29" s="90"/>
      <c r="BB29" s="183">
        <f t="shared" si="26"/>
        <v>0</v>
      </c>
      <c r="BC29" s="182"/>
      <c r="BD29" s="90"/>
      <c r="BE29" s="90"/>
      <c r="BF29" s="183">
        <f t="shared" si="27"/>
        <v>0</v>
      </c>
      <c r="BG29" s="182"/>
      <c r="BH29" s="90"/>
      <c r="BI29" s="90"/>
      <c r="BJ29" s="183">
        <f t="shared" si="28"/>
        <v>0</v>
      </c>
      <c r="BK29" s="182"/>
      <c r="BL29" s="90"/>
      <c r="BM29" s="90"/>
      <c r="BN29" s="183">
        <f t="shared" si="29"/>
        <v>0</v>
      </c>
      <c r="BO29" s="182"/>
      <c r="BP29" s="90"/>
      <c r="BQ29" s="90"/>
      <c r="BR29" s="183">
        <f t="shared" si="30"/>
        <v>0</v>
      </c>
      <c r="BS29" s="182"/>
      <c r="BT29" s="90"/>
      <c r="BU29" s="90"/>
      <c r="BV29" s="183">
        <f t="shared" si="31"/>
        <v>0</v>
      </c>
      <c r="BW29" s="182"/>
      <c r="BX29" s="90"/>
      <c r="BY29" s="90"/>
      <c r="BZ29" s="183">
        <f t="shared" si="32"/>
        <v>0</v>
      </c>
      <c r="CA29" s="182"/>
      <c r="CB29" s="90"/>
      <c r="CC29" s="90"/>
      <c r="CD29" s="183">
        <f t="shared" si="33"/>
        <v>0</v>
      </c>
    </row>
    <row r="30" spans="2:82" x14ac:dyDescent="0.3">
      <c r="B30" s="53"/>
      <c r="C30" s="53" t="str">
        <f t="shared" si="0"/>
        <v>CPU_Iluminaçãodeaproxima</v>
      </c>
      <c r="D30" s="278">
        <f t="shared" si="1"/>
        <v>1</v>
      </c>
      <c r="E30" s="278">
        <f t="shared" si="2"/>
        <v>0</v>
      </c>
      <c r="F30" s="1"/>
      <c r="G30" s="28" t="str">
        <f>IFERROR(VLOOKUP(F30,Tabela7[[RECURSO]:[CUSTO]],2,FALSE),"")</f>
        <v/>
      </c>
      <c r="H30" s="93"/>
      <c r="I30" s="90"/>
      <c r="J30" s="45">
        <f>IFERROR(VLOOKUP(F30,Tabela7[[RECURSO]:[CUSTO]],3,FALSE),0)</f>
        <v>0</v>
      </c>
      <c r="K30" s="45">
        <f t="shared" si="34"/>
        <v>0</v>
      </c>
      <c r="AD30" s="144" t="str">
        <f t="shared" si="3"/>
        <v>Iluminação de aproximação</v>
      </c>
      <c r="AE30" s="179"/>
      <c r="AF30" s="180">
        <f t="shared" si="20"/>
        <v>0</v>
      </c>
      <c r="AG30" s="180">
        <f t="shared" si="17"/>
        <v>0</v>
      </c>
      <c r="AH30" s="181">
        <f t="shared" si="21"/>
        <v>0</v>
      </c>
      <c r="AI30" s="182"/>
      <c r="AJ30" s="90"/>
      <c r="AK30" s="90"/>
      <c r="AL30" s="183">
        <f t="shared" si="22"/>
        <v>0</v>
      </c>
      <c r="AM30" s="182"/>
      <c r="AN30" s="90"/>
      <c r="AO30" s="90"/>
      <c r="AP30" s="183">
        <f t="shared" si="23"/>
        <v>0</v>
      </c>
      <c r="AQ30" s="182"/>
      <c r="AR30" s="90"/>
      <c r="AS30" s="90"/>
      <c r="AT30" s="183">
        <f t="shared" si="24"/>
        <v>0</v>
      </c>
      <c r="AU30" s="182"/>
      <c r="AV30" s="90"/>
      <c r="AW30" s="90"/>
      <c r="AX30" s="183">
        <f t="shared" si="25"/>
        <v>0</v>
      </c>
      <c r="AY30" s="182"/>
      <c r="AZ30" s="90"/>
      <c r="BA30" s="90"/>
      <c r="BB30" s="183">
        <f t="shared" si="26"/>
        <v>0</v>
      </c>
      <c r="BC30" s="182"/>
      <c r="BD30" s="90"/>
      <c r="BE30" s="90"/>
      <c r="BF30" s="183">
        <f t="shared" si="27"/>
        <v>0</v>
      </c>
      <c r="BG30" s="182"/>
      <c r="BH30" s="90"/>
      <c r="BI30" s="90"/>
      <c r="BJ30" s="183">
        <f t="shared" si="28"/>
        <v>0</v>
      </c>
      <c r="BK30" s="182"/>
      <c r="BL30" s="90"/>
      <c r="BM30" s="90"/>
      <c r="BN30" s="183">
        <f t="shared" si="29"/>
        <v>0</v>
      </c>
      <c r="BO30" s="182"/>
      <c r="BP30" s="90"/>
      <c r="BQ30" s="90"/>
      <c r="BR30" s="183">
        <f t="shared" si="30"/>
        <v>0</v>
      </c>
      <c r="BS30" s="182"/>
      <c r="BT30" s="90"/>
      <c r="BU30" s="90"/>
      <c r="BV30" s="183">
        <f t="shared" si="31"/>
        <v>0</v>
      </c>
      <c r="BW30" s="182"/>
      <c r="BX30" s="90"/>
      <c r="BY30" s="90"/>
      <c r="BZ30" s="183">
        <f t="shared" si="32"/>
        <v>0</v>
      </c>
      <c r="CA30" s="182"/>
      <c r="CB30" s="90"/>
      <c r="CC30" s="90"/>
      <c r="CD30" s="183">
        <f t="shared" si="33"/>
        <v>0</v>
      </c>
    </row>
    <row r="31" spans="2:82" x14ac:dyDescent="0.3">
      <c r="B31" s="53"/>
      <c r="C31" s="53" t="str">
        <f t="shared" si="0"/>
        <v>CPU_Iluminaçãodeaproxima</v>
      </c>
      <c r="D31" s="278">
        <f t="shared" si="1"/>
        <v>1</v>
      </c>
      <c r="E31" s="278">
        <f t="shared" si="2"/>
        <v>0</v>
      </c>
      <c r="F31" s="1"/>
      <c r="G31" s="28" t="str">
        <f>IFERROR(VLOOKUP(F31,Tabela7[[RECURSO]:[CUSTO]],2,FALSE),"")</f>
        <v/>
      </c>
      <c r="H31" s="93"/>
      <c r="I31" s="90"/>
      <c r="J31" s="45">
        <f>IFERROR(VLOOKUP(F31,Tabela7[[RECURSO]:[CUSTO]],3,FALSE),0)</f>
        <v>0</v>
      </c>
      <c r="K31" s="45">
        <f t="shared" si="34"/>
        <v>0</v>
      </c>
      <c r="AD31" s="144" t="str">
        <f t="shared" si="3"/>
        <v>Iluminação de aproximação</v>
      </c>
      <c r="AE31" s="179"/>
      <c r="AF31" s="180">
        <f t="shared" si="20"/>
        <v>0</v>
      </c>
      <c r="AG31" s="180">
        <f t="shared" si="17"/>
        <v>0</v>
      </c>
      <c r="AH31" s="181">
        <f t="shared" si="21"/>
        <v>0</v>
      </c>
      <c r="AI31" s="182"/>
      <c r="AJ31" s="90"/>
      <c r="AK31" s="90"/>
      <c r="AL31" s="183">
        <f t="shared" si="22"/>
        <v>0</v>
      </c>
      <c r="AM31" s="182"/>
      <c r="AN31" s="90"/>
      <c r="AO31" s="90"/>
      <c r="AP31" s="183">
        <f t="shared" si="23"/>
        <v>0</v>
      </c>
      <c r="AQ31" s="182"/>
      <c r="AR31" s="90"/>
      <c r="AS31" s="90"/>
      <c r="AT31" s="183">
        <f t="shared" si="24"/>
        <v>0</v>
      </c>
      <c r="AU31" s="182"/>
      <c r="AV31" s="90"/>
      <c r="AW31" s="90"/>
      <c r="AX31" s="183">
        <f t="shared" si="25"/>
        <v>0</v>
      </c>
      <c r="AY31" s="182"/>
      <c r="AZ31" s="90"/>
      <c r="BA31" s="90"/>
      <c r="BB31" s="183">
        <f t="shared" si="26"/>
        <v>0</v>
      </c>
      <c r="BC31" s="182"/>
      <c r="BD31" s="90"/>
      <c r="BE31" s="90"/>
      <c r="BF31" s="183">
        <f t="shared" si="27"/>
        <v>0</v>
      </c>
      <c r="BG31" s="182"/>
      <c r="BH31" s="90"/>
      <c r="BI31" s="90"/>
      <c r="BJ31" s="183">
        <f t="shared" si="28"/>
        <v>0</v>
      </c>
      <c r="BK31" s="182"/>
      <c r="BL31" s="90"/>
      <c r="BM31" s="90"/>
      <c r="BN31" s="183">
        <f t="shared" si="29"/>
        <v>0</v>
      </c>
      <c r="BO31" s="182"/>
      <c r="BP31" s="90"/>
      <c r="BQ31" s="90"/>
      <c r="BR31" s="183">
        <f t="shared" si="30"/>
        <v>0</v>
      </c>
      <c r="BS31" s="182"/>
      <c r="BT31" s="90"/>
      <c r="BU31" s="90"/>
      <c r="BV31" s="183">
        <f t="shared" si="31"/>
        <v>0</v>
      </c>
      <c r="BW31" s="182"/>
      <c r="BX31" s="90"/>
      <c r="BY31" s="90"/>
      <c r="BZ31" s="183">
        <f t="shared" si="32"/>
        <v>0</v>
      </c>
      <c r="CA31" s="182"/>
      <c r="CB31" s="90"/>
      <c r="CC31" s="90"/>
      <c r="CD31" s="183">
        <f t="shared" si="33"/>
        <v>0</v>
      </c>
    </row>
    <row r="32" spans="2:82" x14ac:dyDescent="0.3">
      <c r="B32" s="53"/>
      <c r="C32" s="53" t="str">
        <f t="shared" si="0"/>
        <v>CPU_Iluminaçãodeaproxima</v>
      </c>
      <c r="D32" s="278">
        <f t="shared" si="1"/>
        <v>1</v>
      </c>
      <c r="E32" s="278">
        <f t="shared" si="2"/>
        <v>0</v>
      </c>
      <c r="F32" s="1"/>
      <c r="G32" s="28" t="str">
        <f>IFERROR(VLOOKUP(F32,Tabela7[[RECURSO]:[CUSTO]],2,FALSE),"")</f>
        <v/>
      </c>
      <c r="H32" s="93"/>
      <c r="I32" s="90"/>
      <c r="J32" s="45">
        <f>IFERROR(VLOOKUP(F32,Tabela7[[RECURSO]:[CUSTO]],3,FALSE),0)</f>
        <v>0</v>
      </c>
      <c r="K32" s="45">
        <f t="shared" si="34"/>
        <v>0</v>
      </c>
      <c r="AD32" s="144" t="str">
        <f t="shared" si="3"/>
        <v>Iluminação de aproximação</v>
      </c>
      <c r="AE32" s="179"/>
      <c r="AF32" s="180">
        <f t="shared" si="20"/>
        <v>0</v>
      </c>
      <c r="AG32" s="180">
        <f t="shared" si="17"/>
        <v>0</v>
      </c>
      <c r="AH32" s="181">
        <f t="shared" si="21"/>
        <v>0</v>
      </c>
      <c r="AI32" s="182"/>
      <c r="AJ32" s="90"/>
      <c r="AK32" s="90"/>
      <c r="AL32" s="183">
        <f t="shared" si="22"/>
        <v>0</v>
      </c>
      <c r="AM32" s="182"/>
      <c r="AN32" s="90"/>
      <c r="AO32" s="90"/>
      <c r="AP32" s="183">
        <f t="shared" si="23"/>
        <v>0</v>
      </c>
      <c r="AQ32" s="182"/>
      <c r="AR32" s="90"/>
      <c r="AS32" s="90"/>
      <c r="AT32" s="183">
        <f t="shared" si="24"/>
        <v>0</v>
      </c>
      <c r="AU32" s="182"/>
      <c r="AV32" s="90"/>
      <c r="AW32" s="90"/>
      <c r="AX32" s="183">
        <f t="shared" si="25"/>
        <v>0</v>
      </c>
      <c r="AY32" s="182"/>
      <c r="AZ32" s="90"/>
      <c r="BA32" s="90"/>
      <c r="BB32" s="183">
        <f t="shared" si="26"/>
        <v>0</v>
      </c>
      <c r="BC32" s="182"/>
      <c r="BD32" s="90"/>
      <c r="BE32" s="90"/>
      <c r="BF32" s="183">
        <f t="shared" si="27"/>
        <v>0</v>
      </c>
      <c r="BG32" s="182"/>
      <c r="BH32" s="90"/>
      <c r="BI32" s="90"/>
      <c r="BJ32" s="183">
        <f t="shared" si="28"/>
        <v>0</v>
      </c>
      <c r="BK32" s="182"/>
      <c r="BL32" s="90"/>
      <c r="BM32" s="90"/>
      <c r="BN32" s="183">
        <f t="shared" si="29"/>
        <v>0</v>
      </c>
      <c r="BO32" s="182"/>
      <c r="BP32" s="90"/>
      <c r="BQ32" s="90"/>
      <c r="BR32" s="183">
        <f t="shared" si="30"/>
        <v>0</v>
      </c>
      <c r="BS32" s="182"/>
      <c r="BT32" s="90"/>
      <c r="BU32" s="90"/>
      <c r="BV32" s="183">
        <f t="shared" si="31"/>
        <v>0</v>
      </c>
      <c r="BW32" s="182"/>
      <c r="BX32" s="90"/>
      <c r="BY32" s="90"/>
      <c r="BZ32" s="183">
        <f t="shared" si="32"/>
        <v>0</v>
      </c>
      <c r="CA32" s="182"/>
      <c r="CB32" s="90"/>
      <c r="CC32" s="90"/>
      <c r="CD32" s="183">
        <f t="shared" si="33"/>
        <v>0</v>
      </c>
    </row>
    <row r="33" spans="2:82" x14ac:dyDescent="0.3">
      <c r="B33" s="53"/>
      <c r="C33" s="53" t="str">
        <f t="shared" si="0"/>
        <v>CPU_Iluminaçãodeaproxima</v>
      </c>
      <c r="D33" s="278">
        <f t="shared" si="1"/>
        <v>1</v>
      </c>
      <c r="E33" s="278">
        <f t="shared" si="2"/>
        <v>0</v>
      </c>
      <c r="F33" s="1"/>
      <c r="G33" s="28" t="str">
        <f>IFERROR(VLOOKUP(F33,Tabela7[[RECURSO]:[CUSTO]],2,FALSE),"")</f>
        <v/>
      </c>
      <c r="H33" s="93"/>
      <c r="I33" s="90"/>
      <c r="J33" s="45">
        <f>IFERROR(VLOOKUP(F33,Tabela7[[RECURSO]:[CUSTO]],3,FALSE),0)</f>
        <v>0</v>
      </c>
      <c r="K33" s="45">
        <f t="shared" si="34"/>
        <v>0</v>
      </c>
      <c r="AD33" s="144" t="str">
        <f t="shared" si="3"/>
        <v>Iluminação de aproximação</v>
      </c>
      <c r="AE33" s="179"/>
      <c r="AF33" s="180">
        <f t="shared" si="20"/>
        <v>0</v>
      </c>
      <c r="AG33" s="180">
        <f t="shared" si="17"/>
        <v>0</v>
      </c>
      <c r="AH33" s="181">
        <f t="shared" si="21"/>
        <v>0</v>
      </c>
      <c r="AI33" s="182"/>
      <c r="AJ33" s="90"/>
      <c r="AK33" s="90"/>
      <c r="AL33" s="183">
        <f t="shared" si="22"/>
        <v>0</v>
      </c>
      <c r="AM33" s="182"/>
      <c r="AN33" s="90"/>
      <c r="AO33" s="90"/>
      <c r="AP33" s="183">
        <f t="shared" si="23"/>
        <v>0</v>
      </c>
      <c r="AQ33" s="182"/>
      <c r="AR33" s="90"/>
      <c r="AS33" s="90"/>
      <c r="AT33" s="183">
        <f t="shared" si="24"/>
        <v>0</v>
      </c>
      <c r="AU33" s="182"/>
      <c r="AV33" s="90"/>
      <c r="AW33" s="90"/>
      <c r="AX33" s="183">
        <f t="shared" si="25"/>
        <v>0</v>
      </c>
      <c r="AY33" s="182"/>
      <c r="AZ33" s="90"/>
      <c r="BA33" s="90"/>
      <c r="BB33" s="183">
        <f t="shared" si="26"/>
        <v>0</v>
      </c>
      <c r="BC33" s="182"/>
      <c r="BD33" s="90"/>
      <c r="BE33" s="90"/>
      <c r="BF33" s="183">
        <f t="shared" si="27"/>
        <v>0</v>
      </c>
      <c r="BG33" s="182"/>
      <c r="BH33" s="90"/>
      <c r="BI33" s="90"/>
      <c r="BJ33" s="183">
        <f t="shared" si="28"/>
        <v>0</v>
      </c>
      <c r="BK33" s="182"/>
      <c r="BL33" s="90"/>
      <c r="BM33" s="90"/>
      <c r="BN33" s="183">
        <f t="shared" si="29"/>
        <v>0</v>
      </c>
      <c r="BO33" s="182"/>
      <c r="BP33" s="90"/>
      <c r="BQ33" s="90"/>
      <c r="BR33" s="183">
        <f t="shared" si="30"/>
        <v>0</v>
      </c>
      <c r="BS33" s="182"/>
      <c r="BT33" s="90"/>
      <c r="BU33" s="90"/>
      <c r="BV33" s="183">
        <f t="shared" si="31"/>
        <v>0</v>
      </c>
      <c r="BW33" s="182"/>
      <c r="BX33" s="90"/>
      <c r="BY33" s="90"/>
      <c r="BZ33" s="183">
        <f t="shared" si="32"/>
        <v>0</v>
      </c>
      <c r="CA33" s="182"/>
      <c r="CB33" s="90"/>
      <c r="CC33" s="90"/>
      <c r="CD33" s="183">
        <f t="shared" si="33"/>
        <v>0</v>
      </c>
    </row>
    <row r="34" spans="2:82" x14ac:dyDescent="0.3">
      <c r="B34" s="53"/>
      <c r="C34" s="53" t="str">
        <f t="shared" si="0"/>
        <v>CPU_Iluminaçãodeaproxima</v>
      </c>
      <c r="D34" s="278">
        <f t="shared" si="1"/>
        <v>1</v>
      </c>
      <c r="E34" s="278">
        <f t="shared" si="2"/>
        <v>0</v>
      </c>
      <c r="F34" s="1"/>
      <c r="G34" s="28" t="str">
        <f>IFERROR(VLOOKUP(F34,Tabela7[[RECURSO]:[CUSTO]],2,FALSE),"")</f>
        <v/>
      </c>
      <c r="H34" s="93"/>
      <c r="I34" s="90"/>
      <c r="J34" s="45">
        <f>IFERROR(VLOOKUP(F34,Tabela7[[RECURSO]:[CUSTO]],3,FALSE),0)</f>
        <v>0</v>
      </c>
      <c r="K34" s="45">
        <f t="shared" si="34"/>
        <v>0</v>
      </c>
      <c r="AD34" s="144" t="str">
        <f t="shared" si="3"/>
        <v>Iluminação de aproximação</v>
      </c>
      <c r="AE34" s="179"/>
      <c r="AF34" s="180">
        <f t="shared" si="20"/>
        <v>0</v>
      </c>
      <c r="AG34" s="180">
        <f t="shared" si="17"/>
        <v>0</v>
      </c>
      <c r="AH34" s="181">
        <f t="shared" si="21"/>
        <v>0</v>
      </c>
      <c r="AI34" s="182"/>
      <c r="AJ34" s="90"/>
      <c r="AK34" s="90"/>
      <c r="AL34" s="183">
        <f t="shared" si="22"/>
        <v>0</v>
      </c>
      <c r="AM34" s="182"/>
      <c r="AN34" s="90"/>
      <c r="AO34" s="90"/>
      <c r="AP34" s="183">
        <f t="shared" si="23"/>
        <v>0</v>
      </c>
      <c r="AQ34" s="182"/>
      <c r="AR34" s="90"/>
      <c r="AS34" s="90"/>
      <c r="AT34" s="183">
        <f t="shared" si="24"/>
        <v>0</v>
      </c>
      <c r="AU34" s="182"/>
      <c r="AV34" s="90"/>
      <c r="AW34" s="90"/>
      <c r="AX34" s="183">
        <f t="shared" si="25"/>
        <v>0</v>
      </c>
      <c r="AY34" s="182"/>
      <c r="AZ34" s="90"/>
      <c r="BA34" s="90"/>
      <c r="BB34" s="183">
        <f t="shared" si="26"/>
        <v>0</v>
      </c>
      <c r="BC34" s="182"/>
      <c r="BD34" s="90"/>
      <c r="BE34" s="90"/>
      <c r="BF34" s="183">
        <f t="shared" si="27"/>
        <v>0</v>
      </c>
      <c r="BG34" s="182"/>
      <c r="BH34" s="90"/>
      <c r="BI34" s="90"/>
      <c r="BJ34" s="183">
        <f t="shared" si="28"/>
        <v>0</v>
      </c>
      <c r="BK34" s="182"/>
      <c r="BL34" s="90"/>
      <c r="BM34" s="90"/>
      <c r="BN34" s="183">
        <f t="shared" si="29"/>
        <v>0</v>
      </c>
      <c r="BO34" s="182"/>
      <c r="BP34" s="90"/>
      <c r="BQ34" s="90"/>
      <c r="BR34" s="183">
        <f t="shared" si="30"/>
        <v>0</v>
      </c>
      <c r="BS34" s="182"/>
      <c r="BT34" s="90"/>
      <c r="BU34" s="90"/>
      <c r="BV34" s="183">
        <f t="shared" si="31"/>
        <v>0</v>
      </c>
      <c r="BW34" s="182"/>
      <c r="BX34" s="90"/>
      <c r="BY34" s="90"/>
      <c r="BZ34" s="183">
        <f t="shared" si="32"/>
        <v>0</v>
      </c>
      <c r="CA34" s="182"/>
      <c r="CB34" s="90"/>
      <c r="CC34" s="90"/>
      <c r="CD34" s="183">
        <f t="shared" si="33"/>
        <v>0</v>
      </c>
    </row>
    <row r="35" spans="2:82" x14ac:dyDescent="0.3">
      <c r="B35" s="53"/>
      <c r="C35" s="53" t="str">
        <f t="shared" si="0"/>
        <v>CPU_Iluminaçãodeaproxima</v>
      </c>
      <c r="D35" s="278">
        <f t="shared" si="1"/>
        <v>1</v>
      </c>
      <c r="E35" s="278">
        <f t="shared" si="2"/>
        <v>0</v>
      </c>
      <c r="F35" s="1"/>
      <c r="G35" s="28" t="str">
        <f>IFERROR(VLOOKUP(F35,Tabela7[[RECURSO]:[CUSTO]],2,FALSE),"")</f>
        <v/>
      </c>
      <c r="H35" s="93"/>
      <c r="I35" s="90"/>
      <c r="J35" s="45">
        <f>IFERROR(VLOOKUP(F35,Tabela7[[RECURSO]:[CUSTO]],3,FALSE),0)</f>
        <v>0</v>
      </c>
      <c r="K35" s="45">
        <f t="shared" si="34"/>
        <v>0</v>
      </c>
      <c r="AD35" s="144" t="str">
        <f t="shared" si="3"/>
        <v>Iluminação de aproximação</v>
      </c>
      <c r="AE35" s="179"/>
      <c r="AF35" s="180">
        <f t="shared" si="20"/>
        <v>0</v>
      </c>
      <c r="AG35" s="180">
        <f t="shared" si="17"/>
        <v>0</v>
      </c>
      <c r="AH35" s="181">
        <f t="shared" si="21"/>
        <v>0</v>
      </c>
      <c r="AI35" s="182"/>
      <c r="AJ35" s="90"/>
      <c r="AK35" s="90"/>
      <c r="AL35" s="183">
        <f t="shared" si="22"/>
        <v>0</v>
      </c>
      <c r="AM35" s="182"/>
      <c r="AN35" s="90"/>
      <c r="AO35" s="90"/>
      <c r="AP35" s="183">
        <f t="shared" si="23"/>
        <v>0</v>
      </c>
      <c r="AQ35" s="182"/>
      <c r="AR35" s="90"/>
      <c r="AS35" s="90"/>
      <c r="AT35" s="183">
        <f t="shared" si="24"/>
        <v>0</v>
      </c>
      <c r="AU35" s="182"/>
      <c r="AV35" s="90"/>
      <c r="AW35" s="90"/>
      <c r="AX35" s="183">
        <f t="shared" si="25"/>
        <v>0</v>
      </c>
      <c r="AY35" s="182"/>
      <c r="AZ35" s="90"/>
      <c r="BA35" s="90"/>
      <c r="BB35" s="183">
        <f t="shared" si="26"/>
        <v>0</v>
      </c>
      <c r="BC35" s="182"/>
      <c r="BD35" s="90"/>
      <c r="BE35" s="90"/>
      <c r="BF35" s="183">
        <f t="shared" si="27"/>
        <v>0</v>
      </c>
      <c r="BG35" s="182"/>
      <c r="BH35" s="90"/>
      <c r="BI35" s="90"/>
      <c r="BJ35" s="183">
        <f t="shared" si="28"/>
        <v>0</v>
      </c>
      <c r="BK35" s="182"/>
      <c r="BL35" s="90"/>
      <c r="BM35" s="90"/>
      <c r="BN35" s="183">
        <f t="shared" si="29"/>
        <v>0</v>
      </c>
      <c r="BO35" s="182"/>
      <c r="BP35" s="90"/>
      <c r="BQ35" s="90"/>
      <c r="BR35" s="183">
        <f t="shared" si="30"/>
        <v>0</v>
      </c>
      <c r="BS35" s="182"/>
      <c r="BT35" s="90"/>
      <c r="BU35" s="90"/>
      <c r="BV35" s="183">
        <f t="shared" si="31"/>
        <v>0</v>
      </c>
      <c r="BW35" s="182"/>
      <c r="BX35" s="90"/>
      <c r="BY35" s="90"/>
      <c r="BZ35" s="183">
        <f t="shared" si="32"/>
        <v>0</v>
      </c>
      <c r="CA35" s="182"/>
      <c r="CB35" s="90"/>
      <c r="CC35" s="90"/>
      <c r="CD35" s="183">
        <f t="shared" si="33"/>
        <v>0</v>
      </c>
    </row>
    <row r="36" spans="2:82" x14ac:dyDescent="0.3">
      <c r="B36" s="53"/>
      <c r="C36" s="53" t="str">
        <f t="shared" si="0"/>
        <v>CPU_Iluminaçãodeaproxima</v>
      </c>
      <c r="D36" s="278">
        <f t="shared" si="1"/>
        <v>1</v>
      </c>
      <c r="E36" s="278">
        <f t="shared" si="2"/>
        <v>0</v>
      </c>
      <c r="F36" s="1"/>
      <c r="G36" s="28" t="str">
        <f>IFERROR(VLOOKUP(F36,Tabela7[[RECURSO]:[CUSTO]],2,FALSE),"")</f>
        <v/>
      </c>
      <c r="H36" s="93"/>
      <c r="I36" s="90"/>
      <c r="J36" s="45">
        <f>IFERROR(VLOOKUP(F36,Tabela7[[RECURSO]:[CUSTO]],3,FALSE),0)</f>
        <v>0</v>
      </c>
      <c r="K36" s="45">
        <f t="shared" si="34"/>
        <v>0</v>
      </c>
      <c r="AD36" s="144" t="str">
        <f t="shared" si="3"/>
        <v>Iluminação de aproximação</v>
      </c>
      <c r="AE36" s="179"/>
      <c r="AF36" s="180">
        <f t="shared" si="20"/>
        <v>0</v>
      </c>
      <c r="AG36" s="180">
        <f t="shared" si="17"/>
        <v>0</v>
      </c>
      <c r="AH36" s="181">
        <f t="shared" si="21"/>
        <v>0</v>
      </c>
      <c r="AI36" s="182"/>
      <c r="AJ36" s="90"/>
      <c r="AK36" s="90"/>
      <c r="AL36" s="183">
        <f t="shared" si="22"/>
        <v>0</v>
      </c>
      <c r="AM36" s="182"/>
      <c r="AN36" s="90"/>
      <c r="AO36" s="90"/>
      <c r="AP36" s="183">
        <f t="shared" si="23"/>
        <v>0</v>
      </c>
      <c r="AQ36" s="182"/>
      <c r="AR36" s="90"/>
      <c r="AS36" s="90"/>
      <c r="AT36" s="183">
        <f t="shared" si="24"/>
        <v>0</v>
      </c>
      <c r="AU36" s="182"/>
      <c r="AV36" s="90"/>
      <c r="AW36" s="90"/>
      <c r="AX36" s="183">
        <f t="shared" si="25"/>
        <v>0</v>
      </c>
      <c r="AY36" s="182"/>
      <c r="AZ36" s="90"/>
      <c r="BA36" s="90"/>
      <c r="BB36" s="183">
        <f t="shared" si="26"/>
        <v>0</v>
      </c>
      <c r="BC36" s="182"/>
      <c r="BD36" s="90"/>
      <c r="BE36" s="90"/>
      <c r="BF36" s="183">
        <f t="shared" si="27"/>
        <v>0</v>
      </c>
      <c r="BG36" s="182"/>
      <c r="BH36" s="90"/>
      <c r="BI36" s="90"/>
      <c r="BJ36" s="183">
        <f t="shared" si="28"/>
        <v>0</v>
      </c>
      <c r="BK36" s="182"/>
      <c r="BL36" s="90"/>
      <c r="BM36" s="90"/>
      <c r="BN36" s="183">
        <f t="shared" si="29"/>
        <v>0</v>
      </c>
      <c r="BO36" s="182"/>
      <c r="BP36" s="90"/>
      <c r="BQ36" s="90"/>
      <c r="BR36" s="183">
        <f t="shared" si="30"/>
        <v>0</v>
      </c>
      <c r="BS36" s="182"/>
      <c r="BT36" s="90"/>
      <c r="BU36" s="90"/>
      <c r="BV36" s="183">
        <f t="shared" si="31"/>
        <v>0</v>
      </c>
      <c r="BW36" s="182"/>
      <c r="BX36" s="90"/>
      <c r="BY36" s="90"/>
      <c r="BZ36" s="183">
        <f t="shared" si="32"/>
        <v>0</v>
      </c>
      <c r="CA36" s="182"/>
      <c r="CB36" s="90"/>
      <c r="CC36" s="90"/>
      <c r="CD36" s="183">
        <f t="shared" si="33"/>
        <v>0</v>
      </c>
    </row>
    <row r="37" spans="2:82" x14ac:dyDescent="0.3">
      <c r="B37" s="52" t="s">
        <v>692</v>
      </c>
      <c r="C37" s="52" t="str">
        <f t="shared" si="0"/>
        <v>CPU_Iluminaçãodeaproxima</v>
      </c>
      <c r="D37" s="277">
        <f t="shared" si="1"/>
        <v>1</v>
      </c>
      <c r="E37" s="277">
        <f t="shared" si="2"/>
        <v>0</v>
      </c>
      <c r="F37" s="37"/>
      <c r="G37" s="38"/>
      <c r="H37" s="91"/>
      <c r="I37" s="40"/>
      <c r="J37" s="40">
        <f>IFERROR(K37/$B$6,0)</f>
        <v>0</v>
      </c>
      <c r="K37" s="40">
        <f>SUM(K38:K49)</f>
        <v>0</v>
      </c>
      <c r="N37" s="39"/>
      <c r="AD37" s="144" t="str">
        <f t="shared" si="3"/>
        <v>Iluminação de aproximação</v>
      </c>
      <c r="AE37" s="184"/>
      <c r="AF37" s="40"/>
      <c r="AG37" s="40">
        <f>IFERROR(AH37/AF$3,0)</f>
        <v>0</v>
      </c>
      <c r="AH37" s="185">
        <f>SUM(AH38:AH49)</f>
        <v>0</v>
      </c>
      <c r="AI37" s="184"/>
      <c r="AJ37" s="40"/>
      <c r="AK37" s="40">
        <f>IFERROR(AL37/AJ$3,0)</f>
        <v>0</v>
      </c>
      <c r="AL37" s="185">
        <f>SUM(AL38:AL49)</f>
        <v>0</v>
      </c>
      <c r="AM37" s="184"/>
      <c r="AN37" s="40"/>
      <c r="AO37" s="40">
        <f>IFERROR(AP37/AN$3,0)</f>
        <v>0</v>
      </c>
      <c r="AP37" s="185">
        <f>SUM(AP38:AP49)</f>
        <v>0</v>
      </c>
      <c r="AQ37" s="184"/>
      <c r="AR37" s="40"/>
      <c r="AS37" s="40">
        <f>IFERROR(AT37/AR$3,0)</f>
        <v>0</v>
      </c>
      <c r="AT37" s="185">
        <f>SUM(AT38:AT49)</f>
        <v>0</v>
      </c>
      <c r="AU37" s="184"/>
      <c r="AV37" s="40"/>
      <c r="AW37" s="40">
        <f>IFERROR(AX37/AV$3,0)</f>
        <v>0</v>
      </c>
      <c r="AX37" s="185">
        <f>SUM(AX38:AX49)</f>
        <v>0</v>
      </c>
      <c r="AY37" s="184"/>
      <c r="AZ37" s="40"/>
      <c r="BA37" s="40">
        <f>IFERROR(BB37/AZ$3,0)</f>
        <v>0</v>
      </c>
      <c r="BB37" s="185">
        <f>SUM(BB38:BB49)</f>
        <v>0</v>
      </c>
      <c r="BC37" s="184"/>
      <c r="BD37" s="40"/>
      <c r="BE37" s="40">
        <f>IFERROR(BF37/BD$3,0)</f>
        <v>0</v>
      </c>
      <c r="BF37" s="185">
        <f>SUM(BF38:BF49)</f>
        <v>0</v>
      </c>
      <c r="BG37" s="184"/>
      <c r="BH37" s="40"/>
      <c r="BI37" s="40">
        <f>IFERROR(BJ37/BH$3,0)</f>
        <v>0</v>
      </c>
      <c r="BJ37" s="185">
        <f>SUM(BJ38:BJ49)</f>
        <v>0</v>
      </c>
      <c r="BK37" s="184"/>
      <c r="BL37" s="40"/>
      <c r="BM37" s="40">
        <f>IFERROR(BN37/BL$3,0)</f>
        <v>0</v>
      </c>
      <c r="BN37" s="185">
        <f>SUM(BN38:BN49)</f>
        <v>0</v>
      </c>
      <c r="BO37" s="184"/>
      <c r="BP37" s="40"/>
      <c r="BQ37" s="40">
        <f>IFERROR(BR37/BP$3,0)</f>
        <v>0</v>
      </c>
      <c r="BR37" s="185">
        <f>SUM(BR38:BR49)</f>
        <v>0</v>
      </c>
      <c r="BS37" s="184"/>
      <c r="BT37" s="40"/>
      <c r="BU37" s="40">
        <f>IFERROR(BV37/BT$3,0)</f>
        <v>0</v>
      </c>
      <c r="BV37" s="185">
        <f>SUM(BV38:BV49)</f>
        <v>0</v>
      </c>
      <c r="BW37" s="184"/>
      <c r="BX37" s="40"/>
      <c r="BY37" s="40">
        <f>IFERROR(BZ37/BX$3,0)</f>
        <v>0</v>
      </c>
      <c r="BZ37" s="185">
        <f>SUM(BZ38:BZ49)</f>
        <v>0</v>
      </c>
      <c r="CA37" s="184"/>
      <c r="CB37" s="40"/>
      <c r="CC37" s="40">
        <f>IFERROR(CD37/CB$3,0)</f>
        <v>0</v>
      </c>
      <c r="CD37" s="185">
        <f>SUM(CD38:CD49)</f>
        <v>0</v>
      </c>
    </row>
    <row r="38" spans="2:82" x14ac:dyDescent="0.3">
      <c r="B38" s="54"/>
      <c r="C38" s="54" t="str">
        <f t="shared" si="0"/>
        <v>CPU_Iluminaçãodeaproxima</v>
      </c>
      <c r="D38" s="280">
        <f t="shared" si="1"/>
        <v>1</v>
      </c>
      <c r="E38" s="280">
        <f t="shared" si="2"/>
        <v>0</v>
      </c>
      <c r="F38" s="1"/>
      <c r="G38" s="28" t="str">
        <f>IFERROR(VLOOKUP(F38,Tabela7[[RECURSO]:[CUSTO]],2,FALSE),"")</f>
        <v/>
      </c>
      <c r="H38" s="92"/>
      <c r="I38" s="90"/>
      <c r="J38" s="45">
        <f>IFERROR(VLOOKUP(F38,Tabela7[[RECURSO]:[CUSTO]],3,FALSE),0)</f>
        <v>0</v>
      </c>
      <c r="K38" s="45">
        <f>I38*J38*CPU_39[[#This Row],[Nº]]</f>
        <v>0</v>
      </c>
      <c r="AD38" s="144" t="str">
        <f t="shared" si="3"/>
        <v>Iluminação de aproximação</v>
      </c>
      <c r="AE38" s="186"/>
      <c r="AF38" s="180">
        <f t="shared" ref="AF38:AF49" si="35">AJ38+AN38+AR38+AV38+AZ38+BD38+BH38+BL38+BP38+BT38+BX38+CB38</f>
        <v>0</v>
      </c>
      <c r="AG38" s="180">
        <f t="shared" si="17"/>
        <v>0</v>
      </c>
      <c r="AH38" s="181">
        <f t="shared" ref="AH38:AH49" si="36">AL38+AP38+AT38+AX38+BB38+BF38+BJ38+BN38+BR38+BV38+BZ38+CD38</f>
        <v>0</v>
      </c>
      <c r="AI38" s="187"/>
      <c r="AJ38" s="90"/>
      <c r="AK38" s="90"/>
      <c r="AL38" s="183">
        <f t="shared" ref="AL38:AL49" si="37">AJ38*AK38</f>
        <v>0</v>
      </c>
      <c r="AM38" s="187"/>
      <c r="AN38" s="90"/>
      <c r="AO38" s="90"/>
      <c r="AP38" s="183">
        <f t="shared" si="23"/>
        <v>0</v>
      </c>
      <c r="AQ38" s="187"/>
      <c r="AR38" s="90"/>
      <c r="AS38" s="90"/>
      <c r="AT38" s="183">
        <f t="shared" si="24"/>
        <v>0</v>
      </c>
      <c r="AU38" s="187"/>
      <c r="AV38" s="90"/>
      <c r="AW38" s="90"/>
      <c r="AX38" s="183">
        <f t="shared" si="25"/>
        <v>0</v>
      </c>
      <c r="AY38" s="187"/>
      <c r="AZ38" s="90"/>
      <c r="BA38" s="90"/>
      <c r="BB38" s="183">
        <f t="shared" si="26"/>
        <v>0</v>
      </c>
      <c r="BC38" s="187"/>
      <c r="BD38" s="90"/>
      <c r="BE38" s="90"/>
      <c r="BF38" s="183">
        <f t="shared" si="27"/>
        <v>0</v>
      </c>
      <c r="BG38" s="187"/>
      <c r="BH38" s="90"/>
      <c r="BI38" s="90"/>
      <c r="BJ38" s="183">
        <f t="shared" si="28"/>
        <v>0</v>
      </c>
      <c r="BK38" s="187"/>
      <c r="BL38" s="90"/>
      <c r="BM38" s="90"/>
      <c r="BN38" s="183">
        <f t="shared" si="29"/>
        <v>0</v>
      </c>
      <c r="BO38" s="187"/>
      <c r="BP38" s="90"/>
      <c r="BQ38" s="90"/>
      <c r="BR38" s="183">
        <f t="shared" si="30"/>
        <v>0</v>
      </c>
      <c r="BS38" s="187"/>
      <c r="BT38" s="90"/>
      <c r="BU38" s="90"/>
      <c r="BV38" s="183">
        <f t="shared" si="31"/>
        <v>0</v>
      </c>
      <c r="BW38" s="187"/>
      <c r="BX38" s="90"/>
      <c r="BY38" s="90"/>
      <c r="BZ38" s="183">
        <f t="shared" si="32"/>
        <v>0</v>
      </c>
      <c r="CA38" s="187"/>
      <c r="CB38" s="90"/>
      <c r="CC38" s="90"/>
      <c r="CD38" s="183">
        <f t="shared" si="33"/>
        <v>0</v>
      </c>
    </row>
    <row r="39" spans="2:82" x14ac:dyDescent="0.3">
      <c r="B39" s="54"/>
      <c r="C39" s="54" t="str">
        <f t="shared" si="0"/>
        <v>CPU_Iluminaçãodeaproxima</v>
      </c>
      <c r="D39" s="280">
        <f t="shared" si="1"/>
        <v>1</v>
      </c>
      <c r="E39" s="280">
        <f t="shared" si="2"/>
        <v>0</v>
      </c>
      <c r="F39" s="1"/>
      <c r="G39" s="28" t="str">
        <f>IFERROR(VLOOKUP(F39,Tabela7[[RECURSO]:[CUSTO]],2,FALSE),"")</f>
        <v/>
      </c>
      <c r="H39" s="92"/>
      <c r="I39" s="90"/>
      <c r="J39" s="45">
        <f>IFERROR(VLOOKUP(F39,Tabela7[[RECURSO]:[CUSTO]],3,FALSE),0)</f>
        <v>0</v>
      </c>
      <c r="K39" s="45">
        <f>I39*J39*CPU_39[[#This Row],[Nº]]</f>
        <v>0</v>
      </c>
      <c r="AD39" s="144" t="str">
        <f t="shared" si="3"/>
        <v>Iluminação de aproximação</v>
      </c>
      <c r="AE39" s="186"/>
      <c r="AF39" s="180">
        <f t="shared" si="35"/>
        <v>0</v>
      </c>
      <c r="AG39" s="180">
        <f t="shared" si="17"/>
        <v>0</v>
      </c>
      <c r="AH39" s="181">
        <f t="shared" si="36"/>
        <v>0</v>
      </c>
      <c r="AI39" s="187"/>
      <c r="AJ39" s="90"/>
      <c r="AK39" s="90"/>
      <c r="AL39" s="183">
        <f t="shared" si="37"/>
        <v>0</v>
      </c>
      <c r="AM39" s="187"/>
      <c r="AN39" s="90"/>
      <c r="AO39" s="90"/>
      <c r="AP39" s="183">
        <f t="shared" si="23"/>
        <v>0</v>
      </c>
      <c r="AQ39" s="187"/>
      <c r="AR39" s="90"/>
      <c r="AS39" s="90"/>
      <c r="AT39" s="183">
        <f t="shared" si="24"/>
        <v>0</v>
      </c>
      <c r="AU39" s="187"/>
      <c r="AV39" s="90"/>
      <c r="AW39" s="90"/>
      <c r="AX39" s="183">
        <f t="shared" si="25"/>
        <v>0</v>
      </c>
      <c r="AY39" s="187"/>
      <c r="AZ39" s="90"/>
      <c r="BA39" s="90"/>
      <c r="BB39" s="183">
        <f t="shared" si="26"/>
        <v>0</v>
      </c>
      <c r="BC39" s="187"/>
      <c r="BD39" s="90"/>
      <c r="BE39" s="90"/>
      <c r="BF39" s="183">
        <f t="shared" si="27"/>
        <v>0</v>
      </c>
      <c r="BG39" s="187"/>
      <c r="BH39" s="90"/>
      <c r="BI39" s="90"/>
      <c r="BJ39" s="183">
        <f t="shared" si="28"/>
        <v>0</v>
      </c>
      <c r="BK39" s="187"/>
      <c r="BL39" s="90"/>
      <c r="BM39" s="90"/>
      <c r="BN39" s="183">
        <f t="shared" si="29"/>
        <v>0</v>
      </c>
      <c r="BO39" s="187"/>
      <c r="BP39" s="90"/>
      <c r="BQ39" s="90"/>
      <c r="BR39" s="183">
        <f t="shared" si="30"/>
        <v>0</v>
      </c>
      <c r="BS39" s="187"/>
      <c r="BT39" s="90"/>
      <c r="BU39" s="90"/>
      <c r="BV39" s="183">
        <f t="shared" si="31"/>
        <v>0</v>
      </c>
      <c r="BW39" s="187"/>
      <c r="BX39" s="90"/>
      <c r="BY39" s="90"/>
      <c r="BZ39" s="183">
        <f t="shared" si="32"/>
        <v>0</v>
      </c>
      <c r="CA39" s="187"/>
      <c r="CB39" s="90"/>
      <c r="CC39" s="90"/>
      <c r="CD39" s="183">
        <f t="shared" si="33"/>
        <v>0</v>
      </c>
    </row>
    <row r="40" spans="2:82" x14ac:dyDescent="0.3">
      <c r="B40" s="54"/>
      <c r="C40" s="54" t="str">
        <f t="shared" si="0"/>
        <v>CPU_Iluminaçãodeaproxima</v>
      </c>
      <c r="D40" s="280">
        <f t="shared" si="1"/>
        <v>1</v>
      </c>
      <c r="E40" s="280">
        <f t="shared" si="2"/>
        <v>0</v>
      </c>
      <c r="F40" s="1"/>
      <c r="G40" s="28" t="str">
        <f>IFERROR(VLOOKUP(F40,Tabela7[[RECURSO]:[CUSTO]],2,FALSE),"")</f>
        <v/>
      </c>
      <c r="H40" s="92"/>
      <c r="I40" s="90"/>
      <c r="J40" s="45">
        <f>IFERROR(VLOOKUP(F40,Tabela7[[RECURSO]:[CUSTO]],3,FALSE),0)</f>
        <v>0</v>
      </c>
      <c r="K40" s="45">
        <f>I40*J40*CPU_39[[#This Row],[Nº]]</f>
        <v>0</v>
      </c>
      <c r="AD40" s="144" t="str">
        <f t="shared" si="3"/>
        <v>Iluminação de aproximação</v>
      </c>
      <c r="AE40" s="186"/>
      <c r="AF40" s="180">
        <f t="shared" si="35"/>
        <v>0</v>
      </c>
      <c r="AG40" s="180">
        <f t="shared" si="17"/>
        <v>0</v>
      </c>
      <c r="AH40" s="181">
        <f t="shared" si="36"/>
        <v>0</v>
      </c>
      <c r="AI40" s="187"/>
      <c r="AJ40" s="90"/>
      <c r="AK40" s="90"/>
      <c r="AL40" s="183">
        <f t="shared" si="37"/>
        <v>0</v>
      </c>
      <c r="AM40" s="187"/>
      <c r="AN40" s="90"/>
      <c r="AO40" s="90"/>
      <c r="AP40" s="183">
        <f t="shared" si="23"/>
        <v>0</v>
      </c>
      <c r="AQ40" s="187"/>
      <c r="AR40" s="90"/>
      <c r="AS40" s="90"/>
      <c r="AT40" s="183">
        <f t="shared" si="24"/>
        <v>0</v>
      </c>
      <c r="AU40" s="187"/>
      <c r="AV40" s="90"/>
      <c r="AW40" s="90"/>
      <c r="AX40" s="183">
        <f t="shared" si="25"/>
        <v>0</v>
      </c>
      <c r="AY40" s="187"/>
      <c r="AZ40" s="90"/>
      <c r="BA40" s="90"/>
      <c r="BB40" s="183">
        <f t="shared" si="26"/>
        <v>0</v>
      </c>
      <c r="BC40" s="187"/>
      <c r="BD40" s="90"/>
      <c r="BE40" s="90"/>
      <c r="BF40" s="183">
        <f t="shared" si="27"/>
        <v>0</v>
      </c>
      <c r="BG40" s="187"/>
      <c r="BH40" s="90"/>
      <c r="BI40" s="90"/>
      <c r="BJ40" s="183">
        <f t="shared" si="28"/>
        <v>0</v>
      </c>
      <c r="BK40" s="187"/>
      <c r="BL40" s="90"/>
      <c r="BM40" s="90"/>
      <c r="BN40" s="183">
        <f t="shared" si="29"/>
        <v>0</v>
      </c>
      <c r="BO40" s="187"/>
      <c r="BP40" s="90"/>
      <c r="BQ40" s="90"/>
      <c r="BR40" s="183">
        <f t="shared" si="30"/>
        <v>0</v>
      </c>
      <c r="BS40" s="187"/>
      <c r="BT40" s="90"/>
      <c r="BU40" s="90"/>
      <c r="BV40" s="183">
        <f t="shared" si="31"/>
        <v>0</v>
      </c>
      <c r="BW40" s="187"/>
      <c r="BX40" s="90"/>
      <c r="BY40" s="90"/>
      <c r="BZ40" s="183">
        <f t="shared" si="32"/>
        <v>0</v>
      </c>
      <c r="CA40" s="187"/>
      <c r="CB40" s="90"/>
      <c r="CC40" s="90"/>
      <c r="CD40" s="183">
        <f t="shared" si="33"/>
        <v>0</v>
      </c>
    </row>
    <row r="41" spans="2:82" x14ac:dyDescent="0.3">
      <c r="B41" s="54"/>
      <c r="C41" s="54" t="str">
        <f t="shared" si="0"/>
        <v>CPU_Iluminaçãodeaproxima</v>
      </c>
      <c r="D41" s="280">
        <f t="shared" si="1"/>
        <v>1</v>
      </c>
      <c r="E41" s="280">
        <f t="shared" si="2"/>
        <v>0</v>
      </c>
      <c r="F41" s="1"/>
      <c r="G41" s="28" t="str">
        <f>IFERROR(VLOOKUP(F41,Tabela7[[RECURSO]:[CUSTO]],2,FALSE),"")</f>
        <v/>
      </c>
      <c r="H41" s="92"/>
      <c r="I41" s="90"/>
      <c r="J41" s="45">
        <f>IFERROR(VLOOKUP(F41,Tabela7[[RECURSO]:[CUSTO]],3,FALSE),0)</f>
        <v>0</v>
      </c>
      <c r="K41" s="45">
        <f>I41*J41*CPU_39[[#This Row],[Nº]]</f>
        <v>0</v>
      </c>
      <c r="AD41" s="144" t="str">
        <f t="shared" si="3"/>
        <v>Iluminação de aproximação</v>
      </c>
      <c r="AE41" s="186"/>
      <c r="AF41" s="180">
        <f t="shared" si="35"/>
        <v>0</v>
      </c>
      <c r="AG41" s="180">
        <f t="shared" si="17"/>
        <v>0</v>
      </c>
      <c r="AH41" s="181">
        <f t="shared" si="36"/>
        <v>0</v>
      </c>
      <c r="AI41" s="187"/>
      <c r="AJ41" s="90"/>
      <c r="AK41" s="90"/>
      <c r="AL41" s="183">
        <f t="shared" si="37"/>
        <v>0</v>
      </c>
      <c r="AM41" s="187"/>
      <c r="AN41" s="90"/>
      <c r="AO41" s="90"/>
      <c r="AP41" s="183">
        <f t="shared" si="23"/>
        <v>0</v>
      </c>
      <c r="AQ41" s="187"/>
      <c r="AR41" s="90"/>
      <c r="AS41" s="90"/>
      <c r="AT41" s="183">
        <f t="shared" si="24"/>
        <v>0</v>
      </c>
      <c r="AU41" s="187"/>
      <c r="AV41" s="90"/>
      <c r="AW41" s="90"/>
      <c r="AX41" s="183">
        <f t="shared" si="25"/>
        <v>0</v>
      </c>
      <c r="AY41" s="187"/>
      <c r="AZ41" s="90"/>
      <c r="BA41" s="90"/>
      <c r="BB41" s="183">
        <f t="shared" si="26"/>
        <v>0</v>
      </c>
      <c r="BC41" s="187"/>
      <c r="BD41" s="90"/>
      <c r="BE41" s="90"/>
      <c r="BF41" s="183">
        <f t="shared" si="27"/>
        <v>0</v>
      </c>
      <c r="BG41" s="187"/>
      <c r="BH41" s="90"/>
      <c r="BI41" s="90"/>
      <c r="BJ41" s="183">
        <f t="shared" si="28"/>
        <v>0</v>
      </c>
      <c r="BK41" s="187"/>
      <c r="BL41" s="90"/>
      <c r="BM41" s="90"/>
      <c r="BN41" s="183">
        <f t="shared" si="29"/>
        <v>0</v>
      </c>
      <c r="BO41" s="187"/>
      <c r="BP41" s="90"/>
      <c r="BQ41" s="90"/>
      <c r="BR41" s="183">
        <f t="shared" si="30"/>
        <v>0</v>
      </c>
      <c r="BS41" s="187"/>
      <c r="BT41" s="90"/>
      <c r="BU41" s="90"/>
      <c r="BV41" s="183">
        <f t="shared" si="31"/>
        <v>0</v>
      </c>
      <c r="BW41" s="187"/>
      <c r="BX41" s="90"/>
      <c r="BY41" s="90"/>
      <c r="BZ41" s="183">
        <f t="shared" si="32"/>
        <v>0</v>
      </c>
      <c r="CA41" s="187"/>
      <c r="CB41" s="90"/>
      <c r="CC41" s="90"/>
      <c r="CD41" s="183">
        <f t="shared" si="33"/>
        <v>0</v>
      </c>
    </row>
    <row r="42" spans="2:82" x14ac:dyDescent="0.3">
      <c r="B42" s="54"/>
      <c r="C42" s="54" t="str">
        <f t="shared" si="0"/>
        <v>CPU_Iluminaçãodeaproxima</v>
      </c>
      <c r="D42" s="280">
        <f t="shared" si="1"/>
        <v>1</v>
      </c>
      <c r="E42" s="280">
        <f t="shared" si="2"/>
        <v>0</v>
      </c>
      <c r="F42" s="1"/>
      <c r="G42" s="28" t="str">
        <f>IFERROR(VLOOKUP(F42,Tabela7[[RECURSO]:[CUSTO]],2,FALSE),"")</f>
        <v/>
      </c>
      <c r="H42" s="92"/>
      <c r="I42" s="90"/>
      <c r="J42" s="45">
        <f>IFERROR(VLOOKUP(F42,Tabela7[[RECURSO]:[CUSTO]],3,FALSE),0)</f>
        <v>0</v>
      </c>
      <c r="K42" s="45">
        <f>I42*J42*CPU_39[[#This Row],[Nº]]</f>
        <v>0</v>
      </c>
      <c r="AD42" s="144" t="str">
        <f t="shared" si="3"/>
        <v>Iluminação de aproximação</v>
      </c>
      <c r="AE42" s="186"/>
      <c r="AF42" s="180">
        <f t="shared" si="35"/>
        <v>0</v>
      </c>
      <c r="AG42" s="180">
        <f t="shared" si="17"/>
        <v>0</v>
      </c>
      <c r="AH42" s="181">
        <f t="shared" si="36"/>
        <v>0</v>
      </c>
      <c r="AI42" s="187"/>
      <c r="AJ42" s="90"/>
      <c r="AK42" s="90"/>
      <c r="AL42" s="183">
        <f t="shared" si="37"/>
        <v>0</v>
      </c>
      <c r="AM42" s="187"/>
      <c r="AN42" s="90"/>
      <c r="AO42" s="90"/>
      <c r="AP42" s="183">
        <f t="shared" si="23"/>
        <v>0</v>
      </c>
      <c r="AQ42" s="187"/>
      <c r="AR42" s="90"/>
      <c r="AS42" s="90"/>
      <c r="AT42" s="183">
        <f t="shared" si="24"/>
        <v>0</v>
      </c>
      <c r="AU42" s="187"/>
      <c r="AV42" s="90"/>
      <c r="AW42" s="90"/>
      <c r="AX42" s="183">
        <f t="shared" si="25"/>
        <v>0</v>
      </c>
      <c r="AY42" s="187"/>
      <c r="AZ42" s="90"/>
      <c r="BA42" s="90"/>
      <c r="BB42" s="183">
        <f t="shared" si="26"/>
        <v>0</v>
      </c>
      <c r="BC42" s="187"/>
      <c r="BD42" s="90"/>
      <c r="BE42" s="90"/>
      <c r="BF42" s="183">
        <f t="shared" si="27"/>
        <v>0</v>
      </c>
      <c r="BG42" s="187"/>
      <c r="BH42" s="90"/>
      <c r="BI42" s="90"/>
      <c r="BJ42" s="183">
        <f t="shared" si="28"/>
        <v>0</v>
      </c>
      <c r="BK42" s="187"/>
      <c r="BL42" s="90"/>
      <c r="BM42" s="90"/>
      <c r="BN42" s="183">
        <f t="shared" si="29"/>
        <v>0</v>
      </c>
      <c r="BO42" s="187"/>
      <c r="BP42" s="90"/>
      <c r="BQ42" s="90"/>
      <c r="BR42" s="183">
        <f t="shared" si="30"/>
        <v>0</v>
      </c>
      <c r="BS42" s="187"/>
      <c r="BT42" s="90"/>
      <c r="BU42" s="90"/>
      <c r="BV42" s="183">
        <f t="shared" si="31"/>
        <v>0</v>
      </c>
      <c r="BW42" s="187"/>
      <c r="BX42" s="90"/>
      <c r="BY42" s="90"/>
      <c r="BZ42" s="183">
        <f t="shared" si="32"/>
        <v>0</v>
      </c>
      <c r="CA42" s="187"/>
      <c r="CB42" s="90"/>
      <c r="CC42" s="90"/>
      <c r="CD42" s="183">
        <f t="shared" si="33"/>
        <v>0</v>
      </c>
    </row>
    <row r="43" spans="2:82" x14ac:dyDescent="0.3">
      <c r="B43" s="54"/>
      <c r="C43" s="54" t="str">
        <f t="shared" si="0"/>
        <v>CPU_Iluminaçãodeaproxima</v>
      </c>
      <c r="D43" s="280">
        <f t="shared" si="1"/>
        <v>1</v>
      </c>
      <c r="E43" s="280">
        <f t="shared" si="2"/>
        <v>0</v>
      </c>
      <c r="F43" s="1"/>
      <c r="G43" s="28" t="str">
        <f>IFERROR(VLOOKUP(F43,Tabela7[[RECURSO]:[CUSTO]],2,FALSE),"")</f>
        <v/>
      </c>
      <c r="H43" s="92"/>
      <c r="I43" s="90"/>
      <c r="J43" s="45">
        <f>IFERROR(VLOOKUP(F43,Tabela7[[RECURSO]:[CUSTO]],3,FALSE),0)</f>
        <v>0</v>
      </c>
      <c r="K43" s="45">
        <f>I43*J43*CPU_39[[#This Row],[Nº]]</f>
        <v>0</v>
      </c>
      <c r="AD43" s="144" t="str">
        <f t="shared" si="3"/>
        <v>Iluminação de aproximação</v>
      </c>
      <c r="AE43" s="186"/>
      <c r="AF43" s="180">
        <f t="shared" si="35"/>
        <v>0</v>
      </c>
      <c r="AG43" s="180">
        <f t="shared" si="17"/>
        <v>0</v>
      </c>
      <c r="AH43" s="181">
        <f t="shared" si="36"/>
        <v>0</v>
      </c>
      <c r="AI43" s="187"/>
      <c r="AJ43" s="90"/>
      <c r="AK43" s="90"/>
      <c r="AL43" s="183">
        <f t="shared" si="37"/>
        <v>0</v>
      </c>
      <c r="AM43" s="187"/>
      <c r="AN43" s="90"/>
      <c r="AO43" s="90"/>
      <c r="AP43" s="183">
        <f t="shared" si="23"/>
        <v>0</v>
      </c>
      <c r="AQ43" s="187"/>
      <c r="AR43" s="90"/>
      <c r="AS43" s="90"/>
      <c r="AT43" s="183">
        <f t="shared" si="24"/>
        <v>0</v>
      </c>
      <c r="AU43" s="187"/>
      <c r="AV43" s="90"/>
      <c r="AW43" s="90"/>
      <c r="AX43" s="183">
        <f t="shared" si="25"/>
        <v>0</v>
      </c>
      <c r="AY43" s="187"/>
      <c r="AZ43" s="90"/>
      <c r="BA43" s="90"/>
      <c r="BB43" s="183">
        <f t="shared" si="26"/>
        <v>0</v>
      </c>
      <c r="BC43" s="187"/>
      <c r="BD43" s="90"/>
      <c r="BE43" s="90"/>
      <c r="BF43" s="183">
        <f t="shared" si="27"/>
        <v>0</v>
      </c>
      <c r="BG43" s="187"/>
      <c r="BH43" s="90"/>
      <c r="BI43" s="90"/>
      <c r="BJ43" s="183">
        <f t="shared" si="28"/>
        <v>0</v>
      </c>
      <c r="BK43" s="187"/>
      <c r="BL43" s="90"/>
      <c r="BM43" s="90"/>
      <c r="BN43" s="183">
        <f t="shared" si="29"/>
        <v>0</v>
      </c>
      <c r="BO43" s="187"/>
      <c r="BP43" s="90"/>
      <c r="BQ43" s="90"/>
      <c r="BR43" s="183">
        <f t="shared" si="30"/>
        <v>0</v>
      </c>
      <c r="BS43" s="187"/>
      <c r="BT43" s="90"/>
      <c r="BU43" s="90"/>
      <c r="BV43" s="183">
        <f t="shared" si="31"/>
        <v>0</v>
      </c>
      <c r="BW43" s="187"/>
      <c r="BX43" s="90"/>
      <c r="BY43" s="90"/>
      <c r="BZ43" s="183">
        <f t="shared" si="32"/>
        <v>0</v>
      </c>
      <c r="CA43" s="187"/>
      <c r="CB43" s="90"/>
      <c r="CC43" s="90"/>
      <c r="CD43" s="183">
        <f t="shared" si="33"/>
        <v>0</v>
      </c>
    </row>
    <row r="44" spans="2:82" x14ac:dyDescent="0.3">
      <c r="B44" s="54"/>
      <c r="C44" s="54" t="str">
        <f t="shared" si="0"/>
        <v>CPU_Iluminaçãodeaproxima</v>
      </c>
      <c r="D44" s="280">
        <f t="shared" si="1"/>
        <v>1</v>
      </c>
      <c r="E44" s="280">
        <f t="shared" si="2"/>
        <v>0</v>
      </c>
      <c r="F44" s="1"/>
      <c r="G44" s="28" t="str">
        <f>IFERROR(VLOOKUP(F44,Tabela7[[RECURSO]:[CUSTO]],2,FALSE),"")</f>
        <v/>
      </c>
      <c r="H44" s="92"/>
      <c r="I44" s="90"/>
      <c r="J44" s="45">
        <f>IFERROR(VLOOKUP(F44,Tabela7[[RECURSO]:[CUSTO]],3,FALSE),0)</f>
        <v>0</v>
      </c>
      <c r="K44" s="45">
        <f>I44*J44*CPU_39[[#This Row],[Nº]]</f>
        <v>0</v>
      </c>
      <c r="AD44" s="144" t="str">
        <f t="shared" si="3"/>
        <v>Iluminação de aproximação</v>
      </c>
      <c r="AE44" s="186"/>
      <c r="AF44" s="180">
        <f t="shared" si="35"/>
        <v>0</v>
      </c>
      <c r="AG44" s="180">
        <f t="shared" si="17"/>
        <v>0</v>
      </c>
      <c r="AH44" s="181">
        <f t="shared" si="36"/>
        <v>0</v>
      </c>
      <c r="AI44" s="187"/>
      <c r="AJ44" s="90"/>
      <c r="AK44" s="90"/>
      <c r="AL44" s="183">
        <f t="shared" si="37"/>
        <v>0</v>
      </c>
      <c r="AM44" s="187"/>
      <c r="AN44" s="90"/>
      <c r="AO44" s="90"/>
      <c r="AP44" s="183">
        <f t="shared" si="23"/>
        <v>0</v>
      </c>
      <c r="AQ44" s="187"/>
      <c r="AR44" s="90"/>
      <c r="AS44" s="90"/>
      <c r="AT44" s="183">
        <f t="shared" si="24"/>
        <v>0</v>
      </c>
      <c r="AU44" s="187"/>
      <c r="AV44" s="90"/>
      <c r="AW44" s="90"/>
      <c r="AX44" s="183">
        <f t="shared" si="25"/>
        <v>0</v>
      </c>
      <c r="AY44" s="187"/>
      <c r="AZ44" s="90"/>
      <c r="BA44" s="90"/>
      <c r="BB44" s="183">
        <f t="shared" si="26"/>
        <v>0</v>
      </c>
      <c r="BC44" s="187"/>
      <c r="BD44" s="90"/>
      <c r="BE44" s="90"/>
      <c r="BF44" s="183">
        <f t="shared" si="27"/>
        <v>0</v>
      </c>
      <c r="BG44" s="187"/>
      <c r="BH44" s="90"/>
      <c r="BI44" s="90"/>
      <c r="BJ44" s="183">
        <f t="shared" si="28"/>
        <v>0</v>
      </c>
      <c r="BK44" s="187"/>
      <c r="BL44" s="90"/>
      <c r="BM44" s="90"/>
      <c r="BN44" s="183">
        <f t="shared" si="29"/>
        <v>0</v>
      </c>
      <c r="BO44" s="187"/>
      <c r="BP44" s="90"/>
      <c r="BQ44" s="90"/>
      <c r="BR44" s="183">
        <f t="shared" si="30"/>
        <v>0</v>
      </c>
      <c r="BS44" s="187"/>
      <c r="BT44" s="90"/>
      <c r="BU44" s="90"/>
      <c r="BV44" s="183">
        <f t="shared" si="31"/>
        <v>0</v>
      </c>
      <c r="BW44" s="187"/>
      <c r="BX44" s="90"/>
      <c r="BY44" s="90"/>
      <c r="BZ44" s="183">
        <f t="shared" si="32"/>
        <v>0</v>
      </c>
      <c r="CA44" s="187"/>
      <c r="CB44" s="90"/>
      <c r="CC44" s="90"/>
      <c r="CD44" s="183">
        <f t="shared" si="33"/>
        <v>0</v>
      </c>
    </row>
    <row r="45" spans="2:82" x14ac:dyDescent="0.3">
      <c r="B45" s="53"/>
      <c r="C45" s="53" t="str">
        <f t="shared" si="0"/>
        <v>CPU_Iluminaçãodeaproxima</v>
      </c>
      <c r="D45" s="278">
        <f t="shared" si="1"/>
        <v>1</v>
      </c>
      <c r="E45" s="278">
        <f t="shared" si="2"/>
        <v>0</v>
      </c>
      <c r="F45" s="1"/>
      <c r="G45" s="28" t="str">
        <f>IFERROR(VLOOKUP(F45,Tabela7[[RECURSO]:[CUSTO]],2,FALSE),"")</f>
        <v/>
      </c>
      <c r="H45" s="92"/>
      <c r="I45" s="90"/>
      <c r="J45" s="45">
        <f>IFERROR(VLOOKUP(F45,Tabela7[[RECURSO]:[CUSTO]],3,FALSE),0)</f>
        <v>0</v>
      </c>
      <c r="K45" s="45">
        <f>I45*J45*CPU_39[[#This Row],[Nº]]</f>
        <v>0</v>
      </c>
      <c r="AD45" s="144" t="str">
        <f t="shared" si="3"/>
        <v>Iluminação de aproximação</v>
      </c>
      <c r="AE45" s="188"/>
      <c r="AF45" s="180">
        <f t="shared" si="35"/>
        <v>0</v>
      </c>
      <c r="AG45" s="180">
        <f t="shared" si="17"/>
        <v>0</v>
      </c>
      <c r="AH45" s="181">
        <f t="shared" si="36"/>
        <v>0</v>
      </c>
      <c r="AI45" s="189"/>
      <c r="AJ45" s="90"/>
      <c r="AK45" s="90"/>
      <c r="AL45" s="183">
        <f t="shared" si="37"/>
        <v>0</v>
      </c>
      <c r="AM45" s="189"/>
      <c r="AN45" s="90"/>
      <c r="AO45" s="90"/>
      <c r="AP45" s="183">
        <f t="shared" si="23"/>
        <v>0</v>
      </c>
      <c r="AQ45" s="189"/>
      <c r="AR45" s="90"/>
      <c r="AS45" s="90"/>
      <c r="AT45" s="183">
        <f t="shared" si="24"/>
        <v>0</v>
      </c>
      <c r="AU45" s="189"/>
      <c r="AV45" s="90"/>
      <c r="AW45" s="90"/>
      <c r="AX45" s="183">
        <f t="shared" si="25"/>
        <v>0</v>
      </c>
      <c r="AY45" s="189"/>
      <c r="AZ45" s="90"/>
      <c r="BA45" s="90"/>
      <c r="BB45" s="183">
        <f t="shared" si="26"/>
        <v>0</v>
      </c>
      <c r="BC45" s="189"/>
      <c r="BD45" s="90"/>
      <c r="BE45" s="90"/>
      <c r="BF45" s="183">
        <f t="shared" si="27"/>
        <v>0</v>
      </c>
      <c r="BG45" s="189"/>
      <c r="BH45" s="90"/>
      <c r="BI45" s="90"/>
      <c r="BJ45" s="183">
        <f t="shared" si="28"/>
        <v>0</v>
      </c>
      <c r="BK45" s="189"/>
      <c r="BL45" s="90"/>
      <c r="BM45" s="90"/>
      <c r="BN45" s="183">
        <f t="shared" si="29"/>
        <v>0</v>
      </c>
      <c r="BO45" s="189"/>
      <c r="BP45" s="90"/>
      <c r="BQ45" s="90"/>
      <c r="BR45" s="183">
        <f t="shared" si="30"/>
        <v>0</v>
      </c>
      <c r="BS45" s="189"/>
      <c r="BT45" s="90"/>
      <c r="BU45" s="90"/>
      <c r="BV45" s="183">
        <f t="shared" si="31"/>
        <v>0</v>
      </c>
      <c r="BW45" s="189"/>
      <c r="BX45" s="90"/>
      <c r="BY45" s="90"/>
      <c r="BZ45" s="183">
        <f t="shared" si="32"/>
        <v>0</v>
      </c>
      <c r="CA45" s="189"/>
      <c r="CB45" s="90"/>
      <c r="CC45" s="90"/>
      <c r="CD45" s="183">
        <f t="shared" si="33"/>
        <v>0</v>
      </c>
    </row>
    <row r="46" spans="2:82" x14ac:dyDescent="0.3">
      <c r="B46" s="53"/>
      <c r="C46" s="53" t="str">
        <f t="shared" si="0"/>
        <v>CPU_Iluminaçãodeaproxima</v>
      </c>
      <c r="D46" s="278">
        <f t="shared" si="1"/>
        <v>1</v>
      </c>
      <c r="E46" s="278">
        <f t="shared" si="2"/>
        <v>0</v>
      </c>
      <c r="F46" s="1"/>
      <c r="G46" s="28" t="str">
        <f>IFERROR(VLOOKUP(F46,Tabela7[[RECURSO]:[CUSTO]],2,FALSE),"")</f>
        <v/>
      </c>
      <c r="H46" s="92"/>
      <c r="I46" s="90"/>
      <c r="J46" s="45">
        <f>IFERROR(VLOOKUP(F46,Tabela7[[RECURSO]:[CUSTO]],3,FALSE),0)</f>
        <v>0</v>
      </c>
      <c r="K46" s="45">
        <f>I46*J46*CPU_39[[#This Row],[Nº]]</f>
        <v>0</v>
      </c>
      <c r="AD46" s="144" t="str">
        <f t="shared" si="3"/>
        <v>Iluminação de aproximação</v>
      </c>
      <c r="AE46" s="188"/>
      <c r="AF46" s="180">
        <f t="shared" si="35"/>
        <v>0</v>
      </c>
      <c r="AG46" s="180">
        <f t="shared" si="17"/>
        <v>0</v>
      </c>
      <c r="AH46" s="181">
        <f t="shared" si="36"/>
        <v>0</v>
      </c>
      <c r="AI46" s="189"/>
      <c r="AJ46" s="90"/>
      <c r="AK46" s="90"/>
      <c r="AL46" s="183">
        <f t="shared" si="37"/>
        <v>0</v>
      </c>
      <c r="AM46" s="189"/>
      <c r="AN46" s="90"/>
      <c r="AO46" s="90"/>
      <c r="AP46" s="183">
        <f t="shared" si="23"/>
        <v>0</v>
      </c>
      <c r="AQ46" s="189"/>
      <c r="AR46" s="90"/>
      <c r="AS46" s="90"/>
      <c r="AT46" s="183">
        <f t="shared" si="24"/>
        <v>0</v>
      </c>
      <c r="AU46" s="189"/>
      <c r="AV46" s="90"/>
      <c r="AW46" s="90"/>
      <c r="AX46" s="183">
        <f t="shared" si="25"/>
        <v>0</v>
      </c>
      <c r="AY46" s="189"/>
      <c r="AZ46" s="90"/>
      <c r="BA46" s="90"/>
      <c r="BB46" s="183">
        <f t="shared" si="26"/>
        <v>0</v>
      </c>
      <c r="BC46" s="189"/>
      <c r="BD46" s="90"/>
      <c r="BE46" s="90"/>
      <c r="BF46" s="183">
        <f t="shared" si="27"/>
        <v>0</v>
      </c>
      <c r="BG46" s="189"/>
      <c r="BH46" s="90"/>
      <c r="BI46" s="90"/>
      <c r="BJ46" s="183">
        <f t="shared" si="28"/>
        <v>0</v>
      </c>
      <c r="BK46" s="189"/>
      <c r="BL46" s="90"/>
      <c r="BM46" s="90"/>
      <c r="BN46" s="183">
        <f t="shared" si="29"/>
        <v>0</v>
      </c>
      <c r="BO46" s="189"/>
      <c r="BP46" s="90"/>
      <c r="BQ46" s="90"/>
      <c r="BR46" s="183">
        <f t="shared" si="30"/>
        <v>0</v>
      </c>
      <c r="BS46" s="189"/>
      <c r="BT46" s="90"/>
      <c r="BU46" s="90"/>
      <c r="BV46" s="183">
        <f t="shared" si="31"/>
        <v>0</v>
      </c>
      <c r="BW46" s="189"/>
      <c r="BX46" s="90"/>
      <c r="BY46" s="90"/>
      <c r="BZ46" s="183">
        <f t="shared" si="32"/>
        <v>0</v>
      </c>
      <c r="CA46" s="189"/>
      <c r="CB46" s="90"/>
      <c r="CC46" s="90"/>
      <c r="CD46" s="183">
        <f t="shared" si="33"/>
        <v>0</v>
      </c>
    </row>
    <row r="47" spans="2:82" x14ac:dyDescent="0.3">
      <c r="B47" s="53"/>
      <c r="C47" s="53" t="str">
        <f t="shared" si="0"/>
        <v>CPU_Iluminaçãodeaproxima</v>
      </c>
      <c r="D47" s="278">
        <f t="shared" si="1"/>
        <v>1</v>
      </c>
      <c r="E47" s="278">
        <f t="shared" si="2"/>
        <v>0</v>
      </c>
      <c r="F47" s="1"/>
      <c r="G47" s="28" t="str">
        <f>IFERROR(VLOOKUP(F47,Tabela7[[RECURSO]:[CUSTO]],2,FALSE),"")</f>
        <v/>
      </c>
      <c r="H47" s="92"/>
      <c r="I47" s="90"/>
      <c r="J47" s="45">
        <f>IFERROR(VLOOKUP(F47,Tabela7[[RECURSO]:[CUSTO]],3,FALSE),0)</f>
        <v>0</v>
      </c>
      <c r="K47" s="45">
        <f>I47*J47*CPU_39[[#This Row],[Nº]]</f>
        <v>0</v>
      </c>
      <c r="AD47" s="144" t="str">
        <f t="shared" si="3"/>
        <v>Iluminação de aproximação</v>
      </c>
      <c r="AE47" s="188"/>
      <c r="AF47" s="180">
        <f t="shared" si="35"/>
        <v>0</v>
      </c>
      <c r="AG47" s="180">
        <f t="shared" si="17"/>
        <v>0</v>
      </c>
      <c r="AH47" s="181">
        <f t="shared" si="36"/>
        <v>0</v>
      </c>
      <c r="AI47" s="189"/>
      <c r="AJ47" s="90"/>
      <c r="AK47" s="90"/>
      <c r="AL47" s="183">
        <f t="shared" si="37"/>
        <v>0</v>
      </c>
      <c r="AM47" s="189"/>
      <c r="AN47" s="90"/>
      <c r="AO47" s="90"/>
      <c r="AP47" s="183">
        <f t="shared" si="23"/>
        <v>0</v>
      </c>
      <c r="AQ47" s="189"/>
      <c r="AR47" s="90"/>
      <c r="AS47" s="90"/>
      <c r="AT47" s="183">
        <f t="shared" si="24"/>
        <v>0</v>
      </c>
      <c r="AU47" s="189"/>
      <c r="AV47" s="90"/>
      <c r="AW47" s="90"/>
      <c r="AX47" s="183">
        <f t="shared" si="25"/>
        <v>0</v>
      </c>
      <c r="AY47" s="189"/>
      <c r="AZ47" s="90"/>
      <c r="BA47" s="90"/>
      <c r="BB47" s="183">
        <f t="shared" si="26"/>
        <v>0</v>
      </c>
      <c r="BC47" s="189"/>
      <c r="BD47" s="90"/>
      <c r="BE47" s="90"/>
      <c r="BF47" s="183">
        <f t="shared" si="27"/>
        <v>0</v>
      </c>
      <c r="BG47" s="189"/>
      <c r="BH47" s="90"/>
      <c r="BI47" s="90"/>
      <c r="BJ47" s="183">
        <f t="shared" si="28"/>
        <v>0</v>
      </c>
      <c r="BK47" s="189"/>
      <c r="BL47" s="90"/>
      <c r="BM47" s="90"/>
      <c r="BN47" s="183">
        <f t="shared" si="29"/>
        <v>0</v>
      </c>
      <c r="BO47" s="189"/>
      <c r="BP47" s="90"/>
      <c r="BQ47" s="90"/>
      <c r="BR47" s="183">
        <f t="shared" si="30"/>
        <v>0</v>
      </c>
      <c r="BS47" s="189"/>
      <c r="BT47" s="90"/>
      <c r="BU47" s="90"/>
      <c r="BV47" s="183">
        <f t="shared" si="31"/>
        <v>0</v>
      </c>
      <c r="BW47" s="189"/>
      <c r="BX47" s="90"/>
      <c r="BY47" s="90"/>
      <c r="BZ47" s="183">
        <f t="shared" si="32"/>
        <v>0</v>
      </c>
      <c r="CA47" s="189"/>
      <c r="CB47" s="90"/>
      <c r="CC47" s="90"/>
      <c r="CD47" s="183">
        <f t="shared" si="33"/>
        <v>0</v>
      </c>
    </row>
    <row r="48" spans="2:82" x14ac:dyDescent="0.3">
      <c r="B48" s="53"/>
      <c r="C48" s="53" t="str">
        <f t="shared" si="0"/>
        <v>CPU_Iluminaçãodeaproxima</v>
      </c>
      <c r="D48" s="278">
        <f t="shared" si="1"/>
        <v>1</v>
      </c>
      <c r="E48" s="278">
        <f t="shared" si="2"/>
        <v>0</v>
      </c>
      <c r="F48" s="1"/>
      <c r="G48" s="28" t="str">
        <f>IFERROR(VLOOKUP(F48,Tabela7[[RECURSO]:[CUSTO]],2,FALSE),"")</f>
        <v/>
      </c>
      <c r="H48" s="92"/>
      <c r="I48" s="90"/>
      <c r="J48" s="45">
        <f>IFERROR(VLOOKUP(F48,Tabela7[[RECURSO]:[CUSTO]],3,FALSE),0)</f>
        <v>0</v>
      </c>
      <c r="K48" s="45">
        <f>I48*J48*CPU_39[[#This Row],[Nº]]</f>
        <v>0</v>
      </c>
      <c r="AD48" s="144" t="str">
        <f t="shared" si="3"/>
        <v>Iluminação de aproximação</v>
      </c>
      <c r="AE48" s="188"/>
      <c r="AF48" s="180">
        <f t="shared" si="35"/>
        <v>0</v>
      </c>
      <c r="AG48" s="180">
        <f t="shared" si="17"/>
        <v>0</v>
      </c>
      <c r="AH48" s="181">
        <f t="shared" si="36"/>
        <v>0</v>
      </c>
      <c r="AI48" s="189"/>
      <c r="AJ48" s="90"/>
      <c r="AK48" s="90"/>
      <c r="AL48" s="183">
        <f t="shared" si="37"/>
        <v>0</v>
      </c>
      <c r="AM48" s="189"/>
      <c r="AN48" s="90"/>
      <c r="AO48" s="90"/>
      <c r="AP48" s="183">
        <f t="shared" si="23"/>
        <v>0</v>
      </c>
      <c r="AQ48" s="189"/>
      <c r="AR48" s="90"/>
      <c r="AS48" s="90"/>
      <c r="AT48" s="183">
        <f t="shared" si="24"/>
        <v>0</v>
      </c>
      <c r="AU48" s="189"/>
      <c r="AV48" s="90"/>
      <c r="AW48" s="90"/>
      <c r="AX48" s="183">
        <f t="shared" si="25"/>
        <v>0</v>
      </c>
      <c r="AY48" s="189"/>
      <c r="AZ48" s="90"/>
      <c r="BA48" s="90"/>
      <c r="BB48" s="183">
        <f t="shared" si="26"/>
        <v>0</v>
      </c>
      <c r="BC48" s="189"/>
      <c r="BD48" s="90"/>
      <c r="BE48" s="90"/>
      <c r="BF48" s="183">
        <f t="shared" si="27"/>
        <v>0</v>
      </c>
      <c r="BG48" s="189"/>
      <c r="BH48" s="90"/>
      <c r="BI48" s="90"/>
      <c r="BJ48" s="183">
        <f t="shared" si="28"/>
        <v>0</v>
      </c>
      <c r="BK48" s="189"/>
      <c r="BL48" s="90"/>
      <c r="BM48" s="90"/>
      <c r="BN48" s="183">
        <f t="shared" si="29"/>
        <v>0</v>
      </c>
      <c r="BO48" s="189"/>
      <c r="BP48" s="90"/>
      <c r="BQ48" s="90"/>
      <c r="BR48" s="183">
        <f t="shared" si="30"/>
        <v>0</v>
      </c>
      <c r="BS48" s="189"/>
      <c r="BT48" s="90"/>
      <c r="BU48" s="90"/>
      <c r="BV48" s="183">
        <f t="shared" si="31"/>
        <v>0</v>
      </c>
      <c r="BW48" s="189"/>
      <c r="BX48" s="90"/>
      <c r="BY48" s="90"/>
      <c r="BZ48" s="183">
        <f t="shared" si="32"/>
        <v>0</v>
      </c>
      <c r="CA48" s="189"/>
      <c r="CB48" s="90"/>
      <c r="CC48" s="90"/>
      <c r="CD48" s="183">
        <f t="shared" si="33"/>
        <v>0</v>
      </c>
    </row>
    <row r="49" spans="2:82" ht="15" thickBot="1" x14ac:dyDescent="0.35">
      <c r="B49" s="53"/>
      <c r="C49" s="53" t="str">
        <f t="shared" si="0"/>
        <v>CPU_Iluminaçãodeaproxima</v>
      </c>
      <c r="D49" s="278">
        <f t="shared" si="1"/>
        <v>1</v>
      </c>
      <c r="E49" s="278">
        <f t="shared" si="2"/>
        <v>0</v>
      </c>
      <c r="F49" s="1"/>
      <c r="G49" s="28" t="str">
        <f>IFERROR(VLOOKUP(F49,Tabela7[[RECURSO]:[CUSTO]],2,FALSE),"")</f>
        <v/>
      </c>
      <c r="H49" s="92"/>
      <c r="I49" s="90"/>
      <c r="J49" s="45">
        <f>IFERROR(VLOOKUP(F49,Tabela7[[RECURSO]:[CUSTO]],3,FALSE),0)</f>
        <v>0</v>
      </c>
      <c r="K49" s="45">
        <f>I49*J49*CPU_39[[#This Row],[Nº]]</f>
        <v>0</v>
      </c>
      <c r="M49" s="83" t="s">
        <v>701</v>
      </c>
      <c r="N49" s="87" t="s">
        <v>702</v>
      </c>
      <c r="AD49" s="144" t="str">
        <f t="shared" si="3"/>
        <v>Iluminação de aproximação</v>
      </c>
      <c r="AE49" s="188"/>
      <c r="AF49" s="180">
        <f t="shared" si="35"/>
        <v>0</v>
      </c>
      <c r="AG49" s="180">
        <f t="shared" si="17"/>
        <v>0</v>
      </c>
      <c r="AH49" s="181">
        <f t="shared" si="36"/>
        <v>0</v>
      </c>
      <c r="AI49" s="189"/>
      <c r="AJ49" s="90"/>
      <c r="AK49" s="90"/>
      <c r="AL49" s="183">
        <f t="shared" si="37"/>
        <v>0</v>
      </c>
      <c r="AM49" s="189"/>
      <c r="AN49" s="90"/>
      <c r="AO49" s="90"/>
      <c r="AP49" s="183">
        <f t="shared" si="23"/>
        <v>0</v>
      </c>
      <c r="AQ49" s="189"/>
      <c r="AR49" s="90"/>
      <c r="AS49" s="90"/>
      <c r="AT49" s="183">
        <f t="shared" si="24"/>
        <v>0</v>
      </c>
      <c r="AU49" s="189"/>
      <c r="AV49" s="90"/>
      <c r="AW49" s="90"/>
      <c r="AX49" s="183">
        <f t="shared" si="25"/>
        <v>0</v>
      </c>
      <c r="AY49" s="189"/>
      <c r="AZ49" s="90"/>
      <c r="BA49" s="90"/>
      <c r="BB49" s="183">
        <f t="shared" si="26"/>
        <v>0</v>
      </c>
      <c r="BC49" s="189"/>
      <c r="BD49" s="90"/>
      <c r="BE49" s="90"/>
      <c r="BF49" s="183">
        <f t="shared" si="27"/>
        <v>0</v>
      </c>
      <c r="BG49" s="189"/>
      <c r="BH49" s="90"/>
      <c r="BI49" s="90"/>
      <c r="BJ49" s="183">
        <f t="shared" si="28"/>
        <v>0</v>
      </c>
      <c r="BK49" s="189"/>
      <c r="BL49" s="90"/>
      <c r="BM49" s="90"/>
      <c r="BN49" s="183">
        <f t="shared" si="29"/>
        <v>0</v>
      </c>
      <c r="BO49" s="189"/>
      <c r="BP49" s="90"/>
      <c r="BQ49" s="90"/>
      <c r="BR49" s="183">
        <f t="shared" si="30"/>
        <v>0</v>
      </c>
      <c r="BS49" s="189"/>
      <c r="BT49" s="90"/>
      <c r="BU49" s="90"/>
      <c r="BV49" s="183">
        <f t="shared" si="31"/>
        <v>0</v>
      </c>
      <c r="BW49" s="189"/>
      <c r="BX49" s="90"/>
      <c r="BY49" s="90"/>
      <c r="BZ49" s="183">
        <f t="shared" si="32"/>
        <v>0</v>
      </c>
      <c r="CA49" s="189"/>
      <c r="CB49" s="90"/>
      <c r="CC49" s="90"/>
      <c r="CD49" s="183">
        <f t="shared" si="33"/>
        <v>0</v>
      </c>
    </row>
    <row r="50" spans="2:82" x14ac:dyDescent="0.3">
      <c r="B50" s="52" t="s">
        <v>693</v>
      </c>
      <c r="C50" s="52" t="str">
        <f t="shared" si="0"/>
        <v>CPU_Iluminaçãodeaproxima</v>
      </c>
      <c r="D50" s="277">
        <f t="shared" si="1"/>
        <v>1</v>
      </c>
      <c r="E50" s="277">
        <f t="shared" si="2"/>
        <v>0</v>
      </c>
      <c r="F50" s="37"/>
      <c r="G50" s="38"/>
      <c r="H50" s="38"/>
      <c r="I50" s="37"/>
      <c r="J50" s="40">
        <f>IFERROR(K50/$B$6,0)</f>
        <v>155555.55555555556</v>
      </c>
      <c r="K50" s="40">
        <f>SUM(K51:K62)</f>
        <v>155555.55555555556</v>
      </c>
      <c r="M50" s="84" t="str">
        <f>"Consumo por "&amp;J3</f>
        <v>Consumo por UNID</v>
      </c>
      <c r="N50" s="89"/>
      <c r="AD50" s="144" t="str">
        <f t="shared" si="3"/>
        <v>Iluminação de aproximação</v>
      </c>
      <c r="AE50" s="190"/>
      <c r="AF50" s="191"/>
      <c r="AG50" s="40">
        <f>IFERROR(AH50/AF$3,0)</f>
        <v>0</v>
      </c>
      <c r="AH50" s="185">
        <f>SUM(AH51:AH62)</f>
        <v>0</v>
      </c>
      <c r="AI50" s="190"/>
      <c r="AJ50" s="37"/>
      <c r="AK50" s="40">
        <f>IFERROR(AL50/AJ$3,0)</f>
        <v>0</v>
      </c>
      <c r="AL50" s="185">
        <f>SUM(AL51:AL62)</f>
        <v>0</v>
      </c>
      <c r="AM50" s="190"/>
      <c r="AN50" s="37"/>
      <c r="AO50" s="40">
        <f>IFERROR(AP50/AN$3,0)</f>
        <v>0</v>
      </c>
      <c r="AP50" s="185">
        <f>SUM(AP51:AP62)</f>
        <v>0</v>
      </c>
      <c r="AQ50" s="190"/>
      <c r="AR50" s="37"/>
      <c r="AS50" s="40">
        <f>IFERROR(AT50/AR$3,0)</f>
        <v>0</v>
      </c>
      <c r="AT50" s="185">
        <f>SUM(AT51:AT62)</f>
        <v>0</v>
      </c>
      <c r="AU50" s="190"/>
      <c r="AV50" s="37"/>
      <c r="AW50" s="40">
        <f>IFERROR(AX50/AV$3,0)</f>
        <v>0</v>
      </c>
      <c r="AX50" s="185">
        <f>SUM(AX51:AX62)</f>
        <v>0</v>
      </c>
      <c r="AY50" s="190"/>
      <c r="AZ50" s="37"/>
      <c r="BA50" s="40">
        <f>IFERROR(BB50/AZ$3,0)</f>
        <v>0</v>
      </c>
      <c r="BB50" s="185">
        <f>SUM(BB51:BB62)</f>
        <v>0</v>
      </c>
      <c r="BC50" s="190"/>
      <c r="BD50" s="37"/>
      <c r="BE50" s="40">
        <f>IFERROR(BF50/BD$3,0)</f>
        <v>0</v>
      </c>
      <c r="BF50" s="185">
        <f>SUM(BF51:BF62)</f>
        <v>0</v>
      </c>
      <c r="BG50" s="190"/>
      <c r="BH50" s="37"/>
      <c r="BI50" s="40">
        <f>IFERROR(BJ50/BH$3,0)</f>
        <v>0</v>
      </c>
      <c r="BJ50" s="185">
        <f>SUM(BJ51:BJ62)</f>
        <v>0</v>
      </c>
      <c r="BK50" s="190"/>
      <c r="BL50" s="37"/>
      <c r="BM50" s="40">
        <f>IFERROR(BN50/BL$3,0)</f>
        <v>0</v>
      </c>
      <c r="BN50" s="185">
        <f>SUM(BN51:BN62)</f>
        <v>0</v>
      </c>
      <c r="BO50" s="190"/>
      <c r="BP50" s="37"/>
      <c r="BQ50" s="40">
        <f>IFERROR(BR50/BP$3,0)</f>
        <v>0</v>
      </c>
      <c r="BR50" s="185">
        <f>SUM(BR51:BR62)</f>
        <v>0</v>
      </c>
      <c r="BS50" s="190"/>
      <c r="BT50" s="37"/>
      <c r="BU50" s="40">
        <f>IFERROR(BV50/BT$3,0)</f>
        <v>0</v>
      </c>
      <c r="BV50" s="185">
        <f>SUM(BV51:BV62)</f>
        <v>0</v>
      </c>
      <c r="BW50" s="190"/>
      <c r="BX50" s="37"/>
      <c r="BY50" s="40">
        <f>IFERROR(BZ50/BX$3,0)</f>
        <v>0</v>
      </c>
      <c r="BZ50" s="185">
        <f>SUM(BZ51:BZ62)</f>
        <v>0</v>
      </c>
      <c r="CA50" s="190"/>
      <c r="CB50" s="37"/>
      <c r="CC50" s="40">
        <f>IFERROR(CD50/CB$3,0)</f>
        <v>0</v>
      </c>
      <c r="CD50" s="185">
        <f>SUM(CD51:CD62)</f>
        <v>0</v>
      </c>
    </row>
    <row r="51" spans="2:82" x14ac:dyDescent="0.3">
      <c r="B51" s="53"/>
      <c r="C51" s="53" t="str">
        <f t="shared" si="0"/>
        <v>CPU_Iluminaçãodeaproxima</v>
      </c>
      <c r="D51" s="278">
        <f t="shared" si="1"/>
        <v>1</v>
      </c>
      <c r="E51" s="278">
        <f t="shared" si="2"/>
        <v>0</v>
      </c>
      <c r="F51" s="1" t="s">
        <v>808</v>
      </c>
      <c r="G51" s="28" t="str">
        <f>IFERROR(VLOOKUP(F51,Tabela7[[RECURSO]:[CUSTO]],2,FALSE),"")</f>
        <v>VB</v>
      </c>
      <c r="I51" s="90">
        <f>IFERROR(M51*$B$6,0)</f>
        <v>155555.55555555556</v>
      </c>
      <c r="J51" s="45">
        <f>IFERROR(VLOOKUP(F51,Tabela7[[RECURSO]:[CUSTO]],3,FALSE),0)</f>
        <v>1</v>
      </c>
      <c r="K51" s="45">
        <f>I51*J51</f>
        <v>155555.55555555556</v>
      </c>
      <c r="M51" s="85">
        <f>1400000/9</f>
        <v>155555.55555555556</v>
      </c>
      <c r="N51" s="88"/>
      <c r="AD51" s="144" t="str">
        <f t="shared" si="3"/>
        <v>Iluminação de aproximação</v>
      </c>
      <c r="AE51" s="192"/>
      <c r="AF51" s="180">
        <f t="shared" ref="AF51:AF62" si="38">AJ51+AN51+AR51+AV51+AZ51+BD51+BH51+BL51+BP51+BT51+BX51+CB51</f>
        <v>0</v>
      </c>
      <c r="AG51" s="180">
        <f t="shared" si="17"/>
        <v>0</v>
      </c>
      <c r="AH51" s="181">
        <f t="shared" ref="AH51:AH62" si="39">AL51+AP51+AT51+AX51+BB51+BF51+BJ51+BN51+BR51+BV51+BZ51+CD51</f>
        <v>0</v>
      </c>
      <c r="AI51" s="193"/>
      <c r="AJ51" s="90"/>
      <c r="AK51" s="90"/>
      <c r="AL51" s="183">
        <f t="shared" ref="AL51:AL62" si="40">AJ51*AK51</f>
        <v>0</v>
      </c>
      <c r="AM51" s="193"/>
      <c r="AN51" s="90"/>
      <c r="AO51" s="90"/>
      <c r="AP51" s="183">
        <f t="shared" si="23"/>
        <v>0</v>
      </c>
      <c r="AQ51" s="193"/>
      <c r="AR51" s="90"/>
      <c r="AS51" s="90"/>
      <c r="AT51" s="183">
        <f t="shared" si="24"/>
        <v>0</v>
      </c>
      <c r="AU51" s="193"/>
      <c r="AV51" s="90"/>
      <c r="AW51" s="90"/>
      <c r="AX51" s="183">
        <f t="shared" si="25"/>
        <v>0</v>
      </c>
      <c r="AY51" s="193"/>
      <c r="AZ51" s="90"/>
      <c r="BA51" s="90"/>
      <c r="BB51" s="183">
        <f t="shared" si="26"/>
        <v>0</v>
      </c>
      <c r="BC51" s="193"/>
      <c r="BD51" s="90"/>
      <c r="BE51" s="90"/>
      <c r="BF51" s="183">
        <f t="shared" si="27"/>
        <v>0</v>
      </c>
      <c r="BG51" s="193"/>
      <c r="BH51" s="90"/>
      <c r="BI51" s="90"/>
      <c r="BJ51" s="183">
        <f t="shared" si="28"/>
        <v>0</v>
      </c>
      <c r="BK51" s="193"/>
      <c r="BL51" s="90"/>
      <c r="BM51" s="90"/>
      <c r="BN51" s="183">
        <f t="shared" si="29"/>
        <v>0</v>
      </c>
      <c r="BO51" s="193"/>
      <c r="BP51" s="90"/>
      <c r="BQ51" s="90"/>
      <c r="BR51" s="183">
        <f t="shared" si="30"/>
        <v>0</v>
      </c>
      <c r="BS51" s="193"/>
      <c r="BT51" s="90"/>
      <c r="BU51" s="90"/>
      <c r="BV51" s="183">
        <f t="shared" si="31"/>
        <v>0</v>
      </c>
      <c r="BW51" s="193"/>
      <c r="BX51" s="90"/>
      <c r="BY51" s="90"/>
      <c r="BZ51" s="183">
        <f t="shared" si="32"/>
        <v>0</v>
      </c>
      <c r="CA51" s="193"/>
      <c r="CB51" s="90"/>
      <c r="CC51" s="90"/>
      <c r="CD51" s="183">
        <f t="shared" si="33"/>
        <v>0</v>
      </c>
    </row>
    <row r="52" spans="2:82" x14ac:dyDescent="0.3">
      <c r="B52" s="53"/>
      <c r="C52" s="53" t="str">
        <f t="shared" si="0"/>
        <v>CPU_Iluminaçãodeaproxima</v>
      </c>
      <c r="D52" s="278">
        <f t="shared" si="1"/>
        <v>1</v>
      </c>
      <c r="E52" s="278">
        <f t="shared" si="2"/>
        <v>0</v>
      </c>
      <c r="F52" s="1"/>
      <c r="G52" s="28" t="str">
        <f>IFERROR(VLOOKUP(F52,Tabela7[[RECURSO]:[CUSTO]],2,FALSE),"")</f>
        <v/>
      </c>
      <c r="I52" s="90">
        <f t="shared" ref="I52:I62" si="41">IFERROR(M52*$B$6,0)</f>
        <v>0</v>
      </c>
      <c r="J52" s="45">
        <f>IFERROR(VLOOKUP(F52,Tabela7[[RECURSO]:[CUSTO]],3,FALSE),0)</f>
        <v>0</v>
      </c>
      <c r="K52" s="45">
        <f t="shared" ref="K52:K62" si="42">I52*J52</f>
        <v>0</v>
      </c>
      <c r="M52" s="85"/>
      <c r="N52" s="88"/>
      <c r="AD52" s="144" t="str">
        <f t="shared" si="3"/>
        <v>Iluminação de aproximação</v>
      </c>
      <c r="AE52" s="192"/>
      <c r="AF52" s="180">
        <f t="shared" si="38"/>
        <v>0</v>
      </c>
      <c r="AG52" s="180">
        <f t="shared" si="17"/>
        <v>0</v>
      </c>
      <c r="AH52" s="181">
        <f t="shared" si="39"/>
        <v>0</v>
      </c>
      <c r="AI52" s="193"/>
      <c r="AJ52" s="90"/>
      <c r="AK52" s="90"/>
      <c r="AL52" s="183">
        <f t="shared" si="40"/>
        <v>0</v>
      </c>
      <c r="AM52" s="193"/>
      <c r="AN52" s="90"/>
      <c r="AO52" s="90"/>
      <c r="AP52" s="183">
        <f t="shared" si="23"/>
        <v>0</v>
      </c>
      <c r="AQ52" s="193"/>
      <c r="AR52" s="90"/>
      <c r="AS52" s="90"/>
      <c r="AT52" s="183">
        <f t="shared" si="24"/>
        <v>0</v>
      </c>
      <c r="AU52" s="193"/>
      <c r="AV52" s="90"/>
      <c r="AW52" s="90"/>
      <c r="AX52" s="183">
        <f t="shared" si="25"/>
        <v>0</v>
      </c>
      <c r="AY52" s="193"/>
      <c r="AZ52" s="90"/>
      <c r="BA52" s="90"/>
      <c r="BB52" s="183">
        <f t="shared" si="26"/>
        <v>0</v>
      </c>
      <c r="BC52" s="193"/>
      <c r="BD52" s="90"/>
      <c r="BE52" s="90"/>
      <c r="BF52" s="183">
        <f t="shared" si="27"/>
        <v>0</v>
      </c>
      <c r="BG52" s="193"/>
      <c r="BH52" s="90"/>
      <c r="BI52" s="90"/>
      <c r="BJ52" s="183">
        <f t="shared" si="28"/>
        <v>0</v>
      </c>
      <c r="BK52" s="193"/>
      <c r="BL52" s="90"/>
      <c r="BM52" s="90"/>
      <c r="BN52" s="183">
        <f t="shared" si="29"/>
        <v>0</v>
      </c>
      <c r="BO52" s="193"/>
      <c r="BP52" s="90"/>
      <c r="BQ52" s="90"/>
      <c r="BR52" s="183">
        <f t="shared" si="30"/>
        <v>0</v>
      </c>
      <c r="BS52" s="193"/>
      <c r="BT52" s="90"/>
      <c r="BU52" s="90"/>
      <c r="BV52" s="183">
        <f t="shared" si="31"/>
        <v>0</v>
      </c>
      <c r="BW52" s="193"/>
      <c r="BX52" s="90"/>
      <c r="BY52" s="90"/>
      <c r="BZ52" s="183">
        <f t="shared" si="32"/>
        <v>0</v>
      </c>
      <c r="CA52" s="193"/>
      <c r="CB52" s="90"/>
      <c r="CC52" s="90"/>
      <c r="CD52" s="183">
        <f t="shared" si="33"/>
        <v>0</v>
      </c>
    </row>
    <row r="53" spans="2:82" x14ac:dyDescent="0.3">
      <c r="B53" s="53"/>
      <c r="C53" s="53" t="str">
        <f t="shared" si="0"/>
        <v>CPU_Iluminaçãodeaproxima</v>
      </c>
      <c r="D53" s="278">
        <f t="shared" si="1"/>
        <v>1</v>
      </c>
      <c r="E53" s="278">
        <f t="shared" si="2"/>
        <v>0</v>
      </c>
      <c r="F53" s="1"/>
      <c r="G53" s="28" t="str">
        <f>IFERROR(VLOOKUP(F53,Tabela7[[RECURSO]:[CUSTO]],2,FALSE),"")</f>
        <v/>
      </c>
      <c r="I53" s="90">
        <f t="shared" si="41"/>
        <v>0</v>
      </c>
      <c r="J53" s="45">
        <f>IFERROR(VLOOKUP(F53,Tabela7[[RECURSO]:[CUSTO]],3,FALSE),0)</f>
        <v>0</v>
      </c>
      <c r="K53" s="45">
        <f t="shared" si="42"/>
        <v>0</v>
      </c>
      <c r="M53" s="85"/>
      <c r="N53" s="88"/>
      <c r="AD53" s="144" t="str">
        <f t="shared" si="3"/>
        <v>Iluminação de aproximação</v>
      </c>
      <c r="AE53" s="192"/>
      <c r="AF53" s="180">
        <f t="shared" si="38"/>
        <v>0</v>
      </c>
      <c r="AG53" s="180">
        <f t="shared" si="17"/>
        <v>0</v>
      </c>
      <c r="AH53" s="181">
        <f t="shared" si="39"/>
        <v>0</v>
      </c>
      <c r="AI53" s="193"/>
      <c r="AJ53" s="90"/>
      <c r="AK53" s="90"/>
      <c r="AL53" s="183">
        <f t="shared" si="40"/>
        <v>0</v>
      </c>
      <c r="AM53" s="193"/>
      <c r="AN53" s="90"/>
      <c r="AO53" s="90"/>
      <c r="AP53" s="183">
        <f t="shared" si="23"/>
        <v>0</v>
      </c>
      <c r="AQ53" s="193"/>
      <c r="AR53" s="90"/>
      <c r="AS53" s="90"/>
      <c r="AT53" s="183">
        <f t="shared" si="24"/>
        <v>0</v>
      </c>
      <c r="AU53" s="193"/>
      <c r="AV53" s="90"/>
      <c r="AW53" s="90"/>
      <c r="AX53" s="183">
        <f t="shared" si="25"/>
        <v>0</v>
      </c>
      <c r="AY53" s="193"/>
      <c r="AZ53" s="90"/>
      <c r="BA53" s="90"/>
      <c r="BB53" s="183">
        <f t="shared" si="26"/>
        <v>0</v>
      </c>
      <c r="BC53" s="193"/>
      <c r="BD53" s="90"/>
      <c r="BE53" s="90"/>
      <c r="BF53" s="183">
        <f t="shared" si="27"/>
        <v>0</v>
      </c>
      <c r="BG53" s="193"/>
      <c r="BH53" s="90"/>
      <c r="BI53" s="90"/>
      <c r="BJ53" s="183">
        <f t="shared" si="28"/>
        <v>0</v>
      </c>
      <c r="BK53" s="193"/>
      <c r="BL53" s="90"/>
      <c r="BM53" s="90"/>
      <c r="BN53" s="183">
        <f t="shared" si="29"/>
        <v>0</v>
      </c>
      <c r="BO53" s="193"/>
      <c r="BP53" s="90"/>
      <c r="BQ53" s="90"/>
      <c r="BR53" s="183">
        <f t="shared" si="30"/>
        <v>0</v>
      </c>
      <c r="BS53" s="193"/>
      <c r="BT53" s="90"/>
      <c r="BU53" s="90"/>
      <c r="BV53" s="183">
        <f t="shared" si="31"/>
        <v>0</v>
      </c>
      <c r="BW53" s="193"/>
      <c r="BX53" s="90"/>
      <c r="BY53" s="90"/>
      <c r="BZ53" s="183">
        <f t="shared" si="32"/>
        <v>0</v>
      </c>
      <c r="CA53" s="193"/>
      <c r="CB53" s="90"/>
      <c r="CC53" s="90"/>
      <c r="CD53" s="183">
        <f t="shared" si="33"/>
        <v>0</v>
      </c>
    </row>
    <row r="54" spans="2:82" x14ac:dyDescent="0.3">
      <c r="B54" s="53"/>
      <c r="C54" s="53" t="str">
        <f t="shared" si="0"/>
        <v>CPU_Iluminaçãodeaproxima</v>
      </c>
      <c r="D54" s="278">
        <f t="shared" si="1"/>
        <v>1</v>
      </c>
      <c r="E54" s="278">
        <f t="shared" si="2"/>
        <v>0</v>
      </c>
      <c r="F54" s="1"/>
      <c r="G54" s="28" t="str">
        <f>IFERROR(VLOOKUP(F54,Tabela7[[RECURSO]:[CUSTO]],2,FALSE),"")</f>
        <v/>
      </c>
      <c r="I54" s="90">
        <f t="shared" si="41"/>
        <v>0</v>
      </c>
      <c r="J54" s="45">
        <f>IFERROR(VLOOKUP(F54,Tabela7[[RECURSO]:[CUSTO]],3,FALSE),0)</f>
        <v>0</v>
      </c>
      <c r="K54" s="45">
        <f>I54*J54</f>
        <v>0</v>
      </c>
      <c r="M54" s="85"/>
      <c r="N54" s="88"/>
      <c r="AD54" s="144" t="str">
        <f>$B$3</f>
        <v>Iluminação de aproximação</v>
      </c>
      <c r="AE54" s="192"/>
      <c r="AF54" s="180">
        <f t="shared" si="38"/>
        <v>0</v>
      </c>
      <c r="AG54" s="180">
        <f t="shared" si="17"/>
        <v>0</v>
      </c>
      <c r="AH54" s="181">
        <f t="shared" si="39"/>
        <v>0</v>
      </c>
      <c r="AI54" s="193"/>
      <c r="AJ54" s="90"/>
      <c r="AK54" s="90"/>
      <c r="AL54" s="183">
        <f t="shared" si="40"/>
        <v>0</v>
      </c>
      <c r="AM54" s="193"/>
      <c r="AN54" s="90"/>
      <c r="AO54" s="90"/>
      <c r="AP54" s="183">
        <f t="shared" si="23"/>
        <v>0</v>
      </c>
      <c r="AQ54" s="193"/>
      <c r="AR54" s="90"/>
      <c r="AS54" s="90"/>
      <c r="AT54" s="183">
        <f t="shared" si="24"/>
        <v>0</v>
      </c>
      <c r="AU54" s="193"/>
      <c r="AV54" s="90"/>
      <c r="AW54" s="90"/>
      <c r="AX54" s="183">
        <f t="shared" si="25"/>
        <v>0</v>
      </c>
      <c r="AY54" s="193"/>
      <c r="AZ54" s="90"/>
      <c r="BA54" s="90"/>
      <c r="BB54" s="183">
        <f t="shared" si="26"/>
        <v>0</v>
      </c>
      <c r="BC54" s="193"/>
      <c r="BD54" s="90"/>
      <c r="BE54" s="90"/>
      <c r="BF54" s="183">
        <f t="shared" si="27"/>
        <v>0</v>
      </c>
      <c r="BG54" s="193"/>
      <c r="BH54" s="90"/>
      <c r="BI54" s="90"/>
      <c r="BJ54" s="183">
        <f t="shared" si="28"/>
        <v>0</v>
      </c>
      <c r="BK54" s="193"/>
      <c r="BL54" s="90"/>
      <c r="BM54" s="90"/>
      <c r="BN54" s="183">
        <f t="shared" si="29"/>
        <v>0</v>
      </c>
      <c r="BO54" s="193"/>
      <c r="BP54" s="90"/>
      <c r="BQ54" s="90"/>
      <c r="BR54" s="183">
        <f t="shared" si="30"/>
        <v>0</v>
      </c>
      <c r="BS54" s="193"/>
      <c r="BT54" s="90"/>
      <c r="BU54" s="90"/>
      <c r="BV54" s="183">
        <f t="shared" si="31"/>
        <v>0</v>
      </c>
      <c r="BW54" s="193"/>
      <c r="BX54" s="90"/>
      <c r="BY54" s="90"/>
      <c r="BZ54" s="183">
        <f t="shared" si="32"/>
        <v>0</v>
      </c>
      <c r="CA54" s="193"/>
      <c r="CB54" s="90"/>
      <c r="CC54" s="90"/>
      <c r="CD54" s="183">
        <f t="shared" si="33"/>
        <v>0</v>
      </c>
    </row>
    <row r="55" spans="2:82" x14ac:dyDescent="0.3">
      <c r="B55" s="53"/>
      <c r="C55" s="53" t="str">
        <f t="shared" si="0"/>
        <v>CPU_Iluminaçãodeaproxima</v>
      </c>
      <c r="D55" s="278">
        <f t="shared" si="1"/>
        <v>1</v>
      </c>
      <c r="E55" s="278">
        <f t="shared" si="2"/>
        <v>0</v>
      </c>
      <c r="F55" s="1"/>
      <c r="G55" s="28" t="str">
        <f>IFERROR(VLOOKUP(F55,Tabela7[[RECURSO]:[CUSTO]],2,FALSE),"")</f>
        <v/>
      </c>
      <c r="I55" s="90">
        <f t="shared" si="41"/>
        <v>0</v>
      </c>
      <c r="J55" s="45">
        <f>IFERROR(VLOOKUP(F55,Tabela7[[RECURSO]:[CUSTO]],3,FALSE),0)</f>
        <v>0</v>
      </c>
      <c r="K55" s="45">
        <f t="shared" si="42"/>
        <v>0</v>
      </c>
      <c r="M55" s="85"/>
      <c r="N55" s="88"/>
      <c r="AD55" s="144" t="str">
        <f t="shared" si="3"/>
        <v>Iluminação de aproximação</v>
      </c>
      <c r="AE55" s="192"/>
      <c r="AF55" s="180">
        <f t="shared" si="38"/>
        <v>0</v>
      </c>
      <c r="AG55" s="180">
        <f t="shared" si="17"/>
        <v>0</v>
      </c>
      <c r="AH55" s="181">
        <f t="shared" si="39"/>
        <v>0</v>
      </c>
      <c r="AI55" s="193"/>
      <c r="AJ55" s="90"/>
      <c r="AK55" s="90"/>
      <c r="AL55" s="183">
        <f t="shared" si="40"/>
        <v>0</v>
      </c>
      <c r="AM55" s="193"/>
      <c r="AN55" s="90"/>
      <c r="AO55" s="90"/>
      <c r="AP55" s="183">
        <f t="shared" si="23"/>
        <v>0</v>
      </c>
      <c r="AQ55" s="193"/>
      <c r="AR55" s="90"/>
      <c r="AS55" s="90"/>
      <c r="AT55" s="183">
        <f t="shared" si="24"/>
        <v>0</v>
      </c>
      <c r="AU55" s="193"/>
      <c r="AV55" s="90"/>
      <c r="AW55" s="90"/>
      <c r="AX55" s="183">
        <f t="shared" si="25"/>
        <v>0</v>
      </c>
      <c r="AY55" s="193"/>
      <c r="AZ55" s="90"/>
      <c r="BA55" s="90"/>
      <c r="BB55" s="183">
        <f t="shared" si="26"/>
        <v>0</v>
      </c>
      <c r="BC55" s="193"/>
      <c r="BD55" s="90"/>
      <c r="BE55" s="90"/>
      <c r="BF55" s="183">
        <f t="shared" si="27"/>
        <v>0</v>
      </c>
      <c r="BG55" s="193"/>
      <c r="BH55" s="90"/>
      <c r="BI55" s="90"/>
      <c r="BJ55" s="183">
        <f t="shared" si="28"/>
        <v>0</v>
      </c>
      <c r="BK55" s="193"/>
      <c r="BL55" s="90"/>
      <c r="BM55" s="90"/>
      <c r="BN55" s="183">
        <f t="shared" si="29"/>
        <v>0</v>
      </c>
      <c r="BO55" s="193"/>
      <c r="BP55" s="90"/>
      <c r="BQ55" s="90"/>
      <c r="BR55" s="183">
        <f t="shared" si="30"/>
        <v>0</v>
      </c>
      <c r="BS55" s="193"/>
      <c r="BT55" s="90"/>
      <c r="BU55" s="90"/>
      <c r="BV55" s="183">
        <f t="shared" si="31"/>
        <v>0</v>
      </c>
      <c r="BW55" s="193"/>
      <c r="BX55" s="90"/>
      <c r="BY55" s="90"/>
      <c r="BZ55" s="183">
        <f t="shared" si="32"/>
        <v>0</v>
      </c>
      <c r="CA55" s="193"/>
      <c r="CB55" s="90"/>
      <c r="CC55" s="90"/>
      <c r="CD55" s="183">
        <f t="shared" si="33"/>
        <v>0</v>
      </c>
    </row>
    <row r="56" spans="2:82" x14ac:dyDescent="0.3">
      <c r="B56" s="53"/>
      <c r="C56" s="53" t="str">
        <f t="shared" si="0"/>
        <v>CPU_Iluminaçãodeaproxima</v>
      </c>
      <c r="D56" s="278">
        <f t="shared" si="1"/>
        <v>1</v>
      </c>
      <c r="E56" s="278">
        <f t="shared" si="2"/>
        <v>0</v>
      </c>
      <c r="F56" s="1"/>
      <c r="G56" s="28" t="str">
        <f>IFERROR(VLOOKUP(F56,Tabela7[[RECURSO]:[CUSTO]],2,FALSE),"")</f>
        <v/>
      </c>
      <c r="I56" s="90">
        <f t="shared" si="41"/>
        <v>0</v>
      </c>
      <c r="J56" s="45">
        <f>IFERROR(VLOOKUP(F56,Tabela7[[RECURSO]:[CUSTO]],3,FALSE),0)</f>
        <v>0</v>
      </c>
      <c r="K56" s="45">
        <f t="shared" si="42"/>
        <v>0</v>
      </c>
      <c r="M56" s="85"/>
      <c r="N56" s="88"/>
      <c r="AD56" s="144" t="str">
        <f t="shared" si="3"/>
        <v>Iluminação de aproximação</v>
      </c>
      <c r="AE56" s="192"/>
      <c r="AF56" s="180">
        <f t="shared" si="38"/>
        <v>0</v>
      </c>
      <c r="AG56" s="180">
        <f t="shared" si="17"/>
        <v>0</v>
      </c>
      <c r="AH56" s="181">
        <f t="shared" si="39"/>
        <v>0</v>
      </c>
      <c r="AI56" s="193"/>
      <c r="AJ56" s="90"/>
      <c r="AK56" s="90"/>
      <c r="AL56" s="183">
        <f t="shared" si="40"/>
        <v>0</v>
      </c>
      <c r="AM56" s="193"/>
      <c r="AN56" s="90"/>
      <c r="AO56" s="90"/>
      <c r="AP56" s="183">
        <f t="shared" si="23"/>
        <v>0</v>
      </c>
      <c r="AQ56" s="193"/>
      <c r="AR56" s="90"/>
      <c r="AS56" s="90"/>
      <c r="AT56" s="183">
        <f t="shared" si="24"/>
        <v>0</v>
      </c>
      <c r="AU56" s="193"/>
      <c r="AV56" s="90"/>
      <c r="AW56" s="90"/>
      <c r="AX56" s="183">
        <f t="shared" si="25"/>
        <v>0</v>
      </c>
      <c r="AY56" s="193"/>
      <c r="AZ56" s="90"/>
      <c r="BA56" s="90"/>
      <c r="BB56" s="183">
        <f t="shared" si="26"/>
        <v>0</v>
      </c>
      <c r="BC56" s="193"/>
      <c r="BD56" s="90"/>
      <c r="BE56" s="90"/>
      <c r="BF56" s="183">
        <f t="shared" si="27"/>
        <v>0</v>
      </c>
      <c r="BG56" s="193"/>
      <c r="BH56" s="90"/>
      <c r="BI56" s="90"/>
      <c r="BJ56" s="183">
        <f t="shared" si="28"/>
        <v>0</v>
      </c>
      <c r="BK56" s="193"/>
      <c r="BL56" s="90"/>
      <c r="BM56" s="90"/>
      <c r="BN56" s="183">
        <f t="shared" si="29"/>
        <v>0</v>
      </c>
      <c r="BO56" s="193"/>
      <c r="BP56" s="90"/>
      <c r="BQ56" s="90"/>
      <c r="BR56" s="183">
        <f t="shared" si="30"/>
        <v>0</v>
      </c>
      <c r="BS56" s="193"/>
      <c r="BT56" s="90"/>
      <c r="BU56" s="90"/>
      <c r="BV56" s="183">
        <f t="shared" si="31"/>
        <v>0</v>
      </c>
      <c r="BW56" s="193"/>
      <c r="BX56" s="90"/>
      <c r="BY56" s="90"/>
      <c r="BZ56" s="183">
        <f t="shared" si="32"/>
        <v>0</v>
      </c>
      <c r="CA56" s="193"/>
      <c r="CB56" s="90"/>
      <c r="CC56" s="90"/>
      <c r="CD56" s="183">
        <f t="shared" si="33"/>
        <v>0</v>
      </c>
    </row>
    <row r="57" spans="2:82" x14ac:dyDescent="0.3">
      <c r="B57" s="53"/>
      <c r="C57" s="53" t="str">
        <f t="shared" si="0"/>
        <v>CPU_Iluminaçãodeaproxima</v>
      </c>
      <c r="D57" s="278">
        <f t="shared" si="1"/>
        <v>1</v>
      </c>
      <c r="E57" s="278">
        <f t="shared" si="2"/>
        <v>0</v>
      </c>
      <c r="F57" s="1"/>
      <c r="G57" s="28" t="str">
        <f>IFERROR(VLOOKUP(F57,Tabela7[[RECURSO]:[CUSTO]],2,FALSE),"")</f>
        <v/>
      </c>
      <c r="I57" s="90">
        <f t="shared" si="41"/>
        <v>0</v>
      </c>
      <c r="J57" s="45">
        <f>IFERROR(VLOOKUP(F57,Tabela7[[RECURSO]:[CUSTO]],3,FALSE),0)</f>
        <v>0</v>
      </c>
      <c r="K57" s="45">
        <f t="shared" si="42"/>
        <v>0</v>
      </c>
      <c r="M57" s="85"/>
      <c r="N57" s="88"/>
      <c r="AD57" s="144" t="str">
        <f t="shared" si="3"/>
        <v>Iluminação de aproximação</v>
      </c>
      <c r="AE57" s="192"/>
      <c r="AF57" s="180">
        <f t="shared" si="38"/>
        <v>0</v>
      </c>
      <c r="AG57" s="180">
        <f t="shared" si="17"/>
        <v>0</v>
      </c>
      <c r="AH57" s="181">
        <f t="shared" si="39"/>
        <v>0</v>
      </c>
      <c r="AI57" s="193"/>
      <c r="AJ57" s="90"/>
      <c r="AK57" s="90"/>
      <c r="AL57" s="183">
        <f t="shared" si="40"/>
        <v>0</v>
      </c>
      <c r="AM57" s="193"/>
      <c r="AN57" s="90"/>
      <c r="AO57" s="90"/>
      <c r="AP57" s="183">
        <f t="shared" si="23"/>
        <v>0</v>
      </c>
      <c r="AQ57" s="193"/>
      <c r="AR57" s="90"/>
      <c r="AS57" s="90"/>
      <c r="AT57" s="183">
        <f t="shared" si="24"/>
        <v>0</v>
      </c>
      <c r="AU57" s="193"/>
      <c r="AV57" s="90"/>
      <c r="AW57" s="90"/>
      <c r="AX57" s="183">
        <f t="shared" si="25"/>
        <v>0</v>
      </c>
      <c r="AY57" s="193"/>
      <c r="AZ57" s="90"/>
      <c r="BA57" s="90"/>
      <c r="BB57" s="183">
        <f t="shared" si="26"/>
        <v>0</v>
      </c>
      <c r="BC57" s="193"/>
      <c r="BD57" s="90"/>
      <c r="BE57" s="90"/>
      <c r="BF57" s="183">
        <f t="shared" si="27"/>
        <v>0</v>
      </c>
      <c r="BG57" s="193"/>
      <c r="BH57" s="90"/>
      <c r="BI57" s="90"/>
      <c r="BJ57" s="183">
        <f t="shared" si="28"/>
        <v>0</v>
      </c>
      <c r="BK57" s="193"/>
      <c r="BL57" s="90"/>
      <c r="BM57" s="90"/>
      <c r="BN57" s="183">
        <f t="shared" si="29"/>
        <v>0</v>
      </c>
      <c r="BO57" s="193"/>
      <c r="BP57" s="90"/>
      <c r="BQ57" s="90"/>
      <c r="BR57" s="183">
        <f t="shared" si="30"/>
        <v>0</v>
      </c>
      <c r="BS57" s="193"/>
      <c r="BT57" s="90"/>
      <c r="BU57" s="90"/>
      <c r="BV57" s="183">
        <f t="shared" si="31"/>
        <v>0</v>
      </c>
      <c r="BW57" s="193"/>
      <c r="BX57" s="90"/>
      <c r="BY57" s="90"/>
      <c r="BZ57" s="183">
        <f t="shared" si="32"/>
        <v>0</v>
      </c>
      <c r="CA57" s="193"/>
      <c r="CB57" s="90"/>
      <c r="CC57" s="90"/>
      <c r="CD57" s="183">
        <f t="shared" si="33"/>
        <v>0</v>
      </c>
    </row>
    <row r="58" spans="2:82" x14ac:dyDescent="0.3">
      <c r="B58" s="53"/>
      <c r="C58" s="53" t="str">
        <f t="shared" si="0"/>
        <v>CPU_Iluminaçãodeaproxima</v>
      </c>
      <c r="D58" s="278">
        <f t="shared" si="1"/>
        <v>1</v>
      </c>
      <c r="E58" s="278">
        <f t="shared" si="2"/>
        <v>0</v>
      </c>
      <c r="F58" s="1"/>
      <c r="G58" s="28" t="str">
        <f>IFERROR(VLOOKUP(F58,Tabela7[[RECURSO]:[CUSTO]],2,FALSE),"")</f>
        <v/>
      </c>
      <c r="I58" s="90">
        <f t="shared" si="41"/>
        <v>0</v>
      </c>
      <c r="J58" s="45">
        <f>IFERROR(VLOOKUP(F58,Tabela7[[RECURSO]:[CUSTO]],3,FALSE),0)</f>
        <v>0</v>
      </c>
      <c r="K58" s="45">
        <f t="shared" si="42"/>
        <v>0</v>
      </c>
      <c r="M58" s="85"/>
      <c r="N58" s="88"/>
      <c r="AD58" s="144" t="str">
        <f t="shared" si="3"/>
        <v>Iluminação de aproximação</v>
      </c>
      <c r="AE58" s="192"/>
      <c r="AF58" s="180">
        <f t="shared" si="38"/>
        <v>0</v>
      </c>
      <c r="AG58" s="180">
        <f t="shared" si="17"/>
        <v>0</v>
      </c>
      <c r="AH58" s="181">
        <f t="shared" si="39"/>
        <v>0</v>
      </c>
      <c r="AI58" s="193"/>
      <c r="AJ58" s="90"/>
      <c r="AK58" s="90"/>
      <c r="AL58" s="183">
        <f t="shared" si="40"/>
        <v>0</v>
      </c>
      <c r="AM58" s="193"/>
      <c r="AN58" s="90"/>
      <c r="AO58" s="90"/>
      <c r="AP58" s="183">
        <f t="shared" si="23"/>
        <v>0</v>
      </c>
      <c r="AQ58" s="193"/>
      <c r="AR58" s="90"/>
      <c r="AS58" s="90"/>
      <c r="AT58" s="183">
        <f t="shared" si="24"/>
        <v>0</v>
      </c>
      <c r="AU58" s="193"/>
      <c r="AV58" s="90"/>
      <c r="AW58" s="90"/>
      <c r="AX58" s="183">
        <f t="shared" si="25"/>
        <v>0</v>
      </c>
      <c r="AY58" s="193"/>
      <c r="AZ58" s="90"/>
      <c r="BA58" s="90"/>
      <c r="BB58" s="183">
        <f t="shared" si="26"/>
        <v>0</v>
      </c>
      <c r="BC58" s="193"/>
      <c r="BD58" s="90"/>
      <c r="BE58" s="90"/>
      <c r="BF58" s="183">
        <f t="shared" si="27"/>
        <v>0</v>
      </c>
      <c r="BG58" s="193"/>
      <c r="BH58" s="90"/>
      <c r="BI58" s="90"/>
      <c r="BJ58" s="183">
        <f t="shared" si="28"/>
        <v>0</v>
      </c>
      <c r="BK58" s="193"/>
      <c r="BL58" s="90"/>
      <c r="BM58" s="90"/>
      <c r="BN58" s="183">
        <f t="shared" si="29"/>
        <v>0</v>
      </c>
      <c r="BO58" s="193"/>
      <c r="BP58" s="90"/>
      <c r="BQ58" s="90"/>
      <c r="BR58" s="183">
        <f t="shared" si="30"/>
        <v>0</v>
      </c>
      <c r="BS58" s="193"/>
      <c r="BT58" s="90"/>
      <c r="BU58" s="90"/>
      <c r="BV58" s="183">
        <f t="shared" si="31"/>
        <v>0</v>
      </c>
      <c r="BW58" s="193"/>
      <c r="BX58" s="90"/>
      <c r="BY58" s="90"/>
      <c r="BZ58" s="183">
        <f t="shared" si="32"/>
        <v>0</v>
      </c>
      <c r="CA58" s="193"/>
      <c r="CB58" s="90"/>
      <c r="CC58" s="90"/>
      <c r="CD58" s="183">
        <f t="shared" si="33"/>
        <v>0</v>
      </c>
    </row>
    <row r="59" spans="2:82" x14ac:dyDescent="0.3">
      <c r="B59" s="53"/>
      <c r="C59" s="53" t="str">
        <f t="shared" si="0"/>
        <v>CPU_Iluminaçãodeaproxima</v>
      </c>
      <c r="D59" s="278">
        <f t="shared" si="1"/>
        <v>1</v>
      </c>
      <c r="E59" s="278">
        <f t="shared" si="2"/>
        <v>0</v>
      </c>
      <c r="F59" s="1"/>
      <c r="G59" s="28" t="str">
        <f>IFERROR(VLOOKUP(F59,Tabela7[[RECURSO]:[CUSTO]],2,FALSE),"")</f>
        <v/>
      </c>
      <c r="I59" s="90">
        <f t="shared" si="41"/>
        <v>0</v>
      </c>
      <c r="J59" s="45">
        <f>IFERROR(VLOOKUP(F59,Tabela7[[RECURSO]:[CUSTO]],3,FALSE),0)</f>
        <v>0</v>
      </c>
      <c r="K59" s="45">
        <f t="shared" si="42"/>
        <v>0</v>
      </c>
      <c r="M59" s="85"/>
      <c r="N59" s="88"/>
      <c r="AD59" s="144" t="str">
        <f t="shared" si="3"/>
        <v>Iluminação de aproximação</v>
      </c>
      <c r="AE59" s="192"/>
      <c r="AF59" s="180">
        <f t="shared" si="38"/>
        <v>0</v>
      </c>
      <c r="AG59" s="180">
        <f t="shared" si="17"/>
        <v>0</v>
      </c>
      <c r="AH59" s="181">
        <f t="shared" si="39"/>
        <v>0</v>
      </c>
      <c r="AI59" s="193"/>
      <c r="AJ59" s="90"/>
      <c r="AK59" s="90"/>
      <c r="AL59" s="183">
        <f t="shared" si="40"/>
        <v>0</v>
      </c>
      <c r="AM59" s="193"/>
      <c r="AN59" s="90"/>
      <c r="AO59" s="90"/>
      <c r="AP59" s="183">
        <f t="shared" si="23"/>
        <v>0</v>
      </c>
      <c r="AQ59" s="193"/>
      <c r="AR59" s="90"/>
      <c r="AS59" s="90"/>
      <c r="AT59" s="183">
        <f t="shared" si="24"/>
        <v>0</v>
      </c>
      <c r="AU59" s="193"/>
      <c r="AV59" s="90"/>
      <c r="AW59" s="90"/>
      <c r="AX59" s="183">
        <f t="shared" si="25"/>
        <v>0</v>
      </c>
      <c r="AY59" s="193"/>
      <c r="AZ59" s="90"/>
      <c r="BA59" s="90"/>
      <c r="BB59" s="183">
        <f t="shared" si="26"/>
        <v>0</v>
      </c>
      <c r="BC59" s="193"/>
      <c r="BD59" s="90"/>
      <c r="BE59" s="90"/>
      <c r="BF59" s="183">
        <f t="shared" si="27"/>
        <v>0</v>
      </c>
      <c r="BG59" s="193"/>
      <c r="BH59" s="90"/>
      <c r="BI59" s="90"/>
      <c r="BJ59" s="183">
        <f t="shared" si="28"/>
        <v>0</v>
      </c>
      <c r="BK59" s="193"/>
      <c r="BL59" s="90"/>
      <c r="BM59" s="90"/>
      <c r="BN59" s="183">
        <f t="shared" si="29"/>
        <v>0</v>
      </c>
      <c r="BO59" s="193"/>
      <c r="BP59" s="90"/>
      <c r="BQ59" s="90"/>
      <c r="BR59" s="183">
        <f t="shared" si="30"/>
        <v>0</v>
      </c>
      <c r="BS59" s="193"/>
      <c r="BT59" s="90"/>
      <c r="BU59" s="90"/>
      <c r="BV59" s="183">
        <f t="shared" si="31"/>
        <v>0</v>
      </c>
      <c r="BW59" s="193"/>
      <c r="BX59" s="90"/>
      <c r="BY59" s="90"/>
      <c r="BZ59" s="183">
        <f t="shared" si="32"/>
        <v>0</v>
      </c>
      <c r="CA59" s="193"/>
      <c r="CB59" s="90"/>
      <c r="CC59" s="90"/>
      <c r="CD59" s="183">
        <f t="shared" si="33"/>
        <v>0</v>
      </c>
    </row>
    <row r="60" spans="2:82" x14ac:dyDescent="0.3">
      <c r="B60" s="53"/>
      <c r="C60" s="53" t="str">
        <f t="shared" si="0"/>
        <v>CPU_Iluminaçãodeaproxima</v>
      </c>
      <c r="D60" s="278">
        <f t="shared" si="1"/>
        <v>1</v>
      </c>
      <c r="E60" s="278">
        <f t="shared" si="2"/>
        <v>0</v>
      </c>
      <c r="F60" s="1"/>
      <c r="G60" s="28" t="str">
        <f>IFERROR(VLOOKUP(F60,Tabela7[[RECURSO]:[CUSTO]],2,FALSE),"")</f>
        <v/>
      </c>
      <c r="I60" s="90">
        <f t="shared" si="41"/>
        <v>0</v>
      </c>
      <c r="J60" s="45">
        <f>IFERROR(VLOOKUP(F60,Tabela7[[RECURSO]:[CUSTO]],3,FALSE),0)</f>
        <v>0</v>
      </c>
      <c r="K60" s="45">
        <f t="shared" si="42"/>
        <v>0</v>
      </c>
      <c r="M60" s="85"/>
      <c r="N60" s="88"/>
      <c r="AD60" s="144" t="str">
        <f t="shared" si="3"/>
        <v>Iluminação de aproximação</v>
      </c>
      <c r="AE60" s="192"/>
      <c r="AF60" s="180">
        <f t="shared" si="38"/>
        <v>0</v>
      </c>
      <c r="AG60" s="180">
        <f t="shared" si="17"/>
        <v>0</v>
      </c>
      <c r="AH60" s="181">
        <f t="shared" si="39"/>
        <v>0</v>
      </c>
      <c r="AI60" s="193"/>
      <c r="AJ60" s="90"/>
      <c r="AK60" s="90"/>
      <c r="AL60" s="183">
        <f t="shared" si="40"/>
        <v>0</v>
      </c>
      <c r="AM60" s="193"/>
      <c r="AN60" s="90"/>
      <c r="AO60" s="90"/>
      <c r="AP60" s="183">
        <f t="shared" si="23"/>
        <v>0</v>
      </c>
      <c r="AQ60" s="193"/>
      <c r="AR60" s="90"/>
      <c r="AS60" s="90"/>
      <c r="AT60" s="183">
        <f t="shared" si="24"/>
        <v>0</v>
      </c>
      <c r="AU60" s="193"/>
      <c r="AV60" s="90"/>
      <c r="AW60" s="90"/>
      <c r="AX60" s="183">
        <f t="shared" si="25"/>
        <v>0</v>
      </c>
      <c r="AY60" s="193"/>
      <c r="AZ60" s="90"/>
      <c r="BA60" s="90"/>
      <c r="BB60" s="183">
        <f t="shared" si="26"/>
        <v>0</v>
      </c>
      <c r="BC60" s="193"/>
      <c r="BD60" s="90"/>
      <c r="BE60" s="90"/>
      <c r="BF60" s="183">
        <f t="shared" si="27"/>
        <v>0</v>
      </c>
      <c r="BG60" s="193"/>
      <c r="BH60" s="90"/>
      <c r="BI60" s="90"/>
      <c r="BJ60" s="183">
        <f t="shared" si="28"/>
        <v>0</v>
      </c>
      <c r="BK60" s="193"/>
      <c r="BL60" s="90"/>
      <c r="BM60" s="90"/>
      <c r="BN60" s="183">
        <f t="shared" si="29"/>
        <v>0</v>
      </c>
      <c r="BO60" s="193"/>
      <c r="BP60" s="90"/>
      <c r="BQ60" s="90"/>
      <c r="BR60" s="183">
        <f t="shared" si="30"/>
        <v>0</v>
      </c>
      <c r="BS60" s="193"/>
      <c r="BT60" s="90"/>
      <c r="BU60" s="90"/>
      <c r="BV60" s="183">
        <f t="shared" si="31"/>
        <v>0</v>
      </c>
      <c r="BW60" s="193"/>
      <c r="BX60" s="90"/>
      <c r="BY60" s="90"/>
      <c r="BZ60" s="183">
        <f t="shared" si="32"/>
        <v>0</v>
      </c>
      <c r="CA60" s="193"/>
      <c r="CB60" s="90"/>
      <c r="CC60" s="90"/>
      <c r="CD60" s="183">
        <f t="shared" si="33"/>
        <v>0</v>
      </c>
    </row>
    <row r="61" spans="2:82" x14ac:dyDescent="0.3">
      <c r="B61" s="53"/>
      <c r="C61" s="53" t="str">
        <f t="shared" si="0"/>
        <v>CPU_Iluminaçãodeaproxima</v>
      </c>
      <c r="D61" s="278">
        <f t="shared" si="1"/>
        <v>1</v>
      </c>
      <c r="E61" s="278">
        <f t="shared" si="2"/>
        <v>0</v>
      </c>
      <c r="F61" s="1"/>
      <c r="G61" s="28" t="str">
        <f>IFERROR(VLOOKUP(F61,Tabela7[[RECURSO]:[CUSTO]],2,FALSE),"")</f>
        <v/>
      </c>
      <c r="I61" s="90">
        <f t="shared" si="41"/>
        <v>0</v>
      </c>
      <c r="J61" s="45">
        <f>IFERROR(VLOOKUP(F61,Tabela7[[RECURSO]:[CUSTO]],3,FALSE),0)</f>
        <v>0</v>
      </c>
      <c r="K61" s="45">
        <f t="shared" si="42"/>
        <v>0</v>
      </c>
      <c r="M61" s="85"/>
      <c r="N61" s="88"/>
      <c r="AD61" s="144" t="str">
        <f t="shared" si="3"/>
        <v>Iluminação de aproximação</v>
      </c>
      <c r="AE61" s="192"/>
      <c r="AF61" s="180">
        <f t="shared" si="38"/>
        <v>0</v>
      </c>
      <c r="AG61" s="180">
        <f t="shared" si="17"/>
        <v>0</v>
      </c>
      <c r="AH61" s="181">
        <f t="shared" si="39"/>
        <v>0</v>
      </c>
      <c r="AI61" s="193"/>
      <c r="AJ61" s="90"/>
      <c r="AK61" s="90"/>
      <c r="AL61" s="183">
        <f t="shared" si="40"/>
        <v>0</v>
      </c>
      <c r="AM61" s="193"/>
      <c r="AN61" s="90"/>
      <c r="AO61" s="90"/>
      <c r="AP61" s="183">
        <f t="shared" si="23"/>
        <v>0</v>
      </c>
      <c r="AQ61" s="193"/>
      <c r="AR61" s="90"/>
      <c r="AS61" s="90"/>
      <c r="AT61" s="183">
        <f t="shared" si="24"/>
        <v>0</v>
      </c>
      <c r="AU61" s="193"/>
      <c r="AV61" s="90"/>
      <c r="AW61" s="90"/>
      <c r="AX61" s="183">
        <f t="shared" si="25"/>
        <v>0</v>
      </c>
      <c r="AY61" s="193"/>
      <c r="AZ61" s="90"/>
      <c r="BA61" s="90"/>
      <c r="BB61" s="183">
        <f t="shared" si="26"/>
        <v>0</v>
      </c>
      <c r="BC61" s="193"/>
      <c r="BD61" s="90"/>
      <c r="BE61" s="90"/>
      <c r="BF61" s="183">
        <f t="shared" si="27"/>
        <v>0</v>
      </c>
      <c r="BG61" s="193"/>
      <c r="BH61" s="90"/>
      <c r="BI61" s="90"/>
      <c r="BJ61" s="183">
        <f t="shared" si="28"/>
        <v>0</v>
      </c>
      <c r="BK61" s="193"/>
      <c r="BL61" s="90"/>
      <c r="BM61" s="90"/>
      <c r="BN61" s="183">
        <f t="shared" si="29"/>
        <v>0</v>
      </c>
      <c r="BO61" s="193"/>
      <c r="BP61" s="90"/>
      <c r="BQ61" s="90"/>
      <c r="BR61" s="183">
        <f t="shared" si="30"/>
        <v>0</v>
      </c>
      <c r="BS61" s="193"/>
      <c r="BT61" s="90"/>
      <c r="BU61" s="90"/>
      <c r="BV61" s="183">
        <f t="shared" si="31"/>
        <v>0</v>
      </c>
      <c r="BW61" s="193"/>
      <c r="BX61" s="90"/>
      <c r="BY61" s="90"/>
      <c r="BZ61" s="183">
        <f t="shared" si="32"/>
        <v>0</v>
      </c>
      <c r="CA61" s="193"/>
      <c r="CB61" s="90"/>
      <c r="CC61" s="90"/>
      <c r="CD61" s="183">
        <f t="shared" si="33"/>
        <v>0</v>
      </c>
    </row>
    <row r="62" spans="2:82" ht="15" thickBot="1" x14ac:dyDescent="0.35">
      <c r="B62" s="53"/>
      <c r="C62" s="53" t="str">
        <f t="shared" si="0"/>
        <v>CPU_Iluminaçãodeaproxima</v>
      </c>
      <c r="D62" s="278">
        <f t="shared" si="1"/>
        <v>1</v>
      </c>
      <c r="E62" s="278">
        <f t="shared" si="2"/>
        <v>0</v>
      </c>
      <c r="F62" s="1"/>
      <c r="G62" s="28" t="str">
        <f>IFERROR(VLOOKUP(F62,Tabela7[[RECURSO]:[CUSTO]],2,FALSE),"")</f>
        <v/>
      </c>
      <c r="I62" s="90">
        <f t="shared" si="41"/>
        <v>0</v>
      </c>
      <c r="J62" s="45">
        <f>IFERROR(VLOOKUP(F62,Tabela7[[RECURSO]:[CUSTO]],3,FALSE),0)</f>
        <v>0</v>
      </c>
      <c r="K62" s="45">
        <f t="shared" si="42"/>
        <v>0</v>
      </c>
      <c r="M62" s="86"/>
      <c r="N62" s="88"/>
      <c r="AD62" s="144" t="str">
        <f t="shared" si="3"/>
        <v>Iluminação de aproximação</v>
      </c>
      <c r="AE62" s="194"/>
      <c r="AF62" s="195">
        <f t="shared" si="38"/>
        <v>0</v>
      </c>
      <c r="AG62" s="195">
        <f t="shared" si="17"/>
        <v>0</v>
      </c>
      <c r="AH62" s="196">
        <f t="shared" si="39"/>
        <v>0</v>
      </c>
      <c r="AI62" s="197"/>
      <c r="AJ62" s="198"/>
      <c r="AK62" s="198"/>
      <c r="AL62" s="199">
        <f t="shared" si="40"/>
        <v>0</v>
      </c>
      <c r="AM62" s="197"/>
      <c r="AN62" s="198"/>
      <c r="AO62" s="198"/>
      <c r="AP62" s="199">
        <f t="shared" si="23"/>
        <v>0</v>
      </c>
      <c r="AQ62" s="197"/>
      <c r="AR62" s="198"/>
      <c r="AS62" s="198"/>
      <c r="AT62" s="199">
        <f t="shared" si="24"/>
        <v>0</v>
      </c>
      <c r="AU62" s="197"/>
      <c r="AV62" s="198"/>
      <c r="AW62" s="198"/>
      <c r="AX62" s="199">
        <f t="shared" si="25"/>
        <v>0</v>
      </c>
      <c r="AY62" s="197"/>
      <c r="AZ62" s="198"/>
      <c r="BA62" s="198"/>
      <c r="BB62" s="199">
        <f t="shared" si="26"/>
        <v>0</v>
      </c>
      <c r="BC62" s="197"/>
      <c r="BD62" s="198"/>
      <c r="BE62" s="198"/>
      <c r="BF62" s="199">
        <f t="shared" si="27"/>
        <v>0</v>
      </c>
      <c r="BG62" s="197"/>
      <c r="BH62" s="198"/>
      <c r="BI62" s="198"/>
      <c r="BJ62" s="199">
        <f t="shared" si="28"/>
        <v>0</v>
      </c>
      <c r="BK62" s="197"/>
      <c r="BL62" s="198"/>
      <c r="BM62" s="198"/>
      <c r="BN62" s="199">
        <f t="shared" si="29"/>
        <v>0</v>
      </c>
      <c r="BO62" s="197"/>
      <c r="BP62" s="198"/>
      <c r="BQ62" s="198"/>
      <c r="BR62" s="199">
        <f t="shared" si="30"/>
        <v>0</v>
      </c>
      <c r="BS62" s="197"/>
      <c r="BT62" s="198"/>
      <c r="BU62" s="198"/>
      <c r="BV62" s="199">
        <f t="shared" si="31"/>
        <v>0</v>
      </c>
      <c r="BW62" s="197"/>
      <c r="BX62" s="198"/>
      <c r="BY62" s="198"/>
      <c r="BZ62" s="199">
        <f t="shared" si="32"/>
        <v>0</v>
      </c>
      <c r="CA62" s="197"/>
      <c r="CB62" s="198"/>
      <c r="CC62" s="198"/>
      <c r="CD62" s="199">
        <f t="shared" si="33"/>
        <v>0</v>
      </c>
    </row>
  </sheetData>
  <conditionalFormatting sqref="K6:K7">
    <cfRule type="iconSet" priority="14">
      <iconSet>
        <cfvo type="percent" val="0"/>
        <cfvo type="num" val="0"/>
        <cfvo type="num" val="0.02"/>
      </iconSet>
    </cfRule>
  </conditionalFormatting>
  <conditionalFormatting sqref="AH6:AH7">
    <cfRule type="iconSet" priority="13">
      <iconSet>
        <cfvo type="percent" val="0"/>
        <cfvo type="num" val="0"/>
        <cfvo type="num" val="0.02"/>
      </iconSet>
    </cfRule>
  </conditionalFormatting>
  <conditionalFormatting sqref="AL6:AL7">
    <cfRule type="iconSet" priority="12">
      <iconSet>
        <cfvo type="percent" val="0"/>
        <cfvo type="num" val="0"/>
        <cfvo type="num" val="0.02"/>
      </iconSet>
    </cfRule>
  </conditionalFormatting>
  <conditionalFormatting sqref="AP6:AP7">
    <cfRule type="iconSet" priority="11">
      <iconSet>
        <cfvo type="percent" val="0"/>
        <cfvo type="num" val="0"/>
        <cfvo type="num" val="0.02"/>
      </iconSet>
    </cfRule>
  </conditionalFormatting>
  <conditionalFormatting sqref="AT6:AT7">
    <cfRule type="iconSet" priority="10">
      <iconSet>
        <cfvo type="percent" val="0"/>
        <cfvo type="num" val="0"/>
        <cfvo type="num" val="0.02"/>
      </iconSet>
    </cfRule>
  </conditionalFormatting>
  <conditionalFormatting sqref="AX6:AX7">
    <cfRule type="iconSet" priority="9">
      <iconSet>
        <cfvo type="percent" val="0"/>
        <cfvo type="num" val="0"/>
        <cfvo type="num" val="0.02"/>
      </iconSet>
    </cfRule>
  </conditionalFormatting>
  <conditionalFormatting sqref="BB6:BB7">
    <cfRule type="iconSet" priority="8">
      <iconSet>
        <cfvo type="percent" val="0"/>
        <cfvo type="num" val="0"/>
        <cfvo type="num" val="0.02"/>
      </iconSet>
    </cfRule>
  </conditionalFormatting>
  <conditionalFormatting sqref="BF6:BF7">
    <cfRule type="iconSet" priority="7">
      <iconSet>
        <cfvo type="percent" val="0"/>
        <cfvo type="num" val="0"/>
        <cfvo type="num" val="0.02"/>
      </iconSet>
    </cfRule>
  </conditionalFormatting>
  <conditionalFormatting sqref="BJ6:BJ7">
    <cfRule type="iconSet" priority="6">
      <iconSet>
        <cfvo type="percent" val="0"/>
        <cfvo type="num" val="0"/>
        <cfvo type="num" val="0.02"/>
      </iconSet>
    </cfRule>
  </conditionalFormatting>
  <conditionalFormatting sqref="BN6:BN7">
    <cfRule type="iconSet" priority="5">
      <iconSet>
        <cfvo type="percent" val="0"/>
        <cfvo type="num" val="0"/>
        <cfvo type="num" val="0.02"/>
      </iconSet>
    </cfRule>
  </conditionalFormatting>
  <conditionalFormatting sqref="BR6:BR7">
    <cfRule type="iconSet" priority="4">
      <iconSet>
        <cfvo type="percent" val="0"/>
        <cfvo type="num" val="0"/>
        <cfvo type="num" val="0.02"/>
      </iconSet>
    </cfRule>
  </conditionalFormatting>
  <conditionalFormatting sqref="BV6:BV7">
    <cfRule type="iconSet" priority="3">
      <iconSet>
        <cfvo type="percent" val="0"/>
        <cfvo type="num" val="0"/>
        <cfvo type="num" val="0.02"/>
      </iconSet>
    </cfRule>
  </conditionalFormatting>
  <conditionalFormatting sqref="BZ6:BZ7">
    <cfRule type="iconSet" priority="2">
      <iconSet>
        <cfvo type="percent" val="0"/>
        <cfvo type="num" val="0"/>
        <cfvo type="num" val="0.02"/>
      </iconSet>
    </cfRule>
  </conditionalFormatting>
  <conditionalFormatting sqref="CD6:CD7">
    <cfRule type="iconSet" priority="1">
      <iconSet>
        <cfvo type="percent" val="0"/>
        <cfvo type="num" val="0"/>
        <cfvo type="num" val="0.02"/>
      </iconSet>
    </cfRule>
  </conditionalFormatting>
  <dataValidations count="5">
    <dataValidation type="list" allowBlank="1" showInputMessage="1" showErrorMessage="1" sqref="F51:F62" xr:uid="{BE9EB481-9340-4E68-B847-A7C780B22913}">
      <formula1>INDIRECT($B$50)</formula1>
    </dataValidation>
    <dataValidation type="list" allowBlank="1" showInputMessage="1" showErrorMessage="1" sqref="F38:F49" xr:uid="{8F4DFD70-DD68-49FB-907E-81324FC4D9D0}">
      <formula1>INDIRECT($B$37)</formula1>
    </dataValidation>
    <dataValidation type="list" allowBlank="1" showInputMessage="1" showErrorMessage="1" sqref="F25:F36" xr:uid="{E94CCFED-806A-4F84-8C7E-468579964CC6}">
      <formula1>INDIRECT($B$24)</formula1>
    </dataValidation>
    <dataValidation type="list" allowBlank="1" showInputMessage="1" showErrorMessage="1" sqref="F12:F23" xr:uid="{24B6EA74-B825-4D81-906B-42885AD4A434}">
      <formula1>INDIRECT($B$11)</formula1>
    </dataValidation>
    <dataValidation type="list" allowBlank="1" showInputMessage="1" showErrorMessage="1" sqref="B3:E3" xr:uid="{090E8BF6-245D-41D4-8660-C95F3F560FD4}">
      <formula1>INDIRECT($B$2)</formula1>
    </dataValidation>
  </dataValidations>
  <pageMargins left="0.51181102362204722" right="0.51181102362204722" top="0.19685039370078741" bottom="0.19685039370078741" header="0.31496062992125984" footer="0.31496062992125984"/>
  <pageSetup paperSize="9" scale="82" orientation="portrait" r:id="rId1"/>
  <colBreaks count="1" manualBreakCount="1">
    <brk id="11" max="1048575" man="1"/>
  </colBreaks>
  <drawing r:id="rId2"/>
  <legacyDrawing r:id="rId3"/>
  <tableParts count="2">
    <tablePart r:id="rId4"/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1B196-4B02-4268-A2C5-542BA9D15F2A}">
  <sheetPr codeName="Plan27"/>
  <dimension ref="A1:CD62"/>
  <sheetViews>
    <sheetView showGridLines="0" zoomScale="85" zoomScaleNormal="85" workbookViewId="0">
      <pane xSplit="14" ySplit="10" topLeftCell="O43" activePane="bottomRight" state="frozen"/>
      <selection pane="topRight" activeCell="C28" activeCellId="1" sqref="E13 C28"/>
      <selection pane="bottomLeft" activeCell="C28" activeCellId="1" sqref="E13 C28"/>
      <selection pane="bottomRight" activeCell="B3" sqref="B3"/>
    </sheetView>
  </sheetViews>
  <sheetFormatPr defaultRowHeight="14.4" x14ac:dyDescent="0.3"/>
  <cols>
    <col min="1" max="1" width="4.109375" customWidth="1"/>
    <col min="2" max="2" width="16.109375" customWidth="1"/>
    <col min="3" max="5" width="16.109375" hidden="1" customWidth="1"/>
    <col min="6" max="6" width="40.6640625" customWidth="1"/>
    <col min="7" max="7" width="10.6640625" style="28" customWidth="1"/>
    <col min="8" max="8" width="7.6640625" style="28" customWidth="1"/>
    <col min="9" max="11" width="10.6640625" customWidth="1"/>
    <col min="12" max="12" width="2.33203125" customWidth="1"/>
    <col min="13" max="14" width="12.6640625" customWidth="1"/>
    <col min="15" max="15" width="14" bestFit="1" customWidth="1"/>
    <col min="30" max="30" width="12.44140625" bestFit="1" customWidth="1"/>
    <col min="31" max="31" width="7.6640625" customWidth="1"/>
    <col min="32" max="32" width="9.33203125" bestFit="1" customWidth="1"/>
    <col min="33" max="34" width="10.6640625" customWidth="1"/>
    <col min="35" max="35" width="7.6640625" customWidth="1"/>
    <col min="36" max="36" width="9.33203125" customWidth="1"/>
    <col min="37" max="38" width="10.6640625" customWidth="1"/>
    <col min="40" max="40" width="9.33203125" customWidth="1"/>
    <col min="42" max="42" width="9.6640625" customWidth="1"/>
    <col min="44" max="44" width="9.33203125" customWidth="1"/>
    <col min="46" max="46" width="9.6640625" customWidth="1"/>
    <col min="48" max="48" width="9.33203125" customWidth="1"/>
    <col min="50" max="50" width="9.6640625" customWidth="1"/>
    <col min="52" max="52" width="9.33203125" customWidth="1"/>
    <col min="54" max="54" width="9.6640625" customWidth="1"/>
    <col min="56" max="56" width="9.33203125" customWidth="1"/>
    <col min="58" max="58" width="9.6640625" customWidth="1"/>
    <col min="60" max="60" width="9.33203125" customWidth="1"/>
    <col min="62" max="62" width="9.6640625" customWidth="1"/>
    <col min="64" max="64" width="9.33203125" customWidth="1"/>
    <col min="66" max="66" width="9.6640625" customWidth="1"/>
    <col min="68" max="68" width="9.33203125" customWidth="1"/>
    <col min="70" max="70" width="9.6640625" customWidth="1"/>
    <col min="72" max="72" width="10" customWidth="1"/>
    <col min="73" max="73" width="9.5546875" customWidth="1"/>
    <col min="74" max="74" width="10.44140625" customWidth="1"/>
    <col min="76" max="76" width="10" customWidth="1"/>
    <col min="77" max="77" width="9.5546875" customWidth="1"/>
    <col min="78" max="78" width="10.44140625" customWidth="1"/>
    <col min="80" max="80" width="10" customWidth="1"/>
    <col min="81" max="81" width="9.5546875" customWidth="1"/>
    <col min="82" max="82" width="10.44140625" customWidth="1"/>
  </cols>
  <sheetData>
    <row r="1" spans="1:82" ht="26.4" customHeight="1" thickBot="1" x14ac:dyDescent="0.35">
      <c r="AE1" s="163" t="s">
        <v>678</v>
      </c>
    </row>
    <row r="2" spans="1:82" x14ac:dyDescent="0.3">
      <c r="B2" s="64" t="s">
        <v>679</v>
      </c>
      <c r="C2" s="67"/>
      <c r="D2" s="67"/>
      <c r="E2" s="67"/>
      <c r="F2" s="65"/>
      <c r="G2" s="66"/>
      <c r="H2" s="66"/>
      <c r="I2" s="65"/>
      <c r="J2" s="67" t="s">
        <v>680</v>
      </c>
      <c r="K2" s="68" t="s">
        <v>681</v>
      </c>
      <c r="M2" s="227" t="s">
        <v>682</v>
      </c>
      <c r="N2" s="228" t="s">
        <v>683</v>
      </c>
      <c r="O2" s="234" t="s">
        <v>684</v>
      </c>
      <c r="AE2" s="164" t="s">
        <v>590</v>
      </c>
      <c r="AF2" s="165" t="s">
        <v>20</v>
      </c>
      <c r="AG2" s="67"/>
      <c r="AH2" s="68" t="s">
        <v>681</v>
      </c>
      <c r="AI2" s="166">
        <v>44927</v>
      </c>
      <c r="AJ2" s="165" t="s">
        <v>20</v>
      </c>
      <c r="AK2" s="67"/>
      <c r="AL2" s="68" t="s">
        <v>681</v>
      </c>
      <c r="AM2" s="166">
        <v>44958</v>
      </c>
      <c r="AN2" s="165" t="s">
        <v>20</v>
      </c>
      <c r="AO2" s="67"/>
      <c r="AP2" s="68" t="s">
        <v>681</v>
      </c>
      <c r="AQ2" s="166">
        <v>44986</v>
      </c>
      <c r="AR2" s="165" t="s">
        <v>20</v>
      </c>
      <c r="AS2" s="67"/>
      <c r="AT2" s="68" t="s">
        <v>681</v>
      </c>
      <c r="AU2" s="166">
        <v>45017</v>
      </c>
      <c r="AV2" s="165" t="s">
        <v>20</v>
      </c>
      <c r="AW2" s="67"/>
      <c r="AX2" s="68" t="s">
        <v>681</v>
      </c>
      <c r="AY2" s="166">
        <v>45047</v>
      </c>
      <c r="AZ2" s="165" t="s">
        <v>20</v>
      </c>
      <c r="BA2" s="67"/>
      <c r="BB2" s="68" t="s">
        <v>681</v>
      </c>
      <c r="BC2" s="166">
        <v>45078</v>
      </c>
      <c r="BD2" s="165" t="s">
        <v>20</v>
      </c>
      <c r="BE2" s="67"/>
      <c r="BF2" s="68" t="s">
        <v>681</v>
      </c>
      <c r="BG2" s="166">
        <v>45108</v>
      </c>
      <c r="BH2" s="165" t="s">
        <v>20</v>
      </c>
      <c r="BI2" s="67"/>
      <c r="BJ2" s="68" t="s">
        <v>681</v>
      </c>
      <c r="BK2" s="166">
        <v>45139</v>
      </c>
      <c r="BL2" s="165" t="s">
        <v>20</v>
      </c>
      <c r="BM2" s="67"/>
      <c r="BN2" s="68" t="s">
        <v>681</v>
      </c>
      <c r="BO2" s="166">
        <v>45170</v>
      </c>
      <c r="BP2" s="165" t="s">
        <v>20</v>
      </c>
      <c r="BQ2" s="67"/>
      <c r="BR2" s="68" t="s">
        <v>681</v>
      </c>
      <c r="BS2" s="166">
        <v>45200</v>
      </c>
      <c r="BT2" s="165" t="s">
        <v>20</v>
      </c>
      <c r="BU2" s="67"/>
      <c r="BV2" s="68" t="s">
        <v>681</v>
      </c>
      <c r="BW2" s="166">
        <v>45231</v>
      </c>
      <c r="BX2" s="165" t="s">
        <v>20</v>
      </c>
      <c r="BY2" s="67"/>
      <c r="BZ2" s="68" t="s">
        <v>681</v>
      </c>
      <c r="CA2" s="166">
        <v>45261</v>
      </c>
      <c r="CB2" s="165" t="s">
        <v>20</v>
      </c>
      <c r="CC2" s="67"/>
      <c r="CD2" s="68" t="s">
        <v>681</v>
      </c>
    </row>
    <row r="3" spans="1:82" x14ac:dyDescent="0.3">
      <c r="A3" s="42" t="str">
        <f>"CPU_"&amp;LEFT(SUBSTITUTE(SUBSTITUTE(B3," ",""),"-",""),20)</f>
        <v>CPU_Alambrado</v>
      </c>
      <c r="B3" s="31" t="s">
        <v>809</v>
      </c>
      <c r="C3" s="1"/>
      <c r="D3" s="1"/>
      <c r="E3" s="1"/>
      <c r="F3" s="73"/>
      <c r="G3" s="74"/>
      <c r="H3" s="74"/>
      <c r="I3" s="73"/>
      <c r="J3" s="74" t="str">
        <f>IFERROR(VLOOKUP(B3,Tabela1[[NOME SERVIÇO]:[UNID]],4,0),"")</f>
        <v>UNID</v>
      </c>
      <c r="K3" s="75">
        <f>IFERROR(J6/B6,0)</f>
        <v>54774.238732004414</v>
      </c>
      <c r="M3" s="229" t="s">
        <v>685</v>
      </c>
      <c r="N3" s="230">
        <f>K11</f>
        <v>0</v>
      </c>
      <c r="O3" s="235">
        <f>IFERROR(N3/$N$7,0)</f>
        <v>0</v>
      </c>
      <c r="AE3" s="167"/>
      <c r="AF3" s="168">
        <f>AJ3+AN3+AR3+AV3+AZ3+BD3+BH3+BL3+BP3+BT3+BX3+CB3</f>
        <v>0</v>
      </c>
      <c r="AG3" s="74"/>
      <c r="AH3" s="75">
        <f>IFERROR((AG6/AF3),0)</f>
        <v>0</v>
      </c>
      <c r="AI3" s="167"/>
      <c r="AJ3" s="168">
        <f>IFERROR(SUMPRODUCT(Plan_Orc!$I$4:$I$2002*Plan_Orc!$AB$4:$AB$2002*(Plan_Orc!$D$4:$D$2002=$B3)),0)</f>
        <v>0</v>
      </c>
      <c r="AK3" s="74"/>
      <c r="AL3" s="75">
        <f>IFERROR((AK6/AJ3),0)</f>
        <v>0</v>
      </c>
      <c r="AM3" s="167"/>
      <c r="AN3" s="168">
        <f>IFERROR(SUMPRODUCT(Plan_Orc!$I$4:$I$2002*Plan_Orc!$AC$4:$AC$2002*(Plan_Orc!$D$4:$D$2002=$B3)),0)</f>
        <v>0</v>
      </c>
      <c r="AO3" s="74"/>
      <c r="AP3" s="75">
        <f>IFERROR((AO6/AN3),0)</f>
        <v>0</v>
      </c>
      <c r="AQ3" s="167"/>
      <c r="AR3" s="168">
        <f>IFERROR(SUMPRODUCT(Plan_Orc!$I$4:$I$2002*Plan_Orc!$AD$4:$AD$2002*(Plan_Orc!$D$4:$D$2002=$B3)),0)</f>
        <v>0</v>
      </c>
      <c r="AS3" s="74"/>
      <c r="AT3" s="75">
        <f>IFERROR((AS6/AR3),0)</f>
        <v>0</v>
      </c>
      <c r="AU3" s="167"/>
      <c r="AV3" s="168">
        <f>IFERROR(SUMPRODUCT(Plan_Orc!$I$4:$I$2002*Plan_Orc!$AE$4:$AE$2002*(Plan_Orc!$D$4:$D$2002=$B3)),0)</f>
        <v>0</v>
      </c>
      <c r="AW3" s="74"/>
      <c r="AX3" s="75">
        <f>IFERROR((AW6/AV3),0)</f>
        <v>0</v>
      </c>
      <c r="AY3" s="167"/>
      <c r="AZ3" s="168">
        <f>IFERROR(SUMPRODUCT(Plan_Orc!$I$4:$I$2002*Plan_Orc!$AF$4:$AF$2002*(Plan_Orc!$D$4:$D$2002=$B3)),0)</f>
        <v>0</v>
      </c>
      <c r="BA3" s="74"/>
      <c r="BB3" s="75">
        <f>IFERROR((BA6/AZ3),0)</f>
        <v>0</v>
      </c>
      <c r="BC3" s="167"/>
      <c r="BD3" s="168">
        <f>IFERROR(SUMPRODUCT(Plan_Orc!$I$4:$I$2002*Plan_Orc!$AG$4:$AG$2002*(Plan_Orc!$D$4:$D$2002=$B3)),0)</f>
        <v>0</v>
      </c>
      <c r="BE3" s="74"/>
      <c r="BF3" s="75">
        <f>IFERROR((BE6/BD3),0)</f>
        <v>0</v>
      </c>
      <c r="BG3" s="167"/>
      <c r="BH3" s="168">
        <f>IFERROR(SUMPRODUCT(Plan_Orc!$I$4:$I$2002*Plan_Orc!$AH$4:$AH$2002*(Plan_Orc!$D$4:$D$2002=$B3)),0)</f>
        <v>0</v>
      </c>
      <c r="BI3" s="74"/>
      <c r="BJ3" s="75">
        <f>IFERROR((BI6/BH3),0)</f>
        <v>0</v>
      </c>
      <c r="BK3" s="167"/>
      <c r="BL3" s="168">
        <f>IFERROR(SUMPRODUCT(Plan_Orc!$I$4:$I$2002*Plan_Orc!$AI$4:$AI$2002*(Plan_Orc!$D$4:$D$2002=$B3)),0)</f>
        <v>0</v>
      </c>
      <c r="BM3" s="74"/>
      <c r="BN3" s="75">
        <f>IFERROR((BM6/BL3),0)</f>
        <v>0</v>
      </c>
      <c r="BO3" s="167"/>
      <c r="BP3" s="168">
        <f>IFERROR(SUMPRODUCT(Plan_Orc!$I$4:$I$2002*Plan_Orc!$AJ$4:$AJ$2002*(Plan_Orc!$D$4:$D$2002=$B3)),0)</f>
        <v>0</v>
      </c>
      <c r="BQ3" s="74"/>
      <c r="BR3" s="75">
        <f>IFERROR((BQ6/BP3),0)</f>
        <v>0</v>
      </c>
      <c r="BS3" s="167"/>
      <c r="BT3" s="168">
        <f>IFERROR(SUMPRODUCT(Plan_Orc!$I$4:$I$2002*Plan_Orc!$AK$4:$AK$2002*(Plan_Orc!$D$4:$D$2002=$B3)),0)</f>
        <v>0</v>
      </c>
      <c r="BU3" s="74"/>
      <c r="BV3" s="75">
        <f>IFERROR((BU6/BT3),0)</f>
        <v>0</v>
      </c>
      <c r="BW3" s="167"/>
      <c r="BX3" s="168">
        <f>IFERROR(SUMPRODUCT(Plan_Orc!$I$4:$I$2002*Plan_Orc!$AL$4:$AL$2002*(Plan_Orc!$D$4:$D$2002=$B3)),0)</f>
        <v>0</v>
      </c>
      <c r="BY3" s="74"/>
      <c r="BZ3" s="75">
        <f>IFERROR((BY6/BX3),0)</f>
        <v>0</v>
      </c>
      <c r="CA3" s="167"/>
      <c r="CB3" s="168">
        <f>IFERROR(SUMPRODUCT(Plan_Orc!$I$4:$I$2002*Plan_Orc!$AM$4:$AM$2002*(Plan_Orc!$D$4:$D$2002=$B3)),0)</f>
        <v>0</v>
      </c>
      <c r="CC3" s="74"/>
      <c r="CD3" s="75">
        <f>IFERROR((CC6/CB3),0)</f>
        <v>0</v>
      </c>
    </row>
    <row r="4" spans="1:82" x14ac:dyDescent="0.3">
      <c r="B4" s="32"/>
      <c r="K4" s="30"/>
      <c r="M4" s="229" t="s">
        <v>686</v>
      </c>
      <c r="N4" s="230">
        <f>+K24</f>
        <v>0</v>
      </c>
      <c r="O4" s="235">
        <f>IFERROR(N4/$N$7,0)</f>
        <v>0</v>
      </c>
      <c r="AE4" s="169"/>
      <c r="AH4" s="30"/>
      <c r="AI4" s="169"/>
      <c r="AL4" s="30"/>
      <c r="AM4" s="169"/>
      <c r="AP4" s="30"/>
      <c r="AQ4" s="169"/>
      <c r="AT4" s="30"/>
      <c r="AU4" s="169"/>
      <c r="AX4" s="30"/>
      <c r="AY4" s="169"/>
      <c r="BB4" s="30"/>
      <c r="BC4" s="169"/>
      <c r="BF4" s="30"/>
      <c r="BG4" s="169"/>
      <c r="BJ4" s="30"/>
      <c r="BK4" s="169"/>
      <c r="BN4" s="30"/>
      <c r="BO4" s="169"/>
      <c r="BR4" s="30"/>
      <c r="BS4" s="169"/>
      <c r="BV4" s="30"/>
      <c r="BW4" s="169"/>
      <c r="BZ4" s="30"/>
      <c r="CA4" s="169"/>
      <c r="CD4" s="30"/>
    </row>
    <row r="5" spans="1:82" x14ac:dyDescent="0.3">
      <c r="B5" s="69" t="s">
        <v>687</v>
      </c>
      <c r="C5" s="72"/>
      <c r="D5" s="72"/>
      <c r="E5" s="72"/>
      <c r="F5" s="70" t="s">
        <v>688</v>
      </c>
      <c r="G5" s="70" t="s">
        <v>689</v>
      </c>
      <c r="H5" s="70" t="s">
        <v>690</v>
      </c>
      <c r="I5" s="70" t="s">
        <v>691</v>
      </c>
      <c r="J5" s="70" t="s">
        <v>683</v>
      </c>
      <c r="K5" s="71" t="s">
        <v>593</v>
      </c>
      <c r="M5" s="229" t="s">
        <v>692</v>
      </c>
      <c r="N5" s="230">
        <f>+K37</f>
        <v>937.0643345337744</v>
      </c>
      <c r="O5" s="235">
        <f>IFERROR(N5/$N$7,0)</f>
        <v>0.17107756423938225</v>
      </c>
      <c r="AE5" s="170"/>
      <c r="AF5" s="70" t="s">
        <v>691</v>
      </c>
      <c r="AG5" s="70" t="s">
        <v>683</v>
      </c>
      <c r="AH5" s="71" t="s">
        <v>593</v>
      </c>
      <c r="AI5" s="170"/>
      <c r="AJ5" s="70" t="s">
        <v>691</v>
      </c>
      <c r="AK5" s="70" t="s">
        <v>683</v>
      </c>
      <c r="AL5" s="71" t="s">
        <v>593</v>
      </c>
      <c r="AM5" s="170"/>
      <c r="AN5" s="70" t="s">
        <v>691</v>
      </c>
      <c r="AO5" s="70" t="s">
        <v>683</v>
      </c>
      <c r="AP5" s="71" t="s">
        <v>593</v>
      </c>
      <c r="AQ5" s="170"/>
      <c r="AR5" s="70" t="s">
        <v>691</v>
      </c>
      <c r="AS5" s="70" t="s">
        <v>683</v>
      </c>
      <c r="AT5" s="71" t="s">
        <v>593</v>
      </c>
      <c r="AU5" s="170"/>
      <c r="AV5" s="70" t="s">
        <v>691</v>
      </c>
      <c r="AW5" s="70" t="s">
        <v>683</v>
      </c>
      <c r="AX5" s="71" t="s">
        <v>593</v>
      </c>
      <c r="AY5" s="170"/>
      <c r="AZ5" s="70" t="s">
        <v>691</v>
      </c>
      <c r="BA5" s="70" t="s">
        <v>683</v>
      </c>
      <c r="BB5" s="71" t="s">
        <v>593</v>
      </c>
      <c r="BC5" s="170"/>
      <c r="BD5" s="70" t="s">
        <v>691</v>
      </c>
      <c r="BE5" s="70" t="s">
        <v>683</v>
      </c>
      <c r="BF5" s="71" t="s">
        <v>593</v>
      </c>
      <c r="BG5" s="170"/>
      <c r="BH5" s="70" t="s">
        <v>691</v>
      </c>
      <c r="BI5" s="70" t="s">
        <v>683</v>
      </c>
      <c r="BJ5" s="71" t="s">
        <v>593</v>
      </c>
      <c r="BK5" s="170"/>
      <c r="BL5" s="70" t="s">
        <v>691</v>
      </c>
      <c r="BM5" s="70" t="s">
        <v>683</v>
      </c>
      <c r="BN5" s="71" t="s">
        <v>593</v>
      </c>
      <c r="BO5" s="170"/>
      <c r="BP5" s="70" t="s">
        <v>691</v>
      </c>
      <c r="BQ5" s="70" t="s">
        <v>683</v>
      </c>
      <c r="BR5" s="71" t="s">
        <v>593</v>
      </c>
      <c r="BS5" s="170"/>
      <c r="BT5" s="70" t="s">
        <v>691</v>
      </c>
      <c r="BU5" s="70" t="s">
        <v>683</v>
      </c>
      <c r="BV5" s="71" t="s">
        <v>593</v>
      </c>
      <c r="BW5" s="170"/>
      <c r="BX5" s="70" t="s">
        <v>691</v>
      </c>
      <c r="BY5" s="70" t="s">
        <v>683</v>
      </c>
      <c r="BZ5" s="71" t="s">
        <v>593</v>
      </c>
      <c r="CA5" s="170"/>
      <c r="CB5" s="70" t="s">
        <v>691</v>
      </c>
      <c r="CC5" s="70" t="s">
        <v>683</v>
      </c>
      <c r="CD5" s="71" t="s">
        <v>593</v>
      </c>
    </row>
    <row r="6" spans="1:82" s="2" customFormat="1" ht="30" customHeight="1" x14ac:dyDescent="0.3">
      <c r="B6" s="33">
        <f>1/10</f>
        <v>0.1</v>
      </c>
      <c r="C6" s="275"/>
      <c r="D6" s="275"/>
      <c r="E6" s="275"/>
      <c r="F6" s="27"/>
      <c r="G6" s="35">
        <v>1</v>
      </c>
      <c r="H6" s="81" t="s">
        <v>347</v>
      </c>
      <c r="I6" s="55">
        <f>IFERROR(I7/B7*B6,0)</f>
        <v>0</v>
      </c>
      <c r="J6" s="55">
        <f>K11+K24+K37+K50</f>
        <v>5477.4238732004414</v>
      </c>
      <c r="K6" s="56">
        <f>IFERROR((I6-J6)/I6-PARAMETROS!C19,0)</f>
        <v>0</v>
      </c>
      <c r="M6" s="229" t="s">
        <v>693</v>
      </c>
      <c r="N6" s="230">
        <f>+K50</f>
        <v>4540.3595386666666</v>
      </c>
      <c r="O6" s="235">
        <f>IFERROR(N6/$N$7,0)</f>
        <v>0.82892243576061764</v>
      </c>
      <c r="AE6" s="171"/>
      <c r="AF6" s="55">
        <f>AJ6+AN6+AR6+AV6+AZ6+BD6+BH6+BL6+BP6+BT6+BX6+CB6</f>
        <v>0</v>
      </c>
      <c r="AG6" s="55">
        <f>AH11+AH24+AH37+AH50</f>
        <v>0</v>
      </c>
      <c r="AH6" s="56">
        <f>IFERROR((AF6-AG6)/AF6,0)</f>
        <v>0</v>
      </c>
      <c r="AI6" s="171"/>
      <c r="AJ6" s="55"/>
      <c r="AK6" s="55">
        <f>AL11+AL24+AL37+AL50</f>
        <v>0</v>
      </c>
      <c r="AL6" s="56">
        <f>IFERROR((AJ6-AK6)/AJ6,0)</f>
        <v>0</v>
      </c>
      <c r="AM6" s="171"/>
      <c r="AN6" s="55"/>
      <c r="AO6" s="55">
        <f>AP11+AP24+AP37+AP50</f>
        <v>0</v>
      </c>
      <c r="AP6" s="56">
        <f>IFERROR((AN6-AO6)/AN6,0)</f>
        <v>0</v>
      </c>
      <c r="AQ6" s="171"/>
      <c r="AR6" s="55"/>
      <c r="AS6" s="55">
        <f>AT11+AT24+AT37+AT50</f>
        <v>0</v>
      </c>
      <c r="AT6" s="56">
        <f>IFERROR((AR6-AS6)/AR6,0)</f>
        <v>0</v>
      </c>
      <c r="AU6" s="171"/>
      <c r="AV6" s="55"/>
      <c r="AW6" s="55">
        <f>AX11+AX24+AX37+AX50</f>
        <v>0</v>
      </c>
      <c r="AX6" s="56">
        <f>IFERROR((AV6-AW6)/AV6,0)</f>
        <v>0</v>
      </c>
      <c r="AY6" s="171"/>
      <c r="AZ6" s="55"/>
      <c r="BA6" s="55">
        <f>BB11+BB24+BB37+BB50</f>
        <v>0</v>
      </c>
      <c r="BB6" s="56">
        <f>IFERROR((AZ6-BA6)/AZ6,0)</f>
        <v>0</v>
      </c>
      <c r="BC6" s="171"/>
      <c r="BD6" s="55"/>
      <c r="BE6" s="55">
        <f>BF11+BF24+BF37+BF50</f>
        <v>0</v>
      </c>
      <c r="BF6" s="56">
        <f>IFERROR((BD6-BE6)/BD6,0)</f>
        <v>0</v>
      </c>
      <c r="BG6" s="171"/>
      <c r="BH6" s="55"/>
      <c r="BI6" s="55">
        <f>BJ11+BJ24+BJ37+BJ50</f>
        <v>0</v>
      </c>
      <c r="BJ6" s="56">
        <f>IFERROR((BH6-BI6)/BH6,0)</f>
        <v>0</v>
      </c>
      <c r="BK6" s="171"/>
      <c r="BL6" s="55"/>
      <c r="BM6" s="55">
        <f>BN11+BN24+BN37+BN50</f>
        <v>0</v>
      </c>
      <c r="BN6" s="56">
        <f>IFERROR((BL6-BM6)/BL6,0)</f>
        <v>0</v>
      </c>
      <c r="BO6" s="171"/>
      <c r="BP6" s="55"/>
      <c r="BQ6" s="55">
        <f>BR11+BR24+BR37+BR50</f>
        <v>0</v>
      </c>
      <c r="BR6" s="56">
        <f>IFERROR((BP6-BQ6)/BP6,0)</f>
        <v>0</v>
      </c>
      <c r="BS6" s="171"/>
      <c r="BT6" s="55"/>
      <c r="BU6" s="55">
        <f>BV11+BV24+BV37+BV50</f>
        <v>0</v>
      </c>
      <c r="BV6" s="56">
        <f>IFERROR((BT6-BU6)/BT6,0)</f>
        <v>0</v>
      </c>
      <c r="BW6" s="171"/>
      <c r="BX6" s="55"/>
      <c r="BY6" s="55">
        <f>BZ11+BZ24+BZ37+BZ50</f>
        <v>0</v>
      </c>
      <c r="BZ6" s="56">
        <f>IFERROR((BX6-BY6)/BX6,0)</f>
        <v>0</v>
      </c>
      <c r="CA6" s="171"/>
      <c r="CB6" s="55"/>
      <c r="CC6" s="55">
        <f>CD11+CD24+CD37+CD50</f>
        <v>0</v>
      </c>
      <c r="CD6" s="56">
        <f>IFERROR((CB6-CC6)/CB6,0)</f>
        <v>0</v>
      </c>
    </row>
    <row r="7" spans="1:82" s="2" customFormat="1" ht="30" customHeight="1" thickBot="1" x14ac:dyDescent="0.35">
      <c r="B7" s="34">
        <f>IFERROR(VLOOKUP(B3,Lucratividade!G4:N853,2,0),0)</f>
        <v>0</v>
      </c>
      <c r="C7" s="276"/>
      <c r="D7" s="276"/>
      <c r="E7" s="276"/>
      <c r="F7" s="50"/>
      <c r="G7" s="36">
        <f>IFERROR(B7/B6,0)</f>
        <v>0</v>
      </c>
      <c r="H7" s="82" t="s">
        <v>347</v>
      </c>
      <c r="I7" s="57">
        <f>IFERROR(VLOOKUP(B3,Lucratividade!G4:N132,6,0),0)</f>
        <v>0</v>
      </c>
      <c r="J7" s="58">
        <f>B7*K3</f>
        <v>0</v>
      </c>
      <c r="K7" s="59">
        <f>IFERROR((I7-J7)/I7-PARAMETROS!C19,0)</f>
        <v>0</v>
      </c>
      <c r="M7" s="231" t="s">
        <v>694</v>
      </c>
      <c r="N7" s="232">
        <f>SUM(N3:N6)</f>
        <v>5477.4238732004414</v>
      </c>
      <c r="O7" s="236"/>
      <c r="AE7" s="172"/>
      <c r="AF7" s="57"/>
      <c r="AG7" s="58"/>
      <c r="AH7" s="59"/>
      <c r="AI7" s="172"/>
      <c r="AJ7" s="57"/>
      <c r="AK7" s="58"/>
      <c r="AL7" s="59"/>
      <c r="AM7" s="172"/>
      <c r="AN7" s="57"/>
      <c r="AO7" s="58"/>
      <c r="AP7" s="59"/>
      <c r="AQ7" s="172"/>
      <c r="AR7" s="57"/>
      <c r="AS7" s="58"/>
      <c r="AT7" s="59"/>
      <c r="AU7" s="172"/>
      <c r="AV7" s="57"/>
      <c r="AW7" s="58"/>
      <c r="AX7" s="59"/>
      <c r="AY7" s="172"/>
      <c r="AZ7" s="57"/>
      <c r="BA7" s="58"/>
      <c r="BB7" s="59"/>
      <c r="BC7" s="172"/>
      <c r="BD7" s="57"/>
      <c r="BE7" s="58"/>
      <c r="BF7" s="59"/>
      <c r="BG7" s="172"/>
      <c r="BH7" s="57"/>
      <c r="BI7" s="58"/>
      <c r="BJ7" s="59"/>
      <c r="BK7" s="172"/>
      <c r="BL7" s="57"/>
      <c r="BM7" s="58"/>
      <c r="BN7" s="59"/>
      <c r="BO7" s="172"/>
      <c r="BP7" s="57"/>
      <c r="BQ7" s="58"/>
      <c r="BR7" s="59"/>
      <c r="BS7" s="172"/>
      <c r="BT7" s="57"/>
      <c r="BU7" s="58"/>
      <c r="BV7" s="59"/>
      <c r="BW7" s="172"/>
      <c r="BX7" s="57"/>
      <c r="BY7" s="58"/>
      <c r="BZ7" s="59"/>
      <c r="CA7" s="172"/>
      <c r="CB7" s="57"/>
      <c r="CC7" s="58"/>
      <c r="CD7" s="59"/>
    </row>
    <row r="8" spans="1:82" ht="4.2" customHeight="1" x14ac:dyDescent="0.3">
      <c r="AE8" s="28"/>
      <c r="AI8" s="28"/>
      <c r="AM8" s="28"/>
      <c r="AQ8" s="28"/>
      <c r="AU8" s="28"/>
      <c r="AY8" s="28"/>
      <c r="BC8" s="28"/>
      <c r="BG8" s="28"/>
      <c r="BK8" s="28"/>
      <c r="BO8" s="28"/>
      <c r="BS8" s="28"/>
      <c r="BW8" s="28"/>
      <c r="CA8" s="28"/>
    </row>
    <row r="9" spans="1:82" ht="4.95" customHeight="1" thickBot="1" x14ac:dyDescent="0.35">
      <c r="AE9" s="28"/>
      <c r="AI9" s="28"/>
      <c r="AM9" s="28"/>
      <c r="AQ9" s="28"/>
      <c r="AU9" s="28"/>
      <c r="AY9" s="28"/>
      <c r="BC9" s="28"/>
      <c r="BG9" s="28"/>
      <c r="BK9" s="28"/>
      <c r="BO9" s="28"/>
      <c r="BS9" s="28"/>
      <c r="BW9" s="28"/>
      <c r="CA9" s="28"/>
    </row>
    <row r="10" spans="1:82" ht="15" thickBot="1" x14ac:dyDescent="0.35">
      <c r="B10" s="72" t="s">
        <v>695</v>
      </c>
      <c r="C10" s="72" t="s">
        <v>679</v>
      </c>
      <c r="D10" s="72" t="s">
        <v>696</v>
      </c>
      <c r="E10" s="72" t="s">
        <v>697</v>
      </c>
      <c r="F10" s="72" t="s">
        <v>17</v>
      </c>
      <c r="G10" s="70" t="s">
        <v>690</v>
      </c>
      <c r="H10" s="70" t="s">
        <v>698</v>
      </c>
      <c r="I10" s="72" t="s">
        <v>20</v>
      </c>
      <c r="J10" s="72" t="s">
        <v>699</v>
      </c>
      <c r="K10" s="72" t="s">
        <v>700</v>
      </c>
      <c r="M10" s="83" t="s">
        <v>701</v>
      </c>
      <c r="N10" s="87" t="s">
        <v>702</v>
      </c>
      <c r="AD10" s="173" t="s">
        <v>703</v>
      </c>
      <c r="AE10" s="170" t="s">
        <v>698</v>
      </c>
      <c r="AF10" s="70" t="s">
        <v>20</v>
      </c>
      <c r="AG10" s="70" t="s">
        <v>699</v>
      </c>
      <c r="AH10" s="70" t="s">
        <v>700</v>
      </c>
      <c r="AI10" s="173" t="s">
        <v>704</v>
      </c>
      <c r="AJ10" s="174" t="s">
        <v>705</v>
      </c>
      <c r="AK10" s="174" t="s">
        <v>706</v>
      </c>
      <c r="AL10" s="175" t="s">
        <v>707</v>
      </c>
      <c r="AM10" s="173" t="s">
        <v>708</v>
      </c>
      <c r="AN10" s="174" t="s">
        <v>709</v>
      </c>
      <c r="AO10" s="174" t="s">
        <v>710</v>
      </c>
      <c r="AP10" s="175" t="s">
        <v>711</v>
      </c>
      <c r="AQ10" s="173" t="s">
        <v>712</v>
      </c>
      <c r="AR10" s="174" t="s">
        <v>713</v>
      </c>
      <c r="AS10" s="174" t="s">
        <v>714</v>
      </c>
      <c r="AT10" s="175" t="s">
        <v>715</v>
      </c>
      <c r="AU10" s="173" t="s">
        <v>716</v>
      </c>
      <c r="AV10" s="174" t="s">
        <v>717</v>
      </c>
      <c r="AW10" s="174" t="s">
        <v>718</v>
      </c>
      <c r="AX10" s="175" t="s">
        <v>719</v>
      </c>
      <c r="AY10" s="173" t="s">
        <v>720</v>
      </c>
      <c r="AZ10" s="174" t="s">
        <v>721</v>
      </c>
      <c r="BA10" s="174" t="s">
        <v>722</v>
      </c>
      <c r="BB10" s="175" t="s">
        <v>723</v>
      </c>
      <c r="BC10" s="173" t="s">
        <v>724</v>
      </c>
      <c r="BD10" s="174" t="s">
        <v>725</v>
      </c>
      <c r="BE10" s="174" t="s">
        <v>726</v>
      </c>
      <c r="BF10" s="175" t="s">
        <v>727</v>
      </c>
      <c r="BG10" s="173" t="s">
        <v>728</v>
      </c>
      <c r="BH10" s="174" t="s">
        <v>729</v>
      </c>
      <c r="BI10" s="174" t="s">
        <v>730</v>
      </c>
      <c r="BJ10" s="175" t="s">
        <v>731</v>
      </c>
      <c r="BK10" s="173" t="s">
        <v>732</v>
      </c>
      <c r="BL10" s="174" t="s">
        <v>733</v>
      </c>
      <c r="BM10" s="174" t="s">
        <v>734</v>
      </c>
      <c r="BN10" s="175" t="s">
        <v>735</v>
      </c>
      <c r="BO10" s="173" t="s">
        <v>736</v>
      </c>
      <c r="BP10" s="174" t="s">
        <v>737</v>
      </c>
      <c r="BQ10" s="174" t="s">
        <v>738</v>
      </c>
      <c r="BR10" s="175" t="s">
        <v>739</v>
      </c>
      <c r="BS10" s="173" t="s">
        <v>740</v>
      </c>
      <c r="BT10" s="174" t="s">
        <v>741</v>
      </c>
      <c r="BU10" s="174" t="s">
        <v>742</v>
      </c>
      <c r="BV10" s="175" t="s">
        <v>743</v>
      </c>
      <c r="BW10" s="173" t="s">
        <v>744</v>
      </c>
      <c r="BX10" s="174" t="s">
        <v>745</v>
      </c>
      <c r="BY10" s="174" t="s">
        <v>746</v>
      </c>
      <c r="BZ10" s="175" t="s">
        <v>747</v>
      </c>
      <c r="CA10" s="173" t="s">
        <v>748</v>
      </c>
      <c r="CB10" s="174" t="s">
        <v>749</v>
      </c>
      <c r="CC10" s="174" t="s">
        <v>750</v>
      </c>
      <c r="CD10" s="174" t="s">
        <v>751</v>
      </c>
    </row>
    <row r="11" spans="1:82" x14ac:dyDescent="0.3">
      <c r="B11" s="52" t="s">
        <v>752</v>
      </c>
      <c r="C11" s="52" t="str">
        <f t="shared" ref="C11:C62" si="0">$A$3</f>
        <v>CPU_Alambrado</v>
      </c>
      <c r="D11" s="277">
        <f t="shared" ref="D11:D62" si="1">$B$6</f>
        <v>0.1</v>
      </c>
      <c r="E11" s="277">
        <f t="shared" ref="E11:E62" si="2">$B$7</f>
        <v>0</v>
      </c>
      <c r="F11" s="37"/>
      <c r="G11" s="38"/>
      <c r="H11" s="91"/>
      <c r="I11" s="40"/>
      <c r="J11" s="40">
        <f>IFERROR(K11/$B$6,0)</f>
        <v>0</v>
      </c>
      <c r="K11" s="40">
        <f>SUM(K12:K23)</f>
        <v>0</v>
      </c>
      <c r="M11" s="294" t="s">
        <v>753</v>
      </c>
      <c r="N11" s="295" t="s">
        <v>754</v>
      </c>
      <c r="O11" s="296" t="s">
        <v>755</v>
      </c>
      <c r="AD11" s="144" t="str">
        <f>$B$3</f>
        <v>Alambrado</v>
      </c>
      <c r="AE11" s="176"/>
      <c r="AF11" s="177"/>
      <c r="AG11" s="177">
        <f>IFERROR(AH11/AF$3,0)</f>
        <v>0</v>
      </c>
      <c r="AH11" s="178">
        <f>SUM(AH12:AH23)</f>
        <v>0</v>
      </c>
      <c r="AI11" s="176"/>
      <c r="AJ11" s="177"/>
      <c r="AK11" s="177">
        <f>IFERROR(AL11/AJ$3,0)</f>
        <v>0</v>
      </c>
      <c r="AL11" s="178">
        <f>SUM(AL12:AL23)</f>
        <v>0</v>
      </c>
      <c r="AM11" s="176"/>
      <c r="AN11" s="177"/>
      <c r="AO11" s="177">
        <f>IFERROR(AP11/AN$3,0)</f>
        <v>0</v>
      </c>
      <c r="AP11" s="178">
        <f>SUM(AP12:AP23)</f>
        <v>0</v>
      </c>
      <c r="AQ11" s="176"/>
      <c r="AR11" s="177"/>
      <c r="AS11" s="177">
        <f>IFERROR(AT11/AR$3,0)</f>
        <v>0</v>
      </c>
      <c r="AT11" s="178">
        <f>SUM(AT12:AT23)</f>
        <v>0</v>
      </c>
      <c r="AU11" s="176"/>
      <c r="AV11" s="177"/>
      <c r="AW11" s="177">
        <f>IFERROR(AX11/AV$3,0)</f>
        <v>0</v>
      </c>
      <c r="AX11" s="178">
        <f>SUM(AX12:AX23)</f>
        <v>0</v>
      </c>
      <c r="AY11" s="176"/>
      <c r="AZ11" s="177"/>
      <c r="BA11" s="177">
        <f>IFERROR(BB11/AZ$3,0)</f>
        <v>0</v>
      </c>
      <c r="BB11" s="178">
        <f>SUM(BB12:BB23)</f>
        <v>0</v>
      </c>
      <c r="BC11" s="176"/>
      <c r="BD11" s="177"/>
      <c r="BE11" s="177">
        <f>IFERROR(BF11/BD$3,0)</f>
        <v>0</v>
      </c>
      <c r="BF11" s="178">
        <f>SUM(BF12:BF23)</f>
        <v>0</v>
      </c>
      <c r="BG11" s="176"/>
      <c r="BH11" s="177"/>
      <c r="BI11" s="177">
        <f>IFERROR(BJ11/BH$3,0)</f>
        <v>0</v>
      </c>
      <c r="BJ11" s="178">
        <f>SUM(BJ12:BJ23)</f>
        <v>0</v>
      </c>
      <c r="BK11" s="176"/>
      <c r="BL11" s="177"/>
      <c r="BM11" s="177">
        <f>IFERROR(BN11/BL$3,0)</f>
        <v>0</v>
      </c>
      <c r="BN11" s="178">
        <f>SUM(BN12:BN23)</f>
        <v>0</v>
      </c>
      <c r="BO11" s="176"/>
      <c r="BP11" s="177"/>
      <c r="BQ11" s="177">
        <f>IFERROR(BR11/BP$3,0)</f>
        <v>0</v>
      </c>
      <c r="BR11" s="178">
        <f>SUM(BR12:BR23)</f>
        <v>0</v>
      </c>
      <c r="BS11" s="176"/>
      <c r="BT11" s="177"/>
      <c r="BU11" s="177">
        <f>IFERROR(BV11/BT$3,0)</f>
        <v>0</v>
      </c>
      <c r="BV11" s="178">
        <f>SUM(BV12:BV23)</f>
        <v>0</v>
      </c>
      <c r="BW11" s="176"/>
      <c r="BX11" s="177"/>
      <c r="BY11" s="177">
        <f>IFERROR(BZ11/BX$3,0)</f>
        <v>0</v>
      </c>
      <c r="BZ11" s="178">
        <f>SUM(BZ12:BZ23)</f>
        <v>0</v>
      </c>
      <c r="CA11" s="176"/>
      <c r="CB11" s="177"/>
      <c r="CC11" s="177">
        <f>IFERROR(CD11/CB$3,0)</f>
        <v>0</v>
      </c>
      <c r="CD11" s="178">
        <f>SUM(CD12:CD23)</f>
        <v>0</v>
      </c>
    </row>
    <row r="12" spans="1:82" x14ac:dyDescent="0.3">
      <c r="B12" s="53"/>
      <c r="C12" s="53" t="str">
        <f t="shared" si="0"/>
        <v>CPU_Alambrado</v>
      </c>
      <c r="D12" s="278">
        <f t="shared" si="1"/>
        <v>0.1</v>
      </c>
      <c r="E12" s="278">
        <f t="shared" si="2"/>
        <v>0</v>
      </c>
      <c r="F12" s="46"/>
      <c r="G12" s="28" t="str">
        <f>IFERROR(VLOOKUP(F12,Tabela7[[RECURSO]:[CUSTO]],2,FALSE),"")</f>
        <v/>
      </c>
      <c r="H12" s="92"/>
      <c r="I12" s="90"/>
      <c r="J12" s="45">
        <f>IFERROR(VLOOKUP(F12,Tabela7[[RECURSO]:[CUSTO]],3,FALSE),0)</f>
        <v>0</v>
      </c>
      <c r="K12" s="45">
        <f>I12*J12*CPU_37[[#This Row],[Nº]]</f>
        <v>0</v>
      </c>
      <c r="M12" s="31"/>
      <c r="N12" s="297"/>
      <c r="O12" s="60">
        <f>IFERROR($B$6/(H12*I12*N12),0)</f>
        <v>0</v>
      </c>
      <c r="AD12" s="144" t="str">
        <f t="shared" ref="AD12:AD62" si="3">$B$3</f>
        <v>Alambrado</v>
      </c>
      <c r="AE12" s="179"/>
      <c r="AF12" s="180">
        <f>AJ12+AN12+AR12+AV12+AZ12+BD12+BH12+BL12+BP12+BT12+BX12+CB12</f>
        <v>0</v>
      </c>
      <c r="AG12" s="180">
        <f>IFERROR(AH12/AF12,0)</f>
        <v>0</v>
      </c>
      <c r="AH12" s="181">
        <f>AL12+AP12+AT12+AX12+BB12+BF12+BJ12+BN12+BR12+BV12+BZ12+CD12</f>
        <v>0</v>
      </c>
      <c r="AI12" s="182"/>
      <c r="AJ12" s="90"/>
      <c r="AK12" s="90"/>
      <c r="AL12" s="183">
        <f>AJ12*AK12</f>
        <v>0</v>
      </c>
      <c r="AM12" s="182"/>
      <c r="AN12" s="90"/>
      <c r="AO12" s="90"/>
      <c r="AP12" s="183">
        <f t="shared" ref="AP12:AP23" si="4">AN12*AO12</f>
        <v>0</v>
      </c>
      <c r="AQ12" s="182"/>
      <c r="AR12" s="90"/>
      <c r="AS12" s="90"/>
      <c r="AT12" s="183">
        <f t="shared" ref="AT12:AT23" si="5">AR12*AS12</f>
        <v>0</v>
      </c>
      <c r="AU12" s="182"/>
      <c r="AV12" s="90"/>
      <c r="AW12" s="90"/>
      <c r="AX12" s="183">
        <f t="shared" ref="AX12:AX23" si="6">AV12*AW12</f>
        <v>0</v>
      </c>
      <c r="AY12" s="182"/>
      <c r="AZ12" s="90"/>
      <c r="BA12" s="90"/>
      <c r="BB12" s="183">
        <f t="shared" ref="BB12:BB23" si="7">AZ12*BA12</f>
        <v>0</v>
      </c>
      <c r="BC12" s="182"/>
      <c r="BD12" s="90"/>
      <c r="BE12" s="90"/>
      <c r="BF12" s="183">
        <f t="shared" ref="BF12:BF23" si="8">BD12*BE12</f>
        <v>0</v>
      </c>
      <c r="BG12" s="182"/>
      <c r="BH12" s="90"/>
      <c r="BI12" s="90"/>
      <c r="BJ12" s="183">
        <f t="shared" ref="BJ12:BJ23" si="9">BH12*BI12</f>
        <v>0</v>
      </c>
      <c r="BK12" s="182"/>
      <c r="BL12" s="90"/>
      <c r="BM12" s="90"/>
      <c r="BN12" s="183">
        <f t="shared" ref="BN12:BN23" si="10">BL12*BM12</f>
        <v>0</v>
      </c>
      <c r="BO12" s="182"/>
      <c r="BP12" s="90"/>
      <c r="BQ12" s="90"/>
      <c r="BR12" s="183">
        <f t="shared" ref="BR12:BR23" si="11">BP12*BQ12</f>
        <v>0</v>
      </c>
      <c r="BS12" s="182"/>
      <c r="BT12" s="90"/>
      <c r="BU12" s="90"/>
      <c r="BV12" s="183">
        <f t="shared" ref="BV12:BV23" si="12">BT12*BU12</f>
        <v>0</v>
      </c>
      <c r="BW12" s="182"/>
      <c r="BX12" s="90"/>
      <c r="BY12" s="90"/>
      <c r="BZ12" s="183">
        <f t="shared" ref="BZ12:BZ23" si="13">BX12*BY12</f>
        <v>0</v>
      </c>
      <c r="CA12" s="182"/>
      <c r="CB12" s="90"/>
      <c r="CC12" s="90"/>
      <c r="CD12" s="183">
        <f t="shared" ref="CD12:CD23" si="14">CB12*CC12</f>
        <v>0</v>
      </c>
    </row>
    <row r="13" spans="1:82" x14ac:dyDescent="0.3">
      <c r="B13" s="53"/>
      <c r="C13" s="53" t="str">
        <f t="shared" si="0"/>
        <v>CPU_Alambrado</v>
      </c>
      <c r="D13" s="278">
        <f t="shared" si="1"/>
        <v>0.1</v>
      </c>
      <c r="E13" s="278">
        <f t="shared" si="2"/>
        <v>0</v>
      </c>
      <c r="F13" s="1"/>
      <c r="G13" s="28" t="str">
        <f>IFERROR(VLOOKUP(F13,Tabela7[[RECURSO]:[CUSTO]],2,FALSE),"")</f>
        <v/>
      </c>
      <c r="H13" s="92"/>
      <c r="I13" s="90"/>
      <c r="J13" s="45">
        <f>IFERROR(VLOOKUP(F13,Tabela7[[RECURSO]:[CUSTO]],3,FALSE),0)</f>
        <v>0</v>
      </c>
      <c r="K13" s="45">
        <f>I13*J13*CPU_37[[#This Row],[Nº]]</f>
        <v>0</v>
      </c>
      <c r="M13" s="31"/>
      <c r="N13" s="297"/>
      <c r="O13" s="60">
        <f t="shared" ref="O13:O23" si="15">IFERROR($B$6/(H13*I13),0)</f>
        <v>0</v>
      </c>
      <c r="AD13" s="144" t="str">
        <f t="shared" si="3"/>
        <v>Alambrado</v>
      </c>
      <c r="AE13" s="179"/>
      <c r="AF13" s="180">
        <f t="shared" ref="AF13:AF23" si="16">AJ13+AN13+AR13+AV13+AZ13+BD13+BH13+BL13+BP13+BT13+BX13+CB13</f>
        <v>0</v>
      </c>
      <c r="AG13" s="180">
        <f t="shared" ref="AG13:AG62" si="17">IFERROR(AH13/AF13,0)</f>
        <v>0</v>
      </c>
      <c r="AH13" s="181">
        <f t="shared" ref="AH13:AH23" si="18">AL13+AP13+AT13+AX13+BB13+BF13+BJ13+BN13+BR13+BV13+BZ13+CD13</f>
        <v>0</v>
      </c>
      <c r="AI13" s="182"/>
      <c r="AJ13" s="90"/>
      <c r="AK13" s="90"/>
      <c r="AL13" s="183">
        <f t="shared" ref="AL13:AL23" si="19">AJ13*AK13</f>
        <v>0</v>
      </c>
      <c r="AM13" s="182"/>
      <c r="AN13" s="90"/>
      <c r="AO13" s="90"/>
      <c r="AP13" s="183">
        <f t="shared" si="4"/>
        <v>0</v>
      </c>
      <c r="AQ13" s="182"/>
      <c r="AR13" s="90"/>
      <c r="AS13" s="90"/>
      <c r="AT13" s="183">
        <f t="shared" si="5"/>
        <v>0</v>
      </c>
      <c r="AU13" s="182"/>
      <c r="AV13" s="90"/>
      <c r="AW13" s="90"/>
      <c r="AX13" s="183">
        <f t="shared" si="6"/>
        <v>0</v>
      </c>
      <c r="AY13" s="182"/>
      <c r="AZ13" s="90"/>
      <c r="BA13" s="90"/>
      <c r="BB13" s="183">
        <f t="shared" si="7"/>
        <v>0</v>
      </c>
      <c r="BC13" s="182"/>
      <c r="BD13" s="90"/>
      <c r="BE13" s="90"/>
      <c r="BF13" s="183">
        <f t="shared" si="8"/>
        <v>0</v>
      </c>
      <c r="BG13" s="182"/>
      <c r="BH13" s="90"/>
      <c r="BI13" s="90"/>
      <c r="BJ13" s="183">
        <f t="shared" si="9"/>
        <v>0</v>
      </c>
      <c r="BK13" s="182"/>
      <c r="BL13" s="90"/>
      <c r="BM13" s="90"/>
      <c r="BN13" s="183">
        <f t="shared" si="10"/>
        <v>0</v>
      </c>
      <c r="BO13" s="182"/>
      <c r="BP13" s="90"/>
      <c r="BQ13" s="90"/>
      <c r="BR13" s="183">
        <f t="shared" si="11"/>
        <v>0</v>
      </c>
      <c r="BS13" s="182"/>
      <c r="BT13" s="90"/>
      <c r="BU13" s="90"/>
      <c r="BV13" s="183">
        <f t="shared" si="12"/>
        <v>0</v>
      </c>
      <c r="BW13" s="182"/>
      <c r="BX13" s="90"/>
      <c r="BY13" s="90"/>
      <c r="BZ13" s="183">
        <f t="shared" si="13"/>
        <v>0</v>
      </c>
      <c r="CA13" s="182"/>
      <c r="CB13" s="90"/>
      <c r="CC13" s="90"/>
      <c r="CD13" s="183">
        <f t="shared" si="14"/>
        <v>0</v>
      </c>
    </row>
    <row r="14" spans="1:82" x14ac:dyDescent="0.3">
      <c r="B14" s="53"/>
      <c r="C14" s="53" t="str">
        <f t="shared" si="0"/>
        <v>CPU_Alambrado</v>
      </c>
      <c r="D14" s="278">
        <f t="shared" si="1"/>
        <v>0.1</v>
      </c>
      <c r="E14" s="278">
        <f t="shared" si="2"/>
        <v>0</v>
      </c>
      <c r="F14" s="1"/>
      <c r="G14" s="28" t="str">
        <f>IFERROR(VLOOKUP(F14,Tabela7[[RECURSO]:[CUSTO]],2,FALSE),"")</f>
        <v/>
      </c>
      <c r="H14" s="92"/>
      <c r="I14" s="90"/>
      <c r="J14" s="45">
        <f>IFERROR(VLOOKUP(F14,Tabela7[[RECURSO]:[CUSTO]],3,FALSE),0)</f>
        <v>0</v>
      </c>
      <c r="K14" s="45">
        <f>I14*J14*CPU_37[[#This Row],[Nº]]</f>
        <v>0</v>
      </c>
      <c r="M14" s="31"/>
      <c r="N14" s="297"/>
      <c r="O14" s="60">
        <f t="shared" si="15"/>
        <v>0</v>
      </c>
      <c r="AD14" s="144" t="str">
        <f t="shared" si="3"/>
        <v>Alambrado</v>
      </c>
      <c r="AE14" s="179"/>
      <c r="AF14" s="180">
        <f t="shared" si="16"/>
        <v>0</v>
      </c>
      <c r="AG14" s="180">
        <f t="shared" si="17"/>
        <v>0</v>
      </c>
      <c r="AH14" s="181">
        <f t="shared" si="18"/>
        <v>0</v>
      </c>
      <c r="AI14" s="182"/>
      <c r="AJ14" s="90"/>
      <c r="AK14" s="90"/>
      <c r="AL14" s="183">
        <f t="shared" si="19"/>
        <v>0</v>
      </c>
      <c r="AM14" s="182"/>
      <c r="AN14" s="90"/>
      <c r="AO14" s="90"/>
      <c r="AP14" s="183">
        <f t="shared" si="4"/>
        <v>0</v>
      </c>
      <c r="AQ14" s="182"/>
      <c r="AR14" s="90"/>
      <c r="AS14" s="90"/>
      <c r="AT14" s="183">
        <f t="shared" si="5"/>
        <v>0</v>
      </c>
      <c r="AU14" s="182"/>
      <c r="AV14" s="90"/>
      <c r="AW14" s="90"/>
      <c r="AX14" s="183">
        <f t="shared" si="6"/>
        <v>0</v>
      </c>
      <c r="AY14" s="182"/>
      <c r="AZ14" s="90"/>
      <c r="BA14" s="90"/>
      <c r="BB14" s="183">
        <f t="shared" si="7"/>
        <v>0</v>
      </c>
      <c r="BC14" s="182"/>
      <c r="BD14" s="90"/>
      <c r="BE14" s="90"/>
      <c r="BF14" s="183">
        <f t="shared" si="8"/>
        <v>0</v>
      </c>
      <c r="BG14" s="182"/>
      <c r="BH14" s="90"/>
      <c r="BI14" s="90"/>
      <c r="BJ14" s="183">
        <f t="shared" si="9"/>
        <v>0</v>
      </c>
      <c r="BK14" s="182"/>
      <c r="BL14" s="90"/>
      <c r="BM14" s="90"/>
      <c r="BN14" s="183">
        <f t="shared" si="10"/>
        <v>0</v>
      </c>
      <c r="BO14" s="182"/>
      <c r="BP14" s="90"/>
      <c r="BQ14" s="90"/>
      <c r="BR14" s="183">
        <f t="shared" si="11"/>
        <v>0</v>
      </c>
      <c r="BS14" s="182"/>
      <c r="BT14" s="90"/>
      <c r="BU14" s="90"/>
      <c r="BV14" s="183">
        <f t="shared" si="12"/>
        <v>0</v>
      </c>
      <c r="BW14" s="182"/>
      <c r="BX14" s="90"/>
      <c r="BY14" s="90"/>
      <c r="BZ14" s="183">
        <f t="shared" si="13"/>
        <v>0</v>
      </c>
      <c r="CA14" s="182"/>
      <c r="CB14" s="90"/>
      <c r="CC14" s="90"/>
      <c r="CD14" s="183">
        <f t="shared" si="14"/>
        <v>0</v>
      </c>
    </row>
    <row r="15" spans="1:82" x14ac:dyDescent="0.3">
      <c r="B15" s="153"/>
      <c r="C15" s="153" t="str">
        <f t="shared" si="0"/>
        <v>CPU_Alambrado</v>
      </c>
      <c r="D15" s="279">
        <f t="shared" si="1"/>
        <v>0.1</v>
      </c>
      <c r="E15" s="279">
        <f t="shared" si="2"/>
        <v>0</v>
      </c>
      <c r="F15" s="1"/>
      <c r="G15" s="28" t="str">
        <f>IFERROR(VLOOKUP(F15,Tabela7[[RECURSO]:[CUSTO]],2,FALSE),"")</f>
        <v/>
      </c>
      <c r="H15" s="92"/>
      <c r="I15" s="90"/>
      <c r="J15" s="45">
        <f>IFERROR(VLOOKUP(F15,Tabela7[[RECURSO]:[CUSTO]],3,FALSE),0)</f>
        <v>0</v>
      </c>
      <c r="K15" s="45">
        <f>I15*J15*CPU_37[[#This Row],[Nº]]</f>
        <v>0</v>
      </c>
      <c r="M15" s="31"/>
      <c r="N15" s="297"/>
      <c r="O15" s="60">
        <f t="shared" si="15"/>
        <v>0</v>
      </c>
      <c r="AD15" s="144" t="str">
        <f t="shared" si="3"/>
        <v>Alambrado</v>
      </c>
      <c r="AE15" s="179"/>
      <c r="AF15" s="180">
        <f t="shared" si="16"/>
        <v>0</v>
      </c>
      <c r="AG15" s="180">
        <f t="shared" si="17"/>
        <v>0</v>
      </c>
      <c r="AH15" s="181">
        <f t="shared" si="18"/>
        <v>0</v>
      </c>
      <c r="AI15" s="182"/>
      <c r="AJ15" s="90"/>
      <c r="AK15" s="90"/>
      <c r="AL15" s="183">
        <f t="shared" si="19"/>
        <v>0</v>
      </c>
      <c r="AM15" s="182"/>
      <c r="AN15" s="90"/>
      <c r="AO15" s="90"/>
      <c r="AP15" s="183">
        <f t="shared" si="4"/>
        <v>0</v>
      </c>
      <c r="AQ15" s="182"/>
      <c r="AR15" s="90"/>
      <c r="AS15" s="90"/>
      <c r="AT15" s="183">
        <f t="shared" si="5"/>
        <v>0</v>
      </c>
      <c r="AU15" s="182"/>
      <c r="AV15" s="90"/>
      <c r="AW15" s="90"/>
      <c r="AX15" s="183">
        <f t="shared" si="6"/>
        <v>0</v>
      </c>
      <c r="AY15" s="182"/>
      <c r="AZ15" s="90"/>
      <c r="BA15" s="90"/>
      <c r="BB15" s="183">
        <f t="shared" si="7"/>
        <v>0</v>
      </c>
      <c r="BC15" s="182"/>
      <c r="BD15" s="90"/>
      <c r="BE15" s="90"/>
      <c r="BF15" s="183">
        <f t="shared" si="8"/>
        <v>0</v>
      </c>
      <c r="BG15" s="182"/>
      <c r="BH15" s="90"/>
      <c r="BI15" s="90"/>
      <c r="BJ15" s="183">
        <f t="shared" si="9"/>
        <v>0</v>
      </c>
      <c r="BK15" s="182"/>
      <c r="BL15" s="90"/>
      <c r="BM15" s="90"/>
      <c r="BN15" s="183">
        <f t="shared" si="10"/>
        <v>0</v>
      </c>
      <c r="BO15" s="182"/>
      <c r="BP15" s="90"/>
      <c r="BQ15" s="90"/>
      <c r="BR15" s="183">
        <f t="shared" si="11"/>
        <v>0</v>
      </c>
      <c r="BS15" s="182"/>
      <c r="BT15" s="90"/>
      <c r="BU15" s="90"/>
      <c r="BV15" s="183">
        <f t="shared" si="12"/>
        <v>0</v>
      </c>
      <c r="BW15" s="182"/>
      <c r="BX15" s="90"/>
      <c r="BY15" s="90"/>
      <c r="BZ15" s="183">
        <f t="shared" si="13"/>
        <v>0</v>
      </c>
      <c r="CA15" s="182"/>
      <c r="CB15" s="90"/>
      <c r="CC15" s="90"/>
      <c r="CD15" s="183">
        <f t="shared" si="14"/>
        <v>0</v>
      </c>
    </row>
    <row r="16" spans="1:82" x14ac:dyDescent="0.3">
      <c r="B16" s="53"/>
      <c r="C16" s="53" t="str">
        <f t="shared" si="0"/>
        <v>CPU_Alambrado</v>
      </c>
      <c r="D16" s="278">
        <f t="shared" si="1"/>
        <v>0.1</v>
      </c>
      <c r="E16" s="278">
        <f t="shared" si="2"/>
        <v>0</v>
      </c>
      <c r="F16" s="1"/>
      <c r="G16" s="28" t="str">
        <f>IFERROR(VLOOKUP(F16,Tabela7[[RECURSO]:[CUSTO]],2,FALSE),"")</f>
        <v/>
      </c>
      <c r="H16" s="92"/>
      <c r="I16" s="90"/>
      <c r="J16" s="45">
        <f>IFERROR(VLOOKUP(F16,Tabela7[[RECURSO]:[CUSTO]],3,FALSE),0)</f>
        <v>0</v>
      </c>
      <c r="K16" s="45">
        <f>I16*J16*CPU_37[[#This Row],[Nº]]</f>
        <v>0</v>
      </c>
      <c r="M16" s="31"/>
      <c r="N16" s="297"/>
      <c r="O16" s="60">
        <f t="shared" si="15"/>
        <v>0</v>
      </c>
      <c r="AD16" s="144" t="str">
        <f t="shared" si="3"/>
        <v>Alambrado</v>
      </c>
      <c r="AE16" s="179"/>
      <c r="AF16" s="180">
        <f t="shared" si="16"/>
        <v>0</v>
      </c>
      <c r="AG16" s="180">
        <f t="shared" si="17"/>
        <v>0</v>
      </c>
      <c r="AH16" s="181">
        <f t="shared" si="18"/>
        <v>0</v>
      </c>
      <c r="AI16" s="182"/>
      <c r="AJ16" s="90"/>
      <c r="AK16" s="90"/>
      <c r="AL16" s="183">
        <f t="shared" si="19"/>
        <v>0</v>
      </c>
      <c r="AM16" s="182"/>
      <c r="AN16" s="90"/>
      <c r="AO16" s="90"/>
      <c r="AP16" s="183">
        <f t="shared" si="4"/>
        <v>0</v>
      </c>
      <c r="AQ16" s="182"/>
      <c r="AR16" s="90"/>
      <c r="AS16" s="90"/>
      <c r="AT16" s="183">
        <f t="shared" si="5"/>
        <v>0</v>
      </c>
      <c r="AU16" s="182"/>
      <c r="AV16" s="90"/>
      <c r="AW16" s="90"/>
      <c r="AX16" s="183">
        <f t="shared" si="6"/>
        <v>0</v>
      </c>
      <c r="AY16" s="182"/>
      <c r="AZ16" s="90"/>
      <c r="BA16" s="90"/>
      <c r="BB16" s="183">
        <f t="shared" si="7"/>
        <v>0</v>
      </c>
      <c r="BC16" s="182"/>
      <c r="BD16" s="90"/>
      <c r="BE16" s="90"/>
      <c r="BF16" s="183">
        <f t="shared" si="8"/>
        <v>0</v>
      </c>
      <c r="BG16" s="182"/>
      <c r="BH16" s="90"/>
      <c r="BI16" s="90"/>
      <c r="BJ16" s="183">
        <f t="shared" si="9"/>
        <v>0</v>
      </c>
      <c r="BK16" s="182"/>
      <c r="BL16" s="90"/>
      <c r="BM16" s="90"/>
      <c r="BN16" s="183">
        <f t="shared" si="10"/>
        <v>0</v>
      </c>
      <c r="BO16" s="182"/>
      <c r="BP16" s="90"/>
      <c r="BQ16" s="90"/>
      <c r="BR16" s="183">
        <f t="shared" si="11"/>
        <v>0</v>
      </c>
      <c r="BS16" s="182"/>
      <c r="BT16" s="90"/>
      <c r="BU16" s="90"/>
      <c r="BV16" s="183">
        <f t="shared" si="12"/>
        <v>0</v>
      </c>
      <c r="BW16" s="182"/>
      <c r="BX16" s="90"/>
      <c r="BY16" s="90"/>
      <c r="BZ16" s="183">
        <f t="shared" si="13"/>
        <v>0</v>
      </c>
      <c r="CA16" s="182"/>
      <c r="CB16" s="90"/>
      <c r="CC16" s="90"/>
      <c r="CD16" s="183">
        <f t="shared" si="14"/>
        <v>0</v>
      </c>
    </row>
    <row r="17" spans="2:82" x14ac:dyDescent="0.3">
      <c r="B17" s="53"/>
      <c r="C17" s="53" t="str">
        <f t="shared" si="0"/>
        <v>CPU_Alambrado</v>
      </c>
      <c r="D17" s="278">
        <f t="shared" si="1"/>
        <v>0.1</v>
      </c>
      <c r="E17" s="278">
        <f t="shared" si="2"/>
        <v>0</v>
      </c>
      <c r="F17" s="1"/>
      <c r="G17" s="28" t="str">
        <f>IFERROR(VLOOKUP(F17,Tabela7[[RECURSO]:[CUSTO]],2,FALSE),"")</f>
        <v/>
      </c>
      <c r="H17" s="92"/>
      <c r="I17" s="90"/>
      <c r="J17" s="45">
        <f>IFERROR(VLOOKUP(F17,Tabela7[[RECURSO]:[CUSTO]],3,FALSE),0)</f>
        <v>0</v>
      </c>
      <c r="K17" s="45">
        <f>I17*J17*CPU_37[[#This Row],[Nº]]</f>
        <v>0</v>
      </c>
      <c r="M17" s="31"/>
      <c r="N17" s="297"/>
      <c r="O17" s="60">
        <f t="shared" si="15"/>
        <v>0</v>
      </c>
      <c r="AD17" s="144" t="str">
        <f t="shared" si="3"/>
        <v>Alambrado</v>
      </c>
      <c r="AE17" s="179"/>
      <c r="AF17" s="180">
        <f t="shared" si="16"/>
        <v>0</v>
      </c>
      <c r="AG17" s="180">
        <f t="shared" si="17"/>
        <v>0</v>
      </c>
      <c r="AH17" s="181">
        <f t="shared" si="18"/>
        <v>0</v>
      </c>
      <c r="AI17" s="182"/>
      <c r="AJ17" s="90"/>
      <c r="AK17" s="90"/>
      <c r="AL17" s="183">
        <f t="shared" si="19"/>
        <v>0</v>
      </c>
      <c r="AM17" s="182"/>
      <c r="AN17" s="90"/>
      <c r="AO17" s="90"/>
      <c r="AP17" s="183">
        <f t="shared" si="4"/>
        <v>0</v>
      </c>
      <c r="AQ17" s="182"/>
      <c r="AR17" s="90"/>
      <c r="AS17" s="90"/>
      <c r="AT17" s="183">
        <f t="shared" si="5"/>
        <v>0</v>
      </c>
      <c r="AU17" s="182"/>
      <c r="AV17" s="90"/>
      <c r="AW17" s="90"/>
      <c r="AX17" s="183">
        <f t="shared" si="6"/>
        <v>0</v>
      </c>
      <c r="AY17" s="182"/>
      <c r="AZ17" s="90"/>
      <c r="BA17" s="90"/>
      <c r="BB17" s="183">
        <f t="shared" si="7"/>
        <v>0</v>
      </c>
      <c r="BC17" s="182"/>
      <c r="BD17" s="90"/>
      <c r="BE17" s="90"/>
      <c r="BF17" s="183">
        <f t="shared" si="8"/>
        <v>0</v>
      </c>
      <c r="BG17" s="182"/>
      <c r="BH17" s="90"/>
      <c r="BI17" s="90"/>
      <c r="BJ17" s="183">
        <f t="shared" si="9"/>
        <v>0</v>
      </c>
      <c r="BK17" s="182"/>
      <c r="BL17" s="90"/>
      <c r="BM17" s="90"/>
      <c r="BN17" s="183">
        <f t="shared" si="10"/>
        <v>0</v>
      </c>
      <c r="BO17" s="182"/>
      <c r="BP17" s="90"/>
      <c r="BQ17" s="90"/>
      <c r="BR17" s="183">
        <f t="shared" si="11"/>
        <v>0</v>
      </c>
      <c r="BS17" s="182"/>
      <c r="BT17" s="90"/>
      <c r="BU17" s="90"/>
      <c r="BV17" s="183">
        <f t="shared" si="12"/>
        <v>0</v>
      </c>
      <c r="BW17" s="182"/>
      <c r="BX17" s="90"/>
      <c r="BY17" s="90"/>
      <c r="BZ17" s="183">
        <f t="shared" si="13"/>
        <v>0</v>
      </c>
      <c r="CA17" s="182"/>
      <c r="CB17" s="90"/>
      <c r="CC17" s="90"/>
      <c r="CD17" s="183">
        <f t="shared" si="14"/>
        <v>0</v>
      </c>
    </row>
    <row r="18" spans="2:82" x14ac:dyDescent="0.3">
      <c r="B18" s="53"/>
      <c r="C18" s="53" t="str">
        <f t="shared" si="0"/>
        <v>CPU_Alambrado</v>
      </c>
      <c r="D18" s="278">
        <f t="shared" si="1"/>
        <v>0.1</v>
      </c>
      <c r="E18" s="278">
        <f t="shared" si="2"/>
        <v>0</v>
      </c>
      <c r="F18" s="1"/>
      <c r="G18" s="28" t="str">
        <f>IFERROR(VLOOKUP(F18,Tabela7[[RECURSO]:[CUSTO]],2,FALSE),"")</f>
        <v/>
      </c>
      <c r="H18" s="92"/>
      <c r="I18" s="90"/>
      <c r="J18" s="45">
        <f>IFERROR(VLOOKUP(F18,Tabela7[[RECURSO]:[CUSTO]],3,FALSE),0)</f>
        <v>0</v>
      </c>
      <c r="K18" s="45">
        <f>I18*J18*CPU_37[[#This Row],[Nº]]</f>
        <v>0</v>
      </c>
      <c r="M18" s="31"/>
      <c r="N18" s="297"/>
      <c r="O18" s="60">
        <f t="shared" si="15"/>
        <v>0</v>
      </c>
      <c r="AD18" s="144" t="str">
        <f t="shared" si="3"/>
        <v>Alambrado</v>
      </c>
      <c r="AE18" s="179"/>
      <c r="AF18" s="180">
        <f t="shared" si="16"/>
        <v>0</v>
      </c>
      <c r="AG18" s="180">
        <f t="shared" si="17"/>
        <v>0</v>
      </c>
      <c r="AH18" s="181">
        <f t="shared" si="18"/>
        <v>0</v>
      </c>
      <c r="AI18" s="182"/>
      <c r="AJ18" s="90"/>
      <c r="AK18" s="90"/>
      <c r="AL18" s="183">
        <f t="shared" si="19"/>
        <v>0</v>
      </c>
      <c r="AM18" s="182"/>
      <c r="AN18" s="90"/>
      <c r="AO18" s="90"/>
      <c r="AP18" s="183">
        <f t="shared" si="4"/>
        <v>0</v>
      </c>
      <c r="AQ18" s="182"/>
      <c r="AR18" s="90"/>
      <c r="AS18" s="90"/>
      <c r="AT18" s="183">
        <f t="shared" si="5"/>
        <v>0</v>
      </c>
      <c r="AU18" s="182"/>
      <c r="AV18" s="90"/>
      <c r="AW18" s="90"/>
      <c r="AX18" s="183">
        <f t="shared" si="6"/>
        <v>0</v>
      </c>
      <c r="AY18" s="182"/>
      <c r="AZ18" s="90"/>
      <c r="BA18" s="90"/>
      <c r="BB18" s="183">
        <f t="shared" si="7"/>
        <v>0</v>
      </c>
      <c r="BC18" s="182"/>
      <c r="BD18" s="90"/>
      <c r="BE18" s="90"/>
      <c r="BF18" s="183">
        <f t="shared" si="8"/>
        <v>0</v>
      </c>
      <c r="BG18" s="182"/>
      <c r="BH18" s="90"/>
      <c r="BI18" s="90"/>
      <c r="BJ18" s="183">
        <f t="shared" si="9"/>
        <v>0</v>
      </c>
      <c r="BK18" s="182"/>
      <c r="BL18" s="90"/>
      <c r="BM18" s="90"/>
      <c r="BN18" s="183">
        <f t="shared" si="10"/>
        <v>0</v>
      </c>
      <c r="BO18" s="182"/>
      <c r="BP18" s="90"/>
      <c r="BQ18" s="90"/>
      <c r="BR18" s="183">
        <f t="shared" si="11"/>
        <v>0</v>
      </c>
      <c r="BS18" s="182"/>
      <c r="BT18" s="90"/>
      <c r="BU18" s="90"/>
      <c r="BV18" s="183">
        <f t="shared" si="12"/>
        <v>0</v>
      </c>
      <c r="BW18" s="182"/>
      <c r="BX18" s="90"/>
      <c r="BY18" s="90"/>
      <c r="BZ18" s="183">
        <f t="shared" si="13"/>
        <v>0</v>
      </c>
      <c r="CA18" s="182"/>
      <c r="CB18" s="90"/>
      <c r="CC18" s="90"/>
      <c r="CD18" s="183">
        <f t="shared" si="14"/>
        <v>0</v>
      </c>
    </row>
    <row r="19" spans="2:82" x14ac:dyDescent="0.3">
      <c r="B19" s="53"/>
      <c r="C19" s="53" t="str">
        <f t="shared" si="0"/>
        <v>CPU_Alambrado</v>
      </c>
      <c r="D19" s="278">
        <f t="shared" si="1"/>
        <v>0.1</v>
      </c>
      <c r="E19" s="278">
        <f t="shared" si="2"/>
        <v>0</v>
      </c>
      <c r="F19" s="1"/>
      <c r="G19" s="28" t="str">
        <f>IFERROR(VLOOKUP(F19,Tabela7[[RECURSO]:[CUSTO]],2,FALSE),"")</f>
        <v/>
      </c>
      <c r="H19" s="92"/>
      <c r="I19" s="90"/>
      <c r="J19" s="45">
        <f>IFERROR(VLOOKUP(F19,Tabela7[[RECURSO]:[CUSTO]],3,FALSE),0)</f>
        <v>0</v>
      </c>
      <c r="K19" s="45">
        <f>I19*J19*CPU_37[[#This Row],[Nº]]</f>
        <v>0</v>
      </c>
      <c r="M19" s="31"/>
      <c r="N19" s="297"/>
      <c r="O19" s="60">
        <f t="shared" si="15"/>
        <v>0</v>
      </c>
      <c r="AD19" s="144" t="str">
        <f t="shared" si="3"/>
        <v>Alambrado</v>
      </c>
      <c r="AE19" s="179"/>
      <c r="AF19" s="180">
        <f t="shared" si="16"/>
        <v>0</v>
      </c>
      <c r="AG19" s="180">
        <f t="shared" si="17"/>
        <v>0</v>
      </c>
      <c r="AH19" s="181">
        <f t="shared" si="18"/>
        <v>0</v>
      </c>
      <c r="AI19" s="182"/>
      <c r="AJ19" s="90"/>
      <c r="AK19" s="90"/>
      <c r="AL19" s="183">
        <f t="shared" si="19"/>
        <v>0</v>
      </c>
      <c r="AM19" s="182"/>
      <c r="AN19" s="90"/>
      <c r="AO19" s="90"/>
      <c r="AP19" s="183">
        <f t="shared" si="4"/>
        <v>0</v>
      </c>
      <c r="AQ19" s="182"/>
      <c r="AR19" s="90"/>
      <c r="AS19" s="90"/>
      <c r="AT19" s="183">
        <f t="shared" si="5"/>
        <v>0</v>
      </c>
      <c r="AU19" s="182"/>
      <c r="AV19" s="90"/>
      <c r="AW19" s="90"/>
      <c r="AX19" s="183">
        <f t="shared" si="6"/>
        <v>0</v>
      </c>
      <c r="AY19" s="182"/>
      <c r="AZ19" s="90"/>
      <c r="BA19" s="90"/>
      <c r="BB19" s="183">
        <f t="shared" si="7"/>
        <v>0</v>
      </c>
      <c r="BC19" s="182"/>
      <c r="BD19" s="90"/>
      <c r="BE19" s="90"/>
      <c r="BF19" s="183">
        <f t="shared" si="8"/>
        <v>0</v>
      </c>
      <c r="BG19" s="182"/>
      <c r="BH19" s="90"/>
      <c r="BI19" s="90"/>
      <c r="BJ19" s="183">
        <f t="shared" si="9"/>
        <v>0</v>
      </c>
      <c r="BK19" s="182"/>
      <c r="BL19" s="90"/>
      <c r="BM19" s="90"/>
      <c r="BN19" s="183">
        <f t="shared" si="10"/>
        <v>0</v>
      </c>
      <c r="BO19" s="182"/>
      <c r="BP19" s="90"/>
      <c r="BQ19" s="90"/>
      <c r="BR19" s="183">
        <f t="shared" si="11"/>
        <v>0</v>
      </c>
      <c r="BS19" s="182"/>
      <c r="BT19" s="90"/>
      <c r="BU19" s="90"/>
      <c r="BV19" s="183">
        <f t="shared" si="12"/>
        <v>0</v>
      </c>
      <c r="BW19" s="182"/>
      <c r="BX19" s="90"/>
      <c r="BY19" s="90"/>
      <c r="BZ19" s="183">
        <f t="shared" si="13"/>
        <v>0</v>
      </c>
      <c r="CA19" s="182"/>
      <c r="CB19" s="90"/>
      <c r="CC19" s="90"/>
      <c r="CD19" s="183">
        <f t="shared" si="14"/>
        <v>0</v>
      </c>
    </row>
    <row r="20" spans="2:82" x14ac:dyDescent="0.3">
      <c r="B20" s="53"/>
      <c r="C20" s="53" t="str">
        <f t="shared" si="0"/>
        <v>CPU_Alambrado</v>
      </c>
      <c r="D20" s="278">
        <f t="shared" si="1"/>
        <v>0.1</v>
      </c>
      <c r="E20" s="278">
        <f t="shared" si="2"/>
        <v>0</v>
      </c>
      <c r="F20" s="1"/>
      <c r="G20" s="28" t="str">
        <f>IFERROR(VLOOKUP(F20,Tabela7[[RECURSO]:[CUSTO]],2,FALSE),"")</f>
        <v/>
      </c>
      <c r="H20" s="92"/>
      <c r="I20" s="90"/>
      <c r="J20" s="45">
        <f>IFERROR(VLOOKUP(F20,Tabela7[[RECURSO]:[CUSTO]],3,FALSE),0)</f>
        <v>0</v>
      </c>
      <c r="K20" s="45">
        <f>I20*J20*CPU_37[[#This Row],[Nº]]</f>
        <v>0</v>
      </c>
      <c r="M20" s="31"/>
      <c r="N20" s="297"/>
      <c r="O20" s="60">
        <f t="shared" si="15"/>
        <v>0</v>
      </c>
      <c r="AD20" s="144" t="str">
        <f t="shared" si="3"/>
        <v>Alambrado</v>
      </c>
      <c r="AE20" s="179"/>
      <c r="AF20" s="180">
        <f t="shared" si="16"/>
        <v>0</v>
      </c>
      <c r="AG20" s="180">
        <f t="shared" si="17"/>
        <v>0</v>
      </c>
      <c r="AH20" s="181">
        <f t="shared" si="18"/>
        <v>0</v>
      </c>
      <c r="AI20" s="182"/>
      <c r="AJ20" s="90"/>
      <c r="AK20" s="90"/>
      <c r="AL20" s="183">
        <f t="shared" si="19"/>
        <v>0</v>
      </c>
      <c r="AM20" s="182"/>
      <c r="AN20" s="90"/>
      <c r="AO20" s="90"/>
      <c r="AP20" s="183">
        <f t="shared" si="4"/>
        <v>0</v>
      </c>
      <c r="AQ20" s="182"/>
      <c r="AR20" s="90"/>
      <c r="AS20" s="90"/>
      <c r="AT20" s="183">
        <f t="shared" si="5"/>
        <v>0</v>
      </c>
      <c r="AU20" s="182"/>
      <c r="AV20" s="90"/>
      <c r="AW20" s="90"/>
      <c r="AX20" s="183">
        <f t="shared" si="6"/>
        <v>0</v>
      </c>
      <c r="AY20" s="182"/>
      <c r="AZ20" s="90"/>
      <c r="BA20" s="90"/>
      <c r="BB20" s="183">
        <f t="shared" si="7"/>
        <v>0</v>
      </c>
      <c r="BC20" s="182"/>
      <c r="BD20" s="90"/>
      <c r="BE20" s="90"/>
      <c r="BF20" s="183">
        <f t="shared" si="8"/>
        <v>0</v>
      </c>
      <c r="BG20" s="182"/>
      <c r="BH20" s="90"/>
      <c r="BI20" s="90"/>
      <c r="BJ20" s="183">
        <f t="shared" si="9"/>
        <v>0</v>
      </c>
      <c r="BK20" s="182"/>
      <c r="BL20" s="90"/>
      <c r="BM20" s="90"/>
      <c r="BN20" s="183">
        <f t="shared" si="10"/>
        <v>0</v>
      </c>
      <c r="BO20" s="182"/>
      <c r="BP20" s="90"/>
      <c r="BQ20" s="90"/>
      <c r="BR20" s="183">
        <f t="shared" si="11"/>
        <v>0</v>
      </c>
      <c r="BS20" s="182"/>
      <c r="BT20" s="90"/>
      <c r="BU20" s="90"/>
      <c r="BV20" s="183">
        <f t="shared" si="12"/>
        <v>0</v>
      </c>
      <c r="BW20" s="182"/>
      <c r="BX20" s="90"/>
      <c r="BY20" s="90"/>
      <c r="BZ20" s="183">
        <f t="shared" si="13"/>
        <v>0</v>
      </c>
      <c r="CA20" s="182"/>
      <c r="CB20" s="90"/>
      <c r="CC20" s="90"/>
      <c r="CD20" s="183">
        <f t="shared" si="14"/>
        <v>0</v>
      </c>
    </row>
    <row r="21" spans="2:82" x14ac:dyDescent="0.3">
      <c r="B21" s="53"/>
      <c r="C21" s="53" t="str">
        <f t="shared" si="0"/>
        <v>CPU_Alambrado</v>
      </c>
      <c r="D21" s="278">
        <f t="shared" si="1"/>
        <v>0.1</v>
      </c>
      <c r="E21" s="278">
        <f t="shared" si="2"/>
        <v>0</v>
      </c>
      <c r="F21" s="1"/>
      <c r="G21" s="28" t="str">
        <f>IFERROR(VLOOKUP(F21,Tabela7[[RECURSO]:[CUSTO]],2,FALSE),"")</f>
        <v/>
      </c>
      <c r="H21" s="92"/>
      <c r="I21" s="90"/>
      <c r="J21" s="45">
        <f>IFERROR(VLOOKUP(F21,Tabela7[[RECURSO]:[CUSTO]],3,FALSE),0)</f>
        <v>0</v>
      </c>
      <c r="K21" s="45">
        <f>I21*J21*CPU_37[[#This Row],[Nº]]</f>
        <v>0</v>
      </c>
      <c r="M21" s="31"/>
      <c r="N21" s="297"/>
      <c r="O21" s="60">
        <f t="shared" si="15"/>
        <v>0</v>
      </c>
      <c r="AD21" s="144" t="str">
        <f t="shared" si="3"/>
        <v>Alambrado</v>
      </c>
      <c r="AE21" s="179"/>
      <c r="AF21" s="180">
        <f t="shared" si="16"/>
        <v>0</v>
      </c>
      <c r="AG21" s="180">
        <f t="shared" si="17"/>
        <v>0</v>
      </c>
      <c r="AH21" s="181">
        <f t="shared" si="18"/>
        <v>0</v>
      </c>
      <c r="AI21" s="182"/>
      <c r="AJ21" s="90"/>
      <c r="AK21" s="90"/>
      <c r="AL21" s="183">
        <f t="shared" si="19"/>
        <v>0</v>
      </c>
      <c r="AM21" s="182"/>
      <c r="AN21" s="90"/>
      <c r="AO21" s="90"/>
      <c r="AP21" s="183">
        <f t="shared" si="4"/>
        <v>0</v>
      </c>
      <c r="AQ21" s="182"/>
      <c r="AR21" s="90"/>
      <c r="AS21" s="90"/>
      <c r="AT21" s="183">
        <f t="shared" si="5"/>
        <v>0</v>
      </c>
      <c r="AU21" s="182"/>
      <c r="AV21" s="90"/>
      <c r="AW21" s="90"/>
      <c r="AX21" s="183">
        <f t="shared" si="6"/>
        <v>0</v>
      </c>
      <c r="AY21" s="182"/>
      <c r="AZ21" s="90"/>
      <c r="BA21" s="90"/>
      <c r="BB21" s="183">
        <f t="shared" si="7"/>
        <v>0</v>
      </c>
      <c r="BC21" s="182"/>
      <c r="BD21" s="90"/>
      <c r="BE21" s="90"/>
      <c r="BF21" s="183">
        <f t="shared" si="8"/>
        <v>0</v>
      </c>
      <c r="BG21" s="182"/>
      <c r="BH21" s="90"/>
      <c r="BI21" s="90"/>
      <c r="BJ21" s="183">
        <f t="shared" si="9"/>
        <v>0</v>
      </c>
      <c r="BK21" s="182"/>
      <c r="BL21" s="90"/>
      <c r="BM21" s="90"/>
      <c r="BN21" s="183">
        <f t="shared" si="10"/>
        <v>0</v>
      </c>
      <c r="BO21" s="182"/>
      <c r="BP21" s="90"/>
      <c r="BQ21" s="90"/>
      <c r="BR21" s="183">
        <f t="shared" si="11"/>
        <v>0</v>
      </c>
      <c r="BS21" s="182"/>
      <c r="BT21" s="90"/>
      <c r="BU21" s="90"/>
      <c r="BV21" s="183">
        <f t="shared" si="12"/>
        <v>0</v>
      </c>
      <c r="BW21" s="182"/>
      <c r="BX21" s="90"/>
      <c r="BY21" s="90"/>
      <c r="BZ21" s="183">
        <f t="shared" si="13"/>
        <v>0</v>
      </c>
      <c r="CA21" s="182"/>
      <c r="CB21" s="90"/>
      <c r="CC21" s="90"/>
      <c r="CD21" s="183">
        <f t="shared" si="14"/>
        <v>0</v>
      </c>
    </row>
    <row r="22" spans="2:82" x14ac:dyDescent="0.3">
      <c r="B22" s="53"/>
      <c r="C22" s="53" t="str">
        <f t="shared" si="0"/>
        <v>CPU_Alambrado</v>
      </c>
      <c r="D22" s="278">
        <f t="shared" si="1"/>
        <v>0.1</v>
      </c>
      <c r="E22" s="278">
        <f t="shared" si="2"/>
        <v>0</v>
      </c>
      <c r="F22" s="1"/>
      <c r="G22" s="28" t="str">
        <f>IFERROR(VLOOKUP(F22,Tabela7[[RECURSO]:[CUSTO]],2,FALSE),"")</f>
        <v/>
      </c>
      <c r="H22" s="92"/>
      <c r="I22" s="90"/>
      <c r="J22" s="45">
        <f>IFERROR(VLOOKUP(F22,Tabela7[[RECURSO]:[CUSTO]],3,FALSE),0)</f>
        <v>0</v>
      </c>
      <c r="K22" s="45">
        <f>I22*J22*CPU_37[[#This Row],[Nº]]</f>
        <v>0</v>
      </c>
      <c r="M22" s="31"/>
      <c r="N22" s="297"/>
      <c r="O22" s="60">
        <f t="shared" si="15"/>
        <v>0</v>
      </c>
      <c r="AD22" s="144" t="str">
        <f t="shared" si="3"/>
        <v>Alambrado</v>
      </c>
      <c r="AE22" s="179"/>
      <c r="AF22" s="180">
        <f t="shared" si="16"/>
        <v>0</v>
      </c>
      <c r="AG22" s="180">
        <f t="shared" si="17"/>
        <v>0</v>
      </c>
      <c r="AH22" s="181">
        <f t="shared" si="18"/>
        <v>0</v>
      </c>
      <c r="AI22" s="182"/>
      <c r="AJ22" s="90"/>
      <c r="AK22" s="90"/>
      <c r="AL22" s="183">
        <f t="shared" si="19"/>
        <v>0</v>
      </c>
      <c r="AM22" s="182"/>
      <c r="AN22" s="90"/>
      <c r="AO22" s="90"/>
      <c r="AP22" s="183">
        <f t="shared" si="4"/>
        <v>0</v>
      </c>
      <c r="AQ22" s="182"/>
      <c r="AR22" s="90"/>
      <c r="AS22" s="90"/>
      <c r="AT22" s="183">
        <f t="shared" si="5"/>
        <v>0</v>
      </c>
      <c r="AU22" s="182"/>
      <c r="AV22" s="90"/>
      <c r="AW22" s="90"/>
      <c r="AX22" s="183">
        <f t="shared" si="6"/>
        <v>0</v>
      </c>
      <c r="AY22" s="182"/>
      <c r="AZ22" s="90"/>
      <c r="BA22" s="90"/>
      <c r="BB22" s="183">
        <f t="shared" si="7"/>
        <v>0</v>
      </c>
      <c r="BC22" s="182"/>
      <c r="BD22" s="90"/>
      <c r="BE22" s="90"/>
      <c r="BF22" s="183">
        <f t="shared" si="8"/>
        <v>0</v>
      </c>
      <c r="BG22" s="182"/>
      <c r="BH22" s="90"/>
      <c r="BI22" s="90"/>
      <c r="BJ22" s="183">
        <f t="shared" si="9"/>
        <v>0</v>
      </c>
      <c r="BK22" s="182"/>
      <c r="BL22" s="90"/>
      <c r="BM22" s="90"/>
      <c r="BN22" s="183">
        <f t="shared" si="10"/>
        <v>0</v>
      </c>
      <c r="BO22" s="182"/>
      <c r="BP22" s="90"/>
      <c r="BQ22" s="90"/>
      <c r="BR22" s="183">
        <f t="shared" si="11"/>
        <v>0</v>
      </c>
      <c r="BS22" s="182"/>
      <c r="BT22" s="90"/>
      <c r="BU22" s="90"/>
      <c r="BV22" s="183">
        <f t="shared" si="12"/>
        <v>0</v>
      </c>
      <c r="BW22" s="182"/>
      <c r="BX22" s="90"/>
      <c r="BY22" s="90"/>
      <c r="BZ22" s="183">
        <f t="shared" si="13"/>
        <v>0</v>
      </c>
      <c r="CA22" s="182"/>
      <c r="CB22" s="90"/>
      <c r="CC22" s="90"/>
      <c r="CD22" s="183">
        <f t="shared" si="14"/>
        <v>0</v>
      </c>
    </row>
    <row r="23" spans="2:82" ht="15" thickBot="1" x14ac:dyDescent="0.35">
      <c r="B23" s="53"/>
      <c r="C23" s="53" t="str">
        <f t="shared" si="0"/>
        <v>CPU_Alambrado</v>
      </c>
      <c r="D23" s="278">
        <f t="shared" si="1"/>
        <v>0.1</v>
      </c>
      <c r="E23" s="278">
        <f t="shared" si="2"/>
        <v>0</v>
      </c>
      <c r="F23" s="1"/>
      <c r="G23" s="28" t="str">
        <f>IFERROR(VLOOKUP(F23,Tabela7[[RECURSO]:[CUSTO]],2,FALSE),"")</f>
        <v/>
      </c>
      <c r="H23" s="92"/>
      <c r="I23" s="90"/>
      <c r="J23" s="45">
        <f>IFERROR(VLOOKUP(F23,Tabela7[[RECURSO]:[CUSTO]],3,FALSE),0)</f>
        <v>0</v>
      </c>
      <c r="K23" s="45">
        <f>I23*J23*CPU_37[[#This Row],[Nº]]</f>
        <v>0</v>
      </c>
      <c r="M23" s="51"/>
      <c r="N23" s="298"/>
      <c r="O23" s="61">
        <f t="shared" si="15"/>
        <v>0</v>
      </c>
      <c r="AD23" s="144" t="str">
        <f t="shared" si="3"/>
        <v>Alambrado</v>
      </c>
      <c r="AE23" s="179"/>
      <c r="AF23" s="180">
        <f t="shared" si="16"/>
        <v>0</v>
      </c>
      <c r="AG23" s="180">
        <f t="shared" si="17"/>
        <v>0</v>
      </c>
      <c r="AH23" s="181">
        <f t="shared" si="18"/>
        <v>0</v>
      </c>
      <c r="AI23" s="182"/>
      <c r="AJ23" s="90"/>
      <c r="AK23" s="90"/>
      <c r="AL23" s="183">
        <f t="shared" si="19"/>
        <v>0</v>
      </c>
      <c r="AM23" s="182"/>
      <c r="AN23" s="90"/>
      <c r="AO23" s="90"/>
      <c r="AP23" s="183">
        <f t="shared" si="4"/>
        <v>0</v>
      </c>
      <c r="AQ23" s="182"/>
      <c r="AR23" s="90"/>
      <c r="AS23" s="90"/>
      <c r="AT23" s="183">
        <f t="shared" si="5"/>
        <v>0</v>
      </c>
      <c r="AU23" s="182"/>
      <c r="AV23" s="90"/>
      <c r="AW23" s="90"/>
      <c r="AX23" s="183">
        <f t="shared" si="6"/>
        <v>0</v>
      </c>
      <c r="AY23" s="182"/>
      <c r="AZ23" s="90"/>
      <c r="BA23" s="90"/>
      <c r="BB23" s="183">
        <f t="shared" si="7"/>
        <v>0</v>
      </c>
      <c r="BC23" s="182"/>
      <c r="BD23" s="90"/>
      <c r="BE23" s="90"/>
      <c r="BF23" s="183">
        <f t="shared" si="8"/>
        <v>0</v>
      </c>
      <c r="BG23" s="182"/>
      <c r="BH23" s="90"/>
      <c r="BI23" s="90"/>
      <c r="BJ23" s="183">
        <f t="shared" si="9"/>
        <v>0</v>
      </c>
      <c r="BK23" s="182"/>
      <c r="BL23" s="90"/>
      <c r="BM23" s="90"/>
      <c r="BN23" s="183">
        <f t="shared" si="10"/>
        <v>0</v>
      </c>
      <c r="BO23" s="182"/>
      <c r="BP23" s="90"/>
      <c r="BQ23" s="90"/>
      <c r="BR23" s="183">
        <f t="shared" si="11"/>
        <v>0</v>
      </c>
      <c r="BS23" s="182"/>
      <c r="BT23" s="90"/>
      <c r="BU23" s="90"/>
      <c r="BV23" s="183">
        <f t="shared" si="12"/>
        <v>0</v>
      </c>
      <c r="BW23" s="182"/>
      <c r="BX23" s="90"/>
      <c r="BY23" s="90"/>
      <c r="BZ23" s="183">
        <f t="shared" si="13"/>
        <v>0</v>
      </c>
      <c r="CA23" s="182"/>
      <c r="CB23" s="90"/>
      <c r="CC23" s="90"/>
      <c r="CD23" s="183">
        <f t="shared" si="14"/>
        <v>0</v>
      </c>
    </row>
    <row r="24" spans="2:82" x14ac:dyDescent="0.3">
      <c r="B24" s="52" t="s">
        <v>686</v>
      </c>
      <c r="C24" s="52" t="str">
        <f t="shared" si="0"/>
        <v>CPU_Alambrado</v>
      </c>
      <c r="D24" s="277">
        <f t="shared" si="1"/>
        <v>0.1</v>
      </c>
      <c r="E24" s="277">
        <f t="shared" si="2"/>
        <v>0</v>
      </c>
      <c r="F24" s="37"/>
      <c r="G24" s="38"/>
      <c r="H24" s="91"/>
      <c r="I24" s="40"/>
      <c r="J24" s="40">
        <f>IFERROR(K24/$B$6,0)</f>
        <v>0</v>
      </c>
      <c r="K24" s="40">
        <f>SUM(K25:K36)</f>
        <v>0</v>
      </c>
      <c r="AD24" s="144" t="str">
        <f t="shared" si="3"/>
        <v>Alambrado</v>
      </c>
      <c r="AE24" s="184"/>
      <c r="AF24" s="40"/>
      <c r="AG24" s="40">
        <f>IFERROR(AH24/AF$3,0)</f>
        <v>0</v>
      </c>
      <c r="AH24" s="185">
        <f>SUM(AH25:AH36)</f>
        <v>0</v>
      </c>
      <c r="AI24" s="184"/>
      <c r="AJ24" s="40"/>
      <c r="AK24" s="40">
        <f>IFERROR(AL24/AJ$3,0)</f>
        <v>0</v>
      </c>
      <c r="AL24" s="185">
        <f>SUM(AL25:AL36)</f>
        <v>0</v>
      </c>
      <c r="AM24" s="184"/>
      <c r="AN24" s="40"/>
      <c r="AO24" s="40">
        <f>IFERROR(AP24/AN$3,0)</f>
        <v>0</v>
      </c>
      <c r="AP24" s="185">
        <f>SUM(AP25:AP36)</f>
        <v>0</v>
      </c>
      <c r="AQ24" s="184"/>
      <c r="AR24" s="40"/>
      <c r="AS24" s="40">
        <f>IFERROR(AT24/AR$3,0)</f>
        <v>0</v>
      </c>
      <c r="AT24" s="185">
        <f>SUM(AT25:AT36)</f>
        <v>0</v>
      </c>
      <c r="AU24" s="184"/>
      <c r="AV24" s="40"/>
      <c r="AW24" s="40">
        <f>IFERROR(AX24/AV$3,0)</f>
        <v>0</v>
      </c>
      <c r="AX24" s="185">
        <f>SUM(AX25:AX36)</f>
        <v>0</v>
      </c>
      <c r="AY24" s="184"/>
      <c r="AZ24" s="40"/>
      <c r="BA24" s="40">
        <f>IFERROR(BB24/AZ$3,0)</f>
        <v>0</v>
      </c>
      <c r="BB24" s="185">
        <f>SUM(BB25:BB36)</f>
        <v>0</v>
      </c>
      <c r="BC24" s="184"/>
      <c r="BD24" s="40"/>
      <c r="BE24" s="40">
        <f>IFERROR(BF24/BD$3,0)</f>
        <v>0</v>
      </c>
      <c r="BF24" s="185">
        <f>SUM(BF25:BF36)</f>
        <v>0</v>
      </c>
      <c r="BG24" s="184"/>
      <c r="BH24" s="40"/>
      <c r="BI24" s="40">
        <f>IFERROR(BJ24/BH$3,0)</f>
        <v>0</v>
      </c>
      <c r="BJ24" s="185">
        <f>SUM(BJ25:BJ36)</f>
        <v>0</v>
      </c>
      <c r="BK24" s="184"/>
      <c r="BL24" s="40"/>
      <c r="BM24" s="40">
        <f>IFERROR(BN24/BL$3,0)</f>
        <v>0</v>
      </c>
      <c r="BN24" s="185">
        <f>SUM(BN25:BN36)</f>
        <v>0</v>
      </c>
      <c r="BO24" s="184"/>
      <c r="BP24" s="40"/>
      <c r="BQ24" s="40">
        <f>IFERROR(BR24/BP$3,0)</f>
        <v>0</v>
      </c>
      <c r="BR24" s="185">
        <f>SUM(BR25:BR36)</f>
        <v>0</v>
      </c>
      <c r="BS24" s="184"/>
      <c r="BT24" s="40"/>
      <c r="BU24" s="40">
        <f>IFERROR(BV24/BT$3,0)</f>
        <v>0</v>
      </c>
      <c r="BV24" s="185">
        <f>SUM(BV25:BV36)</f>
        <v>0</v>
      </c>
      <c r="BW24" s="184"/>
      <c r="BX24" s="40"/>
      <c r="BY24" s="40">
        <f>IFERROR(BZ24/BX$3,0)</f>
        <v>0</v>
      </c>
      <c r="BZ24" s="185">
        <f>SUM(BZ25:BZ36)</f>
        <v>0</v>
      </c>
      <c r="CA24" s="184"/>
      <c r="CB24" s="40"/>
      <c r="CC24" s="40">
        <f>IFERROR(CD24/CB$3,0)</f>
        <v>0</v>
      </c>
      <c r="CD24" s="185">
        <f>SUM(CD25:CD36)</f>
        <v>0</v>
      </c>
    </row>
    <row r="25" spans="2:82" x14ac:dyDescent="0.3">
      <c r="B25" s="53"/>
      <c r="C25" s="53" t="str">
        <f t="shared" si="0"/>
        <v>CPU_Alambrado</v>
      </c>
      <c r="D25" s="278">
        <f t="shared" si="1"/>
        <v>0.1</v>
      </c>
      <c r="E25" s="278">
        <f t="shared" si="2"/>
        <v>0</v>
      </c>
      <c r="F25" s="1"/>
      <c r="G25" s="28" t="str">
        <f>IFERROR(VLOOKUP(F25,Tabela7[[RECURSO]:[CUSTO]],2,FALSE),"")</f>
        <v/>
      </c>
      <c r="H25" s="93"/>
      <c r="I25" s="90">
        <f>IFERROR(SUMPRODUCT(I12:I23,M12:M23,H12:H23,N12:N23),0)</f>
        <v>0</v>
      </c>
      <c r="J25" s="45">
        <f>IFERROR(VLOOKUP(F25,Tabela7[[RECURSO]:[CUSTO]],3,FALSE),0)</f>
        <v>0</v>
      </c>
      <c r="K25" s="45">
        <f>I25*J25</f>
        <v>0</v>
      </c>
      <c r="AD25" s="144" t="str">
        <f t="shared" si="3"/>
        <v>Alambrado</v>
      </c>
      <c r="AE25" s="179"/>
      <c r="AF25" s="180">
        <f t="shared" ref="AF25:AF36" si="20">AJ25+AN25+AR25+AV25+AZ25+BD25+BH25+BL25+BP25+BT25+BX25+CB25</f>
        <v>0</v>
      </c>
      <c r="AG25" s="180">
        <f t="shared" si="17"/>
        <v>0</v>
      </c>
      <c r="AH25" s="181">
        <f t="shared" ref="AH25:AH36" si="21">AL25+AP25+AT25+AX25+BB25+BF25+BJ25+BN25+BR25+BV25+BZ25+CD25</f>
        <v>0</v>
      </c>
      <c r="AI25" s="182"/>
      <c r="AJ25" s="90"/>
      <c r="AK25" s="90"/>
      <c r="AL25" s="183">
        <f t="shared" ref="AL25:AL36" si="22">AJ25*AK25</f>
        <v>0</v>
      </c>
      <c r="AM25" s="182"/>
      <c r="AN25" s="90"/>
      <c r="AO25" s="90"/>
      <c r="AP25" s="183">
        <f t="shared" ref="AP25:AP62" si="23">AN25*AO25</f>
        <v>0</v>
      </c>
      <c r="AQ25" s="182"/>
      <c r="AR25" s="90"/>
      <c r="AS25" s="90"/>
      <c r="AT25" s="183">
        <f t="shared" ref="AT25:AT62" si="24">AR25*AS25</f>
        <v>0</v>
      </c>
      <c r="AU25" s="182"/>
      <c r="AV25" s="90"/>
      <c r="AW25" s="90"/>
      <c r="AX25" s="183">
        <f t="shared" ref="AX25:AX62" si="25">AV25*AW25</f>
        <v>0</v>
      </c>
      <c r="AY25" s="182"/>
      <c r="AZ25" s="90"/>
      <c r="BA25" s="90"/>
      <c r="BB25" s="183">
        <f t="shared" ref="BB25:BB62" si="26">AZ25*BA25</f>
        <v>0</v>
      </c>
      <c r="BC25" s="182"/>
      <c r="BD25" s="90"/>
      <c r="BE25" s="90"/>
      <c r="BF25" s="183">
        <f t="shared" ref="BF25:BF62" si="27">BD25*BE25</f>
        <v>0</v>
      </c>
      <c r="BG25" s="182"/>
      <c r="BH25" s="90"/>
      <c r="BI25" s="90"/>
      <c r="BJ25" s="183">
        <f t="shared" ref="BJ25:BJ62" si="28">BH25*BI25</f>
        <v>0</v>
      </c>
      <c r="BK25" s="182"/>
      <c r="BL25" s="90"/>
      <c r="BM25" s="90"/>
      <c r="BN25" s="183">
        <f t="shared" ref="BN25:BN62" si="29">BL25*BM25</f>
        <v>0</v>
      </c>
      <c r="BO25" s="182"/>
      <c r="BP25" s="90"/>
      <c r="BQ25" s="90"/>
      <c r="BR25" s="183">
        <f t="shared" ref="BR25:BR62" si="30">BP25*BQ25</f>
        <v>0</v>
      </c>
      <c r="BS25" s="182"/>
      <c r="BT25" s="90"/>
      <c r="BU25" s="90"/>
      <c r="BV25" s="183">
        <f t="shared" ref="BV25:BV62" si="31">BT25*BU25</f>
        <v>0</v>
      </c>
      <c r="BW25" s="182"/>
      <c r="BX25" s="90"/>
      <c r="BY25" s="90"/>
      <c r="BZ25" s="183">
        <f t="shared" ref="BZ25:BZ62" si="32">BX25*BY25</f>
        <v>0</v>
      </c>
      <c r="CA25" s="182"/>
      <c r="CB25" s="90"/>
      <c r="CC25" s="90"/>
      <c r="CD25" s="183">
        <f t="shared" ref="CD25:CD62" si="33">CB25*CC25</f>
        <v>0</v>
      </c>
    </row>
    <row r="26" spans="2:82" x14ac:dyDescent="0.3">
      <c r="B26" s="53"/>
      <c r="C26" s="53" t="str">
        <f t="shared" si="0"/>
        <v>CPU_Alambrado</v>
      </c>
      <c r="D26" s="278">
        <f t="shared" si="1"/>
        <v>0.1</v>
      </c>
      <c r="E26" s="278">
        <f t="shared" si="2"/>
        <v>0</v>
      </c>
      <c r="F26" s="1"/>
      <c r="G26" s="28" t="str">
        <f>IFERROR(VLOOKUP(F26,Tabela7[[RECURSO]:[CUSTO]],2,FALSE),"")</f>
        <v/>
      </c>
      <c r="H26" s="93"/>
      <c r="I26" s="90"/>
      <c r="J26" s="45">
        <f>IFERROR(VLOOKUP(F26,Tabela7[[RECURSO]:[CUSTO]],3,FALSE),0)</f>
        <v>0</v>
      </c>
      <c r="K26" s="45">
        <f t="shared" ref="K26:K36" si="34">I26*J26</f>
        <v>0</v>
      </c>
      <c r="AD26" s="144" t="str">
        <f t="shared" si="3"/>
        <v>Alambrado</v>
      </c>
      <c r="AE26" s="179"/>
      <c r="AF26" s="180">
        <f t="shared" si="20"/>
        <v>0</v>
      </c>
      <c r="AG26" s="180">
        <f t="shared" si="17"/>
        <v>0</v>
      </c>
      <c r="AH26" s="181">
        <f t="shared" si="21"/>
        <v>0</v>
      </c>
      <c r="AI26" s="182"/>
      <c r="AJ26" s="90"/>
      <c r="AK26" s="90"/>
      <c r="AL26" s="183">
        <f t="shared" si="22"/>
        <v>0</v>
      </c>
      <c r="AM26" s="182"/>
      <c r="AN26" s="90"/>
      <c r="AO26" s="90"/>
      <c r="AP26" s="183">
        <f t="shared" si="23"/>
        <v>0</v>
      </c>
      <c r="AQ26" s="182"/>
      <c r="AR26" s="90"/>
      <c r="AS26" s="90"/>
      <c r="AT26" s="183">
        <f t="shared" si="24"/>
        <v>0</v>
      </c>
      <c r="AU26" s="182"/>
      <c r="AV26" s="90"/>
      <c r="AW26" s="90"/>
      <c r="AX26" s="183">
        <f t="shared" si="25"/>
        <v>0</v>
      </c>
      <c r="AY26" s="182"/>
      <c r="AZ26" s="90"/>
      <c r="BA26" s="90"/>
      <c r="BB26" s="183">
        <f t="shared" si="26"/>
        <v>0</v>
      </c>
      <c r="BC26" s="182"/>
      <c r="BD26" s="90"/>
      <c r="BE26" s="90"/>
      <c r="BF26" s="183">
        <f t="shared" si="27"/>
        <v>0</v>
      </c>
      <c r="BG26" s="182"/>
      <c r="BH26" s="90"/>
      <c r="BI26" s="90"/>
      <c r="BJ26" s="183">
        <f t="shared" si="28"/>
        <v>0</v>
      </c>
      <c r="BK26" s="182"/>
      <c r="BL26" s="90"/>
      <c r="BM26" s="90"/>
      <c r="BN26" s="183">
        <f t="shared" si="29"/>
        <v>0</v>
      </c>
      <c r="BO26" s="182"/>
      <c r="BP26" s="90"/>
      <c r="BQ26" s="90"/>
      <c r="BR26" s="183">
        <f t="shared" si="30"/>
        <v>0</v>
      </c>
      <c r="BS26" s="182"/>
      <c r="BT26" s="90"/>
      <c r="BU26" s="90"/>
      <c r="BV26" s="183">
        <f t="shared" si="31"/>
        <v>0</v>
      </c>
      <c r="BW26" s="182"/>
      <c r="BX26" s="90"/>
      <c r="BY26" s="90"/>
      <c r="BZ26" s="183">
        <f t="shared" si="32"/>
        <v>0</v>
      </c>
      <c r="CA26" s="182"/>
      <c r="CB26" s="90"/>
      <c r="CC26" s="90"/>
      <c r="CD26" s="183">
        <f t="shared" si="33"/>
        <v>0</v>
      </c>
    </row>
    <row r="27" spans="2:82" x14ac:dyDescent="0.3">
      <c r="B27" s="53"/>
      <c r="C27" s="53" t="str">
        <f t="shared" si="0"/>
        <v>CPU_Alambrado</v>
      </c>
      <c r="D27" s="278">
        <f t="shared" si="1"/>
        <v>0.1</v>
      </c>
      <c r="E27" s="278">
        <f t="shared" si="2"/>
        <v>0</v>
      </c>
      <c r="F27" s="1"/>
      <c r="G27" s="28" t="str">
        <f>IFERROR(VLOOKUP(F27,Tabela7[[RECURSO]:[CUSTO]],2,FALSE),"")</f>
        <v/>
      </c>
      <c r="H27" s="93"/>
      <c r="I27" s="90"/>
      <c r="J27" s="45">
        <f>IFERROR(VLOOKUP(F27,Tabela7[[RECURSO]:[CUSTO]],3,FALSE),0)</f>
        <v>0</v>
      </c>
      <c r="K27" s="45">
        <f t="shared" si="34"/>
        <v>0</v>
      </c>
      <c r="AD27" s="144" t="str">
        <f t="shared" si="3"/>
        <v>Alambrado</v>
      </c>
      <c r="AE27" s="179"/>
      <c r="AF27" s="180">
        <f t="shared" si="20"/>
        <v>0</v>
      </c>
      <c r="AG27" s="180">
        <f t="shared" si="17"/>
        <v>0</v>
      </c>
      <c r="AH27" s="181">
        <f t="shared" si="21"/>
        <v>0</v>
      </c>
      <c r="AI27" s="182"/>
      <c r="AJ27" s="90"/>
      <c r="AK27" s="90"/>
      <c r="AL27" s="183">
        <f t="shared" si="22"/>
        <v>0</v>
      </c>
      <c r="AM27" s="182"/>
      <c r="AN27" s="90"/>
      <c r="AO27" s="90"/>
      <c r="AP27" s="183">
        <f t="shared" si="23"/>
        <v>0</v>
      </c>
      <c r="AQ27" s="182"/>
      <c r="AR27" s="90"/>
      <c r="AS27" s="90"/>
      <c r="AT27" s="183">
        <f t="shared" si="24"/>
        <v>0</v>
      </c>
      <c r="AU27" s="182"/>
      <c r="AV27" s="90"/>
      <c r="AW27" s="90"/>
      <c r="AX27" s="183">
        <f t="shared" si="25"/>
        <v>0</v>
      </c>
      <c r="AY27" s="182"/>
      <c r="AZ27" s="90"/>
      <c r="BA27" s="90"/>
      <c r="BB27" s="183">
        <f t="shared" si="26"/>
        <v>0</v>
      </c>
      <c r="BC27" s="182"/>
      <c r="BD27" s="90"/>
      <c r="BE27" s="90"/>
      <c r="BF27" s="183">
        <f t="shared" si="27"/>
        <v>0</v>
      </c>
      <c r="BG27" s="182"/>
      <c r="BH27" s="90"/>
      <c r="BI27" s="90"/>
      <c r="BJ27" s="183">
        <f t="shared" si="28"/>
        <v>0</v>
      </c>
      <c r="BK27" s="182"/>
      <c r="BL27" s="90"/>
      <c r="BM27" s="90"/>
      <c r="BN27" s="183">
        <f t="shared" si="29"/>
        <v>0</v>
      </c>
      <c r="BO27" s="182"/>
      <c r="BP27" s="90"/>
      <c r="BQ27" s="90"/>
      <c r="BR27" s="183">
        <f t="shared" si="30"/>
        <v>0</v>
      </c>
      <c r="BS27" s="182"/>
      <c r="BT27" s="90"/>
      <c r="BU27" s="90"/>
      <c r="BV27" s="183">
        <f t="shared" si="31"/>
        <v>0</v>
      </c>
      <c r="BW27" s="182"/>
      <c r="BX27" s="90"/>
      <c r="BY27" s="90"/>
      <c r="BZ27" s="183">
        <f t="shared" si="32"/>
        <v>0</v>
      </c>
      <c r="CA27" s="182"/>
      <c r="CB27" s="90"/>
      <c r="CC27" s="90"/>
      <c r="CD27" s="183">
        <f t="shared" si="33"/>
        <v>0</v>
      </c>
    </row>
    <row r="28" spans="2:82" x14ac:dyDescent="0.3">
      <c r="B28" s="53"/>
      <c r="C28" s="53" t="str">
        <f t="shared" si="0"/>
        <v>CPU_Alambrado</v>
      </c>
      <c r="D28" s="278">
        <f t="shared" si="1"/>
        <v>0.1</v>
      </c>
      <c r="E28" s="278">
        <f t="shared" si="2"/>
        <v>0</v>
      </c>
      <c r="F28" s="1"/>
      <c r="G28" s="28" t="str">
        <f>IFERROR(VLOOKUP(F28,Tabela7[[RECURSO]:[CUSTO]],2,FALSE),"")</f>
        <v/>
      </c>
      <c r="H28" s="93"/>
      <c r="I28" s="90"/>
      <c r="J28" s="45">
        <f>IFERROR(VLOOKUP(F28,Tabela7[[RECURSO]:[CUSTO]],3,FALSE),0)</f>
        <v>0</v>
      </c>
      <c r="K28" s="45">
        <f t="shared" si="34"/>
        <v>0</v>
      </c>
      <c r="AD28" s="144" t="str">
        <f t="shared" si="3"/>
        <v>Alambrado</v>
      </c>
      <c r="AE28" s="179"/>
      <c r="AF28" s="180">
        <f t="shared" si="20"/>
        <v>0</v>
      </c>
      <c r="AG28" s="180">
        <f t="shared" si="17"/>
        <v>0</v>
      </c>
      <c r="AH28" s="181">
        <f t="shared" si="21"/>
        <v>0</v>
      </c>
      <c r="AI28" s="182"/>
      <c r="AJ28" s="90"/>
      <c r="AK28" s="90"/>
      <c r="AL28" s="183">
        <f t="shared" si="22"/>
        <v>0</v>
      </c>
      <c r="AM28" s="182"/>
      <c r="AN28" s="90"/>
      <c r="AO28" s="90"/>
      <c r="AP28" s="183">
        <f t="shared" si="23"/>
        <v>0</v>
      </c>
      <c r="AQ28" s="182"/>
      <c r="AR28" s="90"/>
      <c r="AS28" s="90"/>
      <c r="AT28" s="183">
        <f t="shared" si="24"/>
        <v>0</v>
      </c>
      <c r="AU28" s="182"/>
      <c r="AV28" s="90"/>
      <c r="AW28" s="90"/>
      <c r="AX28" s="183">
        <f t="shared" si="25"/>
        <v>0</v>
      </c>
      <c r="AY28" s="182"/>
      <c r="AZ28" s="90"/>
      <c r="BA28" s="90"/>
      <c r="BB28" s="183">
        <f t="shared" si="26"/>
        <v>0</v>
      </c>
      <c r="BC28" s="182"/>
      <c r="BD28" s="90"/>
      <c r="BE28" s="90"/>
      <c r="BF28" s="183">
        <f t="shared" si="27"/>
        <v>0</v>
      </c>
      <c r="BG28" s="182"/>
      <c r="BH28" s="90"/>
      <c r="BI28" s="90"/>
      <c r="BJ28" s="183">
        <f t="shared" si="28"/>
        <v>0</v>
      </c>
      <c r="BK28" s="182"/>
      <c r="BL28" s="90"/>
      <c r="BM28" s="90"/>
      <c r="BN28" s="183">
        <f t="shared" si="29"/>
        <v>0</v>
      </c>
      <c r="BO28" s="182"/>
      <c r="BP28" s="90"/>
      <c r="BQ28" s="90"/>
      <c r="BR28" s="183">
        <f t="shared" si="30"/>
        <v>0</v>
      </c>
      <c r="BS28" s="182"/>
      <c r="BT28" s="90"/>
      <c r="BU28" s="90"/>
      <c r="BV28" s="183">
        <f t="shared" si="31"/>
        <v>0</v>
      </c>
      <c r="BW28" s="182"/>
      <c r="BX28" s="90"/>
      <c r="BY28" s="90"/>
      <c r="BZ28" s="183">
        <f t="shared" si="32"/>
        <v>0</v>
      </c>
      <c r="CA28" s="182"/>
      <c r="CB28" s="90"/>
      <c r="CC28" s="90"/>
      <c r="CD28" s="183">
        <f t="shared" si="33"/>
        <v>0</v>
      </c>
    </row>
    <row r="29" spans="2:82" x14ac:dyDescent="0.3">
      <c r="B29" s="53"/>
      <c r="C29" s="53" t="str">
        <f t="shared" si="0"/>
        <v>CPU_Alambrado</v>
      </c>
      <c r="D29" s="278">
        <f t="shared" si="1"/>
        <v>0.1</v>
      </c>
      <c r="E29" s="278">
        <f t="shared" si="2"/>
        <v>0</v>
      </c>
      <c r="F29" s="1"/>
      <c r="G29" s="28" t="str">
        <f>IFERROR(VLOOKUP(F29,Tabela7[[RECURSO]:[CUSTO]],2,FALSE),"")</f>
        <v/>
      </c>
      <c r="H29" s="93"/>
      <c r="I29" s="90"/>
      <c r="J29" s="45">
        <f>IFERROR(VLOOKUP(F29,Tabela7[[RECURSO]:[CUSTO]],3,FALSE),0)</f>
        <v>0</v>
      </c>
      <c r="K29" s="45">
        <f t="shared" si="34"/>
        <v>0</v>
      </c>
      <c r="AD29" s="144" t="str">
        <f t="shared" si="3"/>
        <v>Alambrado</v>
      </c>
      <c r="AE29" s="179"/>
      <c r="AF29" s="180">
        <f t="shared" si="20"/>
        <v>0</v>
      </c>
      <c r="AG29" s="180">
        <f t="shared" si="17"/>
        <v>0</v>
      </c>
      <c r="AH29" s="181">
        <f t="shared" si="21"/>
        <v>0</v>
      </c>
      <c r="AI29" s="182"/>
      <c r="AJ29" s="90"/>
      <c r="AK29" s="90"/>
      <c r="AL29" s="183">
        <f t="shared" si="22"/>
        <v>0</v>
      </c>
      <c r="AM29" s="182"/>
      <c r="AN29" s="90"/>
      <c r="AO29" s="90"/>
      <c r="AP29" s="183">
        <f t="shared" si="23"/>
        <v>0</v>
      </c>
      <c r="AQ29" s="182"/>
      <c r="AR29" s="90"/>
      <c r="AS29" s="90"/>
      <c r="AT29" s="183">
        <f t="shared" si="24"/>
        <v>0</v>
      </c>
      <c r="AU29" s="182"/>
      <c r="AV29" s="90"/>
      <c r="AW29" s="90"/>
      <c r="AX29" s="183">
        <f t="shared" si="25"/>
        <v>0</v>
      </c>
      <c r="AY29" s="182"/>
      <c r="AZ29" s="90"/>
      <c r="BA29" s="90"/>
      <c r="BB29" s="183">
        <f t="shared" si="26"/>
        <v>0</v>
      </c>
      <c r="BC29" s="182"/>
      <c r="BD29" s="90"/>
      <c r="BE29" s="90"/>
      <c r="BF29" s="183">
        <f t="shared" si="27"/>
        <v>0</v>
      </c>
      <c r="BG29" s="182"/>
      <c r="BH29" s="90"/>
      <c r="BI29" s="90"/>
      <c r="BJ29" s="183">
        <f t="shared" si="28"/>
        <v>0</v>
      </c>
      <c r="BK29" s="182"/>
      <c r="BL29" s="90"/>
      <c r="BM29" s="90"/>
      <c r="BN29" s="183">
        <f t="shared" si="29"/>
        <v>0</v>
      </c>
      <c r="BO29" s="182"/>
      <c r="BP29" s="90"/>
      <c r="BQ29" s="90"/>
      <c r="BR29" s="183">
        <f t="shared" si="30"/>
        <v>0</v>
      </c>
      <c r="BS29" s="182"/>
      <c r="BT29" s="90"/>
      <c r="BU29" s="90"/>
      <c r="BV29" s="183">
        <f t="shared" si="31"/>
        <v>0</v>
      </c>
      <c r="BW29" s="182"/>
      <c r="BX29" s="90"/>
      <c r="BY29" s="90"/>
      <c r="BZ29" s="183">
        <f t="shared" si="32"/>
        <v>0</v>
      </c>
      <c r="CA29" s="182"/>
      <c r="CB29" s="90"/>
      <c r="CC29" s="90"/>
      <c r="CD29" s="183">
        <f t="shared" si="33"/>
        <v>0</v>
      </c>
    </row>
    <row r="30" spans="2:82" x14ac:dyDescent="0.3">
      <c r="B30" s="53"/>
      <c r="C30" s="53" t="str">
        <f t="shared" si="0"/>
        <v>CPU_Alambrado</v>
      </c>
      <c r="D30" s="278">
        <f t="shared" si="1"/>
        <v>0.1</v>
      </c>
      <c r="E30" s="278">
        <f t="shared" si="2"/>
        <v>0</v>
      </c>
      <c r="F30" s="1"/>
      <c r="G30" s="28" t="str">
        <f>IFERROR(VLOOKUP(F30,Tabela7[[RECURSO]:[CUSTO]],2,FALSE),"")</f>
        <v/>
      </c>
      <c r="H30" s="93"/>
      <c r="I30" s="90"/>
      <c r="J30" s="45">
        <f>IFERROR(VLOOKUP(F30,Tabela7[[RECURSO]:[CUSTO]],3,FALSE),0)</f>
        <v>0</v>
      </c>
      <c r="K30" s="45">
        <f t="shared" si="34"/>
        <v>0</v>
      </c>
      <c r="AD30" s="144" t="str">
        <f t="shared" si="3"/>
        <v>Alambrado</v>
      </c>
      <c r="AE30" s="179"/>
      <c r="AF30" s="180">
        <f t="shared" si="20"/>
        <v>0</v>
      </c>
      <c r="AG30" s="180">
        <f t="shared" si="17"/>
        <v>0</v>
      </c>
      <c r="AH30" s="181">
        <f t="shared" si="21"/>
        <v>0</v>
      </c>
      <c r="AI30" s="182"/>
      <c r="AJ30" s="90"/>
      <c r="AK30" s="90"/>
      <c r="AL30" s="183">
        <f t="shared" si="22"/>
        <v>0</v>
      </c>
      <c r="AM30" s="182"/>
      <c r="AN30" s="90"/>
      <c r="AO30" s="90"/>
      <c r="AP30" s="183">
        <f t="shared" si="23"/>
        <v>0</v>
      </c>
      <c r="AQ30" s="182"/>
      <c r="AR30" s="90"/>
      <c r="AS30" s="90"/>
      <c r="AT30" s="183">
        <f t="shared" si="24"/>
        <v>0</v>
      </c>
      <c r="AU30" s="182"/>
      <c r="AV30" s="90"/>
      <c r="AW30" s="90"/>
      <c r="AX30" s="183">
        <f t="shared" si="25"/>
        <v>0</v>
      </c>
      <c r="AY30" s="182"/>
      <c r="AZ30" s="90"/>
      <c r="BA30" s="90"/>
      <c r="BB30" s="183">
        <f t="shared" si="26"/>
        <v>0</v>
      </c>
      <c r="BC30" s="182"/>
      <c r="BD30" s="90"/>
      <c r="BE30" s="90"/>
      <c r="BF30" s="183">
        <f t="shared" si="27"/>
        <v>0</v>
      </c>
      <c r="BG30" s="182"/>
      <c r="BH30" s="90"/>
      <c r="BI30" s="90"/>
      <c r="BJ30" s="183">
        <f t="shared" si="28"/>
        <v>0</v>
      </c>
      <c r="BK30" s="182"/>
      <c r="BL30" s="90"/>
      <c r="BM30" s="90"/>
      <c r="BN30" s="183">
        <f t="shared" si="29"/>
        <v>0</v>
      </c>
      <c r="BO30" s="182"/>
      <c r="BP30" s="90"/>
      <c r="BQ30" s="90"/>
      <c r="BR30" s="183">
        <f t="shared" si="30"/>
        <v>0</v>
      </c>
      <c r="BS30" s="182"/>
      <c r="BT30" s="90"/>
      <c r="BU30" s="90"/>
      <c r="BV30" s="183">
        <f t="shared" si="31"/>
        <v>0</v>
      </c>
      <c r="BW30" s="182"/>
      <c r="BX30" s="90"/>
      <c r="BY30" s="90"/>
      <c r="BZ30" s="183">
        <f t="shared" si="32"/>
        <v>0</v>
      </c>
      <c r="CA30" s="182"/>
      <c r="CB30" s="90"/>
      <c r="CC30" s="90"/>
      <c r="CD30" s="183">
        <f t="shared" si="33"/>
        <v>0</v>
      </c>
    </row>
    <row r="31" spans="2:82" x14ac:dyDescent="0.3">
      <c r="B31" s="53"/>
      <c r="C31" s="53" t="str">
        <f t="shared" si="0"/>
        <v>CPU_Alambrado</v>
      </c>
      <c r="D31" s="278">
        <f t="shared" si="1"/>
        <v>0.1</v>
      </c>
      <c r="E31" s="278">
        <f t="shared" si="2"/>
        <v>0</v>
      </c>
      <c r="F31" s="1"/>
      <c r="G31" s="28" t="str">
        <f>IFERROR(VLOOKUP(F31,Tabela7[[RECURSO]:[CUSTO]],2,FALSE),"")</f>
        <v/>
      </c>
      <c r="H31" s="93"/>
      <c r="I31" s="90"/>
      <c r="J31" s="45">
        <f>IFERROR(VLOOKUP(F31,Tabela7[[RECURSO]:[CUSTO]],3,FALSE),0)</f>
        <v>0</v>
      </c>
      <c r="K31" s="45">
        <f t="shared" si="34"/>
        <v>0</v>
      </c>
      <c r="AD31" s="144" t="str">
        <f t="shared" si="3"/>
        <v>Alambrado</v>
      </c>
      <c r="AE31" s="179"/>
      <c r="AF31" s="180">
        <f t="shared" si="20"/>
        <v>0</v>
      </c>
      <c r="AG31" s="180">
        <f t="shared" si="17"/>
        <v>0</v>
      </c>
      <c r="AH31" s="181">
        <f t="shared" si="21"/>
        <v>0</v>
      </c>
      <c r="AI31" s="182"/>
      <c r="AJ31" s="90"/>
      <c r="AK31" s="90"/>
      <c r="AL31" s="183">
        <f t="shared" si="22"/>
        <v>0</v>
      </c>
      <c r="AM31" s="182"/>
      <c r="AN31" s="90"/>
      <c r="AO31" s="90"/>
      <c r="AP31" s="183">
        <f t="shared" si="23"/>
        <v>0</v>
      </c>
      <c r="AQ31" s="182"/>
      <c r="AR31" s="90"/>
      <c r="AS31" s="90"/>
      <c r="AT31" s="183">
        <f t="shared" si="24"/>
        <v>0</v>
      </c>
      <c r="AU31" s="182"/>
      <c r="AV31" s="90"/>
      <c r="AW31" s="90"/>
      <c r="AX31" s="183">
        <f t="shared" si="25"/>
        <v>0</v>
      </c>
      <c r="AY31" s="182"/>
      <c r="AZ31" s="90"/>
      <c r="BA31" s="90"/>
      <c r="BB31" s="183">
        <f t="shared" si="26"/>
        <v>0</v>
      </c>
      <c r="BC31" s="182"/>
      <c r="BD31" s="90"/>
      <c r="BE31" s="90"/>
      <c r="BF31" s="183">
        <f t="shared" si="27"/>
        <v>0</v>
      </c>
      <c r="BG31" s="182"/>
      <c r="BH31" s="90"/>
      <c r="BI31" s="90"/>
      <c r="BJ31" s="183">
        <f t="shared" si="28"/>
        <v>0</v>
      </c>
      <c r="BK31" s="182"/>
      <c r="BL31" s="90"/>
      <c r="BM31" s="90"/>
      <c r="BN31" s="183">
        <f t="shared" si="29"/>
        <v>0</v>
      </c>
      <c r="BO31" s="182"/>
      <c r="BP31" s="90"/>
      <c r="BQ31" s="90"/>
      <c r="BR31" s="183">
        <f t="shared" si="30"/>
        <v>0</v>
      </c>
      <c r="BS31" s="182"/>
      <c r="BT31" s="90"/>
      <c r="BU31" s="90"/>
      <c r="BV31" s="183">
        <f t="shared" si="31"/>
        <v>0</v>
      </c>
      <c r="BW31" s="182"/>
      <c r="BX31" s="90"/>
      <c r="BY31" s="90"/>
      <c r="BZ31" s="183">
        <f t="shared" si="32"/>
        <v>0</v>
      </c>
      <c r="CA31" s="182"/>
      <c r="CB31" s="90"/>
      <c r="CC31" s="90"/>
      <c r="CD31" s="183">
        <f t="shared" si="33"/>
        <v>0</v>
      </c>
    </row>
    <row r="32" spans="2:82" x14ac:dyDescent="0.3">
      <c r="B32" s="53"/>
      <c r="C32" s="53" t="str">
        <f t="shared" si="0"/>
        <v>CPU_Alambrado</v>
      </c>
      <c r="D32" s="278">
        <f t="shared" si="1"/>
        <v>0.1</v>
      </c>
      <c r="E32" s="278">
        <f t="shared" si="2"/>
        <v>0</v>
      </c>
      <c r="F32" s="1"/>
      <c r="G32" s="28" t="str">
        <f>IFERROR(VLOOKUP(F32,Tabela7[[RECURSO]:[CUSTO]],2,FALSE),"")</f>
        <v/>
      </c>
      <c r="H32" s="93"/>
      <c r="I32" s="90"/>
      <c r="J32" s="45">
        <f>IFERROR(VLOOKUP(F32,Tabela7[[RECURSO]:[CUSTO]],3,FALSE),0)</f>
        <v>0</v>
      </c>
      <c r="K32" s="45">
        <f t="shared" si="34"/>
        <v>0</v>
      </c>
      <c r="AD32" s="144" t="str">
        <f t="shared" si="3"/>
        <v>Alambrado</v>
      </c>
      <c r="AE32" s="179"/>
      <c r="AF32" s="180">
        <f t="shared" si="20"/>
        <v>0</v>
      </c>
      <c r="AG32" s="180">
        <f t="shared" si="17"/>
        <v>0</v>
      </c>
      <c r="AH32" s="181">
        <f t="shared" si="21"/>
        <v>0</v>
      </c>
      <c r="AI32" s="182"/>
      <c r="AJ32" s="90"/>
      <c r="AK32" s="90"/>
      <c r="AL32" s="183">
        <f t="shared" si="22"/>
        <v>0</v>
      </c>
      <c r="AM32" s="182"/>
      <c r="AN32" s="90"/>
      <c r="AO32" s="90"/>
      <c r="AP32" s="183">
        <f t="shared" si="23"/>
        <v>0</v>
      </c>
      <c r="AQ32" s="182"/>
      <c r="AR32" s="90"/>
      <c r="AS32" s="90"/>
      <c r="AT32" s="183">
        <f t="shared" si="24"/>
        <v>0</v>
      </c>
      <c r="AU32" s="182"/>
      <c r="AV32" s="90"/>
      <c r="AW32" s="90"/>
      <c r="AX32" s="183">
        <f t="shared" si="25"/>
        <v>0</v>
      </c>
      <c r="AY32" s="182"/>
      <c r="AZ32" s="90"/>
      <c r="BA32" s="90"/>
      <c r="BB32" s="183">
        <f t="shared" si="26"/>
        <v>0</v>
      </c>
      <c r="BC32" s="182"/>
      <c r="BD32" s="90"/>
      <c r="BE32" s="90"/>
      <c r="BF32" s="183">
        <f t="shared" si="27"/>
        <v>0</v>
      </c>
      <c r="BG32" s="182"/>
      <c r="BH32" s="90"/>
      <c r="BI32" s="90"/>
      <c r="BJ32" s="183">
        <f t="shared" si="28"/>
        <v>0</v>
      </c>
      <c r="BK32" s="182"/>
      <c r="BL32" s="90"/>
      <c r="BM32" s="90"/>
      <c r="BN32" s="183">
        <f t="shared" si="29"/>
        <v>0</v>
      </c>
      <c r="BO32" s="182"/>
      <c r="BP32" s="90"/>
      <c r="BQ32" s="90"/>
      <c r="BR32" s="183">
        <f t="shared" si="30"/>
        <v>0</v>
      </c>
      <c r="BS32" s="182"/>
      <c r="BT32" s="90"/>
      <c r="BU32" s="90"/>
      <c r="BV32" s="183">
        <f t="shared" si="31"/>
        <v>0</v>
      </c>
      <c r="BW32" s="182"/>
      <c r="BX32" s="90"/>
      <c r="BY32" s="90"/>
      <c r="BZ32" s="183">
        <f t="shared" si="32"/>
        <v>0</v>
      </c>
      <c r="CA32" s="182"/>
      <c r="CB32" s="90"/>
      <c r="CC32" s="90"/>
      <c r="CD32" s="183">
        <f t="shared" si="33"/>
        <v>0</v>
      </c>
    </row>
    <row r="33" spans="2:82" x14ac:dyDescent="0.3">
      <c r="B33" s="53"/>
      <c r="C33" s="53" t="str">
        <f t="shared" si="0"/>
        <v>CPU_Alambrado</v>
      </c>
      <c r="D33" s="278">
        <f t="shared" si="1"/>
        <v>0.1</v>
      </c>
      <c r="E33" s="278">
        <f t="shared" si="2"/>
        <v>0</v>
      </c>
      <c r="F33" s="1"/>
      <c r="G33" s="28" t="str">
        <f>IFERROR(VLOOKUP(F33,Tabela7[[RECURSO]:[CUSTO]],2,FALSE),"")</f>
        <v/>
      </c>
      <c r="H33" s="93"/>
      <c r="I33" s="90"/>
      <c r="J33" s="45">
        <f>IFERROR(VLOOKUP(F33,Tabela7[[RECURSO]:[CUSTO]],3,FALSE),0)</f>
        <v>0</v>
      </c>
      <c r="K33" s="45">
        <f t="shared" si="34"/>
        <v>0</v>
      </c>
      <c r="AD33" s="144" t="str">
        <f t="shared" si="3"/>
        <v>Alambrado</v>
      </c>
      <c r="AE33" s="179"/>
      <c r="AF33" s="180">
        <f t="shared" si="20"/>
        <v>0</v>
      </c>
      <c r="AG33" s="180">
        <f t="shared" si="17"/>
        <v>0</v>
      </c>
      <c r="AH33" s="181">
        <f t="shared" si="21"/>
        <v>0</v>
      </c>
      <c r="AI33" s="182"/>
      <c r="AJ33" s="90"/>
      <c r="AK33" s="90"/>
      <c r="AL33" s="183">
        <f t="shared" si="22"/>
        <v>0</v>
      </c>
      <c r="AM33" s="182"/>
      <c r="AN33" s="90"/>
      <c r="AO33" s="90"/>
      <c r="AP33" s="183">
        <f t="shared" si="23"/>
        <v>0</v>
      </c>
      <c r="AQ33" s="182"/>
      <c r="AR33" s="90"/>
      <c r="AS33" s="90"/>
      <c r="AT33" s="183">
        <f t="shared" si="24"/>
        <v>0</v>
      </c>
      <c r="AU33" s="182"/>
      <c r="AV33" s="90"/>
      <c r="AW33" s="90"/>
      <c r="AX33" s="183">
        <f t="shared" si="25"/>
        <v>0</v>
      </c>
      <c r="AY33" s="182"/>
      <c r="AZ33" s="90"/>
      <c r="BA33" s="90"/>
      <c r="BB33" s="183">
        <f t="shared" si="26"/>
        <v>0</v>
      </c>
      <c r="BC33" s="182"/>
      <c r="BD33" s="90"/>
      <c r="BE33" s="90"/>
      <c r="BF33" s="183">
        <f t="shared" si="27"/>
        <v>0</v>
      </c>
      <c r="BG33" s="182"/>
      <c r="BH33" s="90"/>
      <c r="BI33" s="90"/>
      <c r="BJ33" s="183">
        <f t="shared" si="28"/>
        <v>0</v>
      </c>
      <c r="BK33" s="182"/>
      <c r="BL33" s="90"/>
      <c r="BM33" s="90"/>
      <c r="BN33" s="183">
        <f t="shared" si="29"/>
        <v>0</v>
      </c>
      <c r="BO33" s="182"/>
      <c r="BP33" s="90"/>
      <c r="BQ33" s="90"/>
      <c r="BR33" s="183">
        <f t="shared" si="30"/>
        <v>0</v>
      </c>
      <c r="BS33" s="182"/>
      <c r="BT33" s="90"/>
      <c r="BU33" s="90"/>
      <c r="BV33" s="183">
        <f t="shared" si="31"/>
        <v>0</v>
      </c>
      <c r="BW33" s="182"/>
      <c r="BX33" s="90"/>
      <c r="BY33" s="90"/>
      <c r="BZ33" s="183">
        <f t="shared" si="32"/>
        <v>0</v>
      </c>
      <c r="CA33" s="182"/>
      <c r="CB33" s="90"/>
      <c r="CC33" s="90"/>
      <c r="CD33" s="183">
        <f t="shared" si="33"/>
        <v>0</v>
      </c>
    </row>
    <row r="34" spans="2:82" x14ac:dyDescent="0.3">
      <c r="B34" s="53"/>
      <c r="C34" s="53" t="str">
        <f t="shared" si="0"/>
        <v>CPU_Alambrado</v>
      </c>
      <c r="D34" s="278">
        <f t="shared" si="1"/>
        <v>0.1</v>
      </c>
      <c r="E34" s="278">
        <f t="shared" si="2"/>
        <v>0</v>
      </c>
      <c r="F34" s="1"/>
      <c r="G34" s="28" t="str">
        <f>IFERROR(VLOOKUP(F34,Tabela7[[RECURSO]:[CUSTO]],2,FALSE),"")</f>
        <v/>
      </c>
      <c r="H34" s="93"/>
      <c r="I34" s="90"/>
      <c r="J34" s="45">
        <f>IFERROR(VLOOKUP(F34,Tabela7[[RECURSO]:[CUSTO]],3,FALSE),0)</f>
        <v>0</v>
      </c>
      <c r="K34" s="45">
        <f t="shared" si="34"/>
        <v>0</v>
      </c>
      <c r="AD34" s="144" t="str">
        <f t="shared" si="3"/>
        <v>Alambrado</v>
      </c>
      <c r="AE34" s="179"/>
      <c r="AF34" s="180">
        <f t="shared" si="20"/>
        <v>0</v>
      </c>
      <c r="AG34" s="180">
        <f t="shared" si="17"/>
        <v>0</v>
      </c>
      <c r="AH34" s="181">
        <f t="shared" si="21"/>
        <v>0</v>
      </c>
      <c r="AI34" s="182"/>
      <c r="AJ34" s="90"/>
      <c r="AK34" s="90"/>
      <c r="AL34" s="183">
        <f t="shared" si="22"/>
        <v>0</v>
      </c>
      <c r="AM34" s="182"/>
      <c r="AN34" s="90"/>
      <c r="AO34" s="90"/>
      <c r="AP34" s="183">
        <f t="shared" si="23"/>
        <v>0</v>
      </c>
      <c r="AQ34" s="182"/>
      <c r="AR34" s="90"/>
      <c r="AS34" s="90"/>
      <c r="AT34" s="183">
        <f t="shared" si="24"/>
        <v>0</v>
      </c>
      <c r="AU34" s="182"/>
      <c r="AV34" s="90"/>
      <c r="AW34" s="90"/>
      <c r="AX34" s="183">
        <f t="shared" si="25"/>
        <v>0</v>
      </c>
      <c r="AY34" s="182"/>
      <c r="AZ34" s="90"/>
      <c r="BA34" s="90"/>
      <c r="BB34" s="183">
        <f t="shared" si="26"/>
        <v>0</v>
      </c>
      <c r="BC34" s="182"/>
      <c r="BD34" s="90"/>
      <c r="BE34" s="90"/>
      <c r="BF34" s="183">
        <f t="shared" si="27"/>
        <v>0</v>
      </c>
      <c r="BG34" s="182"/>
      <c r="BH34" s="90"/>
      <c r="BI34" s="90"/>
      <c r="BJ34" s="183">
        <f t="shared" si="28"/>
        <v>0</v>
      </c>
      <c r="BK34" s="182"/>
      <c r="BL34" s="90"/>
      <c r="BM34" s="90"/>
      <c r="BN34" s="183">
        <f t="shared" si="29"/>
        <v>0</v>
      </c>
      <c r="BO34" s="182"/>
      <c r="BP34" s="90"/>
      <c r="BQ34" s="90"/>
      <c r="BR34" s="183">
        <f t="shared" si="30"/>
        <v>0</v>
      </c>
      <c r="BS34" s="182"/>
      <c r="BT34" s="90"/>
      <c r="BU34" s="90"/>
      <c r="BV34" s="183">
        <f t="shared" si="31"/>
        <v>0</v>
      </c>
      <c r="BW34" s="182"/>
      <c r="BX34" s="90"/>
      <c r="BY34" s="90"/>
      <c r="BZ34" s="183">
        <f t="shared" si="32"/>
        <v>0</v>
      </c>
      <c r="CA34" s="182"/>
      <c r="CB34" s="90"/>
      <c r="CC34" s="90"/>
      <c r="CD34" s="183">
        <f t="shared" si="33"/>
        <v>0</v>
      </c>
    </row>
    <row r="35" spans="2:82" x14ac:dyDescent="0.3">
      <c r="B35" s="53"/>
      <c r="C35" s="53" t="str">
        <f t="shared" si="0"/>
        <v>CPU_Alambrado</v>
      </c>
      <c r="D35" s="278">
        <f t="shared" si="1"/>
        <v>0.1</v>
      </c>
      <c r="E35" s="278">
        <f t="shared" si="2"/>
        <v>0</v>
      </c>
      <c r="F35" s="1"/>
      <c r="G35" s="28" t="str">
        <f>IFERROR(VLOOKUP(F35,Tabela7[[RECURSO]:[CUSTO]],2,FALSE),"")</f>
        <v/>
      </c>
      <c r="H35" s="93"/>
      <c r="I35" s="90"/>
      <c r="J35" s="45">
        <f>IFERROR(VLOOKUP(F35,Tabela7[[RECURSO]:[CUSTO]],3,FALSE),0)</f>
        <v>0</v>
      </c>
      <c r="K35" s="45">
        <f t="shared" si="34"/>
        <v>0</v>
      </c>
      <c r="AD35" s="144" t="str">
        <f t="shared" si="3"/>
        <v>Alambrado</v>
      </c>
      <c r="AE35" s="179"/>
      <c r="AF35" s="180">
        <f t="shared" si="20"/>
        <v>0</v>
      </c>
      <c r="AG35" s="180">
        <f t="shared" si="17"/>
        <v>0</v>
      </c>
      <c r="AH35" s="181">
        <f t="shared" si="21"/>
        <v>0</v>
      </c>
      <c r="AI35" s="182"/>
      <c r="AJ35" s="90"/>
      <c r="AK35" s="90"/>
      <c r="AL35" s="183">
        <f t="shared" si="22"/>
        <v>0</v>
      </c>
      <c r="AM35" s="182"/>
      <c r="AN35" s="90"/>
      <c r="AO35" s="90"/>
      <c r="AP35" s="183">
        <f t="shared" si="23"/>
        <v>0</v>
      </c>
      <c r="AQ35" s="182"/>
      <c r="AR35" s="90"/>
      <c r="AS35" s="90"/>
      <c r="AT35" s="183">
        <f t="shared" si="24"/>
        <v>0</v>
      </c>
      <c r="AU35" s="182"/>
      <c r="AV35" s="90"/>
      <c r="AW35" s="90"/>
      <c r="AX35" s="183">
        <f t="shared" si="25"/>
        <v>0</v>
      </c>
      <c r="AY35" s="182"/>
      <c r="AZ35" s="90"/>
      <c r="BA35" s="90"/>
      <c r="BB35" s="183">
        <f t="shared" si="26"/>
        <v>0</v>
      </c>
      <c r="BC35" s="182"/>
      <c r="BD35" s="90"/>
      <c r="BE35" s="90"/>
      <c r="BF35" s="183">
        <f t="shared" si="27"/>
        <v>0</v>
      </c>
      <c r="BG35" s="182"/>
      <c r="BH35" s="90"/>
      <c r="BI35" s="90"/>
      <c r="BJ35" s="183">
        <f t="shared" si="28"/>
        <v>0</v>
      </c>
      <c r="BK35" s="182"/>
      <c r="BL35" s="90"/>
      <c r="BM35" s="90"/>
      <c r="BN35" s="183">
        <f t="shared" si="29"/>
        <v>0</v>
      </c>
      <c r="BO35" s="182"/>
      <c r="BP35" s="90"/>
      <c r="BQ35" s="90"/>
      <c r="BR35" s="183">
        <f t="shared" si="30"/>
        <v>0</v>
      </c>
      <c r="BS35" s="182"/>
      <c r="BT35" s="90"/>
      <c r="BU35" s="90"/>
      <c r="BV35" s="183">
        <f t="shared" si="31"/>
        <v>0</v>
      </c>
      <c r="BW35" s="182"/>
      <c r="BX35" s="90"/>
      <c r="BY35" s="90"/>
      <c r="BZ35" s="183">
        <f t="shared" si="32"/>
        <v>0</v>
      </c>
      <c r="CA35" s="182"/>
      <c r="CB35" s="90"/>
      <c r="CC35" s="90"/>
      <c r="CD35" s="183">
        <f t="shared" si="33"/>
        <v>0</v>
      </c>
    </row>
    <row r="36" spans="2:82" x14ac:dyDescent="0.3">
      <c r="B36" s="53"/>
      <c r="C36" s="53" t="str">
        <f t="shared" si="0"/>
        <v>CPU_Alambrado</v>
      </c>
      <c r="D36" s="278">
        <f t="shared" si="1"/>
        <v>0.1</v>
      </c>
      <c r="E36" s="278">
        <f t="shared" si="2"/>
        <v>0</v>
      </c>
      <c r="F36" s="1"/>
      <c r="G36" s="28" t="str">
        <f>IFERROR(VLOOKUP(F36,Tabela7[[RECURSO]:[CUSTO]],2,FALSE),"")</f>
        <v/>
      </c>
      <c r="H36" s="93"/>
      <c r="I36" s="90"/>
      <c r="J36" s="45">
        <f>IFERROR(VLOOKUP(F36,Tabela7[[RECURSO]:[CUSTO]],3,FALSE),0)</f>
        <v>0</v>
      </c>
      <c r="K36" s="45">
        <f t="shared" si="34"/>
        <v>0</v>
      </c>
      <c r="AD36" s="144" t="str">
        <f t="shared" si="3"/>
        <v>Alambrado</v>
      </c>
      <c r="AE36" s="179"/>
      <c r="AF36" s="180">
        <f t="shared" si="20"/>
        <v>0</v>
      </c>
      <c r="AG36" s="180">
        <f t="shared" si="17"/>
        <v>0</v>
      </c>
      <c r="AH36" s="181">
        <f t="shared" si="21"/>
        <v>0</v>
      </c>
      <c r="AI36" s="182"/>
      <c r="AJ36" s="90"/>
      <c r="AK36" s="90"/>
      <c r="AL36" s="183">
        <f t="shared" si="22"/>
        <v>0</v>
      </c>
      <c r="AM36" s="182"/>
      <c r="AN36" s="90"/>
      <c r="AO36" s="90"/>
      <c r="AP36" s="183">
        <f t="shared" si="23"/>
        <v>0</v>
      </c>
      <c r="AQ36" s="182"/>
      <c r="AR36" s="90"/>
      <c r="AS36" s="90"/>
      <c r="AT36" s="183">
        <f t="shared" si="24"/>
        <v>0</v>
      </c>
      <c r="AU36" s="182"/>
      <c r="AV36" s="90"/>
      <c r="AW36" s="90"/>
      <c r="AX36" s="183">
        <f t="shared" si="25"/>
        <v>0</v>
      </c>
      <c r="AY36" s="182"/>
      <c r="AZ36" s="90"/>
      <c r="BA36" s="90"/>
      <c r="BB36" s="183">
        <f t="shared" si="26"/>
        <v>0</v>
      </c>
      <c r="BC36" s="182"/>
      <c r="BD36" s="90"/>
      <c r="BE36" s="90"/>
      <c r="BF36" s="183">
        <f t="shared" si="27"/>
        <v>0</v>
      </c>
      <c r="BG36" s="182"/>
      <c r="BH36" s="90"/>
      <c r="BI36" s="90"/>
      <c r="BJ36" s="183">
        <f t="shared" si="28"/>
        <v>0</v>
      </c>
      <c r="BK36" s="182"/>
      <c r="BL36" s="90"/>
      <c r="BM36" s="90"/>
      <c r="BN36" s="183">
        <f t="shared" si="29"/>
        <v>0</v>
      </c>
      <c r="BO36" s="182"/>
      <c r="BP36" s="90"/>
      <c r="BQ36" s="90"/>
      <c r="BR36" s="183">
        <f t="shared" si="30"/>
        <v>0</v>
      </c>
      <c r="BS36" s="182"/>
      <c r="BT36" s="90"/>
      <c r="BU36" s="90"/>
      <c r="BV36" s="183">
        <f t="shared" si="31"/>
        <v>0</v>
      </c>
      <c r="BW36" s="182"/>
      <c r="BX36" s="90"/>
      <c r="BY36" s="90"/>
      <c r="BZ36" s="183">
        <f t="shared" si="32"/>
        <v>0</v>
      </c>
      <c r="CA36" s="182"/>
      <c r="CB36" s="90"/>
      <c r="CC36" s="90"/>
      <c r="CD36" s="183">
        <f t="shared" si="33"/>
        <v>0</v>
      </c>
    </row>
    <row r="37" spans="2:82" x14ac:dyDescent="0.3">
      <c r="B37" s="52" t="s">
        <v>692</v>
      </c>
      <c r="C37" s="52" t="str">
        <f t="shared" si="0"/>
        <v>CPU_Alambrado</v>
      </c>
      <c r="D37" s="277">
        <f t="shared" si="1"/>
        <v>0.1</v>
      </c>
      <c r="E37" s="277">
        <f t="shared" si="2"/>
        <v>0</v>
      </c>
      <c r="F37" s="37"/>
      <c r="G37" s="38"/>
      <c r="H37" s="91"/>
      <c r="I37" s="40"/>
      <c r="J37" s="40">
        <f>IFERROR(K37/$B$6,0)</f>
        <v>9370.6433453377431</v>
      </c>
      <c r="K37" s="40">
        <f>SUM(K38:K49)</f>
        <v>937.0643345337744</v>
      </c>
      <c r="M37" s="29">
        <f>CPU_37[[#This Row],[C. TOTAL]]*G7</f>
        <v>0</v>
      </c>
      <c r="N37" s="351">
        <f>M37/SUM(O51:W51)</f>
        <v>0</v>
      </c>
      <c r="AD37" s="144" t="str">
        <f t="shared" si="3"/>
        <v>Alambrado</v>
      </c>
      <c r="AE37" s="184"/>
      <c r="AF37" s="40"/>
      <c r="AG37" s="40">
        <f>IFERROR(AH37/AF$3,0)</f>
        <v>0</v>
      </c>
      <c r="AH37" s="185">
        <f>SUM(AH38:AH49)</f>
        <v>0</v>
      </c>
      <c r="AI37" s="184"/>
      <c r="AJ37" s="40"/>
      <c r="AK37" s="40">
        <f>IFERROR(AL37/AJ$3,0)</f>
        <v>0</v>
      </c>
      <c r="AL37" s="185">
        <f>SUM(AL38:AL49)</f>
        <v>0</v>
      </c>
      <c r="AM37" s="184"/>
      <c r="AN37" s="40"/>
      <c r="AO37" s="40">
        <f>IFERROR(AP37/AN$3,0)</f>
        <v>0</v>
      </c>
      <c r="AP37" s="185">
        <f>SUM(AP38:AP49)</f>
        <v>0</v>
      </c>
      <c r="AQ37" s="184"/>
      <c r="AR37" s="40"/>
      <c r="AS37" s="40">
        <f>IFERROR(AT37/AR$3,0)</f>
        <v>0</v>
      </c>
      <c r="AT37" s="185">
        <f>SUM(AT38:AT49)</f>
        <v>0</v>
      </c>
      <c r="AU37" s="184"/>
      <c r="AV37" s="40"/>
      <c r="AW37" s="40">
        <f>IFERROR(AX37/AV$3,0)</f>
        <v>0</v>
      </c>
      <c r="AX37" s="185">
        <f>SUM(AX38:AX49)</f>
        <v>0</v>
      </c>
      <c r="AY37" s="184"/>
      <c r="AZ37" s="40"/>
      <c r="BA37" s="40">
        <f>IFERROR(BB37/AZ$3,0)</f>
        <v>0</v>
      </c>
      <c r="BB37" s="185">
        <f>SUM(BB38:BB49)</f>
        <v>0</v>
      </c>
      <c r="BC37" s="184"/>
      <c r="BD37" s="40"/>
      <c r="BE37" s="40">
        <f>IFERROR(BF37/BD$3,0)</f>
        <v>0</v>
      </c>
      <c r="BF37" s="185">
        <f>SUM(BF38:BF49)</f>
        <v>0</v>
      </c>
      <c r="BG37" s="184"/>
      <c r="BH37" s="40"/>
      <c r="BI37" s="40">
        <f>IFERROR(BJ37/BH$3,0)</f>
        <v>0</v>
      </c>
      <c r="BJ37" s="185">
        <f>SUM(BJ38:BJ49)</f>
        <v>0</v>
      </c>
      <c r="BK37" s="184"/>
      <c r="BL37" s="40"/>
      <c r="BM37" s="40">
        <f>IFERROR(BN37/BL$3,0)</f>
        <v>0</v>
      </c>
      <c r="BN37" s="185">
        <f>SUM(BN38:BN49)</f>
        <v>0</v>
      </c>
      <c r="BO37" s="184"/>
      <c r="BP37" s="40"/>
      <c r="BQ37" s="40">
        <f>IFERROR(BR37/BP$3,0)</f>
        <v>0</v>
      </c>
      <c r="BR37" s="185">
        <f>SUM(BR38:BR49)</f>
        <v>0</v>
      </c>
      <c r="BS37" s="184"/>
      <c r="BT37" s="40"/>
      <c r="BU37" s="40">
        <f>IFERROR(BV37/BT$3,0)</f>
        <v>0</v>
      </c>
      <c r="BV37" s="185">
        <f>SUM(BV38:BV49)</f>
        <v>0</v>
      </c>
      <c r="BW37" s="184"/>
      <c r="BX37" s="40"/>
      <c r="BY37" s="40">
        <f>IFERROR(BZ37/BX$3,0)</f>
        <v>0</v>
      </c>
      <c r="BZ37" s="185">
        <f>SUM(BZ38:BZ49)</f>
        <v>0</v>
      </c>
      <c r="CA37" s="184"/>
      <c r="CB37" s="40"/>
      <c r="CC37" s="40">
        <f>IFERROR(CD37/CB$3,0)</f>
        <v>0</v>
      </c>
      <c r="CD37" s="185">
        <f>SUM(CD38:CD49)</f>
        <v>0</v>
      </c>
    </row>
    <row r="38" spans="2:82" x14ac:dyDescent="0.3">
      <c r="B38" s="54"/>
      <c r="C38" s="54" t="str">
        <f t="shared" si="0"/>
        <v>CPU_Alambrado</v>
      </c>
      <c r="D38" s="280">
        <f t="shared" si="1"/>
        <v>0.1</v>
      </c>
      <c r="E38" s="280">
        <f t="shared" si="2"/>
        <v>0</v>
      </c>
      <c r="F38" s="1" t="s">
        <v>758</v>
      </c>
      <c r="G38" s="28" t="str">
        <f>IFERROR(VLOOKUP(F38,Tabela7[[RECURSO]:[CUSTO]],2,FALSE),"")</f>
        <v>H</v>
      </c>
      <c r="H38" s="92">
        <v>1</v>
      </c>
      <c r="I38" s="90">
        <v>10</v>
      </c>
      <c r="J38" s="45">
        <f>IFERROR(VLOOKUP(F38,Tabela7[[RECURSO]:[CUSTO]],3,FALSE),0)</f>
        <v>40.546465252092652</v>
      </c>
      <c r="K38" s="45">
        <f>I38*J38*CPU_37[[#This Row],[Nº]]</f>
        <v>405.46465252092651</v>
      </c>
      <c r="AD38" s="144" t="str">
        <f t="shared" si="3"/>
        <v>Alambrado</v>
      </c>
      <c r="AE38" s="186"/>
      <c r="AF38" s="180">
        <f t="shared" ref="AF38:AF49" si="35">AJ38+AN38+AR38+AV38+AZ38+BD38+BH38+BL38+BP38+BT38+BX38+CB38</f>
        <v>0</v>
      </c>
      <c r="AG38" s="180">
        <f t="shared" si="17"/>
        <v>0</v>
      </c>
      <c r="AH38" s="181">
        <f t="shared" ref="AH38:AH49" si="36">AL38+AP38+AT38+AX38+BB38+BF38+BJ38+BN38+BR38+BV38+BZ38+CD38</f>
        <v>0</v>
      </c>
      <c r="AI38" s="187"/>
      <c r="AJ38" s="90"/>
      <c r="AK38" s="90"/>
      <c r="AL38" s="183">
        <f t="shared" ref="AL38:AL49" si="37">AJ38*AK38</f>
        <v>0</v>
      </c>
      <c r="AM38" s="187"/>
      <c r="AN38" s="90"/>
      <c r="AO38" s="90"/>
      <c r="AP38" s="183">
        <f t="shared" si="23"/>
        <v>0</v>
      </c>
      <c r="AQ38" s="187"/>
      <c r="AR38" s="90"/>
      <c r="AS38" s="90"/>
      <c r="AT38" s="183">
        <f t="shared" si="24"/>
        <v>0</v>
      </c>
      <c r="AU38" s="187"/>
      <c r="AV38" s="90"/>
      <c r="AW38" s="90"/>
      <c r="AX38" s="183">
        <f t="shared" si="25"/>
        <v>0</v>
      </c>
      <c r="AY38" s="187"/>
      <c r="AZ38" s="90"/>
      <c r="BA38" s="90"/>
      <c r="BB38" s="183">
        <f t="shared" si="26"/>
        <v>0</v>
      </c>
      <c r="BC38" s="187"/>
      <c r="BD38" s="90"/>
      <c r="BE38" s="90"/>
      <c r="BF38" s="183">
        <f t="shared" si="27"/>
        <v>0</v>
      </c>
      <c r="BG38" s="187"/>
      <c r="BH38" s="90"/>
      <c r="BI38" s="90"/>
      <c r="BJ38" s="183">
        <f t="shared" si="28"/>
        <v>0</v>
      </c>
      <c r="BK38" s="187"/>
      <c r="BL38" s="90"/>
      <c r="BM38" s="90"/>
      <c r="BN38" s="183">
        <f t="shared" si="29"/>
        <v>0</v>
      </c>
      <c r="BO38" s="187"/>
      <c r="BP38" s="90"/>
      <c r="BQ38" s="90"/>
      <c r="BR38" s="183">
        <f t="shared" si="30"/>
        <v>0</v>
      </c>
      <c r="BS38" s="187"/>
      <c r="BT38" s="90"/>
      <c r="BU38" s="90"/>
      <c r="BV38" s="183">
        <f t="shared" si="31"/>
        <v>0</v>
      </c>
      <c r="BW38" s="187"/>
      <c r="BX38" s="90"/>
      <c r="BY38" s="90"/>
      <c r="BZ38" s="183">
        <f t="shared" si="32"/>
        <v>0</v>
      </c>
      <c r="CA38" s="187"/>
      <c r="CB38" s="90"/>
      <c r="CC38" s="90"/>
      <c r="CD38" s="183">
        <f t="shared" si="33"/>
        <v>0</v>
      </c>
    </row>
    <row r="39" spans="2:82" x14ac:dyDescent="0.3">
      <c r="B39" s="54"/>
      <c r="C39" s="54" t="str">
        <f t="shared" si="0"/>
        <v>CPU_Alambrado</v>
      </c>
      <c r="D39" s="280">
        <f t="shared" si="1"/>
        <v>0.1</v>
      </c>
      <c r="E39" s="280">
        <f t="shared" si="2"/>
        <v>0</v>
      </c>
      <c r="F39" s="1" t="s">
        <v>361</v>
      </c>
      <c r="G39" s="28" t="str">
        <f>IFERROR(VLOOKUP(F39,Tabela7[[RECURSO]:[CUSTO]],2,FALSE),"")</f>
        <v>H</v>
      </c>
      <c r="H39" s="92">
        <v>2</v>
      </c>
      <c r="I39" s="90">
        <v>10</v>
      </c>
      <c r="J39" s="45">
        <f>IFERROR(VLOOKUP(F39,Tabela7[[RECURSO]:[CUSTO]],3,FALSE),0)</f>
        <v>26.579984100642395</v>
      </c>
      <c r="K39" s="45">
        <f>I39*J39*CPU_37[[#This Row],[Nº]]</f>
        <v>531.59968201284789</v>
      </c>
      <c r="AD39" s="144" t="str">
        <f t="shared" si="3"/>
        <v>Alambrado</v>
      </c>
      <c r="AE39" s="186"/>
      <c r="AF39" s="180">
        <f t="shared" si="35"/>
        <v>0</v>
      </c>
      <c r="AG39" s="180">
        <f t="shared" si="17"/>
        <v>0</v>
      </c>
      <c r="AH39" s="181">
        <f t="shared" si="36"/>
        <v>0</v>
      </c>
      <c r="AI39" s="187"/>
      <c r="AJ39" s="90"/>
      <c r="AK39" s="90"/>
      <c r="AL39" s="183">
        <f t="shared" si="37"/>
        <v>0</v>
      </c>
      <c r="AM39" s="187"/>
      <c r="AN39" s="90"/>
      <c r="AO39" s="90"/>
      <c r="AP39" s="183">
        <f t="shared" si="23"/>
        <v>0</v>
      </c>
      <c r="AQ39" s="187"/>
      <c r="AR39" s="90"/>
      <c r="AS39" s="90"/>
      <c r="AT39" s="183">
        <f t="shared" si="24"/>
        <v>0</v>
      </c>
      <c r="AU39" s="187"/>
      <c r="AV39" s="90"/>
      <c r="AW39" s="90"/>
      <c r="AX39" s="183">
        <f t="shared" si="25"/>
        <v>0</v>
      </c>
      <c r="AY39" s="187"/>
      <c r="AZ39" s="90"/>
      <c r="BA39" s="90"/>
      <c r="BB39" s="183">
        <f t="shared" si="26"/>
        <v>0</v>
      </c>
      <c r="BC39" s="187"/>
      <c r="BD39" s="90"/>
      <c r="BE39" s="90"/>
      <c r="BF39" s="183">
        <f t="shared" si="27"/>
        <v>0</v>
      </c>
      <c r="BG39" s="187"/>
      <c r="BH39" s="90"/>
      <c r="BI39" s="90"/>
      <c r="BJ39" s="183">
        <f t="shared" si="28"/>
        <v>0</v>
      </c>
      <c r="BK39" s="187"/>
      <c r="BL39" s="90"/>
      <c r="BM39" s="90"/>
      <c r="BN39" s="183">
        <f t="shared" si="29"/>
        <v>0</v>
      </c>
      <c r="BO39" s="187"/>
      <c r="BP39" s="90"/>
      <c r="BQ39" s="90"/>
      <c r="BR39" s="183">
        <f t="shared" si="30"/>
        <v>0</v>
      </c>
      <c r="BS39" s="187"/>
      <c r="BT39" s="90"/>
      <c r="BU39" s="90"/>
      <c r="BV39" s="183">
        <f t="shared" si="31"/>
        <v>0</v>
      </c>
      <c r="BW39" s="187"/>
      <c r="BX39" s="90"/>
      <c r="BY39" s="90"/>
      <c r="BZ39" s="183">
        <f t="shared" si="32"/>
        <v>0</v>
      </c>
      <c r="CA39" s="187"/>
      <c r="CB39" s="90"/>
      <c r="CC39" s="90"/>
      <c r="CD39" s="183">
        <f t="shared" si="33"/>
        <v>0</v>
      </c>
    </row>
    <row r="40" spans="2:82" x14ac:dyDescent="0.3">
      <c r="B40" s="54"/>
      <c r="C40" s="54" t="str">
        <f t="shared" si="0"/>
        <v>CPU_Alambrado</v>
      </c>
      <c r="D40" s="280">
        <f t="shared" si="1"/>
        <v>0.1</v>
      </c>
      <c r="E40" s="280">
        <f t="shared" si="2"/>
        <v>0</v>
      </c>
      <c r="F40" s="1"/>
      <c r="G40" s="28" t="str">
        <f>IFERROR(VLOOKUP(F40,Tabela7[[RECURSO]:[CUSTO]],2,FALSE),"")</f>
        <v/>
      </c>
      <c r="H40" s="92"/>
      <c r="I40" s="90"/>
      <c r="J40" s="45">
        <f>IFERROR(VLOOKUP(F40,Tabela7[[RECURSO]:[CUSTO]],3,FALSE),0)</f>
        <v>0</v>
      </c>
      <c r="K40" s="45">
        <f>I40*J40*CPU_37[[#This Row],[Nº]]</f>
        <v>0</v>
      </c>
      <c r="AD40" s="144" t="str">
        <f t="shared" si="3"/>
        <v>Alambrado</v>
      </c>
      <c r="AE40" s="186"/>
      <c r="AF40" s="180">
        <f t="shared" si="35"/>
        <v>0</v>
      </c>
      <c r="AG40" s="180">
        <f t="shared" si="17"/>
        <v>0</v>
      </c>
      <c r="AH40" s="181">
        <f t="shared" si="36"/>
        <v>0</v>
      </c>
      <c r="AI40" s="187"/>
      <c r="AJ40" s="90"/>
      <c r="AK40" s="90"/>
      <c r="AL40" s="183">
        <f t="shared" si="37"/>
        <v>0</v>
      </c>
      <c r="AM40" s="187"/>
      <c r="AN40" s="90"/>
      <c r="AO40" s="90"/>
      <c r="AP40" s="183">
        <f t="shared" si="23"/>
        <v>0</v>
      </c>
      <c r="AQ40" s="187"/>
      <c r="AR40" s="90"/>
      <c r="AS40" s="90"/>
      <c r="AT40" s="183">
        <f t="shared" si="24"/>
        <v>0</v>
      </c>
      <c r="AU40" s="187"/>
      <c r="AV40" s="90"/>
      <c r="AW40" s="90"/>
      <c r="AX40" s="183">
        <f t="shared" si="25"/>
        <v>0</v>
      </c>
      <c r="AY40" s="187"/>
      <c r="AZ40" s="90"/>
      <c r="BA40" s="90"/>
      <c r="BB40" s="183">
        <f t="shared" si="26"/>
        <v>0</v>
      </c>
      <c r="BC40" s="187"/>
      <c r="BD40" s="90"/>
      <c r="BE40" s="90"/>
      <c r="BF40" s="183">
        <f t="shared" si="27"/>
        <v>0</v>
      </c>
      <c r="BG40" s="187"/>
      <c r="BH40" s="90"/>
      <c r="BI40" s="90"/>
      <c r="BJ40" s="183">
        <f t="shared" si="28"/>
        <v>0</v>
      </c>
      <c r="BK40" s="187"/>
      <c r="BL40" s="90"/>
      <c r="BM40" s="90"/>
      <c r="BN40" s="183">
        <f t="shared" si="29"/>
        <v>0</v>
      </c>
      <c r="BO40" s="187"/>
      <c r="BP40" s="90"/>
      <c r="BQ40" s="90"/>
      <c r="BR40" s="183">
        <f t="shared" si="30"/>
        <v>0</v>
      </c>
      <c r="BS40" s="187"/>
      <c r="BT40" s="90"/>
      <c r="BU40" s="90"/>
      <c r="BV40" s="183">
        <f t="shared" si="31"/>
        <v>0</v>
      </c>
      <c r="BW40" s="187"/>
      <c r="BX40" s="90"/>
      <c r="BY40" s="90"/>
      <c r="BZ40" s="183">
        <f t="shared" si="32"/>
        <v>0</v>
      </c>
      <c r="CA40" s="187"/>
      <c r="CB40" s="90"/>
      <c r="CC40" s="90"/>
      <c r="CD40" s="183">
        <f t="shared" si="33"/>
        <v>0</v>
      </c>
    </row>
    <row r="41" spans="2:82" x14ac:dyDescent="0.3">
      <c r="B41" s="54"/>
      <c r="C41" s="54" t="str">
        <f t="shared" si="0"/>
        <v>CPU_Alambrado</v>
      </c>
      <c r="D41" s="280">
        <f t="shared" si="1"/>
        <v>0.1</v>
      </c>
      <c r="E41" s="280">
        <f t="shared" si="2"/>
        <v>0</v>
      </c>
      <c r="F41" s="1"/>
      <c r="G41" s="28" t="str">
        <f>IFERROR(VLOOKUP(F41,Tabela7[[RECURSO]:[CUSTO]],2,FALSE),"")</f>
        <v/>
      </c>
      <c r="H41" s="92"/>
      <c r="I41" s="90"/>
      <c r="J41" s="45">
        <f>IFERROR(VLOOKUP(F41,Tabela7[[RECURSO]:[CUSTO]],3,FALSE),0)</f>
        <v>0</v>
      </c>
      <c r="K41" s="45">
        <f>I41*J41*CPU_37[[#This Row],[Nº]]</f>
        <v>0</v>
      </c>
      <c r="AD41" s="144" t="str">
        <f t="shared" si="3"/>
        <v>Alambrado</v>
      </c>
      <c r="AE41" s="186"/>
      <c r="AF41" s="180">
        <f t="shared" si="35"/>
        <v>0</v>
      </c>
      <c r="AG41" s="180">
        <f t="shared" si="17"/>
        <v>0</v>
      </c>
      <c r="AH41" s="181">
        <f t="shared" si="36"/>
        <v>0</v>
      </c>
      <c r="AI41" s="187"/>
      <c r="AJ41" s="90"/>
      <c r="AK41" s="90"/>
      <c r="AL41" s="183">
        <f t="shared" si="37"/>
        <v>0</v>
      </c>
      <c r="AM41" s="187"/>
      <c r="AN41" s="90"/>
      <c r="AO41" s="90"/>
      <c r="AP41" s="183">
        <f t="shared" si="23"/>
        <v>0</v>
      </c>
      <c r="AQ41" s="187"/>
      <c r="AR41" s="90"/>
      <c r="AS41" s="90"/>
      <c r="AT41" s="183">
        <f t="shared" si="24"/>
        <v>0</v>
      </c>
      <c r="AU41" s="187"/>
      <c r="AV41" s="90"/>
      <c r="AW41" s="90"/>
      <c r="AX41" s="183">
        <f t="shared" si="25"/>
        <v>0</v>
      </c>
      <c r="AY41" s="187"/>
      <c r="AZ41" s="90"/>
      <c r="BA41" s="90"/>
      <c r="BB41" s="183">
        <f t="shared" si="26"/>
        <v>0</v>
      </c>
      <c r="BC41" s="187"/>
      <c r="BD41" s="90"/>
      <c r="BE41" s="90"/>
      <c r="BF41" s="183">
        <f t="shared" si="27"/>
        <v>0</v>
      </c>
      <c r="BG41" s="187"/>
      <c r="BH41" s="90"/>
      <c r="BI41" s="90"/>
      <c r="BJ41" s="183">
        <f t="shared" si="28"/>
        <v>0</v>
      </c>
      <c r="BK41" s="187"/>
      <c r="BL41" s="90"/>
      <c r="BM41" s="90"/>
      <c r="BN41" s="183">
        <f t="shared" si="29"/>
        <v>0</v>
      </c>
      <c r="BO41" s="187"/>
      <c r="BP41" s="90"/>
      <c r="BQ41" s="90"/>
      <c r="BR41" s="183">
        <f t="shared" si="30"/>
        <v>0</v>
      </c>
      <c r="BS41" s="187"/>
      <c r="BT41" s="90"/>
      <c r="BU41" s="90"/>
      <c r="BV41" s="183">
        <f t="shared" si="31"/>
        <v>0</v>
      </c>
      <c r="BW41" s="187"/>
      <c r="BX41" s="90"/>
      <c r="BY41" s="90"/>
      <c r="BZ41" s="183">
        <f t="shared" si="32"/>
        <v>0</v>
      </c>
      <c r="CA41" s="187"/>
      <c r="CB41" s="90"/>
      <c r="CC41" s="90"/>
      <c r="CD41" s="183">
        <f t="shared" si="33"/>
        <v>0</v>
      </c>
    </row>
    <row r="42" spans="2:82" x14ac:dyDescent="0.3">
      <c r="B42" s="54"/>
      <c r="C42" s="54" t="str">
        <f t="shared" si="0"/>
        <v>CPU_Alambrado</v>
      </c>
      <c r="D42" s="280">
        <f t="shared" si="1"/>
        <v>0.1</v>
      </c>
      <c r="E42" s="280">
        <f t="shared" si="2"/>
        <v>0</v>
      </c>
      <c r="F42" s="1"/>
      <c r="G42" s="28" t="str">
        <f>IFERROR(VLOOKUP(F42,Tabela7[[RECURSO]:[CUSTO]],2,FALSE),"")</f>
        <v/>
      </c>
      <c r="H42" s="92"/>
      <c r="I42" s="90"/>
      <c r="J42" s="45">
        <f>IFERROR(VLOOKUP(F42,Tabela7[[RECURSO]:[CUSTO]],3,FALSE),0)</f>
        <v>0</v>
      </c>
      <c r="K42" s="45">
        <f>I42*J42*CPU_37[[#This Row],[Nº]]</f>
        <v>0</v>
      </c>
      <c r="AD42" s="144" t="str">
        <f t="shared" si="3"/>
        <v>Alambrado</v>
      </c>
      <c r="AE42" s="186"/>
      <c r="AF42" s="180">
        <f t="shared" si="35"/>
        <v>0</v>
      </c>
      <c r="AG42" s="180">
        <f t="shared" si="17"/>
        <v>0</v>
      </c>
      <c r="AH42" s="181">
        <f t="shared" si="36"/>
        <v>0</v>
      </c>
      <c r="AI42" s="187"/>
      <c r="AJ42" s="90"/>
      <c r="AK42" s="90"/>
      <c r="AL42" s="183">
        <f t="shared" si="37"/>
        <v>0</v>
      </c>
      <c r="AM42" s="187"/>
      <c r="AN42" s="90"/>
      <c r="AO42" s="90"/>
      <c r="AP42" s="183">
        <f t="shared" si="23"/>
        <v>0</v>
      </c>
      <c r="AQ42" s="187"/>
      <c r="AR42" s="90"/>
      <c r="AS42" s="90"/>
      <c r="AT42" s="183">
        <f t="shared" si="24"/>
        <v>0</v>
      </c>
      <c r="AU42" s="187"/>
      <c r="AV42" s="90"/>
      <c r="AW42" s="90"/>
      <c r="AX42" s="183">
        <f t="shared" si="25"/>
        <v>0</v>
      </c>
      <c r="AY42" s="187"/>
      <c r="AZ42" s="90"/>
      <c r="BA42" s="90"/>
      <c r="BB42" s="183">
        <f t="shared" si="26"/>
        <v>0</v>
      </c>
      <c r="BC42" s="187"/>
      <c r="BD42" s="90"/>
      <c r="BE42" s="90"/>
      <c r="BF42" s="183">
        <f t="shared" si="27"/>
        <v>0</v>
      </c>
      <c r="BG42" s="187"/>
      <c r="BH42" s="90"/>
      <c r="BI42" s="90"/>
      <c r="BJ42" s="183">
        <f t="shared" si="28"/>
        <v>0</v>
      </c>
      <c r="BK42" s="187"/>
      <c r="BL42" s="90"/>
      <c r="BM42" s="90"/>
      <c r="BN42" s="183">
        <f t="shared" si="29"/>
        <v>0</v>
      </c>
      <c r="BO42" s="187"/>
      <c r="BP42" s="90"/>
      <c r="BQ42" s="90"/>
      <c r="BR42" s="183">
        <f t="shared" si="30"/>
        <v>0</v>
      </c>
      <c r="BS42" s="187"/>
      <c r="BT42" s="90"/>
      <c r="BU42" s="90"/>
      <c r="BV42" s="183">
        <f t="shared" si="31"/>
        <v>0</v>
      </c>
      <c r="BW42" s="187"/>
      <c r="BX42" s="90"/>
      <c r="BY42" s="90"/>
      <c r="BZ42" s="183">
        <f t="shared" si="32"/>
        <v>0</v>
      </c>
      <c r="CA42" s="187"/>
      <c r="CB42" s="90"/>
      <c r="CC42" s="90"/>
      <c r="CD42" s="183">
        <f t="shared" si="33"/>
        <v>0</v>
      </c>
    </row>
    <row r="43" spans="2:82" x14ac:dyDescent="0.3">
      <c r="B43" s="54"/>
      <c r="C43" s="54" t="str">
        <f t="shared" si="0"/>
        <v>CPU_Alambrado</v>
      </c>
      <c r="D43" s="280">
        <f t="shared" si="1"/>
        <v>0.1</v>
      </c>
      <c r="E43" s="280">
        <f t="shared" si="2"/>
        <v>0</v>
      </c>
      <c r="F43" s="1"/>
      <c r="G43" s="28" t="str">
        <f>IFERROR(VLOOKUP(F43,Tabela7[[RECURSO]:[CUSTO]],2,FALSE),"")</f>
        <v/>
      </c>
      <c r="H43" s="92"/>
      <c r="I43" s="90"/>
      <c r="J43" s="45">
        <f>IFERROR(VLOOKUP(F43,Tabela7[[RECURSO]:[CUSTO]],3,FALSE),0)</f>
        <v>0</v>
      </c>
      <c r="K43" s="45">
        <f>I43*J43*CPU_37[[#This Row],[Nº]]</f>
        <v>0</v>
      </c>
      <c r="AD43" s="144" t="str">
        <f t="shared" si="3"/>
        <v>Alambrado</v>
      </c>
      <c r="AE43" s="186"/>
      <c r="AF43" s="180">
        <f t="shared" si="35"/>
        <v>0</v>
      </c>
      <c r="AG43" s="180">
        <f t="shared" si="17"/>
        <v>0</v>
      </c>
      <c r="AH43" s="181">
        <f t="shared" si="36"/>
        <v>0</v>
      </c>
      <c r="AI43" s="187"/>
      <c r="AJ43" s="90"/>
      <c r="AK43" s="90"/>
      <c r="AL43" s="183">
        <f t="shared" si="37"/>
        <v>0</v>
      </c>
      <c r="AM43" s="187"/>
      <c r="AN43" s="90"/>
      <c r="AO43" s="90"/>
      <c r="AP43" s="183">
        <f t="shared" si="23"/>
        <v>0</v>
      </c>
      <c r="AQ43" s="187"/>
      <c r="AR43" s="90"/>
      <c r="AS43" s="90"/>
      <c r="AT43" s="183">
        <f t="shared" si="24"/>
        <v>0</v>
      </c>
      <c r="AU43" s="187"/>
      <c r="AV43" s="90"/>
      <c r="AW43" s="90"/>
      <c r="AX43" s="183">
        <f t="shared" si="25"/>
        <v>0</v>
      </c>
      <c r="AY43" s="187"/>
      <c r="AZ43" s="90"/>
      <c r="BA43" s="90"/>
      <c r="BB43" s="183">
        <f t="shared" si="26"/>
        <v>0</v>
      </c>
      <c r="BC43" s="187"/>
      <c r="BD43" s="90"/>
      <c r="BE43" s="90"/>
      <c r="BF43" s="183">
        <f t="shared" si="27"/>
        <v>0</v>
      </c>
      <c r="BG43" s="187"/>
      <c r="BH43" s="90"/>
      <c r="BI43" s="90"/>
      <c r="BJ43" s="183">
        <f t="shared" si="28"/>
        <v>0</v>
      </c>
      <c r="BK43" s="187"/>
      <c r="BL43" s="90"/>
      <c r="BM43" s="90"/>
      <c r="BN43" s="183">
        <f t="shared" si="29"/>
        <v>0</v>
      </c>
      <c r="BO43" s="187"/>
      <c r="BP43" s="90"/>
      <c r="BQ43" s="90"/>
      <c r="BR43" s="183">
        <f t="shared" si="30"/>
        <v>0</v>
      </c>
      <c r="BS43" s="187"/>
      <c r="BT43" s="90"/>
      <c r="BU43" s="90"/>
      <c r="BV43" s="183">
        <f t="shared" si="31"/>
        <v>0</v>
      </c>
      <c r="BW43" s="187"/>
      <c r="BX43" s="90"/>
      <c r="BY43" s="90"/>
      <c r="BZ43" s="183">
        <f t="shared" si="32"/>
        <v>0</v>
      </c>
      <c r="CA43" s="187"/>
      <c r="CB43" s="90"/>
      <c r="CC43" s="90"/>
      <c r="CD43" s="183">
        <f t="shared" si="33"/>
        <v>0</v>
      </c>
    </row>
    <row r="44" spans="2:82" x14ac:dyDescent="0.3">
      <c r="B44" s="54"/>
      <c r="C44" s="54" t="str">
        <f t="shared" si="0"/>
        <v>CPU_Alambrado</v>
      </c>
      <c r="D44" s="280">
        <f t="shared" si="1"/>
        <v>0.1</v>
      </c>
      <c r="E44" s="280">
        <f t="shared" si="2"/>
        <v>0</v>
      </c>
      <c r="F44" s="1"/>
      <c r="G44" s="28" t="str">
        <f>IFERROR(VLOOKUP(F44,Tabela7[[RECURSO]:[CUSTO]],2,FALSE),"")</f>
        <v/>
      </c>
      <c r="H44" s="92"/>
      <c r="I44" s="90"/>
      <c r="J44" s="45">
        <f>IFERROR(VLOOKUP(F44,Tabela7[[RECURSO]:[CUSTO]],3,FALSE),0)</f>
        <v>0</v>
      </c>
      <c r="K44" s="45">
        <f>I44*J44*CPU_37[[#This Row],[Nº]]</f>
        <v>0</v>
      </c>
      <c r="AD44" s="144" t="str">
        <f t="shared" si="3"/>
        <v>Alambrado</v>
      </c>
      <c r="AE44" s="186"/>
      <c r="AF44" s="180">
        <f t="shared" si="35"/>
        <v>0</v>
      </c>
      <c r="AG44" s="180">
        <f t="shared" si="17"/>
        <v>0</v>
      </c>
      <c r="AH44" s="181">
        <f t="shared" si="36"/>
        <v>0</v>
      </c>
      <c r="AI44" s="187"/>
      <c r="AJ44" s="90"/>
      <c r="AK44" s="90"/>
      <c r="AL44" s="183">
        <f t="shared" si="37"/>
        <v>0</v>
      </c>
      <c r="AM44" s="187"/>
      <c r="AN44" s="90"/>
      <c r="AO44" s="90"/>
      <c r="AP44" s="183">
        <f t="shared" si="23"/>
        <v>0</v>
      </c>
      <c r="AQ44" s="187"/>
      <c r="AR44" s="90"/>
      <c r="AS44" s="90"/>
      <c r="AT44" s="183">
        <f t="shared" si="24"/>
        <v>0</v>
      </c>
      <c r="AU44" s="187"/>
      <c r="AV44" s="90"/>
      <c r="AW44" s="90"/>
      <c r="AX44" s="183">
        <f t="shared" si="25"/>
        <v>0</v>
      </c>
      <c r="AY44" s="187"/>
      <c r="AZ44" s="90"/>
      <c r="BA44" s="90"/>
      <c r="BB44" s="183">
        <f t="shared" si="26"/>
        <v>0</v>
      </c>
      <c r="BC44" s="187"/>
      <c r="BD44" s="90"/>
      <c r="BE44" s="90"/>
      <c r="BF44" s="183">
        <f t="shared" si="27"/>
        <v>0</v>
      </c>
      <c r="BG44" s="187"/>
      <c r="BH44" s="90"/>
      <c r="BI44" s="90"/>
      <c r="BJ44" s="183">
        <f t="shared" si="28"/>
        <v>0</v>
      </c>
      <c r="BK44" s="187"/>
      <c r="BL44" s="90"/>
      <c r="BM44" s="90"/>
      <c r="BN44" s="183">
        <f t="shared" si="29"/>
        <v>0</v>
      </c>
      <c r="BO44" s="187"/>
      <c r="BP44" s="90"/>
      <c r="BQ44" s="90"/>
      <c r="BR44" s="183">
        <f t="shared" si="30"/>
        <v>0</v>
      </c>
      <c r="BS44" s="187"/>
      <c r="BT44" s="90"/>
      <c r="BU44" s="90"/>
      <c r="BV44" s="183">
        <f t="shared" si="31"/>
        <v>0</v>
      </c>
      <c r="BW44" s="187"/>
      <c r="BX44" s="90"/>
      <c r="BY44" s="90"/>
      <c r="BZ44" s="183">
        <f t="shared" si="32"/>
        <v>0</v>
      </c>
      <c r="CA44" s="187"/>
      <c r="CB44" s="90"/>
      <c r="CC44" s="90"/>
      <c r="CD44" s="183">
        <f t="shared" si="33"/>
        <v>0</v>
      </c>
    </row>
    <row r="45" spans="2:82" x14ac:dyDescent="0.3">
      <c r="B45" s="53"/>
      <c r="C45" s="53" t="str">
        <f t="shared" si="0"/>
        <v>CPU_Alambrado</v>
      </c>
      <c r="D45" s="278">
        <f t="shared" si="1"/>
        <v>0.1</v>
      </c>
      <c r="E45" s="278">
        <f t="shared" si="2"/>
        <v>0</v>
      </c>
      <c r="F45" s="1"/>
      <c r="G45" s="28" t="str">
        <f>IFERROR(VLOOKUP(F45,Tabela7[[RECURSO]:[CUSTO]],2,FALSE),"")</f>
        <v/>
      </c>
      <c r="H45" s="92"/>
      <c r="I45" s="90"/>
      <c r="J45" s="45">
        <f>IFERROR(VLOOKUP(F45,Tabela7[[RECURSO]:[CUSTO]],3,FALSE),0)</f>
        <v>0</v>
      </c>
      <c r="K45" s="45">
        <f>I45*J45*CPU_37[[#This Row],[Nº]]</f>
        <v>0</v>
      </c>
      <c r="AD45" s="144" t="str">
        <f t="shared" si="3"/>
        <v>Alambrado</v>
      </c>
      <c r="AE45" s="188"/>
      <c r="AF45" s="180">
        <f t="shared" si="35"/>
        <v>0</v>
      </c>
      <c r="AG45" s="180">
        <f t="shared" si="17"/>
        <v>0</v>
      </c>
      <c r="AH45" s="181">
        <f t="shared" si="36"/>
        <v>0</v>
      </c>
      <c r="AI45" s="189"/>
      <c r="AJ45" s="90"/>
      <c r="AK45" s="90"/>
      <c r="AL45" s="183">
        <f t="shared" si="37"/>
        <v>0</v>
      </c>
      <c r="AM45" s="189"/>
      <c r="AN45" s="90"/>
      <c r="AO45" s="90"/>
      <c r="AP45" s="183">
        <f t="shared" si="23"/>
        <v>0</v>
      </c>
      <c r="AQ45" s="189"/>
      <c r="AR45" s="90"/>
      <c r="AS45" s="90"/>
      <c r="AT45" s="183">
        <f t="shared" si="24"/>
        <v>0</v>
      </c>
      <c r="AU45" s="189"/>
      <c r="AV45" s="90"/>
      <c r="AW45" s="90"/>
      <c r="AX45" s="183">
        <f t="shared" si="25"/>
        <v>0</v>
      </c>
      <c r="AY45" s="189"/>
      <c r="AZ45" s="90"/>
      <c r="BA45" s="90"/>
      <c r="BB45" s="183">
        <f t="shared" si="26"/>
        <v>0</v>
      </c>
      <c r="BC45" s="189"/>
      <c r="BD45" s="90"/>
      <c r="BE45" s="90"/>
      <c r="BF45" s="183">
        <f t="shared" si="27"/>
        <v>0</v>
      </c>
      <c r="BG45" s="189"/>
      <c r="BH45" s="90"/>
      <c r="BI45" s="90"/>
      <c r="BJ45" s="183">
        <f t="shared" si="28"/>
        <v>0</v>
      </c>
      <c r="BK45" s="189"/>
      <c r="BL45" s="90"/>
      <c r="BM45" s="90"/>
      <c r="BN45" s="183">
        <f t="shared" si="29"/>
        <v>0</v>
      </c>
      <c r="BO45" s="189"/>
      <c r="BP45" s="90"/>
      <c r="BQ45" s="90"/>
      <c r="BR45" s="183">
        <f t="shared" si="30"/>
        <v>0</v>
      </c>
      <c r="BS45" s="189"/>
      <c r="BT45" s="90"/>
      <c r="BU45" s="90"/>
      <c r="BV45" s="183">
        <f t="shared" si="31"/>
        <v>0</v>
      </c>
      <c r="BW45" s="189"/>
      <c r="BX45" s="90"/>
      <c r="BY45" s="90"/>
      <c r="BZ45" s="183">
        <f t="shared" si="32"/>
        <v>0</v>
      </c>
      <c r="CA45" s="189"/>
      <c r="CB45" s="90"/>
      <c r="CC45" s="90"/>
      <c r="CD45" s="183">
        <f t="shared" si="33"/>
        <v>0</v>
      </c>
    </row>
    <row r="46" spans="2:82" x14ac:dyDescent="0.3">
      <c r="B46" s="53"/>
      <c r="C46" s="53" t="str">
        <f t="shared" si="0"/>
        <v>CPU_Alambrado</v>
      </c>
      <c r="D46" s="278">
        <f t="shared" si="1"/>
        <v>0.1</v>
      </c>
      <c r="E46" s="278">
        <f t="shared" si="2"/>
        <v>0</v>
      </c>
      <c r="F46" s="1"/>
      <c r="G46" s="28" t="str">
        <f>IFERROR(VLOOKUP(F46,Tabela7[[RECURSO]:[CUSTO]],2,FALSE),"")</f>
        <v/>
      </c>
      <c r="H46" s="92"/>
      <c r="I46" s="90"/>
      <c r="J46" s="45">
        <f>IFERROR(VLOOKUP(F46,Tabela7[[RECURSO]:[CUSTO]],3,FALSE),0)</f>
        <v>0</v>
      </c>
      <c r="K46" s="45">
        <f>I46*J46*CPU_37[[#This Row],[Nº]]</f>
        <v>0</v>
      </c>
      <c r="AD46" s="144" t="str">
        <f t="shared" si="3"/>
        <v>Alambrado</v>
      </c>
      <c r="AE46" s="188"/>
      <c r="AF46" s="180">
        <f t="shared" si="35"/>
        <v>0</v>
      </c>
      <c r="AG46" s="180">
        <f t="shared" si="17"/>
        <v>0</v>
      </c>
      <c r="AH46" s="181">
        <f t="shared" si="36"/>
        <v>0</v>
      </c>
      <c r="AI46" s="189"/>
      <c r="AJ46" s="90"/>
      <c r="AK46" s="90"/>
      <c r="AL46" s="183">
        <f t="shared" si="37"/>
        <v>0</v>
      </c>
      <c r="AM46" s="189"/>
      <c r="AN46" s="90"/>
      <c r="AO46" s="90"/>
      <c r="AP46" s="183">
        <f t="shared" si="23"/>
        <v>0</v>
      </c>
      <c r="AQ46" s="189"/>
      <c r="AR46" s="90"/>
      <c r="AS46" s="90"/>
      <c r="AT46" s="183">
        <f t="shared" si="24"/>
        <v>0</v>
      </c>
      <c r="AU46" s="189"/>
      <c r="AV46" s="90"/>
      <c r="AW46" s="90"/>
      <c r="AX46" s="183">
        <f t="shared" si="25"/>
        <v>0</v>
      </c>
      <c r="AY46" s="189"/>
      <c r="AZ46" s="90"/>
      <c r="BA46" s="90"/>
      <c r="BB46" s="183">
        <f t="shared" si="26"/>
        <v>0</v>
      </c>
      <c r="BC46" s="189"/>
      <c r="BD46" s="90"/>
      <c r="BE46" s="90"/>
      <c r="BF46" s="183">
        <f t="shared" si="27"/>
        <v>0</v>
      </c>
      <c r="BG46" s="189"/>
      <c r="BH46" s="90"/>
      <c r="BI46" s="90"/>
      <c r="BJ46" s="183">
        <f t="shared" si="28"/>
        <v>0</v>
      </c>
      <c r="BK46" s="189"/>
      <c r="BL46" s="90"/>
      <c r="BM46" s="90"/>
      <c r="BN46" s="183">
        <f t="shared" si="29"/>
        <v>0</v>
      </c>
      <c r="BO46" s="189"/>
      <c r="BP46" s="90"/>
      <c r="BQ46" s="90"/>
      <c r="BR46" s="183">
        <f t="shared" si="30"/>
        <v>0</v>
      </c>
      <c r="BS46" s="189"/>
      <c r="BT46" s="90"/>
      <c r="BU46" s="90"/>
      <c r="BV46" s="183">
        <f t="shared" si="31"/>
        <v>0</v>
      </c>
      <c r="BW46" s="189"/>
      <c r="BX46" s="90"/>
      <c r="BY46" s="90"/>
      <c r="BZ46" s="183">
        <f t="shared" si="32"/>
        <v>0</v>
      </c>
      <c r="CA46" s="189"/>
      <c r="CB46" s="90"/>
      <c r="CC46" s="90"/>
      <c r="CD46" s="183">
        <f t="shared" si="33"/>
        <v>0</v>
      </c>
    </row>
    <row r="47" spans="2:82" x14ac:dyDescent="0.3">
      <c r="B47" s="53"/>
      <c r="C47" s="53" t="str">
        <f t="shared" si="0"/>
        <v>CPU_Alambrado</v>
      </c>
      <c r="D47" s="278">
        <f t="shared" si="1"/>
        <v>0.1</v>
      </c>
      <c r="E47" s="278">
        <f t="shared" si="2"/>
        <v>0</v>
      </c>
      <c r="F47" s="1"/>
      <c r="G47" s="28" t="str">
        <f>IFERROR(VLOOKUP(F47,Tabela7[[RECURSO]:[CUSTO]],2,FALSE),"")</f>
        <v/>
      </c>
      <c r="H47" s="92"/>
      <c r="I47" s="90"/>
      <c r="J47" s="45">
        <f>IFERROR(VLOOKUP(F47,Tabela7[[RECURSO]:[CUSTO]],3,FALSE),0)</f>
        <v>0</v>
      </c>
      <c r="K47" s="45">
        <f>I47*J47*CPU_37[[#This Row],[Nº]]</f>
        <v>0</v>
      </c>
      <c r="AD47" s="144" t="str">
        <f t="shared" si="3"/>
        <v>Alambrado</v>
      </c>
      <c r="AE47" s="188"/>
      <c r="AF47" s="180">
        <f t="shared" si="35"/>
        <v>0</v>
      </c>
      <c r="AG47" s="180">
        <f t="shared" si="17"/>
        <v>0</v>
      </c>
      <c r="AH47" s="181">
        <f t="shared" si="36"/>
        <v>0</v>
      </c>
      <c r="AI47" s="189"/>
      <c r="AJ47" s="90"/>
      <c r="AK47" s="90"/>
      <c r="AL47" s="183">
        <f t="shared" si="37"/>
        <v>0</v>
      </c>
      <c r="AM47" s="189"/>
      <c r="AN47" s="90"/>
      <c r="AO47" s="90"/>
      <c r="AP47" s="183">
        <f t="shared" si="23"/>
        <v>0</v>
      </c>
      <c r="AQ47" s="189"/>
      <c r="AR47" s="90"/>
      <c r="AS47" s="90"/>
      <c r="AT47" s="183">
        <f t="shared" si="24"/>
        <v>0</v>
      </c>
      <c r="AU47" s="189"/>
      <c r="AV47" s="90"/>
      <c r="AW47" s="90"/>
      <c r="AX47" s="183">
        <f t="shared" si="25"/>
        <v>0</v>
      </c>
      <c r="AY47" s="189"/>
      <c r="AZ47" s="90"/>
      <c r="BA47" s="90"/>
      <c r="BB47" s="183">
        <f t="shared" si="26"/>
        <v>0</v>
      </c>
      <c r="BC47" s="189"/>
      <c r="BD47" s="90"/>
      <c r="BE47" s="90"/>
      <c r="BF47" s="183">
        <f t="shared" si="27"/>
        <v>0</v>
      </c>
      <c r="BG47" s="189"/>
      <c r="BH47" s="90"/>
      <c r="BI47" s="90"/>
      <c r="BJ47" s="183">
        <f t="shared" si="28"/>
        <v>0</v>
      </c>
      <c r="BK47" s="189"/>
      <c r="BL47" s="90"/>
      <c r="BM47" s="90"/>
      <c r="BN47" s="183">
        <f t="shared" si="29"/>
        <v>0</v>
      </c>
      <c r="BO47" s="189"/>
      <c r="BP47" s="90"/>
      <c r="BQ47" s="90"/>
      <c r="BR47" s="183">
        <f t="shared" si="30"/>
        <v>0</v>
      </c>
      <c r="BS47" s="189"/>
      <c r="BT47" s="90"/>
      <c r="BU47" s="90"/>
      <c r="BV47" s="183">
        <f t="shared" si="31"/>
        <v>0</v>
      </c>
      <c r="BW47" s="189"/>
      <c r="BX47" s="90"/>
      <c r="BY47" s="90"/>
      <c r="BZ47" s="183">
        <f t="shared" si="32"/>
        <v>0</v>
      </c>
      <c r="CA47" s="189"/>
      <c r="CB47" s="90"/>
      <c r="CC47" s="90"/>
      <c r="CD47" s="183">
        <f t="shared" si="33"/>
        <v>0</v>
      </c>
    </row>
    <row r="48" spans="2:82" x14ac:dyDescent="0.3">
      <c r="B48" s="53"/>
      <c r="C48" s="53" t="str">
        <f t="shared" si="0"/>
        <v>CPU_Alambrado</v>
      </c>
      <c r="D48" s="278">
        <f t="shared" si="1"/>
        <v>0.1</v>
      </c>
      <c r="E48" s="278">
        <f t="shared" si="2"/>
        <v>0</v>
      </c>
      <c r="F48" s="1"/>
      <c r="G48" s="28" t="str">
        <f>IFERROR(VLOOKUP(F48,Tabela7[[RECURSO]:[CUSTO]],2,FALSE),"")</f>
        <v/>
      </c>
      <c r="H48" s="92"/>
      <c r="I48" s="90"/>
      <c r="J48" s="45">
        <f>IFERROR(VLOOKUP(F48,Tabela7[[RECURSO]:[CUSTO]],3,FALSE),0)</f>
        <v>0</v>
      </c>
      <c r="K48" s="45">
        <f>I48*J48*CPU_37[[#This Row],[Nº]]</f>
        <v>0</v>
      </c>
      <c r="AD48" s="144" t="str">
        <f t="shared" si="3"/>
        <v>Alambrado</v>
      </c>
      <c r="AE48" s="188"/>
      <c r="AF48" s="180">
        <f t="shared" si="35"/>
        <v>0</v>
      </c>
      <c r="AG48" s="180">
        <f t="shared" si="17"/>
        <v>0</v>
      </c>
      <c r="AH48" s="181">
        <f t="shared" si="36"/>
        <v>0</v>
      </c>
      <c r="AI48" s="189"/>
      <c r="AJ48" s="90"/>
      <c r="AK48" s="90"/>
      <c r="AL48" s="183">
        <f t="shared" si="37"/>
        <v>0</v>
      </c>
      <c r="AM48" s="189"/>
      <c r="AN48" s="90"/>
      <c r="AO48" s="90"/>
      <c r="AP48" s="183">
        <f t="shared" si="23"/>
        <v>0</v>
      </c>
      <c r="AQ48" s="189"/>
      <c r="AR48" s="90"/>
      <c r="AS48" s="90"/>
      <c r="AT48" s="183">
        <f t="shared" si="24"/>
        <v>0</v>
      </c>
      <c r="AU48" s="189"/>
      <c r="AV48" s="90"/>
      <c r="AW48" s="90"/>
      <c r="AX48" s="183">
        <f t="shared" si="25"/>
        <v>0</v>
      </c>
      <c r="AY48" s="189"/>
      <c r="AZ48" s="90"/>
      <c r="BA48" s="90"/>
      <c r="BB48" s="183">
        <f t="shared" si="26"/>
        <v>0</v>
      </c>
      <c r="BC48" s="189"/>
      <c r="BD48" s="90"/>
      <c r="BE48" s="90"/>
      <c r="BF48" s="183">
        <f t="shared" si="27"/>
        <v>0</v>
      </c>
      <c r="BG48" s="189"/>
      <c r="BH48" s="90"/>
      <c r="BI48" s="90"/>
      <c r="BJ48" s="183">
        <f t="shared" si="28"/>
        <v>0</v>
      </c>
      <c r="BK48" s="189"/>
      <c r="BL48" s="90"/>
      <c r="BM48" s="90"/>
      <c r="BN48" s="183">
        <f t="shared" si="29"/>
        <v>0</v>
      </c>
      <c r="BO48" s="189"/>
      <c r="BP48" s="90"/>
      <c r="BQ48" s="90"/>
      <c r="BR48" s="183">
        <f t="shared" si="30"/>
        <v>0</v>
      </c>
      <c r="BS48" s="189"/>
      <c r="BT48" s="90"/>
      <c r="BU48" s="90"/>
      <c r="BV48" s="183">
        <f t="shared" si="31"/>
        <v>0</v>
      </c>
      <c r="BW48" s="189"/>
      <c r="BX48" s="90"/>
      <c r="BY48" s="90"/>
      <c r="BZ48" s="183">
        <f t="shared" si="32"/>
        <v>0</v>
      </c>
      <c r="CA48" s="189"/>
      <c r="CB48" s="90"/>
      <c r="CC48" s="90"/>
      <c r="CD48" s="183">
        <f t="shared" si="33"/>
        <v>0</v>
      </c>
    </row>
    <row r="49" spans="2:82" ht="15" thickBot="1" x14ac:dyDescent="0.35">
      <c r="B49" s="53"/>
      <c r="C49" s="53" t="str">
        <f t="shared" si="0"/>
        <v>CPU_Alambrado</v>
      </c>
      <c r="D49" s="278">
        <f t="shared" si="1"/>
        <v>0.1</v>
      </c>
      <c r="E49" s="278">
        <f t="shared" si="2"/>
        <v>0</v>
      </c>
      <c r="F49" s="1"/>
      <c r="G49" s="28" t="str">
        <f>IFERROR(VLOOKUP(F49,Tabela7[[RECURSO]:[CUSTO]],2,FALSE),"")</f>
        <v/>
      </c>
      <c r="H49" s="92"/>
      <c r="I49" s="90"/>
      <c r="J49" s="45">
        <f>IFERROR(VLOOKUP(F49,Tabela7[[RECURSO]:[CUSTO]],3,FALSE),0)</f>
        <v>0</v>
      </c>
      <c r="K49" s="45">
        <f>I49*J49*CPU_37[[#This Row],[Nº]]</f>
        <v>0</v>
      </c>
      <c r="M49" s="83" t="s">
        <v>701</v>
      </c>
      <c r="N49" s="87" t="s">
        <v>702</v>
      </c>
      <c r="AD49" s="144" t="str">
        <f t="shared" si="3"/>
        <v>Alambrado</v>
      </c>
      <c r="AE49" s="188"/>
      <c r="AF49" s="180">
        <f t="shared" si="35"/>
        <v>0</v>
      </c>
      <c r="AG49" s="180">
        <f t="shared" si="17"/>
        <v>0</v>
      </c>
      <c r="AH49" s="181">
        <f t="shared" si="36"/>
        <v>0</v>
      </c>
      <c r="AI49" s="189"/>
      <c r="AJ49" s="90"/>
      <c r="AK49" s="90"/>
      <c r="AL49" s="183">
        <f t="shared" si="37"/>
        <v>0</v>
      </c>
      <c r="AM49" s="189"/>
      <c r="AN49" s="90"/>
      <c r="AO49" s="90"/>
      <c r="AP49" s="183">
        <f t="shared" si="23"/>
        <v>0</v>
      </c>
      <c r="AQ49" s="189"/>
      <c r="AR49" s="90"/>
      <c r="AS49" s="90"/>
      <c r="AT49" s="183">
        <f t="shared" si="24"/>
        <v>0</v>
      </c>
      <c r="AU49" s="189"/>
      <c r="AV49" s="90"/>
      <c r="AW49" s="90"/>
      <c r="AX49" s="183">
        <f t="shared" si="25"/>
        <v>0</v>
      </c>
      <c r="AY49" s="189"/>
      <c r="AZ49" s="90"/>
      <c r="BA49" s="90"/>
      <c r="BB49" s="183">
        <f t="shared" si="26"/>
        <v>0</v>
      </c>
      <c r="BC49" s="189"/>
      <c r="BD49" s="90"/>
      <c r="BE49" s="90"/>
      <c r="BF49" s="183">
        <f t="shared" si="27"/>
        <v>0</v>
      </c>
      <c r="BG49" s="189"/>
      <c r="BH49" s="90"/>
      <c r="BI49" s="90"/>
      <c r="BJ49" s="183">
        <f t="shared" si="28"/>
        <v>0</v>
      </c>
      <c r="BK49" s="189"/>
      <c r="BL49" s="90"/>
      <c r="BM49" s="90"/>
      <c r="BN49" s="183">
        <f t="shared" si="29"/>
        <v>0</v>
      </c>
      <c r="BO49" s="189"/>
      <c r="BP49" s="90"/>
      <c r="BQ49" s="90"/>
      <c r="BR49" s="183">
        <f t="shared" si="30"/>
        <v>0</v>
      </c>
      <c r="BS49" s="189"/>
      <c r="BT49" s="90"/>
      <c r="BU49" s="90"/>
      <c r="BV49" s="183">
        <f t="shared" si="31"/>
        <v>0</v>
      </c>
      <c r="BW49" s="189"/>
      <c r="BX49" s="90"/>
      <c r="BY49" s="90"/>
      <c r="BZ49" s="183">
        <f t="shared" si="32"/>
        <v>0</v>
      </c>
      <c r="CA49" s="189"/>
      <c r="CB49" s="90"/>
      <c r="CC49" s="90"/>
      <c r="CD49" s="183">
        <f t="shared" si="33"/>
        <v>0</v>
      </c>
    </row>
    <row r="50" spans="2:82" x14ac:dyDescent="0.3">
      <c r="B50" s="52" t="s">
        <v>693</v>
      </c>
      <c r="C50" s="52" t="str">
        <f t="shared" si="0"/>
        <v>CPU_Alambrado</v>
      </c>
      <c r="D50" s="277">
        <f t="shared" si="1"/>
        <v>0.1</v>
      </c>
      <c r="E50" s="277">
        <f t="shared" si="2"/>
        <v>0</v>
      </c>
      <c r="F50" s="37"/>
      <c r="G50" s="38"/>
      <c r="H50" s="38"/>
      <c r="I50" s="37"/>
      <c r="J50" s="40">
        <f>IFERROR(K50/$B$6,0)</f>
        <v>45403.59538666666</v>
      </c>
      <c r="K50" s="40">
        <f>SUM(K51:K62)</f>
        <v>4540.3595386666666</v>
      </c>
      <c r="M50" s="84" t="str">
        <f>"Consumo por "&amp;J3</f>
        <v>Consumo por UNID</v>
      </c>
      <c r="N50" s="352">
        <f>CPU_37[[#This Row],[C. UNIT]]*B7/SUM(O51:W51)</f>
        <v>0</v>
      </c>
      <c r="O50" s="339" t="s">
        <v>771</v>
      </c>
      <c r="P50" s="340" t="s">
        <v>772</v>
      </c>
      <c r="Q50" s="340" t="s">
        <v>773</v>
      </c>
      <c r="R50" s="340" t="s">
        <v>774</v>
      </c>
      <c r="S50" s="340" t="s">
        <v>775</v>
      </c>
      <c r="T50" s="340" t="s">
        <v>776</v>
      </c>
      <c r="U50" s="340" t="s">
        <v>777</v>
      </c>
      <c r="V50" s="340" t="s">
        <v>778</v>
      </c>
      <c r="W50" s="341" t="s">
        <v>779</v>
      </c>
      <c r="AD50" s="144" t="str">
        <f t="shared" si="3"/>
        <v>Alambrado</v>
      </c>
      <c r="AE50" s="190"/>
      <c r="AF50" s="191"/>
      <c r="AG50" s="40">
        <f>IFERROR(AH50/AF$3,0)</f>
        <v>0</v>
      </c>
      <c r="AH50" s="185">
        <f>SUM(AH51:AH62)</f>
        <v>0</v>
      </c>
      <c r="AI50" s="190"/>
      <c r="AJ50" s="37"/>
      <c r="AK50" s="40">
        <f>IFERROR(AL50/AJ$3,0)</f>
        <v>0</v>
      </c>
      <c r="AL50" s="185">
        <f>SUM(AL51:AL62)</f>
        <v>0</v>
      </c>
      <c r="AM50" s="190"/>
      <c r="AN50" s="37"/>
      <c r="AO50" s="40">
        <f>IFERROR(AP50/AN$3,0)</f>
        <v>0</v>
      </c>
      <c r="AP50" s="185">
        <f>SUM(AP51:AP62)</f>
        <v>0</v>
      </c>
      <c r="AQ50" s="190"/>
      <c r="AR50" s="37"/>
      <c r="AS50" s="40">
        <f>IFERROR(AT50/AR$3,0)</f>
        <v>0</v>
      </c>
      <c r="AT50" s="185">
        <f>SUM(AT51:AT62)</f>
        <v>0</v>
      </c>
      <c r="AU50" s="190"/>
      <c r="AV50" s="37"/>
      <c r="AW50" s="40">
        <f>IFERROR(AX50/AV$3,0)</f>
        <v>0</v>
      </c>
      <c r="AX50" s="185">
        <f>SUM(AX51:AX62)</f>
        <v>0</v>
      </c>
      <c r="AY50" s="190"/>
      <c r="AZ50" s="37"/>
      <c r="BA50" s="40">
        <f>IFERROR(BB50/AZ$3,0)</f>
        <v>0</v>
      </c>
      <c r="BB50" s="185">
        <f>SUM(BB51:BB62)</f>
        <v>0</v>
      </c>
      <c r="BC50" s="190"/>
      <c r="BD50" s="37"/>
      <c r="BE50" s="40">
        <f>IFERROR(BF50/BD$3,0)</f>
        <v>0</v>
      </c>
      <c r="BF50" s="185">
        <f>SUM(BF51:BF62)</f>
        <v>0</v>
      </c>
      <c r="BG50" s="190"/>
      <c r="BH50" s="37"/>
      <c r="BI50" s="40">
        <f>IFERROR(BJ50/BH$3,0)</f>
        <v>0</v>
      </c>
      <c r="BJ50" s="185">
        <f>SUM(BJ51:BJ62)</f>
        <v>0</v>
      </c>
      <c r="BK50" s="190"/>
      <c r="BL50" s="37"/>
      <c r="BM50" s="40">
        <f>IFERROR(BN50/BL$3,0)</f>
        <v>0</v>
      </c>
      <c r="BN50" s="185">
        <f>SUM(BN51:BN62)</f>
        <v>0</v>
      </c>
      <c r="BO50" s="190"/>
      <c r="BP50" s="37"/>
      <c r="BQ50" s="40">
        <f>IFERROR(BR50/BP$3,0)</f>
        <v>0</v>
      </c>
      <c r="BR50" s="185">
        <f>SUM(BR51:BR62)</f>
        <v>0</v>
      </c>
      <c r="BS50" s="190"/>
      <c r="BT50" s="37"/>
      <c r="BU50" s="40">
        <f>IFERROR(BV50/BT$3,0)</f>
        <v>0</v>
      </c>
      <c r="BV50" s="185">
        <f>SUM(BV51:BV62)</f>
        <v>0</v>
      </c>
      <c r="BW50" s="190"/>
      <c r="BX50" s="37"/>
      <c r="BY50" s="40">
        <f>IFERROR(BZ50/BX$3,0)</f>
        <v>0</v>
      </c>
      <c r="BZ50" s="185">
        <f>SUM(BZ51:BZ62)</f>
        <v>0</v>
      </c>
      <c r="CA50" s="190"/>
      <c r="CB50" s="37"/>
      <c r="CC50" s="40">
        <f>IFERROR(CD50/CB$3,0)</f>
        <v>0</v>
      </c>
      <c r="CD50" s="185">
        <f>SUM(CD51:CD62)</f>
        <v>0</v>
      </c>
    </row>
    <row r="51" spans="2:82" x14ac:dyDescent="0.3">
      <c r="B51" s="53"/>
      <c r="C51" s="53" t="str">
        <f t="shared" si="0"/>
        <v>CPU_Alambrado</v>
      </c>
      <c r="D51" s="278">
        <f t="shared" si="1"/>
        <v>0.1</v>
      </c>
      <c r="E51" s="278">
        <f t="shared" si="2"/>
        <v>0</v>
      </c>
      <c r="F51" s="1" t="s">
        <v>810</v>
      </c>
      <c r="G51" s="28" t="str">
        <f>IFERROR(VLOOKUP(F51,Tabela7[[RECURSO]:[CUSTO]],2,FALSE),"")</f>
        <v>M</v>
      </c>
      <c r="I51" s="90">
        <f>IFERROR(M51*$B$6,0)</f>
        <v>11.622222222222224</v>
      </c>
      <c r="J51" s="45">
        <f>IFERROR(VLOOKUP(F51,Tabela7[[RECURSO]:[CUSTO]],3,FALSE),0)</f>
        <v>188.50399999999999</v>
      </c>
      <c r="K51" s="45">
        <f>I51*J51</f>
        <v>2190.8353777777779</v>
      </c>
      <c r="M51" s="353">
        <f>SUM(O51:W51)/9</f>
        <v>116.22222222222223</v>
      </c>
      <c r="N51" s="88"/>
      <c r="O51" s="31">
        <v>112</v>
      </c>
      <c r="P51" s="1">
        <v>115</v>
      </c>
      <c r="Q51" s="1">
        <v>114</v>
      </c>
      <c r="R51" s="1">
        <v>115</v>
      </c>
      <c r="S51" s="1">
        <v>127</v>
      </c>
      <c r="T51" s="1">
        <v>118</v>
      </c>
      <c r="U51" s="1">
        <v>115</v>
      </c>
      <c r="V51" s="1">
        <v>115</v>
      </c>
      <c r="W51" s="342">
        <v>115</v>
      </c>
      <c r="AD51" s="144" t="str">
        <f t="shared" si="3"/>
        <v>Alambrado</v>
      </c>
      <c r="AE51" s="192"/>
      <c r="AF51" s="180">
        <f t="shared" ref="AF51:AF62" si="38">AJ51+AN51+AR51+AV51+AZ51+BD51+BH51+BL51+BP51+BT51+BX51+CB51</f>
        <v>0</v>
      </c>
      <c r="AG51" s="180">
        <f t="shared" si="17"/>
        <v>0</v>
      </c>
      <c r="AH51" s="181">
        <f t="shared" ref="AH51:AH62" si="39">AL51+AP51+AT51+AX51+BB51+BF51+BJ51+BN51+BR51+BV51+BZ51+CD51</f>
        <v>0</v>
      </c>
      <c r="AI51" s="193"/>
      <c r="AJ51" s="90"/>
      <c r="AK51" s="90"/>
      <c r="AL51" s="183">
        <f t="shared" ref="AL51:AL62" si="40">AJ51*AK51</f>
        <v>0</v>
      </c>
      <c r="AM51" s="193"/>
      <c r="AN51" s="90"/>
      <c r="AO51" s="90"/>
      <c r="AP51" s="183">
        <f t="shared" si="23"/>
        <v>0</v>
      </c>
      <c r="AQ51" s="193"/>
      <c r="AR51" s="90"/>
      <c r="AS51" s="90"/>
      <c r="AT51" s="183">
        <f t="shared" si="24"/>
        <v>0</v>
      </c>
      <c r="AU51" s="193"/>
      <c r="AV51" s="90"/>
      <c r="AW51" s="90"/>
      <c r="AX51" s="183">
        <f t="shared" si="25"/>
        <v>0</v>
      </c>
      <c r="AY51" s="193"/>
      <c r="AZ51" s="90"/>
      <c r="BA51" s="90"/>
      <c r="BB51" s="183">
        <f t="shared" si="26"/>
        <v>0</v>
      </c>
      <c r="BC51" s="193"/>
      <c r="BD51" s="90"/>
      <c r="BE51" s="90"/>
      <c r="BF51" s="183">
        <f t="shared" si="27"/>
        <v>0</v>
      </c>
      <c r="BG51" s="193"/>
      <c r="BH51" s="90"/>
      <c r="BI51" s="90"/>
      <c r="BJ51" s="183">
        <f t="shared" si="28"/>
        <v>0</v>
      </c>
      <c r="BK51" s="193"/>
      <c r="BL51" s="90"/>
      <c r="BM51" s="90"/>
      <c r="BN51" s="183">
        <f t="shared" si="29"/>
        <v>0</v>
      </c>
      <c r="BO51" s="193"/>
      <c r="BP51" s="90"/>
      <c r="BQ51" s="90"/>
      <c r="BR51" s="183">
        <f t="shared" si="30"/>
        <v>0</v>
      </c>
      <c r="BS51" s="193"/>
      <c r="BT51" s="90"/>
      <c r="BU51" s="90"/>
      <c r="BV51" s="183">
        <f t="shared" si="31"/>
        <v>0</v>
      </c>
      <c r="BW51" s="193"/>
      <c r="BX51" s="90"/>
      <c r="BY51" s="90"/>
      <c r="BZ51" s="183">
        <f t="shared" si="32"/>
        <v>0</v>
      </c>
      <c r="CA51" s="193"/>
      <c r="CB51" s="90"/>
      <c r="CC51" s="90"/>
      <c r="CD51" s="183">
        <f t="shared" si="33"/>
        <v>0</v>
      </c>
    </row>
    <row r="52" spans="2:82" x14ac:dyDescent="0.3">
      <c r="B52" s="53"/>
      <c r="C52" s="53" t="str">
        <f t="shared" si="0"/>
        <v>CPU_Alambrado</v>
      </c>
      <c r="D52" s="278">
        <f t="shared" si="1"/>
        <v>0.1</v>
      </c>
      <c r="E52" s="278">
        <f t="shared" si="2"/>
        <v>0</v>
      </c>
      <c r="F52" s="1" t="s">
        <v>811</v>
      </c>
      <c r="G52" s="28" t="str">
        <f>IFERROR(VLOOKUP(F52,Tabela7[[RECURSO]:[CUSTO]],2,FALSE),"")</f>
        <v>unid</v>
      </c>
      <c r="I52" s="90">
        <f t="shared" ref="I52:I62" si="41">IFERROR(M52*$B$6,0)</f>
        <v>4.7488888888888887</v>
      </c>
      <c r="J52" s="45">
        <f>IFERROR(VLOOKUP(F52,Tabela7[[RECURSO]:[CUSTO]],3,FALSE),0)</f>
        <v>196.92</v>
      </c>
      <c r="K52" s="45">
        <f t="shared" ref="K52:K62" si="42">I52*J52</f>
        <v>935.1511999999999</v>
      </c>
      <c r="M52" s="353">
        <f>SUM(O52:W52)/9</f>
        <v>47.488888888888887</v>
      </c>
      <c r="N52" s="88"/>
      <c r="O52" s="31">
        <f>O51/2.5+1</f>
        <v>45.8</v>
      </c>
      <c r="P52" s="1">
        <f t="shared" ref="P52:W52" si="43">P51/2.5+1</f>
        <v>47</v>
      </c>
      <c r="Q52" s="1">
        <f t="shared" si="43"/>
        <v>46.6</v>
      </c>
      <c r="R52" s="1">
        <f t="shared" si="43"/>
        <v>47</v>
      </c>
      <c r="S52" s="1">
        <f t="shared" si="43"/>
        <v>51.8</v>
      </c>
      <c r="T52" s="1">
        <f t="shared" si="43"/>
        <v>48.2</v>
      </c>
      <c r="U52" s="1">
        <f t="shared" si="43"/>
        <v>47</v>
      </c>
      <c r="V52" s="1">
        <f t="shared" si="43"/>
        <v>47</v>
      </c>
      <c r="W52" s="342">
        <f t="shared" si="43"/>
        <v>47</v>
      </c>
      <c r="AD52" s="144" t="str">
        <f t="shared" si="3"/>
        <v>Alambrado</v>
      </c>
      <c r="AE52" s="192"/>
      <c r="AF52" s="180">
        <f t="shared" si="38"/>
        <v>0</v>
      </c>
      <c r="AG52" s="180">
        <f t="shared" si="17"/>
        <v>0</v>
      </c>
      <c r="AH52" s="181">
        <f t="shared" si="39"/>
        <v>0</v>
      </c>
      <c r="AI52" s="193"/>
      <c r="AJ52" s="90"/>
      <c r="AK52" s="90"/>
      <c r="AL52" s="183">
        <f t="shared" si="40"/>
        <v>0</v>
      </c>
      <c r="AM52" s="193"/>
      <c r="AN52" s="90"/>
      <c r="AO52" s="90"/>
      <c r="AP52" s="183">
        <f t="shared" si="23"/>
        <v>0</v>
      </c>
      <c r="AQ52" s="193"/>
      <c r="AR52" s="90"/>
      <c r="AS52" s="90"/>
      <c r="AT52" s="183">
        <f t="shared" si="24"/>
        <v>0</v>
      </c>
      <c r="AU52" s="193"/>
      <c r="AV52" s="90"/>
      <c r="AW52" s="90"/>
      <c r="AX52" s="183">
        <f t="shared" si="25"/>
        <v>0</v>
      </c>
      <c r="AY52" s="193"/>
      <c r="AZ52" s="90"/>
      <c r="BA52" s="90"/>
      <c r="BB52" s="183">
        <f t="shared" si="26"/>
        <v>0</v>
      </c>
      <c r="BC52" s="193"/>
      <c r="BD52" s="90"/>
      <c r="BE52" s="90"/>
      <c r="BF52" s="183">
        <f t="shared" si="27"/>
        <v>0</v>
      </c>
      <c r="BG52" s="193"/>
      <c r="BH52" s="90"/>
      <c r="BI52" s="90"/>
      <c r="BJ52" s="183">
        <f t="shared" si="28"/>
        <v>0</v>
      </c>
      <c r="BK52" s="193"/>
      <c r="BL52" s="90"/>
      <c r="BM52" s="90"/>
      <c r="BN52" s="183">
        <f t="shared" si="29"/>
        <v>0</v>
      </c>
      <c r="BO52" s="193"/>
      <c r="BP52" s="90"/>
      <c r="BQ52" s="90"/>
      <c r="BR52" s="183">
        <f t="shared" si="30"/>
        <v>0</v>
      </c>
      <c r="BS52" s="193"/>
      <c r="BT52" s="90"/>
      <c r="BU52" s="90"/>
      <c r="BV52" s="183">
        <f t="shared" si="31"/>
        <v>0</v>
      </c>
      <c r="BW52" s="193"/>
      <c r="BX52" s="90"/>
      <c r="BY52" s="90"/>
      <c r="BZ52" s="183">
        <f t="shared" si="32"/>
        <v>0</v>
      </c>
      <c r="CA52" s="193"/>
      <c r="CB52" s="90"/>
      <c r="CC52" s="90"/>
      <c r="CD52" s="183">
        <f t="shared" si="33"/>
        <v>0</v>
      </c>
    </row>
    <row r="53" spans="2:82" x14ac:dyDescent="0.3">
      <c r="B53" s="53"/>
      <c r="C53" s="53" t="str">
        <f t="shared" si="0"/>
        <v>CPU_Alambrado</v>
      </c>
      <c r="D53" s="278">
        <f t="shared" si="1"/>
        <v>0.1</v>
      </c>
      <c r="E53" s="278">
        <f t="shared" si="2"/>
        <v>0</v>
      </c>
      <c r="F53" s="1" t="s">
        <v>812</v>
      </c>
      <c r="G53" s="28" t="str">
        <f>IFERROR(VLOOKUP(F53,Tabela7[[RECURSO]:[CUSTO]],2,FALSE),"")</f>
        <v>unid</v>
      </c>
      <c r="I53" s="90">
        <f t="shared" si="41"/>
        <v>28.493333333333336</v>
      </c>
      <c r="J53" s="45">
        <f>IFERROR(VLOOKUP(F53,Tabela7[[RECURSO]:[CUSTO]],3,FALSE),0)</f>
        <v>4.29</v>
      </c>
      <c r="K53" s="45">
        <f t="shared" si="42"/>
        <v>122.23640000000002</v>
      </c>
      <c r="M53" s="353">
        <f>M52*6</f>
        <v>284.93333333333334</v>
      </c>
      <c r="N53" s="88"/>
      <c r="O53" s="31"/>
      <c r="P53" s="1"/>
      <c r="Q53" s="1"/>
      <c r="R53" s="1"/>
      <c r="S53" s="1"/>
      <c r="T53" s="1"/>
      <c r="U53" s="1"/>
      <c r="V53" s="1"/>
      <c r="W53" s="342"/>
      <c r="AD53" s="144" t="str">
        <f t="shared" si="3"/>
        <v>Alambrado</v>
      </c>
      <c r="AE53" s="192"/>
      <c r="AF53" s="180">
        <f t="shared" si="38"/>
        <v>0</v>
      </c>
      <c r="AG53" s="180">
        <f t="shared" si="17"/>
        <v>0</v>
      </c>
      <c r="AH53" s="181">
        <f t="shared" si="39"/>
        <v>0</v>
      </c>
      <c r="AI53" s="193"/>
      <c r="AJ53" s="90"/>
      <c r="AK53" s="90"/>
      <c r="AL53" s="183">
        <f t="shared" si="40"/>
        <v>0</v>
      </c>
      <c r="AM53" s="193"/>
      <c r="AN53" s="90"/>
      <c r="AO53" s="90"/>
      <c r="AP53" s="183">
        <f t="shared" si="23"/>
        <v>0</v>
      </c>
      <c r="AQ53" s="193"/>
      <c r="AR53" s="90"/>
      <c r="AS53" s="90"/>
      <c r="AT53" s="183">
        <f t="shared" si="24"/>
        <v>0</v>
      </c>
      <c r="AU53" s="193"/>
      <c r="AV53" s="90"/>
      <c r="AW53" s="90"/>
      <c r="AX53" s="183">
        <f t="shared" si="25"/>
        <v>0</v>
      </c>
      <c r="AY53" s="193"/>
      <c r="AZ53" s="90"/>
      <c r="BA53" s="90"/>
      <c r="BB53" s="183">
        <f t="shared" si="26"/>
        <v>0</v>
      </c>
      <c r="BC53" s="193"/>
      <c r="BD53" s="90"/>
      <c r="BE53" s="90"/>
      <c r="BF53" s="183">
        <f t="shared" si="27"/>
        <v>0</v>
      </c>
      <c r="BG53" s="193"/>
      <c r="BH53" s="90"/>
      <c r="BI53" s="90"/>
      <c r="BJ53" s="183">
        <f t="shared" si="28"/>
        <v>0</v>
      </c>
      <c r="BK53" s="193"/>
      <c r="BL53" s="90"/>
      <c r="BM53" s="90"/>
      <c r="BN53" s="183">
        <f t="shared" si="29"/>
        <v>0</v>
      </c>
      <c r="BO53" s="193"/>
      <c r="BP53" s="90"/>
      <c r="BQ53" s="90"/>
      <c r="BR53" s="183">
        <f t="shared" si="30"/>
        <v>0</v>
      </c>
      <c r="BS53" s="193"/>
      <c r="BT53" s="90"/>
      <c r="BU53" s="90"/>
      <c r="BV53" s="183">
        <f t="shared" si="31"/>
        <v>0</v>
      </c>
      <c r="BW53" s="193"/>
      <c r="BX53" s="90"/>
      <c r="BY53" s="90"/>
      <c r="BZ53" s="183">
        <f t="shared" si="32"/>
        <v>0</v>
      </c>
      <c r="CA53" s="193"/>
      <c r="CB53" s="90"/>
      <c r="CC53" s="90"/>
      <c r="CD53" s="183">
        <f t="shared" si="33"/>
        <v>0</v>
      </c>
    </row>
    <row r="54" spans="2:82" x14ac:dyDescent="0.3">
      <c r="B54" s="53"/>
      <c r="C54" s="53" t="str">
        <f t="shared" si="0"/>
        <v>CPU_Alambrado</v>
      </c>
      <c r="D54" s="278">
        <f t="shared" si="1"/>
        <v>0.1</v>
      </c>
      <c r="E54" s="278">
        <f t="shared" si="2"/>
        <v>0</v>
      </c>
      <c r="F54" s="1" t="s">
        <v>813</v>
      </c>
      <c r="G54" s="28" t="str">
        <f>IFERROR(VLOOKUP(F54,Tabela7[[RECURSO]:[CUSTO]],2,FALSE),"")</f>
        <v>M3</v>
      </c>
      <c r="I54" s="90">
        <f t="shared" si="41"/>
        <v>0.54997206666666665</v>
      </c>
      <c r="J54" s="45">
        <f>IFERROR(VLOOKUP(F54,Tabela7[[RECURSO]:[CUSTO]],3,FALSE),0)</f>
        <v>180</v>
      </c>
      <c r="K54" s="45">
        <f>I54*J54</f>
        <v>98.99497199999999</v>
      </c>
      <c r="M54" s="353">
        <f>SUM(O54:W54)/9</f>
        <v>5.4997206666666667</v>
      </c>
      <c r="N54" s="88">
        <v>1.6104432000000004</v>
      </c>
      <c r="O54" s="31">
        <f>0.3*0.3*3.14*0.6/4*O52+O51*0.15*0.2</f>
        <v>5.3014620000000008</v>
      </c>
      <c r="P54" s="1">
        <f t="shared" ref="P54:W54" si="44">0.3*0.3*3.14*0.6/4*P52+P51*0.15*0.2</f>
        <v>5.4423300000000001</v>
      </c>
      <c r="Q54" s="1">
        <f t="shared" si="44"/>
        <v>5.3953740000000003</v>
      </c>
      <c r="R54" s="1">
        <f t="shared" si="44"/>
        <v>5.4423300000000001</v>
      </c>
      <c r="S54" s="1">
        <f t="shared" si="44"/>
        <v>6.005802000000001</v>
      </c>
      <c r="T54" s="1">
        <f t="shared" si="44"/>
        <v>5.5831980000000003</v>
      </c>
      <c r="U54" s="1">
        <f t="shared" si="44"/>
        <v>5.4423300000000001</v>
      </c>
      <c r="V54" s="1">
        <f t="shared" si="44"/>
        <v>5.4423300000000001</v>
      </c>
      <c r="W54" s="342">
        <f t="shared" si="44"/>
        <v>5.4423300000000001</v>
      </c>
      <c r="AD54" s="144" t="str">
        <f>$B$3</f>
        <v>Alambrado</v>
      </c>
      <c r="AE54" s="192"/>
      <c r="AF54" s="180">
        <f t="shared" si="38"/>
        <v>0</v>
      </c>
      <c r="AG54" s="180">
        <f t="shared" si="17"/>
        <v>0</v>
      </c>
      <c r="AH54" s="181">
        <f t="shared" si="39"/>
        <v>0</v>
      </c>
      <c r="AI54" s="193"/>
      <c r="AJ54" s="90"/>
      <c r="AK54" s="90"/>
      <c r="AL54" s="183">
        <f t="shared" si="40"/>
        <v>0</v>
      </c>
      <c r="AM54" s="193"/>
      <c r="AN54" s="90"/>
      <c r="AO54" s="90"/>
      <c r="AP54" s="183">
        <f t="shared" si="23"/>
        <v>0</v>
      </c>
      <c r="AQ54" s="193"/>
      <c r="AR54" s="90"/>
      <c r="AS54" s="90"/>
      <c r="AT54" s="183">
        <f t="shared" si="24"/>
        <v>0</v>
      </c>
      <c r="AU54" s="193"/>
      <c r="AV54" s="90"/>
      <c r="AW54" s="90"/>
      <c r="AX54" s="183">
        <f t="shared" si="25"/>
        <v>0</v>
      </c>
      <c r="AY54" s="193"/>
      <c r="AZ54" s="90"/>
      <c r="BA54" s="90"/>
      <c r="BB54" s="183">
        <f t="shared" si="26"/>
        <v>0</v>
      </c>
      <c r="BC54" s="193"/>
      <c r="BD54" s="90"/>
      <c r="BE54" s="90"/>
      <c r="BF54" s="183">
        <f t="shared" si="27"/>
        <v>0</v>
      </c>
      <c r="BG54" s="193"/>
      <c r="BH54" s="90"/>
      <c r="BI54" s="90"/>
      <c r="BJ54" s="183">
        <f t="shared" si="28"/>
        <v>0</v>
      </c>
      <c r="BK54" s="193"/>
      <c r="BL54" s="90"/>
      <c r="BM54" s="90"/>
      <c r="BN54" s="183">
        <f t="shared" si="29"/>
        <v>0</v>
      </c>
      <c r="BO54" s="193"/>
      <c r="BP54" s="90"/>
      <c r="BQ54" s="90"/>
      <c r="BR54" s="183">
        <f t="shared" si="30"/>
        <v>0</v>
      </c>
      <c r="BS54" s="193"/>
      <c r="BT54" s="90"/>
      <c r="BU54" s="90"/>
      <c r="BV54" s="183">
        <f t="shared" si="31"/>
        <v>0</v>
      </c>
      <c r="BW54" s="193"/>
      <c r="BX54" s="90"/>
      <c r="BY54" s="90"/>
      <c r="BZ54" s="183">
        <f t="shared" si="32"/>
        <v>0</v>
      </c>
      <c r="CA54" s="193"/>
      <c r="CB54" s="90"/>
      <c r="CC54" s="90"/>
      <c r="CD54" s="183">
        <f t="shared" si="33"/>
        <v>0</v>
      </c>
    </row>
    <row r="55" spans="2:82" x14ac:dyDescent="0.3">
      <c r="B55" s="53"/>
      <c r="C55" s="53" t="str">
        <f t="shared" si="0"/>
        <v>CPU_Alambrado</v>
      </c>
      <c r="D55" s="278">
        <f t="shared" si="1"/>
        <v>0.1</v>
      </c>
      <c r="E55" s="278">
        <f t="shared" si="2"/>
        <v>0</v>
      </c>
      <c r="F55" s="1" t="s">
        <v>814</v>
      </c>
      <c r="G55" s="28" t="str">
        <f>IFERROR(VLOOKUP(F55,Tabela7[[RECURSO]:[CUSTO]],2,FALSE),"")</f>
        <v>KG</v>
      </c>
      <c r="I55" s="90">
        <f t="shared" si="41"/>
        <v>219.98882666666674</v>
      </c>
      <c r="J55" s="45">
        <f>IFERROR(VLOOKUP(F55,Tabela7[[RECURSO]:[CUSTO]],3,FALSE),0)</f>
        <v>0.8</v>
      </c>
      <c r="K55" s="45">
        <f t="shared" si="42"/>
        <v>175.99106133333339</v>
      </c>
      <c r="M55" s="353">
        <f>SUM(O55:W55)/9</f>
        <v>2199.8882666666673</v>
      </c>
      <c r="N55" s="88">
        <v>2.6169702000000008</v>
      </c>
      <c r="O55" s="31">
        <f>O54*400</f>
        <v>2120.5848000000005</v>
      </c>
      <c r="P55" s="1">
        <f t="shared" ref="P55:W55" si="45">P54*400</f>
        <v>2176.9320000000002</v>
      </c>
      <c r="Q55" s="1">
        <f t="shared" si="45"/>
        <v>2158.1496000000002</v>
      </c>
      <c r="R55" s="1">
        <f t="shared" si="45"/>
        <v>2176.9320000000002</v>
      </c>
      <c r="S55" s="1">
        <f t="shared" si="45"/>
        <v>2402.3208000000004</v>
      </c>
      <c r="T55" s="1">
        <f t="shared" si="45"/>
        <v>2233.2791999999999</v>
      </c>
      <c r="U55" s="1">
        <f t="shared" si="45"/>
        <v>2176.9320000000002</v>
      </c>
      <c r="V55" s="1">
        <f t="shared" si="45"/>
        <v>2176.9320000000002</v>
      </c>
      <c r="W55" s="342">
        <f t="shared" si="45"/>
        <v>2176.9320000000002</v>
      </c>
      <c r="AD55" s="144" t="str">
        <f t="shared" si="3"/>
        <v>Alambrado</v>
      </c>
      <c r="AE55" s="192"/>
      <c r="AF55" s="180">
        <f t="shared" si="38"/>
        <v>0</v>
      </c>
      <c r="AG55" s="180">
        <f t="shared" si="17"/>
        <v>0</v>
      </c>
      <c r="AH55" s="181">
        <f t="shared" si="39"/>
        <v>0</v>
      </c>
      <c r="AI55" s="193"/>
      <c r="AJ55" s="90"/>
      <c r="AK55" s="90"/>
      <c r="AL55" s="183">
        <f t="shared" si="40"/>
        <v>0</v>
      </c>
      <c r="AM55" s="193"/>
      <c r="AN55" s="90"/>
      <c r="AO55" s="90"/>
      <c r="AP55" s="183">
        <f t="shared" si="23"/>
        <v>0</v>
      </c>
      <c r="AQ55" s="193"/>
      <c r="AR55" s="90"/>
      <c r="AS55" s="90"/>
      <c r="AT55" s="183">
        <f t="shared" si="24"/>
        <v>0</v>
      </c>
      <c r="AU55" s="193"/>
      <c r="AV55" s="90"/>
      <c r="AW55" s="90"/>
      <c r="AX55" s="183">
        <f t="shared" si="25"/>
        <v>0</v>
      </c>
      <c r="AY55" s="193"/>
      <c r="AZ55" s="90"/>
      <c r="BA55" s="90"/>
      <c r="BB55" s="183">
        <f t="shared" si="26"/>
        <v>0</v>
      </c>
      <c r="BC55" s="193"/>
      <c r="BD55" s="90"/>
      <c r="BE55" s="90"/>
      <c r="BF55" s="183">
        <f t="shared" si="27"/>
        <v>0</v>
      </c>
      <c r="BG55" s="193"/>
      <c r="BH55" s="90"/>
      <c r="BI55" s="90"/>
      <c r="BJ55" s="183">
        <f t="shared" si="28"/>
        <v>0</v>
      </c>
      <c r="BK55" s="193"/>
      <c r="BL55" s="90"/>
      <c r="BM55" s="90"/>
      <c r="BN55" s="183">
        <f t="shared" si="29"/>
        <v>0</v>
      </c>
      <c r="BO55" s="193"/>
      <c r="BP55" s="90"/>
      <c r="BQ55" s="90"/>
      <c r="BR55" s="183">
        <f t="shared" si="30"/>
        <v>0</v>
      </c>
      <c r="BS55" s="193"/>
      <c r="BT55" s="90"/>
      <c r="BU55" s="90"/>
      <c r="BV55" s="183">
        <f t="shared" si="31"/>
        <v>0</v>
      </c>
      <c r="BW55" s="193"/>
      <c r="BX55" s="90"/>
      <c r="BY55" s="90"/>
      <c r="BZ55" s="183">
        <f t="shared" si="32"/>
        <v>0</v>
      </c>
      <c r="CA55" s="193"/>
      <c r="CB55" s="90"/>
      <c r="CC55" s="90"/>
      <c r="CD55" s="183">
        <f t="shared" si="33"/>
        <v>0</v>
      </c>
    </row>
    <row r="56" spans="2:82" x14ac:dyDescent="0.3">
      <c r="B56" s="53"/>
      <c r="C56" s="53" t="str">
        <f t="shared" si="0"/>
        <v>CPU_Alambrado</v>
      </c>
      <c r="D56" s="278">
        <f t="shared" si="1"/>
        <v>0.1</v>
      </c>
      <c r="E56" s="278">
        <f t="shared" si="2"/>
        <v>0</v>
      </c>
      <c r="F56" s="1" t="s">
        <v>799</v>
      </c>
      <c r="G56" s="28" t="str">
        <f>IFERROR(VLOOKUP(F56,Tabela7[[RECURSO]:[CUSTO]],2,FALSE),"")</f>
        <v>M3</v>
      </c>
      <c r="I56" s="90">
        <f t="shared" si="41"/>
        <v>0.54997206666666665</v>
      </c>
      <c r="J56" s="45">
        <f>IFERROR(VLOOKUP(F56,Tabela7[[RECURSO]:[CUSTO]],3,FALSE),0)</f>
        <v>180</v>
      </c>
      <c r="K56" s="45">
        <f t="shared" si="42"/>
        <v>98.99497199999999</v>
      </c>
      <c r="M56" s="353">
        <f>SUM(O56:W56)/9</f>
        <v>5.4997206666666667</v>
      </c>
      <c r="N56" s="88">
        <v>1.6104432000000004</v>
      </c>
      <c r="O56" s="31">
        <f>0.3*0.3*3.14*0.6/4*O52+O51*0.15*0.2</f>
        <v>5.3014620000000008</v>
      </c>
      <c r="P56" s="1">
        <f t="shared" ref="P56:W56" si="46">0.3*0.3*3.14*0.6/4*P52+P51*0.15*0.2</f>
        <v>5.4423300000000001</v>
      </c>
      <c r="Q56" s="1">
        <f t="shared" si="46"/>
        <v>5.3953740000000003</v>
      </c>
      <c r="R56" s="1">
        <f t="shared" si="46"/>
        <v>5.4423300000000001</v>
      </c>
      <c r="S56" s="1">
        <f t="shared" si="46"/>
        <v>6.005802000000001</v>
      </c>
      <c r="T56" s="1">
        <f t="shared" si="46"/>
        <v>5.5831980000000003</v>
      </c>
      <c r="U56" s="1">
        <f t="shared" si="46"/>
        <v>5.4423300000000001</v>
      </c>
      <c r="V56" s="1">
        <f t="shared" si="46"/>
        <v>5.4423300000000001</v>
      </c>
      <c r="W56" s="342">
        <f t="shared" si="46"/>
        <v>5.4423300000000001</v>
      </c>
      <c r="AD56" s="144" t="str">
        <f t="shared" si="3"/>
        <v>Alambrado</v>
      </c>
      <c r="AE56" s="192"/>
      <c r="AF56" s="180">
        <f t="shared" si="38"/>
        <v>0</v>
      </c>
      <c r="AG56" s="180">
        <f t="shared" si="17"/>
        <v>0</v>
      </c>
      <c r="AH56" s="181">
        <f t="shared" si="39"/>
        <v>0</v>
      </c>
      <c r="AI56" s="193"/>
      <c r="AJ56" s="90"/>
      <c r="AK56" s="90"/>
      <c r="AL56" s="183">
        <f t="shared" si="40"/>
        <v>0</v>
      </c>
      <c r="AM56" s="193"/>
      <c r="AN56" s="90"/>
      <c r="AO56" s="90"/>
      <c r="AP56" s="183">
        <f t="shared" si="23"/>
        <v>0</v>
      </c>
      <c r="AQ56" s="193"/>
      <c r="AR56" s="90"/>
      <c r="AS56" s="90"/>
      <c r="AT56" s="183">
        <f t="shared" si="24"/>
        <v>0</v>
      </c>
      <c r="AU56" s="193"/>
      <c r="AV56" s="90"/>
      <c r="AW56" s="90"/>
      <c r="AX56" s="183">
        <f t="shared" si="25"/>
        <v>0</v>
      </c>
      <c r="AY56" s="193"/>
      <c r="AZ56" s="90"/>
      <c r="BA56" s="90"/>
      <c r="BB56" s="183">
        <f t="shared" si="26"/>
        <v>0</v>
      </c>
      <c r="BC56" s="193"/>
      <c r="BD56" s="90"/>
      <c r="BE56" s="90"/>
      <c r="BF56" s="183">
        <f t="shared" si="27"/>
        <v>0</v>
      </c>
      <c r="BG56" s="193"/>
      <c r="BH56" s="90"/>
      <c r="BI56" s="90"/>
      <c r="BJ56" s="183">
        <f t="shared" si="28"/>
        <v>0</v>
      </c>
      <c r="BK56" s="193"/>
      <c r="BL56" s="90"/>
      <c r="BM56" s="90"/>
      <c r="BN56" s="183">
        <f t="shared" si="29"/>
        <v>0</v>
      </c>
      <c r="BO56" s="193"/>
      <c r="BP56" s="90"/>
      <c r="BQ56" s="90"/>
      <c r="BR56" s="183">
        <f t="shared" si="30"/>
        <v>0</v>
      </c>
      <c r="BS56" s="193"/>
      <c r="BT56" s="90"/>
      <c r="BU56" s="90"/>
      <c r="BV56" s="183">
        <f t="shared" si="31"/>
        <v>0</v>
      </c>
      <c r="BW56" s="193"/>
      <c r="BX56" s="90"/>
      <c r="BY56" s="90"/>
      <c r="BZ56" s="183">
        <f t="shared" si="32"/>
        <v>0</v>
      </c>
      <c r="CA56" s="193"/>
      <c r="CB56" s="90"/>
      <c r="CC56" s="90"/>
      <c r="CD56" s="183">
        <f t="shared" si="33"/>
        <v>0</v>
      </c>
    </row>
    <row r="57" spans="2:82" x14ac:dyDescent="0.3">
      <c r="B57" s="53"/>
      <c r="C57" s="53" t="str">
        <f t="shared" si="0"/>
        <v>CPU_Alambrado</v>
      </c>
      <c r="D57" s="278">
        <f t="shared" si="1"/>
        <v>0.1</v>
      </c>
      <c r="E57" s="278">
        <f t="shared" si="2"/>
        <v>0</v>
      </c>
      <c r="F57" s="1" t="s">
        <v>782</v>
      </c>
      <c r="G57" s="28" t="str">
        <f>IFERROR(VLOOKUP(F57,Tabela7[[RECURSO]:[CUSTO]],2,FALSE),"")</f>
        <v>M3</v>
      </c>
      <c r="I57" s="90">
        <f t="shared" si="41"/>
        <v>0</v>
      </c>
      <c r="J57" s="45">
        <f>IFERROR(VLOOKUP(F57,Tabela7[[RECURSO]:[CUSTO]],3,FALSE),0)</f>
        <v>600</v>
      </c>
      <c r="K57" s="45">
        <f t="shared" si="42"/>
        <v>0</v>
      </c>
      <c r="M57" s="354"/>
      <c r="N57" s="88">
        <v>3.4866666666666664</v>
      </c>
      <c r="O57" s="31">
        <f>O51*0.15*0.2</f>
        <v>3.3600000000000003</v>
      </c>
      <c r="P57" s="1">
        <f t="shared" ref="P57:W57" si="47">P51*0.15*0.2</f>
        <v>3.45</v>
      </c>
      <c r="Q57" s="1">
        <f t="shared" si="47"/>
        <v>3.42</v>
      </c>
      <c r="R57" s="1">
        <f t="shared" si="47"/>
        <v>3.45</v>
      </c>
      <c r="S57" s="1">
        <f t="shared" si="47"/>
        <v>3.8100000000000005</v>
      </c>
      <c r="T57" s="1">
        <f t="shared" si="47"/>
        <v>3.54</v>
      </c>
      <c r="U57" s="1">
        <f t="shared" si="47"/>
        <v>3.45</v>
      </c>
      <c r="V57" s="1">
        <f t="shared" si="47"/>
        <v>3.45</v>
      </c>
      <c r="W57" s="342">
        <f t="shared" si="47"/>
        <v>3.45</v>
      </c>
      <c r="AD57" s="144" t="str">
        <f t="shared" si="3"/>
        <v>Alambrado</v>
      </c>
      <c r="AE57" s="192"/>
      <c r="AF57" s="180">
        <f t="shared" si="38"/>
        <v>0</v>
      </c>
      <c r="AG57" s="180">
        <f t="shared" si="17"/>
        <v>0</v>
      </c>
      <c r="AH57" s="181">
        <f t="shared" si="39"/>
        <v>0</v>
      </c>
      <c r="AI57" s="193"/>
      <c r="AJ57" s="90"/>
      <c r="AK57" s="90"/>
      <c r="AL57" s="183">
        <f t="shared" si="40"/>
        <v>0</v>
      </c>
      <c r="AM57" s="193"/>
      <c r="AN57" s="90"/>
      <c r="AO57" s="90"/>
      <c r="AP57" s="183">
        <f t="shared" si="23"/>
        <v>0</v>
      </c>
      <c r="AQ57" s="193"/>
      <c r="AR57" s="90"/>
      <c r="AS57" s="90"/>
      <c r="AT57" s="183">
        <f t="shared" si="24"/>
        <v>0</v>
      </c>
      <c r="AU57" s="193"/>
      <c r="AV57" s="90"/>
      <c r="AW57" s="90"/>
      <c r="AX57" s="183">
        <f t="shared" si="25"/>
        <v>0</v>
      </c>
      <c r="AY57" s="193"/>
      <c r="AZ57" s="90"/>
      <c r="BA57" s="90"/>
      <c r="BB57" s="183">
        <f t="shared" si="26"/>
        <v>0</v>
      </c>
      <c r="BC57" s="193"/>
      <c r="BD57" s="90"/>
      <c r="BE57" s="90"/>
      <c r="BF57" s="183">
        <f t="shared" si="27"/>
        <v>0</v>
      </c>
      <c r="BG57" s="193"/>
      <c r="BH57" s="90"/>
      <c r="BI57" s="90"/>
      <c r="BJ57" s="183">
        <f t="shared" si="28"/>
        <v>0</v>
      </c>
      <c r="BK57" s="193"/>
      <c r="BL57" s="90"/>
      <c r="BM57" s="90"/>
      <c r="BN57" s="183">
        <f t="shared" si="29"/>
        <v>0</v>
      </c>
      <c r="BO57" s="193"/>
      <c r="BP57" s="90"/>
      <c r="BQ57" s="90"/>
      <c r="BR57" s="183">
        <f t="shared" si="30"/>
        <v>0</v>
      </c>
      <c r="BS57" s="193"/>
      <c r="BT57" s="90"/>
      <c r="BU57" s="90"/>
      <c r="BV57" s="183">
        <f t="shared" si="31"/>
        <v>0</v>
      </c>
      <c r="BW57" s="193"/>
      <c r="BX57" s="90"/>
      <c r="BY57" s="90"/>
      <c r="BZ57" s="183">
        <f t="shared" si="32"/>
        <v>0</v>
      </c>
      <c r="CA57" s="193"/>
      <c r="CB57" s="90"/>
      <c r="CC57" s="90"/>
      <c r="CD57" s="183">
        <f t="shared" si="33"/>
        <v>0</v>
      </c>
    </row>
    <row r="58" spans="2:82" x14ac:dyDescent="0.3">
      <c r="B58" s="53"/>
      <c r="C58" s="53" t="str">
        <f t="shared" si="0"/>
        <v>CPU_Alambrado</v>
      </c>
      <c r="D58" s="278">
        <f t="shared" si="1"/>
        <v>0.1</v>
      </c>
      <c r="E58" s="278">
        <f t="shared" si="2"/>
        <v>0</v>
      </c>
      <c r="F58" s="1" t="s">
        <v>815</v>
      </c>
      <c r="G58" s="28" t="str">
        <f>IFERROR(VLOOKUP(F58,Tabela7[[RECURSO]:[CUSTO]],2,FALSE),"")</f>
        <v>m</v>
      </c>
      <c r="I58" s="90">
        <f t="shared" si="41"/>
        <v>11.622222222222224</v>
      </c>
      <c r="J58" s="45">
        <f>IFERROR(VLOOKUP(F58,Tabela7[[RECURSO]:[CUSTO]],3,FALSE),0)</f>
        <v>39</v>
      </c>
      <c r="K58" s="45">
        <f t="shared" si="42"/>
        <v>453.26666666666671</v>
      </c>
      <c r="M58" s="353">
        <f t="shared" ref="M58:M59" si="48">SUM(O58:W58)/9</f>
        <v>116.22222222222223</v>
      </c>
      <c r="N58" s="88">
        <v>116.22222222222223</v>
      </c>
      <c r="O58" s="31">
        <f>O51</f>
        <v>112</v>
      </c>
      <c r="P58" s="1">
        <f t="shared" ref="P58:W58" si="49">P51</f>
        <v>115</v>
      </c>
      <c r="Q58" s="1">
        <f t="shared" si="49"/>
        <v>114</v>
      </c>
      <c r="R58" s="1">
        <f t="shared" si="49"/>
        <v>115</v>
      </c>
      <c r="S58" s="1">
        <f t="shared" si="49"/>
        <v>127</v>
      </c>
      <c r="T58" s="1">
        <f t="shared" si="49"/>
        <v>118</v>
      </c>
      <c r="U58" s="1">
        <f t="shared" si="49"/>
        <v>115</v>
      </c>
      <c r="V58" s="1">
        <f t="shared" si="49"/>
        <v>115</v>
      </c>
      <c r="W58" s="342">
        <f t="shared" si="49"/>
        <v>115</v>
      </c>
      <c r="AD58" s="144" t="str">
        <f t="shared" si="3"/>
        <v>Alambrado</v>
      </c>
      <c r="AE58" s="192"/>
      <c r="AF58" s="180">
        <f t="shared" si="38"/>
        <v>0</v>
      </c>
      <c r="AG58" s="180">
        <f t="shared" si="17"/>
        <v>0</v>
      </c>
      <c r="AH58" s="181">
        <f t="shared" si="39"/>
        <v>0</v>
      </c>
      <c r="AI58" s="193"/>
      <c r="AJ58" s="90"/>
      <c r="AK58" s="90"/>
      <c r="AL58" s="183">
        <f t="shared" si="40"/>
        <v>0</v>
      </c>
      <c r="AM58" s="193"/>
      <c r="AN58" s="90"/>
      <c r="AO58" s="90"/>
      <c r="AP58" s="183">
        <f t="shared" si="23"/>
        <v>0</v>
      </c>
      <c r="AQ58" s="193"/>
      <c r="AR58" s="90"/>
      <c r="AS58" s="90"/>
      <c r="AT58" s="183">
        <f t="shared" si="24"/>
        <v>0</v>
      </c>
      <c r="AU58" s="193"/>
      <c r="AV58" s="90"/>
      <c r="AW58" s="90"/>
      <c r="AX58" s="183">
        <f t="shared" si="25"/>
        <v>0</v>
      </c>
      <c r="AY58" s="193"/>
      <c r="AZ58" s="90"/>
      <c r="BA58" s="90"/>
      <c r="BB58" s="183">
        <f t="shared" si="26"/>
        <v>0</v>
      </c>
      <c r="BC58" s="193"/>
      <c r="BD58" s="90"/>
      <c r="BE58" s="90"/>
      <c r="BF58" s="183">
        <f t="shared" si="27"/>
        <v>0</v>
      </c>
      <c r="BG58" s="193"/>
      <c r="BH58" s="90"/>
      <c r="BI58" s="90"/>
      <c r="BJ58" s="183">
        <f t="shared" si="28"/>
        <v>0</v>
      </c>
      <c r="BK58" s="193"/>
      <c r="BL58" s="90"/>
      <c r="BM58" s="90"/>
      <c r="BN58" s="183">
        <f t="shared" si="29"/>
        <v>0</v>
      </c>
      <c r="BO58" s="193"/>
      <c r="BP58" s="90"/>
      <c r="BQ58" s="90"/>
      <c r="BR58" s="183">
        <f t="shared" si="30"/>
        <v>0</v>
      </c>
      <c r="BS58" s="193"/>
      <c r="BT58" s="90"/>
      <c r="BU58" s="90"/>
      <c r="BV58" s="183">
        <f t="shared" si="31"/>
        <v>0</v>
      </c>
      <c r="BW58" s="193"/>
      <c r="BX58" s="90"/>
      <c r="BY58" s="90"/>
      <c r="BZ58" s="183">
        <f t="shared" si="32"/>
        <v>0</v>
      </c>
      <c r="CA58" s="193"/>
      <c r="CB58" s="90"/>
      <c r="CC58" s="90"/>
      <c r="CD58" s="183">
        <f t="shared" si="33"/>
        <v>0</v>
      </c>
    </row>
    <row r="59" spans="2:82" x14ac:dyDescent="0.3">
      <c r="B59" s="53"/>
      <c r="C59" s="53" t="str">
        <f t="shared" si="0"/>
        <v>CPU_Alambrado</v>
      </c>
      <c r="D59" s="278">
        <f t="shared" si="1"/>
        <v>0.1</v>
      </c>
      <c r="E59" s="278">
        <f t="shared" si="2"/>
        <v>0</v>
      </c>
      <c r="F59" s="1" t="s">
        <v>784</v>
      </c>
      <c r="G59" s="28" t="str">
        <f>IFERROR(VLOOKUP(F59,Tabela7[[RECURSO]:[CUSTO]],2,FALSE),"")</f>
        <v>M</v>
      </c>
      <c r="I59" s="90">
        <f t="shared" si="41"/>
        <v>23.244444444444447</v>
      </c>
      <c r="J59" s="45">
        <f>IFERROR(VLOOKUP(F59,Tabela7[[RECURSO]:[CUSTO]],3,FALSE),0)</f>
        <v>20</v>
      </c>
      <c r="K59" s="45">
        <f t="shared" si="42"/>
        <v>464.88888888888891</v>
      </c>
      <c r="M59" s="353">
        <f t="shared" si="48"/>
        <v>232.44444444444446</v>
      </c>
      <c r="N59" s="88">
        <v>232.44444444444446</v>
      </c>
      <c r="O59" s="31">
        <f>O58*2</f>
        <v>224</v>
      </c>
      <c r="P59" s="1">
        <f t="shared" ref="P59:W59" si="50">P58*2</f>
        <v>230</v>
      </c>
      <c r="Q59" s="1">
        <f t="shared" si="50"/>
        <v>228</v>
      </c>
      <c r="R59" s="1">
        <f t="shared" si="50"/>
        <v>230</v>
      </c>
      <c r="S59" s="1">
        <f t="shared" si="50"/>
        <v>254</v>
      </c>
      <c r="T59" s="1">
        <f t="shared" si="50"/>
        <v>236</v>
      </c>
      <c r="U59" s="1">
        <f t="shared" si="50"/>
        <v>230</v>
      </c>
      <c r="V59" s="1">
        <f t="shared" si="50"/>
        <v>230</v>
      </c>
      <c r="W59" s="342">
        <f t="shared" si="50"/>
        <v>230</v>
      </c>
      <c r="AD59" s="144" t="str">
        <f t="shared" si="3"/>
        <v>Alambrado</v>
      </c>
      <c r="AE59" s="192"/>
      <c r="AF59" s="180">
        <f t="shared" si="38"/>
        <v>0</v>
      </c>
      <c r="AG59" s="180">
        <f t="shared" si="17"/>
        <v>0</v>
      </c>
      <c r="AH59" s="181">
        <f t="shared" si="39"/>
        <v>0</v>
      </c>
      <c r="AI59" s="193"/>
      <c r="AJ59" s="90"/>
      <c r="AK59" s="90"/>
      <c r="AL59" s="183">
        <f t="shared" si="40"/>
        <v>0</v>
      </c>
      <c r="AM59" s="193"/>
      <c r="AN59" s="90"/>
      <c r="AO59" s="90"/>
      <c r="AP59" s="183">
        <f t="shared" si="23"/>
        <v>0</v>
      </c>
      <c r="AQ59" s="193"/>
      <c r="AR59" s="90"/>
      <c r="AS59" s="90"/>
      <c r="AT59" s="183">
        <f t="shared" si="24"/>
        <v>0</v>
      </c>
      <c r="AU59" s="193"/>
      <c r="AV59" s="90"/>
      <c r="AW59" s="90"/>
      <c r="AX59" s="183">
        <f t="shared" si="25"/>
        <v>0</v>
      </c>
      <c r="AY59" s="193"/>
      <c r="AZ59" s="90"/>
      <c r="BA59" s="90"/>
      <c r="BB59" s="183">
        <f t="shared" si="26"/>
        <v>0</v>
      </c>
      <c r="BC59" s="193"/>
      <c r="BD59" s="90"/>
      <c r="BE59" s="90"/>
      <c r="BF59" s="183">
        <f t="shared" si="27"/>
        <v>0</v>
      </c>
      <c r="BG59" s="193"/>
      <c r="BH59" s="90"/>
      <c r="BI59" s="90"/>
      <c r="BJ59" s="183">
        <f t="shared" si="28"/>
        <v>0</v>
      </c>
      <c r="BK59" s="193"/>
      <c r="BL59" s="90"/>
      <c r="BM59" s="90"/>
      <c r="BN59" s="183">
        <f t="shared" si="29"/>
        <v>0</v>
      </c>
      <c r="BO59" s="193"/>
      <c r="BP59" s="90"/>
      <c r="BQ59" s="90"/>
      <c r="BR59" s="183">
        <f t="shared" si="30"/>
        <v>0</v>
      </c>
      <c r="BS59" s="193"/>
      <c r="BT59" s="90"/>
      <c r="BU59" s="90"/>
      <c r="BV59" s="183">
        <f t="shared" si="31"/>
        <v>0</v>
      </c>
      <c r="BW59" s="193"/>
      <c r="BX59" s="90"/>
      <c r="BY59" s="90"/>
      <c r="BZ59" s="183">
        <f t="shared" si="32"/>
        <v>0</v>
      </c>
      <c r="CA59" s="193"/>
      <c r="CB59" s="90"/>
      <c r="CC59" s="90"/>
      <c r="CD59" s="183">
        <f t="shared" si="33"/>
        <v>0</v>
      </c>
    </row>
    <row r="60" spans="2:82" x14ac:dyDescent="0.3">
      <c r="B60" s="53"/>
      <c r="C60" s="53" t="str">
        <f t="shared" si="0"/>
        <v>CPU_Alambrado</v>
      </c>
      <c r="D60" s="278">
        <f t="shared" si="1"/>
        <v>0.1</v>
      </c>
      <c r="E60" s="278">
        <f t="shared" si="2"/>
        <v>0</v>
      </c>
      <c r="F60" s="1" t="s">
        <v>785</v>
      </c>
      <c r="G60" s="28" t="str">
        <f>IFERROR(VLOOKUP(F60,Tabela7[[RECURSO]:[CUSTO]],2,FALSE),"")</f>
        <v>KG</v>
      </c>
      <c r="I60" s="90">
        <f t="shared" si="41"/>
        <v>0</v>
      </c>
      <c r="J60" s="45">
        <f>IFERROR(VLOOKUP(F60,Tabela7[[RECURSO]:[CUSTO]],3,FALSE),0)</f>
        <v>15</v>
      </c>
      <c r="K60" s="45">
        <f t="shared" si="42"/>
        <v>0</v>
      </c>
      <c r="M60" s="354"/>
      <c r="N60" s="88"/>
      <c r="O60" s="31"/>
      <c r="P60" s="1"/>
      <c r="Q60" s="1"/>
      <c r="R60" s="1"/>
      <c r="S60" s="1"/>
      <c r="T60" s="1"/>
      <c r="U60" s="1"/>
      <c r="V60" s="1"/>
      <c r="W60" s="342"/>
      <c r="AD60" s="144" t="str">
        <f t="shared" si="3"/>
        <v>Alambrado</v>
      </c>
      <c r="AE60" s="192"/>
      <c r="AF60" s="180">
        <f t="shared" si="38"/>
        <v>0</v>
      </c>
      <c r="AG60" s="180">
        <f t="shared" si="17"/>
        <v>0</v>
      </c>
      <c r="AH60" s="181">
        <f t="shared" si="39"/>
        <v>0</v>
      </c>
      <c r="AI60" s="193"/>
      <c r="AJ60" s="90"/>
      <c r="AK60" s="90"/>
      <c r="AL60" s="183">
        <f t="shared" si="40"/>
        <v>0</v>
      </c>
      <c r="AM60" s="193"/>
      <c r="AN60" s="90"/>
      <c r="AO60" s="90"/>
      <c r="AP60" s="183">
        <f t="shared" si="23"/>
        <v>0</v>
      </c>
      <c r="AQ60" s="193"/>
      <c r="AR60" s="90"/>
      <c r="AS60" s="90"/>
      <c r="AT60" s="183">
        <f t="shared" si="24"/>
        <v>0</v>
      </c>
      <c r="AU60" s="193"/>
      <c r="AV60" s="90"/>
      <c r="AW60" s="90"/>
      <c r="AX60" s="183">
        <f t="shared" si="25"/>
        <v>0</v>
      </c>
      <c r="AY60" s="193"/>
      <c r="AZ60" s="90"/>
      <c r="BA60" s="90"/>
      <c r="BB60" s="183">
        <f t="shared" si="26"/>
        <v>0</v>
      </c>
      <c r="BC60" s="193"/>
      <c r="BD60" s="90"/>
      <c r="BE60" s="90"/>
      <c r="BF60" s="183">
        <f t="shared" si="27"/>
        <v>0</v>
      </c>
      <c r="BG60" s="193"/>
      <c r="BH60" s="90"/>
      <c r="BI60" s="90"/>
      <c r="BJ60" s="183">
        <f t="shared" si="28"/>
        <v>0</v>
      </c>
      <c r="BK60" s="193"/>
      <c r="BL60" s="90"/>
      <c r="BM60" s="90"/>
      <c r="BN60" s="183">
        <f t="shared" si="29"/>
        <v>0</v>
      </c>
      <c r="BO60" s="193"/>
      <c r="BP60" s="90"/>
      <c r="BQ60" s="90"/>
      <c r="BR60" s="183">
        <f t="shared" si="30"/>
        <v>0</v>
      </c>
      <c r="BS60" s="193"/>
      <c r="BT60" s="90"/>
      <c r="BU60" s="90"/>
      <c r="BV60" s="183">
        <f t="shared" si="31"/>
        <v>0</v>
      </c>
      <c r="BW60" s="193"/>
      <c r="BX60" s="90"/>
      <c r="BY60" s="90"/>
      <c r="BZ60" s="183">
        <f t="shared" si="32"/>
        <v>0</v>
      </c>
      <c r="CA60" s="193"/>
      <c r="CB60" s="90"/>
      <c r="CC60" s="90"/>
      <c r="CD60" s="183">
        <f t="shared" si="33"/>
        <v>0</v>
      </c>
    </row>
    <row r="61" spans="2:82" x14ac:dyDescent="0.3">
      <c r="B61" s="53"/>
      <c r="C61" s="53" t="str">
        <f t="shared" si="0"/>
        <v>CPU_Alambrado</v>
      </c>
      <c r="D61" s="278">
        <f t="shared" si="1"/>
        <v>0.1</v>
      </c>
      <c r="E61" s="278">
        <f t="shared" si="2"/>
        <v>0</v>
      </c>
      <c r="F61" s="1"/>
      <c r="G61" s="28" t="str">
        <f>IFERROR(VLOOKUP(F61,Tabela7[[RECURSO]:[CUSTO]],2,FALSE),"")</f>
        <v/>
      </c>
      <c r="I61" s="90">
        <f t="shared" si="41"/>
        <v>0</v>
      </c>
      <c r="J61" s="45">
        <f>IFERROR(VLOOKUP(F61,Tabela7[[RECURSO]:[CUSTO]],3,FALSE),0)</f>
        <v>0</v>
      </c>
      <c r="K61" s="45">
        <f t="shared" si="42"/>
        <v>0</v>
      </c>
      <c r="M61" s="85"/>
      <c r="N61" s="88"/>
      <c r="O61" s="31"/>
      <c r="P61" s="1"/>
      <c r="Q61" s="1"/>
      <c r="R61" s="1"/>
      <c r="S61" s="1"/>
      <c r="T61" s="1"/>
      <c r="U61" s="1"/>
      <c r="V61" s="1"/>
      <c r="W61" s="342"/>
      <c r="AD61" s="144" t="str">
        <f t="shared" si="3"/>
        <v>Alambrado</v>
      </c>
      <c r="AE61" s="192"/>
      <c r="AF61" s="180">
        <f t="shared" si="38"/>
        <v>0</v>
      </c>
      <c r="AG61" s="180">
        <f t="shared" si="17"/>
        <v>0</v>
      </c>
      <c r="AH61" s="181">
        <f t="shared" si="39"/>
        <v>0</v>
      </c>
      <c r="AI61" s="193"/>
      <c r="AJ61" s="90"/>
      <c r="AK61" s="90"/>
      <c r="AL61" s="183">
        <f t="shared" si="40"/>
        <v>0</v>
      </c>
      <c r="AM61" s="193"/>
      <c r="AN61" s="90"/>
      <c r="AO61" s="90"/>
      <c r="AP61" s="183">
        <f t="shared" si="23"/>
        <v>0</v>
      </c>
      <c r="AQ61" s="193"/>
      <c r="AR61" s="90"/>
      <c r="AS61" s="90"/>
      <c r="AT61" s="183">
        <f t="shared" si="24"/>
        <v>0</v>
      </c>
      <c r="AU61" s="193"/>
      <c r="AV61" s="90"/>
      <c r="AW61" s="90"/>
      <c r="AX61" s="183">
        <f t="shared" si="25"/>
        <v>0</v>
      </c>
      <c r="AY61" s="193"/>
      <c r="AZ61" s="90"/>
      <c r="BA61" s="90"/>
      <c r="BB61" s="183">
        <f t="shared" si="26"/>
        <v>0</v>
      </c>
      <c r="BC61" s="193"/>
      <c r="BD61" s="90"/>
      <c r="BE61" s="90"/>
      <c r="BF61" s="183">
        <f t="shared" si="27"/>
        <v>0</v>
      </c>
      <c r="BG61" s="193"/>
      <c r="BH61" s="90"/>
      <c r="BI61" s="90"/>
      <c r="BJ61" s="183">
        <f t="shared" si="28"/>
        <v>0</v>
      </c>
      <c r="BK61" s="193"/>
      <c r="BL61" s="90"/>
      <c r="BM61" s="90"/>
      <c r="BN61" s="183">
        <f t="shared" si="29"/>
        <v>0</v>
      </c>
      <c r="BO61" s="193"/>
      <c r="BP61" s="90"/>
      <c r="BQ61" s="90"/>
      <c r="BR61" s="183">
        <f t="shared" si="30"/>
        <v>0</v>
      </c>
      <c r="BS61" s="193"/>
      <c r="BT61" s="90"/>
      <c r="BU61" s="90"/>
      <c r="BV61" s="183">
        <f t="shared" si="31"/>
        <v>0</v>
      </c>
      <c r="BW61" s="193"/>
      <c r="BX61" s="90"/>
      <c r="BY61" s="90"/>
      <c r="BZ61" s="183">
        <f t="shared" si="32"/>
        <v>0</v>
      </c>
      <c r="CA61" s="193"/>
      <c r="CB61" s="90"/>
      <c r="CC61" s="90"/>
      <c r="CD61" s="183">
        <f t="shared" si="33"/>
        <v>0</v>
      </c>
    </row>
    <row r="62" spans="2:82" ht="15" thickBot="1" x14ac:dyDescent="0.35">
      <c r="B62" s="53"/>
      <c r="C62" s="53" t="str">
        <f t="shared" si="0"/>
        <v>CPU_Alambrado</v>
      </c>
      <c r="D62" s="278">
        <f t="shared" si="1"/>
        <v>0.1</v>
      </c>
      <c r="E62" s="278">
        <f t="shared" si="2"/>
        <v>0</v>
      </c>
      <c r="F62" s="1"/>
      <c r="G62" s="28" t="str">
        <f>IFERROR(VLOOKUP(F62,Tabela7[[RECURSO]:[CUSTO]],2,FALSE),"")</f>
        <v/>
      </c>
      <c r="I62" s="90">
        <f t="shared" si="41"/>
        <v>0</v>
      </c>
      <c r="J62" s="45">
        <f>IFERROR(VLOOKUP(F62,Tabela7[[RECURSO]:[CUSTO]],3,FALSE),0)</f>
        <v>0</v>
      </c>
      <c r="K62" s="45">
        <f t="shared" si="42"/>
        <v>0</v>
      </c>
      <c r="M62" s="86"/>
      <c r="N62" s="88"/>
      <c r="O62" s="51"/>
      <c r="P62" s="343"/>
      <c r="Q62" s="343"/>
      <c r="R62" s="343"/>
      <c r="S62" s="343"/>
      <c r="T62" s="343"/>
      <c r="U62" s="343"/>
      <c r="V62" s="343"/>
      <c r="W62" s="344"/>
      <c r="AD62" s="144" t="str">
        <f t="shared" si="3"/>
        <v>Alambrado</v>
      </c>
      <c r="AE62" s="194"/>
      <c r="AF62" s="195">
        <f t="shared" si="38"/>
        <v>0</v>
      </c>
      <c r="AG62" s="195">
        <f t="shared" si="17"/>
        <v>0</v>
      </c>
      <c r="AH62" s="196">
        <f t="shared" si="39"/>
        <v>0</v>
      </c>
      <c r="AI62" s="197"/>
      <c r="AJ62" s="198"/>
      <c r="AK62" s="198"/>
      <c r="AL62" s="199">
        <f t="shared" si="40"/>
        <v>0</v>
      </c>
      <c r="AM62" s="197"/>
      <c r="AN62" s="198"/>
      <c r="AO62" s="198"/>
      <c r="AP62" s="199">
        <f t="shared" si="23"/>
        <v>0</v>
      </c>
      <c r="AQ62" s="197"/>
      <c r="AR62" s="198"/>
      <c r="AS62" s="198"/>
      <c r="AT62" s="199">
        <f t="shared" si="24"/>
        <v>0</v>
      </c>
      <c r="AU62" s="197"/>
      <c r="AV62" s="198"/>
      <c r="AW62" s="198"/>
      <c r="AX62" s="199">
        <f t="shared" si="25"/>
        <v>0</v>
      </c>
      <c r="AY62" s="197"/>
      <c r="AZ62" s="198"/>
      <c r="BA62" s="198"/>
      <c r="BB62" s="199">
        <f t="shared" si="26"/>
        <v>0</v>
      </c>
      <c r="BC62" s="197"/>
      <c r="BD62" s="198"/>
      <c r="BE62" s="198"/>
      <c r="BF62" s="199">
        <f t="shared" si="27"/>
        <v>0</v>
      </c>
      <c r="BG62" s="197"/>
      <c r="BH62" s="198"/>
      <c r="BI62" s="198"/>
      <c r="BJ62" s="199">
        <f t="shared" si="28"/>
        <v>0</v>
      </c>
      <c r="BK62" s="197"/>
      <c r="BL62" s="198"/>
      <c r="BM62" s="198"/>
      <c r="BN62" s="199">
        <f t="shared" si="29"/>
        <v>0</v>
      </c>
      <c r="BO62" s="197"/>
      <c r="BP62" s="198"/>
      <c r="BQ62" s="198"/>
      <c r="BR62" s="199">
        <f t="shared" si="30"/>
        <v>0</v>
      </c>
      <c r="BS62" s="197"/>
      <c r="BT62" s="198"/>
      <c r="BU62" s="198"/>
      <c r="BV62" s="199">
        <f t="shared" si="31"/>
        <v>0</v>
      </c>
      <c r="BW62" s="197"/>
      <c r="BX62" s="198"/>
      <c r="BY62" s="198"/>
      <c r="BZ62" s="199">
        <f t="shared" si="32"/>
        <v>0</v>
      </c>
      <c r="CA62" s="197"/>
      <c r="CB62" s="198"/>
      <c r="CC62" s="198"/>
      <c r="CD62" s="199">
        <f t="shared" si="33"/>
        <v>0</v>
      </c>
    </row>
  </sheetData>
  <conditionalFormatting sqref="K6:K7">
    <cfRule type="iconSet" priority="14">
      <iconSet>
        <cfvo type="percent" val="0"/>
        <cfvo type="num" val="0"/>
        <cfvo type="num" val="0.02"/>
      </iconSet>
    </cfRule>
  </conditionalFormatting>
  <conditionalFormatting sqref="AH6:AH7">
    <cfRule type="iconSet" priority="13">
      <iconSet>
        <cfvo type="percent" val="0"/>
        <cfvo type="num" val="0"/>
        <cfvo type="num" val="0.02"/>
      </iconSet>
    </cfRule>
  </conditionalFormatting>
  <conditionalFormatting sqref="AL6:AL7">
    <cfRule type="iconSet" priority="12">
      <iconSet>
        <cfvo type="percent" val="0"/>
        <cfvo type="num" val="0"/>
        <cfvo type="num" val="0.02"/>
      </iconSet>
    </cfRule>
  </conditionalFormatting>
  <conditionalFormatting sqref="AP6:AP7">
    <cfRule type="iconSet" priority="11">
      <iconSet>
        <cfvo type="percent" val="0"/>
        <cfvo type="num" val="0"/>
        <cfvo type="num" val="0.02"/>
      </iconSet>
    </cfRule>
  </conditionalFormatting>
  <conditionalFormatting sqref="AT6:AT7">
    <cfRule type="iconSet" priority="10">
      <iconSet>
        <cfvo type="percent" val="0"/>
        <cfvo type="num" val="0"/>
        <cfvo type="num" val="0.02"/>
      </iconSet>
    </cfRule>
  </conditionalFormatting>
  <conditionalFormatting sqref="AX6:AX7">
    <cfRule type="iconSet" priority="9">
      <iconSet>
        <cfvo type="percent" val="0"/>
        <cfvo type="num" val="0"/>
        <cfvo type="num" val="0.02"/>
      </iconSet>
    </cfRule>
  </conditionalFormatting>
  <conditionalFormatting sqref="BB6:BB7">
    <cfRule type="iconSet" priority="8">
      <iconSet>
        <cfvo type="percent" val="0"/>
        <cfvo type="num" val="0"/>
        <cfvo type="num" val="0.02"/>
      </iconSet>
    </cfRule>
  </conditionalFormatting>
  <conditionalFormatting sqref="BF6:BF7">
    <cfRule type="iconSet" priority="7">
      <iconSet>
        <cfvo type="percent" val="0"/>
        <cfvo type="num" val="0"/>
        <cfvo type="num" val="0.02"/>
      </iconSet>
    </cfRule>
  </conditionalFormatting>
  <conditionalFormatting sqref="BJ6:BJ7">
    <cfRule type="iconSet" priority="6">
      <iconSet>
        <cfvo type="percent" val="0"/>
        <cfvo type="num" val="0"/>
        <cfvo type="num" val="0.02"/>
      </iconSet>
    </cfRule>
  </conditionalFormatting>
  <conditionalFormatting sqref="BN6:BN7">
    <cfRule type="iconSet" priority="5">
      <iconSet>
        <cfvo type="percent" val="0"/>
        <cfvo type="num" val="0"/>
        <cfvo type="num" val="0.02"/>
      </iconSet>
    </cfRule>
  </conditionalFormatting>
  <conditionalFormatting sqref="BR6:BR7">
    <cfRule type="iconSet" priority="4">
      <iconSet>
        <cfvo type="percent" val="0"/>
        <cfvo type="num" val="0"/>
        <cfvo type="num" val="0.02"/>
      </iconSet>
    </cfRule>
  </conditionalFormatting>
  <conditionalFormatting sqref="BV6:BV7">
    <cfRule type="iconSet" priority="3">
      <iconSet>
        <cfvo type="percent" val="0"/>
        <cfvo type="num" val="0"/>
        <cfvo type="num" val="0.02"/>
      </iconSet>
    </cfRule>
  </conditionalFormatting>
  <conditionalFormatting sqref="BZ6:BZ7">
    <cfRule type="iconSet" priority="2">
      <iconSet>
        <cfvo type="percent" val="0"/>
        <cfvo type="num" val="0"/>
        <cfvo type="num" val="0.02"/>
      </iconSet>
    </cfRule>
  </conditionalFormatting>
  <conditionalFormatting sqref="CD6:CD7">
    <cfRule type="iconSet" priority="1">
      <iconSet>
        <cfvo type="percent" val="0"/>
        <cfvo type="num" val="0"/>
        <cfvo type="num" val="0.02"/>
      </iconSet>
    </cfRule>
  </conditionalFormatting>
  <dataValidations count="5">
    <dataValidation type="list" allowBlank="1" showInputMessage="1" showErrorMessage="1" sqref="F51:F62" xr:uid="{033BAEEA-2F28-4136-B954-DF24623CF5D2}">
      <formula1>INDIRECT($B$50)</formula1>
    </dataValidation>
    <dataValidation type="list" allowBlank="1" showInputMessage="1" showErrorMessage="1" sqref="F38:F49" xr:uid="{4F55C4D2-EF4E-4776-AC53-445D954BDFC5}">
      <formula1>INDIRECT($B$37)</formula1>
    </dataValidation>
    <dataValidation type="list" allowBlank="1" showInputMessage="1" showErrorMessage="1" sqref="F25:F36" xr:uid="{2A2621FA-1F83-41C1-864B-E1464AE2FD07}">
      <formula1>INDIRECT($B$24)</formula1>
    </dataValidation>
    <dataValidation type="list" allowBlank="1" showInputMessage="1" showErrorMessage="1" sqref="F12:F23" xr:uid="{7F5A85AF-AA12-4A54-B5A0-AE3C7D12BC83}">
      <formula1>INDIRECT($B$11)</formula1>
    </dataValidation>
    <dataValidation type="list" allowBlank="1" showInputMessage="1" showErrorMessage="1" sqref="B3:E3" xr:uid="{763B5292-A61B-45F2-921C-ED4BDCAF12EB}">
      <formula1>INDIRECT($B$2)</formula1>
    </dataValidation>
  </dataValidations>
  <pageMargins left="0.51181102362204722" right="0.51181102362204722" top="0.19685039370078741" bottom="0.19685039370078741" header="0.31496062992125984" footer="0.31496062992125984"/>
  <pageSetup paperSize="9" scale="82" orientation="portrait" r:id="rId1"/>
  <colBreaks count="1" manualBreakCount="1">
    <brk id="11" max="1048575" man="1"/>
  </colBreaks>
  <drawing r:id="rId2"/>
  <legacyDrawing r:id="rId3"/>
  <tableParts count="2">
    <tablePart r:id="rId4"/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A488B-6044-4EA6-9D34-716D853D0A8D}">
  <sheetPr codeName="Plan26"/>
  <dimension ref="A1:CD62"/>
  <sheetViews>
    <sheetView showGridLines="0" zoomScaleNormal="100" workbookViewId="0">
      <pane xSplit="14" ySplit="10" topLeftCell="O49" activePane="bottomRight" state="frozen"/>
      <selection pane="topRight" activeCell="C28" activeCellId="1" sqref="E13 C28"/>
      <selection pane="bottomLeft" activeCell="C28" activeCellId="1" sqref="E13 C28"/>
      <selection pane="bottomRight" activeCell="O50" sqref="O50:W62"/>
    </sheetView>
  </sheetViews>
  <sheetFormatPr defaultRowHeight="14.4" x14ac:dyDescent="0.3"/>
  <cols>
    <col min="1" max="1" width="4.109375" customWidth="1"/>
    <col min="2" max="2" width="16.109375" customWidth="1"/>
    <col min="3" max="5" width="16.109375" hidden="1" customWidth="1"/>
    <col min="6" max="6" width="40.6640625" customWidth="1"/>
    <col min="7" max="7" width="10.6640625" style="28" customWidth="1"/>
    <col min="8" max="8" width="7.6640625" style="28" customWidth="1"/>
    <col min="9" max="11" width="10.6640625" customWidth="1"/>
    <col min="12" max="12" width="2.33203125" customWidth="1"/>
    <col min="13" max="14" width="12.6640625" customWidth="1"/>
    <col min="15" max="15" width="14" bestFit="1" customWidth="1"/>
    <col min="30" max="30" width="12.44140625" bestFit="1" customWidth="1"/>
    <col min="31" max="31" width="7.6640625" customWidth="1"/>
    <col min="32" max="32" width="9.33203125" bestFit="1" customWidth="1"/>
    <col min="33" max="34" width="10.6640625" customWidth="1"/>
    <col min="35" max="35" width="7.6640625" customWidth="1"/>
    <col min="36" max="36" width="9.33203125" customWidth="1"/>
    <col min="37" max="38" width="10.6640625" customWidth="1"/>
    <col min="40" max="40" width="9.33203125" customWidth="1"/>
    <col min="42" max="42" width="9.6640625" customWidth="1"/>
    <col min="44" max="44" width="9.33203125" customWidth="1"/>
    <col min="46" max="46" width="9.6640625" customWidth="1"/>
    <col min="48" max="48" width="9.33203125" customWidth="1"/>
    <col min="50" max="50" width="9.6640625" customWidth="1"/>
    <col min="52" max="52" width="9.33203125" customWidth="1"/>
    <col min="54" max="54" width="9.6640625" customWidth="1"/>
    <col min="56" max="56" width="9.33203125" customWidth="1"/>
    <col min="58" max="58" width="9.6640625" customWidth="1"/>
    <col min="60" max="60" width="9.33203125" customWidth="1"/>
    <col min="62" max="62" width="9.6640625" customWidth="1"/>
    <col min="64" max="64" width="9.33203125" customWidth="1"/>
    <col min="66" max="66" width="9.6640625" customWidth="1"/>
    <col min="68" max="68" width="9.33203125" customWidth="1"/>
    <col min="70" max="70" width="9.6640625" customWidth="1"/>
    <col min="72" max="72" width="10" customWidth="1"/>
    <col min="73" max="73" width="9.5546875" customWidth="1"/>
    <col min="74" max="74" width="10.44140625" customWidth="1"/>
    <col min="76" max="76" width="10" customWidth="1"/>
    <col min="77" max="77" width="9.5546875" customWidth="1"/>
    <col min="78" max="78" width="10.44140625" customWidth="1"/>
    <col min="80" max="80" width="10" customWidth="1"/>
    <col min="81" max="81" width="9.5546875" customWidth="1"/>
    <col min="82" max="82" width="10.44140625" customWidth="1"/>
  </cols>
  <sheetData>
    <row r="1" spans="1:82" ht="26.4" customHeight="1" thickBot="1" x14ac:dyDescent="0.35">
      <c r="AE1" s="163" t="s">
        <v>678</v>
      </c>
    </row>
    <row r="2" spans="1:82" x14ac:dyDescent="0.3">
      <c r="B2" s="64" t="s">
        <v>679</v>
      </c>
      <c r="C2" s="67"/>
      <c r="D2" s="67"/>
      <c r="E2" s="67"/>
      <c r="F2" s="65"/>
      <c r="G2" s="66"/>
      <c r="H2" s="66"/>
      <c r="I2" s="65"/>
      <c r="J2" s="67" t="s">
        <v>680</v>
      </c>
      <c r="K2" s="68" t="s">
        <v>681</v>
      </c>
      <c r="M2" s="227" t="s">
        <v>682</v>
      </c>
      <c r="N2" s="228" t="s">
        <v>683</v>
      </c>
      <c r="O2" s="234" t="s">
        <v>684</v>
      </c>
      <c r="AE2" s="164" t="s">
        <v>590</v>
      </c>
      <c r="AF2" s="165" t="s">
        <v>20</v>
      </c>
      <c r="AG2" s="67"/>
      <c r="AH2" s="68" t="s">
        <v>681</v>
      </c>
      <c r="AI2" s="166">
        <v>44927</v>
      </c>
      <c r="AJ2" s="165" t="s">
        <v>20</v>
      </c>
      <c r="AK2" s="67"/>
      <c r="AL2" s="68" t="s">
        <v>681</v>
      </c>
      <c r="AM2" s="166">
        <v>44958</v>
      </c>
      <c r="AN2" s="165" t="s">
        <v>20</v>
      </c>
      <c r="AO2" s="67"/>
      <c r="AP2" s="68" t="s">
        <v>681</v>
      </c>
      <c r="AQ2" s="166">
        <v>44986</v>
      </c>
      <c r="AR2" s="165" t="s">
        <v>20</v>
      </c>
      <c r="AS2" s="67"/>
      <c r="AT2" s="68" t="s">
        <v>681</v>
      </c>
      <c r="AU2" s="166">
        <v>45017</v>
      </c>
      <c r="AV2" s="165" t="s">
        <v>20</v>
      </c>
      <c r="AW2" s="67"/>
      <c r="AX2" s="68" t="s">
        <v>681</v>
      </c>
      <c r="AY2" s="166">
        <v>45047</v>
      </c>
      <c r="AZ2" s="165" t="s">
        <v>20</v>
      </c>
      <c r="BA2" s="67"/>
      <c r="BB2" s="68" t="s">
        <v>681</v>
      </c>
      <c r="BC2" s="166">
        <v>45078</v>
      </c>
      <c r="BD2" s="165" t="s">
        <v>20</v>
      </c>
      <c r="BE2" s="67"/>
      <c r="BF2" s="68" t="s">
        <v>681</v>
      </c>
      <c r="BG2" s="166">
        <v>45108</v>
      </c>
      <c r="BH2" s="165" t="s">
        <v>20</v>
      </c>
      <c r="BI2" s="67"/>
      <c r="BJ2" s="68" t="s">
        <v>681</v>
      </c>
      <c r="BK2" s="166">
        <v>45139</v>
      </c>
      <c r="BL2" s="165" t="s">
        <v>20</v>
      </c>
      <c r="BM2" s="67"/>
      <c r="BN2" s="68" t="s">
        <v>681</v>
      </c>
      <c r="BO2" s="166">
        <v>45170</v>
      </c>
      <c r="BP2" s="165" t="s">
        <v>20</v>
      </c>
      <c r="BQ2" s="67"/>
      <c r="BR2" s="68" t="s">
        <v>681</v>
      </c>
      <c r="BS2" s="166">
        <v>45200</v>
      </c>
      <c r="BT2" s="165" t="s">
        <v>20</v>
      </c>
      <c r="BU2" s="67"/>
      <c r="BV2" s="68" t="s">
        <v>681</v>
      </c>
      <c r="BW2" s="166">
        <v>45231</v>
      </c>
      <c r="BX2" s="165" t="s">
        <v>20</v>
      </c>
      <c r="BY2" s="67"/>
      <c r="BZ2" s="68" t="s">
        <v>681</v>
      </c>
      <c r="CA2" s="166">
        <v>45261</v>
      </c>
      <c r="CB2" s="165" t="s">
        <v>20</v>
      </c>
      <c r="CC2" s="67"/>
      <c r="CD2" s="68" t="s">
        <v>681</v>
      </c>
    </row>
    <row r="3" spans="1:82" x14ac:dyDescent="0.3">
      <c r="A3" s="42" t="str">
        <f>"CPU_"&amp;LEFT(SUBSTITUTE(SUBSTITUTE(B3," ",""),"-",""),20)</f>
        <v>CPU_SinalizaçãoverticalS</v>
      </c>
      <c r="B3" s="31" t="s">
        <v>816</v>
      </c>
      <c r="C3" s="1"/>
      <c r="D3" s="1"/>
      <c r="E3" s="1"/>
      <c r="F3" s="73"/>
      <c r="G3" s="74"/>
      <c r="H3" s="74"/>
      <c r="I3" s="73"/>
      <c r="J3" s="74" t="str">
        <f>IFERROR(VLOOKUP(B3,Tabela1[[NOME SERVIÇO]:[UNID]],4,0),"")</f>
        <v>UNID</v>
      </c>
      <c r="K3" s="75">
        <f>IFERROR(J6/B6,0)</f>
        <v>22197.777777777777</v>
      </c>
      <c r="M3" s="229" t="s">
        <v>685</v>
      </c>
      <c r="N3" s="230">
        <f>K11</f>
        <v>0</v>
      </c>
      <c r="O3" s="235">
        <f>IFERROR(N3/$N$7,0)</f>
        <v>0</v>
      </c>
      <c r="AE3" s="167"/>
      <c r="AF3" s="168">
        <f>AJ3+AN3+AR3+AV3+AZ3+BD3+BH3+BL3+BP3+BT3+BX3+CB3</f>
        <v>0</v>
      </c>
      <c r="AG3" s="74"/>
      <c r="AH3" s="75">
        <f>IFERROR((AG6/AF3),0)</f>
        <v>0</v>
      </c>
      <c r="AI3" s="167"/>
      <c r="AJ3" s="168">
        <f>IFERROR(SUMPRODUCT(Plan_Orc!$I$4:$I$2002*Plan_Orc!$AB$4:$AB$2002*(Plan_Orc!$D$4:$D$2002=$B3)),0)</f>
        <v>0</v>
      </c>
      <c r="AK3" s="74"/>
      <c r="AL3" s="75">
        <f>IFERROR((AK6/AJ3),0)</f>
        <v>0</v>
      </c>
      <c r="AM3" s="167"/>
      <c r="AN3" s="168">
        <f>IFERROR(SUMPRODUCT(Plan_Orc!$I$4:$I$2002*Plan_Orc!$AC$4:$AC$2002*(Plan_Orc!$D$4:$D$2002=$B3)),0)</f>
        <v>0</v>
      </c>
      <c r="AO3" s="74"/>
      <c r="AP3" s="75">
        <f>IFERROR((AO6/AN3),0)</f>
        <v>0</v>
      </c>
      <c r="AQ3" s="167"/>
      <c r="AR3" s="168">
        <f>IFERROR(SUMPRODUCT(Plan_Orc!$I$4:$I$2002*Plan_Orc!$AD$4:$AD$2002*(Plan_Orc!$D$4:$D$2002=$B3)),0)</f>
        <v>0</v>
      </c>
      <c r="AS3" s="74"/>
      <c r="AT3" s="75">
        <f>IFERROR((AS6/AR3),0)</f>
        <v>0</v>
      </c>
      <c r="AU3" s="167"/>
      <c r="AV3" s="168">
        <f>IFERROR(SUMPRODUCT(Plan_Orc!$I$4:$I$2002*Plan_Orc!$AE$4:$AE$2002*(Plan_Orc!$D$4:$D$2002=$B3)),0)</f>
        <v>0</v>
      </c>
      <c r="AW3" s="74"/>
      <c r="AX3" s="75">
        <f>IFERROR((AW6/AV3),0)</f>
        <v>0</v>
      </c>
      <c r="AY3" s="167"/>
      <c r="AZ3" s="168">
        <f>IFERROR(SUMPRODUCT(Plan_Orc!$I$4:$I$2002*Plan_Orc!$AF$4:$AF$2002*(Plan_Orc!$D$4:$D$2002=$B3)),0)</f>
        <v>0</v>
      </c>
      <c r="BA3" s="74"/>
      <c r="BB3" s="75">
        <f>IFERROR((BA6/AZ3),0)</f>
        <v>0</v>
      </c>
      <c r="BC3" s="167"/>
      <c r="BD3" s="168">
        <f>IFERROR(SUMPRODUCT(Plan_Orc!$I$4:$I$2002*Plan_Orc!$AG$4:$AG$2002*(Plan_Orc!$D$4:$D$2002=$B3)),0)</f>
        <v>0</v>
      </c>
      <c r="BE3" s="74"/>
      <c r="BF3" s="75">
        <f>IFERROR((BE6/BD3),0)</f>
        <v>0</v>
      </c>
      <c r="BG3" s="167"/>
      <c r="BH3" s="168">
        <f>IFERROR(SUMPRODUCT(Plan_Orc!$I$4:$I$2002*Plan_Orc!$AH$4:$AH$2002*(Plan_Orc!$D$4:$D$2002=$B3)),0)</f>
        <v>0</v>
      </c>
      <c r="BI3" s="74"/>
      <c r="BJ3" s="75">
        <f>IFERROR((BI6/BH3),0)</f>
        <v>0</v>
      </c>
      <c r="BK3" s="167"/>
      <c r="BL3" s="168">
        <f>IFERROR(SUMPRODUCT(Plan_Orc!$I$4:$I$2002*Plan_Orc!$AI$4:$AI$2002*(Plan_Orc!$D$4:$D$2002=$B3)),0)</f>
        <v>0</v>
      </c>
      <c r="BM3" s="74"/>
      <c r="BN3" s="75">
        <f>IFERROR((BM6/BL3),0)</f>
        <v>0</v>
      </c>
      <c r="BO3" s="167"/>
      <c r="BP3" s="168">
        <f>IFERROR(SUMPRODUCT(Plan_Orc!$I$4:$I$2002*Plan_Orc!$AJ$4:$AJ$2002*(Plan_Orc!$D$4:$D$2002=$B3)),0)</f>
        <v>0</v>
      </c>
      <c r="BQ3" s="74"/>
      <c r="BR3" s="75">
        <f>IFERROR((BQ6/BP3),0)</f>
        <v>0</v>
      </c>
      <c r="BS3" s="167"/>
      <c r="BT3" s="168">
        <f>IFERROR(SUMPRODUCT(Plan_Orc!$I$4:$I$2002*Plan_Orc!$AK$4:$AK$2002*(Plan_Orc!$D$4:$D$2002=$B3)),0)</f>
        <v>0</v>
      </c>
      <c r="BU3" s="74"/>
      <c r="BV3" s="75">
        <f>IFERROR((BU6/BT3),0)</f>
        <v>0</v>
      </c>
      <c r="BW3" s="167"/>
      <c r="BX3" s="168">
        <f>IFERROR(SUMPRODUCT(Plan_Orc!$I$4:$I$2002*Plan_Orc!$AL$4:$AL$2002*(Plan_Orc!$D$4:$D$2002=$B3)),0)</f>
        <v>0</v>
      </c>
      <c r="BY3" s="74"/>
      <c r="BZ3" s="75">
        <f>IFERROR((BY6/BX3),0)</f>
        <v>0</v>
      </c>
      <c r="CA3" s="167"/>
      <c r="CB3" s="168">
        <f>IFERROR(SUMPRODUCT(Plan_Orc!$I$4:$I$2002*Plan_Orc!$AM$4:$AM$2002*(Plan_Orc!$D$4:$D$2002=$B3)),0)</f>
        <v>0</v>
      </c>
      <c r="CC3" s="74"/>
      <c r="CD3" s="75">
        <f>IFERROR((CC6/CB3),0)</f>
        <v>0</v>
      </c>
    </row>
    <row r="4" spans="1:82" x14ac:dyDescent="0.3">
      <c r="B4" s="32"/>
      <c r="K4" s="30"/>
      <c r="M4" s="229" t="s">
        <v>686</v>
      </c>
      <c r="N4" s="230">
        <f>+K24</f>
        <v>0</v>
      </c>
      <c r="O4" s="235">
        <f>IFERROR(N4/$N$7,0)</f>
        <v>0</v>
      </c>
      <c r="AE4" s="169"/>
      <c r="AH4" s="30"/>
      <c r="AI4" s="169"/>
      <c r="AL4" s="30"/>
      <c r="AM4" s="169"/>
      <c r="AP4" s="30"/>
      <c r="AQ4" s="169"/>
      <c r="AT4" s="30"/>
      <c r="AU4" s="169"/>
      <c r="AX4" s="30"/>
      <c r="AY4" s="169"/>
      <c r="BB4" s="30"/>
      <c r="BC4" s="169"/>
      <c r="BF4" s="30"/>
      <c r="BG4" s="169"/>
      <c r="BJ4" s="30"/>
      <c r="BK4" s="169"/>
      <c r="BN4" s="30"/>
      <c r="BO4" s="169"/>
      <c r="BR4" s="30"/>
      <c r="BS4" s="169"/>
      <c r="BV4" s="30"/>
      <c r="BW4" s="169"/>
      <c r="BZ4" s="30"/>
      <c r="CA4" s="169"/>
      <c r="CD4" s="30"/>
    </row>
    <row r="5" spans="1:82" x14ac:dyDescent="0.3">
      <c r="B5" s="69" t="s">
        <v>687</v>
      </c>
      <c r="C5" s="72"/>
      <c r="D5" s="72"/>
      <c r="E5" s="72"/>
      <c r="F5" s="70" t="s">
        <v>688</v>
      </c>
      <c r="G5" s="70" t="s">
        <v>689</v>
      </c>
      <c r="H5" s="70" t="s">
        <v>690</v>
      </c>
      <c r="I5" s="70" t="s">
        <v>691</v>
      </c>
      <c r="J5" s="70" t="s">
        <v>683</v>
      </c>
      <c r="K5" s="71" t="s">
        <v>593</v>
      </c>
      <c r="M5" s="229" t="s">
        <v>692</v>
      </c>
      <c r="N5" s="230">
        <f>+K37</f>
        <v>0</v>
      </c>
      <c r="O5" s="235">
        <f>IFERROR(N5/$N$7,0)</f>
        <v>0</v>
      </c>
      <c r="AE5" s="170"/>
      <c r="AF5" s="70" t="s">
        <v>691</v>
      </c>
      <c r="AG5" s="70" t="s">
        <v>683</v>
      </c>
      <c r="AH5" s="71" t="s">
        <v>593</v>
      </c>
      <c r="AI5" s="170"/>
      <c r="AJ5" s="70" t="s">
        <v>691</v>
      </c>
      <c r="AK5" s="70" t="s">
        <v>683</v>
      </c>
      <c r="AL5" s="71" t="s">
        <v>593</v>
      </c>
      <c r="AM5" s="170"/>
      <c r="AN5" s="70" t="s">
        <v>691</v>
      </c>
      <c r="AO5" s="70" t="s">
        <v>683</v>
      </c>
      <c r="AP5" s="71" t="s">
        <v>593</v>
      </c>
      <c r="AQ5" s="170"/>
      <c r="AR5" s="70" t="s">
        <v>691</v>
      </c>
      <c r="AS5" s="70" t="s">
        <v>683</v>
      </c>
      <c r="AT5" s="71" t="s">
        <v>593</v>
      </c>
      <c r="AU5" s="170"/>
      <c r="AV5" s="70" t="s">
        <v>691</v>
      </c>
      <c r="AW5" s="70" t="s">
        <v>683</v>
      </c>
      <c r="AX5" s="71" t="s">
        <v>593</v>
      </c>
      <c r="AY5" s="170"/>
      <c r="AZ5" s="70" t="s">
        <v>691</v>
      </c>
      <c r="BA5" s="70" t="s">
        <v>683</v>
      </c>
      <c r="BB5" s="71" t="s">
        <v>593</v>
      </c>
      <c r="BC5" s="170"/>
      <c r="BD5" s="70" t="s">
        <v>691</v>
      </c>
      <c r="BE5" s="70" t="s">
        <v>683</v>
      </c>
      <c r="BF5" s="71" t="s">
        <v>593</v>
      </c>
      <c r="BG5" s="170"/>
      <c r="BH5" s="70" t="s">
        <v>691</v>
      </c>
      <c r="BI5" s="70" t="s">
        <v>683</v>
      </c>
      <c r="BJ5" s="71" t="s">
        <v>593</v>
      </c>
      <c r="BK5" s="170"/>
      <c r="BL5" s="70" t="s">
        <v>691</v>
      </c>
      <c r="BM5" s="70" t="s">
        <v>683</v>
      </c>
      <c r="BN5" s="71" t="s">
        <v>593</v>
      </c>
      <c r="BO5" s="170"/>
      <c r="BP5" s="70" t="s">
        <v>691</v>
      </c>
      <c r="BQ5" s="70" t="s">
        <v>683</v>
      </c>
      <c r="BR5" s="71" t="s">
        <v>593</v>
      </c>
      <c r="BS5" s="170"/>
      <c r="BT5" s="70" t="s">
        <v>691</v>
      </c>
      <c r="BU5" s="70" t="s">
        <v>683</v>
      </c>
      <c r="BV5" s="71" t="s">
        <v>593</v>
      </c>
      <c r="BW5" s="170"/>
      <c r="BX5" s="70" t="s">
        <v>691</v>
      </c>
      <c r="BY5" s="70" t="s">
        <v>683</v>
      </c>
      <c r="BZ5" s="71" t="s">
        <v>593</v>
      </c>
      <c r="CA5" s="170"/>
      <c r="CB5" s="70" t="s">
        <v>691</v>
      </c>
      <c r="CC5" s="70" t="s">
        <v>683</v>
      </c>
      <c r="CD5" s="71" t="s">
        <v>593</v>
      </c>
    </row>
    <row r="6" spans="1:82" s="2" customFormat="1" ht="30" customHeight="1" x14ac:dyDescent="0.3">
      <c r="B6" s="33">
        <v>1</v>
      </c>
      <c r="C6" s="275"/>
      <c r="D6" s="275"/>
      <c r="E6" s="275"/>
      <c r="F6" s="27"/>
      <c r="G6" s="35">
        <v>1</v>
      </c>
      <c r="H6" s="81" t="s">
        <v>347</v>
      </c>
      <c r="I6" s="55">
        <f>IFERROR(I7/B7*B6,0)</f>
        <v>0</v>
      </c>
      <c r="J6" s="55">
        <f>K11+K24+K37+K50</f>
        <v>22197.777777777777</v>
      </c>
      <c r="K6" s="56">
        <f>IFERROR((I6-J6)/I6-PARAMETROS!C19,0)</f>
        <v>0</v>
      </c>
      <c r="M6" s="229" t="s">
        <v>693</v>
      </c>
      <c r="N6" s="230">
        <f>+K50</f>
        <v>22197.777777777777</v>
      </c>
      <c r="O6" s="235">
        <f>IFERROR(N6/$N$7,0)</f>
        <v>1</v>
      </c>
      <c r="AE6" s="171"/>
      <c r="AF6" s="55">
        <f>AJ6+AN6+AR6+AV6+AZ6+BD6+BH6+BL6+BP6+BT6+BX6+CB6</f>
        <v>0</v>
      </c>
      <c r="AG6" s="55">
        <f>AH11+AH24+AH37+AH50</f>
        <v>0</v>
      </c>
      <c r="AH6" s="56">
        <f>IFERROR((AF6-AG6)/AF6,0)</f>
        <v>0</v>
      </c>
      <c r="AI6" s="171"/>
      <c r="AJ6" s="55"/>
      <c r="AK6" s="55">
        <f>AL11+AL24+AL37+AL50</f>
        <v>0</v>
      </c>
      <c r="AL6" s="56">
        <f>IFERROR((AJ6-AK6)/AJ6,0)</f>
        <v>0</v>
      </c>
      <c r="AM6" s="171"/>
      <c r="AN6" s="55"/>
      <c r="AO6" s="55">
        <f>AP11+AP24+AP37+AP50</f>
        <v>0</v>
      </c>
      <c r="AP6" s="56">
        <f>IFERROR((AN6-AO6)/AN6,0)</f>
        <v>0</v>
      </c>
      <c r="AQ6" s="171"/>
      <c r="AR6" s="55"/>
      <c r="AS6" s="55">
        <f>AT11+AT24+AT37+AT50</f>
        <v>0</v>
      </c>
      <c r="AT6" s="56">
        <f>IFERROR((AR6-AS6)/AR6,0)</f>
        <v>0</v>
      </c>
      <c r="AU6" s="171"/>
      <c r="AV6" s="55"/>
      <c r="AW6" s="55">
        <f>AX11+AX24+AX37+AX50</f>
        <v>0</v>
      </c>
      <c r="AX6" s="56">
        <f>IFERROR((AV6-AW6)/AV6,0)</f>
        <v>0</v>
      </c>
      <c r="AY6" s="171"/>
      <c r="AZ6" s="55"/>
      <c r="BA6" s="55">
        <f>BB11+BB24+BB37+BB50</f>
        <v>0</v>
      </c>
      <c r="BB6" s="56">
        <f>IFERROR((AZ6-BA6)/AZ6,0)</f>
        <v>0</v>
      </c>
      <c r="BC6" s="171"/>
      <c r="BD6" s="55"/>
      <c r="BE6" s="55">
        <f>BF11+BF24+BF37+BF50</f>
        <v>0</v>
      </c>
      <c r="BF6" s="56">
        <f>IFERROR((BD6-BE6)/BD6,0)</f>
        <v>0</v>
      </c>
      <c r="BG6" s="171"/>
      <c r="BH6" s="55"/>
      <c r="BI6" s="55">
        <f>BJ11+BJ24+BJ37+BJ50</f>
        <v>0</v>
      </c>
      <c r="BJ6" s="56">
        <f>IFERROR((BH6-BI6)/BH6,0)</f>
        <v>0</v>
      </c>
      <c r="BK6" s="171"/>
      <c r="BL6" s="55"/>
      <c r="BM6" s="55">
        <f>BN11+BN24+BN37+BN50</f>
        <v>0</v>
      </c>
      <c r="BN6" s="56">
        <f>IFERROR((BL6-BM6)/BL6,0)</f>
        <v>0</v>
      </c>
      <c r="BO6" s="171"/>
      <c r="BP6" s="55"/>
      <c r="BQ6" s="55">
        <f>BR11+BR24+BR37+BR50</f>
        <v>0</v>
      </c>
      <c r="BR6" s="56">
        <f>IFERROR((BP6-BQ6)/BP6,0)</f>
        <v>0</v>
      </c>
      <c r="BS6" s="171"/>
      <c r="BT6" s="55"/>
      <c r="BU6" s="55">
        <f>BV11+BV24+BV37+BV50</f>
        <v>0</v>
      </c>
      <c r="BV6" s="56">
        <f>IFERROR((BT6-BU6)/BT6,0)</f>
        <v>0</v>
      </c>
      <c r="BW6" s="171"/>
      <c r="BX6" s="55"/>
      <c r="BY6" s="55">
        <f>BZ11+BZ24+BZ37+BZ50</f>
        <v>0</v>
      </c>
      <c r="BZ6" s="56">
        <f>IFERROR((BX6-BY6)/BX6,0)</f>
        <v>0</v>
      </c>
      <c r="CA6" s="171"/>
      <c r="CB6" s="55"/>
      <c r="CC6" s="55">
        <f>CD11+CD24+CD37+CD50</f>
        <v>0</v>
      </c>
      <c r="CD6" s="56">
        <f>IFERROR((CB6-CC6)/CB6,0)</f>
        <v>0</v>
      </c>
    </row>
    <row r="7" spans="1:82" s="2" customFormat="1" ht="30" customHeight="1" thickBot="1" x14ac:dyDescent="0.35">
      <c r="B7" s="34">
        <f>IFERROR(VLOOKUP(B3,Lucratividade!G4:N853,2,0),0)</f>
        <v>0</v>
      </c>
      <c r="C7" s="276"/>
      <c r="D7" s="276"/>
      <c r="E7" s="276"/>
      <c r="F7" s="50"/>
      <c r="G7" s="36">
        <f>IFERROR(B7/B6,0)</f>
        <v>0</v>
      </c>
      <c r="H7" s="82" t="s">
        <v>347</v>
      </c>
      <c r="I7" s="57">
        <f>IFERROR(VLOOKUP(B3,Lucratividade!G4:N132,6,0),0)</f>
        <v>0</v>
      </c>
      <c r="J7" s="58">
        <f>B7*K3</f>
        <v>0</v>
      </c>
      <c r="K7" s="59">
        <f>IFERROR((I7-J7)/I7-PARAMETROS!C19,0)</f>
        <v>0</v>
      </c>
      <c r="M7" s="231" t="s">
        <v>694</v>
      </c>
      <c r="N7" s="232">
        <f>SUM(N3:N6)</f>
        <v>22197.777777777777</v>
      </c>
      <c r="O7" s="236"/>
      <c r="AE7" s="172"/>
      <c r="AF7" s="57"/>
      <c r="AG7" s="58"/>
      <c r="AH7" s="59"/>
      <c r="AI7" s="172"/>
      <c r="AJ7" s="57"/>
      <c r="AK7" s="58"/>
      <c r="AL7" s="59"/>
      <c r="AM7" s="172"/>
      <c r="AN7" s="57"/>
      <c r="AO7" s="58"/>
      <c r="AP7" s="59"/>
      <c r="AQ7" s="172"/>
      <c r="AR7" s="57"/>
      <c r="AS7" s="58"/>
      <c r="AT7" s="59"/>
      <c r="AU7" s="172"/>
      <c r="AV7" s="57"/>
      <c r="AW7" s="58"/>
      <c r="AX7" s="59"/>
      <c r="AY7" s="172"/>
      <c r="AZ7" s="57"/>
      <c r="BA7" s="58"/>
      <c r="BB7" s="59"/>
      <c r="BC7" s="172"/>
      <c r="BD7" s="57"/>
      <c r="BE7" s="58"/>
      <c r="BF7" s="59"/>
      <c r="BG7" s="172"/>
      <c r="BH7" s="57"/>
      <c r="BI7" s="58"/>
      <c r="BJ7" s="59"/>
      <c r="BK7" s="172"/>
      <c r="BL7" s="57"/>
      <c r="BM7" s="58"/>
      <c r="BN7" s="59"/>
      <c r="BO7" s="172"/>
      <c r="BP7" s="57"/>
      <c r="BQ7" s="58"/>
      <c r="BR7" s="59"/>
      <c r="BS7" s="172"/>
      <c r="BT7" s="57"/>
      <c r="BU7" s="58"/>
      <c r="BV7" s="59"/>
      <c r="BW7" s="172"/>
      <c r="BX7" s="57"/>
      <c r="BY7" s="58"/>
      <c r="BZ7" s="59"/>
      <c r="CA7" s="172"/>
      <c r="CB7" s="57"/>
      <c r="CC7" s="58"/>
      <c r="CD7" s="59"/>
    </row>
    <row r="8" spans="1:82" ht="4.2" customHeight="1" x14ac:dyDescent="0.3">
      <c r="AE8" s="28"/>
      <c r="AI8" s="28"/>
      <c r="AM8" s="28"/>
      <c r="AQ8" s="28"/>
      <c r="AU8" s="28"/>
      <c r="AY8" s="28"/>
      <c r="BC8" s="28"/>
      <c r="BG8" s="28"/>
      <c r="BK8" s="28"/>
      <c r="BO8" s="28"/>
      <c r="BS8" s="28"/>
      <c r="BW8" s="28"/>
      <c r="CA8" s="28"/>
    </row>
    <row r="9" spans="1:82" ht="4.95" customHeight="1" thickBot="1" x14ac:dyDescent="0.35">
      <c r="AE9" s="28"/>
      <c r="AI9" s="28"/>
      <c r="AM9" s="28"/>
      <c r="AQ9" s="28"/>
      <c r="AU9" s="28"/>
      <c r="AY9" s="28"/>
      <c r="BC9" s="28"/>
      <c r="BG9" s="28"/>
      <c r="BK9" s="28"/>
      <c r="BO9" s="28"/>
      <c r="BS9" s="28"/>
      <c r="BW9" s="28"/>
      <c r="CA9" s="28"/>
    </row>
    <row r="10" spans="1:82" ht="15" thickBot="1" x14ac:dyDescent="0.35">
      <c r="B10" s="72" t="s">
        <v>695</v>
      </c>
      <c r="C10" s="72" t="s">
        <v>679</v>
      </c>
      <c r="D10" s="72" t="s">
        <v>696</v>
      </c>
      <c r="E10" s="72" t="s">
        <v>697</v>
      </c>
      <c r="F10" s="72" t="s">
        <v>17</v>
      </c>
      <c r="G10" s="70" t="s">
        <v>690</v>
      </c>
      <c r="H10" s="70" t="s">
        <v>698</v>
      </c>
      <c r="I10" s="72" t="s">
        <v>20</v>
      </c>
      <c r="J10" s="72" t="s">
        <v>699</v>
      </c>
      <c r="K10" s="72" t="s">
        <v>700</v>
      </c>
      <c r="M10" s="83" t="s">
        <v>701</v>
      </c>
      <c r="N10" s="87" t="s">
        <v>702</v>
      </c>
      <c r="AD10" s="173" t="s">
        <v>703</v>
      </c>
      <c r="AE10" s="170" t="s">
        <v>698</v>
      </c>
      <c r="AF10" s="70" t="s">
        <v>20</v>
      </c>
      <c r="AG10" s="70" t="s">
        <v>699</v>
      </c>
      <c r="AH10" s="70" t="s">
        <v>700</v>
      </c>
      <c r="AI10" s="173" t="s">
        <v>704</v>
      </c>
      <c r="AJ10" s="174" t="s">
        <v>705</v>
      </c>
      <c r="AK10" s="174" t="s">
        <v>706</v>
      </c>
      <c r="AL10" s="175" t="s">
        <v>707</v>
      </c>
      <c r="AM10" s="173" t="s">
        <v>708</v>
      </c>
      <c r="AN10" s="174" t="s">
        <v>709</v>
      </c>
      <c r="AO10" s="174" t="s">
        <v>710</v>
      </c>
      <c r="AP10" s="175" t="s">
        <v>711</v>
      </c>
      <c r="AQ10" s="173" t="s">
        <v>712</v>
      </c>
      <c r="AR10" s="174" t="s">
        <v>713</v>
      </c>
      <c r="AS10" s="174" t="s">
        <v>714</v>
      </c>
      <c r="AT10" s="175" t="s">
        <v>715</v>
      </c>
      <c r="AU10" s="173" t="s">
        <v>716</v>
      </c>
      <c r="AV10" s="174" t="s">
        <v>717</v>
      </c>
      <c r="AW10" s="174" t="s">
        <v>718</v>
      </c>
      <c r="AX10" s="175" t="s">
        <v>719</v>
      </c>
      <c r="AY10" s="173" t="s">
        <v>720</v>
      </c>
      <c r="AZ10" s="174" t="s">
        <v>721</v>
      </c>
      <c r="BA10" s="174" t="s">
        <v>722</v>
      </c>
      <c r="BB10" s="175" t="s">
        <v>723</v>
      </c>
      <c r="BC10" s="173" t="s">
        <v>724</v>
      </c>
      <c r="BD10" s="174" t="s">
        <v>725</v>
      </c>
      <c r="BE10" s="174" t="s">
        <v>726</v>
      </c>
      <c r="BF10" s="175" t="s">
        <v>727</v>
      </c>
      <c r="BG10" s="173" t="s">
        <v>728</v>
      </c>
      <c r="BH10" s="174" t="s">
        <v>729</v>
      </c>
      <c r="BI10" s="174" t="s">
        <v>730</v>
      </c>
      <c r="BJ10" s="175" t="s">
        <v>731</v>
      </c>
      <c r="BK10" s="173" t="s">
        <v>732</v>
      </c>
      <c r="BL10" s="174" t="s">
        <v>733</v>
      </c>
      <c r="BM10" s="174" t="s">
        <v>734</v>
      </c>
      <c r="BN10" s="175" t="s">
        <v>735</v>
      </c>
      <c r="BO10" s="173" t="s">
        <v>736</v>
      </c>
      <c r="BP10" s="174" t="s">
        <v>737</v>
      </c>
      <c r="BQ10" s="174" t="s">
        <v>738</v>
      </c>
      <c r="BR10" s="175" t="s">
        <v>739</v>
      </c>
      <c r="BS10" s="173" t="s">
        <v>740</v>
      </c>
      <c r="BT10" s="174" t="s">
        <v>741</v>
      </c>
      <c r="BU10" s="174" t="s">
        <v>742</v>
      </c>
      <c r="BV10" s="175" t="s">
        <v>743</v>
      </c>
      <c r="BW10" s="173" t="s">
        <v>744</v>
      </c>
      <c r="BX10" s="174" t="s">
        <v>745</v>
      </c>
      <c r="BY10" s="174" t="s">
        <v>746</v>
      </c>
      <c r="BZ10" s="175" t="s">
        <v>747</v>
      </c>
      <c r="CA10" s="173" t="s">
        <v>748</v>
      </c>
      <c r="CB10" s="174" t="s">
        <v>749</v>
      </c>
      <c r="CC10" s="174" t="s">
        <v>750</v>
      </c>
      <c r="CD10" s="174" t="s">
        <v>751</v>
      </c>
    </row>
    <row r="11" spans="1:82" x14ac:dyDescent="0.3">
      <c r="B11" s="52" t="s">
        <v>752</v>
      </c>
      <c r="C11" s="52" t="str">
        <f t="shared" ref="C11:C62" si="0">$A$3</f>
        <v>CPU_SinalizaçãoverticalS</v>
      </c>
      <c r="D11" s="277">
        <f t="shared" ref="D11:D62" si="1">$B$6</f>
        <v>1</v>
      </c>
      <c r="E11" s="277">
        <f t="shared" ref="E11:E62" si="2">$B$7</f>
        <v>0</v>
      </c>
      <c r="F11" s="37"/>
      <c r="G11" s="38"/>
      <c r="H11" s="91"/>
      <c r="I11" s="40"/>
      <c r="J11" s="40">
        <f>IFERROR(K11/$B$6,0)</f>
        <v>0</v>
      </c>
      <c r="K11" s="40">
        <f>SUM(K12:K23)</f>
        <v>0</v>
      </c>
      <c r="M11" s="294" t="s">
        <v>753</v>
      </c>
      <c r="N11" s="295" t="s">
        <v>754</v>
      </c>
      <c r="O11" s="296" t="s">
        <v>755</v>
      </c>
      <c r="AD11" s="144" t="str">
        <f>$B$3</f>
        <v>Sinalização vertical SAUS</v>
      </c>
      <c r="AE11" s="176"/>
      <c r="AF11" s="177"/>
      <c r="AG11" s="177">
        <f>IFERROR(AH11/AF$3,0)</f>
        <v>0</v>
      </c>
      <c r="AH11" s="178">
        <f>SUM(AH12:AH23)</f>
        <v>0</v>
      </c>
      <c r="AI11" s="176"/>
      <c r="AJ11" s="177"/>
      <c r="AK11" s="177">
        <f>IFERROR(AL11/AJ$3,0)</f>
        <v>0</v>
      </c>
      <c r="AL11" s="178">
        <f>SUM(AL12:AL23)</f>
        <v>0</v>
      </c>
      <c r="AM11" s="176"/>
      <c r="AN11" s="177"/>
      <c r="AO11" s="177">
        <f>IFERROR(AP11/AN$3,0)</f>
        <v>0</v>
      </c>
      <c r="AP11" s="178">
        <f>SUM(AP12:AP23)</f>
        <v>0</v>
      </c>
      <c r="AQ11" s="176"/>
      <c r="AR11" s="177"/>
      <c r="AS11" s="177">
        <f>IFERROR(AT11/AR$3,0)</f>
        <v>0</v>
      </c>
      <c r="AT11" s="178">
        <f>SUM(AT12:AT23)</f>
        <v>0</v>
      </c>
      <c r="AU11" s="176"/>
      <c r="AV11" s="177"/>
      <c r="AW11" s="177">
        <f>IFERROR(AX11/AV$3,0)</f>
        <v>0</v>
      </c>
      <c r="AX11" s="178">
        <f>SUM(AX12:AX23)</f>
        <v>0</v>
      </c>
      <c r="AY11" s="176"/>
      <c r="AZ11" s="177"/>
      <c r="BA11" s="177">
        <f>IFERROR(BB11/AZ$3,0)</f>
        <v>0</v>
      </c>
      <c r="BB11" s="178">
        <f>SUM(BB12:BB23)</f>
        <v>0</v>
      </c>
      <c r="BC11" s="176"/>
      <c r="BD11" s="177"/>
      <c r="BE11" s="177">
        <f>IFERROR(BF11/BD$3,0)</f>
        <v>0</v>
      </c>
      <c r="BF11" s="178">
        <f>SUM(BF12:BF23)</f>
        <v>0</v>
      </c>
      <c r="BG11" s="176"/>
      <c r="BH11" s="177"/>
      <c r="BI11" s="177">
        <f>IFERROR(BJ11/BH$3,0)</f>
        <v>0</v>
      </c>
      <c r="BJ11" s="178">
        <f>SUM(BJ12:BJ23)</f>
        <v>0</v>
      </c>
      <c r="BK11" s="176"/>
      <c r="BL11" s="177"/>
      <c r="BM11" s="177">
        <f>IFERROR(BN11/BL$3,0)</f>
        <v>0</v>
      </c>
      <c r="BN11" s="178">
        <f>SUM(BN12:BN23)</f>
        <v>0</v>
      </c>
      <c r="BO11" s="176"/>
      <c r="BP11" s="177"/>
      <c r="BQ11" s="177">
        <f>IFERROR(BR11/BP$3,0)</f>
        <v>0</v>
      </c>
      <c r="BR11" s="178">
        <f>SUM(BR12:BR23)</f>
        <v>0</v>
      </c>
      <c r="BS11" s="176"/>
      <c r="BT11" s="177"/>
      <c r="BU11" s="177">
        <f>IFERROR(BV11/BT$3,0)</f>
        <v>0</v>
      </c>
      <c r="BV11" s="178">
        <f>SUM(BV12:BV23)</f>
        <v>0</v>
      </c>
      <c r="BW11" s="176"/>
      <c r="BX11" s="177"/>
      <c r="BY11" s="177">
        <f>IFERROR(BZ11/BX$3,0)</f>
        <v>0</v>
      </c>
      <c r="BZ11" s="178">
        <f>SUM(BZ12:BZ23)</f>
        <v>0</v>
      </c>
      <c r="CA11" s="176"/>
      <c r="CB11" s="177"/>
      <c r="CC11" s="177">
        <f>IFERROR(CD11/CB$3,0)</f>
        <v>0</v>
      </c>
      <c r="CD11" s="178">
        <f>SUM(CD12:CD23)</f>
        <v>0</v>
      </c>
    </row>
    <row r="12" spans="1:82" x14ac:dyDescent="0.3">
      <c r="B12" s="53"/>
      <c r="C12" s="53" t="str">
        <f t="shared" si="0"/>
        <v>CPU_SinalizaçãoverticalS</v>
      </c>
      <c r="D12" s="278">
        <f t="shared" si="1"/>
        <v>1</v>
      </c>
      <c r="E12" s="278">
        <f t="shared" si="2"/>
        <v>0</v>
      </c>
      <c r="F12" s="46"/>
      <c r="G12" s="28" t="str">
        <f>IFERROR(VLOOKUP(F12,Tabela7[[RECURSO]:[CUSTO]],2,FALSE),"")</f>
        <v/>
      </c>
      <c r="H12" s="92"/>
      <c r="I12" s="90"/>
      <c r="J12" s="45">
        <f>IFERROR(VLOOKUP(F12,Tabela7[[RECURSO]:[CUSTO]],3,FALSE),0)</f>
        <v>0</v>
      </c>
      <c r="K12" s="45">
        <f>I12*J12*CPU_35[[#This Row],[Nº]]</f>
        <v>0</v>
      </c>
      <c r="M12" s="31"/>
      <c r="N12" s="297"/>
      <c r="O12" s="60">
        <f>IFERROR($B$6/(H12*I12*N12),0)</f>
        <v>0</v>
      </c>
      <c r="AD12" s="144" t="str">
        <f t="shared" ref="AD12:AD62" si="3">$B$3</f>
        <v>Sinalização vertical SAUS</v>
      </c>
      <c r="AE12" s="179"/>
      <c r="AF12" s="180">
        <f>AJ12+AN12+AR12+AV12+AZ12+BD12+BH12+BL12+BP12+BT12+BX12+CB12</f>
        <v>0</v>
      </c>
      <c r="AG12" s="180">
        <f>IFERROR(AH12/AF12,0)</f>
        <v>0</v>
      </c>
      <c r="AH12" s="181">
        <f>AL12+AP12+AT12+AX12+BB12+BF12+BJ12+BN12+BR12+BV12+BZ12+CD12</f>
        <v>0</v>
      </c>
      <c r="AI12" s="182"/>
      <c r="AJ12" s="90"/>
      <c r="AK12" s="90"/>
      <c r="AL12" s="183">
        <f>AJ12*AK12</f>
        <v>0</v>
      </c>
      <c r="AM12" s="182"/>
      <c r="AN12" s="90"/>
      <c r="AO12" s="90"/>
      <c r="AP12" s="183">
        <f t="shared" ref="AP12:AP23" si="4">AN12*AO12</f>
        <v>0</v>
      </c>
      <c r="AQ12" s="182"/>
      <c r="AR12" s="90"/>
      <c r="AS12" s="90"/>
      <c r="AT12" s="183">
        <f t="shared" ref="AT12:AT23" si="5">AR12*AS12</f>
        <v>0</v>
      </c>
      <c r="AU12" s="182"/>
      <c r="AV12" s="90"/>
      <c r="AW12" s="90"/>
      <c r="AX12" s="183">
        <f t="shared" ref="AX12:AX23" si="6">AV12*AW12</f>
        <v>0</v>
      </c>
      <c r="AY12" s="182"/>
      <c r="AZ12" s="90"/>
      <c r="BA12" s="90"/>
      <c r="BB12" s="183">
        <f t="shared" ref="BB12:BB23" si="7">AZ12*BA12</f>
        <v>0</v>
      </c>
      <c r="BC12" s="182"/>
      <c r="BD12" s="90"/>
      <c r="BE12" s="90"/>
      <c r="BF12" s="183">
        <f t="shared" ref="BF12:BF23" si="8">BD12*BE12</f>
        <v>0</v>
      </c>
      <c r="BG12" s="182"/>
      <c r="BH12" s="90"/>
      <c r="BI12" s="90"/>
      <c r="BJ12" s="183">
        <f t="shared" ref="BJ12:BJ23" si="9">BH12*BI12</f>
        <v>0</v>
      </c>
      <c r="BK12" s="182"/>
      <c r="BL12" s="90"/>
      <c r="BM12" s="90"/>
      <c r="BN12" s="183">
        <f t="shared" ref="BN12:BN23" si="10">BL12*BM12</f>
        <v>0</v>
      </c>
      <c r="BO12" s="182"/>
      <c r="BP12" s="90"/>
      <c r="BQ12" s="90"/>
      <c r="BR12" s="183">
        <f t="shared" ref="BR12:BR23" si="11">BP12*BQ12</f>
        <v>0</v>
      </c>
      <c r="BS12" s="182"/>
      <c r="BT12" s="90"/>
      <c r="BU12" s="90"/>
      <c r="BV12" s="183">
        <f t="shared" ref="BV12:BV23" si="12">BT12*BU12</f>
        <v>0</v>
      </c>
      <c r="BW12" s="182"/>
      <c r="BX12" s="90"/>
      <c r="BY12" s="90"/>
      <c r="BZ12" s="183">
        <f t="shared" ref="BZ12:BZ23" si="13">BX12*BY12</f>
        <v>0</v>
      </c>
      <c r="CA12" s="182"/>
      <c r="CB12" s="90"/>
      <c r="CC12" s="90"/>
      <c r="CD12" s="183">
        <f t="shared" ref="CD12:CD23" si="14">CB12*CC12</f>
        <v>0</v>
      </c>
    </row>
    <row r="13" spans="1:82" x14ac:dyDescent="0.3">
      <c r="B13" s="53"/>
      <c r="C13" s="53" t="str">
        <f t="shared" si="0"/>
        <v>CPU_SinalizaçãoverticalS</v>
      </c>
      <c r="D13" s="278">
        <f t="shared" si="1"/>
        <v>1</v>
      </c>
      <c r="E13" s="278">
        <f t="shared" si="2"/>
        <v>0</v>
      </c>
      <c r="F13" s="1"/>
      <c r="G13" s="28" t="str">
        <f>IFERROR(VLOOKUP(F13,Tabela7[[RECURSO]:[CUSTO]],2,FALSE),"")</f>
        <v/>
      </c>
      <c r="H13" s="92"/>
      <c r="I13" s="90"/>
      <c r="J13" s="45">
        <f>IFERROR(VLOOKUP(F13,Tabela7[[RECURSO]:[CUSTO]],3,FALSE),0)</f>
        <v>0</v>
      </c>
      <c r="K13" s="45">
        <f>I13*J13*CPU_35[[#This Row],[Nº]]</f>
        <v>0</v>
      </c>
      <c r="M13" s="31"/>
      <c r="N13" s="297"/>
      <c r="O13" s="60">
        <f t="shared" ref="O13:O23" si="15">IFERROR($B$6/(H13*I13),0)</f>
        <v>0</v>
      </c>
      <c r="AD13" s="144" t="str">
        <f t="shared" si="3"/>
        <v>Sinalização vertical SAUS</v>
      </c>
      <c r="AE13" s="179"/>
      <c r="AF13" s="180">
        <f t="shared" ref="AF13:AF23" si="16">AJ13+AN13+AR13+AV13+AZ13+BD13+BH13+BL13+BP13+BT13+BX13+CB13</f>
        <v>0</v>
      </c>
      <c r="AG13" s="180">
        <f t="shared" ref="AG13:AG62" si="17">IFERROR(AH13/AF13,0)</f>
        <v>0</v>
      </c>
      <c r="AH13" s="181">
        <f t="shared" ref="AH13:AH23" si="18">AL13+AP13+AT13+AX13+BB13+BF13+BJ13+BN13+BR13+BV13+BZ13+CD13</f>
        <v>0</v>
      </c>
      <c r="AI13" s="182"/>
      <c r="AJ13" s="90"/>
      <c r="AK13" s="90"/>
      <c r="AL13" s="183">
        <f t="shared" ref="AL13:AL23" si="19">AJ13*AK13</f>
        <v>0</v>
      </c>
      <c r="AM13" s="182"/>
      <c r="AN13" s="90"/>
      <c r="AO13" s="90"/>
      <c r="AP13" s="183">
        <f t="shared" si="4"/>
        <v>0</v>
      </c>
      <c r="AQ13" s="182"/>
      <c r="AR13" s="90"/>
      <c r="AS13" s="90"/>
      <c r="AT13" s="183">
        <f t="shared" si="5"/>
        <v>0</v>
      </c>
      <c r="AU13" s="182"/>
      <c r="AV13" s="90"/>
      <c r="AW13" s="90"/>
      <c r="AX13" s="183">
        <f t="shared" si="6"/>
        <v>0</v>
      </c>
      <c r="AY13" s="182"/>
      <c r="AZ13" s="90"/>
      <c r="BA13" s="90"/>
      <c r="BB13" s="183">
        <f t="shared" si="7"/>
        <v>0</v>
      </c>
      <c r="BC13" s="182"/>
      <c r="BD13" s="90"/>
      <c r="BE13" s="90"/>
      <c r="BF13" s="183">
        <f t="shared" si="8"/>
        <v>0</v>
      </c>
      <c r="BG13" s="182"/>
      <c r="BH13" s="90"/>
      <c r="BI13" s="90"/>
      <c r="BJ13" s="183">
        <f t="shared" si="9"/>
        <v>0</v>
      </c>
      <c r="BK13" s="182"/>
      <c r="BL13" s="90"/>
      <c r="BM13" s="90"/>
      <c r="BN13" s="183">
        <f t="shared" si="10"/>
        <v>0</v>
      </c>
      <c r="BO13" s="182"/>
      <c r="BP13" s="90"/>
      <c r="BQ13" s="90"/>
      <c r="BR13" s="183">
        <f t="shared" si="11"/>
        <v>0</v>
      </c>
      <c r="BS13" s="182"/>
      <c r="BT13" s="90"/>
      <c r="BU13" s="90"/>
      <c r="BV13" s="183">
        <f t="shared" si="12"/>
        <v>0</v>
      </c>
      <c r="BW13" s="182"/>
      <c r="BX13" s="90"/>
      <c r="BY13" s="90"/>
      <c r="BZ13" s="183">
        <f t="shared" si="13"/>
        <v>0</v>
      </c>
      <c r="CA13" s="182"/>
      <c r="CB13" s="90"/>
      <c r="CC13" s="90"/>
      <c r="CD13" s="183">
        <f t="shared" si="14"/>
        <v>0</v>
      </c>
    </row>
    <row r="14" spans="1:82" x14ac:dyDescent="0.3">
      <c r="B14" s="53"/>
      <c r="C14" s="53" t="str">
        <f t="shared" si="0"/>
        <v>CPU_SinalizaçãoverticalS</v>
      </c>
      <c r="D14" s="278">
        <f t="shared" si="1"/>
        <v>1</v>
      </c>
      <c r="E14" s="278">
        <f t="shared" si="2"/>
        <v>0</v>
      </c>
      <c r="F14" s="1"/>
      <c r="G14" s="28" t="str">
        <f>IFERROR(VLOOKUP(F14,Tabela7[[RECURSO]:[CUSTO]],2,FALSE),"")</f>
        <v/>
      </c>
      <c r="H14" s="92"/>
      <c r="I14" s="90"/>
      <c r="J14" s="45">
        <f>IFERROR(VLOOKUP(F14,Tabela7[[RECURSO]:[CUSTO]],3,FALSE),0)</f>
        <v>0</v>
      </c>
      <c r="K14" s="45">
        <f>I14*J14*CPU_35[[#This Row],[Nº]]</f>
        <v>0</v>
      </c>
      <c r="M14" s="31"/>
      <c r="N14" s="297"/>
      <c r="O14" s="60">
        <f t="shared" si="15"/>
        <v>0</v>
      </c>
      <c r="AD14" s="144" t="str">
        <f t="shared" si="3"/>
        <v>Sinalização vertical SAUS</v>
      </c>
      <c r="AE14" s="179"/>
      <c r="AF14" s="180">
        <f t="shared" si="16"/>
        <v>0</v>
      </c>
      <c r="AG14" s="180">
        <f t="shared" si="17"/>
        <v>0</v>
      </c>
      <c r="AH14" s="181">
        <f t="shared" si="18"/>
        <v>0</v>
      </c>
      <c r="AI14" s="182"/>
      <c r="AJ14" s="90"/>
      <c r="AK14" s="90"/>
      <c r="AL14" s="183">
        <f t="shared" si="19"/>
        <v>0</v>
      </c>
      <c r="AM14" s="182"/>
      <c r="AN14" s="90"/>
      <c r="AO14" s="90"/>
      <c r="AP14" s="183">
        <f t="shared" si="4"/>
        <v>0</v>
      </c>
      <c r="AQ14" s="182"/>
      <c r="AR14" s="90"/>
      <c r="AS14" s="90"/>
      <c r="AT14" s="183">
        <f t="shared" si="5"/>
        <v>0</v>
      </c>
      <c r="AU14" s="182"/>
      <c r="AV14" s="90"/>
      <c r="AW14" s="90"/>
      <c r="AX14" s="183">
        <f t="shared" si="6"/>
        <v>0</v>
      </c>
      <c r="AY14" s="182"/>
      <c r="AZ14" s="90"/>
      <c r="BA14" s="90"/>
      <c r="BB14" s="183">
        <f t="shared" si="7"/>
        <v>0</v>
      </c>
      <c r="BC14" s="182"/>
      <c r="BD14" s="90"/>
      <c r="BE14" s="90"/>
      <c r="BF14" s="183">
        <f t="shared" si="8"/>
        <v>0</v>
      </c>
      <c r="BG14" s="182"/>
      <c r="BH14" s="90"/>
      <c r="BI14" s="90"/>
      <c r="BJ14" s="183">
        <f t="shared" si="9"/>
        <v>0</v>
      </c>
      <c r="BK14" s="182"/>
      <c r="BL14" s="90"/>
      <c r="BM14" s="90"/>
      <c r="BN14" s="183">
        <f t="shared" si="10"/>
        <v>0</v>
      </c>
      <c r="BO14" s="182"/>
      <c r="BP14" s="90"/>
      <c r="BQ14" s="90"/>
      <c r="BR14" s="183">
        <f t="shared" si="11"/>
        <v>0</v>
      </c>
      <c r="BS14" s="182"/>
      <c r="BT14" s="90"/>
      <c r="BU14" s="90"/>
      <c r="BV14" s="183">
        <f t="shared" si="12"/>
        <v>0</v>
      </c>
      <c r="BW14" s="182"/>
      <c r="BX14" s="90"/>
      <c r="BY14" s="90"/>
      <c r="BZ14" s="183">
        <f t="shared" si="13"/>
        <v>0</v>
      </c>
      <c r="CA14" s="182"/>
      <c r="CB14" s="90"/>
      <c r="CC14" s="90"/>
      <c r="CD14" s="183">
        <f t="shared" si="14"/>
        <v>0</v>
      </c>
    </row>
    <row r="15" spans="1:82" x14ac:dyDescent="0.3">
      <c r="B15" s="153"/>
      <c r="C15" s="153" t="str">
        <f t="shared" si="0"/>
        <v>CPU_SinalizaçãoverticalS</v>
      </c>
      <c r="D15" s="279">
        <f t="shared" si="1"/>
        <v>1</v>
      </c>
      <c r="E15" s="279">
        <f t="shared" si="2"/>
        <v>0</v>
      </c>
      <c r="F15" s="1"/>
      <c r="G15" s="28" t="str">
        <f>IFERROR(VLOOKUP(F15,Tabela7[[RECURSO]:[CUSTO]],2,FALSE),"")</f>
        <v/>
      </c>
      <c r="H15" s="92"/>
      <c r="I15" s="90"/>
      <c r="J15" s="45">
        <f>IFERROR(VLOOKUP(F15,Tabela7[[RECURSO]:[CUSTO]],3,FALSE),0)</f>
        <v>0</v>
      </c>
      <c r="K15" s="45">
        <f>I15*J15*CPU_35[[#This Row],[Nº]]</f>
        <v>0</v>
      </c>
      <c r="M15" s="31"/>
      <c r="N15" s="297"/>
      <c r="O15" s="60">
        <f t="shared" si="15"/>
        <v>0</v>
      </c>
      <c r="AD15" s="144" t="str">
        <f t="shared" si="3"/>
        <v>Sinalização vertical SAUS</v>
      </c>
      <c r="AE15" s="179"/>
      <c r="AF15" s="180">
        <f t="shared" si="16"/>
        <v>0</v>
      </c>
      <c r="AG15" s="180">
        <f t="shared" si="17"/>
        <v>0</v>
      </c>
      <c r="AH15" s="181">
        <f t="shared" si="18"/>
        <v>0</v>
      </c>
      <c r="AI15" s="182"/>
      <c r="AJ15" s="90"/>
      <c r="AK15" s="90"/>
      <c r="AL15" s="183">
        <f t="shared" si="19"/>
        <v>0</v>
      </c>
      <c r="AM15" s="182"/>
      <c r="AN15" s="90"/>
      <c r="AO15" s="90"/>
      <c r="AP15" s="183">
        <f t="shared" si="4"/>
        <v>0</v>
      </c>
      <c r="AQ15" s="182"/>
      <c r="AR15" s="90"/>
      <c r="AS15" s="90"/>
      <c r="AT15" s="183">
        <f t="shared" si="5"/>
        <v>0</v>
      </c>
      <c r="AU15" s="182"/>
      <c r="AV15" s="90"/>
      <c r="AW15" s="90"/>
      <c r="AX15" s="183">
        <f t="shared" si="6"/>
        <v>0</v>
      </c>
      <c r="AY15" s="182"/>
      <c r="AZ15" s="90"/>
      <c r="BA15" s="90"/>
      <c r="BB15" s="183">
        <f t="shared" si="7"/>
        <v>0</v>
      </c>
      <c r="BC15" s="182"/>
      <c r="BD15" s="90"/>
      <c r="BE15" s="90"/>
      <c r="BF15" s="183">
        <f t="shared" si="8"/>
        <v>0</v>
      </c>
      <c r="BG15" s="182"/>
      <c r="BH15" s="90"/>
      <c r="BI15" s="90"/>
      <c r="BJ15" s="183">
        <f t="shared" si="9"/>
        <v>0</v>
      </c>
      <c r="BK15" s="182"/>
      <c r="BL15" s="90"/>
      <c r="BM15" s="90"/>
      <c r="BN15" s="183">
        <f t="shared" si="10"/>
        <v>0</v>
      </c>
      <c r="BO15" s="182"/>
      <c r="BP15" s="90"/>
      <c r="BQ15" s="90"/>
      <c r="BR15" s="183">
        <f t="shared" si="11"/>
        <v>0</v>
      </c>
      <c r="BS15" s="182"/>
      <c r="BT15" s="90"/>
      <c r="BU15" s="90"/>
      <c r="BV15" s="183">
        <f t="shared" si="12"/>
        <v>0</v>
      </c>
      <c r="BW15" s="182"/>
      <c r="BX15" s="90"/>
      <c r="BY15" s="90"/>
      <c r="BZ15" s="183">
        <f t="shared" si="13"/>
        <v>0</v>
      </c>
      <c r="CA15" s="182"/>
      <c r="CB15" s="90"/>
      <c r="CC15" s="90"/>
      <c r="CD15" s="183">
        <f t="shared" si="14"/>
        <v>0</v>
      </c>
    </row>
    <row r="16" spans="1:82" x14ac:dyDescent="0.3">
      <c r="B16" s="53"/>
      <c r="C16" s="53" t="str">
        <f t="shared" si="0"/>
        <v>CPU_SinalizaçãoverticalS</v>
      </c>
      <c r="D16" s="278">
        <f t="shared" si="1"/>
        <v>1</v>
      </c>
      <c r="E16" s="278">
        <f t="shared" si="2"/>
        <v>0</v>
      </c>
      <c r="F16" s="1"/>
      <c r="G16" s="28" t="str">
        <f>IFERROR(VLOOKUP(F16,Tabela7[[RECURSO]:[CUSTO]],2,FALSE),"")</f>
        <v/>
      </c>
      <c r="H16" s="92"/>
      <c r="I16" s="90"/>
      <c r="J16" s="45">
        <f>IFERROR(VLOOKUP(F16,Tabela7[[RECURSO]:[CUSTO]],3,FALSE),0)</f>
        <v>0</v>
      </c>
      <c r="K16" s="45">
        <f>I16*J16*CPU_35[[#This Row],[Nº]]</f>
        <v>0</v>
      </c>
      <c r="M16" s="31"/>
      <c r="N16" s="297"/>
      <c r="O16" s="60">
        <f t="shared" si="15"/>
        <v>0</v>
      </c>
      <c r="AD16" s="144" t="str">
        <f t="shared" si="3"/>
        <v>Sinalização vertical SAUS</v>
      </c>
      <c r="AE16" s="179"/>
      <c r="AF16" s="180">
        <f t="shared" si="16"/>
        <v>0</v>
      </c>
      <c r="AG16" s="180">
        <f t="shared" si="17"/>
        <v>0</v>
      </c>
      <c r="AH16" s="181">
        <f t="shared" si="18"/>
        <v>0</v>
      </c>
      <c r="AI16" s="182"/>
      <c r="AJ16" s="90"/>
      <c r="AK16" s="90"/>
      <c r="AL16" s="183">
        <f t="shared" si="19"/>
        <v>0</v>
      </c>
      <c r="AM16" s="182"/>
      <c r="AN16" s="90"/>
      <c r="AO16" s="90"/>
      <c r="AP16" s="183">
        <f t="shared" si="4"/>
        <v>0</v>
      </c>
      <c r="AQ16" s="182"/>
      <c r="AR16" s="90"/>
      <c r="AS16" s="90"/>
      <c r="AT16" s="183">
        <f t="shared" si="5"/>
        <v>0</v>
      </c>
      <c r="AU16" s="182"/>
      <c r="AV16" s="90"/>
      <c r="AW16" s="90"/>
      <c r="AX16" s="183">
        <f t="shared" si="6"/>
        <v>0</v>
      </c>
      <c r="AY16" s="182"/>
      <c r="AZ16" s="90"/>
      <c r="BA16" s="90"/>
      <c r="BB16" s="183">
        <f t="shared" si="7"/>
        <v>0</v>
      </c>
      <c r="BC16" s="182"/>
      <c r="BD16" s="90"/>
      <c r="BE16" s="90"/>
      <c r="BF16" s="183">
        <f t="shared" si="8"/>
        <v>0</v>
      </c>
      <c r="BG16" s="182"/>
      <c r="BH16" s="90"/>
      <c r="BI16" s="90"/>
      <c r="BJ16" s="183">
        <f t="shared" si="9"/>
        <v>0</v>
      </c>
      <c r="BK16" s="182"/>
      <c r="BL16" s="90"/>
      <c r="BM16" s="90"/>
      <c r="BN16" s="183">
        <f t="shared" si="10"/>
        <v>0</v>
      </c>
      <c r="BO16" s="182"/>
      <c r="BP16" s="90"/>
      <c r="BQ16" s="90"/>
      <c r="BR16" s="183">
        <f t="shared" si="11"/>
        <v>0</v>
      </c>
      <c r="BS16" s="182"/>
      <c r="BT16" s="90"/>
      <c r="BU16" s="90"/>
      <c r="BV16" s="183">
        <f t="shared" si="12"/>
        <v>0</v>
      </c>
      <c r="BW16" s="182"/>
      <c r="BX16" s="90"/>
      <c r="BY16" s="90"/>
      <c r="BZ16" s="183">
        <f t="shared" si="13"/>
        <v>0</v>
      </c>
      <c r="CA16" s="182"/>
      <c r="CB16" s="90"/>
      <c r="CC16" s="90"/>
      <c r="CD16" s="183">
        <f t="shared" si="14"/>
        <v>0</v>
      </c>
    </row>
    <row r="17" spans="2:82" x14ac:dyDescent="0.3">
      <c r="B17" s="53"/>
      <c r="C17" s="53" t="str">
        <f t="shared" si="0"/>
        <v>CPU_SinalizaçãoverticalS</v>
      </c>
      <c r="D17" s="278">
        <f t="shared" si="1"/>
        <v>1</v>
      </c>
      <c r="E17" s="278">
        <f t="shared" si="2"/>
        <v>0</v>
      </c>
      <c r="F17" s="1"/>
      <c r="G17" s="28" t="str">
        <f>IFERROR(VLOOKUP(F17,Tabela7[[RECURSO]:[CUSTO]],2,FALSE),"")</f>
        <v/>
      </c>
      <c r="H17" s="92"/>
      <c r="I17" s="90"/>
      <c r="J17" s="45">
        <f>IFERROR(VLOOKUP(F17,Tabela7[[RECURSO]:[CUSTO]],3,FALSE),0)</f>
        <v>0</v>
      </c>
      <c r="K17" s="45">
        <f>I17*J17*CPU_35[[#This Row],[Nº]]</f>
        <v>0</v>
      </c>
      <c r="M17" s="31"/>
      <c r="N17" s="297"/>
      <c r="O17" s="60">
        <f t="shared" si="15"/>
        <v>0</v>
      </c>
      <c r="AD17" s="144" t="str">
        <f t="shared" si="3"/>
        <v>Sinalização vertical SAUS</v>
      </c>
      <c r="AE17" s="179"/>
      <c r="AF17" s="180">
        <f t="shared" si="16"/>
        <v>0</v>
      </c>
      <c r="AG17" s="180">
        <f t="shared" si="17"/>
        <v>0</v>
      </c>
      <c r="AH17" s="181">
        <f t="shared" si="18"/>
        <v>0</v>
      </c>
      <c r="AI17" s="182"/>
      <c r="AJ17" s="90"/>
      <c r="AK17" s="90"/>
      <c r="AL17" s="183">
        <f t="shared" si="19"/>
        <v>0</v>
      </c>
      <c r="AM17" s="182"/>
      <c r="AN17" s="90"/>
      <c r="AO17" s="90"/>
      <c r="AP17" s="183">
        <f t="shared" si="4"/>
        <v>0</v>
      </c>
      <c r="AQ17" s="182"/>
      <c r="AR17" s="90"/>
      <c r="AS17" s="90"/>
      <c r="AT17" s="183">
        <f t="shared" si="5"/>
        <v>0</v>
      </c>
      <c r="AU17" s="182"/>
      <c r="AV17" s="90"/>
      <c r="AW17" s="90"/>
      <c r="AX17" s="183">
        <f t="shared" si="6"/>
        <v>0</v>
      </c>
      <c r="AY17" s="182"/>
      <c r="AZ17" s="90"/>
      <c r="BA17" s="90"/>
      <c r="BB17" s="183">
        <f t="shared" si="7"/>
        <v>0</v>
      </c>
      <c r="BC17" s="182"/>
      <c r="BD17" s="90"/>
      <c r="BE17" s="90"/>
      <c r="BF17" s="183">
        <f t="shared" si="8"/>
        <v>0</v>
      </c>
      <c r="BG17" s="182"/>
      <c r="BH17" s="90"/>
      <c r="BI17" s="90"/>
      <c r="BJ17" s="183">
        <f t="shared" si="9"/>
        <v>0</v>
      </c>
      <c r="BK17" s="182"/>
      <c r="BL17" s="90"/>
      <c r="BM17" s="90"/>
      <c r="BN17" s="183">
        <f t="shared" si="10"/>
        <v>0</v>
      </c>
      <c r="BO17" s="182"/>
      <c r="BP17" s="90"/>
      <c r="BQ17" s="90"/>
      <c r="BR17" s="183">
        <f t="shared" si="11"/>
        <v>0</v>
      </c>
      <c r="BS17" s="182"/>
      <c r="BT17" s="90"/>
      <c r="BU17" s="90"/>
      <c r="BV17" s="183">
        <f t="shared" si="12"/>
        <v>0</v>
      </c>
      <c r="BW17" s="182"/>
      <c r="BX17" s="90"/>
      <c r="BY17" s="90"/>
      <c r="BZ17" s="183">
        <f t="shared" si="13"/>
        <v>0</v>
      </c>
      <c r="CA17" s="182"/>
      <c r="CB17" s="90"/>
      <c r="CC17" s="90"/>
      <c r="CD17" s="183">
        <f t="shared" si="14"/>
        <v>0</v>
      </c>
    </row>
    <row r="18" spans="2:82" x14ac:dyDescent="0.3">
      <c r="B18" s="53"/>
      <c r="C18" s="53" t="str">
        <f t="shared" si="0"/>
        <v>CPU_SinalizaçãoverticalS</v>
      </c>
      <c r="D18" s="278">
        <f t="shared" si="1"/>
        <v>1</v>
      </c>
      <c r="E18" s="278">
        <f t="shared" si="2"/>
        <v>0</v>
      </c>
      <c r="F18" s="1"/>
      <c r="G18" s="28" t="str">
        <f>IFERROR(VLOOKUP(F18,Tabela7[[RECURSO]:[CUSTO]],2,FALSE),"")</f>
        <v/>
      </c>
      <c r="H18" s="92"/>
      <c r="I18" s="90"/>
      <c r="J18" s="45">
        <f>IFERROR(VLOOKUP(F18,Tabela7[[RECURSO]:[CUSTO]],3,FALSE),0)</f>
        <v>0</v>
      </c>
      <c r="K18" s="45">
        <f>I18*J18*CPU_35[[#This Row],[Nº]]</f>
        <v>0</v>
      </c>
      <c r="M18" s="31"/>
      <c r="N18" s="297"/>
      <c r="O18" s="60">
        <f t="shared" si="15"/>
        <v>0</v>
      </c>
      <c r="AD18" s="144" t="str">
        <f t="shared" si="3"/>
        <v>Sinalização vertical SAUS</v>
      </c>
      <c r="AE18" s="179"/>
      <c r="AF18" s="180">
        <f t="shared" si="16"/>
        <v>0</v>
      </c>
      <c r="AG18" s="180">
        <f t="shared" si="17"/>
        <v>0</v>
      </c>
      <c r="AH18" s="181">
        <f t="shared" si="18"/>
        <v>0</v>
      </c>
      <c r="AI18" s="182"/>
      <c r="AJ18" s="90"/>
      <c r="AK18" s="90"/>
      <c r="AL18" s="183">
        <f t="shared" si="19"/>
        <v>0</v>
      </c>
      <c r="AM18" s="182"/>
      <c r="AN18" s="90"/>
      <c r="AO18" s="90"/>
      <c r="AP18" s="183">
        <f t="shared" si="4"/>
        <v>0</v>
      </c>
      <c r="AQ18" s="182"/>
      <c r="AR18" s="90"/>
      <c r="AS18" s="90"/>
      <c r="AT18" s="183">
        <f t="shared" si="5"/>
        <v>0</v>
      </c>
      <c r="AU18" s="182"/>
      <c r="AV18" s="90"/>
      <c r="AW18" s="90"/>
      <c r="AX18" s="183">
        <f t="shared" si="6"/>
        <v>0</v>
      </c>
      <c r="AY18" s="182"/>
      <c r="AZ18" s="90"/>
      <c r="BA18" s="90"/>
      <c r="BB18" s="183">
        <f t="shared" si="7"/>
        <v>0</v>
      </c>
      <c r="BC18" s="182"/>
      <c r="BD18" s="90"/>
      <c r="BE18" s="90"/>
      <c r="BF18" s="183">
        <f t="shared" si="8"/>
        <v>0</v>
      </c>
      <c r="BG18" s="182"/>
      <c r="BH18" s="90"/>
      <c r="BI18" s="90"/>
      <c r="BJ18" s="183">
        <f t="shared" si="9"/>
        <v>0</v>
      </c>
      <c r="BK18" s="182"/>
      <c r="BL18" s="90"/>
      <c r="BM18" s="90"/>
      <c r="BN18" s="183">
        <f t="shared" si="10"/>
        <v>0</v>
      </c>
      <c r="BO18" s="182"/>
      <c r="BP18" s="90"/>
      <c r="BQ18" s="90"/>
      <c r="BR18" s="183">
        <f t="shared" si="11"/>
        <v>0</v>
      </c>
      <c r="BS18" s="182"/>
      <c r="BT18" s="90"/>
      <c r="BU18" s="90"/>
      <c r="BV18" s="183">
        <f t="shared" si="12"/>
        <v>0</v>
      </c>
      <c r="BW18" s="182"/>
      <c r="BX18" s="90"/>
      <c r="BY18" s="90"/>
      <c r="BZ18" s="183">
        <f t="shared" si="13"/>
        <v>0</v>
      </c>
      <c r="CA18" s="182"/>
      <c r="CB18" s="90"/>
      <c r="CC18" s="90"/>
      <c r="CD18" s="183">
        <f t="shared" si="14"/>
        <v>0</v>
      </c>
    </row>
    <row r="19" spans="2:82" x14ac:dyDescent="0.3">
      <c r="B19" s="53"/>
      <c r="C19" s="53" t="str">
        <f t="shared" si="0"/>
        <v>CPU_SinalizaçãoverticalS</v>
      </c>
      <c r="D19" s="278">
        <f t="shared" si="1"/>
        <v>1</v>
      </c>
      <c r="E19" s="278">
        <f t="shared" si="2"/>
        <v>0</v>
      </c>
      <c r="F19" s="1"/>
      <c r="G19" s="28" t="str">
        <f>IFERROR(VLOOKUP(F19,Tabela7[[RECURSO]:[CUSTO]],2,FALSE),"")</f>
        <v/>
      </c>
      <c r="H19" s="92"/>
      <c r="I19" s="90"/>
      <c r="J19" s="45">
        <f>IFERROR(VLOOKUP(F19,Tabela7[[RECURSO]:[CUSTO]],3,FALSE),0)</f>
        <v>0</v>
      </c>
      <c r="K19" s="45">
        <f>I19*J19*CPU_35[[#This Row],[Nº]]</f>
        <v>0</v>
      </c>
      <c r="M19" s="31"/>
      <c r="N19" s="297"/>
      <c r="O19" s="60">
        <f t="shared" si="15"/>
        <v>0</v>
      </c>
      <c r="AD19" s="144" t="str">
        <f t="shared" si="3"/>
        <v>Sinalização vertical SAUS</v>
      </c>
      <c r="AE19" s="179"/>
      <c r="AF19" s="180">
        <f t="shared" si="16"/>
        <v>0</v>
      </c>
      <c r="AG19" s="180">
        <f t="shared" si="17"/>
        <v>0</v>
      </c>
      <c r="AH19" s="181">
        <f t="shared" si="18"/>
        <v>0</v>
      </c>
      <c r="AI19" s="182"/>
      <c r="AJ19" s="90"/>
      <c r="AK19" s="90"/>
      <c r="AL19" s="183">
        <f t="shared" si="19"/>
        <v>0</v>
      </c>
      <c r="AM19" s="182"/>
      <c r="AN19" s="90"/>
      <c r="AO19" s="90"/>
      <c r="AP19" s="183">
        <f t="shared" si="4"/>
        <v>0</v>
      </c>
      <c r="AQ19" s="182"/>
      <c r="AR19" s="90"/>
      <c r="AS19" s="90"/>
      <c r="AT19" s="183">
        <f t="shared" si="5"/>
        <v>0</v>
      </c>
      <c r="AU19" s="182"/>
      <c r="AV19" s="90"/>
      <c r="AW19" s="90"/>
      <c r="AX19" s="183">
        <f t="shared" si="6"/>
        <v>0</v>
      </c>
      <c r="AY19" s="182"/>
      <c r="AZ19" s="90"/>
      <c r="BA19" s="90"/>
      <c r="BB19" s="183">
        <f t="shared" si="7"/>
        <v>0</v>
      </c>
      <c r="BC19" s="182"/>
      <c r="BD19" s="90"/>
      <c r="BE19" s="90"/>
      <c r="BF19" s="183">
        <f t="shared" si="8"/>
        <v>0</v>
      </c>
      <c r="BG19" s="182"/>
      <c r="BH19" s="90"/>
      <c r="BI19" s="90"/>
      <c r="BJ19" s="183">
        <f t="shared" si="9"/>
        <v>0</v>
      </c>
      <c r="BK19" s="182"/>
      <c r="BL19" s="90"/>
      <c r="BM19" s="90"/>
      <c r="BN19" s="183">
        <f t="shared" si="10"/>
        <v>0</v>
      </c>
      <c r="BO19" s="182"/>
      <c r="BP19" s="90"/>
      <c r="BQ19" s="90"/>
      <c r="BR19" s="183">
        <f t="shared" si="11"/>
        <v>0</v>
      </c>
      <c r="BS19" s="182"/>
      <c r="BT19" s="90"/>
      <c r="BU19" s="90"/>
      <c r="BV19" s="183">
        <f t="shared" si="12"/>
        <v>0</v>
      </c>
      <c r="BW19" s="182"/>
      <c r="BX19" s="90"/>
      <c r="BY19" s="90"/>
      <c r="BZ19" s="183">
        <f t="shared" si="13"/>
        <v>0</v>
      </c>
      <c r="CA19" s="182"/>
      <c r="CB19" s="90"/>
      <c r="CC19" s="90"/>
      <c r="CD19" s="183">
        <f t="shared" si="14"/>
        <v>0</v>
      </c>
    </row>
    <row r="20" spans="2:82" x14ac:dyDescent="0.3">
      <c r="B20" s="53"/>
      <c r="C20" s="53" t="str">
        <f t="shared" si="0"/>
        <v>CPU_SinalizaçãoverticalS</v>
      </c>
      <c r="D20" s="278">
        <f t="shared" si="1"/>
        <v>1</v>
      </c>
      <c r="E20" s="278">
        <f t="shared" si="2"/>
        <v>0</v>
      </c>
      <c r="F20" s="1"/>
      <c r="G20" s="28" t="str">
        <f>IFERROR(VLOOKUP(F20,Tabela7[[RECURSO]:[CUSTO]],2,FALSE),"")</f>
        <v/>
      </c>
      <c r="H20" s="92"/>
      <c r="I20" s="90"/>
      <c r="J20" s="45">
        <f>IFERROR(VLOOKUP(F20,Tabela7[[RECURSO]:[CUSTO]],3,FALSE),0)</f>
        <v>0</v>
      </c>
      <c r="K20" s="45">
        <f>I20*J20*CPU_35[[#This Row],[Nº]]</f>
        <v>0</v>
      </c>
      <c r="M20" s="31"/>
      <c r="N20" s="297"/>
      <c r="O20" s="60">
        <f t="shared" si="15"/>
        <v>0</v>
      </c>
      <c r="AD20" s="144" t="str">
        <f t="shared" si="3"/>
        <v>Sinalização vertical SAUS</v>
      </c>
      <c r="AE20" s="179"/>
      <c r="AF20" s="180">
        <f t="shared" si="16"/>
        <v>0</v>
      </c>
      <c r="AG20" s="180">
        <f t="shared" si="17"/>
        <v>0</v>
      </c>
      <c r="AH20" s="181">
        <f t="shared" si="18"/>
        <v>0</v>
      </c>
      <c r="AI20" s="182"/>
      <c r="AJ20" s="90"/>
      <c r="AK20" s="90"/>
      <c r="AL20" s="183">
        <f t="shared" si="19"/>
        <v>0</v>
      </c>
      <c r="AM20" s="182"/>
      <c r="AN20" s="90"/>
      <c r="AO20" s="90"/>
      <c r="AP20" s="183">
        <f t="shared" si="4"/>
        <v>0</v>
      </c>
      <c r="AQ20" s="182"/>
      <c r="AR20" s="90"/>
      <c r="AS20" s="90"/>
      <c r="AT20" s="183">
        <f t="shared" si="5"/>
        <v>0</v>
      </c>
      <c r="AU20" s="182"/>
      <c r="AV20" s="90"/>
      <c r="AW20" s="90"/>
      <c r="AX20" s="183">
        <f t="shared" si="6"/>
        <v>0</v>
      </c>
      <c r="AY20" s="182"/>
      <c r="AZ20" s="90"/>
      <c r="BA20" s="90"/>
      <c r="BB20" s="183">
        <f t="shared" si="7"/>
        <v>0</v>
      </c>
      <c r="BC20" s="182"/>
      <c r="BD20" s="90"/>
      <c r="BE20" s="90"/>
      <c r="BF20" s="183">
        <f t="shared" si="8"/>
        <v>0</v>
      </c>
      <c r="BG20" s="182"/>
      <c r="BH20" s="90"/>
      <c r="BI20" s="90"/>
      <c r="BJ20" s="183">
        <f t="shared" si="9"/>
        <v>0</v>
      </c>
      <c r="BK20" s="182"/>
      <c r="BL20" s="90"/>
      <c r="BM20" s="90"/>
      <c r="BN20" s="183">
        <f t="shared" si="10"/>
        <v>0</v>
      </c>
      <c r="BO20" s="182"/>
      <c r="BP20" s="90"/>
      <c r="BQ20" s="90"/>
      <c r="BR20" s="183">
        <f t="shared" si="11"/>
        <v>0</v>
      </c>
      <c r="BS20" s="182"/>
      <c r="BT20" s="90"/>
      <c r="BU20" s="90"/>
      <c r="BV20" s="183">
        <f t="shared" si="12"/>
        <v>0</v>
      </c>
      <c r="BW20" s="182"/>
      <c r="BX20" s="90"/>
      <c r="BY20" s="90"/>
      <c r="BZ20" s="183">
        <f t="shared" si="13"/>
        <v>0</v>
      </c>
      <c r="CA20" s="182"/>
      <c r="CB20" s="90"/>
      <c r="CC20" s="90"/>
      <c r="CD20" s="183">
        <f t="shared" si="14"/>
        <v>0</v>
      </c>
    </row>
    <row r="21" spans="2:82" x14ac:dyDescent="0.3">
      <c r="B21" s="53"/>
      <c r="C21" s="53" t="str">
        <f t="shared" si="0"/>
        <v>CPU_SinalizaçãoverticalS</v>
      </c>
      <c r="D21" s="278">
        <f t="shared" si="1"/>
        <v>1</v>
      </c>
      <c r="E21" s="278">
        <f t="shared" si="2"/>
        <v>0</v>
      </c>
      <c r="F21" s="1"/>
      <c r="G21" s="28" t="str">
        <f>IFERROR(VLOOKUP(F21,Tabela7[[RECURSO]:[CUSTO]],2,FALSE),"")</f>
        <v/>
      </c>
      <c r="H21" s="92"/>
      <c r="I21" s="90"/>
      <c r="J21" s="45">
        <f>IFERROR(VLOOKUP(F21,Tabela7[[RECURSO]:[CUSTO]],3,FALSE),0)</f>
        <v>0</v>
      </c>
      <c r="K21" s="45">
        <f>I21*J21*CPU_35[[#This Row],[Nº]]</f>
        <v>0</v>
      </c>
      <c r="M21" s="31"/>
      <c r="N21" s="297"/>
      <c r="O21" s="60">
        <f t="shared" si="15"/>
        <v>0</v>
      </c>
      <c r="AD21" s="144" t="str">
        <f t="shared" si="3"/>
        <v>Sinalização vertical SAUS</v>
      </c>
      <c r="AE21" s="179"/>
      <c r="AF21" s="180">
        <f t="shared" si="16"/>
        <v>0</v>
      </c>
      <c r="AG21" s="180">
        <f t="shared" si="17"/>
        <v>0</v>
      </c>
      <c r="AH21" s="181">
        <f t="shared" si="18"/>
        <v>0</v>
      </c>
      <c r="AI21" s="182"/>
      <c r="AJ21" s="90"/>
      <c r="AK21" s="90"/>
      <c r="AL21" s="183">
        <f t="shared" si="19"/>
        <v>0</v>
      </c>
      <c r="AM21" s="182"/>
      <c r="AN21" s="90"/>
      <c r="AO21" s="90"/>
      <c r="AP21" s="183">
        <f t="shared" si="4"/>
        <v>0</v>
      </c>
      <c r="AQ21" s="182"/>
      <c r="AR21" s="90"/>
      <c r="AS21" s="90"/>
      <c r="AT21" s="183">
        <f t="shared" si="5"/>
        <v>0</v>
      </c>
      <c r="AU21" s="182"/>
      <c r="AV21" s="90"/>
      <c r="AW21" s="90"/>
      <c r="AX21" s="183">
        <f t="shared" si="6"/>
        <v>0</v>
      </c>
      <c r="AY21" s="182"/>
      <c r="AZ21" s="90"/>
      <c r="BA21" s="90"/>
      <c r="BB21" s="183">
        <f t="shared" si="7"/>
        <v>0</v>
      </c>
      <c r="BC21" s="182"/>
      <c r="BD21" s="90"/>
      <c r="BE21" s="90"/>
      <c r="BF21" s="183">
        <f t="shared" si="8"/>
        <v>0</v>
      </c>
      <c r="BG21" s="182"/>
      <c r="BH21" s="90"/>
      <c r="BI21" s="90"/>
      <c r="BJ21" s="183">
        <f t="shared" si="9"/>
        <v>0</v>
      </c>
      <c r="BK21" s="182"/>
      <c r="BL21" s="90"/>
      <c r="BM21" s="90"/>
      <c r="BN21" s="183">
        <f t="shared" si="10"/>
        <v>0</v>
      </c>
      <c r="BO21" s="182"/>
      <c r="BP21" s="90"/>
      <c r="BQ21" s="90"/>
      <c r="BR21" s="183">
        <f t="shared" si="11"/>
        <v>0</v>
      </c>
      <c r="BS21" s="182"/>
      <c r="BT21" s="90"/>
      <c r="BU21" s="90"/>
      <c r="BV21" s="183">
        <f t="shared" si="12"/>
        <v>0</v>
      </c>
      <c r="BW21" s="182"/>
      <c r="BX21" s="90"/>
      <c r="BY21" s="90"/>
      <c r="BZ21" s="183">
        <f t="shared" si="13"/>
        <v>0</v>
      </c>
      <c r="CA21" s="182"/>
      <c r="CB21" s="90"/>
      <c r="CC21" s="90"/>
      <c r="CD21" s="183">
        <f t="shared" si="14"/>
        <v>0</v>
      </c>
    </row>
    <row r="22" spans="2:82" x14ac:dyDescent="0.3">
      <c r="B22" s="53"/>
      <c r="C22" s="53" t="str">
        <f t="shared" si="0"/>
        <v>CPU_SinalizaçãoverticalS</v>
      </c>
      <c r="D22" s="278">
        <f t="shared" si="1"/>
        <v>1</v>
      </c>
      <c r="E22" s="278">
        <f t="shared" si="2"/>
        <v>0</v>
      </c>
      <c r="F22" s="1"/>
      <c r="G22" s="28" t="str">
        <f>IFERROR(VLOOKUP(F22,Tabela7[[RECURSO]:[CUSTO]],2,FALSE),"")</f>
        <v/>
      </c>
      <c r="H22" s="92"/>
      <c r="I22" s="90"/>
      <c r="J22" s="45">
        <f>IFERROR(VLOOKUP(F22,Tabela7[[RECURSO]:[CUSTO]],3,FALSE),0)</f>
        <v>0</v>
      </c>
      <c r="K22" s="45">
        <f>I22*J22*CPU_35[[#This Row],[Nº]]</f>
        <v>0</v>
      </c>
      <c r="M22" s="31"/>
      <c r="N22" s="297"/>
      <c r="O22" s="60">
        <f t="shared" si="15"/>
        <v>0</v>
      </c>
      <c r="AD22" s="144" t="str">
        <f t="shared" si="3"/>
        <v>Sinalização vertical SAUS</v>
      </c>
      <c r="AE22" s="179"/>
      <c r="AF22" s="180">
        <f t="shared" si="16"/>
        <v>0</v>
      </c>
      <c r="AG22" s="180">
        <f t="shared" si="17"/>
        <v>0</v>
      </c>
      <c r="AH22" s="181">
        <f t="shared" si="18"/>
        <v>0</v>
      </c>
      <c r="AI22" s="182"/>
      <c r="AJ22" s="90"/>
      <c r="AK22" s="90"/>
      <c r="AL22" s="183">
        <f t="shared" si="19"/>
        <v>0</v>
      </c>
      <c r="AM22" s="182"/>
      <c r="AN22" s="90"/>
      <c r="AO22" s="90"/>
      <c r="AP22" s="183">
        <f t="shared" si="4"/>
        <v>0</v>
      </c>
      <c r="AQ22" s="182"/>
      <c r="AR22" s="90"/>
      <c r="AS22" s="90"/>
      <c r="AT22" s="183">
        <f t="shared" si="5"/>
        <v>0</v>
      </c>
      <c r="AU22" s="182"/>
      <c r="AV22" s="90"/>
      <c r="AW22" s="90"/>
      <c r="AX22" s="183">
        <f t="shared" si="6"/>
        <v>0</v>
      </c>
      <c r="AY22" s="182"/>
      <c r="AZ22" s="90"/>
      <c r="BA22" s="90"/>
      <c r="BB22" s="183">
        <f t="shared" si="7"/>
        <v>0</v>
      </c>
      <c r="BC22" s="182"/>
      <c r="BD22" s="90"/>
      <c r="BE22" s="90"/>
      <c r="BF22" s="183">
        <f t="shared" si="8"/>
        <v>0</v>
      </c>
      <c r="BG22" s="182"/>
      <c r="BH22" s="90"/>
      <c r="BI22" s="90"/>
      <c r="BJ22" s="183">
        <f t="shared" si="9"/>
        <v>0</v>
      </c>
      <c r="BK22" s="182"/>
      <c r="BL22" s="90"/>
      <c r="BM22" s="90"/>
      <c r="BN22" s="183">
        <f t="shared" si="10"/>
        <v>0</v>
      </c>
      <c r="BO22" s="182"/>
      <c r="BP22" s="90"/>
      <c r="BQ22" s="90"/>
      <c r="BR22" s="183">
        <f t="shared" si="11"/>
        <v>0</v>
      </c>
      <c r="BS22" s="182"/>
      <c r="BT22" s="90"/>
      <c r="BU22" s="90"/>
      <c r="BV22" s="183">
        <f t="shared" si="12"/>
        <v>0</v>
      </c>
      <c r="BW22" s="182"/>
      <c r="BX22" s="90"/>
      <c r="BY22" s="90"/>
      <c r="BZ22" s="183">
        <f t="shared" si="13"/>
        <v>0</v>
      </c>
      <c r="CA22" s="182"/>
      <c r="CB22" s="90"/>
      <c r="CC22" s="90"/>
      <c r="CD22" s="183">
        <f t="shared" si="14"/>
        <v>0</v>
      </c>
    </row>
    <row r="23" spans="2:82" ht="15" thickBot="1" x14ac:dyDescent="0.35">
      <c r="B23" s="53"/>
      <c r="C23" s="53" t="str">
        <f t="shared" si="0"/>
        <v>CPU_SinalizaçãoverticalS</v>
      </c>
      <c r="D23" s="278">
        <f t="shared" si="1"/>
        <v>1</v>
      </c>
      <c r="E23" s="278">
        <f t="shared" si="2"/>
        <v>0</v>
      </c>
      <c r="F23" s="1"/>
      <c r="G23" s="28" t="str">
        <f>IFERROR(VLOOKUP(F23,Tabela7[[RECURSO]:[CUSTO]],2,FALSE),"")</f>
        <v/>
      </c>
      <c r="H23" s="92"/>
      <c r="I23" s="90"/>
      <c r="J23" s="45">
        <f>IFERROR(VLOOKUP(F23,Tabela7[[RECURSO]:[CUSTO]],3,FALSE),0)</f>
        <v>0</v>
      </c>
      <c r="K23" s="45">
        <f>I23*J23*CPU_35[[#This Row],[Nº]]</f>
        <v>0</v>
      </c>
      <c r="M23" s="51"/>
      <c r="N23" s="298"/>
      <c r="O23" s="61">
        <f t="shared" si="15"/>
        <v>0</v>
      </c>
      <c r="AD23" s="144" t="str">
        <f t="shared" si="3"/>
        <v>Sinalização vertical SAUS</v>
      </c>
      <c r="AE23" s="179"/>
      <c r="AF23" s="180">
        <f t="shared" si="16"/>
        <v>0</v>
      </c>
      <c r="AG23" s="180">
        <f t="shared" si="17"/>
        <v>0</v>
      </c>
      <c r="AH23" s="181">
        <f t="shared" si="18"/>
        <v>0</v>
      </c>
      <c r="AI23" s="182"/>
      <c r="AJ23" s="90"/>
      <c r="AK23" s="90"/>
      <c r="AL23" s="183">
        <f t="shared" si="19"/>
        <v>0</v>
      </c>
      <c r="AM23" s="182"/>
      <c r="AN23" s="90"/>
      <c r="AO23" s="90"/>
      <c r="AP23" s="183">
        <f t="shared" si="4"/>
        <v>0</v>
      </c>
      <c r="AQ23" s="182"/>
      <c r="AR23" s="90"/>
      <c r="AS23" s="90"/>
      <c r="AT23" s="183">
        <f t="shared" si="5"/>
        <v>0</v>
      </c>
      <c r="AU23" s="182"/>
      <c r="AV23" s="90"/>
      <c r="AW23" s="90"/>
      <c r="AX23" s="183">
        <f t="shared" si="6"/>
        <v>0</v>
      </c>
      <c r="AY23" s="182"/>
      <c r="AZ23" s="90"/>
      <c r="BA23" s="90"/>
      <c r="BB23" s="183">
        <f t="shared" si="7"/>
        <v>0</v>
      </c>
      <c r="BC23" s="182"/>
      <c r="BD23" s="90"/>
      <c r="BE23" s="90"/>
      <c r="BF23" s="183">
        <f t="shared" si="8"/>
        <v>0</v>
      </c>
      <c r="BG23" s="182"/>
      <c r="BH23" s="90"/>
      <c r="BI23" s="90"/>
      <c r="BJ23" s="183">
        <f t="shared" si="9"/>
        <v>0</v>
      </c>
      <c r="BK23" s="182"/>
      <c r="BL23" s="90"/>
      <c r="BM23" s="90"/>
      <c r="BN23" s="183">
        <f t="shared" si="10"/>
        <v>0</v>
      </c>
      <c r="BO23" s="182"/>
      <c r="BP23" s="90"/>
      <c r="BQ23" s="90"/>
      <c r="BR23" s="183">
        <f t="shared" si="11"/>
        <v>0</v>
      </c>
      <c r="BS23" s="182"/>
      <c r="BT23" s="90"/>
      <c r="BU23" s="90"/>
      <c r="BV23" s="183">
        <f t="shared" si="12"/>
        <v>0</v>
      </c>
      <c r="BW23" s="182"/>
      <c r="BX23" s="90"/>
      <c r="BY23" s="90"/>
      <c r="BZ23" s="183">
        <f t="shared" si="13"/>
        <v>0</v>
      </c>
      <c r="CA23" s="182"/>
      <c r="CB23" s="90"/>
      <c r="CC23" s="90"/>
      <c r="CD23" s="183">
        <f t="shared" si="14"/>
        <v>0</v>
      </c>
    </row>
    <row r="24" spans="2:82" x14ac:dyDescent="0.3">
      <c r="B24" s="52" t="s">
        <v>686</v>
      </c>
      <c r="C24" s="52" t="str">
        <f t="shared" si="0"/>
        <v>CPU_SinalizaçãoverticalS</v>
      </c>
      <c r="D24" s="277">
        <f t="shared" si="1"/>
        <v>1</v>
      </c>
      <c r="E24" s="277">
        <f t="shared" si="2"/>
        <v>0</v>
      </c>
      <c r="F24" s="37"/>
      <c r="G24" s="38"/>
      <c r="H24" s="91"/>
      <c r="I24" s="40"/>
      <c r="J24" s="40">
        <f>IFERROR(K24/$B$6,0)</f>
        <v>0</v>
      </c>
      <c r="K24" s="40">
        <f>SUM(K25:K36)</f>
        <v>0</v>
      </c>
      <c r="AD24" s="144" t="str">
        <f t="shared" si="3"/>
        <v>Sinalização vertical SAUS</v>
      </c>
      <c r="AE24" s="184"/>
      <c r="AF24" s="40"/>
      <c r="AG24" s="40">
        <f>IFERROR(AH24/AF$3,0)</f>
        <v>0</v>
      </c>
      <c r="AH24" s="185">
        <f>SUM(AH25:AH36)</f>
        <v>0</v>
      </c>
      <c r="AI24" s="184"/>
      <c r="AJ24" s="40"/>
      <c r="AK24" s="40">
        <f>IFERROR(AL24/AJ$3,0)</f>
        <v>0</v>
      </c>
      <c r="AL24" s="185">
        <f>SUM(AL25:AL36)</f>
        <v>0</v>
      </c>
      <c r="AM24" s="184"/>
      <c r="AN24" s="40"/>
      <c r="AO24" s="40">
        <f>IFERROR(AP24/AN$3,0)</f>
        <v>0</v>
      </c>
      <c r="AP24" s="185">
        <f>SUM(AP25:AP36)</f>
        <v>0</v>
      </c>
      <c r="AQ24" s="184"/>
      <c r="AR24" s="40"/>
      <c r="AS24" s="40">
        <f>IFERROR(AT24/AR$3,0)</f>
        <v>0</v>
      </c>
      <c r="AT24" s="185">
        <f>SUM(AT25:AT36)</f>
        <v>0</v>
      </c>
      <c r="AU24" s="184"/>
      <c r="AV24" s="40"/>
      <c r="AW24" s="40">
        <f>IFERROR(AX24/AV$3,0)</f>
        <v>0</v>
      </c>
      <c r="AX24" s="185">
        <f>SUM(AX25:AX36)</f>
        <v>0</v>
      </c>
      <c r="AY24" s="184"/>
      <c r="AZ24" s="40"/>
      <c r="BA24" s="40">
        <f>IFERROR(BB24/AZ$3,0)</f>
        <v>0</v>
      </c>
      <c r="BB24" s="185">
        <f>SUM(BB25:BB36)</f>
        <v>0</v>
      </c>
      <c r="BC24" s="184"/>
      <c r="BD24" s="40"/>
      <c r="BE24" s="40">
        <f>IFERROR(BF24/BD$3,0)</f>
        <v>0</v>
      </c>
      <c r="BF24" s="185">
        <f>SUM(BF25:BF36)</f>
        <v>0</v>
      </c>
      <c r="BG24" s="184"/>
      <c r="BH24" s="40"/>
      <c r="BI24" s="40">
        <f>IFERROR(BJ24/BH$3,0)</f>
        <v>0</v>
      </c>
      <c r="BJ24" s="185">
        <f>SUM(BJ25:BJ36)</f>
        <v>0</v>
      </c>
      <c r="BK24" s="184"/>
      <c r="BL24" s="40"/>
      <c r="BM24" s="40">
        <f>IFERROR(BN24/BL$3,0)</f>
        <v>0</v>
      </c>
      <c r="BN24" s="185">
        <f>SUM(BN25:BN36)</f>
        <v>0</v>
      </c>
      <c r="BO24" s="184"/>
      <c r="BP24" s="40"/>
      <c r="BQ24" s="40">
        <f>IFERROR(BR24/BP$3,0)</f>
        <v>0</v>
      </c>
      <c r="BR24" s="185">
        <f>SUM(BR25:BR36)</f>
        <v>0</v>
      </c>
      <c r="BS24" s="184"/>
      <c r="BT24" s="40"/>
      <c r="BU24" s="40">
        <f>IFERROR(BV24/BT$3,0)</f>
        <v>0</v>
      </c>
      <c r="BV24" s="185">
        <f>SUM(BV25:BV36)</f>
        <v>0</v>
      </c>
      <c r="BW24" s="184"/>
      <c r="BX24" s="40"/>
      <c r="BY24" s="40">
        <f>IFERROR(BZ24/BX$3,0)</f>
        <v>0</v>
      </c>
      <c r="BZ24" s="185">
        <f>SUM(BZ25:BZ36)</f>
        <v>0</v>
      </c>
      <c r="CA24" s="184"/>
      <c r="CB24" s="40"/>
      <c r="CC24" s="40">
        <f>IFERROR(CD24/CB$3,0)</f>
        <v>0</v>
      </c>
      <c r="CD24" s="185">
        <f>SUM(CD25:CD36)</f>
        <v>0</v>
      </c>
    </row>
    <row r="25" spans="2:82" x14ac:dyDescent="0.3">
      <c r="B25" s="53"/>
      <c r="C25" s="53" t="str">
        <f t="shared" si="0"/>
        <v>CPU_SinalizaçãoverticalS</v>
      </c>
      <c r="D25" s="278">
        <f t="shared" si="1"/>
        <v>1</v>
      </c>
      <c r="E25" s="278">
        <f t="shared" si="2"/>
        <v>0</v>
      </c>
      <c r="F25" s="1"/>
      <c r="G25" s="28" t="str">
        <f>IFERROR(VLOOKUP(F25,Tabela7[[RECURSO]:[CUSTO]],2,FALSE),"")</f>
        <v/>
      </c>
      <c r="H25" s="93"/>
      <c r="I25" s="90">
        <f>IFERROR(SUMPRODUCT(I12:I23,M12:M23,H12:H23,N12:N23),0)</f>
        <v>0</v>
      </c>
      <c r="J25" s="45">
        <f>IFERROR(VLOOKUP(F25,Tabela7[[RECURSO]:[CUSTO]],3,FALSE),0)</f>
        <v>0</v>
      </c>
      <c r="K25" s="45">
        <f>I25*J25</f>
        <v>0</v>
      </c>
      <c r="AD25" s="144" t="str">
        <f t="shared" si="3"/>
        <v>Sinalização vertical SAUS</v>
      </c>
      <c r="AE25" s="179"/>
      <c r="AF25" s="180">
        <f t="shared" ref="AF25:AF36" si="20">AJ25+AN25+AR25+AV25+AZ25+BD25+BH25+BL25+BP25+BT25+BX25+CB25</f>
        <v>0</v>
      </c>
      <c r="AG25" s="180">
        <f t="shared" si="17"/>
        <v>0</v>
      </c>
      <c r="AH25" s="181">
        <f t="shared" ref="AH25:AH36" si="21">AL25+AP25+AT25+AX25+BB25+BF25+BJ25+BN25+BR25+BV25+BZ25+CD25</f>
        <v>0</v>
      </c>
      <c r="AI25" s="182"/>
      <c r="AJ25" s="90"/>
      <c r="AK25" s="90"/>
      <c r="AL25" s="183">
        <f t="shared" ref="AL25:AL36" si="22">AJ25*AK25</f>
        <v>0</v>
      </c>
      <c r="AM25" s="182"/>
      <c r="AN25" s="90"/>
      <c r="AO25" s="90"/>
      <c r="AP25" s="183">
        <f t="shared" ref="AP25:AP62" si="23">AN25*AO25</f>
        <v>0</v>
      </c>
      <c r="AQ25" s="182"/>
      <c r="AR25" s="90"/>
      <c r="AS25" s="90"/>
      <c r="AT25" s="183">
        <f t="shared" ref="AT25:AT62" si="24">AR25*AS25</f>
        <v>0</v>
      </c>
      <c r="AU25" s="182"/>
      <c r="AV25" s="90"/>
      <c r="AW25" s="90"/>
      <c r="AX25" s="183">
        <f t="shared" ref="AX25:AX62" si="25">AV25*AW25</f>
        <v>0</v>
      </c>
      <c r="AY25" s="182"/>
      <c r="AZ25" s="90"/>
      <c r="BA25" s="90"/>
      <c r="BB25" s="183">
        <f t="shared" ref="BB25:BB62" si="26">AZ25*BA25</f>
        <v>0</v>
      </c>
      <c r="BC25" s="182"/>
      <c r="BD25" s="90"/>
      <c r="BE25" s="90"/>
      <c r="BF25" s="183">
        <f t="shared" ref="BF25:BF62" si="27">BD25*BE25</f>
        <v>0</v>
      </c>
      <c r="BG25" s="182"/>
      <c r="BH25" s="90"/>
      <c r="BI25" s="90"/>
      <c r="BJ25" s="183">
        <f t="shared" ref="BJ25:BJ62" si="28">BH25*BI25</f>
        <v>0</v>
      </c>
      <c r="BK25" s="182"/>
      <c r="BL25" s="90"/>
      <c r="BM25" s="90"/>
      <c r="BN25" s="183">
        <f t="shared" ref="BN25:BN62" si="29">BL25*BM25</f>
        <v>0</v>
      </c>
      <c r="BO25" s="182"/>
      <c r="BP25" s="90"/>
      <c r="BQ25" s="90"/>
      <c r="BR25" s="183">
        <f t="shared" ref="BR25:BR62" si="30">BP25*BQ25</f>
        <v>0</v>
      </c>
      <c r="BS25" s="182"/>
      <c r="BT25" s="90"/>
      <c r="BU25" s="90"/>
      <c r="BV25" s="183">
        <f t="shared" ref="BV25:BV62" si="31">BT25*BU25</f>
        <v>0</v>
      </c>
      <c r="BW25" s="182"/>
      <c r="BX25" s="90"/>
      <c r="BY25" s="90"/>
      <c r="BZ25" s="183">
        <f t="shared" ref="BZ25:BZ62" si="32">BX25*BY25</f>
        <v>0</v>
      </c>
      <c r="CA25" s="182"/>
      <c r="CB25" s="90"/>
      <c r="CC25" s="90"/>
      <c r="CD25" s="183">
        <f t="shared" ref="CD25:CD62" si="33">CB25*CC25</f>
        <v>0</v>
      </c>
    </row>
    <row r="26" spans="2:82" x14ac:dyDescent="0.3">
      <c r="B26" s="53"/>
      <c r="C26" s="53" t="str">
        <f t="shared" si="0"/>
        <v>CPU_SinalizaçãoverticalS</v>
      </c>
      <c r="D26" s="278">
        <f t="shared" si="1"/>
        <v>1</v>
      </c>
      <c r="E26" s="278">
        <f t="shared" si="2"/>
        <v>0</v>
      </c>
      <c r="F26" s="1"/>
      <c r="G26" s="28" t="str">
        <f>IFERROR(VLOOKUP(F26,Tabela7[[RECURSO]:[CUSTO]],2,FALSE),"")</f>
        <v/>
      </c>
      <c r="H26" s="93"/>
      <c r="I26" s="90"/>
      <c r="J26" s="45">
        <f>IFERROR(VLOOKUP(F26,Tabela7[[RECURSO]:[CUSTO]],3,FALSE),0)</f>
        <v>0</v>
      </c>
      <c r="K26" s="45">
        <f t="shared" ref="K26:K36" si="34">I26*J26</f>
        <v>0</v>
      </c>
      <c r="AD26" s="144" t="str">
        <f t="shared" si="3"/>
        <v>Sinalização vertical SAUS</v>
      </c>
      <c r="AE26" s="179"/>
      <c r="AF26" s="180">
        <f t="shared" si="20"/>
        <v>0</v>
      </c>
      <c r="AG26" s="180">
        <f t="shared" si="17"/>
        <v>0</v>
      </c>
      <c r="AH26" s="181">
        <f t="shared" si="21"/>
        <v>0</v>
      </c>
      <c r="AI26" s="182"/>
      <c r="AJ26" s="90"/>
      <c r="AK26" s="90"/>
      <c r="AL26" s="183">
        <f t="shared" si="22"/>
        <v>0</v>
      </c>
      <c r="AM26" s="182"/>
      <c r="AN26" s="90"/>
      <c r="AO26" s="90"/>
      <c r="AP26" s="183">
        <f t="shared" si="23"/>
        <v>0</v>
      </c>
      <c r="AQ26" s="182"/>
      <c r="AR26" s="90"/>
      <c r="AS26" s="90"/>
      <c r="AT26" s="183">
        <f t="shared" si="24"/>
        <v>0</v>
      </c>
      <c r="AU26" s="182"/>
      <c r="AV26" s="90"/>
      <c r="AW26" s="90"/>
      <c r="AX26" s="183">
        <f t="shared" si="25"/>
        <v>0</v>
      </c>
      <c r="AY26" s="182"/>
      <c r="AZ26" s="90"/>
      <c r="BA26" s="90"/>
      <c r="BB26" s="183">
        <f t="shared" si="26"/>
        <v>0</v>
      </c>
      <c r="BC26" s="182"/>
      <c r="BD26" s="90"/>
      <c r="BE26" s="90"/>
      <c r="BF26" s="183">
        <f t="shared" si="27"/>
        <v>0</v>
      </c>
      <c r="BG26" s="182"/>
      <c r="BH26" s="90"/>
      <c r="BI26" s="90"/>
      <c r="BJ26" s="183">
        <f t="shared" si="28"/>
        <v>0</v>
      </c>
      <c r="BK26" s="182"/>
      <c r="BL26" s="90"/>
      <c r="BM26" s="90"/>
      <c r="BN26" s="183">
        <f t="shared" si="29"/>
        <v>0</v>
      </c>
      <c r="BO26" s="182"/>
      <c r="BP26" s="90"/>
      <c r="BQ26" s="90"/>
      <c r="BR26" s="183">
        <f t="shared" si="30"/>
        <v>0</v>
      </c>
      <c r="BS26" s="182"/>
      <c r="BT26" s="90"/>
      <c r="BU26" s="90"/>
      <c r="BV26" s="183">
        <f t="shared" si="31"/>
        <v>0</v>
      </c>
      <c r="BW26" s="182"/>
      <c r="BX26" s="90"/>
      <c r="BY26" s="90"/>
      <c r="BZ26" s="183">
        <f t="shared" si="32"/>
        <v>0</v>
      </c>
      <c r="CA26" s="182"/>
      <c r="CB26" s="90"/>
      <c r="CC26" s="90"/>
      <c r="CD26" s="183">
        <f t="shared" si="33"/>
        <v>0</v>
      </c>
    </row>
    <row r="27" spans="2:82" x14ac:dyDescent="0.3">
      <c r="B27" s="53"/>
      <c r="C27" s="53" t="str">
        <f t="shared" si="0"/>
        <v>CPU_SinalizaçãoverticalS</v>
      </c>
      <c r="D27" s="278">
        <f t="shared" si="1"/>
        <v>1</v>
      </c>
      <c r="E27" s="278">
        <f t="shared" si="2"/>
        <v>0</v>
      </c>
      <c r="F27" s="1"/>
      <c r="G27" s="28" t="str">
        <f>IFERROR(VLOOKUP(F27,Tabela7[[RECURSO]:[CUSTO]],2,FALSE),"")</f>
        <v/>
      </c>
      <c r="H27" s="93"/>
      <c r="I27" s="90"/>
      <c r="J27" s="45">
        <f>IFERROR(VLOOKUP(F27,Tabela7[[RECURSO]:[CUSTO]],3,FALSE),0)</f>
        <v>0</v>
      </c>
      <c r="K27" s="45">
        <f t="shared" si="34"/>
        <v>0</v>
      </c>
      <c r="AD27" s="144" t="str">
        <f t="shared" si="3"/>
        <v>Sinalização vertical SAUS</v>
      </c>
      <c r="AE27" s="179"/>
      <c r="AF27" s="180">
        <f t="shared" si="20"/>
        <v>0</v>
      </c>
      <c r="AG27" s="180">
        <f t="shared" si="17"/>
        <v>0</v>
      </c>
      <c r="AH27" s="181">
        <f t="shared" si="21"/>
        <v>0</v>
      </c>
      <c r="AI27" s="182"/>
      <c r="AJ27" s="90"/>
      <c r="AK27" s="90"/>
      <c r="AL27" s="183">
        <f t="shared" si="22"/>
        <v>0</v>
      </c>
      <c r="AM27" s="182"/>
      <c r="AN27" s="90"/>
      <c r="AO27" s="90"/>
      <c r="AP27" s="183">
        <f t="shared" si="23"/>
        <v>0</v>
      </c>
      <c r="AQ27" s="182"/>
      <c r="AR27" s="90"/>
      <c r="AS27" s="90"/>
      <c r="AT27" s="183">
        <f t="shared" si="24"/>
        <v>0</v>
      </c>
      <c r="AU27" s="182"/>
      <c r="AV27" s="90"/>
      <c r="AW27" s="90"/>
      <c r="AX27" s="183">
        <f t="shared" si="25"/>
        <v>0</v>
      </c>
      <c r="AY27" s="182"/>
      <c r="AZ27" s="90"/>
      <c r="BA27" s="90"/>
      <c r="BB27" s="183">
        <f t="shared" si="26"/>
        <v>0</v>
      </c>
      <c r="BC27" s="182"/>
      <c r="BD27" s="90"/>
      <c r="BE27" s="90"/>
      <c r="BF27" s="183">
        <f t="shared" si="27"/>
        <v>0</v>
      </c>
      <c r="BG27" s="182"/>
      <c r="BH27" s="90"/>
      <c r="BI27" s="90"/>
      <c r="BJ27" s="183">
        <f t="shared" si="28"/>
        <v>0</v>
      </c>
      <c r="BK27" s="182"/>
      <c r="BL27" s="90"/>
      <c r="BM27" s="90"/>
      <c r="BN27" s="183">
        <f t="shared" si="29"/>
        <v>0</v>
      </c>
      <c r="BO27" s="182"/>
      <c r="BP27" s="90"/>
      <c r="BQ27" s="90"/>
      <c r="BR27" s="183">
        <f t="shared" si="30"/>
        <v>0</v>
      </c>
      <c r="BS27" s="182"/>
      <c r="BT27" s="90"/>
      <c r="BU27" s="90"/>
      <c r="BV27" s="183">
        <f t="shared" si="31"/>
        <v>0</v>
      </c>
      <c r="BW27" s="182"/>
      <c r="BX27" s="90"/>
      <c r="BY27" s="90"/>
      <c r="BZ27" s="183">
        <f t="shared" si="32"/>
        <v>0</v>
      </c>
      <c r="CA27" s="182"/>
      <c r="CB27" s="90"/>
      <c r="CC27" s="90"/>
      <c r="CD27" s="183">
        <f t="shared" si="33"/>
        <v>0</v>
      </c>
    </row>
    <row r="28" spans="2:82" x14ac:dyDescent="0.3">
      <c r="B28" s="53"/>
      <c r="C28" s="53" t="str">
        <f t="shared" si="0"/>
        <v>CPU_SinalizaçãoverticalS</v>
      </c>
      <c r="D28" s="278">
        <f t="shared" si="1"/>
        <v>1</v>
      </c>
      <c r="E28" s="278">
        <f t="shared" si="2"/>
        <v>0</v>
      </c>
      <c r="F28" s="1"/>
      <c r="G28" s="28" t="str">
        <f>IFERROR(VLOOKUP(F28,Tabela7[[RECURSO]:[CUSTO]],2,FALSE),"")</f>
        <v/>
      </c>
      <c r="H28" s="93"/>
      <c r="I28" s="90"/>
      <c r="J28" s="45">
        <f>IFERROR(VLOOKUP(F28,Tabela7[[RECURSO]:[CUSTO]],3,FALSE),0)</f>
        <v>0</v>
      </c>
      <c r="K28" s="45">
        <f t="shared" si="34"/>
        <v>0</v>
      </c>
      <c r="AD28" s="144" t="str">
        <f t="shared" si="3"/>
        <v>Sinalização vertical SAUS</v>
      </c>
      <c r="AE28" s="179"/>
      <c r="AF28" s="180">
        <f t="shared" si="20"/>
        <v>0</v>
      </c>
      <c r="AG28" s="180">
        <f t="shared" si="17"/>
        <v>0</v>
      </c>
      <c r="AH28" s="181">
        <f t="shared" si="21"/>
        <v>0</v>
      </c>
      <c r="AI28" s="182"/>
      <c r="AJ28" s="90"/>
      <c r="AK28" s="90"/>
      <c r="AL28" s="183">
        <f t="shared" si="22"/>
        <v>0</v>
      </c>
      <c r="AM28" s="182"/>
      <c r="AN28" s="90"/>
      <c r="AO28" s="90"/>
      <c r="AP28" s="183">
        <f t="shared" si="23"/>
        <v>0</v>
      </c>
      <c r="AQ28" s="182"/>
      <c r="AR28" s="90"/>
      <c r="AS28" s="90"/>
      <c r="AT28" s="183">
        <f t="shared" si="24"/>
        <v>0</v>
      </c>
      <c r="AU28" s="182"/>
      <c r="AV28" s="90"/>
      <c r="AW28" s="90"/>
      <c r="AX28" s="183">
        <f t="shared" si="25"/>
        <v>0</v>
      </c>
      <c r="AY28" s="182"/>
      <c r="AZ28" s="90"/>
      <c r="BA28" s="90"/>
      <c r="BB28" s="183">
        <f t="shared" si="26"/>
        <v>0</v>
      </c>
      <c r="BC28" s="182"/>
      <c r="BD28" s="90"/>
      <c r="BE28" s="90"/>
      <c r="BF28" s="183">
        <f t="shared" si="27"/>
        <v>0</v>
      </c>
      <c r="BG28" s="182"/>
      <c r="BH28" s="90"/>
      <c r="BI28" s="90"/>
      <c r="BJ28" s="183">
        <f t="shared" si="28"/>
        <v>0</v>
      </c>
      <c r="BK28" s="182"/>
      <c r="BL28" s="90"/>
      <c r="BM28" s="90"/>
      <c r="BN28" s="183">
        <f t="shared" si="29"/>
        <v>0</v>
      </c>
      <c r="BO28" s="182"/>
      <c r="BP28" s="90"/>
      <c r="BQ28" s="90"/>
      <c r="BR28" s="183">
        <f t="shared" si="30"/>
        <v>0</v>
      </c>
      <c r="BS28" s="182"/>
      <c r="BT28" s="90"/>
      <c r="BU28" s="90"/>
      <c r="BV28" s="183">
        <f t="shared" si="31"/>
        <v>0</v>
      </c>
      <c r="BW28" s="182"/>
      <c r="BX28" s="90"/>
      <c r="BY28" s="90"/>
      <c r="BZ28" s="183">
        <f t="shared" si="32"/>
        <v>0</v>
      </c>
      <c r="CA28" s="182"/>
      <c r="CB28" s="90"/>
      <c r="CC28" s="90"/>
      <c r="CD28" s="183">
        <f t="shared" si="33"/>
        <v>0</v>
      </c>
    </row>
    <row r="29" spans="2:82" x14ac:dyDescent="0.3">
      <c r="B29" s="53"/>
      <c r="C29" s="53" t="str">
        <f t="shared" si="0"/>
        <v>CPU_SinalizaçãoverticalS</v>
      </c>
      <c r="D29" s="278">
        <f t="shared" si="1"/>
        <v>1</v>
      </c>
      <c r="E29" s="278">
        <f t="shared" si="2"/>
        <v>0</v>
      </c>
      <c r="F29" s="1"/>
      <c r="G29" s="28" t="str">
        <f>IFERROR(VLOOKUP(F29,Tabela7[[RECURSO]:[CUSTO]],2,FALSE),"")</f>
        <v/>
      </c>
      <c r="H29" s="93"/>
      <c r="I29" s="90"/>
      <c r="J29" s="45">
        <f>IFERROR(VLOOKUP(F29,Tabela7[[RECURSO]:[CUSTO]],3,FALSE),0)</f>
        <v>0</v>
      </c>
      <c r="K29" s="45">
        <f t="shared" si="34"/>
        <v>0</v>
      </c>
      <c r="AD29" s="144" t="str">
        <f t="shared" si="3"/>
        <v>Sinalização vertical SAUS</v>
      </c>
      <c r="AE29" s="179"/>
      <c r="AF29" s="180">
        <f t="shared" si="20"/>
        <v>0</v>
      </c>
      <c r="AG29" s="180">
        <f t="shared" si="17"/>
        <v>0</v>
      </c>
      <c r="AH29" s="181">
        <f t="shared" si="21"/>
        <v>0</v>
      </c>
      <c r="AI29" s="182"/>
      <c r="AJ29" s="90"/>
      <c r="AK29" s="90"/>
      <c r="AL29" s="183">
        <f t="shared" si="22"/>
        <v>0</v>
      </c>
      <c r="AM29" s="182"/>
      <c r="AN29" s="90"/>
      <c r="AO29" s="90"/>
      <c r="AP29" s="183">
        <f t="shared" si="23"/>
        <v>0</v>
      </c>
      <c r="AQ29" s="182"/>
      <c r="AR29" s="90"/>
      <c r="AS29" s="90"/>
      <c r="AT29" s="183">
        <f t="shared" si="24"/>
        <v>0</v>
      </c>
      <c r="AU29" s="182"/>
      <c r="AV29" s="90"/>
      <c r="AW29" s="90"/>
      <c r="AX29" s="183">
        <f t="shared" si="25"/>
        <v>0</v>
      </c>
      <c r="AY29" s="182"/>
      <c r="AZ29" s="90"/>
      <c r="BA29" s="90"/>
      <c r="BB29" s="183">
        <f t="shared" si="26"/>
        <v>0</v>
      </c>
      <c r="BC29" s="182"/>
      <c r="BD29" s="90"/>
      <c r="BE29" s="90"/>
      <c r="BF29" s="183">
        <f t="shared" si="27"/>
        <v>0</v>
      </c>
      <c r="BG29" s="182"/>
      <c r="BH29" s="90"/>
      <c r="BI29" s="90"/>
      <c r="BJ29" s="183">
        <f t="shared" si="28"/>
        <v>0</v>
      </c>
      <c r="BK29" s="182"/>
      <c r="BL29" s="90"/>
      <c r="BM29" s="90"/>
      <c r="BN29" s="183">
        <f t="shared" si="29"/>
        <v>0</v>
      </c>
      <c r="BO29" s="182"/>
      <c r="BP29" s="90"/>
      <c r="BQ29" s="90"/>
      <c r="BR29" s="183">
        <f t="shared" si="30"/>
        <v>0</v>
      </c>
      <c r="BS29" s="182"/>
      <c r="BT29" s="90"/>
      <c r="BU29" s="90"/>
      <c r="BV29" s="183">
        <f t="shared" si="31"/>
        <v>0</v>
      </c>
      <c r="BW29" s="182"/>
      <c r="BX29" s="90"/>
      <c r="BY29" s="90"/>
      <c r="BZ29" s="183">
        <f t="shared" si="32"/>
        <v>0</v>
      </c>
      <c r="CA29" s="182"/>
      <c r="CB29" s="90"/>
      <c r="CC29" s="90"/>
      <c r="CD29" s="183">
        <f t="shared" si="33"/>
        <v>0</v>
      </c>
    </row>
    <row r="30" spans="2:82" x14ac:dyDescent="0.3">
      <c r="B30" s="53"/>
      <c r="C30" s="53" t="str">
        <f t="shared" si="0"/>
        <v>CPU_SinalizaçãoverticalS</v>
      </c>
      <c r="D30" s="278">
        <f t="shared" si="1"/>
        <v>1</v>
      </c>
      <c r="E30" s="278">
        <f t="shared" si="2"/>
        <v>0</v>
      </c>
      <c r="F30" s="1"/>
      <c r="G30" s="28" t="str">
        <f>IFERROR(VLOOKUP(F30,Tabela7[[RECURSO]:[CUSTO]],2,FALSE),"")</f>
        <v/>
      </c>
      <c r="H30" s="93"/>
      <c r="I30" s="90"/>
      <c r="J30" s="45">
        <f>IFERROR(VLOOKUP(F30,Tabela7[[RECURSO]:[CUSTO]],3,FALSE),0)</f>
        <v>0</v>
      </c>
      <c r="K30" s="45">
        <f t="shared" si="34"/>
        <v>0</v>
      </c>
      <c r="AD30" s="144" t="str">
        <f t="shared" si="3"/>
        <v>Sinalização vertical SAUS</v>
      </c>
      <c r="AE30" s="179"/>
      <c r="AF30" s="180">
        <f t="shared" si="20"/>
        <v>0</v>
      </c>
      <c r="AG30" s="180">
        <f t="shared" si="17"/>
        <v>0</v>
      </c>
      <c r="AH30" s="181">
        <f t="shared" si="21"/>
        <v>0</v>
      </c>
      <c r="AI30" s="182"/>
      <c r="AJ30" s="90"/>
      <c r="AK30" s="90"/>
      <c r="AL30" s="183">
        <f t="shared" si="22"/>
        <v>0</v>
      </c>
      <c r="AM30" s="182"/>
      <c r="AN30" s="90"/>
      <c r="AO30" s="90"/>
      <c r="AP30" s="183">
        <f t="shared" si="23"/>
        <v>0</v>
      </c>
      <c r="AQ30" s="182"/>
      <c r="AR30" s="90"/>
      <c r="AS30" s="90"/>
      <c r="AT30" s="183">
        <f t="shared" si="24"/>
        <v>0</v>
      </c>
      <c r="AU30" s="182"/>
      <c r="AV30" s="90"/>
      <c r="AW30" s="90"/>
      <c r="AX30" s="183">
        <f t="shared" si="25"/>
        <v>0</v>
      </c>
      <c r="AY30" s="182"/>
      <c r="AZ30" s="90"/>
      <c r="BA30" s="90"/>
      <c r="BB30" s="183">
        <f t="shared" si="26"/>
        <v>0</v>
      </c>
      <c r="BC30" s="182"/>
      <c r="BD30" s="90"/>
      <c r="BE30" s="90"/>
      <c r="BF30" s="183">
        <f t="shared" si="27"/>
        <v>0</v>
      </c>
      <c r="BG30" s="182"/>
      <c r="BH30" s="90"/>
      <c r="BI30" s="90"/>
      <c r="BJ30" s="183">
        <f t="shared" si="28"/>
        <v>0</v>
      </c>
      <c r="BK30" s="182"/>
      <c r="BL30" s="90"/>
      <c r="BM30" s="90"/>
      <c r="BN30" s="183">
        <f t="shared" si="29"/>
        <v>0</v>
      </c>
      <c r="BO30" s="182"/>
      <c r="BP30" s="90"/>
      <c r="BQ30" s="90"/>
      <c r="BR30" s="183">
        <f t="shared" si="30"/>
        <v>0</v>
      </c>
      <c r="BS30" s="182"/>
      <c r="BT30" s="90"/>
      <c r="BU30" s="90"/>
      <c r="BV30" s="183">
        <f t="shared" si="31"/>
        <v>0</v>
      </c>
      <c r="BW30" s="182"/>
      <c r="BX30" s="90"/>
      <c r="BY30" s="90"/>
      <c r="BZ30" s="183">
        <f t="shared" si="32"/>
        <v>0</v>
      </c>
      <c r="CA30" s="182"/>
      <c r="CB30" s="90"/>
      <c r="CC30" s="90"/>
      <c r="CD30" s="183">
        <f t="shared" si="33"/>
        <v>0</v>
      </c>
    </row>
    <row r="31" spans="2:82" x14ac:dyDescent="0.3">
      <c r="B31" s="53"/>
      <c r="C31" s="53" t="str">
        <f t="shared" si="0"/>
        <v>CPU_SinalizaçãoverticalS</v>
      </c>
      <c r="D31" s="278">
        <f t="shared" si="1"/>
        <v>1</v>
      </c>
      <c r="E31" s="278">
        <f t="shared" si="2"/>
        <v>0</v>
      </c>
      <c r="F31" s="1"/>
      <c r="G31" s="28" t="str">
        <f>IFERROR(VLOOKUP(F31,Tabela7[[RECURSO]:[CUSTO]],2,FALSE),"")</f>
        <v/>
      </c>
      <c r="H31" s="93"/>
      <c r="I31" s="90"/>
      <c r="J31" s="45">
        <f>IFERROR(VLOOKUP(F31,Tabela7[[RECURSO]:[CUSTO]],3,FALSE),0)</f>
        <v>0</v>
      </c>
      <c r="K31" s="45">
        <f t="shared" si="34"/>
        <v>0</v>
      </c>
      <c r="AD31" s="144" t="str">
        <f t="shared" si="3"/>
        <v>Sinalização vertical SAUS</v>
      </c>
      <c r="AE31" s="179"/>
      <c r="AF31" s="180">
        <f t="shared" si="20"/>
        <v>0</v>
      </c>
      <c r="AG31" s="180">
        <f t="shared" si="17"/>
        <v>0</v>
      </c>
      <c r="AH31" s="181">
        <f t="shared" si="21"/>
        <v>0</v>
      </c>
      <c r="AI31" s="182"/>
      <c r="AJ31" s="90"/>
      <c r="AK31" s="90"/>
      <c r="AL31" s="183">
        <f t="shared" si="22"/>
        <v>0</v>
      </c>
      <c r="AM31" s="182"/>
      <c r="AN31" s="90"/>
      <c r="AO31" s="90"/>
      <c r="AP31" s="183">
        <f t="shared" si="23"/>
        <v>0</v>
      </c>
      <c r="AQ31" s="182"/>
      <c r="AR31" s="90"/>
      <c r="AS31" s="90"/>
      <c r="AT31" s="183">
        <f t="shared" si="24"/>
        <v>0</v>
      </c>
      <c r="AU31" s="182"/>
      <c r="AV31" s="90"/>
      <c r="AW31" s="90"/>
      <c r="AX31" s="183">
        <f t="shared" si="25"/>
        <v>0</v>
      </c>
      <c r="AY31" s="182"/>
      <c r="AZ31" s="90"/>
      <c r="BA31" s="90"/>
      <c r="BB31" s="183">
        <f t="shared" si="26"/>
        <v>0</v>
      </c>
      <c r="BC31" s="182"/>
      <c r="BD31" s="90"/>
      <c r="BE31" s="90"/>
      <c r="BF31" s="183">
        <f t="shared" si="27"/>
        <v>0</v>
      </c>
      <c r="BG31" s="182"/>
      <c r="BH31" s="90"/>
      <c r="BI31" s="90"/>
      <c r="BJ31" s="183">
        <f t="shared" si="28"/>
        <v>0</v>
      </c>
      <c r="BK31" s="182"/>
      <c r="BL31" s="90"/>
      <c r="BM31" s="90"/>
      <c r="BN31" s="183">
        <f t="shared" si="29"/>
        <v>0</v>
      </c>
      <c r="BO31" s="182"/>
      <c r="BP31" s="90"/>
      <c r="BQ31" s="90"/>
      <c r="BR31" s="183">
        <f t="shared" si="30"/>
        <v>0</v>
      </c>
      <c r="BS31" s="182"/>
      <c r="BT31" s="90"/>
      <c r="BU31" s="90"/>
      <c r="BV31" s="183">
        <f t="shared" si="31"/>
        <v>0</v>
      </c>
      <c r="BW31" s="182"/>
      <c r="BX31" s="90"/>
      <c r="BY31" s="90"/>
      <c r="BZ31" s="183">
        <f t="shared" si="32"/>
        <v>0</v>
      </c>
      <c r="CA31" s="182"/>
      <c r="CB31" s="90"/>
      <c r="CC31" s="90"/>
      <c r="CD31" s="183">
        <f t="shared" si="33"/>
        <v>0</v>
      </c>
    </row>
    <row r="32" spans="2:82" x14ac:dyDescent="0.3">
      <c r="B32" s="53"/>
      <c r="C32" s="53" t="str">
        <f t="shared" si="0"/>
        <v>CPU_SinalizaçãoverticalS</v>
      </c>
      <c r="D32" s="278">
        <f t="shared" si="1"/>
        <v>1</v>
      </c>
      <c r="E32" s="278">
        <f t="shared" si="2"/>
        <v>0</v>
      </c>
      <c r="F32" s="1"/>
      <c r="G32" s="28" t="str">
        <f>IFERROR(VLOOKUP(F32,Tabela7[[RECURSO]:[CUSTO]],2,FALSE),"")</f>
        <v/>
      </c>
      <c r="H32" s="93"/>
      <c r="I32" s="90"/>
      <c r="J32" s="45">
        <f>IFERROR(VLOOKUP(F32,Tabela7[[RECURSO]:[CUSTO]],3,FALSE),0)</f>
        <v>0</v>
      </c>
      <c r="K32" s="45">
        <f t="shared" si="34"/>
        <v>0</v>
      </c>
      <c r="AD32" s="144" t="str">
        <f t="shared" si="3"/>
        <v>Sinalização vertical SAUS</v>
      </c>
      <c r="AE32" s="179"/>
      <c r="AF32" s="180">
        <f t="shared" si="20"/>
        <v>0</v>
      </c>
      <c r="AG32" s="180">
        <f t="shared" si="17"/>
        <v>0</v>
      </c>
      <c r="AH32" s="181">
        <f t="shared" si="21"/>
        <v>0</v>
      </c>
      <c r="AI32" s="182"/>
      <c r="AJ32" s="90"/>
      <c r="AK32" s="90"/>
      <c r="AL32" s="183">
        <f t="shared" si="22"/>
        <v>0</v>
      </c>
      <c r="AM32" s="182"/>
      <c r="AN32" s="90"/>
      <c r="AO32" s="90"/>
      <c r="AP32" s="183">
        <f t="shared" si="23"/>
        <v>0</v>
      </c>
      <c r="AQ32" s="182"/>
      <c r="AR32" s="90"/>
      <c r="AS32" s="90"/>
      <c r="AT32" s="183">
        <f t="shared" si="24"/>
        <v>0</v>
      </c>
      <c r="AU32" s="182"/>
      <c r="AV32" s="90"/>
      <c r="AW32" s="90"/>
      <c r="AX32" s="183">
        <f t="shared" si="25"/>
        <v>0</v>
      </c>
      <c r="AY32" s="182"/>
      <c r="AZ32" s="90"/>
      <c r="BA32" s="90"/>
      <c r="BB32" s="183">
        <f t="shared" si="26"/>
        <v>0</v>
      </c>
      <c r="BC32" s="182"/>
      <c r="BD32" s="90"/>
      <c r="BE32" s="90"/>
      <c r="BF32" s="183">
        <f t="shared" si="27"/>
        <v>0</v>
      </c>
      <c r="BG32" s="182"/>
      <c r="BH32" s="90"/>
      <c r="BI32" s="90"/>
      <c r="BJ32" s="183">
        <f t="shared" si="28"/>
        <v>0</v>
      </c>
      <c r="BK32" s="182"/>
      <c r="BL32" s="90"/>
      <c r="BM32" s="90"/>
      <c r="BN32" s="183">
        <f t="shared" si="29"/>
        <v>0</v>
      </c>
      <c r="BO32" s="182"/>
      <c r="BP32" s="90"/>
      <c r="BQ32" s="90"/>
      <c r="BR32" s="183">
        <f t="shared" si="30"/>
        <v>0</v>
      </c>
      <c r="BS32" s="182"/>
      <c r="BT32" s="90"/>
      <c r="BU32" s="90"/>
      <c r="BV32" s="183">
        <f t="shared" si="31"/>
        <v>0</v>
      </c>
      <c r="BW32" s="182"/>
      <c r="BX32" s="90"/>
      <c r="BY32" s="90"/>
      <c r="BZ32" s="183">
        <f t="shared" si="32"/>
        <v>0</v>
      </c>
      <c r="CA32" s="182"/>
      <c r="CB32" s="90"/>
      <c r="CC32" s="90"/>
      <c r="CD32" s="183">
        <f t="shared" si="33"/>
        <v>0</v>
      </c>
    </row>
    <row r="33" spans="2:82" x14ac:dyDescent="0.3">
      <c r="B33" s="53"/>
      <c r="C33" s="53" t="str">
        <f t="shared" si="0"/>
        <v>CPU_SinalizaçãoverticalS</v>
      </c>
      <c r="D33" s="278">
        <f t="shared" si="1"/>
        <v>1</v>
      </c>
      <c r="E33" s="278">
        <f t="shared" si="2"/>
        <v>0</v>
      </c>
      <c r="F33" s="1"/>
      <c r="G33" s="28" t="str">
        <f>IFERROR(VLOOKUP(F33,Tabela7[[RECURSO]:[CUSTO]],2,FALSE),"")</f>
        <v/>
      </c>
      <c r="H33" s="93"/>
      <c r="I33" s="90"/>
      <c r="J33" s="45">
        <f>IFERROR(VLOOKUP(F33,Tabela7[[RECURSO]:[CUSTO]],3,FALSE),0)</f>
        <v>0</v>
      </c>
      <c r="K33" s="45">
        <f t="shared" si="34"/>
        <v>0</v>
      </c>
      <c r="AD33" s="144" t="str">
        <f t="shared" si="3"/>
        <v>Sinalização vertical SAUS</v>
      </c>
      <c r="AE33" s="179"/>
      <c r="AF33" s="180">
        <f t="shared" si="20"/>
        <v>0</v>
      </c>
      <c r="AG33" s="180">
        <f t="shared" si="17"/>
        <v>0</v>
      </c>
      <c r="AH33" s="181">
        <f t="shared" si="21"/>
        <v>0</v>
      </c>
      <c r="AI33" s="182"/>
      <c r="AJ33" s="90"/>
      <c r="AK33" s="90"/>
      <c r="AL33" s="183">
        <f t="shared" si="22"/>
        <v>0</v>
      </c>
      <c r="AM33" s="182"/>
      <c r="AN33" s="90"/>
      <c r="AO33" s="90"/>
      <c r="AP33" s="183">
        <f t="shared" si="23"/>
        <v>0</v>
      </c>
      <c r="AQ33" s="182"/>
      <c r="AR33" s="90"/>
      <c r="AS33" s="90"/>
      <c r="AT33" s="183">
        <f t="shared" si="24"/>
        <v>0</v>
      </c>
      <c r="AU33" s="182"/>
      <c r="AV33" s="90"/>
      <c r="AW33" s="90"/>
      <c r="AX33" s="183">
        <f t="shared" si="25"/>
        <v>0</v>
      </c>
      <c r="AY33" s="182"/>
      <c r="AZ33" s="90"/>
      <c r="BA33" s="90"/>
      <c r="BB33" s="183">
        <f t="shared" si="26"/>
        <v>0</v>
      </c>
      <c r="BC33" s="182"/>
      <c r="BD33" s="90"/>
      <c r="BE33" s="90"/>
      <c r="BF33" s="183">
        <f t="shared" si="27"/>
        <v>0</v>
      </c>
      <c r="BG33" s="182"/>
      <c r="BH33" s="90"/>
      <c r="BI33" s="90"/>
      <c r="BJ33" s="183">
        <f t="shared" si="28"/>
        <v>0</v>
      </c>
      <c r="BK33" s="182"/>
      <c r="BL33" s="90"/>
      <c r="BM33" s="90"/>
      <c r="BN33" s="183">
        <f t="shared" si="29"/>
        <v>0</v>
      </c>
      <c r="BO33" s="182"/>
      <c r="BP33" s="90"/>
      <c r="BQ33" s="90"/>
      <c r="BR33" s="183">
        <f t="shared" si="30"/>
        <v>0</v>
      </c>
      <c r="BS33" s="182"/>
      <c r="BT33" s="90"/>
      <c r="BU33" s="90"/>
      <c r="BV33" s="183">
        <f t="shared" si="31"/>
        <v>0</v>
      </c>
      <c r="BW33" s="182"/>
      <c r="BX33" s="90"/>
      <c r="BY33" s="90"/>
      <c r="BZ33" s="183">
        <f t="shared" si="32"/>
        <v>0</v>
      </c>
      <c r="CA33" s="182"/>
      <c r="CB33" s="90"/>
      <c r="CC33" s="90"/>
      <c r="CD33" s="183">
        <f t="shared" si="33"/>
        <v>0</v>
      </c>
    </row>
    <row r="34" spans="2:82" x14ac:dyDescent="0.3">
      <c r="B34" s="53"/>
      <c r="C34" s="53" t="str">
        <f t="shared" si="0"/>
        <v>CPU_SinalizaçãoverticalS</v>
      </c>
      <c r="D34" s="278">
        <f t="shared" si="1"/>
        <v>1</v>
      </c>
      <c r="E34" s="278">
        <f t="shared" si="2"/>
        <v>0</v>
      </c>
      <c r="F34" s="1"/>
      <c r="G34" s="28" t="str">
        <f>IFERROR(VLOOKUP(F34,Tabela7[[RECURSO]:[CUSTO]],2,FALSE),"")</f>
        <v/>
      </c>
      <c r="H34" s="93"/>
      <c r="I34" s="90"/>
      <c r="J34" s="45">
        <f>IFERROR(VLOOKUP(F34,Tabela7[[RECURSO]:[CUSTO]],3,FALSE),0)</f>
        <v>0</v>
      </c>
      <c r="K34" s="45">
        <f t="shared" si="34"/>
        <v>0</v>
      </c>
      <c r="AD34" s="144" t="str">
        <f t="shared" si="3"/>
        <v>Sinalização vertical SAUS</v>
      </c>
      <c r="AE34" s="179"/>
      <c r="AF34" s="180">
        <f t="shared" si="20"/>
        <v>0</v>
      </c>
      <c r="AG34" s="180">
        <f t="shared" si="17"/>
        <v>0</v>
      </c>
      <c r="AH34" s="181">
        <f t="shared" si="21"/>
        <v>0</v>
      </c>
      <c r="AI34" s="182"/>
      <c r="AJ34" s="90"/>
      <c r="AK34" s="90"/>
      <c r="AL34" s="183">
        <f t="shared" si="22"/>
        <v>0</v>
      </c>
      <c r="AM34" s="182"/>
      <c r="AN34" s="90"/>
      <c r="AO34" s="90"/>
      <c r="AP34" s="183">
        <f t="shared" si="23"/>
        <v>0</v>
      </c>
      <c r="AQ34" s="182"/>
      <c r="AR34" s="90"/>
      <c r="AS34" s="90"/>
      <c r="AT34" s="183">
        <f t="shared" si="24"/>
        <v>0</v>
      </c>
      <c r="AU34" s="182"/>
      <c r="AV34" s="90"/>
      <c r="AW34" s="90"/>
      <c r="AX34" s="183">
        <f t="shared" si="25"/>
        <v>0</v>
      </c>
      <c r="AY34" s="182"/>
      <c r="AZ34" s="90"/>
      <c r="BA34" s="90"/>
      <c r="BB34" s="183">
        <f t="shared" si="26"/>
        <v>0</v>
      </c>
      <c r="BC34" s="182"/>
      <c r="BD34" s="90"/>
      <c r="BE34" s="90"/>
      <c r="BF34" s="183">
        <f t="shared" si="27"/>
        <v>0</v>
      </c>
      <c r="BG34" s="182"/>
      <c r="BH34" s="90"/>
      <c r="BI34" s="90"/>
      <c r="BJ34" s="183">
        <f t="shared" si="28"/>
        <v>0</v>
      </c>
      <c r="BK34" s="182"/>
      <c r="BL34" s="90"/>
      <c r="BM34" s="90"/>
      <c r="BN34" s="183">
        <f t="shared" si="29"/>
        <v>0</v>
      </c>
      <c r="BO34" s="182"/>
      <c r="BP34" s="90"/>
      <c r="BQ34" s="90"/>
      <c r="BR34" s="183">
        <f t="shared" si="30"/>
        <v>0</v>
      </c>
      <c r="BS34" s="182"/>
      <c r="BT34" s="90"/>
      <c r="BU34" s="90"/>
      <c r="BV34" s="183">
        <f t="shared" si="31"/>
        <v>0</v>
      </c>
      <c r="BW34" s="182"/>
      <c r="BX34" s="90"/>
      <c r="BY34" s="90"/>
      <c r="BZ34" s="183">
        <f t="shared" si="32"/>
        <v>0</v>
      </c>
      <c r="CA34" s="182"/>
      <c r="CB34" s="90"/>
      <c r="CC34" s="90"/>
      <c r="CD34" s="183">
        <f t="shared" si="33"/>
        <v>0</v>
      </c>
    </row>
    <row r="35" spans="2:82" x14ac:dyDescent="0.3">
      <c r="B35" s="53"/>
      <c r="C35" s="53" t="str">
        <f t="shared" si="0"/>
        <v>CPU_SinalizaçãoverticalS</v>
      </c>
      <c r="D35" s="278">
        <f t="shared" si="1"/>
        <v>1</v>
      </c>
      <c r="E35" s="278">
        <f t="shared" si="2"/>
        <v>0</v>
      </c>
      <c r="F35" s="1"/>
      <c r="G35" s="28" t="str">
        <f>IFERROR(VLOOKUP(F35,Tabela7[[RECURSO]:[CUSTO]],2,FALSE),"")</f>
        <v/>
      </c>
      <c r="H35" s="93"/>
      <c r="I35" s="90"/>
      <c r="J35" s="45">
        <f>IFERROR(VLOOKUP(F35,Tabela7[[RECURSO]:[CUSTO]],3,FALSE),0)</f>
        <v>0</v>
      </c>
      <c r="K35" s="45">
        <f t="shared" si="34"/>
        <v>0</v>
      </c>
      <c r="AD35" s="144" t="str">
        <f t="shared" si="3"/>
        <v>Sinalização vertical SAUS</v>
      </c>
      <c r="AE35" s="179"/>
      <c r="AF35" s="180">
        <f t="shared" si="20"/>
        <v>0</v>
      </c>
      <c r="AG35" s="180">
        <f t="shared" si="17"/>
        <v>0</v>
      </c>
      <c r="AH35" s="181">
        <f t="shared" si="21"/>
        <v>0</v>
      </c>
      <c r="AI35" s="182"/>
      <c r="AJ35" s="90"/>
      <c r="AK35" s="90"/>
      <c r="AL35" s="183">
        <f t="shared" si="22"/>
        <v>0</v>
      </c>
      <c r="AM35" s="182"/>
      <c r="AN35" s="90"/>
      <c r="AO35" s="90"/>
      <c r="AP35" s="183">
        <f t="shared" si="23"/>
        <v>0</v>
      </c>
      <c r="AQ35" s="182"/>
      <c r="AR35" s="90"/>
      <c r="AS35" s="90"/>
      <c r="AT35" s="183">
        <f t="shared" si="24"/>
        <v>0</v>
      </c>
      <c r="AU35" s="182"/>
      <c r="AV35" s="90"/>
      <c r="AW35" s="90"/>
      <c r="AX35" s="183">
        <f t="shared" si="25"/>
        <v>0</v>
      </c>
      <c r="AY35" s="182"/>
      <c r="AZ35" s="90"/>
      <c r="BA35" s="90"/>
      <c r="BB35" s="183">
        <f t="shared" si="26"/>
        <v>0</v>
      </c>
      <c r="BC35" s="182"/>
      <c r="BD35" s="90"/>
      <c r="BE35" s="90"/>
      <c r="BF35" s="183">
        <f t="shared" si="27"/>
        <v>0</v>
      </c>
      <c r="BG35" s="182"/>
      <c r="BH35" s="90"/>
      <c r="BI35" s="90"/>
      <c r="BJ35" s="183">
        <f t="shared" si="28"/>
        <v>0</v>
      </c>
      <c r="BK35" s="182"/>
      <c r="BL35" s="90"/>
      <c r="BM35" s="90"/>
      <c r="BN35" s="183">
        <f t="shared" si="29"/>
        <v>0</v>
      </c>
      <c r="BO35" s="182"/>
      <c r="BP35" s="90"/>
      <c r="BQ35" s="90"/>
      <c r="BR35" s="183">
        <f t="shared" si="30"/>
        <v>0</v>
      </c>
      <c r="BS35" s="182"/>
      <c r="BT35" s="90"/>
      <c r="BU35" s="90"/>
      <c r="BV35" s="183">
        <f t="shared" si="31"/>
        <v>0</v>
      </c>
      <c r="BW35" s="182"/>
      <c r="BX35" s="90"/>
      <c r="BY35" s="90"/>
      <c r="BZ35" s="183">
        <f t="shared" si="32"/>
        <v>0</v>
      </c>
      <c r="CA35" s="182"/>
      <c r="CB35" s="90"/>
      <c r="CC35" s="90"/>
      <c r="CD35" s="183">
        <f t="shared" si="33"/>
        <v>0</v>
      </c>
    </row>
    <row r="36" spans="2:82" x14ac:dyDescent="0.3">
      <c r="B36" s="53"/>
      <c r="C36" s="53" t="str">
        <f t="shared" si="0"/>
        <v>CPU_SinalizaçãoverticalS</v>
      </c>
      <c r="D36" s="278">
        <f t="shared" si="1"/>
        <v>1</v>
      </c>
      <c r="E36" s="278">
        <f t="shared" si="2"/>
        <v>0</v>
      </c>
      <c r="F36" s="1"/>
      <c r="G36" s="28" t="str">
        <f>IFERROR(VLOOKUP(F36,Tabela7[[RECURSO]:[CUSTO]],2,FALSE),"")</f>
        <v/>
      </c>
      <c r="H36" s="93"/>
      <c r="I36" s="90"/>
      <c r="J36" s="45">
        <f>IFERROR(VLOOKUP(F36,Tabela7[[RECURSO]:[CUSTO]],3,FALSE),0)</f>
        <v>0</v>
      </c>
      <c r="K36" s="45">
        <f t="shared" si="34"/>
        <v>0</v>
      </c>
      <c r="AD36" s="144" t="str">
        <f t="shared" si="3"/>
        <v>Sinalização vertical SAUS</v>
      </c>
      <c r="AE36" s="179"/>
      <c r="AF36" s="180">
        <f t="shared" si="20"/>
        <v>0</v>
      </c>
      <c r="AG36" s="180">
        <f t="shared" si="17"/>
        <v>0</v>
      </c>
      <c r="AH36" s="181">
        <f t="shared" si="21"/>
        <v>0</v>
      </c>
      <c r="AI36" s="182"/>
      <c r="AJ36" s="90"/>
      <c r="AK36" s="90"/>
      <c r="AL36" s="183">
        <f t="shared" si="22"/>
        <v>0</v>
      </c>
      <c r="AM36" s="182"/>
      <c r="AN36" s="90"/>
      <c r="AO36" s="90"/>
      <c r="AP36" s="183">
        <f t="shared" si="23"/>
        <v>0</v>
      </c>
      <c r="AQ36" s="182"/>
      <c r="AR36" s="90"/>
      <c r="AS36" s="90"/>
      <c r="AT36" s="183">
        <f t="shared" si="24"/>
        <v>0</v>
      </c>
      <c r="AU36" s="182"/>
      <c r="AV36" s="90"/>
      <c r="AW36" s="90"/>
      <c r="AX36" s="183">
        <f t="shared" si="25"/>
        <v>0</v>
      </c>
      <c r="AY36" s="182"/>
      <c r="AZ36" s="90"/>
      <c r="BA36" s="90"/>
      <c r="BB36" s="183">
        <f t="shared" si="26"/>
        <v>0</v>
      </c>
      <c r="BC36" s="182"/>
      <c r="BD36" s="90"/>
      <c r="BE36" s="90"/>
      <c r="BF36" s="183">
        <f t="shared" si="27"/>
        <v>0</v>
      </c>
      <c r="BG36" s="182"/>
      <c r="BH36" s="90"/>
      <c r="BI36" s="90"/>
      <c r="BJ36" s="183">
        <f t="shared" si="28"/>
        <v>0</v>
      </c>
      <c r="BK36" s="182"/>
      <c r="BL36" s="90"/>
      <c r="BM36" s="90"/>
      <c r="BN36" s="183">
        <f t="shared" si="29"/>
        <v>0</v>
      </c>
      <c r="BO36" s="182"/>
      <c r="BP36" s="90"/>
      <c r="BQ36" s="90"/>
      <c r="BR36" s="183">
        <f t="shared" si="30"/>
        <v>0</v>
      </c>
      <c r="BS36" s="182"/>
      <c r="BT36" s="90"/>
      <c r="BU36" s="90"/>
      <c r="BV36" s="183">
        <f t="shared" si="31"/>
        <v>0</v>
      </c>
      <c r="BW36" s="182"/>
      <c r="BX36" s="90"/>
      <c r="BY36" s="90"/>
      <c r="BZ36" s="183">
        <f t="shared" si="32"/>
        <v>0</v>
      </c>
      <c r="CA36" s="182"/>
      <c r="CB36" s="90"/>
      <c r="CC36" s="90"/>
      <c r="CD36" s="183">
        <f t="shared" si="33"/>
        <v>0</v>
      </c>
    </row>
    <row r="37" spans="2:82" x14ac:dyDescent="0.3">
      <c r="B37" s="52" t="s">
        <v>692</v>
      </c>
      <c r="C37" s="52" t="str">
        <f t="shared" si="0"/>
        <v>CPU_SinalizaçãoverticalS</v>
      </c>
      <c r="D37" s="277">
        <f t="shared" si="1"/>
        <v>1</v>
      </c>
      <c r="E37" s="277">
        <f t="shared" si="2"/>
        <v>0</v>
      </c>
      <c r="F37" s="37"/>
      <c r="G37" s="38"/>
      <c r="H37" s="91"/>
      <c r="I37" s="40"/>
      <c r="J37" s="40">
        <f>IFERROR(K37/$B$6,0)</f>
        <v>0</v>
      </c>
      <c r="K37" s="40">
        <f>SUM(K38:K49)</f>
        <v>0</v>
      </c>
      <c r="N37" s="39"/>
      <c r="AD37" s="144" t="str">
        <f t="shared" si="3"/>
        <v>Sinalização vertical SAUS</v>
      </c>
      <c r="AE37" s="184"/>
      <c r="AF37" s="40"/>
      <c r="AG37" s="40">
        <f>IFERROR(AH37/AF$3,0)</f>
        <v>0</v>
      </c>
      <c r="AH37" s="185">
        <f>SUM(AH38:AH49)</f>
        <v>0</v>
      </c>
      <c r="AI37" s="184"/>
      <c r="AJ37" s="40"/>
      <c r="AK37" s="40">
        <f>IFERROR(AL37/AJ$3,0)</f>
        <v>0</v>
      </c>
      <c r="AL37" s="185">
        <f>SUM(AL38:AL49)</f>
        <v>0</v>
      </c>
      <c r="AM37" s="184"/>
      <c r="AN37" s="40"/>
      <c r="AO37" s="40">
        <f>IFERROR(AP37/AN$3,0)</f>
        <v>0</v>
      </c>
      <c r="AP37" s="185">
        <f>SUM(AP38:AP49)</f>
        <v>0</v>
      </c>
      <c r="AQ37" s="184"/>
      <c r="AR37" s="40"/>
      <c r="AS37" s="40">
        <f>IFERROR(AT37/AR$3,0)</f>
        <v>0</v>
      </c>
      <c r="AT37" s="185">
        <f>SUM(AT38:AT49)</f>
        <v>0</v>
      </c>
      <c r="AU37" s="184"/>
      <c r="AV37" s="40"/>
      <c r="AW37" s="40">
        <f>IFERROR(AX37/AV$3,0)</f>
        <v>0</v>
      </c>
      <c r="AX37" s="185">
        <f>SUM(AX38:AX49)</f>
        <v>0</v>
      </c>
      <c r="AY37" s="184"/>
      <c r="AZ37" s="40"/>
      <c r="BA37" s="40">
        <f>IFERROR(BB37/AZ$3,0)</f>
        <v>0</v>
      </c>
      <c r="BB37" s="185">
        <f>SUM(BB38:BB49)</f>
        <v>0</v>
      </c>
      <c r="BC37" s="184"/>
      <c r="BD37" s="40"/>
      <c r="BE37" s="40">
        <f>IFERROR(BF37/BD$3,0)</f>
        <v>0</v>
      </c>
      <c r="BF37" s="185">
        <f>SUM(BF38:BF49)</f>
        <v>0</v>
      </c>
      <c r="BG37" s="184"/>
      <c r="BH37" s="40"/>
      <c r="BI37" s="40">
        <f>IFERROR(BJ37/BH$3,0)</f>
        <v>0</v>
      </c>
      <c r="BJ37" s="185">
        <f>SUM(BJ38:BJ49)</f>
        <v>0</v>
      </c>
      <c r="BK37" s="184"/>
      <c r="BL37" s="40"/>
      <c r="BM37" s="40">
        <f>IFERROR(BN37/BL$3,0)</f>
        <v>0</v>
      </c>
      <c r="BN37" s="185">
        <f>SUM(BN38:BN49)</f>
        <v>0</v>
      </c>
      <c r="BO37" s="184"/>
      <c r="BP37" s="40"/>
      <c r="BQ37" s="40">
        <f>IFERROR(BR37/BP$3,0)</f>
        <v>0</v>
      </c>
      <c r="BR37" s="185">
        <f>SUM(BR38:BR49)</f>
        <v>0</v>
      </c>
      <c r="BS37" s="184"/>
      <c r="BT37" s="40"/>
      <c r="BU37" s="40">
        <f>IFERROR(BV37/BT$3,0)</f>
        <v>0</v>
      </c>
      <c r="BV37" s="185">
        <f>SUM(BV38:BV49)</f>
        <v>0</v>
      </c>
      <c r="BW37" s="184"/>
      <c r="BX37" s="40"/>
      <c r="BY37" s="40">
        <f>IFERROR(BZ37/BX$3,0)</f>
        <v>0</v>
      </c>
      <c r="BZ37" s="185">
        <f>SUM(BZ38:BZ49)</f>
        <v>0</v>
      </c>
      <c r="CA37" s="184"/>
      <c r="CB37" s="40"/>
      <c r="CC37" s="40">
        <f>IFERROR(CD37/CB$3,0)</f>
        <v>0</v>
      </c>
      <c r="CD37" s="185">
        <f>SUM(CD38:CD49)</f>
        <v>0</v>
      </c>
    </row>
    <row r="38" spans="2:82" x14ac:dyDescent="0.3">
      <c r="B38" s="54"/>
      <c r="C38" s="54" t="str">
        <f t="shared" si="0"/>
        <v>CPU_SinalizaçãoverticalS</v>
      </c>
      <c r="D38" s="280">
        <f t="shared" si="1"/>
        <v>1</v>
      </c>
      <c r="E38" s="280">
        <f t="shared" si="2"/>
        <v>0</v>
      </c>
      <c r="F38" s="1"/>
      <c r="G38" s="28" t="str">
        <f>IFERROR(VLOOKUP(F38,Tabela7[[RECURSO]:[CUSTO]],2,FALSE),"")</f>
        <v/>
      </c>
      <c r="H38" s="92"/>
      <c r="I38" s="90"/>
      <c r="J38" s="45">
        <f>IFERROR(VLOOKUP(F38,Tabela7[[RECURSO]:[CUSTO]],3,FALSE),0)</f>
        <v>0</v>
      </c>
      <c r="K38" s="45">
        <f>I38*J38*CPU_35[[#This Row],[Nº]]</f>
        <v>0</v>
      </c>
      <c r="AD38" s="144" t="str">
        <f t="shared" si="3"/>
        <v>Sinalização vertical SAUS</v>
      </c>
      <c r="AE38" s="186"/>
      <c r="AF38" s="180">
        <f t="shared" ref="AF38:AF49" si="35">AJ38+AN38+AR38+AV38+AZ38+BD38+BH38+BL38+BP38+BT38+BX38+CB38</f>
        <v>0</v>
      </c>
      <c r="AG38" s="180">
        <f t="shared" si="17"/>
        <v>0</v>
      </c>
      <c r="AH38" s="181">
        <f t="shared" ref="AH38:AH49" si="36">AL38+AP38+AT38+AX38+BB38+BF38+BJ38+BN38+BR38+BV38+BZ38+CD38</f>
        <v>0</v>
      </c>
      <c r="AI38" s="187"/>
      <c r="AJ38" s="90"/>
      <c r="AK38" s="90"/>
      <c r="AL38" s="183">
        <f t="shared" ref="AL38:AL49" si="37">AJ38*AK38</f>
        <v>0</v>
      </c>
      <c r="AM38" s="187"/>
      <c r="AN38" s="90"/>
      <c r="AO38" s="90"/>
      <c r="AP38" s="183">
        <f t="shared" si="23"/>
        <v>0</v>
      </c>
      <c r="AQ38" s="187"/>
      <c r="AR38" s="90"/>
      <c r="AS38" s="90"/>
      <c r="AT38" s="183">
        <f t="shared" si="24"/>
        <v>0</v>
      </c>
      <c r="AU38" s="187"/>
      <c r="AV38" s="90"/>
      <c r="AW38" s="90"/>
      <c r="AX38" s="183">
        <f t="shared" si="25"/>
        <v>0</v>
      </c>
      <c r="AY38" s="187"/>
      <c r="AZ38" s="90"/>
      <c r="BA38" s="90"/>
      <c r="BB38" s="183">
        <f t="shared" si="26"/>
        <v>0</v>
      </c>
      <c r="BC38" s="187"/>
      <c r="BD38" s="90"/>
      <c r="BE38" s="90"/>
      <c r="BF38" s="183">
        <f t="shared" si="27"/>
        <v>0</v>
      </c>
      <c r="BG38" s="187"/>
      <c r="BH38" s="90"/>
      <c r="BI38" s="90"/>
      <c r="BJ38" s="183">
        <f t="shared" si="28"/>
        <v>0</v>
      </c>
      <c r="BK38" s="187"/>
      <c r="BL38" s="90"/>
      <c r="BM38" s="90"/>
      <c r="BN38" s="183">
        <f t="shared" si="29"/>
        <v>0</v>
      </c>
      <c r="BO38" s="187"/>
      <c r="BP38" s="90"/>
      <c r="BQ38" s="90"/>
      <c r="BR38" s="183">
        <f t="shared" si="30"/>
        <v>0</v>
      </c>
      <c r="BS38" s="187"/>
      <c r="BT38" s="90"/>
      <c r="BU38" s="90"/>
      <c r="BV38" s="183">
        <f t="shared" si="31"/>
        <v>0</v>
      </c>
      <c r="BW38" s="187"/>
      <c r="BX38" s="90"/>
      <c r="BY38" s="90"/>
      <c r="BZ38" s="183">
        <f t="shared" si="32"/>
        <v>0</v>
      </c>
      <c r="CA38" s="187"/>
      <c r="CB38" s="90"/>
      <c r="CC38" s="90"/>
      <c r="CD38" s="183">
        <f t="shared" si="33"/>
        <v>0</v>
      </c>
    </row>
    <row r="39" spans="2:82" x14ac:dyDescent="0.3">
      <c r="B39" s="54"/>
      <c r="C39" s="54" t="str">
        <f t="shared" si="0"/>
        <v>CPU_SinalizaçãoverticalS</v>
      </c>
      <c r="D39" s="280">
        <f t="shared" si="1"/>
        <v>1</v>
      </c>
      <c r="E39" s="280">
        <f t="shared" si="2"/>
        <v>0</v>
      </c>
      <c r="F39" s="1"/>
      <c r="G39" s="28" t="str">
        <f>IFERROR(VLOOKUP(F39,Tabela7[[RECURSO]:[CUSTO]],2,FALSE),"")</f>
        <v/>
      </c>
      <c r="H39" s="92"/>
      <c r="I39" s="90"/>
      <c r="J39" s="45">
        <f>IFERROR(VLOOKUP(F39,Tabela7[[RECURSO]:[CUSTO]],3,FALSE),0)</f>
        <v>0</v>
      </c>
      <c r="K39" s="45">
        <f>I39*J39*CPU_35[[#This Row],[Nº]]</f>
        <v>0</v>
      </c>
      <c r="AD39" s="144" t="str">
        <f t="shared" si="3"/>
        <v>Sinalização vertical SAUS</v>
      </c>
      <c r="AE39" s="186"/>
      <c r="AF39" s="180">
        <f t="shared" si="35"/>
        <v>0</v>
      </c>
      <c r="AG39" s="180">
        <f t="shared" si="17"/>
        <v>0</v>
      </c>
      <c r="AH39" s="181">
        <f t="shared" si="36"/>
        <v>0</v>
      </c>
      <c r="AI39" s="187"/>
      <c r="AJ39" s="90"/>
      <c r="AK39" s="90"/>
      <c r="AL39" s="183">
        <f t="shared" si="37"/>
        <v>0</v>
      </c>
      <c r="AM39" s="187"/>
      <c r="AN39" s="90"/>
      <c r="AO39" s="90"/>
      <c r="AP39" s="183">
        <f t="shared" si="23"/>
        <v>0</v>
      </c>
      <c r="AQ39" s="187"/>
      <c r="AR39" s="90"/>
      <c r="AS39" s="90"/>
      <c r="AT39" s="183">
        <f t="shared" si="24"/>
        <v>0</v>
      </c>
      <c r="AU39" s="187"/>
      <c r="AV39" s="90"/>
      <c r="AW39" s="90"/>
      <c r="AX39" s="183">
        <f t="shared" si="25"/>
        <v>0</v>
      </c>
      <c r="AY39" s="187"/>
      <c r="AZ39" s="90"/>
      <c r="BA39" s="90"/>
      <c r="BB39" s="183">
        <f t="shared" si="26"/>
        <v>0</v>
      </c>
      <c r="BC39" s="187"/>
      <c r="BD39" s="90"/>
      <c r="BE39" s="90"/>
      <c r="BF39" s="183">
        <f t="shared" si="27"/>
        <v>0</v>
      </c>
      <c r="BG39" s="187"/>
      <c r="BH39" s="90"/>
      <c r="BI39" s="90"/>
      <c r="BJ39" s="183">
        <f t="shared" si="28"/>
        <v>0</v>
      </c>
      <c r="BK39" s="187"/>
      <c r="BL39" s="90"/>
      <c r="BM39" s="90"/>
      <c r="BN39" s="183">
        <f t="shared" si="29"/>
        <v>0</v>
      </c>
      <c r="BO39" s="187"/>
      <c r="BP39" s="90"/>
      <c r="BQ39" s="90"/>
      <c r="BR39" s="183">
        <f t="shared" si="30"/>
        <v>0</v>
      </c>
      <c r="BS39" s="187"/>
      <c r="BT39" s="90"/>
      <c r="BU39" s="90"/>
      <c r="BV39" s="183">
        <f t="shared" si="31"/>
        <v>0</v>
      </c>
      <c r="BW39" s="187"/>
      <c r="BX39" s="90"/>
      <c r="BY39" s="90"/>
      <c r="BZ39" s="183">
        <f t="shared" si="32"/>
        <v>0</v>
      </c>
      <c r="CA39" s="187"/>
      <c r="CB39" s="90"/>
      <c r="CC39" s="90"/>
      <c r="CD39" s="183">
        <f t="shared" si="33"/>
        <v>0</v>
      </c>
    </row>
    <row r="40" spans="2:82" x14ac:dyDescent="0.3">
      <c r="B40" s="54"/>
      <c r="C40" s="54" t="str">
        <f t="shared" si="0"/>
        <v>CPU_SinalizaçãoverticalS</v>
      </c>
      <c r="D40" s="280">
        <f t="shared" si="1"/>
        <v>1</v>
      </c>
      <c r="E40" s="280">
        <f t="shared" si="2"/>
        <v>0</v>
      </c>
      <c r="F40" s="1"/>
      <c r="G40" s="28" t="str">
        <f>IFERROR(VLOOKUP(F40,Tabela7[[RECURSO]:[CUSTO]],2,FALSE),"")</f>
        <v/>
      </c>
      <c r="H40" s="92"/>
      <c r="I40" s="90"/>
      <c r="J40" s="45">
        <f>IFERROR(VLOOKUP(F40,Tabela7[[RECURSO]:[CUSTO]],3,FALSE),0)</f>
        <v>0</v>
      </c>
      <c r="K40" s="45">
        <f>I40*J40*CPU_35[[#This Row],[Nº]]</f>
        <v>0</v>
      </c>
      <c r="AD40" s="144" t="str">
        <f t="shared" si="3"/>
        <v>Sinalização vertical SAUS</v>
      </c>
      <c r="AE40" s="186"/>
      <c r="AF40" s="180">
        <f t="shared" si="35"/>
        <v>0</v>
      </c>
      <c r="AG40" s="180">
        <f t="shared" si="17"/>
        <v>0</v>
      </c>
      <c r="AH40" s="181">
        <f t="shared" si="36"/>
        <v>0</v>
      </c>
      <c r="AI40" s="187"/>
      <c r="AJ40" s="90"/>
      <c r="AK40" s="90"/>
      <c r="AL40" s="183">
        <f t="shared" si="37"/>
        <v>0</v>
      </c>
      <c r="AM40" s="187"/>
      <c r="AN40" s="90"/>
      <c r="AO40" s="90"/>
      <c r="AP40" s="183">
        <f t="shared" si="23"/>
        <v>0</v>
      </c>
      <c r="AQ40" s="187"/>
      <c r="AR40" s="90"/>
      <c r="AS40" s="90"/>
      <c r="AT40" s="183">
        <f t="shared" si="24"/>
        <v>0</v>
      </c>
      <c r="AU40" s="187"/>
      <c r="AV40" s="90"/>
      <c r="AW40" s="90"/>
      <c r="AX40" s="183">
        <f t="shared" si="25"/>
        <v>0</v>
      </c>
      <c r="AY40" s="187"/>
      <c r="AZ40" s="90"/>
      <c r="BA40" s="90"/>
      <c r="BB40" s="183">
        <f t="shared" si="26"/>
        <v>0</v>
      </c>
      <c r="BC40" s="187"/>
      <c r="BD40" s="90"/>
      <c r="BE40" s="90"/>
      <c r="BF40" s="183">
        <f t="shared" si="27"/>
        <v>0</v>
      </c>
      <c r="BG40" s="187"/>
      <c r="BH40" s="90"/>
      <c r="BI40" s="90"/>
      <c r="BJ40" s="183">
        <f t="shared" si="28"/>
        <v>0</v>
      </c>
      <c r="BK40" s="187"/>
      <c r="BL40" s="90"/>
      <c r="BM40" s="90"/>
      <c r="BN40" s="183">
        <f t="shared" si="29"/>
        <v>0</v>
      </c>
      <c r="BO40" s="187"/>
      <c r="BP40" s="90"/>
      <c r="BQ40" s="90"/>
      <c r="BR40" s="183">
        <f t="shared" si="30"/>
        <v>0</v>
      </c>
      <c r="BS40" s="187"/>
      <c r="BT40" s="90"/>
      <c r="BU40" s="90"/>
      <c r="BV40" s="183">
        <f t="shared" si="31"/>
        <v>0</v>
      </c>
      <c r="BW40" s="187"/>
      <c r="BX40" s="90"/>
      <c r="BY40" s="90"/>
      <c r="BZ40" s="183">
        <f t="shared" si="32"/>
        <v>0</v>
      </c>
      <c r="CA40" s="187"/>
      <c r="CB40" s="90"/>
      <c r="CC40" s="90"/>
      <c r="CD40" s="183">
        <f t="shared" si="33"/>
        <v>0</v>
      </c>
    </row>
    <row r="41" spans="2:82" x14ac:dyDescent="0.3">
      <c r="B41" s="54"/>
      <c r="C41" s="54" t="str">
        <f t="shared" si="0"/>
        <v>CPU_SinalizaçãoverticalS</v>
      </c>
      <c r="D41" s="280">
        <f t="shared" si="1"/>
        <v>1</v>
      </c>
      <c r="E41" s="280">
        <f t="shared" si="2"/>
        <v>0</v>
      </c>
      <c r="F41" s="1"/>
      <c r="G41" s="28" t="str">
        <f>IFERROR(VLOOKUP(F41,Tabela7[[RECURSO]:[CUSTO]],2,FALSE),"")</f>
        <v/>
      </c>
      <c r="H41" s="92"/>
      <c r="I41" s="90"/>
      <c r="J41" s="45">
        <f>IFERROR(VLOOKUP(F41,Tabela7[[RECURSO]:[CUSTO]],3,FALSE),0)</f>
        <v>0</v>
      </c>
      <c r="K41" s="45">
        <f>I41*J41*CPU_35[[#This Row],[Nº]]</f>
        <v>0</v>
      </c>
      <c r="AD41" s="144" t="str">
        <f t="shared" si="3"/>
        <v>Sinalização vertical SAUS</v>
      </c>
      <c r="AE41" s="186"/>
      <c r="AF41" s="180">
        <f t="shared" si="35"/>
        <v>0</v>
      </c>
      <c r="AG41" s="180">
        <f t="shared" si="17"/>
        <v>0</v>
      </c>
      <c r="AH41" s="181">
        <f t="shared" si="36"/>
        <v>0</v>
      </c>
      <c r="AI41" s="187"/>
      <c r="AJ41" s="90"/>
      <c r="AK41" s="90"/>
      <c r="AL41" s="183">
        <f t="shared" si="37"/>
        <v>0</v>
      </c>
      <c r="AM41" s="187"/>
      <c r="AN41" s="90"/>
      <c r="AO41" s="90"/>
      <c r="AP41" s="183">
        <f t="shared" si="23"/>
        <v>0</v>
      </c>
      <c r="AQ41" s="187"/>
      <c r="AR41" s="90"/>
      <c r="AS41" s="90"/>
      <c r="AT41" s="183">
        <f t="shared" si="24"/>
        <v>0</v>
      </c>
      <c r="AU41" s="187"/>
      <c r="AV41" s="90"/>
      <c r="AW41" s="90"/>
      <c r="AX41" s="183">
        <f t="shared" si="25"/>
        <v>0</v>
      </c>
      <c r="AY41" s="187"/>
      <c r="AZ41" s="90"/>
      <c r="BA41" s="90"/>
      <c r="BB41" s="183">
        <f t="shared" si="26"/>
        <v>0</v>
      </c>
      <c r="BC41" s="187"/>
      <c r="BD41" s="90"/>
      <c r="BE41" s="90"/>
      <c r="BF41" s="183">
        <f t="shared" si="27"/>
        <v>0</v>
      </c>
      <c r="BG41" s="187"/>
      <c r="BH41" s="90"/>
      <c r="BI41" s="90"/>
      <c r="BJ41" s="183">
        <f t="shared" si="28"/>
        <v>0</v>
      </c>
      <c r="BK41" s="187"/>
      <c r="BL41" s="90"/>
      <c r="BM41" s="90"/>
      <c r="BN41" s="183">
        <f t="shared" si="29"/>
        <v>0</v>
      </c>
      <c r="BO41" s="187"/>
      <c r="BP41" s="90"/>
      <c r="BQ41" s="90"/>
      <c r="BR41" s="183">
        <f t="shared" si="30"/>
        <v>0</v>
      </c>
      <c r="BS41" s="187"/>
      <c r="BT41" s="90"/>
      <c r="BU41" s="90"/>
      <c r="BV41" s="183">
        <f t="shared" si="31"/>
        <v>0</v>
      </c>
      <c r="BW41" s="187"/>
      <c r="BX41" s="90"/>
      <c r="BY41" s="90"/>
      <c r="BZ41" s="183">
        <f t="shared" si="32"/>
        <v>0</v>
      </c>
      <c r="CA41" s="187"/>
      <c r="CB41" s="90"/>
      <c r="CC41" s="90"/>
      <c r="CD41" s="183">
        <f t="shared" si="33"/>
        <v>0</v>
      </c>
    </row>
    <row r="42" spans="2:82" x14ac:dyDescent="0.3">
      <c r="B42" s="54"/>
      <c r="C42" s="54" t="str">
        <f t="shared" si="0"/>
        <v>CPU_SinalizaçãoverticalS</v>
      </c>
      <c r="D42" s="280">
        <f t="shared" si="1"/>
        <v>1</v>
      </c>
      <c r="E42" s="280">
        <f t="shared" si="2"/>
        <v>0</v>
      </c>
      <c r="F42" s="1"/>
      <c r="G42" s="28" t="str">
        <f>IFERROR(VLOOKUP(F42,Tabela7[[RECURSO]:[CUSTO]],2,FALSE),"")</f>
        <v/>
      </c>
      <c r="H42" s="92"/>
      <c r="I42" s="90"/>
      <c r="J42" s="45">
        <f>IFERROR(VLOOKUP(F42,Tabela7[[RECURSO]:[CUSTO]],3,FALSE),0)</f>
        <v>0</v>
      </c>
      <c r="K42" s="45">
        <f>I42*J42*CPU_35[[#This Row],[Nº]]</f>
        <v>0</v>
      </c>
      <c r="AD42" s="144" t="str">
        <f t="shared" si="3"/>
        <v>Sinalização vertical SAUS</v>
      </c>
      <c r="AE42" s="186"/>
      <c r="AF42" s="180">
        <f t="shared" si="35"/>
        <v>0</v>
      </c>
      <c r="AG42" s="180">
        <f t="shared" si="17"/>
        <v>0</v>
      </c>
      <c r="AH42" s="181">
        <f t="shared" si="36"/>
        <v>0</v>
      </c>
      <c r="AI42" s="187"/>
      <c r="AJ42" s="90"/>
      <c r="AK42" s="90"/>
      <c r="AL42" s="183">
        <f t="shared" si="37"/>
        <v>0</v>
      </c>
      <c r="AM42" s="187"/>
      <c r="AN42" s="90"/>
      <c r="AO42" s="90"/>
      <c r="AP42" s="183">
        <f t="shared" si="23"/>
        <v>0</v>
      </c>
      <c r="AQ42" s="187"/>
      <c r="AR42" s="90"/>
      <c r="AS42" s="90"/>
      <c r="AT42" s="183">
        <f t="shared" si="24"/>
        <v>0</v>
      </c>
      <c r="AU42" s="187"/>
      <c r="AV42" s="90"/>
      <c r="AW42" s="90"/>
      <c r="AX42" s="183">
        <f t="shared" si="25"/>
        <v>0</v>
      </c>
      <c r="AY42" s="187"/>
      <c r="AZ42" s="90"/>
      <c r="BA42" s="90"/>
      <c r="BB42" s="183">
        <f t="shared" si="26"/>
        <v>0</v>
      </c>
      <c r="BC42" s="187"/>
      <c r="BD42" s="90"/>
      <c r="BE42" s="90"/>
      <c r="BF42" s="183">
        <f t="shared" si="27"/>
        <v>0</v>
      </c>
      <c r="BG42" s="187"/>
      <c r="BH42" s="90"/>
      <c r="BI42" s="90"/>
      <c r="BJ42" s="183">
        <f t="shared" si="28"/>
        <v>0</v>
      </c>
      <c r="BK42" s="187"/>
      <c r="BL42" s="90"/>
      <c r="BM42" s="90"/>
      <c r="BN42" s="183">
        <f t="shared" si="29"/>
        <v>0</v>
      </c>
      <c r="BO42" s="187"/>
      <c r="BP42" s="90"/>
      <c r="BQ42" s="90"/>
      <c r="BR42" s="183">
        <f t="shared" si="30"/>
        <v>0</v>
      </c>
      <c r="BS42" s="187"/>
      <c r="BT42" s="90"/>
      <c r="BU42" s="90"/>
      <c r="BV42" s="183">
        <f t="shared" si="31"/>
        <v>0</v>
      </c>
      <c r="BW42" s="187"/>
      <c r="BX42" s="90"/>
      <c r="BY42" s="90"/>
      <c r="BZ42" s="183">
        <f t="shared" si="32"/>
        <v>0</v>
      </c>
      <c r="CA42" s="187"/>
      <c r="CB42" s="90"/>
      <c r="CC42" s="90"/>
      <c r="CD42" s="183">
        <f t="shared" si="33"/>
        <v>0</v>
      </c>
    </row>
    <row r="43" spans="2:82" x14ac:dyDescent="0.3">
      <c r="B43" s="54"/>
      <c r="C43" s="54" t="str">
        <f t="shared" si="0"/>
        <v>CPU_SinalizaçãoverticalS</v>
      </c>
      <c r="D43" s="280">
        <f t="shared" si="1"/>
        <v>1</v>
      </c>
      <c r="E43" s="280">
        <f t="shared" si="2"/>
        <v>0</v>
      </c>
      <c r="F43" s="1"/>
      <c r="G43" s="28" t="str">
        <f>IFERROR(VLOOKUP(F43,Tabela7[[RECURSO]:[CUSTO]],2,FALSE),"")</f>
        <v/>
      </c>
      <c r="H43" s="92"/>
      <c r="I43" s="90"/>
      <c r="J43" s="45">
        <f>IFERROR(VLOOKUP(F43,Tabela7[[RECURSO]:[CUSTO]],3,FALSE),0)</f>
        <v>0</v>
      </c>
      <c r="K43" s="45">
        <f>I43*J43*CPU_35[[#This Row],[Nº]]</f>
        <v>0</v>
      </c>
      <c r="AD43" s="144" t="str">
        <f t="shared" si="3"/>
        <v>Sinalização vertical SAUS</v>
      </c>
      <c r="AE43" s="186"/>
      <c r="AF43" s="180">
        <f t="shared" si="35"/>
        <v>0</v>
      </c>
      <c r="AG43" s="180">
        <f t="shared" si="17"/>
        <v>0</v>
      </c>
      <c r="AH43" s="181">
        <f t="shared" si="36"/>
        <v>0</v>
      </c>
      <c r="AI43" s="187"/>
      <c r="AJ43" s="90"/>
      <c r="AK43" s="90"/>
      <c r="AL43" s="183">
        <f t="shared" si="37"/>
        <v>0</v>
      </c>
      <c r="AM43" s="187"/>
      <c r="AN43" s="90"/>
      <c r="AO43" s="90"/>
      <c r="AP43" s="183">
        <f t="shared" si="23"/>
        <v>0</v>
      </c>
      <c r="AQ43" s="187"/>
      <c r="AR43" s="90"/>
      <c r="AS43" s="90"/>
      <c r="AT43" s="183">
        <f t="shared" si="24"/>
        <v>0</v>
      </c>
      <c r="AU43" s="187"/>
      <c r="AV43" s="90"/>
      <c r="AW43" s="90"/>
      <c r="AX43" s="183">
        <f t="shared" si="25"/>
        <v>0</v>
      </c>
      <c r="AY43" s="187"/>
      <c r="AZ43" s="90"/>
      <c r="BA43" s="90"/>
      <c r="BB43" s="183">
        <f t="shared" si="26"/>
        <v>0</v>
      </c>
      <c r="BC43" s="187"/>
      <c r="BD43" s="90"/>
      <c r="BE43" s="90"/>
      <c r="BF43" s="183">
        <f t="shared" si="27"/>
        <v>0</v>
      </c>
      <c r="BG43" s="187"/>
      <c r="BH43" s="90"/>
      <c r="BI43" s="90"/>
      <c r="BJ43" s="183">
        <f t="shared" si="28"/>
        <v>0</v>
      </c>
      <c r="BK43" s="187"/>
      <c r="BL43" s="90"/>
      <c r="BM43" s="90"/>
      <c r="BN43" s="183">
        <f t="shared" si="29"/>
        <v>0</v>
      </c>
      <c r="BO43" s="187"/>
      <c r="BP43" s="90"/>
      <c r="BQ43" s="90"/>
      <c r="BR43" s="183">
        <f t="shared" si="30"/>
        <v>0</v>
      </c>
      <c r="BS43" s="187"/>
      <c r="BT43" s="90"/>
      <c r="BU43" s="90"/>
      <c r="BV43" s="183">
        <f t="shared" si="31"/>
        <v>0</v>
      </c>
      <c r="BW43" s="187"/>
      <c r="BX43" s="90"/>
      <c r="BY43" s="90"/>
      <c r="BZ43" s="183">
        <f t="shared" si="32"/>
        <v>0</v>
      </c>
      <c r="CA43" s="187"/>
      <c r="CB43" s="90"/>
      <c r="CC43" s="90"/>
      <c r="CD43" s="183">
        <f t="shared" si="33"/>
        <v>0</v>
      </c>
    </row>
    <row r="44" spans="2:82" x14ac:dyDescent="0.3">
      <c r="B44" s="54"/>
      <c r="C44" s="54" t="str">
        <f t="shared" si="0"/>
        <v>CPU_SinalizaçãoverticalS</v>
      </c>
      <c r="D44" s="280">
        <f t="shared" si="1"/>
        <v>1</v>
      </c>
      <c r="E44" s="280">
        <f t="shared" si="2"/>
        <v>0</v>
      </c>
      <c r="F44" s="1"/>
      <c r="G44" s="28" t="str">
        <f>IFERROR(VLOOKUP(F44,Tabela7[[RECURSO]:[CUSTO]],2,FALSE),"")</f>
        <v/>
      </c>
      <c r="H44" s="92"/>
      <c r="I44" s="90"/>
      <c r="J44" s="45">
        <f>IFERROR(VLOOKUP(F44,Tabela7[[RECURSO]:[CUSTO]],3,FALSE),0)</f>
        <v>0</v>
      </c>
      <c r="K44" s="45">
        <f>I44*J44*CPU_35[[#This Row],[Nº]]</f>
        <v>0</v>
      </c>
      <c r="AD44" s="144" t="str">
        <f t="shared" si="3"/>
        <v>Sinalização vertical SAUS</v>
      </c>
      <c r="AE44" s="186"/>
      <c r="AF44" s="180">
        <f t="shared" si="35"/>
        <v>0</v>
      </c>
      <c r="AG44" s="180">
        <f t="shared" si="17"/>
        <v>0</v>
      </c>
      <c r="AH44" s="181">
        <f t="shared" si="36"/>
        <v>0</v>
      </c>
      <c r="AI44" s="187"/>
      <c r="AJ44" s="90"/>
      <c r="AK44" s="90"/>
      <c r="AL44" s="183">
        <f t="shared" si="37"/>
        <v>0</v>
      </c>
      <c r="AM44" s="187"/>
      <c r="AN44" s="90"/>
      <c r="AO44" s="90"/>
      <c r="AP44" s="183">
        <f t="shared" si="23"/>
        <v>0</v>
      </c>
      <c r="AQ44" s="187"/>
      <c r="AR44" s="90"/>
      <c r="AS44" s="90"/>
      <c r="AT44" s="183">
        <f t="shared" si="24"/>
        <v>0</v>
      </c>
      <c r="AU44" s="187"/>
      <c r="AV44" s="90"/>
      <c r="AW44" s="90"/>
      <c r="AX44" s="183">
        <f t="shared" si="25"/>
        <v>0</v>
      </c>
      <c r="AY44" s="187"/>
      <c r="AZ44" s="90"/>
      <c r="BA44" s="90"/>
      <c r="BB44" s="183">
        <f t="shared" si="26"/>
        <v>0</v>
      </c>
      <c r="BC44" s="187"/>
      <c r="BD44" s="90"/>
      <c r="BE44" s="90"/>
      <c r="BF44" s="183">
        <f t="shared" si="27"/>
        <v>0</v>
      </c>
      <c r="BG44" s="187"/>
      <c r="BH44" s="90"/>
      <c r="BI44" s="90"/>
      <c r="BJ44" s="183">
        <f t="shared" si="28"/>
        <v>0</v>
      </c>
      <c r="BK44" s="187"/>
      <c r="BL44" s="90"/>
      <c r="BM44" s="90"/>
      <c r="BN44" s="183">
        <f t="shared" si="29"/>
        <v>0</v>
      </c>
      <c r="BO44" s="187"/>
      <c r="BP44" s="90"/>
      <c r="BQ44" s="90"/>
      <c r="BR44" s="183">
        <f t="shared" si="30"/>
        <v>0</v>
      </c>
      <c r="BS44" s="187"/>
      <c r="BT44" s="90"/>
      <c r="BU44" s="90"/>
      <c r="BV44" s="183">
        <f t="shared" si="31"/>
        <v>0</v>
      </c>
      <c r="BW44" s="187"/>
      <c r="BX44" s="90"/>
      <c r="BY44" s="90"/>
      <c r="BZ44" s="183">
        <f t="shared" si="32"/>
        <v>0</v>
      </c>
      <c r="CA44" s="187"/>
      <c r="CB44" s="90"/>
      <c r="CC44" s="90"/>
      <c r="CD44" s="183">
        <f t="shared" si="33"/>
        <v>0</v>
      </c>
    </row>
    <row r="45" spans="2:82" x14ac:dyDescent="0.3">
      <c r="B45" s="53"/>
      <c r="C45" s="53" t="str">
        <f t="shared" si="0"/>
        <v>CPU_SinalizaçãoverticalS</v>
      </c>
      <c r="D45" s="278">
        <f t="shared" si="1"/>
        <v>1</v>
      </c>
      <c r="E45" s="278">
        <f t="shared" si="2"/>
        <v>0</v>
      </c>
      <c r="F45" s="1"/>
      <c r="G45" s="28" t="str">
        <f>IFERROR(VLOOKUP(F45,Tabela7[[RECURSO]:[CUSTO]],2,FALSE),"")</f>
        <v/>
      </c>
      <c r="H45" s="92"/>
      <c r="I45" s="90"/>
      <c r="J45" s="45">
        <f>IFERROR(VLOOKUP(F45,Tabela7[[RECURSO]:[CUSTO]],3,FALSE),0)</f>
        <v>0</v>
      </c>
      <c r="K45" s="45">
        <f>I45*J45*CPU_35[[#This Row],[Nº]]</f>
        <v>0</v>
      </c>
      <c r="AD45" s="144" t="str">
        <f t="shared" si="3"/>
        <v>Sinalização vertical SAUS</v>
      </c>
      <c r="AE45" s="188"/>
      <c r="AF45" s="180">
        <f t="shared" si="35"/>
        <v>0</v>
      </c>
      <c r="AG45" s="180">
        <f t="shared" si="17"/>
        <v>0</v>
      </c>
      <c r="AH45" s="181">
        <f t="shared" si="36"/>
        <v>0</v>
      </c>
      <c r="AI45" s="189"/>
      <c r="AJ45" s="90"/>
      <c r="AK45" s="90"/>
      <c r="AL45" s="183">
        <f t="shared" si="37"/>
        <v>0</v>
      </c>
      <c r="AM45" s="189"/>
      <c r="AN45" s="90"/>
      <c r="AO45" s="90"/>
      <c r="AP45" s="183">
        <f t="shared" si="23"/>
        <v>0</v>
      </c>
      <c r="AQ45" s="189"/>
      <c r="AR45" s="90"/>
      <c r="AS45" s="90"/>
      <c r="AT45" s="183">
        <f t="shared" si="24"/>
        <v>0</v>
      </c>
      <c r="AU45" s="189"/>
      <c r="AV45" s="90"/>
      <c r="AW45" s="90"/>
      <c r="AX45" s="183">
        <f t="shared" si="25"/>
        <v>0</v>
      </c>
      <c r="AY45" s="189"/>
      <c r="AZ45" s="90"/>
      <c r="BA45" s="90"/>
      <c r="BB45" s="183">
        <f t="shared" si="26"/>
        <v>0</v>
      </c>
      <c r="BC45" s="189"/>
      <c r="BD45" s="90"/>
      <c r="BE45" s="90"/>
      <c r="BF45" s="183">
        <f t="shared" si="27"/>
        <v>0</v>
      </c>
      <c r="BG45" s="189"/>
      <c r="BH45" s="90"/>
      <c r="BI45" s="90"/>
      <c r="BJ45" s="183">
        <f t="shared" si="28"/>
        <v>0</v>
      </c>
      <c r="BK45" s="189"/>
      <c r="BL45" s="90"/>
      <c r="BM45" s="90"/>
      <c r="BN45" s="183">
        <f t="shared" si="29"/>
        <v>0</v>
      </c>
      <c r="BO45" s="189"/>
      <c r="BP45" s="90"/>
      <c r="BQ45" s="90"/>
      <c r="BR45" s="183">
        <f t="shared" si="30"/>
        <v>0</v>
      </c>
      <c r="BS45" s="189"/>
      <c r="BT45" s="90"/>
      <c r="BU45" s="90"/>
      <c r="BV45" s="183">
        <f t="shared" si="31"/>
        <v>0</v>
      </c>
      <c r="BW45" s="189"/>
      <c r="BX45" s="90"/>
      <c r="BY45" s="90"/>
      <c r="BZ45" s="183">
        <f t="shared" si="32"/>
        <v>0</v>
      </c>
      <c r="CA45" s="189"/>
      <c r="CB45" s="90"/>
      <c r="CC45" s="90"/>
      <c r="CD45" s="183">
        <f t="shared" si="33"/>
        <v>0</v>
      </c>
    </row>
    <row r="46" spans="2:82" x14ac:dyDescent="0.3">
      <c r="B46" s="53"/>
      <c r="C46" s="53" t="str">
        <f t="shared" si="0"/>
        <v>CPU_SinalizaçãoverticalS</v>
      </c>
      <c r="D46" s="278">
        <f t="shared" si="1"/>
        <v>1</v>
      </c>
      <c r="E46" s="278">
        <f t="shared" si="2"/>
        <v>0</v>
      </c>
      <c r="F46" s="1"/>
      <c r="G46" s="28" t="str">
        <f>IFERROR(VLOOKUP(F46,Tabela7[[RECURSO]:[CUSTO]],2,FALSE),"")</f>
        <v/>
      </c>
      <c r="H46" s="92"/>
      <c r="I46" s="90"/>
      <c r="J46" s="45">
        <f>IFERROR(VLOOKUP(F46,Tabela7[[RECURSO]:[CUSTO]],3,FALSE),0)</f>
        <v>0</v>
      </c>
      <c r="K46" s="45">
        <f>I46*J46*CPU_35[[#This Row],[Nº]]</f>
        <v>0</v>
      </c>
      <c r="AD46" s="144" t="str">
        <f t="shared" si="3"/>
        <v>Sinalização vertical SAUS</v>
      </c>
      <c r="AE46" s="188"/>
      <c r="AF46" s="180">
        <f t="shared" si="35"/>
        <v>0</v>
      </c>
      <c r="AG46" s="180">
        <f t="shared" si="17"/>
        <v>0</v>
      </c>
      <c r="AH46" s="181">
        <f t="shared" si="36"/>
        <v>0</v>
      </c>
      <c r="AI46" s="189"/>
      <c r="AJ46" s="90"/>
      <c r="AK46" s="90"/>
      <c r="AL46" s="183">
        <f t="shared" si="37"/>
        <v>0</v>
      </c>
      <c r="AM46" s="189"/>
      <c r="AN46" s="90"/>
      <c r="AO46" s="90"/>
      <c r="AP46" s="183">
        <f t="shared" si="23"/>
        <v>0</v>
      </c>
      <c r="AQ46" s="189"/>
      <c r="AR46" s="90"/>
      <c r="AS46" s="90"/>
      <c r="AT46" s="183">
        <f t="shared" si="24"/>
        <v>0</v>
      </c>
      <c r="AU46" s="189"/>
      <c r="AV46" s="90"/>
      <c r="AW46" s="90"/>
      <c r="AX46" s="183">
        <f t="shared" si="25"/>
        <v>0</v>
      </c>
      <c r="AY46" s="189"/>
      <c r="AZ46" s="90"/>
      <c r="BA46" s="90"/>
      <c r="BB46" s="183">
        <f t="shared" si="26"/>
        <v>0</v>
      </c>
      <c r="BC46" s="189"/>
      <c r="BD46" s="90"/>
      <c r="BE46" s="90"/>
      <c r="BF46" s="183">
        <f t="shared" si="27"/>
        <v>0</v>
      </c>
      <c r="BG46" s="189"/>
      <c r="BH46" s="90"/>
      <c r="BI46" s="90"/>
      <c r="BJ46" s="183">
        <f t="shared" si="28"/>
        <v>0</v>
      </c>
      <c r="BK46" s="189"/>
      <c r="BL46" s="90"/>
      <c r="BM46" s="90"/>
      <c r="BN46" s="183">
        <f t="shared" si="29"/>
        <v>0</v>
      </c>
      <c r="BO46" s="189"/>
      <c r="BP46" s="90"/>
      <c r="BQ46" s="90"/>
      <c r="BR46" s="183">
        <f t="shared" si="30"/>
        <v>0</v>
      </c>
      <c r="BS46" s="189"/>
      <c r="BT46" s="90"/>
      <c r="BU46" s="90"/>
      <c r="BV46" s="183">
        <f t="shared" si="31"/>
        <v>0</v>
      </c>
      <c r="BW46" s="189"/>
      <c r="BX46" s="90"/>
      <c r="BY46" s="90"/>
      <c r="BZ46" s="183">
        <f t="shared" si="32"/>
        <v>0</v>
      </c>
      <c r="CA46" s="189"/>
      <c r="CB46" s="90"/>
      <c r="CC46" s="90"/>
      <c r="CD46" s="183">
        <f t="shared" si="33"/>
        <v>0</v>
      </c>
    </row>
    <row r="47" spans="2:82" x14ac:dyDescent="0.3">
      <c r="B47" s="53"/>
      <c r="C47" s="53" t="str">
        <f t="shared" si="0"/>
        <v>CPU_SinalizaçãoverticalS</v>
      </c>
      <c r="D47" s="278">
        <f t="shared" si="1"/>
        <v>1</v>
      </c>
      <c r="E47" s="278">
        <f t="shared" si="2"/>
        <v>0</v>
      </c>
      <c r="F47" s="1"/>
      <c r="G47" s="28" t="str">
        <f>IFERROR(VLOOKUP(F47,Tabela7[[RECURSO]:[CUSTO]],2,FALSE),"")</f>
        <v/>
      </c>
      <c r="H47" s="92"/>
      <c r="I47" s="90"/>
      <c r="J47" s="45">
        <f>IFERROR(VLOOKUP(F47,Tabela7[[RECURSO]:[CUSTO]],3,FALSE),0)</f>
        <v>0</v>
      </c>
      <c r="K47" s="45">
        <f>I47*J47*CPU_35[[#This Row],[Nº]]</f>
        <v>0</v>
      </c>
      <c r="AD47" s="144" t="str">
        <f t="shared" si="3"/>
        <v>Sinalização vertical SAUS</v>
      </c>
      <c r="AE47" s="188"/>
      <c r="AF47" s="180">
        <f t="shared" si="35"/>
        <v>0</v>
      </c>
      <c r="AG47" s="180">
        <f t="shared" si="17"/>
        <v>0</v>
      </c>
      <c r="AH47" s="181">
        <f t="shared" si="36"/>
        <v>0</v>
      </c>
      <c r="AI47" s="189"/>
      <c r="AJ47" s="90"/>
      <c r="AK47" s="90"/>
      <c r="AL47" s="183">
        <f t="shared" si="37"/>
        <v>0</v>
      </c>
      <c r="AM47" s="189"/>
      <c r="AN47" s="90"/>
      <c r="AO47" s="90"/>
      <c r="AP47" s="183">
        <f t="shared" si="23"/>
        <v>0</v>
      </c>
      <c r="AQ47" s="189"/>
      <c r="AR47" s="90"/>
      <c r="AS47" s="90"/>
      <c r="AT47" s="183">
        <f t="shared" si="24"/>
        <v>0</v>
      </c>
      <c r="AU47" s="189"/>
      <c r="AV47" s="90"/>
      <c r="AW47" s="90"/>
      <c r="AX47" s="183">
        <f t="shared" si="25"/>
        <v>0</v>
      </c>
      <c r="AY47" s="189"/>
      <c r="AZ47" s="90"/>
      <c r="BA47" s="90"/>
      <c r="BB47" s="183">
        <f t="shared" si="26"/>
        <v>0</v>
      </c>
      <c r="BC47" s="189"/>
      <c r="BD47" s="90"/>
      <c r="BE47" s="90"/>
      <c r="BF47" s="183">
        <f t="shared" si="27"/>
        <v>0</v>
      </c>
      <c r="BG47" s="189"/>
      <c r="BH47" s="90"/>
      <c r="BI47" s="90"/>
      <c r="BJ47" s="183">
        <f t="shared" si="28"/>
        <v>0</v>
      </c>
      <c r="BK47" s="189"/>
      <c r="BL47" s="90"/>
      <c r="BM47" s="90"/>
      <c r="BN47" s="183">
        <f t="shared" si="29"/>
        <v>0</v>
      </c>
      <c r="BO47" s="189"/>
      <c r="BP47" s="90"/>
      <c r="BQ47" s="90"/>
      <c r="BR47" s="183">
        <f t="shared" si="30"/>
        <v>0</v>
      </c>
      <c r="BS47" s="189"/>
      <c r="BT47" s="90"/>
      <c r="BU47" s="90"/>
      <c r="BV47" s="183">
        <f t="shared" si="31"/>
        <v>0</v>
      </c>
      <c r="BW47" s="189"/>
      <c r="BX47" s="90"/>
      <c r="BY47" s="90"/>
      <c r="BZ47" s="183">
        <f t="shared" si="32"/>
        <v>0</v>
      </c>
      <c r="CA47" s="189"/>
      <c r="CB47" s="90"/>
      <c r="CC47" s="90"/>
      <c r="CD47" s="183">
        <f t="shared" si="33"/>
        <v>0</v>
      </c>
    </row>
    <row r="48" spans="2:82" x14ac:dyDescent="0.3">
      <c r="B48" s="53"/>
      <c r="C48" s="53" t="str">
        <f t="shared" si="0"/>
        <v>CPU_SinalizaçãoverticalS</v>
      </c>
      <c r="D48" s="278">
        <f t="shared" si="1"/>
        <v>1</v>
      </c>
      <c r="E48" s="278">
        <f t="shared" si="2"/>
        <v>0</v>
      </c>
      <c r="F48" s="1"/>
      <c r="G48" s="28" t="str">
        <f>IFERROR(VLOOKUP(F48,Tabela7[[RECURSO]:[CUSTO]],2,FALSE),"")</f>
        <v/>
      </c>
      <c r="H48" s="92"/>
      <c r="I48" s="90"/>
      <c r="J48" s="45">
        <f>IFERROR(VLOOKUP(F48,Tabela7[[RECURSO]:[CUSTO]],3,FALSE),0)</f>
        <v>0</v>
      </c>
      <c r="K48" s="45">
        <f>I48*J48*CPU_35[[#This Row],[Nº]]</f>
        <v>0</v>
      </c>
      <c r="AD48" s="144" t="str">
        <f t="shared" si="3"/>
        <v>Sinalização vertical SAUS</v>
      </c>
      <c r="AE48" s="188"/>
      <c r="AF48" s="180">
        <f t="shared" si="35"/>
        <v>0</v>
      </c>
      <c r="AG48" s="180">
        <f t="shared" si="17"/>
        <v>0</v>
      </c>
      <c r="AH48" s="181">
        <f t="shared" si="36"/>
        <v>0</v>
      </c>
      <c r="AI48" s="189"/>
      <c r="AJ48" s="90"/>
      <c r="AK48" s="90"/>
      <c r="AL48" s="183">
        <f t="shared" si="37"/>
        <v>0</v>
      </c>
      <c r="AM48" s="189"/>
      <c r="AN48" s="90"/>
      <c r="AO48" s="90"/>
      <c r="AP48" s="183">
        <f t="shared" si="23"/>
        <v>0</v>
      </c>
      <c r="AQ48" s="189"/>
      <c r="AR48" s="90"/>
      <c r="AS48" s="90"/>
      <c r="AT48" s="183">
        <f t="shared" si="24"/>
        <v>0</v>
      </c>
      <c r="AU48" s="189"/>
      <c r="AV48" s="90"/>
      <c r="AW48" s="90"/>
      <c r="AX48" s="183">
        <f t="shared" si="25"/>
        <v>0</v>
      </c>
      <c r="AY48" s="189"/>
      <c r="AZ48" s="90"/>
      <c r="BA48" s="90"/>
      <c r="BB48" s="183">
        <f t="shared" si="26"/>
        <v>0</v>
      </c>
      <c r="BC48" s="189"/>
      <c r="BD48" s="90"/>
      <c r="BE48" s="90"/>
      <c r="BF48" s="183">
        <f t="shared" si="27"/>
        <v>0</v>
      </c>
      <c r="BG48" s="189"/>
      <c r="BH48" s="90"/>
      <c r="BI48" s="90"/>
      <c r="BJ48" s="183">
        <f t="shared" si="28"/>
        <v>0</v>
      </c>
      <c r="BK48" s="189"/>
      <c r="BL48" s="90"/>
      <c r="BM48" s="90"/>
      <c r="BN48" s="183">
        <f t="shared" si="29"/>
        <v>0</v>
      </c>
      <c r="BO48" s="189"/>
      <c r="BP48" s="90"/>
      <c r="BQ48" s="90"/>
      <c r="BR48" s="183">
        <f t="shared" si="30"/>
        <v>0</v>
      </c>
      <c r="BS48" s="189"/>
      <c r="BT48" s="90"/>
      <c r="BU48" s="90"/>
      <c r="BV48" s="183">
        <f t="shared" si="31"/>
        <v>0</v>
      </c>
      <c r="BW48" s="189"/>
      <c r="BX48" s="90"/>
      <c r="BY48" s="90"/>
      <c r="BZ48" s="183">
        <f t="shared" si="32"/>
        <v>0</v>
      </c>
      <c r="CA48" s="189"/>
      <c r="CB48" s="90"/>
      <c r="CC48" s="90"/>
      <c r="CD48" s="183">
        <f t="shared" si="33"/>
        <v>0</v>
      </c>
    </row>
    <row r="49" spans="2:82" ht="15" thickBot="1" x14ac:dyDescent="0.35">
      <c r="B49" s="53"/>
      <c r="C49" s="53" t="str">
        <f t="shared" si="0"/>
        <v>CPU_SinalizaçãoverticalS</v>
      </c>
      <c r="D49" s="278">
        <f t="shared" si="1"/>
        <v>1</v>
      </c>
      <c r="E49" s="278">
        <f t="shared" si="2"/>
        <v>0</v>
      </c>
      <c r="F49" s="1"/>
      <c r="G49" s="28" t="str">
        <f>IFERROR(VLOOKUP(F49,Tabela7[[RECURSO]:[CUSTO]],2,FALSE),"")</f>
        <v/>
      </c>
      <c r="H49" s="92"/>
      <c r="I49" s="90"/>
      <c r="J49" s="45">
        <f>IFERROR(VLOOKUP(F49,Tabela7[[RECURSO]:[CUSTO]],3,FALSE),0)</f>
        <v>0</v>
      </c>
      <c r="K49" s="45">
        <f>I49*J49*CPU_35[[#This Row],[Nº]]</f>
        <v>0</v>
      </c>
      <c r="M49" s="83" t="s">
        <v>701</v>
      </c>
      <c r="N49" s="87" t="s">
        <v>702</v>
      </c>
      <c r="AD49" s="144" t="str">
        <f t="shared" si="3"/>
        <v>Sinalização vertical SAUS</v>
      </c>
      <c r="AE49" s="188"/>
      <c r="AF49" s="180">
        <f t="shared" si="35"/>
        <v>0</v>
      </c>
      <c r="AG49" s="180">
        <f t="shared" si="17"/>
        <v>0</v>
      </c>
      <c r="AH49" s="181">
        <f t="shared" si="36"/>
        <v>0</v>
      </c>
      <c r="AI49" s="189"/>
      <c r="AJ49" s="90"/>
      <c r="AK49" s="90"/>
      <c r="AL49" s="183">
        <f t="shared" si="37"/>
        <v>0</v>
      </c>
      <c r="AM49" s="189"/>
      <c r="AN49" s="90"/>
      <c r="AO49" s="90"/>
      <c r="AP49" s="183">
        <f t="shared" si="23"/>
        <v>0</v>
      </c>
      <c r="AQ49" s="189"/>
      <c r="AR49" s="90"/>
      <c r="AS49" s="90"/>
      <c r="AT49" s="183">
        <f t="shared" si="24"/>
        <v>0</v>
      </c>
      <c r="AU49" s="189"/>
      <c r="AV49" s="90"/>
      <c r="AW49" s="90"/>
      <c r="AX49" s="183">
        <f t="shared" si="25"/>
        <v>0</v>
      </c>
      <c r="AY49" s="189"/>
      <c r="AZ49" s="90"/>
      <c r="BA49" s="90"/>
      <c r="BB49" s="183">
        <f t="shared" si="26"/>
        <v>0</v>
      </c>
      <c r="BC49" s="189"/>
      <c r="BD49" s="90"/>
      <c r="BE49" s="90"/>
      <c r="BF49" s="183">
        <f t="shared" si="27"/>
        <v>0</v>
      </c>
      <c r="BG49" s="189"/>
      <c r="BH49" s="90"/>
      <c r="BI49" s="90"/>
      <c r="BJ49" s="183">
        <f t="shared" si="28"/>
        <v>0</v>
      </c>
      <c r="BK49" s="189"/>
      <c r="BL49" s="90"/>
      <c r="BM49" s="90"/>
      <c r="BN49" s="183">
        <f t="shared" si="29"/>
        <v>0</v>
      </c>
      <c r="BO49" s="189"/>
      <c r="BP49" s="90"/>
      <c r="BQ49" s="90"/>
      <c r="BR49" s="183">
        <f t="shared" si="30"/>
        <v>0</v>
      </c>
      <c r="BS49" s="189"/>
      <c r="BT49" s="90"/>
      <c r="BU49" s="90"/>
      <c r="BV49" s="183">
        <f t="shared" si="31"/>
        <v>0</v>
      </c>
      <c r="BW49" s="189"/>
      <c r="BX49" s="90"/>
      <c r="BY49" s="90"/>
      <c r="BZ49" s="183">
        <f t="shared" si="32"/>
        <v>0</v>
      </c>
      <c r="CA49" s="189"/>
      <c r="CB49" s="90"/>
      <c r="CC49" s="90"/>
      <c r="CD49" s="183">
        <f t="shared" si="33"/>
        <v>0</v>
      </c>
    </row>
    <row r="50" spans="2:82" x14ac:dyDescent="0.3">
      <c r="B50" s="52" t="s">
        <v>693</v>
      </c>
      <c r="C50" s="52" t="str">
        <f t="shared" si="0"/>
        <v>CPU_SinalizaçãoverticalS</v>
      </c>
      <c r="D50" s="277">
        <f t="shared" si="1"/>
        <v>1</v>
      </c>
      <c r="E50" s="277">
        <f t="shared" si="2"/>
        <v>0</v>
      </c>
      <c r="F50" s="37"/>
      <c r="G50" s="38"/>
      <c r="H50" s="38"/>
      <c r="I50" s="37"/>
      <c r="J50" s="40">
        <f>IFERROR(K50/$B$6,0)</f>
        <v>22197.777777777777</v>
      </c>
      <c r="K50" s="40">
        <f>SUM(K51:K62)</f>
        <v>22197.777777777777</v>
      </c>
      <c r="M50" s="84" t="str">
        <f>"Consumo por "&amp;J3</f>
        <v>Consumo por UNID</v>
      </c>
      <c r="N50" s="89"/>
      <c r="O50" s="339" t="s">
        <v>771</v>
      </c>
      <c r="P50" s="340" t="s">
        <v>772</v>
      </c>
      <c r="Q50" s="340" t="s">
        <v>773</v>
      </c>
      <c r="R50" s="340" t="s">
        <v>774</v>
      </c>
      <c r="S50" s="340" t="s">
        <v>775</v>
      </c>
      <c r="T50" s="340" t="s">
        <v>776</v>
      </c>
      <c r="U50" s="340" t="s">
        <v>777</v>
      </c>
      <c r="V50" s="340" t="s">
        <v>778</v>
      </c>
      <c r="W50" s="341" t="s">
        <v>779</v>
      </c>
      <c r="AD50" s="144" t="str">
        <f t="shared" si="3"/>
        <v>Sinalização vertical SAUS</v>
      </c>
      <c r="AE50" s="190"/>
      <c r="AF50" s="191"/>
      <c r="AG50" s="40">
        <f>IFERROR(AH50/AF$3,0)</f>
        <v>0</v>
      </c>
      <c r="AH50" s="185">
        <f>SUM(AH51:AH62)</f>
        <v>0</v>
      </c>
      <c r="AI50" s="190"/>
      <c r="AJ50" s="37"/>
      <c r="AK50" s="40">
        <f>IFERROR(AL50/AJ$3,0)</f>
        <v>0</v>
      </c>
      <c r="AL50" s="185">
        <f>SUM(AL51:AL62)</f>
        <v>0</v>
      </c>
      <c r="AM50" s="190"/>
      <c r="AN50" s="37"/>
      <c r="AO50" s="40">
        <f>IFERROR(AP50/AN$3,0)</f>
        <v>0</v>
      </c>
      <c r="AP50" s="185">
        <f>SUM(AP51:AP62)</f>
        <v>0</v>
      </c>
      <c r="AQ50" s="190"/>
      <c r="AR50" s="37"/>
      <c r="AS50" s="40">
        <f>IFERROR(AT50/AR$3,0)</f>
        <v>0</v>
      </c>
      <c r="AT50" s="185">
        <f>SUM(AT51:AT62)</f>
        <v>0</v>
      </c>
      <c r="AU50" s="190"/>
      <c r="AV50" s="37"/>
      <c r="AW50" s="40">
        <f>IFERROR(AX50/AV$3,0)</f>
        <v>0</v>
      </c>
      <c r="AX50" s="185">
        <f>SUM(AX51:AX62)</f>
        <v>0</v>
      </c>
      <c r="AY50" s="190"/>
      <c r="AZ50" s="37"/>
      <c r="BA50" s="40">
        <f>IFERROR(BB50/AZ$3,0)</f>
        <v>0</v>
      </c>
      <c r="BB50" s="185">
        <f>SUM(BB51:BB62)</f>
        <v>0</v>
      </c>
      <c r="BC50" s="190"/>
      <c r="BD50" s="37"/>
      <c r="BE50" s="40">
        <f>IFERROR(BF50/BD$3,0)</f>
        <v>0</v>
      </c>
      <c r="BF50" s="185">
        <f>SUM(BF51:BF62)</f>
        <v>0</v>
      </c>
      <c r="BG50" s="190"/>
      <c r="BH50" s="37"/>
      <c r="BI50" s="40">
        <f>IFERROR(BJ50/BH$3,0)</f>
        <v>0</v>
      </c>
      <c r="BJ50" s="185">
        <f>SUM(BJ51:BJ62)</f>
        <v>0</v>
      </c>
      <c r="BK50" s="190"/>
      <c r="BL50" s="37"/>
      <c r="BM50" s="40">
        <f>IFERROR(BN50/BL$3,0)</f>
        <v>0</v>
      </c>
      <c r="BN50" s="185">
        <f>SUM(BN51:BN62)</f>
        <v>0</v>
      </c>
      <c r="BO50" s="190"/>
      <c r="BP50" s="37"/>
      <c r="BQ50" s="40">
        <f>IFERROR(BR50/BP$3,0)</f>
        <v>0</v>
      </c>
      <c r="BR50" s="185">
        <f>SUM(BR51:BR62)</f>
        <v>0</v>
      </c>
      <c r="BS50" s="190"/>
      <c r="BT50" s="37"/>
      <c r="BU50" s="40">
        <f>IFERROR(BV50/BT$3,0)</f>
        <v>0</v>
      </c>
      <c r="BV50" s="185">
        <f>SUM(BV51:BV62)</f>
        <v>0</v>
      </c>
      <c r="BW50" s="190"/>
      <c r="BX50" s="37"/>
      <c r="BY50" s="40">
        <f>IFERROR(BZ50/BX$3,0)</f>
        <v>0</v>
      </c>
      <c r="BZ50" s="185">
        <f>SUM(BZ51:BZ62)</f>
        <v>0</v>
      </c>
      <c r="CA50" s="190"/>
      <c r="CB50" s="37"/>
      <c r="CC50" s="40">
        <f>IFERROR(CD50/CB$3,0)</f>
        <v>0</v>
      </c>
      <c r="CD50" s="185">
        <f>SUM(CD51:CD62)</f>
        <v>0</v>
      </c>
    </row>
    <row r="51" spans="2:82" x14ac:dyDescent="0.3">
      <c r="B51" s="53"/>
      <c r="C51" s="53" t="str">
        <f t="shared" si="0"/>
        <v>CPU_SinalizaçãoverticalS</v>
      </c>
      <c r="D51" s="278">
        <f t="shared" si="1"/>
        <v>1</v>
      </c>
      <c r="E51" s="278">
        <f t="shared" si="2"/>
        <v>0</v>
      </c>
      <c r="F51" s="1" t="s">
        <v>817</v>
      </c>
      <c r="G51" s="28" t="str">
        <f>IFERROR(VLOOKUP(F51,Tabela7[[RECURSO]:[CUSTO]],2,FALSE),"")</f>
        <v>m2</v>
      </c>
      <c r="I51" s="90">
        <f>IFERROR(M51*$B$6,0)</f>
        <v>22.197777777777777</v>
      </c>
      <c r="J51" s="45">
        <f>IFERROR(VLOOKUP(F51,Tabela7[[RECURSO]:[CUSTO]],3,FALSE),0)</f>
        <v>1000</v>
      </c>
      <c r="K51" s="45">
        <f>I51*J51</f>
        <v>22197.777777777777</v>
      </c>
      <c r="M51" s="85">
        <f>SUM(O51:W51)/9</f>
        <v>22.197777777777777</v>
      </c>
      <c r="N51" s="88"/>
      <c r="O51" s="31">
        <v>26.98</v>
      </c>
      <c r="P51" s="1">
        <v>32.549999999999997</v>
      </c>
      <c r="Q51" s="1">
        <v>23.25</v>
      </c>
      <c r="R51" s="1">
        <v>0</v>
      </c>
      <c r="S51" s="1">
        <v>24</v>
      </c>
      <c r="T51" s="1">
        <v>23.25</v>
      </c>
      <c r="U51" s="1">
        <v>23.25</v>
      </c>
      <c r="V51" s="1">
        <v>23.25</v>
      </c>
      <c r="W51" s="342">
        <v>23.25</v>
      </c>
      <c r="AD51" s="144" t="str">
        <f t="shared" si="3"/>
        <v>Sinalização vertical SAUS</v>
      </c>
      <c r="AE51" s="192"/>
      <c r="AF51" s="180">
        <f t="shared" ref="AF51:AF62" si="38">AJ51+AN51+AR51+AV51+AZ51+BD51+BH51+BL51+BP51+BT51+BX51+CB51</f>
        <v>0</v>
      </c>
      <c r="AG51" s="180">
        <f t="shared" si="17"/>
        <v>0</v>
      </c>
      <c r="AH51" s="181">
        <f t="shared" ref="AH51:AH62" si="39">AL51+AP51+AT51+AX51+BB51+BF51+BJ51+BN51+BR51+BV51+BZ51+CD51</f>
        <v>0</v>
      </c>
      <c r="AI51" s="193"/>
      <c r="AJ51" s="90"/>
      <c r="AK51" s="90"/>
      <c r="AL51" s="183">
        <f t="shared" ref="AL51:AL62" si="40">AJ51*AK51</f>
        <v>0</v>
      </c>
      <c r="AM51" s="193"/>
      <c r="AN51" s="90"/>
      <c r="AO51" s="90"/>
      <c r="AP51" s="183">
        <f t="shared" si="23"/>
        <v>0</v>
      </c>
      <c r="AQ51" s="193"/>
      <c r="AR51" s="90"/>
      <c r="AS51" s="90"/>
      <c r="AT51" s="183">
        <f t="shared" si="24"/>
        <v>0</v>
      </c>
      <c r="AU51" s="193"/>
      <c r="AV51" s="90"/>
      <c r="AW51" s="90"/>
      <c r="AX51" s="183">
        <f t="shared" si="25"/>
        <v>0</v>
      </c>
      <c r="AY51" s="193"/>
      <c r="AZ51" s="90"/>
      <c r="BA51" s="90"/>
      <c r="BB51" s="183">
        <f t="shared" si="26"/>
        <v>0</v>
      </c>
      <c r="BC51" s="193"/>
      <c r="BD51" s="90"/>
      <c r="BE51" s="90"/>
      <c r="BF51" s="183">
        <f t="shared" si="27"/>
        <v>0</v>
      </c>
      <c r="BG51" s="193"/>
      <c r="BH51" s="90"/>
      <c r="BI51" s="90"/>
      <c r="BJ51" s="183">
        <f t="shared" si="28"/>
        <v>0</v>
      </c>
      <c r="BK51" s="193"/>
      <c r="BL51" s="90"/>
      <c r="BM51" s="90"/>
      <c r="BN51" s="183">
        <f t="shared" si="29"/>
        <v>0</v>
      </c>
      <c r="BO51" s="193"/>
      <c r="BP51" s="90"/>
      <c r="BQ51" s="90"/>
      <c r="BR51" s="183">
        <f t="shared" si="30"/>
        <v>0</v>
      </c>
      <c r="BS51" s="193"/>
      <c r="BT51" s="90"/>
      <c r="BU51" s="90"/>
      <c r="BV51" s="183">
        <f t="shared" si="31"/>
        <v>0</v>
      </c>
      <c r="BW51" s="193"/>
      <c r="BX51" s="90"/>
      <c r="BY51" s="90"/>
      <c r="BZ51" s="183">
        <f t="shared" si="32"/>
        <v>0</v>
      </c>
      <c r="CA51" s="193"/>
      <c r="CB51" s="90"/>
      <c r="CC51" s="90"/>
      <c r="CD51" s="183">
        <f t="shared" si="33"/>
        <v>0</v>
      </c>
    </row>
    <row r="52" spans="2:82" x14ac:dyDescent="0.3">
      <c r="B52" s="53"/>
      <c r="C52" s="53" t="str">
        <f t="shared" si="0"/>
        <v>CPU_SinalizaçãoverticalS</v>
      </c>
      <c r="D52" s="278">
        <f t="shared" si="1"/>
        <v>1</v>
      </c>
      <c r="E52" s="278">
        <f t="shared" si="2"/>
        <v>0</v>
      </c>
      <c r="F52" s="1"/>
      <c r="G52" s="28" t="str">
        <f>IFERROR(VLOOKUP(F52,Tabela7[[RECURSO]:[CUSTO]],2,FALSE),"")</f>
        <v/>
      </c>
      <c r="I52" s="90">
        <f t="shared" ref="I52:I62" si="41">IFERROR(M52*$B$6,0)</f>
        <v>0</v>
      </c>
      <c r="J52" s="45">
        <f>IFERROR(VLOOKUP(F52,Tabela7[[RECURSO]:[CUSTO]],3,FALSE),0)</f>
        <v>0</v>
      </c>
      <c r="K52" s="45">
        <f t="shared" ref="K52:K62" si="42">I52*J52</f>
        <v>0</v>
      </c>
      <c r="M52" s="85"/>
      <c r="N52" s="88"/>
      <c r="O52" s="31"/>
      <c r="P52" s="1"/>
      <c r="Q52" s="1"/>
      <c r="R52" s="1"/>
      <c r="S52" s="1"/>
      <c r="T52" s="1"/>
      <c r="U52" s="1"/>
      <c r="V52" s="1"/>
      <c r="W52" s="342"/>
      <c r="AD52" s="144" t="str">
        <f t="shared" si="3"/>
        <v>Sinalização vertical SAUS</v>
      </c>
      <c r="AE52" s="192"/>
      <c r="AF52" s="180">
        <f t="shared" si="38"/>
        <v>0</v>
      </c>
      <c r="AG52" s="180">
        <f t="shared" si="17"/>
        <v>0</v>
      </c>
      <c r="AH52" s="181">
        <f t="shared" si="39"/>
        <v>0</v>
      </c>
      <c r="AI52" s="193"/>
      <c r="AJ52" s="90"/>
      <c r="AK52" s="90"/>
      <c r="AL52" s="183">
        <f t="shared" si="40"/>
        <v>0</v>
      </c>
      <c r="AM52" s="193"/>
      <c r="AN52" s="90"/>
      <c r="AO52" s="90"/>
      <c r="AP52" s="183">
        <f t="shared" si="23"/>
        <v>0</v>
      </c>
      <c r="AQ52" s="193"/>
      <c r="AR52" s="90"/>
      <c r="AS52" s="90"/>
      <c r="AT52" s="183">
        <f t="shared" si="24"/>
        <v>0</v>
      </c>
      <c r="AU52" s="193"/>
      <c r="AV52" s="90"/>
      <c r="AW52" s="90"/>
      <c r="AX52" s="183">
        <f t="shared" si="25"/>
        <v>0</v>
      </c>
      <c r="AY52" s="193"/>
      <c r="AZ52" s="90"/>
      <c r="BA52" s="90"/>
      <c r="BB52" s="183">
        <f t="shared" si="26"/>
        <v>0</v>
      </c>
      <c r="BC52" s="193"/>
      <c r="BD52" s="90"/>
      <c r="BE52" s="90"/>
      <c r="BF52" s="183">
        <f t="shared" si="27"/>
        <v>0</v>
      </c>
      <c r="BG52" s="193"/>
      <c r="BH52" s="90"/>
      <c r="BI52" s="90"/>
      <c r="BJ52" s="183">
        <f t="shared" si="28"/>
        <v>0</v>
      </c>
      <c r="BK52" s="193"/>
      <c r="BL52" s="90"/>
      <c r="BM52" s="90"/>
      <c r="BN52" s="183">
        <f t="shared" si="29"/>
        <v>0</v>
      </c>
      <c r="BO52" s="193"/>
      <c r="BP52" s="90"/>
      <c r="BQ52" s="90"/>
      <c r="BR52" s="183">
        <f t="shared" si="30"/>
        <v>0</v>
      </c>
      <c r="BS52" s="193"/>
      <c r="BT52" s="90"/>
      <c r="BU52" s="90"/>
      <c r="BV52" s="183">
        <f t="shared" si="31"/>
        <v>0</v>
      </c>
      <c r="BW52" s="193"/>
      <c r="BX52" s="90"/>
      <c r="BY52" s="90"/>
      <c r="BZ52" s="183">
        <f t="shared" si="32"/>
        <v>0</v>
      </c>
      <c r="CA52" s="193"/>
      <c r="CB52" s="90"/>
      <c r="CC52" s="90"/>
      <c r="CD52" s="183">
        <f t="shared" si="33"/>
        <v>0</v>
      </c>
    </row>
    <row r="53" spans="2:82" x14ac:dyDescent="0.3">
      <c r="B53" s="53"/>
      <c r="C53" s="53" t="str">
        <f t="shared" si="0"/>
        <v>CPU_SinalizaçãoverticalS</v>
      </c>
      <c r="D53" s="278">
        <f t="shared" si="1"/>
        <v>1</v>
      </c>
      <c r="E53" s="278">
        <f t="shared" si="2"/>
        <v>0</v>
      </c>
      <c r="F53" s="1"/>
      <c r="G53" s="28" t="str">
        <f>IFERROR(VLOOKUP(F53,Tabela7[[RECURSO]:[CUSTO]],2,FALSE),"")</f>
        <v/>
      </c>
      <c r="I53" s="90">
        <f t="shared" si="41"/>
        <v>0</v>
      </c>
      <c r="J53" s="45">
        <f>IFERROR(VLOOKUP(F53,Tabela7[[RECURSO]:[CUSTO]],3,FALSE),0)</f>
        <v>0</v>
      </c>
      <c r="K53" s="45">
        <f t="shared" si="42"/>
        <v>0</v>
      </c>
      <c r="M53" s="85"/>
      <c r="N53" s="88"/>
      <c r="O53" s="31"/>
      <c r="P53" s="1"/>
      <c r="Q53" s="1"/>
      <c r="R53" s="1"/>
      <c r="S53" s="1"/>
      <c r="T53" s="1"/>
      <c r="U53" s="1"/>
      <c r="V53" s="1"/>
      <c r="W53" s="342"/>
      <c r="AD53" s="144" t="str">
        <f t="shared" si="3"/>
        <v>Sinalização vertical SAUS</v>
      </c>
      <c r="AE53" s="192"/>
      <c r="AF53" s="180">
        <f t="shared" si="38"/>
        <v>0</v>
      </c>
      <c r="AG53" s="180">
        <f t="shared" si="17"/>
        <v>0</v>
      </c>
      <c r="AH53" s="181">
        <f t="shared" si="39"/>
        <v>0</v>
      </c>
      <c r="AI53" s="193"/>
      <c r="AJ53" s="90"/>
      <c r="AK53" s="90"/>
      <c r="AL53" s="183">
        <f t="shared" si="40"/>
        <v>0</v>
      </c>
      <c r="AM53" s="193"/>
      <c r="AN53" s="90"/>
      <c r="AO53" s="90"/>
      <c r="AP53" s="183">
        <f t="shared" si="23"/>
        <v>0</v>
      </c>
      <c r="AQ53" s="193"/>
      <c r="AR53" s="90"/>
      <c r="AS53" s="90"/>
      <c r="AT53" s="183">
        <f t="shared" si="24"/>
        <v>0</v>
      </c>
      <c r="AU53" s="193"/>
      <c r="AV53" s="90"/>
      <c r="AW53" s="90"/>
      <c r="AX53" s="183">
        <f t="shared" si="25"/>
        <v>0</v>
      </c>
      <c r="AY53" s="193"/>
      <c r="AZ53" s="90"/>
      <c r="BA53" s="90"/>
      <c r="BB53" s="183">
        <f t="shared" si="26"/>
        <v>0</v>
      </c>
      <c r="BC53" s="193"/>
      <c r="BD53" s="90"/>
      <c r="BE53" s="90"/>
      <c r="BF53" s="183">
        <f t="shared" si="27"/>
        <v>0</v>
      </c>
      <c r="BG53" s="193"/>
      <c r="BH53" s="90"/>
      <c r="BI53" s="90"/>
      <c r="BJ53" s="183">
        <f t="shared" si="28"/>
        <v>0</v>
      </c>
      <c r="BK53" s="193"/>
      <c r="BL53" s="90"/>
      <c r="BM53" s="90"/>
      <c r="BN53" s="183">
        <f t="shared" si="29"/>
        <v>0</v>
      </c>
      <c r="BO53" s="193"/>
      <c r="BP53" s="90"/>
      <c r="BQ53" s="90"/>
      <c r="BR53" s="183">
        <f t="shared" si="30"/>
        <v>0</v>
      </c>
      <c r="BS53" s="193"/>
      <c r="BT53" s="90"/>
      <c r="BU53" s="90"/>
      <c r="BV53" s="183">
        <f t="shared" si="31"/>
        <v>0</v>
      </c>
      <c r="BW53" s="193"/>
      <c r="BX53" s="90"/>
      <c r="BY53" s="90"/>
      <c r="BZ53" s="183">
        <f t="shared" si="32"/>
        <v>0</v>
      </c>
      <c r="CA53" s="193"/>
      <c r="CB53" s="90"/>
      <c r="CC53" s="90"/>
      <c r="CD53" s="183">
        <f t="shared" si="33"/>
        <v>0</v>
      </c>
    </row>
    <row r="54" spans="2:82" x14ac:dyDescent="0.3">
      <c r="B54" s="53"/>
      <c r="C54" s="53" t="str">
        <f t="shared" si="0"/>
        <v>CPU_SinalizaçãoverticalS</v>
      </c>
      <c r="D54" s="278">
        <f t="shared" si="1"/>
        <v>1</v>
      </c>
      <c r="E54" s="278">
        <f t="shared" si="2"/>
        <v>0</v>
      </c>
      <c r="F54" s="1"/>
      <c r="G54" s="28" t="str">
        <f>IFERROR(VLOOKUP(F54,Tabela7[[RECURSO]:[CUSTO]],2,FALSE),"")</f>
        <v/>
      </c>
      <c r="I54" s="90">
        <f t="shared" si="41"/>
        <v>0</v>
      </c>
      <c r="J54" s="45">
        <f>IFERROR(VLOOKUP(F54,Tabela7[[RECURSO]:[CUSTO]],3,FALSE),0)</f>
        <v>0</v>
      </c>
      <c r="K54" s="45">
        <f>I54*J54</f>
        <v>0</v>
      </c>
      <c r="M54" s="85"/>
      <c r="N54" s="88"/>
      <c r="O54" s="31"/>
      <c r="P54" s="1"/>
      <c r="Q54" s="1"/>
      <c r="R54" s="1"/>
      <c r="S54" s="1"/>
      <c r="T54" s="1"/>
      <c r="U54" s="1"/>
      <c r="V54" s="1"/>
      <c r="W54" s="342"/>
      <c r="AD54" s="144" t="str">
        <f>$B$3</f>
        <v>Sinalização vertical SAUS</v>
      </c>
      <c r="AE54" s="192"/>
      <c r="AF54" s="180">
        <f t="shared" si="38"/>
        <v>0</v>
      </c>
      <c r="AG54" s="180">
        <f t="shared" si="17"/>
        <v>0</v>
      </c>
      <c r="AH54" s="181">
        <f t="shared" si="39"/>
        <v>0</v>
      </c>
      <c r="AI54" s="193"/>
      <c r="AJ54" s="90"/>
      <c r="AK54" s="90"/>
      <c r="AL54" s="183">
        <f t="shared" si="40"/>
        <v>0</v>
      </c>
      <c r="AM54" s="193"/>
      <c r="AN54" s="90"/>
      <c r="AO54" s="90"/>
      <c r="AP54" s="183">
        <f t="shared" si="23"/>
        <v>0</v>
      </c>
      <c r="AQ54" s="193"/>
      <c r="AR54" s="90"/>
      <c r="AS54" s="90"/>
      <c r="AT54" s="183">
        <f t="shared" si="24"/>
        <v>0</v>
      </c>
      <c r="AU54" s="193"/>
      <c r="AV54" s="90"/>
      <c r="AW54" s="90"/>
      <c r="AX54" s="183">
        <f t="shared" si="25"/>
        <v>0</v>
      </c>
      <c r="AY54" s="193"/>
      <c r="AZ54" s="90"/>
      <c r="BA54" s="90"/>
      <c r="BB54" s="183">
        <f t="shared" si="26"/>
        <v>0</v>
      </c>
      <c r="BC54" s="193"/>
      <c r="BD54" s="90"/>
      <c r="BE54" s="90"/>
      <c r="BF54" s="183">
        <f t="shared" si="27"/>
        <v>0</v>
      </c>
      <c r="BG54" s="193"/>
      <c r="BH54" s="90"/>
      <c r="BI54" s="90"/>
      <c r="BJ54" s="183">
        <f t="shared" si="28"/>
        <v>0</v>
      </c>
      <c r="BK54" s="193"/>
      <c r="BL54" s="90"/>
      <c r="BM54" s="90"/>
      <c r="BN54" s="183">
        <f t="shared" si="29"/>
        <v>0</v>
      </c>
      <c r="BO54" s="193"/>
      <c r="BP54" s="90"/>
      <c r="BQ54" s="90"/>
      <c r="BR54" s="183">
        <f t="shared" si="30"/>
        <v>0</v>
      </c>
      <c r="BS54" s="193"/>
      <c r="BT54" s="90"/>
      <c r="BU54" s="90"/>
      <c r="BV54" s="183">
        <f t="shared" si="31"/>
        <v>0</v>
      </c>
      <c r="BW54" s="193"/>
      <c r="BX54" s="90"/>
      <c r="BY54" s="90"/>
      <c r="BZ54" s="183">
        <f t="shared" si="32"/>
        <v>0</v>
      </c>
      <c r="CA54" s="193"/>
      <c r="CB54" s="90"/>
      <c r="CC54" s="90"/>
      <c r="CD54" s="183">
        <f t="shared" si="33"/>
        <v>0</v>
      </c>
    </row>
    <row r="55" spans="2:82" x14ac:dyDescent="0.3">
      <c r="B55" s="53"/>
      <c r="C55" s="53" t="str">
        <f t="shared" si="0"/>
        <v>CPU_SinalizaçãoverticalS</v>
      </c>
      <c r="D55" s="278">
        <f t="shared" si="1"/>
        <v>1</v>
      </c>
      <c r="E55" s="278">
        <f t="shared" si="2"/>
        <v>0</v>
      </c>
      <c r="F55" s="1"/>
      <c r="G55" s="28" t="str">
        <f>IFERROR(VLOOKUP(F55,Tabela7[[RECURSO]:[CUSTO]],2,FALSE),"")</f>
        <v/>
      </c>
      <c r="I55" s="90">
        <f t="shared" si="41"/>
        <v>0</v>
      </c>
      <c r="J55" s="45">
        <f>IFERROR(VLOOKUP(F55,Tabela7[[RECURSO]:[CUSTO]],3,FALSE),0)</f>
        <v>0</v>
      </c>
      <c r="K55" s="45">
        <f t="shared" si="42"/>
        <v>0</v>
      </c>
      <c r="M55" s="85"/>
      <c r="N55" s="88"/>
      <c r="O55" s="31"/>
      <c r="P55" s="1"/>
      <c r="Q55" s="1"/>
      <c r="R55" s="1"/>
      <c r="S55" s="1"/>
      <c r="T55" s="1"/>
      <c r="U55" s="1"/>
      <c r="V55" s="1"/>
      <c r="W55" s="342"/>
      <c r="AD55" s="144" t="str">
        <f t="shared" si="3"/>
        <v>Sinalização vertical SAUS</v>
      </c>
      <c r="AE55" s="192"/>
      <c r="AF55" s="180">
        <f t="shared" si="38"/>
        <v>0</v>
      </c>
      <c r="AG55" s="180">
        <f t="shared" si="17"/>
        <v>0</v>
      </c>
      <c r="AH55" s="181">
        <f t="shared" si="39"/>
        <v>0</v>
      </c>
      <c r="AI55" s="193"/>
      <c r="AJ55" s="90"/>
      <c r="AK55" s="90"/>
      <c r="AL55" s="183">
        <f t="shared" si="40"/>
        <v>0</v>
      </c>
      <c r="AM55" s="193"/>
      <c r="AN55" s="90"/>
      <c r="AO55" s="90"/>
      <c r="AP55" s="183">
        <f t="shared" si="23"/>
        <v>0</v>
      </c>
      <c r="AQ55" s="193"/>
      <c r="AR55" s="90"/>
      <c r="AS55" s="90"/>
      <c r="AT55" s="183">
        <f t="shared" si="24"/>
        <v>0</v>
      </c>
      <c r="AU55" s="193"/>
      <c r="AV55" s="90"/>
      <c r="AW55" s="90"/>
      <c r="AX55" s="183">
        <f t="shared" si="25"/>
        <v>0</v>
      </c>
      <c r="AY55" s="193"/>
      <c r="AZ55" s="90"/>
      <c r="BA55" s="90"/>
      <c r="BB55" s="183">
        <f t="shared" si="26"/>
        <v>0</v>
      </c>
      <c r="BC55" s="193"/>
      <c r="BD55" s="90"/>
      <c r="BE55" s="90"/>
      <c r="BF55" s="183">
        <f t="shared" si="27"/>
        <v>0</v>
      </c>
      <c r="BG55" s="193"/>
      <c r="BH55" s="90"/>
      <c r="BI55" s="90"/>
      <c r="BJ55" s="183">
        <f t="shared" si="28"/>
        <v>0</v>
      </c>
      <c r="BK55" s="193"/>
      <c r="BL55" s="90"/>
      <c r="BM55" s="90"/>
      <c r="BN55" s="183">
        <f t="shared" si="29"/>
        <v>0</v>
      </c>
      <c r="BO55" s="193"/>
      <c r="BP55" s="90"/>
      <c r="BQ55" s="90"/>
      <c r="BR55" s="183">
        <f t="shared" si="30"/>
        <v>0</v>
      </c>
      <c r="BS55" s="193"/>
      <c r="BT55" s="90"/>
      <c r="BU55" s="90"/>
      <c r="BV55" s="183">
        <f t="shared" si="31"/>
        <v>0</v>
      </c>
      <c r="BW55" s="193"/>
      <c r="BX55" s="90"/>
      <c r="BY55" s="90"/>
      <c r="BZ55" s="183">
        <f t="shared" si="32"/>
        <v>0</v>
      </c>
      <c r="CA55" s="193"/>
      <c r="CB55" s="90"/>
      <c r="CC55" s="90"/>
      <c r="CD55" s="183">
        <f t="shared" si="33"/>
        <v>0</v>
      </c>
    </row>
    <row r="56" spans="2:82" x14ac:dyDescent="0.3">
      <c r="B56" s="53"/>
      <c r="C56" s="53" t="str">
        <f t="shared" si="0"/>
        <v>CPU_SinalizaçãoverticalS</v>
      </c>
      <c r="D56" s="278">
        <f t="shared" si="1"/>
        <v>1</v>
      </c>
      <c r="E56" s="278">
        <f t="shared" si="2"/>
        <v>0</v>
      </c>
      <c r="F56" s="1"/>
      <c r="G56" s="28" t="str">
        <f>IFERROR(VLOOKUP(F56,Tabela7[[RECURSO]:[CUSTO]],2,FALSE),"")</f>
        <v/>
      </c>
      <c r="I56" s="90">
        <f t="shared" si="41"/>
        <v>0</v>
      </c>
      <c r="J56" s="45">
        <f>IFERROR(VLOOKUP(F56,Tabela7[[RECURSO]:[CUSTO]],3,FALSE),0)</f>
        <v>0</v>
      </c>
      <c r="K56" s="45">
        <f t="shared" si="42"/>
        <v>0</v>
      </c>
      <c r="M56" s="85"/>
      <c r="N56" s="88"/>
      <c r="O56" s="31"/>
      <c r="P56" s="1"/>
      <c r="Q56" s="1"/>
      <c r="R56" s="1"/>
      <c r="S56" s="1"/>
      <c r="T56" s="1"/>
      <c r="U56" s="1"/>
      <c r="V56" s="1"/>
      <c r="W56" s="342"/>
      <c r="AD56" s="144" t="str">
        <f t="shared" si="3"/>
        <v>Sinalização vertical SAUS</v>
      </c>
      <c r="AE56" s="192"/>
      <c r="AF56" s="180">
        <f t="shared" si="38"/>
        <v>0</v>
      </c>
      <c r="AG56" s="180">
        <f t="shared" si="17"/>
        <v>0</v>
      </c>
      <c r="AH56" s="181">
        <f t="shared" si="39"/>
        <v>0</v>
      </c>
      <c r="AI56" s="193"/>
      <c r="AJ56" s="90"/>
      <c r="AK56" s="90"/>
      <c r="AL56" s="183">
        <f t="shared" si="40"/>
        <v>0</v>
      </c>
      <c r="AM56" s="193"/>
      <c r="AN56" s="90"/>
      <c r="AO56" s="90"/>
      <c r="AP56" s="183">
        <f t="shared" si="23"/>
        <v>0</v>
      </c>
      <c r="AQ56" s="193"/>
      <c r="AR56" s="90"/>
      <c r="AS56" s="90"/>
      <c r="AT56" s="183">
        <f t="shared" si="24"/>
        <v>0</v>
      </c>
      <c r="AU56" s="193"/>
      <c r="AV56" s="90"/>
      <c r="AW56" s="90"/>
      <c r="AX56" s="183">
        <f t="shared" si="25"/>
        <v>0</v>
      </c>
      <c r="AY56" s="193"/>
      <c r="AZ56" s="90"/>
      <c r="BA56" s="90"/>
      <c r="BB56" s="183">
        <f t="shared" si="26"/>
        <v>0</v>
      </c>
      <c r="BC56" s="193"/>
      <c r="BD56" s="90"/>
      <c r="BE56" s="90"/>
      <c r="BF56" s="183">
        <f t="shared" si="27"/>
        <v>0</v>
      </c>
      <c r="BG56" s="193"/>
      <c r="BH56" s="90"/>
      <c r="BI56" s="90"/>
      <c r="BJ56" s="183">
        <f t="shared" si="28"/>
        <v>0</v>
      </c>
      <c r="BK56" s="193"/>
      <c r="BL56" s="90"/>
      <c r="BM56" s="90"/>
      <c r="BN56" s="183">
        <f t="shared" si="29"/>
        <v>0</v>
      </c>
      <c r="BO56" s="193"/>
      <c r="BP56" s="90"/>
      <c r="BQ56" s="90"/>
      <c r="BR56" s="183">
        <f t="shared" si="30"/>
        <v>0</v>
      </c>
      <c r="BS56" s="193"/>
      <c r="BT56" s="90"/>
      <c r="BU56" s="90"/>
      <c r="BV56" s="183">
        <f t="shared" si="31"/>
        <v>0</v>
      </c>
      <c r="BW56" s="193"/>
      <c r="BX56" s="90"/>
      <c r="BY56" s="90"/>
      <c r="BZ56" s="183">
        <f t="shared" si="32"/>
        <v>0</v>
      </c>
      <c r="CA56" s="193"/>
      <c r="CB56" s="90"/>
      <c r="CC56" s="90"/>
      <c r="CD56" s="183">
        <f t="shared" si="33"/>
        <v>0</v>
      </c>
    </row>
    <row r="57" spans="2:82" x14ac:dyDescent="0.3">
      <c r="B57" s="53"/>
      <c r="C57" s="53" t="str">
        <f t="shared" si="0"/>
        <v>CPU_SinalizaçãoverticalS</v>
      </c>
      <c r="D57" s="278">
        <f t="shared" si="1"/>
        <v>1</v>
      </c>
      <c r="E57" s="278">
        <f t="shared" si="2"/>
        <v>0</v>
      </c>
      <c r="F57" s="1"/>
      <c r="G57" s="28" t="str">
        <f>IFERROR(VLOOKUP(F57,Tabela7[[RECURSO]:[CUSTO]],2,FALSE),"")</f>
        <v/>
      </c>
      <c r="I57" s="90">
        <f t="shared" si="41"/>
        <v>0</v>
      </c>
      <c r="J57" s="45">
        <f>IFERROR(VLOOKUP(F57,Tabela7[[RECURSO]:[CUSTO]],3,FALSE),0)</f>
        <v>0</v>
      </c>
      <c r="K57" s="45">
        <f t="shared" si="42"/>
        <v>0</v>
      </c>
      <c r="M57" s="85"/>
      <c r="N57" s="88"/>
      <c r="O57" s="31"/>
      <c r="P57" s="1"/>
      <c r="Q57" s="1"/>
      <c r="R57" s="1"/>
      <c r="S57" s="1"/>
      <c r="T57" s="1"/>
      <c r="U57" s="1"/>
      <c r="V57" s="1"/>
      <c r="W57" s="342"/>
      <c r="AD57" s="144" t="str">
        <f t="shared" si="3"/>
        <v>Sinalização vertical SAUS</v>
      </c>
      <c r="AE57" s="192"/>
      <c r="AF57" s="180">
        <f t="shared" si="38"/>
        <v>0</v>
      </c>
      <c r="AG57" s="180">
        <f t="shared" si="17"/>
        <v>0</v>
      </c>
      <c r="AH57" s="181">
        <f t="shared" si="39"/>
        <v>0</v>
      </c>
      <c r="AI57" s="193"/>
      <c r="AJ57" s="90"/>
      <c r="AK57" s="90"/>
      <c r="AL57" s="183">
        <f t="shared" si="40"/>
        <v>0</v>
      </c>
      <c r="AM57" s="193"/>
      <c r="AN57" s="90"/>
      <c r="AO57" s="90"/>
      <c r="AP57" s="183">
        <f t="shared" si="23"/>
        <v>0</v>
      </c>
      <c r="AQ57" s="193"/>
      <c r="AR57" s="90"/>
      <c r="AS57" s="90"/>
      <c r="AT57" s="183">
        <f t="shared" si="24"/>
        <v>0</v>
      </c>
      <c r="AU57" s="193"/>
      <c r="AV57" s="90"/>
      <c r="AW57" s="90"/>
      <c r="AX57" s="183">
        <f t="shared" si="25"/>
        <v>0</v>
      </c>
      <c r="AY57" s="193"/>
      <c r="AZ57" s="90"/>
      <c r="BA57" s="90"/>
      <c r="BB57" s="183">
        <f t="shared" si="26"/>
        <v>0</v>
      </c>
      <c r="BC57" s="193"/>
      <c r="BD57" s="90"/>
      <c r="BE57" s="90"/>
      <c r="BF57" s="183">
        <f t="shared" si="27"/>
        <v>0</v>
      </c>
      <c r="BG57" s="193"/>
      <c r="BH57" s="90"/>
      <c r="BI57" s="90"/>
      <c r="BJ57" s="183">
        <f t="shared" si="28"/>
        <v>0</v>
      </c>
      <c r="BK57" s="193"/>
      <c r="BL57" s="90"/>
      <c r="BM57" s="90"/>
      <c r="BN57" s="183">
        <f t="shared" si="29"/>
        <v>0</v>
      </c>
      <c r="BO57" s="193"/>
      <c r="BP57" s="90"/>
      <c r="BQ57" s="90"/>
      <c r="BR57" s="183">
        <f t="shared" si="30"/>
        <v>0</v>
      </c>
      <c r="BS57" s="193"/>
      <c r="BT57" s="90"/>
      <c r="BU57" s="90"/>
      <c r="BV57" s="183">
        <f t="shared" si="31"/>
        <v>0</v>
      </c>
      <c r="BW57" s="193"/>
      <c r="BX57" s="90"/>
      <c r="BY57" s="90"/>
      <c r="BZ57" s="183">
        <f t="shared" si="32"/>
        <v>0</v>
      </c>
      <c r="CA57" s="193"/>
      <c r="CB57" s="90"/>
      <c r="CC57" s="90"/>
      <c r="CD57" s="183">
        <f t="shared" si="33"/>
        <v>0</v>
      </c>
    </row>
    <row r="58" spans="2:82" x14ac:dyDescent="0.3">
      <c r="B58" s="53"/>
      <c r="C58" s="53" t="str">
        <f t="shared" si="0"/>
        <v>CPU_SinalizaçãoverticalS</v>
      </c>
      <c r="D58" s="278">
        <f t="shared" si="1"/>
        <v>1</v>
      </c>
      <c r="E58" s="278">
        <f t="shared" si="2"/>
        <v>0</v>
      </c>
      <c r="F58" s="1"/>
      <c r="G58" s="28" t="str">
        <f>IFERROR(VLOOKUP(F58,Tabela7[[RECURSO]:[CUSTO]],2,FALSE),"")</f>
        <v/>
      </c>
      <c r="I58" s="90">
        <f t="shared" si="41"/>
        <v>0</v>
      </c>
      <c r="J58" s="45">
        <f>IFERROR(VLOOKUP(F58,Tabela7[[RECURSO]:[CUSTO]],3,FALSE),0)</f>
        <v>0</v>
      </c>
      <c r="K58" s="45">
        <f t="shared" si="42"/>
        <v>0</v>
      </c>
      <c r="M58" s="85"/>
      <c r="N58" s="88"/>
      <c r="O58" s="31"/>
      <c r="P58" s="1"/>
      <c r="Q58" s="1"/>
      <c r="R58" s="1"/>
      <c r="S58" s="1"/>
      <c r="T58" s="1"/>
      <c r="U58" s="1"/>
      <c r="V58" s="1"/>
      <c r="W58" s="342"/>
      <c r="AD58" s="144" t="str">
        <f t="shared" si="3"/>
        <v>Sinalização vertical SAUS</v>
      </c>
      <c r="AE58" s="192"/>
      <c r="AF58" s="180">
        <f t="shared" si="38"/>
        <v>0</v>
      </c>
      <c r="AG58" s="180">
        <f t="shared" si="17"/>
        <v>0</v>
      </c>
      <c r="AH58" s="181">
        <f t="shared" si="39"/>
        <v>0</v>
      </c>
      <c r="AI58" s="193"/>
      <c r="AJ58" s="90"/>
      <c r="AK58" s="90"/>
      <c r="AL58" s="183">
        <f t="shared" si="40"/>
        <v>0</v>
      </c>
      <c r="AM58" s="193"/>
      <c r="AN58" s="90"/>
      <c r="AO58" s="90"/>
      <c r="AP58" s="183">
        <f t="shared" si="23"/>
        <v>0</v>
      </c>
      <c r="AQ58" s="193"/>
      <c r="AR58" s="90"/>
      <c r="AS58" s="90"/>
      <c r="AT58" s="183">
        <f t="shared" si="24"/>
        <v>0</v>
      </c>
      <c r="AU58" s="193"/>
      <c r="AV58" s="90"/>
      <c r="AW58" s="90"/>
      <c r="AX58" s="183">
        <f t="shared" si="25"/>
        <v>0</v>
      </c>
      <c r="AY58" s="193"/>
      <c r="AZ58" s="90"/>
      <c r="BA58" s="90"/>
      <c r="BB58" s="183">
        <f t="shared" si="26"/>
        <v>0</v>
      </c>
      <c r="BC58" s="193"/>
      <c r="BD58" s="90"/>
      <c r="BE58" s="90"/>
      <c r="BF58" s="183">
        <f t="shared" si="27"/>
        <v>0</v>
      </c>
      <c r="BG58" s="193"/>
      <c r="BH58" s="90"/>
      <c r="BI58" s="90"/>
      <c r="BJ58" s="183">
        <f t="shared" si="28"/>
        <v>0</v>
      </c>
      <c r="BK58" s="193"/>
      <c r="BL58" s="90"/>
      <c r="BM58" s="90"/>
      <c r="BN58" s="183">
        <f t="shared" si="29"/>
        <v>0</v>
      </c>
      <c r="BO58" s="193"/>
      <c r="BP58" s="90"/>
      <c r="BQ58" s="90"/>
      <c r="BR58" s="183">
        <f t="shared" si="30"/>
        <v>0</v>
      </c>
      <c r="BS58" s="193"/>
      <c r="BT58" s="90"/>
      <c r="BU58" s="90"/>
      <c r="BV58" s="183">
        <f t="shared" si="31"/>
        <v>0</v>
      </c>
      <c r="BW58" s="193"/>
      <c r="BX58" s="90"/>
      <c r="BY58" s="90"/>
      <c r="BZ58" s="183">
        <f t="shared" si="32"/>
        <v>0</v>
      </c>
      <c r="CA58" s="193"/>
      <c r="CB58" s="90"/>
      <c r="CC58" s="90"/>
      <c r="CD58" s="183">
        <f t="shared" si="33"/>
        <v>0</v>
      </c>
    </row>
    <row r="59" spans="2:82" x14ac:dyDescent="0.3">
      <c r="B59" s="53"/>
      <c r="C59" s="53" t="str">
        <f t="shared" si="0"/>
        <v>CPU_SinalizaçãoverticalS</v>
      </c>
      <c r="D59" s="278">
        <f t="shared" si="1"/>
        <v>1</v>
      </c>
      <c r="E59" s="278">
        <f t="shared" si="2"/>
        <v>0</v>
      </c>
      <c r="F59" s="1"/>
      <c r="G59" s="28" t="str">
        <f>IFERROR(VLOOKUP(F59,Tabela7[[RECURSO]:[CUSTO]],2,FALSE),"")</f>
        <v/>
      </c>
      <c r="I59" s="90">
        <f t="shared" si="41"/>
        <v>0</v>
      </c>
      <c r="J59" s="45">
        <f>IFERROR(VLOOKUP(F59,Tabela7[[RECURSO]:[CUSTO]],3,FALSE),0)</f>
        <v>0</v>
      </c>
      <c r="K59" s="45">
        <f t="shared" si="42"/>
        <v>0</v>
      </c>
      <c r="M59" s="85"/>
      <c r="N59" s="88"/>
      <c r="O59" s="31"/>
      <c r="P59" s="1"/>
      <c r="Q59" s="1"/>
      <c r="R59" s="1"/>
      <c r="S59" s="1"/>
      <c r="T59" s="1"/>
      <c r="U59" s="1"/>
      <c r="V59" s="1"/>
      <c r="W59" s="342"/>
      <c r="AD59" s="144" t="str">
        <f t="shared" si="3"/>
        <v>Sinalização vertical SAUS</v>
      </c>
      <c r="AE59" s="192"/>
      <c r="AF59" s="180">
        <f t="shared" si="38"/>
        <v>0</v>
      </c>
      <c r="AG59" s="180">
        <f t="shared" si="17"/>
        <v>0</v>
      </c>
      <c r="AH59" s="181">
        <f t="shared" si="39"/>
        <v>0</v>
      </c>
      <c r="AI59" s="193"/>
      <c r="AJ59" s="90"/>
      <c r="AK59" s="90"/>
      <c r="AL59" s="183">
        <f t="shared" si="40"/>
        <v>0</v>
      </c>
      <c r="AM59" s="193"/>
      <c r="AN59" s="90"/>
      <c r="AO59" s="90"/>
      <c r="AP59" s="183">
        <f t="shared" si="23"/>
        <v>0</v>
      </c>
      <c r="AQ59" s="193"/>
      <c r="AR59" s="90"/>
      <c r="AS59" s="90"/>
      <c r="AT59" s="183">
        <f t="shared" si="24"/>
        <v>0</v>
      </c>
      <c r="AU59" s="193"/>
      <c r="AV59" s="90"/>
      <c r="AW59" s="90"/>
      <c r="AX59" s="183">
        <f t="shared" si="25"/>
        <v>0</v>
      </c>
      <c r="AY59" s="193"/>
      <c r="AZ59" s="90"/>
      <c r="BA59" s="90"/>
      <c r="BB59" s="183">
        <f t="shared" si="26"/>
        <v>0</v>
      </c>
      <c r="BC59" s="193"/>
      <c r="BD59" s="90"/>
      <c r="BE59" s="90"/>
      <c r="BF59" s="183">
        <f t="shared" si="27"/>
        <v>0</v>
      </c>
      <c r="BG59" s="193"/>
      <c r="BH59" s="90"/>
      <c r="BI59" s="90"/>
      <c r="BJ59" s="183">
        <f t="shared" si="28"/>
        <v>0</v>
      </c>
      <c r="BK59" s="193"/>
      <c r="BL59" s="90"/>
      <c r="BM59" s="90"/>
      <c r="BN59" s="183">
        <f t="shared" si="29"/>
        <v>0</v>
      </c>
      <c r="BO59" s="193"/>
      <c r="BP59" s="90"/>
      <c r="BQ59" s="90"/>
      <c r="BR59" s="183">
        <f t="shared" si="30"/>
        <v>0</v>
      </c>
      <c r="BS59" s="193"/>
      <c r="BT59" s="90"/>
      <c r="BU59" s="90"/>
      <c r="BV59" s="183">
        <f t="shared" si="31"/>
        <v>0</v>
      </c>
      <c r="BW59" s="193"/>
      <c r="BX59" s="90"/>
      <c r="BY59" s="90"/>
      <c r="BZ59" s="183">
        <f t="shared" si="32"/>
        <v>0</v>
      </c>
      <c r="CA59" s="193"/>
      <c r="CB59" s="90"/>
      <c r="CC59" s="90"/>
      <c r="CD59" s="183">
        <f t="shared" si="33"/>
        <v>0</v>
      </c>
    </row>
    <row r="60" spans="2:82" x14ac:dyDescent="0.3">
      <c r="B60" s="53"/>
      <c r="C60" s="53" t="str">
        <f t="shared" si="0"/>
        <v>CPU_SinalizaçãoverticalS</v>
      </c>
      <c r="D60" s="278">
        <f t="shared" si="1"/>
        <v>1</v>
      </c>
      <c r="E60" s="278">
        <f t="shared" si="2"/>
        <v>0</v>
      </c>
      <c r="F60" s="1"/>
      <c r="G60" s="28" t="str">
        <f>IFERROR(VLOOKUP(F60,Tabela7[[RECURSO]:[CUSTO]],2,FALSE),"")</f>
        <v/>
      </c>
      <c r="I60" s="90">
        <f t="shared" si="41"/>
        <v>0</v>
      </c>
      <c r="J60" s="45">
        <f>IFERROR(VLOOKUP(F60,Tabela7[[RECURSO]:[CUSTO]],3,FALSE),0)</f>
        <v>0</v>
      </c>
      <c r="K60" s="45">
        <f t="shared" si="42"/>
        <v>0</v>
      </c>
      <c r="M60" s="85"/>
      <c r="N60" s="88"/>
      <c r="O60" s="31"/>
      <c r="P60" s="1"/>
      <c r="Q60" s="1"/>
      <c r="R60" s="1"/>
      <c r="S60" s="1"/>
      <c r="T60" s="1"/>
      <c r="U60" s="1"/>
      <c r="V60" s="1"/>
      <c r="W60" s="342"/>
      <c r="AD60" s="144" t="str">
        <f t="shared" si="3"/>
        <v>Sinalização vertical SAUS</v>
      </c>
      <c r="AE60" s="192"/>
      <c r="AF60" s="180">
        <f t="shared" si="38"/>
        <v>0</v>
      </c>
      <c r="AG60" s="180">
        <f t="shared" si="17"/>
        <v>0</v>
      </c>
      <c r="AH60" s="181">
        <f t="shared" si="39"/>
        <v>0</v>
      </c>
      <c r="AI60" s="193"/>
      <c r="AJ60" s="90"/>
      <c r="AK60" s="90"/>
      <c r="AL60" s="183">
        <f t="shared" si="40"/>
        <v>0</v>
      </c>
      <c r="AM60" s="193"/>
      <c r="AN60" s="90"/>
      <c r="AO60" s="90"/>
      <c r="AP60" s="183">
        <f t="shared" si="23"/>
        <v>0</v>
      </c>
      <c r="AQ60" s="193"/>
      <c r="AR60" s="90"/>
      <c r="AS60" s="90"/>
      <c r="AT60" s="183">
        <f t="shared" si="24"/>
        <v>0</v>
      </c>
      <c r="AU60" s="193"/>
      <c r="AV60" s="90"/>
      <c r="AW60" s="90"/>
      <c r="AX60" s="183">
        <f t="shared" si="25"/>
        <v>0</v>
      </c>
      <c r="AY60" s="193"/>
      <c r="AZ60" s="90"/>
      <c r="BA60" s="90"/>
      <c r="BB60" s="183">
        <f t="shared" si="26"/>
        <v>0</v>
      </c>
      <c r="BC60" s="193"/>
      <c r="BD60" s="90"/>
      <c r="BE60" s="90"/>
      <c r="BF60" s="183">
        <f t="shared" si="27"/>
        <v>0</v>
      </c>
      <c r="BG60" s="193"/>
      <c r="BH60" s="90"/>
      <c r="BI60" s="90"/>
      <c r="BJ60" s="183">
        <f t="shared" si="28"/>
        <v>0</v>
      </c>
      <c r="BK60" s="193"/>
      <c r="BL60" s="90"/>
      <c r="BM60" s="90"/>
      <c r="BN60" s="183">
        <f t="shared" si="29"/>
        <v>0</v>
      </c>
      <c r="BO60" s="193"/>
      <c r="BP60" s="90"/>
      <c r="BQ60" s="90"/>
      <c r="BR60" s="183">
        <f t="shared" si="30"/>
        <v>0</v>
      </c>
      <c r="BS60" s="193"/>
      <c r="BT60" s="90"/>
      <c r="BU60" s="90"/>
      <c r="BV60" s="183">
        <f t="shared" si="31"/>
        <v>0</v>
      </c>
      <c r="BW60" s="193"/>
      <c r="BX60" s="90"/>
      <c r="BY60" s="90"/>
      <c r="BZ60" s="183">
        <f t="shared" si="32"/>
        <v>0</v>
      </c>
      <c r="CA60" s="193"/>
      <c r="CB60" s="90"/>
      <c r="CC60" s="90"/>
      <c r="CD60" s="183">
        <f t="shared" si="33"/>
        <v>0</v>
      </c>
    </row>
    <row r="61" spans="2:82" x14ac:dyDescent="0.3">
      <c r="B61" s="53"/>
      <c r="C61" s="53" t="str">
        <f t="shared" si="0"/>
        <v>CPU_SinalizaçãoverticalS</v>
      </c>
      <c r="D61" s="278">
        <f t="shared" si="1"/>
        <v>1</v>
      </c>
      <c r="E61" s="278">
        <f t="shared" si="2"/>
        <v>0</v>
      </c>
      <c r="F61" s="1"/>
      <c r="G61" s="28" t="str">
        <f>IFERROR(VLOOKUP(F61,Tabela7[[RECURSO]:[CUSTO]],2,FALSE),"")</f>
        <v/>
      </c>
      <c r="I61" s="90">
        <f t="shared" si="41"/>
        <v>0</v>
      </c>
      <c r="J61" s="45">
        <f>IFERROR(VLOOKUP(F61,Tabela7[[RECURSO]:[CUSTO]],3,FALSE),0)</f>
        <v>0</v>
      </c>
      <c r="K61" s="45">
        <f t="shared" si="42"/>
        <v>0</v>
      </c>
      <c r="M61" s="85"/>
      <c r="N61" s="88"/>
      <c r="O61" s="31"/>
      <c r="P61" s="1"/>
      <c r="Q61" s="1"/>
      <c r="R61" s="1"/>
      <c r="S61" s="1"/>
      <c r="T61" s="1"/>
      <c r="U61" s="1"/>
      <c r="V61" s="1"/>
      <c r="W61" s="342"/>
      <c r="AD61" s="144" t="str">
        <f t="shared" si="3"/>
        <v>Sinalização vertical SAUS</v>
      </c>
      <c r="AE61" s="192"/>
      <c r="AF61" s="180">
        <f t="shared" si="38"/>
        <v>0</v>
      </c>
      <c r="AG61" s="180">
        <f t="shared" si="17"/>
        <v>0</v>
      </c>
      <c r="AH61" s="181">
        <f t="shared" si="39"/>
        <v>0</v>
      </c>
      <c r="AI61" s="193"/>
      <c r="AJ61" s="90"/>
      <c r="AK61" s="90"/>
      <c r="AL61" s="183">
        <f t="shared" si="40"/>
        <v>0</v>
      </c>
      <c r="AM61" s="193"/>
      <c r="AN61" s="90"/>
      <c r="AO61" s="90"/>
      <c r="AP61" s="183">
        <f t="shared" si="23"/>
        <v>0</v>
      </c>
      <c r="AQ61" s="193"/>
      <c r="AR61" s="90"/>
      <c r="AS61" s="90"/>
      <c r="AT61" s="183">
        <f t="shared" si="24"/>
        <v>0</v>
      </c>
      <c r="AU61" s="193"/>
      <c r="AV61" s="90"/>
      <c r="AW61" s="90"/>
      <c r="AX61" s="183">
        <f t="shared" si="25"/>
        <v>0</v>
      </c>
      <c r="AY61" s="193"/>
      <c r="AZ61" s="90"/>
      <c r="BA61" s="90"/>
      <c r="BB61" s="183">
        <f t="shared" si="26"/>
        <v>0</v>
      </c>
      <c r="BC61" s="193"/>
      <c r="BD61" s="90"/>
      <c r="BE61" s="90"/>
      <c r="BF61" s="183">
        <f t="shared" si="27"/>
        <v>0</v>
      </c>
      <c r="BG61" s="193"/>
      <c r="BH61" s="90"/>
      <c r="BI61" s="90"/>
      <c r="BJ61" s="183">
        <f t="shared" si="28"/>
        <v>0</v>
      </c>
      <c r="BK61" s="193"/>
      <c r="BL61" s="90"/>
      <c r="BM61" s="90"/>
      <c r="BN61" s="183">
        <f t="shared" si="29"/>
        <v>0</v>
      </c>
      <c r="BO61" s="193"/>
      <c r="BP61" s="90"/>
      <c r="BQ61" s="90"/>
      <c r="BR61" s="183">
        <f t="shared" si="30"/>
        <v>0</v>
      </c>
      <c r="BS61" s="193"/>
      <c r="BT61" s="90"/>
      <c r="BU61" s="90"/>
      <c r="BV61" s="183">
        <f t="shared" si="31"/>
        <v>0</v>
      </c>
      <c r="BW61" s="193"/>
      <c r="BX61" s="90"/>
      <c r="BY61" s="90"/>
      <c r="BZ61" s="183">
        <f t="shared" si="32"/>
        <v>0</v>
      </c>
      <c r="CA61" s="193"/>
      <c r="CB61" s="90"/>
      <c r="CC61" s="90"/>
      <c r="CD61" s="183">
        <f t="shared" si="33"/>
        <v>0</v>
      </c>
    </row>
    <row r="62" spans="2:82" ht="15" thickBot="1" x14ac:dyDescent="0.35">
      <c r="B62" s="53"/>
      <c r="C62" s="53" t="str">
        <f t="shared" si="0"/>
        <v>CPU_SinalizaçãoverticalS</v>
      </c>
      <c r="D62" s="278">
        <f t="shared" si="1"/>
        <v>1</v>
      </c>
      <c r="E62" s="278">
        <f t="shared" si="2"/>
        <v>0</v>
      </c>
      <c r="F62" s="1"/>
      <c r="G62" s="28" t="str">
        <f>IFERROR(VLOOKUP(F62,Tabela7[[RECURSO]:[CUSTO]],2,FALSE),"")</f>
        <v/>
      </c>
      <c r="I62" s="90">
        <f t="shared" si="41"/>
        <v>0</v>
      </c>
      <c r="J62" s="45">
        <f>IFERROR(VLOOKUP(F62,Tabela7[[RECURSO]:[CUSTO]],3,FALSE),0)</f>
        <v>0</v>
      </c>
      <c r="K62" s="45">
        <f t="shared" si="42"/>
        <v>0</v>
      </c>
      <c r="M62" s="86"/>
      <c r="N62" s="88"/>
      <c r="O62" s="51"/>
      <c r="P62" s="343"/>
      <c r="Q62" s="343"/>
      <c r="R62" s="343"/>
      <c r="S62" s="343"/>
      <c r="T62" s="343"/>
      <c r="U62" s="343"/>
      <c r="V62" s="343"/>
      <c r="W62" s="344"/>
      <c r="AD62" s="144" t="str">
        <f t="shared" si="3"/>
        <v>Sinalização vertical SAUS</v>
      </c>
      <c r="AE62" s="194"/>
      <c r="AF62" s="195">
        <f t="shared" si="38"/>
        <v>0</v>
      </c>
      <c r="AG62" s="195">
        <f t="shared" si="17"/>
        <v>0</v>
      </c>
      <c r="AH62" s="196">
        <f t="shared" si="39"/>
        <v>0</v>
      </c>
      <c r="AI62" s="197"/>
      <c r="AJ62" s="198"/>
      <c r="AK62" s="198"/>
      <c r="AL62" s="199">
        <f t="shared" si="40"/>
        <v>0</v>
      </c>
      <c r="AM62" s="197"/>
      <c r="AN62" s="198"/>
      <c r="AO62" s="198"/>
      <c r="AP62" s="199">
        <f t="shared" si="23"/>
        <v>0</v>
      </c>
      <c r="AQ62" s="197"/>
      <c r="AR62" s="198"/>
      <c r="AS62" s="198"/>
      <c r="AT62" s="199">
        <f t="shared" si="24"/>
        <v>0</v>
      </c>
      <c r="AU62" s="197"/>
      <c r="AV62" s="198"/>
      <c r="AW62" s="198"/>
      <c r="AX62" s="199">
        <f t="shared" si="25"/>
        <v>0</v>
      </c>
      <c r="AY62" s="197"/>
      <c r="AZ62" s="198"/>
      <c r="BA62" s="198"/>
      <c r="BB62" s="199">
        <f t="shared" si="26"/>
        <v>0</v>
      </c>
      <c r="BC62" s="197"/>
      <c r="BD62" s="198"/>
      <c r="BE62" s="198"/>
      <c r="BF62" s="199">
        <f t="shared" si="27"/>
        <v>0</v>
      </c>
      <c r="BG62" s="197"/>
      <c r="BH62" s="198"/>
      <c r="BI62" s="198"/>
      <c r="BJ62" s="199">
        <f t="shared" si="28"/>
        <v>0</v>
      </c>
      <c r="BK62" s="197"/>
      <c r="BL62" s="198"/>
      <c r="BM62" s="198"/>
      <c r="BN62" s="199">
        <f t="shared" si="29"/>
        <v>0</v>
      </c>
      <c r="BO62" s="197"/>
      <c r="BP62" s="198"/>
      <c r="BQ62" s="198"/>
      <c r="BR62" s="199">
        <f t="shared" si="30"/>
        <v>0</v>
      </c>
      <c r="BS62" s="197"/>
      <c r="BT62" s="198"/>
      <c r="BU62" s="198"/>
      <c r="BV62" s="199">
        <f t="shared" si="31"/>
        <v>0</v>
      </c>
      <c r="BW62" s="197"/>
      <c r="BX62" s="198"/>
      <c r="BY62" s="198"/>
      <c r="BZ62" s="199">
        <f t="shared" si="32"/>
        <v>0</v>
      </c>
      <c r="CA62" s="197"/>
      <c r="CB62" s="198"/>
      <c r="CC62" s="198"/>
      <c r="CD62" s="199">
        <f t="shared" si="33"/>
        <v>0</v>
      </c>
    </row>
  </sheetData>
  <conditionalFormatting sqref="K6:K7">
    <cfRule type="iconSet" priority="14">
      <iconSet>
        <cfvo type="percent" val="0"/>
        <cfvo type="num" val="0"/>
        <cfvo type="num" val="0.02"/>
      </iconSet>
    </cfRule>
  </conditionalFormatting>
  <conditionalFormatting sqref="AH6:AH7">
    <cfRule type="iconSet" priority="13">
      <iconSet>
        <cfvo type="percent" val="0"/>
        <cfvo type="num" val="0"/>
        <cfvo type="num" val="0.02"/>
      </iconSet>
    </cfRule>
  </conditionalFormatting>
  <conditionalFormatting sqref="AL6:AL7">
    <cfRule type="iconSet" priority="12">
      <iconSet>
        <cfvo type="percent" val="0"/>
        <cfvo type="num" val="0"/>
        <cfvo type="num" val="0.02"/>
      </iconSet>
    </cfRule>
  </conditionalFormatting>
  <conditionalFormatting sqref="AP6:AP7">
    <cfRule type="iconSet" priority="11">
      <iconSet>
        <cfvo type="percent" val="0"/>
        <cfvo type="num" val="0"/>
        <cfvo type="num" val="0.02"/>
      </iconSet>
    </cfRule>
  </conditionalFormatting>
  <conditionalFormatting sqref="AT6:AT7">
    <cfRule type="iconSet" priority="10">
      <iconSet>
        <cfvo type="percent" val="0"/>
        <cfvo type="num" val="0"/>
        <cfvo type="num" val="0.02"/>
      </iconSet>
    </cfRule>
  </conditionalFormatting>
  <conditionalFormatting sqref="AX6:AX7">
    <cfRule type="iconSet" priority="9">
      <iconSet>
        <cfvo type="percent" val="0"/>
        <cfvo type="num" val="0"/>
        <cfvo type="num" val="0.02"/>
      </iconSet>
    </cfRule>
  </conditionalFormatting>
  <conditionalFormatting sqref="BB6:BB7">
    <cfRule type="iconSet" priority="8">
      <iconSet>
        <cfvo type="percent" val="0"/>
        <cfvo type="num" val="0"/>
        <cfvo type="num" val="0.02"/>
      </iconSet>
    </cfRule>
  </conditionalFormatting>
  <conditionalFormatting sqref="BF6:BF7">
    <cfRule type="iconSet" priority="7">
      <iconSet>
        <cfvo type="percent" val="0"/>
        <cfvo type="num" val="0"/>
        <cfvo type="num" val="0.02"/>
      </iconSet>
    </cfRule>
  </conditionalFormatting>
  <conditionalFormatting sqref="BJ6:BJ7">
    <cfRule type="iconSet" priority="6">
      <iconSet>
        <cfvo type="percent" val="0"/>
        <cfvo type="num" val="0"/>
        <cfvo type="num" val="0.02"/>
      </iconSet>
    </cfRule>
  </conditionalFormatting>
  <conditionalFormatting sqref="BN6:BN7">
    <cfRule type="iconSet" priority="5">
      <iconSet>
        <cfvo type="percent" val="0"/>
        <cfvo type="num" val="0"/>
        <cfvo type="num" val="0.02"/>
      </iconSet>
    </cfRule>
  </conditionalFormatting>
  <conditionalFormatting sqref="BR6:BR7">
    <cfRule type="iconSet" priority="4">
      <iconSet>
        <cfvo type="percent" val="0"/>
        <cfvo type="num" val="0"/>
        <cfvo type="num" val="0.02"/>
      </iconSet>
    </cfRule>
  </conditionalFormatting>
  <conditionalFormatting sqref="BV6:BV7">
    <cfRule type="iconSet" priority="3">
      <iconSet>
        <cfvo type="percent" val="0"/>
        <cfvo type="num" val="0"/>
        <cfvo type="num" val="0.02"/>
      </iconSet>
    </cfRule>
  </conditionalFormatting>
  <conditionalFormatting sqref="BZ6:BZ7">
    <cfRule type="iconSet" priority="2">
      <iconSet>
        <cfvo type="percent" val="0"/>
        <cfvo type="num" val="0"/>
        <cfvo type="num" val="0.02"/>
      </iconSet>
    </cfRule>
  </conditionalFormatting>
  <conditionalFormatting sqref="CD6:CD7">
    <cfRule type="iconSet" priority="1">
      <iconSet>
        <cfvo type="percent" val="0"/>
        <cfvo type="num" val="0"/>
        <cfvo type="num" val="0.02"/>
      </iconSet>
    </cfRule>
  </conditionalFormatting>
  <dataValidations count="5">
    <dataValidation type="list" allowBlank="1" showInputMessage="1" showErrorMessage="1" sqref="F51:F62" xr:uid="{F73E9245-AE77-40FD-8A1B-A83797DEF40D}">
      <formula1>INDIRECT($B$50)</formula1>
    </dataValidation>
    <dataValidation type="list" allowBlank="1" showInputMessage="1" showErrorMessage="1" sqref="F38:F49" xr:uid="{76EBC47F-0C01-4AEB-B45C-0A2E41D18440}">
      <formula1>INDIRECT($B$37)</formula1>
    </dataValidation>
    <dataValidation type="list" allowBlank="1" showInputMessage="1" showErrorMessage="1" sqref="F25:F36" xr:uid="{B04CADF8-5B48-4BC5-9740-6D192C61C41E}">
      <formula1>INDIRECT($B$24)</formula1>
    </dataValidation>
    <dataValidation type="list" allowBlank="1" showInputMessage="1" showErrorMessage="1" sqref="F12:F23" xr:uid="{C3B09673-1E29-4D22-8843-B20BC4DCF829}">
      <formula1>INDIRECT($B$11)</formula1>
    </dataValidation>
    <dataValidation type="list" allowBlank="1" showInputMessage="1" showErrorMessage="1" sqref="B3:E3" xr:uid="{87F2CC5E-A0CF-44CD-A998-D0986759D4AE}">
      <formula1>INDIRECT($B$2)</formula1>
    </dataValidation>
  </dataValidations>
  <pageMargins left="0.51181102362204722" right="0.51181102362204722" top="0.19685039370078741" bottom="0.19685039370078741" header="0.31496062992125984" footer="0.31496062992125984"/>
  <pageSetup paperSize="9" scale="82" orientation="portrait" r:id="rId1"/>
  <colBreaks count="1" manualBreakCount="1">
    <brk id="11" max="1048575" man="1"/>
  </colBreaks>
  <drawing r:id="rId2"/>
  <legacyDrawing r:id="rId3"/>
  <tableParts count="2">
    <tablePart r:id="rId4"/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D11A9-AFC3-46AB-B774-EF74D3FEFF08}">
  <sheetPr codeName="Plan25"/>
  <dimension ref="A1:CD62"/>
  <sheetViews>
    <sheetView showGridLines="0" zoomScaleNormal="100" workbookViewId="0">
      <pane xSplit="14" ySplit="10" topLeftCell="O37" activePane="bottomRight" state="frozen"/>
      <selection pane="topRight" activeCell="C28" activeCellId="1" sqref="E13 C28"/>
      <selection pane="bottomLeft" activeCell="C28" activeCellId="1" sqref="E13 C28"/>
      <selection pane="bottomRight" activeCell="B3" sqref="B3"/>
    </sheetView>
  </sheetViews>
  <sheetFormatPr defaultRowHeight="14.4" x14ac:dyDescent="0.3"/>
  <cols>
    <col min="1" max="1" width="4.109375" customWidth="1"/>
    <col min="2" max="2" width="16.109375" customWidth="1"/>
    <col min="3" max="5" width="16.109375" hidden="1" customWidth="1"/>
    <col min="6" max="6" width="40.6640625" customWidth="1"/>
    <col min="7" max="7" width="10.6640625" style="28" customWidth="1"/>
    <col min="8" max="8" width="7.6640625" style="28" customWidth="1"/>
    <col min="9" max="11" width="10.6640625" customWidth="1"/>
    <col min="12" max="12" width="2.33203125" customWidth="1"/>
    <col min="13" max="14" width="12.6640625" customWidth="1"/>
    <col min="15" max="15" width="14" bestFit="1" customWidth="1"/>
    <col min="30" max="30" width="12.44140625" bestFit="1" customWidth="1"/>
    <col min="31" max="31" width="7.6640625" customWidth="1"/>
    <col min="32" max="32" width="9.33203125" bestFit="1" customWidth="1"/>
    <col min="33" max="34" width="10.6640625" customWidth="1"/>
    <col min="35" max="35" width="7.6640625" customWidth="1"/>
    <col min="36" max="36" width="9.33203125" customWidth="1"/>
    <col min="37" max="38" width="10.6640625" customWidth="1"/>
    <col min="40" max="40" width="9.33203125" customWidth="1"/>
    <col min="42" max="42" width="9.6640625" customWidth="1"/>
    <col min="44" max="44" width="9.33203125" customWidth="1"/>
    <col min="46" max="46" width="9.6640625" customWidth="1"/>
    <col min="48" max="48" width="9.33203125" customWidth="1"/>
    <col min="50" max="50" width="9.6640625" customWidth="1"/>
    <col min="52" max="52" width="9.33203125" customWidth="1"/>
    <col min="54" max="54" width="9.6640625" customWidth="1"/>
    <col min="56" max="56" width="9.33203125" customWidth="1"/>
    <col min="58" max="58" width="9.6640625" customWidth="1"/>
    <col min="60" max="60" width="9.33203125" customWidth="1"/>
    <col min="62" max="62" width="9.6640625" customWidth="1"/>
    <col min="64" max="64" width="9.33203125" customWidth="1"/>
    <col min="66" max="66" width="9.6640625" customWidth="1"/>
    <col min="68" max="68" width="9.33203125" customWidth="1"/>
    <col min="70" max="70" width="9.6640625" customWidth="1"/>
    <col min="72" max="72" width="10" customWidth="1"/>
    <col min="73" max="73" width="9.5546875" customWidth="1"/>
    <col min="74" max="74" width="10.44140625" customWidth="1"/>
    <col min="76" max="76" width="10" customWidth="1"/>
    <col min="77" max="77" width="9.5546875" customWidth="1"/>
    <col min="78" max="78" width="10.44140625" customWidth="1"/>
    <col min="80" max="80" width="10" customWidth="1"/>
    <col min="81" max="81" width="9.5546875" customWidth="1"/>
    <col min="82" max="82" width="10.44140625" customWidth="1"/>
  </cols>
  <sheetData>
    <row r="1" spans="1:82" ht="26.4" customHeight="1" thickBot="1" x14ac:dyDescent="0.35">
      <c r="AE1" s="163" t="s">
        <v>678</v>
      </c>
    </row>
    <row r="2" spans="1:82" x14ac:dyDescent="0.3">
      <c r="B2" s="64" t="s">
        <v>679</v>
      </c>
      <c r="C2" s="67"/>
      <c r="D2" s="67"/>
      <c r="E2" s="67"/>
      <c r="F2" s="65"/>
      <c r="G2" s="66"/>
      <c r="H2" s="66"/>
      <c r="I2" s="65"/>
      <c r="J2" s="67" t="s">
        <v>680</v>
      </c>
      <c r="K2" s="68" t="s">
        <v>681</v>
      </c>
      <c r="M2" s="227" t="s">
        <v>682</v>
      </c>
      <c r="N2" s="228" t="s">
        <v>683</v>
      </c>
      <c r="O2" s="234" t="s">
        <v>684</v>
      </c>
      <c r="AE2" s="164" t="s">
        <v>590</v>
      </c>
      <c r="AF2" s="165" t="s">
        <v>20</v>
      </c>
      <c r="AG2" s="67"/>
      <c r="AH2" s="68" t="s">
        <v>681</v>
      </c>
      <c r="AI2" s="166">
        <v>44927</v>
      </c>
      <c r="AJ2" s="165" t="s">
        <v>20</v>
      </c>
      <c r="AK2" s="67"/>
      <c r="AL2" s="68" t="s">
        <v>681</v>
      </c>
      <c r="AM2" s="166">
        <v>44958</v>
      </c>
      <c r="AN2" s="165" t="s">
        <v>20</v>
      </c>
      <c r="AO2" s="67"/>
      <c r="AP2" s="68" t="s">
        <v>681</v>
      </c>
      <c r="AQ2" s="166">
        <v>44986</v>
      </c>
      <c r="AR2" s="165" t="s">
        <v>20</v>
      </c>
      <c r="AS2" s="67"/>
      <c r="AT2" s="68" t="s">
        <v>681</v>
      </c>
      <c r="AU2" s="166">
        <v>45017</v>
      </c>
      <c r="AV2" s="165" t="s">
        <v>20</v>
      </c>
      <c r="AW2" s="67"/>
      <c r="AX2" s="68" t="s">
        <v>681</v>
      </c>
      <c r="AY2" s="166">
        <v>45047</v>
      </c>
      <c r="AZ2" s="165" t="s">
        <v>20</v>
      </c>
      <c r="BA2" s="67"/>
      <c r="BB2" s="68" t="s">
        <v>681</v>
      </c>
      <c r="BC2" s="166">
        <v>45078</v>
      </c>
      <c r="BD2" s="165" t="s">
        <v>20</v>
      </c>
      <c r="BE2" s="67"/>
      <c r="BF2" s="68" t="s">
        <v>681</v>
      </c>
      <c r="BG2" s="166">
        <v>45108</v>
      </c>
      <c r="BH2" s="165" t="s">
        <v>20</v>
      </c>
      <c r="BI2" s="67"/>
      <c r="BJ2" s="68" t="s">
        <v>681</v>
      </c>
      <c r="BK2" s="166">
        <v>45139</v>
      </c>
      <c r="BL2" s="165" t="s">
        <v>20</v>
      </c>
      <c r="BM2" s="67"/>
      <c r="BN2" s="68" t="s">
        <v>681</v>
      </c>
      <c r="BO2" s="166">
        <v>45170</v>
      </c>
      <c r="BP2" s="165" t="s">
        <v>20</v>
      </c>
      <c r="BQ2" s="67"/>
      <c r="BR2" s="68" t="s">
        <v>681</v>
      </c>
      <c r="BS2" s="166">
        <v>45200</v>
      </c>
      <c r="BT2" s="165" t="s">
        <v>20</v>
      </c>
      <c r="BU2" s="67"/>
      <c r="BV2" s="68" t="s">
        <v>681</v>
      </c>
      <c r="BW2" s="166">
        <v>45231</v>
      </c>
      <c r="BX2" s="165" t="s">
        <v>20</v>
      </c>
      <c r="BY2" s="67"/>
      <c r="BZ2" s="68" t="s">
        <v>681</v>
      </c>
      <c r="CA2" s="166">
        <v>45261</v>
      </c>
      <c r="CB2" s="165" t="s">
        <v>20</v>
      </c>
      <c r="CC2" s="67"/>
      <c r="CD2" s="68" t="s">
        <v>681</v>
      </c>
    </row>
    <row r="3" spans="1:82" x14ac:dyDescent="0.3">
      <c r="A3" s="42" t="str">
        <f>"CPU_"&amp;LEFT(SUBSTITUTE(SUBSTITUTE(B3," ",""),"-",""),20)</f>
        <v>CPU_SinalizaçãohorizSAUS</v>
      </c>
      <c r="B3" s="31" t="s">
        <v>818</v>
      </c>
      <c r="C3" s="1"/>
      <c r="D3" s="1"/>
      <c r="E3" s="1"/>
      <c r="F3" s="73"/>
      <c r="G3" s="74"/>
      <c r="H3" s="74"/>
      <c r="I3" s="73"/>
      <c r="J3" s="74" t="str">
        <f>IFERROR(VLOOKUP(B3,Tabela1[[NOME SERVIÇO]:[UNID]],4,0),"")</f>
        <v>UNID</v>
      </c>
      <c r="K3" s="75">
        <f>IFERROR(J6/B6,0)</f>
        <v>26558.355555555558</v>
      </c>
      <c r="M3" s="229" t="s">
        <v>685</v>
      </c>
      <c r="N3" s="230">
        <f>K11</f>
        <v>0</v>
      </c>
      <c r="O3" s="235">
        <f>IFERROR(N3/$N$7,0)</f>
        <v>0</v>
      </c>
      <c r="AE3" s="167"/>
      <c r="AF3" s="168">
        <f>AJ3+AN3+AR3+AV3+AZ3+BD3+BH3+BL3+BP3+BT3+BX3+CB3</f>
        <v>0</v>
      </c>
      <c r="AG3" s="74"/>
      <c r="AH3" s="75">
        <f>IFERROR((AG6/AF3),0)</f>
        <v>0</v>
      </c>
      <c r="AI3" s="167"/>
      <c r="AJ3" s="168">
        <f>IFERROR(SUMPRODUCT(Plan_Orc!$I$4:$I$2002*Plan_Orc!$AB$4:$AB$2002*(Plan_Orc!$D$4:$D$2002=$B3)),0)</f>
        <v>0</v>
      </c>
      <c r="AK3" s="74"/>
      <c r="AL3" s="75">
        <f>IFERROR((AK6/AJ3),0)</f>
        <v>0</v>
      </c>
      <c r="AM3" s="167"/>
      <c r="AN3" s="168">
        <f>IFERROR(SUMPRODUCT(Plan_Orc!$I$4:$I$2002*Plan_Orc!$AC$4:$AC$2002*(Plan_Orc!$D$4:$D$2002=$B3)),0)</f>
        <v>0</v>
      </c>
      <c r="AO3" s="74"/>
      <c r="AP3" s="75">
        <f>IFERROR((AO6/AN3),0)</f>
        <v>0</v>
      </c>
      <c r="AQ3" s="167"/>
      <c r="AR3" s="168">
        <f>IFERROR(SUMPRODUCT(Plan_Orc!$I$4:$I$2002*Plan_Orc!$AD$4:$AD$2002*(Plan_Orc!$D$4:$D$2002=$B3)),0)</f>
        <v>0</v>
      </c>
      <c r="AS3" s="74"/>
      <c r="AT3" s="75">
        <f>IFERROR((AS6/AR3),0)</f>
        <v>0</v>
      </c>
      <c r="AU3" s="167"/>
      <c r="AV3" s="168">
        <f>IFERROR(SUMPRODUCT(Plan_Orc!$I$4:$I$2002*Plan_Orc!$AE$4:$AE$2002*(Plan_Orc!$D$4:$D$2002=$B3)),0)</f>
        <v>0</v>
      </c>
      <c r="AW3" s="74"/>
      <c r="AX3" s="75">
        <f>IFERROR((AW6/AV3),0)</f>
        <v>0</v>
      </c>
      <c r="AY3" s="167"/>
      <c r="AZ3" s="168">
        <f>IFERROR(SUMPRODUCT(Plan_Orc!$I$4:$I$2002*Plan_Orc!$AF$4:$AF$2002*(Plan_Orc!$D$4:$D$2002=$B3)),0)</f>
        <v>0</v>
      </c>
      <c r="BA3" s="74"/>
      <c r="BB3" s="75">
        <f>IFERROR((BA6/AZ3),0)</f>
        <v>0</v>
      </c>
      <c r="BC3" s="167"/>
      <c r="BD3" s="168">
        <f>IFERROR(SUMPRODUCT(Plan_Orc!$I$4:$I$2002*Plan_Orc!$AG$4:$AG$2002*(Plan_Orc!$D$4:$D$2002=$B3)),0)</f>
        <v>0</v>
      </c>
      <c r="BE3" s="74"/>
      <c r="BF3" s="75">
        <f>IFERROR((BE6/BD3),0)</f>
        <v>0</v>
      </c>
      <c r="BG3" s="167"/>
      <c r="BH3" s="168">
        <f>IFERROR(SUMPRODUCT(Plan_Orc!$I$4:$I$2002*Plan_Orc!$AH$4:$AH$2002*(Plan_Orc!$D$4:$D$2002=$B3)),0)</f>
        <v>0</v>
      </c>
      <c r="BI3" s="74"/>
      <c r="BJ3" s="75">
        <f>IFERROR((BI6/BH3),0)</f>
        <v>0</v>
      </c>
      <c r="BK3" s="167"/>
      <c r="BL3" s="168">
        <f>IFERROR(SUMPRODUCT(Plan_Orc!$I$4:$I$2002*Plan_Orc!$AI$4:$AI$2002*(Plan_Orc!$D$4:$D$2002=$B3)),0)</f>
        <v>0</v>
      </c>
      <c r="BM3" s="74"/>
      <c r="BN3" s="75">
        <f>IFERROR((BM6/BL3),0)</f>
        <v>0</v>
      </c>
      <c r="BO3" s="167"/>
      <c r="BP3" s="168">
        <f>IFERROR(SUMPRODUCT(Plan_Orc!$I$4:$I$2002*Plan_Orc!$AJ$4:$AJ$2002*(Plan_Orc!$D$4:$D$2002=$B3)),0)</f>
        <v>0</v>
      </c>
      <c r="BQ3" s="74"/>
      <c r="BR3" s="75">
        <f>IFERROR((BQ6/BP3),0)</f>
        <v>0</v>
      </c>
      <c r="BS3" s="167"/>
      <c r="BT3" s="168">
        <f>IFERROR(SUMPRODUCT(Plan_Orc!$I$4:$I$2002*Plan_Orc!$AK$4:$AK$2002*(Plan_Orc!$D$4:$D$2002=$B3)),0)</f>
        <v>0</v>
      </c>
      <c r="BU3" s="74"/>
      <c r="BV3" s="75">
        <f>IFERROR((BU6/BT3),0)</f>
        <v>0</v>
      </c>
      <c r="BW3" s="167"/>
      <c r="BX3" s="168">
        <f>IFERROR(SUMPRODUCT(Plan_Orc!$I$4:$I$2002*Plan_Orc!$AL$4:$AL$2002*(Plan_Orc!$D$4:$D$2002=$B3)),0)</f>
        <v>0</v>
      </c>
      <c r="BY3" s="74"/>
      <c r="BZ3" s="75">
        <f>IFERROR((BY6/BX3),0)</f>
        <v>0</v>
      </c>
      <c r="CA3" s="167"/>
      <c r="CB3" s="168">
        <f>IFERROR(SUMPRODUCT(Plan_Orc!$I$4:$I$2002*Plan_Orc!$AM$4:$AM$2002*(Plan_Orc!$D$4:$D$2002=$B3)),0)</f>
        <v>0</v>
      </c>
      <c r="CC3" s="74"/>
      <c r="CD3" s="75">
        <f>IFERROR((CC6/CB3),0)</f>
        <v>0</v>
      </c>
    </row>
    <row r="4" spans="1:82" x14ac:dyDescent="0.3">
      <c r="B4" s="32"/>
      <c r="K4" s="30"/>
      <c r="M4" s="229" t="s">
        <v>686</v>
      </c>
      <c r="N4" s="230">
        <f>+K24</f>
        <v>0</v>
      </c>
      <c r="O4" s="235">
        <f>IFERROR(N4/$N$7,0)</f>
        <v>0</v>
      </c>
      <c r="AE4" s="169"/>
      <c r="AH4" s="30"/>
      <c r="AI4" s="169"/>
      <c r="AL4" s="30"/>
      <c r="AM4" s="169"/>
      <c r="AP4" s="30"/>
      <c r="AQ4" s="169"/>
      <c r="AT4" s="30"/>
      <c r="AU4" s="169"/>
      <c r="AX4" s="30"/>
      <c r="AY4" s="169"/>
      <c r="BB4" s="30"/>
      <c r="BC4" s="169"/>
      <c r="BF4" s="30"/>
      <c r="BG4" s="169"/>
      <c r="BJ4" s="30"/>
      <c r="BK4" s="169"/>
      <c r="BN4" s="30"/>
      <c r="BO4" s="169"/>
      <c r="BR4" s="30"/>
      <c r="BS4" s="169"/>
      <c r="BV4" s="30"/>
      <c r="BW4" s="169"/>
      <c r="BZ4" s="30"/>
      <c r="CA4" s="169"/>
      <c r="CD4" s="30"/>
    </row>
    <row r="5" spans="1:82" x14ac:dyDescent="0.3">
      <c r="B5" s="69" t="s">
        <v>687</v>
      </c>
      <c r="C5" s="72"/>
      <c r="D5" s="72"/>
      <c r="E5" s="72"/>
      <c r="F5" s="70" t="s">
        <v>688</v>
      </c>
      <c r="G5" s="70" t="s">
        <v>689</v>
      </c>
      <c r="H5" s="70" t="s">
        <v>690</v>
      </c>
      <c r="I5" s="70" t="s">
        <v>691</v>
      </c>
      <c r="J5" s="70" t="s">
        <v>683</v>
      </c>
      <c r="K5" s="71" t="s">
        <v>593</v>
      </c>
      <c r="M5" s="229" t="s">
        <v>692</v>
      </c>
      <c r="N5" s="230">
        <f>+K37</f>
        <v>0</v>
      </c>
      <c r="O5" s="235">
        <f>IFERROR(N5/$N$7,0)</f>
        <v>0</v>
      </c>
      <c r="AE5" s="170"/>
      <c r="AF5" s="70" t="s">
        <v>691</v>
      </c>
      <c r="AG5" s="70" t="s">
        <v>683</v>
      </c>
      <c r="AH5" s="71" t="s">
        <v>593</v>
      </c>
      <c r="AI5" s="170"/>
      <c r="AJ5" s="70" t="s">
        <v>691</v>
      </c>
      <c r="AK5" s="70" t="s">
        <v>683</v>
      </c>
      <c r="AL5" s="71" t="s">
        <v>593</v>
      </c>
      <c r="AM5" s="170"/>
      <c r="AN5" s="70" t="s">
        <v>691</v>
      </c>
      <c r="AO5" s="70" t="s">
        <v>683</v>
      </c>
      <c r="AP5" s="71" t="s">
        <v>593</v>
      </c>
      <c r="AQ5" s="170"/>
      <c r="AR5" s="70" t="s">
        <v>691</v>
      </c>
      <c r="AS5" s="70" t="s">
        <v>683</v>
      </c>
      <c r="AT5" s="71" t="s">
        <v>593</v>
      </c>
      <c r="AU5" s="170"/>
      <c r="AV5" s="70" t="s">
        <v>691</v>
      </c>
      <c r="AW5" s="70" t="s">
        <v>683</v>
      </c>
      <c r="AX5" s="71" t="s">
        <v>593</v>
      </c>
      <c r="AY5" s="170"/>
      <c r="AZ5" s="70" t="s">
        <v>691</v>
      </c>
      <c r="BA5" s="70" t="s">
        <v>683</v>
      </c>
      <c r="BB5" s="71" t="s">
        <v>593</v>
      </c>
      <c r="BC5" s="170"/>
      <c r="BD5" s="70" t="s">
        <v>691</v>
      </c>
      <c r="BE5" s="70" t="s">
        <v>683</v>
      </c>
      <c r="BF5" s="71" t="s">
        <v>593</v>
      </c>
      <c r="BG5" s="170"/>
      <c r="BH5" s="70" t="s">
        <v>691</v>
      </c>
      <c r="BI5" s="70" t="s">
        <v>683</v>
      </c>
      <c r="BJ5" s="71" t="s">
        <v>593</v>
      </c>
      <c r="BK5" s="170"/>
      <c r="BL5" s="70" t="s">
        <v>691</v>
      </c>
      <c r="BM5" s="70" t="s">
        <v>683</v>
      </c>
      <c r="BN5" s="71" t="s">
        <v>593</v>
      </c>
      <c r="BO5" s="170"/>
      <c r="BP5" s="70" t="s">
        <v>691</v>
      </c>
      <c r="BQ5" s="70" t="s">
        <v>683</v>
      </c>
      <c r="BR5" s="71" t="s">
        <v>593</v>
      </c>
      <c r="BS5" s="170"/>
      <c r="BT5" s="70" t="s">
        <v>691</v>
      </c>
      <c r="BU5" s="70" t="s">
        <v>683</v>
      </c>
      <c r="BV5" s="71" t="s">
        <v>593</v>
      </c>
      <c r="BW5" s="170"/>
      <c r="BX5" s="70" t="s">
        <v>691</v>
      </c>
      <c r="BY5" s="70" t="s">
        <v>683</v>
      </c>
      <c r="BZ5" s="71" t="s">
        <v>593</v>
      </c>
      <c r="CA5" s="170"/>
      <c r="CB5" s="70" t="s">
        <v>691</v>
      </c>
      <c r="CC5" s="70" t="s">
        <v>683</v>
      </c>
      <c r="CD5" s="71" t="s">
        <v>593</v>
      </c>
    </row>
    <row r="6" spans="1:82" s="2" customFormat="1" ht="30" customHeight="1" x14ac:dyDescent="0.3">
      <c r="B6" s="33">
        <v>1</v>
      </c>
      <c r="C6" s="275"/>
      <c r="D6" s="275"/>
      <c r="E6" s="275"/>
      <c r="F6" s="27"/>
      <c r="G6" s="35">
        <v>1</v>
      </c>
      <c r="H6" s="81" t="s">
        <v>347</v>
      </c>
      <c r="I6" s="55">
        <f>IFERROR(I7/B7*B6,0)</f>
        <v>0</v>
      </c>
      <c r="J6" s="55">
        <f>K11+K24+K37+K50</f>
        <v>26558.355555555558</v>
      </c>
      <c r="K6" s="56">
        <f>IFERROR((I6-J6)/I6-PARAMETROS!C19,0)</f>
        <v>0</v>
      </c>
      <c r="M6" s="229" t="s">
        <v>693</v>
      </c>
      <c r="N6" s="230">
        <f>+K50</f>
        <v>26558.355555555558</v>
      </c>
      <c r="O6" s="235">
        <f>IFERROR(N6/$N$7,0)</f>
        <v>1</v>
      </c>
      <c r="AE6" s="171"/>
      <c r="AF6" s="55">
        <f>AJ6+AN6+AR6+AV6+AZ6+BD6+BH6+BL6+BP6+BT6+BX6+CB6</f>
        <v>0</v>
      </c>
      <c r="AG6" s="55">
        <f>AH11+AH24+AH37+AH50</f>
        <v>0</v>
      </c>
      <c r="AH6" s="56">
        <f>IFERROR((AF6-AG6)/AF6,0)</f>
        <v>0</v>
      </c>
      <c r="AI6" s="171"/>
      <c r="AJ6" s="55"/>
      <c r="AK6" s="55">
        <f>AL11+AL24+AL37+AL50</f>
        <v>0</v>
      </c>
      <c r="AL6" s="56">
        <f>IFERROR((AJ6-AK6)/AJ6,0)</f>
        <v>0</v>
      </c>
      <c r="AM6" s="171"/>
      <c r="AN6" s="55"/>
      <c r="AO6" s="55">
        <f>AP11+AP24+AP37+AP50</f>
        <v>0</v>
      </c>
      <c r="AP6" s="56">
        <f>IFERROR((AN6-AO6)/AN6,0)</f>
        <v>0</v>
      </c>
      <c r="AQ6" s="171"/>
      <c r="AR6" s="55"/>
      <c r="AS6" s="55">
        <f>AT11+AT24+AT37+AT50</f>
        <v>0</v>
      </c>
      <c r="AT6" s="56">
        <f>IFERROR((AR6-AS6)/AR6,0)</f>
        <v>0</v>
      </c>
      <c r="AU6" s="171"/>
      <c r="AV6" s="55"/>
      <c r="AW6" s="55">
        <f>AX11+AX24+AX37+AX50</f>
        <v>0</v>
      </c>
      <c r="AX6" s="56">
        <f>IFERROR((AV6-AW6)/AV6,0)</f>
        <v>0</v>
      </c>
      <c r="AY6" s="171"/>
      <c r="AZ6" s="55"/>
      <c r="BA6" s="55">
        <f>BB11+BB24+BB37+BB50</f>
        <v>0</v>
      </c>
      <c r="BB6" s="56">
        <f>IFERROR((AZ6-BA6)/AZ6,0)</f>
        <v>0</v>
      </c>
      <c r="BC6" s="171"/>
      <c r="BD6" s="55"/>
      <c r="BE6" s="55">
        <f>BF11+BF24+BF37+BF50</f>
        <v>0</v>
      </c>
      <c r="BF6" s="56">
        <f>IFERROR((BD6-BE6)/BD6,0)</f>
        <v>0</v>
      </c>
      <c r="BG6" s="171"/>
      <c r="BH6" s="55"/>
      <c r="BI6" s="55">
        <f>BJ11+BJ24+BJ37+BJ50</f>
        <v>0</v>
      </c>
      <c r="BJ6" s="56">
        <f>IFERROR((BH6-BI6)/BH6,0)</f>
        <v>0</v>
      </c>
      <c r="BK6" s="171"/>
      <c r="BL6" s="55"/>
      <c r="BM6" s="55">
        <f>BN11+BN24+BN37+BN50</f>
        <v>0</v>
      </c>
      <c r="BN6" s="56">
        <f>IFERROR((BL6-BM6)/BL6,0)</f>
        <v>0</v>
      </c>
      <c r="BO6" s="171"/>
      <c r="BP6" s="55"/>
      <c r="BQ6" s="55">
        <f>BR11+BR24+BR37+BR50</f>
        <v>0</v>
      </c>
      <c r="BR6" s="56">
        <f>IFERROR((BP6-BQ6)/BP6,0)</f>
        <v>0</v>
      </c>
      <c r="BS6" s="171"/>
      <c r="BT6" s="55"/>
      <c r="BU6" s="55">
        <f>BV11+BV24+BV37+BV50</f>
        <v>0</v>
      </c>
      <c r="BV6" s="56">
        <f>IFERROR((BT6-BU6)/BT6,0)</f>
        <v>0</v>
      </c>
      <c r="BW6" s="171"/>
      <c r="BX6" s="55"/>
      <c r="BY6" s="55">
        <f>BZ11+BZ24+BZ37+BZ50</f>
        <v>0</v>
      </c>
      <c r="BZ6" s="56">
        <f>IFERROR((BX6-BY6)/BX6,0)</f>
        <v>0</v>
      </c>
      <c r="CA6" s="171"/>
      <c r="CB6" s="55"/>
      <c r="CC6" s="55">
        <f>CD11+CD24+CD37+CD50</f>
        <v>0</v>
      </c>
      <c r="CD6" s="56">
        <f>IFERROR((CB6-CC6)/CB6,0)</f>
        <v>0</v>
      </c>
    </row>
    <row r="7" spans="1:82" s="2" customFormat="1" ht="30" customHeight="1" thickBot="1" x14ac:dyDescent="0.35">
      <c r="B7" s="34">
        <f>IFERROR(VLOOKUP(B3,Lucratividade!G4:N853,2,0),0)</f>
        <v>0</v>
      </c>
      <c r="C7" s="276"/>
      <c r="D7" s="276"/>
      <c r="E7" s="276"/>
      <c r="F7" s="50"/>
      <c r="G7" s="36">
        <f>IFERROR(B7/B6,0)</f>
        <v>0</v>
      </c>
      <c r="H7" s="82" t="s">
        <v>347</v>
      </c>
      <c r="I7" s="57">
        <f>IFERROR(VLOOKUP(B3,Lucratividade!G4:N132,6,0),0)</f>
        <v>0</v>
      </c>
      <c r="J7" s="58">
        <f>B7*K3</f>
        <v>0</v>
      </c>
      <c r="K7" s="59">
        <f>IFERROR((I7-J7)/I7-PARAMETROS!C19,0)</f>
        <v>0</v>
      </c>
      <c r="M7" s="231" t="s">
        <v>694</v>
      </c>
      <c r="N7" s="232">
        <f>SUM(N3:N6)</f>
        <v>26558.355555555558</v>
      </c>
      <c r="O7" s="236"/>
      <c r="AE7" s="172"/>
      <c r="AF7" s="57"/>
      <c r="AG7" s="58"/>
      <c r="AH7" s="59"/>
      <c r="AI7" s="172"/>
      <c r="AJ7" s="57"/>
      <c r="AK7" s="58"/>
      <c r="AL7" s="59"/>
      <c r="AM7" s="172"/>
      <c r="AN7" s="57"/>
      <c r="AO7" s="58"/>
      <c r="AP7" s="59"/>
      <c r="AQ7" s="172"/>
      <c r="AR7" s="57"/>
      <c r="AS7" s="58"/>
      <c r="AT7" s="59"/>
      <c r="AU7" s="172"/>
      <c r="AV7" s="57"/>
      <c r="AW7" s="58"/>
      <c r="AX7" s="59"/>
      <c r="AY7" s="172"/>
      <c r="AZ7" s="57"/>
      <c r="BA7" s="58"/>
      <c r="BB7" s="59"/>
      <c r="BC7" s="172"/>
      <c r="BD7" s="57"/>
      <c r="BE7" s="58"/>
      <c r="BF7" s="59"/>
      <c r="BG7" s="172"/>
      <c r="BH7" s="57"/>
      <c r="BI7" s="58"/>
      <c r="BJ7" s="59"/>
      <c r="BK7" s="172"/>
      <c r="BL7" s="57"/>
      <c r="BM7" s="58"/>
      <c r="BN7" s="59"/>
      <c r="BO7" s="172"/>
      <c r="BP7" s="57"/>
      <c r="BQ7" s="58"/>
      <c r="BR7" s="59"/>
      <c r="BS7" s="172"/>
      <c r="BT7" s="57"/>
      <c r="BU7" s="58"/>
      <c r="BV7" s="59"/>
      <c r="BW7" s="172"/>
      <c r="BX7" s="57"/>
      <c r="BY7" s="58"/>
      <c r="BZ7" s="59"/>
      <c r="CA7" s="172"/>
      <c r="CB7" s="57"/>
      <c r="CC7" s="58"/>
      <c r="CD7" s="59"/>
    </row>
    <row r="8" spans="1:82" ht="4.2" customHeight="1" x14ac:dyDescent="0.3">
      <c r="AE8" s="28"/>
      <c r="AI8" s="28"/>
      <c r="AM8" s="28"/>
      <c r="AQ8" s="28"/>
      <c r="AU8" s="28"/>
      <c r="AY8" s="28"/>
      <c r="BC8" s="28"/>
      <c r="BG8" s="28"/>
      <c r="BK8" s="28"/>
      <c r="BO8" s="28"/>
      <c r="BS8" s="28"/>
      <c r="BW8" s="28"/>
      <c r="CA8" s="28"/>
    </row>
    <row r="9" spans="1:82" ht="4.95" customHeight="1" thickBot="1" x14ac:dyDescent="0.35">
      <c r="AE9" s="28"/>
      <c r="AI9" s="28"/>
      <c r="AM9" s="28"/>
      <c r="AQ9" s="28"/>
      <c r="AU9" s="28"/>
      <c r="AY9" s="28"/>
      <c r="BC9" s="28"/>
      <c r="BG9" s="28"/>
      <c r="BK9" s="28"/>
      <c r="BO9" s="28"/>
      <c r="BS9" s="28"/>
      <c r="BW9" s="28"/>
      <c r="CA9" s="28"/>
    </row>
    <row r="10" spans="1:82" ht="15" thickBot="1" x14ac:dyDescent="0.35">
      <c r="B10" s="72" t="s">
        <v>695</v>
      </c>
      <c r="C10" s="72" t="s">
        <v>679</v>
      </c>
      <c r="D10" s="72" t="s">
        <v>696</v>
      </c>
      <c r="E10" s="72" t="s">
        <v>697</v>
      </c>
      <c r="F10" s="72" t="s">
        <v>17</v>
      </c>
      <c r="G10" s="70" t="s">
        <v>690</v>
      </c>
      <c r="H10" s="70" t="s">
        <v>698</v>
      </c>
      <c r="I10" s="72" t="s">
        <v>20</v>
      </c>
      <c r="J10" s="72" t="s">
        <v>699</v>
      </c>
      <c r="K10" s="72" t="s">
        <v>700</v>
      </c>
      <c r="M10" s="83" t="s">
        <v>701</v>
      </c>
      <c r="N10" s="87" t="s">
        <v>702</v>
      </c>
      <c r="AD10" s="173" t="s">
        <v>703</v>
      </c>
      <c r="AE10" s="170" t="s">
        <v>698</v>
      </c>
      <c r="AF10" s="70" t="s">
        <v>20</v>
      </c>
      <c r="AG10" s="70" t="s">
        <v>699</v>
      </c>
      <c r="AH10" s="70" t="s">
        <v>700</v>
      </c>
      <c r="AI10" s="173" t="s">
        <v>704</v>
      </c>
      <c r="AJ10" s="174" t="s">
        <v>705</v>
      </c>
      <c r="AK10" s="174" t="s">
        <v>706</v>
      </c>
      <c r="AL10" s="175" t="s">
        <v>707</v>
      </c>
      <c r="AM10" s="173" t="s">
        <v>708</v>
      </c>
      <c r="AN10" s="174" t="s">
        <v>709</v>
      </c>
      <c r="AO10" s="174" t="s">
        <v>710</v>
      </c>
      <c r="AP10" s="175" t="s">
        <v>711</v>
      </c>
      <c r="AQ10" s="173" t="s">
        <v>712</v>
      </c>
      <c r="AR10" s="174" t="s">
        <v>713</v>
      </c>
      <c r="AS10" s="174" t="s">
        <v>714</v>
      </c>
      <c r="AT10" s="175" t="s">
        <v>715</v>
      </c>
      <c r="AU10" s="173" t="s">
        <v>716</v>
      </c>
      <c r="AV10" s="174" t="s">
        <v>717</v>
      </c>
      <c r="AW10" s="174" t="s">
        <v>718</v>
      </c>
      <c r="AX10" s="175" t="s">
        <v>719</v>
      </c>
      <c r="AY10" s="173" t="s">
        <v>720</v>
      </c>
      <c r="AZ10" s="174" t="s">
        <v>721</v>
      </c>
      <c r="BA10" s="174" t="s">
        <v>722</v>
      </c>
      <c r="BB10" s="175" t="s">
        <v>723</v>
      </c>
      <c r="BC10" s="173" t="s">
        <v>724</v>
      </c>
      <c r="BD10" s="174" t="s">
        <v>725</v>
      </c>
      <c r="BE10" s="174" t="s">
        <v>726</v>
      </c>
      <c r="BF10" s="175" t="s">
        <v>727</v>
      </c>
      <c r="BG10" s="173" t="s">
        <v>728</v>
      </c>
      <c r="BH10" s="174" t="s">
        <v>729</v>
      </c>
      <c r="BI10" s="174" t="s">
        <v>730</v>
      </c>
      <c r="BJ10" s="175" t="s">
        <v>731</v>
      </c>
      <c r="BK10" s="173" t="s">
        <v>732</v>
      </c>
      <c r="BL10" s="174" t="s">
        <v>733</v>
      </c>
      <c r="BM10" s="174" t="s">
        <v>734</v>
      </c>
      <c r="BN10" s="175" t="s">
        <v>735</v>
      </c>
      <c r="BO10" s="173" t="s">
        <v>736</v>
      </c>
      <c r="BP10" s="174" t="s">
        <v>737</v>
      </c>
      <c r="BQ10" s="174" t="s">
        <v>738</v>
      </c>
      <c r="BR10" s="175" t="s">
        <v>739</v>
      </c>
      <c r="BS10" s="173" t="s">
        <v>740</v>
      </c>
      <c r="BT10" s="174" t="s">
        <v>741</v>
      </c>
      <c r="BU10" s="174" t="s">
        <v>742</v>
      </c>
      <c r="BV10" s="175" t="s">
        <v>743</v>
      </c>
      <c r="BW10" s="173" t="s">
        <v>744</v>
      </c>
      <c r="BX10" s="174" t="s">
        <v>745</v>
      </c>
      <c r="BY10" s="174" t="s">
        <v>746</v>
      </c>
      <c r="BZ10" s="175" t="s">
        <v>747</v>
      </c>
      <c r="CA10" s="173" t="s">
        <v>748</v>
      </c>
      <c r="CB10" s="174" t="s">
        <v>749</v>
      </c>
      <c r="CC10" s="174" t="s">
        <v>750</v>
      </c>
      <c r="CD10" s="174" t="s">
        <v>751</v>
      </c>
    </row>
    <row r="11" spans="1:82" x14ac:dyDescent="0.3">
      <c r="B11" s="52" t="s">
        <v>752</v>
      </c>
      <c r="C11" s="52" t="str">
        <f t="shared" ref="C11:C62" si="0">$A$3</f>
        <v>CPU_SinalizaçãohorizSAUS</v>
      </c>
      <c r="D11" s="277">
        <f t="shared" ref="D11:D62" si="1">$B$6</f>
        <v>1</v>
      </c>
      <c r="E11" s="277">
        <f t="shared" ref="E11:E62" si="2">$B$7</f>
        <v>0</v>
      </c>
      <c r="F11" s="37"/>
      <c r="G11" s="38"/>
      <c r="H11" s="91"/>
      <c r="I11" s="40"/>
      <c r="J11" s="40">
        <f>IFERROR(K11/$B$6,0)</f>
        <v>0</v>
      </c>
      <c r="K11" s="40">
        <f>SUM(K12:K23)</f>
        <v>0</v>
      </c>
      <c r="M11" s="294" t="s">
        <v>753</v>
      </c>
      <c r="N11" s="295" t="s">
        <v>754</v>
      </c>
      <c r="O11" s="296" t="s">
        <v>755</v>
      </c>
      <c r="AD11" s="144" t="str">
        <f>$B$3</f>
        <v>Sinalização horiz SAUS</v>
      </c>
      <c r="AE11" s="176"/>
      <c r="AF11" s="177"/>
      <c r="AG11" s="177">
        <f>IFERROR(AH11/AF$3,0)</f>
        <v>0</v>
      </c>
      <c r="AH11" s="178">
        <f>SUM(AH12:AH23)</f>
        <v>0</v>
      </c>
      <c r="AI11" s="176"/>
      <c r="AJ11" s="177"/>
      <c r="AK11" s="177">
        <f>IFERROR(AL11/AJ$3,0)</f>
        <v>0</v>
      </c>
      <c r="AL11" s="178">
        <f>SUM(AL12:AL23)</f>
        <v>0</v>
      </c>
      <c r="AM11" s="176"/>
      <c r="AN11" s="177"/>
      <c r="AO11" s="177">
        <f>IFERROR(AP11/AN$3,0)</f>
        <v>0</v>
      </c>
      <c r="AP11" s="178">
        <f>SUM(AP12:AP23)</f>
        <v>0</v>
      </c>
      <c r="AQ11" s="176"/>
      <c r="AR11" s="177"/>
      <c r="AS11" s="177">
        <f>IFERROR(AT11/AR$3,0)</f>
        <v>0</v>
      </c>
      <c r="AT11" s="178">
        <f>SUM(AT12:AT23)</f>
        <v>0</v>
      </c>
      <c r="AU11" s="176"/>
      <c r="AV11" s="177"/>
      <c r="AW11" s="177">
        <f>IFERROR(AX11/AV$3,0)</f>
        <v>0</v>
      </c>
      <c r="AX11" s="178">
        <f>SUM(AX12:AX23)</f>
        <v>0</v>
      </c>
      <c r="AY11" s="176"/>
      <c r="AZ11" s="177"/>
      <c r="BA11" s="177">
        <f>IFERROR(BB11/AZ$3,0)</f>
        <v>0</v>
      </c>
      <c r="BB11" s="178">
        <f>SUM(BB12:BB23)</f>
        <v>0</v>
      </c>
      <c r="BC11" s="176"/>
      <c r="BD11" s="177"/>
      <c r="BE11" s="177">
        <f>IFERROR(BF11/BD$3,0)</f>
        <v>0</v>
      </c>
      <c r="BF11" s="178">
        <f>SUM(BF12:BF23)</f>
        <v>0</v>
      </c>
      <c r="BG11" s="176"/>
      <c r="BH11" s="177"/>
      <c r="BI11" s="177">
        <f>IFERROR(BJ11/BH$3,0)</f>
        <v>0</v>
      </c>
      <c r="BJ11" s="178">
        <f>SUM(BJ12:BJ23)</f>
        <v>0</v>
      </c>
      <c r="BK11" s="176"/>
      <c r="BL11" s="177"/>
      <c r="BM11" s="177">
        <f>IFERROR(BN11/BL$3,0)</f>
        <v>0</v>
      </c>
      <c r="BN11" s="178">
        <f>SUM(BN12:BN23)</f>
        <v>0</v>
      </c>
      <c r="BO11" s="176"/>
      <c r="BP11" s="177"/>
      <c r="BQ11" s="177">
        <f>IFERROR(BR11/BP$3,0)</f>
        <v>0</v>
      </c>
      <c r="BR11" s="178">
        <f>SUM(BR12:BR23)</f>
        <v>0</v>
      </c>
      <c r="BS11" s="176"/>
      <c r="BT11" s="177"/>
      <c r="BU11" s="177">
        <f>IFERROR(BV11/BT$3,0)</f>
        <v>0</v>
      </c>
      <c r="BV11" s="178">
        <f>SUM(BV12:BV23)</f>
        <v>0</v>
      </c>
      <c r="BW11" s="176"/>
      <c r="BX11" s="177"/>
      <c r="BY11" s="177">
        <f>IFERROR(BZ11/BX$3,0)</f>
        <v>0</v>
      </c>
      <c r="BZ11" s="178">
        <f>SUM(BZ12:BZ23)</f>
        <v>0</v>
      </c>
      <c r="CA11" s="176"/>
      <c r="CB11" s="177"/>
      <c r="CC11" s="177">
        <f>IFERROR(CD11/CB$3,0)</f>
        <v>0</v>
      </c>
      <c r="CD11" s="178">
        <f>SUM(CD12:CD23)</f>
        <v>0</v>
      </c>
    </row>
    <row r="12" spans="1:82" x14ac:dyDescent="0.3">
      <c r="B12" s="53"/>
      <c r="C12" s="53" t="str">
        <f t="shared" si="0"/>
        <v>CPU_SinalizaçãohorizSAUS</v>
      </c>
      <c r="D12" s="278">
        <f t="shared" si="1"/>
        <v>1</v>
      </c>
      <c r="E12" s="278">
        <f t="shared" si="2"/>
        <v>0</v>
      </c>
      <c r="F12" s="46"/>
      <c r="G12" s="28" t="str">
        <f>IFERROR(VLOOKUP(F12,Tabela7[[RECURSO]:[CUSTO]],2,FALSE),"")</f>
        <v/>
      </c>
      <c r="H12" s="92"/>
      <c r="I12" s="90"/>
      <c r="J12" s="45">
        <f>IFERROR(VLOOKUP(F12,Tabela7[[RECURSO]:[CUSTO]],3,FALSE),0)</f>
        <v>0</v>
      </c>
      <c r="K12" s="45">
        <f>I12*J12*CPU_32[[#This Row],[Nº]]</f>
        <v>0</v>
      </c>
      <c r="M12" s="31"/>
      <c r="N12" s="297"/>
      <c r="O12" s="60">
        <f>IFERROR($B$6/(H12*I12*N12),0)</f>
        <v>0</v>
      </c>
      <c r="AD12" s="144" t="str">
        <f t="shared" ref="AD12:AD62" si="3">$B$3</f>
        <v>Sinalização horiz SAUS</v>
      </c>
      <c r="AE12" s="179"/>
      <c r="AF12" s="180">
        <f>AJ12+AN12+AR12+AV12+AZ12+BD12+BH12+BL12+BP12+BT12+BX12+CB12</f>
        <v>0</v>
      </c>
      <c r="AG12" s="180">
        <f>IFERROR(AH12/AF12,0)</f>
        <v>0</v>
      </c>
      <c r="AH12" s="181">
        <f>AL12+AP12+AT12+AX12+BB12+BF12+BJ12+BN12+BR12+BV12+BZ12+CD12</f>
        <v>0</v>
      </c>
      <c r="AI12" s="182"/>
      <c r="AJ12" s="90"/>
      <c r="AK12" s="90"/>
      <c r="AL12" s="183">
        <f>AJ12*AK12</f>
        <v>0</v>
      </c>
      <c r="AM12" s="182"/>
      <c r="AN12" s="90"/>
      <c r="AO12" s="90"/>
      <c r="AP12" s="183">
        <f t="shared" ref="AP12:AP23" si="4">AN12*AO12</f>
        <v>0</v>
      </c>
      <c r="AQ12" s="182"/>
      <c r="AR12" s="90"/>
      <c r="AS12" s="90"/>
      <c r="AT12" s="183">
        <f t="shared" ref="AT12:AT23" si="5">AR12*AS12</f>
        <v>0</v>
      </c>
      <c r="AU12" s="182"/>
      <c r="AV12" s="90"/>
      <c r="AW12" s="90"/>
      <c r="AX12" s="183">
        <f t="shared" ref="AX12:AX23" si="6">AV12*AW12</f>
        <v>0</v>
      </c>
      <c r="AY12" s="182"/>
      <c r="AZ12" s="90"/>
      <c r="BA12" s="90"/>
      <c r="BB12" s="183">
        <f t="shared" ref="BB12:BB23" si="7">AZ12*BA12</f>
        <v>0</v>
      </c>
      <c r="BC12" s="182"/>
      <c r="BD12" s="90"/>
      <c r="BE12" s="90"/>
      <c r="BF12" s="183">
        <f t="shared" ref="BF12:BF23" si="8">BD12*BE12</f>
        <v>0</v>
      </c>
      <c r="BG12" s="182"/>
      <c r="BH12" s="90"/>
      <c r="BI12" s="90"/>
      <c r="BJ12" s="183">
        <f t="shared" ref="BJ12:BJ23" si="9">BH12*BI12</f>
        <v>0</v>
      </c>
      <c r="BK12" s="182"/>
      <c r="BL12" s="90"/>
      <c r="BM12" s="90"/>
      <c r="BN12" s="183">
        <f t="shared" ref="BN12:BN23" si="10">BL12*BM12</f>
        <v>0</v>
      </c>
      <c r="BO12" s="182"/>
      <c r="BP12" s="90"/>
      <c r="BQ12" s="90"/>
      <c r="BR12" s="183">
        <f t="shared" ref="BR12:BR23" si="11">BP12*BQ12</f>
        <v>0</v>
      </c>
      <c r="BS12" s="182"/>
      <c r="BT12" s="90"/>
      <c r="BU12" s="90"/>
      <c r="BV12" s="183">
        <f t="shared" ref="BV12:BV23" si="12">BT12*BU12</f>
        <v>0</v>
      </c>
      <c r="BW12" s="182"/>
      <c r="BX12" s="90"/>
      <c r="BY12" s="90"/>
      <c r="BZ12" s="183">
        <f t="shared" ref="BZ12:BZ23" si="13">BX12*BY12</f>
        <v>0</v>
      </c>
      <c r="CA12" s="182"/>
      <c r="CB12" s="90"/>
      <c r="CC12" s="90"/>
      <c r="CD12" s="183">
        <f t="shared" ref="CD12:CD23" si="14">CB12*CC12</f>
        <v>0</v>
      </c>
    </row>
    <row r="13" spans="1:82" x14ac:dyDescent="0.3">
      <c r="B13" s="53"/>
      <c r="C13" s="53" t="str">
        <f t="shared" si="0"/>
        <v>CPU_SinalizaçãohorizSAUS</v>
      </c>
      <c r="D13" s="278">
        <f t="shared" si="1"/>
        <v>1</v>
      </c>
      <c r="E13" s="278">
        <f t="shared" si="2"/>
        <v>0</v>
      </c>
      <c r="F13" s="1"/>
      <c r="G13" s="28" t="str">
        <f>IFERROR(VLOOKUP(F13,Tabela7[[RECURSO]:[CUSTO]],2,FALSE),"")</f>
        <v/>
      </c>
      <c r="H13" s="92"/>
      <c r="I13" s="90"/>
      <c r="J13" s="45">
        <f>IFERROR(VLOOKUP(F13,Tabela7[[RECURSO]:[CUSTO]],3,FALSE),0)</f>
        <v>0</v>
      </c>
      <c r="K13" s="45">
        <f>I13*J13*CPU_32[[#This Row],[Nº]]</f>
        <v>0</v>
      </c>
      <c r="M13" s="31"/>
      <c r="N13" s="297"/>
      <c r="O13" s="60">
        <f t="shared" ref="O13:O23" si="15">IFERROR($B$6/(H13*I13),0)</f>
        <v>0</v>
      </c>
      <c r="AD13" s="144" t="str">
        <f t="shared" si="3"/>
        <v>Sinalização horiz SAUS</v>
      </c>
      <c r="AE13" s="179"/>
      <c r="AF13" s="180">
        <f t="shared" ref="AF13:AF23" si="16">AJ13+AN13+AR13+AV13+AZ13+BD13+BH13+BL13+BP13+BT13+BX13+CB13</f>
        <v>0</v>
      </c>
      <c r="AG13" s="180">
        <f t="shared" ref="AG13:AG62" si="17">IFERROR(AH13/AF13,0)</f>
        <v>0</v>
      </c>
      <c r="AH13" s="181">
        <f t="shared" ref="AH13:AH23" si="18">AL13+AP13+AT13+AX13+BB13+BF13+BJ13+BN13+BR13+BV13+BZ13+CD13</f>
        <v>0</v>
      </c>
      <c r="AI13" s="182"/>
      <c r="AJ13" s="90"/>
      <c r="AK13" s="90"/>
      <c r="AL13" s="183">
        <f t="shared" ref="AL13:AL23" si="19">AJ13*AK13</f>
        <v>0</v>
      </c>
      <c r="AM13" s="182"/>
      <c r="AN13" s="90"/>
      <c r="AO13" s="90"/>
      <c r="AP13" s="183">
        <f t="shared" si="4"/>
        <v>0</v>
      </c>
      <c r="AQ13" s="182"/>
      <c r="AR13" s="90"/>
      <c r="AS13" s="90"/>
      <c r="AT13" s="183">
        <f t="shared" si="5"/>
        <v>0</v>
      </c>
      <c r="AU13" s="182"/>
      <c r="AV13" s="90"/>
      <c r="AW13" s="90"/>
      <c r="AX13" s="183">
        <f t="shared" si="6"/>
        <v>0</v>
      </c>
      <c r="AY13" s="182"/>
      <c r="AZ13" s="90"/>
      <c r="BA13" s="90"/>
      <c r="BB13" s="183">
        <f t="shared" si="7"/>
        <v>0</v>
      </c>
      <c r="BC13" s="182"/>
      <c r="BD13" s="90"/>
      <c r="BE13" s="90"/>
      <c r="BF13" s="183">
        <f t="shared" si="8"/>
        <v>0</v>
      </c>
      <c r="BG13" s="182"/>
      <c r="BH13" s="90"/>
      <c r="BI13" s="90"/>
      <c r="BJ13" s="183">
        <f t="shared" si="9"/>
        <v>0</v>
      </c>
      <c r="BK13" s="182"/>
      <c r="BL13" s="90"/>
      <c r="BM13" s="90"/>
      <c r="BN13" s="183">
        <f t="shared" si="10"/>
        <v>0</v>
      </c>
      <c r="BO13" s="182"/>
      <c r="BP13" s="90"/>
      <c r="BQ13" s="90"/>
      <c r="BR13" s="183">
        <f t="shared" si="11"/>
        <v>0</v>
      </c>
      <c r="BS13" s="182"/>
      <c r="BT13" s="90"/>
      <c r="BU13" s="90"/>
      <c r="BV13" s="183">
        <f t="shared" si="12"/>
        <v>0</v>
      </c>
      <c r="BW13" s="182"/>
      <c r="BX13" s="90"/>
      <c r="BY13" s="90"/>
      <c r="BZ13" s="183">
        <f t="shared" si="13"/>
        <v>0</v>
      </c>
      <c r="CA13" s="182"/>
      <c r="CB13" s="90"/>
      <c r="CC13" s="90"/>
      <c r="CD13" s="183">
        <f t="shared" si="14"/>
        <v>0</v>
      </c>
    </row>
    <row r="14" spans="1:82" x14ac:dyDescent="0.3">
      <c r="B14" s="53"/>
      <c r="C14" s="53" t="str">
        <f t="shared" si="0"/>
        <v>CPU_SinalizaçãohorizSAUS</v>
      </c>
      <c r="D14" s="278">
        <f t="shared" si="1"/>
        <v>1</v>
      </c>
      <c r="E14" s="278">
        <f t="shared" si="2"/>
        <v>0</v>
      </c>
      <c r="F14" s="1"/>
      <c r="G14" s="28" t="str">
        <f>IFERROR(VLOOKUP(F14,Tabela7[[RECURSO]:[CUSTO]],2,FALSE),"")</f>
        <v/>
      </c>
      <c r="H14" s="92"/>
      <c r="I14" s="90"/>
      <c r="J14" s="45">
        <f>IFERROR(VLOOKUP(F14,Tabela7[[RECURSO]:[CUSTO]],3,FALSE),0)</f>
        <v>0</v>
      </c>
      <c r="K14" s="45">
        <f>I14*J14*CPU_32[[#This Row],[Nº]]</f>
        <v>0</v>
      </c>
      <c r="M14" s="31"/>
      <c r="N14" s="297"/>
      <c r="O14" s="60">
        <f t="shared" si="15"/>
        <v>0</v>
      </c>
      <c r="AD14" s="144" t="str">
        <f t="shared" si="3"/>
        <v>Sinalização horiz SAUS</v>
      </c>
      <c r="AE14" s="179"/>
      <c r="AF14" s="180">
        <f t="shared" si="16"/>
        <v>0</v>
      </c>
      <c r="AG14" s="180">
        <f t="shared" si="17"/>
        <v>0</v>
      </c>
      <c r="AH14" s="181">
        <f t="shared" si="18"/>
        <v>0</v>
      </c>
      <c r="AI14" s="182"/>
      <c r="AJ14" s="90"/>
      <c r="AK14" s="90"/>
      <c r="AL14" s="183">
        <f t="shared" si="19"/>
        <v>0</v>
      </c>
      <c r="AM14" s="182"/>
      <c r="AN14" s="90"/>
      <c r="AO14" s="90"/>
      <c r="AP14" s="183">
        <f t="shared" si="4"/>
        <v>0</v>
      </c>
      <c r="AQ14" s="182"/>
      <c r="AR14" s="90"/>
      <c r="AS14" s="90"/>
      <c r="AT14" s="183">
        <f t="shared" si="5"/>
        <v>0</v>
      </c>
      <c r="AU14" s="182"/>
      <c r="AV14" s="90"/>
      <c r="AW14" s="90"/>
      <c r="AX14" s="183">
        <f t="shared" si="6"/>
        <v>0</v>
      </c>
      <c r="AY14" s="182"/>
      <c r="AZ14" s="90"/>
      <c r="BA14" s="90"/>
      <c r="BB14" s="183">
        <f t="shared" si="7"/>
        <v>0</v>
      </c>
      <c r="BC14" s="182"/>
      <c r="BD14" s="90"/>
      <c r="BE14" s="90"/>
      <c r="BF14" s="183">
        <f t="shared" si="8"/>
        <v>0</v>
      </c>
      <c r="BG14" s="182"/>
      <c r="BH14" s="90"/>
      <c r="BI14" s="90"/>
      <c r="BJ14" s="183">
        <f t="shared" si="9"/>
        <v>0</v>
      </c>
      <c r="BK14" s="182"/>
      <c r="BL14" s="90"/>
      <c r="BM14" s="90"/>
      <c r="BN14" s="183">
        <f t="shared" si="10"/>
        <v>0</v>
      </c>
      <c r="BO14" s="182"/>
      <c r="BP14" s="90"/>
      <c r="BQ14" s="90"/>
      <c r="BR14" s="183">
        <f t="shared" si="11"/>
        <v>0</v>
      </c>
      <c r="BS14" s="182"/>
      <c r="BT14" s="90"/>
      <c r="BU14" s="90"/>
      <c r="BV14" s="183">
        <f t="shared" si="12"/>
        <v>0</v>
      </c>
      <c r="BW14" s="182"/>
      <c r="BX14" s="90"/>
      <c r="BY14" s="90"/>
      <c r="BZ14" s="183">
        <f t="shared" si="13"/>
        <v>0</v>
      </c>
      <c r="CA14" s="182"/>
      <c r="CB14" s="90"/>
      <c r="CC14" s="90"/>
      <c r="CD14" s="183">
        <f t="shared" si="14"/>
        <v>0</v>
      </c>
    </row>
    <row r="15" spans="1:82" x14ac:dyDescent="0.3">
      <c r="B15" s="153"/>
      <c r="C15" s="153" t="str">
        <f t="shared" si="0"/>
        <v>CPU_SinalizaçãohorizSAUS</v>
      </c>
      <c r="D15" s="279">
        <f t="shared" si="1"/>
        <v>1</v>
      </c>
      <c r="E15" s="279">
        <f t="shared" si="2"/>
        <v>0</v>
      </c>
      <c r="F15" s="1"/>
      <c r="G15" s="28" t="str">
        <f>IFERROR(VLOOKUP(F15,Tabela7[[RECURSO]:[CUSTO]],2,FALSE),"")</f>
        <v/>
      </c>
      <c r="H15" s="92"/>
      <c r="I15" s="90"/>
      <c r="J15" s="45">
        <f>IFERROR(VLOOKUP(F15,Tabela7[[RECURSO]:[CUSTO]],3,FALSE),0)</f>
        <v>0</v>
      </c>
      <c r="K15" s="45">
        <f>I15*J15*CPU_32[[#This Row],[Nº]]</f>
        <v>0</v>
      </c>
      <c r="M15" s="31"/>
      <c r="N15" s="297"/>
      <c r="O15" s="60">
        <f t="shared" si="15"/>
        <v>0</v>
      </c>
      <c r="AD15" s="144" t="str">
        <f t="shared" si="3"/>
        <v>Sinalização horiz SAUS</v>
      </c>
      <c r="AE15" s="179"/>
      <c r="AF15" s="180">
        <f t="shared" si="16"/>
        <v>0</v>
      </c>
      <c r="AG15" s="180">
        <f t="shared" si="17"/>
        <v>0</v>
      </c>
      <c r="AH15" s="181">
        <f t="shared" si="18"/>
        <v>0</v>
      </c>
      <c r="AI15" s="182"/>
      <c r="AJ15" s="90"/>
      <c r="AK15" s="90"/>
      <c r="AL15" s="183">
        <f t="shared" si="19"/>
        <v>0</v>
      </c>
      <c r="AM15" s="182"/>
      <c r="AN15" s="90"/>
      <c r="AO15" s="90"/>
      <c r="AP15" s="183">
        <f t="shared" si="4"/>
        <v>0</v>
      </c>
      <c r="AQ15" s="182"/>
      <c r="AR15" s="90"/>
      <c r="AS15" s="90"/>
      <c r="AT15" s="183">
        <f t="shared" si="5"/>
        <v>0</v>
      </c>
      <c r="AU15" s="182"/>
      <c r="AV15" s="90"/>
      <c r="AW15" s="90"/>
      <c r="AX15" s="183">
        <f t="shared" si="6"/>
        <v>0</v>
      </c>
      <c r="AY15" s="182"/>
      <c r="AZ15" s="90"/>
      <c r="BA15" s="90"/>
      <c r="BB15" s="183">
        <f t="shared" si="7"/>
        <v>0</v>
      </c>
      <c r="BC15" s="182"/>
      <c r="BD15" s="90"/>
      <c r="BE15" s="90"/>
      <c r="BF15" s="183">
        <f t="shared" si="8"/>
        <v>0</v>
      </c>
      <c r="BG15" s="182"/>
      <c r="BH15" s="90"/>
      <c r="BI15" s="90"/>
      <c r="BJ15" s="183">
        <f t="shared" si="9"/>
        <v>0</v>
      </c>
      <c r="BK15" s="182"/>
      <c r="BL15" s="90"/>
      <c r="BM15" s="90"/>
      <c r="BN15" s="183">
        <f t="shared" si="10"/>
        <v>0</v>
      </c>
      <c r="BO15" s="182"/>
      <c r="BP15" s="90"/>
      <c r="BQ15" s="90"/>
      <c r="BR15" s="183">
        <f t="shared" si="11"/>
        <v>0</v>
      </c>
      <c r="BS15" s="182"/>
      <c r="BT15" s="90"/>
      <c r="BU15" s="90"/>
      <c r="BV15" s="183">
        <f t="shared" si="12"/>
        <v>0</v>
      </c>
      <c r="BW15" s="182"/>
      <c r="BX15" s="90"/>
      <c r="BY15" s="90"/>
      <c r="BZ15" s="183">
        <f t="shared" si="13"/>
        <v>0</v>
      </c>
      <c r="CA15" s="182"/>
      <c r="CB15" s="90"/>
      <c r="CC15" s="90"/>
      <c r="CD15" s="183">
        <f t="shared" si="14"/>
        <v>0</v>
      </c>
    </row>
    <row r="16" spans="1:82" x14ac:dyDescent="0.3">
      <c r="B16" s="53"/>
      <c r="C16" s="53" t="str">
        <f t="shared" si="0"/>
        <v>CPU_SinalizaçãohorizSAUS</v>
      </c>
      <c r="D16" s="278">
        <f t="shared" si="1"/>
        <v>1</v>
      </c>
      <c r="E16" s="278">
        <f t="shared" si="2"/>
        <v>0</v>
      </c>
      <c r="F16" s="1"/>
      <c r="G16" s="28" t="str">
        <f>IFERROR(VLOOKUP(F16,Tabela7[[RECURSO]:[CUSTO]],2,FALSE),"")</f>
        <v/>
      </c>
      <c r="H16" s="92"/>
      <c r="I16" s="90"/>
      <c r="J16" s="45">
        <f>IFERROR(VLOOKUP(F16,Tabela7[[RECURSO]:[CUSTO]],3,FALSE),0)</f>
        <v>0</v>
      </c>
      <c r="K16" s="45">
        <f>I16*J16*CPU_32[[#This Row],[Nº]]</f>
        <v>0</v>
      </c>
      <c r="M16" s="31"/>
      <c r="N16" s="297"/>
      <c r="O16" s="60">
        <f t="shared" si="15"/>
        <v>0</v>
      </c>
      <c r="AD16" s="144" t="str">
        <f t="shared" si="3"/>
        <v>Sinalização horiz SAUS</v>
      </c>
      <c r="AE16" s="179"/>
      <c r="AF16" s="180">
        <f t="shared" si="16"/>
        <v>0</v>
      </c>
      <c r="AG16" s="180">
        <f t="shared" si="17"/>
        <v>0</v>
      </c>
      <c r="AH16" s="181">
        <f t="shared" si="18"/>
        <v>0</v>
      </c>
      <c r="AI16" s="182"/>
      <c r="AJ16" s="90"/>
      <c r="AK16" s="90"/>
      <c r="AL16" s="183">
        <f t="shared" si="19"/>
        <v>0</v>
      </c>
      <c r="AM16" s="182"/>
      <c r="AN16" s="90"/>
      <c r="AO16" s="90"/>
      <c r="AP16" s="183">
        <f t="shared" si="4"/>
        <v>0</v>
      </c>
      <c r="AQ16" s="182"/>
      <c r="AR16" s="90"/>
      <c r="AS16" s="90"/>
      <c r="AT16" s="183">
        <f t="shared" si="5"/>
        <v>0</v>
      </c>
      <c r="AU16" s="182"/>
      <c r="AV16" s="90"/>
      <c r="AW16" s="90"/>
      <c r="AX16" s="183">
        <f t="shared" si="6"/>
        <v>0</v>
      </c>
      <c r="AY16" s="182"/>
      <c r="AZ16" s="90"/>
      <c r="BA16" s="90"/>
      <c r="BB16" s="183">
        <f t="shared" si="7"/>
        <v>0</v>
      </c>
      <c r="BC16" s="182"/>
      <c r="BD16" s="90"/>
      <c r="BE16" s="90"/>
      <c r="BF16" s="183">
        <f t="shared" si="8"/>
        <v>0</v>
      </c>
      <c r="BG16" s="182"/>
      <c r="BH16" s="90"/>
      <c r="BI16" s="90"/>
      <c r="BJ16" s="183">
        <f t="shared" si="9"/>
        <v>0</v>
      </c>
      <c r="BK16" s="182"/>
      <c r="BL16" s="90"/>
      <c r="BM16" s="90"/>
      <c r="BN16" s="183">
        <f t="shared" si="10"/>
        <v>0</v>
      </c>
      <c r="BO16" s="182"/>
      <c r="BP16" s="90"/>
      <c r="BQ16" s="90"/>
      <c r="BR16" s="183">
        <f t="shared" si="11"/>
        <v>0</v>
      </c>
      <c r="BS16" s="182"/>
      <c r="BT16" s="90"/>
      <c r="BU16" s="90"/>
      <c r="BV16" s="183">
        <f t="shared" si="12"/>
        <v>0</v>
      </c>
      <c r="BW16" s="182"/>
      <c r="BX16" s="90"/>
      <c r="BY16" s="90"/>
      <c r="BZ16" s="183">
        <f t="shared" si="13"/>
        <v>0</v>
      </c>
      <c r="CA16" s="182"/>
      <c r="CB16" s="90"/>
      <c r="CC16" s="90"/>
      <c r="CD16" s="183">
        <f t="shared" si="14"/>
        <v>0</v>
      </c>
    </row>
    <row r="17" spans="2:82" x14ac:dyDescent="0.3">
      <c r="B17" s="53"/>
      <c r="C17" s="53" t="str">
        <f t="shared" si="0"/>
        <v>CPU_SinalizaçãohorizSAUS</v>
      </c>
      <c r="D17" s="278">
        <f t="shared" si="1"/>
        <v>1</v>
      </c>
      <c r="E17" s="278">
        <f t="shared" si="2"/>
        <v>0</v>
      </c>
      <c r="F17" s="1"/>
      <c r="G17" s="28" t="str">
        <f>IFERROR(VLOOKUP(F17,Tabela7[[RECURSO]:[CUSTO]],2,FALSE),"")</f>
        <v/>
      </c>
      <c r="H17" s="92"/>
      <c r="I17" s="90"/>
      <c r="J17" s="45">
        <f>IFERROR(VLOOKUP(F17,Tabela7[[RECURSO]:[CUSTO]],3,FALSE),0)</f>
        <v>0</v>
      </c>
      <c r="K17" s="45">
        <f>I17*J17*CPU_32[[#This Row],[Nº]]</f>
        <v>0</v>
      </c>
      <c r="M17" s="31"/>
      <c r="N17" s="297"/>
      <c r="O17" s="60">
        <f t="shared" si="15"/>
        <v>0</v>
      </c>
      <c r="AD17" s="144" t="str">
        <f t="shared" si="3"/>
        <v>Sinalização horiz SAUS</v>
      </c>
      <c r="AE17" s="179"/>
      <c r="AF17" s="180">
        <f t="shared" si="16"/>
        <v>0</v>
      </c>
      <c r="AG17" s="180">
        <f t="shared" si="17"/>
        <v>0</v>
      </c>
      <c r="AH17" s="181">
        <f t="shared" si="18"/>
        <v>0</v>
      </c>
      <c r="AI17" s="182"/>
      <c r="AJ17" s="90"/>
      <c r="AK17" s="90"/>
      <c r="AL17" s="183">
        <f t="shared" si="19"/>
        <v>0</v>
      </c>
      <c r="AM17" s="182"/>
      <c r="AN17" s="90"/>
      <c r="AO17" s="90"/>
      <c r="AP17" s="183">
        <f t="shared" si="4"/>
        <v>0</v>
      </c>
      <c r="AQ17" s="182"/>
      <c r="AR17" s="90"/>
      <c r="AS17" s="90"/>
      <c r="AT17" s="183">
        <f t="shared" si="5"/>
        <v>0</v>
      </c>
      <c r="AU17" s="182"/>
      <c r="AV17" s="90"/>
      <c r="AW17" s="90"/>
      <c r="AX17" s="183">
        <f t="shared" si="6"/>
        <v>0</v>
      </c>
      <c r="AY17" s="182"/>
      <c r="AZ17" s="90"/>
      <c r="BA17" s="90"/>
      <c r="BB17" s="183">
        <f t="shared" si="7"/>
        <v>0</v>
      </c>
      <c r="BC17" s="182"/>
      <c r="BD17" s="90"/>
      <c r="BE17" s="90"/>
      <c r="BF17" s="183">
        <f t="shared" si="8"/>
        <v>0</v>
      </c>
      <c r="BG17" s="182"/>
      <c r="BH17" s="90"/>
      <c r="BI17" s="90"/>
      <c r="BJ17" s="183">
        <f t="shared" si="9"/>
        <v>0</v>
      </c>
      <c r="BK17" s="182"/>
      <c r="BL17" s="90"/>
      <c r="BM17" s="90"/>
      <c r="BN17" s="183">
        <f t="shared" si="10"/>
        <v>0</v>
      </c>
      <c r="BO17" s="182"/>
      <c r="BP17" s="90"/>
      <c r="BQ17" s="90"/>
      <c r="BR17" s="183">
        <f t="shared" si="11"/>
        <v>0</v>
      </c>
      <c r="BS17" s="182"/>
      <c r="BT17" s="90"/>
      <c r="BU17" s="90"/>
      <c r="BV17" s="183">
        <f t="shared" si="12"/>
        <v>0</v>
      </c>
      <c r="BW17" s="182"/>
      <c r="BX17" s="90"/>
      <c r="BY17" s="90"/>
      <c r="BZ17" s="183">
        <f t="shared" si="13"/>
        <v>0</v>
      </c>
      <c r="CA17" s="182"/>
      <c r="CB17" s="90"/>
      <c r="CC17" s="90"/>
      <c r="CD17" s="183">
        <f t="shared" si="14"/>
        <v>0</v>
      </c>
    </row>
    <row r="18" spans="2:82" x14ac:dyDescent="0.3">
      <c r="B18" s="53"/>
      <c r="C18" s="53" t="str">
        <f t="shared" si="0"/>
        <v>CPU_SinalizaçãohorizSAUS</v>
      </c>
      <c r="D18" s="278">
        <f t="shared" si="1"/>
        <v>1</v>
      </c>
      <c r="E18" s="278">
        <f t="shared" si="2"/>
        <v>0</v>
      </c>
      <c r="F18" s="1"/>
      <c r="G18" s="28" t="str">
        <f>IFERROR(VLOOKUP(F18,Tabela7[[RECURSO]:[CUSTO]],2,FALSE),"")</f>
        <v/>
      </c>
      <c r="H18" s="92"/>
      <c r="I18" s="90"/>
      <c r="J18" s="45">
        <f>IFERROR(VLOOKUP(F18,Tabela7[[RECURSO]:[CUSTO]],3,FALSE),0)</f>
        <v>0</v>
      </c>
      <c r="K18" s="45">
        <f>I18*J18*CPU_32[[#This Row],[Nº]]</f>
        <v>0</v>
      </c>
      <c r="M18" s="31"/>
      <c r="N18" s="297"/>
      <c r="O18" s="60">
        <f t="shared" si="15"/>
        <v>0</v>
      </c>
      <c r="AD18" s="144" t="str">
        <f t="shared" si="3"/>
        <v>Sinalização horiz SAUS</v>
      </c>
      <c r="AE18" s="179"/>
      <c r="AF18" s="180">
        <f t="shared" si="16"/>
        <v>0</v>
      </c>
      <c r="AG18" s="180">
        <f t="shared" si="17"/>
        <v>0</v>
      </c>
      <c r="AH18" s="181">
        <f t="shared" si="18"/>
        <v>0</v>
      </c>
      <c r="AI18" s="182"/>
      <c r="AJ18" s="90"/>
      <c r="AK18" s="90"/>
      <c r="AL18" s="183">
        <f t="shared" si="19"/>
        <v>0</v>
      </c>
      <c r="AM18" s="182"/>
      <c r="AN18" s="90"/>
      <c r="AO18" s="90"/>
      <c r="AP18" s="183">
        <f t="shared" si="4"/>
        <v>0</v>
      </c>
      <c r="AQ18" s="182"/>
      <c r="AR18" s="90"/>
      <c r="AS18" s="90"/>
      <c r="AT18" s="183">
        <f t="shared" si="5"/>
        <v>0</v>
      </c>
      <c r="AU18" s="182"/>
      <c r="AV18" s="90"/>
      <c r="AW18" s="90"/>
      <c r="AX18" s="183">
        <f t="shared" si="6"/>
        <v>0</v>
      </c>
      <c r="AY18" s="182"/>
      <c r="AZ18" s="90"/>
      <c r="BA18" s="90"/>
      <c r="BB18" s="183">
        <f t="shared" si="7"/>
        <v>0</v>
      </c>
      <c r="BC18" s="182"/>
      <c r="BD18" s="90"/>
      <c r="BE18" s="90"/>
      <c r="BF18" s="183">
        <f t="shared" si="8"/>
        <v>0</v>
      </c>
      <c r="BG18" s="182"/>
      <c r="BH18" s="90"/>
      <c r="BI18" s="90"/>
      <c r="BJ18" s="183">
        <f t="shared" si="9"/>
        <v>0</v>
      </c>
      <c r="BK18" s="182"/>
      <c r="BL18" s="90"/>
      <c r="BM18" s="90"/>
      <c r="BN18" s="183">
        <f t="shared" si="10"/>
        <v>0</v>
      </c>
      <c r="BO18" s="182"/>
      <c r="BP18" s="90"/>
      <c r="BQ18" s="90"/>
      <c r="BR18" s="183">
        <f t="shared" si="11"/>
        <v>0</v>
      </c>
      <c r="BS18" s="182"/>
      <c r="BT18" s="90"/>
      <c r="BU18" s="90"/>
      <c r="BV18" s="183">
        <f t="shared" si="12"/>
        <v>0</v>
      </c>
      <c r="BW18" s="182"/>
      <c r="BX18" s="90"/>
      <c r="BY18" s="90"/>
      <c r="BZ18" s="183">
        <f t="shared" si="13"/>
        <v>0</v>
      </c>
      <c r="CA18" s="182"/>
      <c r="CB18" s="90"/>
      <c r="CC18" s="90"/>
      <c r="CD18" s="183">
        <f t="shared" si="14"/>
        <v>0</v>
      </c>
    </row>
    <row r="19" spans="2:82" x14ac:dyDescent="0.3">
      <c r="B19" s="53"/>
      <c r="C19" s="53" t="str">
        <f t="shared" si="0"/>
        <v>CPU_SinalizaçãohorizSAUS</v>
      </c>
      <c r="D19" s="278">
        <f t="shared" si="1"/>
        <v>1</v>
      </c>
      <c r="E19" s="278">
        <f t="shared" si="2"/>
        <v>0</v>
      </c>
      <c r="F19" s="1"/>
      <c r="G19" s="28" t="str">
        <f>IFERROR(VLOOKUP(F19,Tabela7[[RECURSO]:[CUSTO]],2,FALSE),"")</f>
        <v/>
      </c>
      <c r="H19" s="92"/>
      <c r="I19" s="90"/>
      <c r="J19" s="45">
        <f>IFERROR(VLOOKUP(F19,Tabela7[[RECURSO]:[CUSTO]],3,FALSE),0)</f>
        <v>0</v>
      </c>
      <c r="K19" s="45">
        <f>I19*J19*CPU_32[[#This Row],[Nº]]</f>
        <v>0</v>
      </c>
      <c r="M19" s="31"/>
      <c r="N19" s="297"/>
      <c r="O19" s="60">
        <f t="shared" si="15"/>
        <v>0</v>
      </c>
      <c r="AD19" s="144" t="str">
        <f t="shared" si="3"/>
        <v>Sinalização horiz SAUS</v>
      </c>
      <c r="AE19" s="179"/>
      <c r="AF19" s="180">
        <f t="shared" si="16"/>
        <v>0</v>
      </c>
      <c r="AG19" s="180">
        <f t="shared" si="17"/>
        <v>0</v>
      </c>
      <c r="AH19" s="181">
        <f t="shared" si="18"/>
        <v>0</v>
      </c>
      <c r="AI19" s="182"/>
      <c r="AJ19" s="90"/>
      <c r="AK19" s="90"/>
      <c r="AL19" s="183">
        <f t="shared" si="19"/>
        <v>0</v>
      </c>
      <c r="AM19" s="182"/>
      <c r="AN19" s="90"/>
      <c r="AO19" s="90"/>
      <c r="AP19" s="183">
        <f t="shared" si="4"/>
        <v>0</v>
      </c>
      <c r="AQ19" s="182"/>
      <c r="AR19" s="90"/>
      <c r="AS19" s="90"/>
      <c r="AT19" s="183">
        <f t="shared" si="5"/>
        <v>0</v>
      </c>
      <c r="AU19" s="182"/>
      <c r="AV19" s="90"/>
      <c r="AW19" s="90"/>
      <c r="AX19" s="183">
        <f t="shared" si="6"/>
        <v>0</v>
      </c>
      <c r="AY19" s="182"/>
      <c r="AZ19" s="90"/>
      <c r="BA19" s="90"/>
      <c r="BB19" s="183">
        <f t="shared" si="7"/>
        <v>0</v>
      </c>
      <c r="BC19" s="182"/>
      <c r="BD19" s="90"/>
      <c r="BE19" s="90"/>
      <c r="BF19" s="183">
        <f t="shared" si="8"/>
        <v>0</v>
      </c>
      <c r="BG19" s="182"/>
      <c r="BH19" s="90"/>
      <c r="BI19" s="90"/>
      <c r="BJ19" s="183">
        <f t="shared" si="9"/>
        <v>0</v>
      </c>
      <c r="BK19" s="182"/>
      <c r="BL19" s="90"/>
      <c r="BM19" s="90"/>
      <c r="BN19" s="183">
        <f t="shared" si="10"/>
        <v>0</v>
      </c>
      <c r="BO19" s="182"/>
      <c r="BP19" s="90"/>
      <c r="BQ19" s="90"/>
      <c r="BR19" s="183">
        <f t="shared" si="11"/>
        <v>0</v>
      </c>
      <c r="BS19" s="182"/>
      <c r="BT19" s="90"/>
      <c r="BU19" s="90"/>
      <c r="BV19" s="183">
        <f t="shared" si="12"/>
        <v>0</v>
      </c>
      <c r="BW19" s="182"/>
      <c r="BX19" s="90"/>
      <c r="BY19" s="90"/>
      <c r="BZ19" s="183">
        <f t="shared" si="13"/>
        <v>0</v>
      </c>
      <c r="CA19" s="182"/>
      <c r="CB19" s="90"/>
      <c r="CC19" s="90"/>
      <c r="CD19" s="183">
        <f t="shared" si="14"/>
        <v>0</v>
      </c>
    </row>
    <row r="20" spans="2:82" x14ac:dyDescent="0.3">
      <c r="B20" s="53"/>
      <c r="C20" s="53" t="str">
        <f t="shared" si="0"/>
        <v>CPU_SinalizaçãohorizSAUS</v>
      </c>
      <c r="D20" s="278">
        <f t="shared" si="1"/>
        <v>1</v>
      </c>
      <c r="E20" s="278">
        <f t="shared" si="2"/>
        <v>0</v>
      </c>
      <c r="F20" s="1"/>
      <c r="G20" s="28" t="str">
        <f>IFERROR(VLOOKUP(F20,Tabela7[[RECURSO]:[CUSTO]],2,FALSE),"")</f>
        <v/>
      </c>
      <c r="H20" s="92"/>
      <c r="I20" s="90"/>
      <c r="J20" s="45">
        <f>IFERROR(VLOOKUP(F20,Tabela7[[RECURSO]:[CUSTO]],3,FALSE),0)</f>
        <v>0</v>
      </c>
      <c r="K20" s="45">
        <f>I20*J20*CPU_32[[#This Row],[Nº]]</f>
        <v>0</v>
      </c>
      <c r="M20" s="31"/>
      <c r="N20" s="297"/>
      <c r="O20" s="60">
        <f t="shared" si="15"/>
        <v>0</v>
      </c>
      <c r="AD20" s="144" t="str">
        <f t="shared" si="3"/>
        <v>Sinalização horiz SAUS</v>
      </c>
      <c r="AE20" s="179"/>
      <c r="AF20" s="180">
        <f t="shared" si="16"/>
        <v>0</v>
      </c>
      <c r="AG20" s="180">
        <f t="shared" si="17"/>
        <v>0</v>
      </c>
      <c r="AH20" s="181">
        <f t="shared" si="18"/>
        <v>0</v>
      </c>
      <c r="AI20" s="182"/>
      <c r="AJ20" s="90"/>
      <c r="AK20" s="90"/>
      <c r="AL20" s="183">
        <f t="shared" si="19"/>
        <v>0</v>
      </c>
      <c r="AM20" s="182"/>
      <c r="AN20" s="90"/>
      <c r="AO20" s="90"/>
      <c r="AP20" s="183">
        <f t="shared" si="4"/>
        <v>0</v>
      </c>
      <c r="AQ20" s="182"/>
      <c r="AR20" s="90"/>
      <c r="AS20" s="90"/>
      <c r="AT20" s="183">
        <f t="shared" si="5"/>
        <v>0</v>
      </c>
      <c r="AU20" s="182"/>
      <c r="AV20" s="90"/>
      <c r="AW20" s="90"/>
      <c r="AX20" s="183">
        <f t="shared" si="6"/>
        <v>0</v>
      </c>
      <c r="AY20" s="182"/>
      <c r="AZ20" s="90"/>
      <c r="BA20" s="90"/>
      <c r="BB20" s="183">
        <f t="shared" si="7"/>
        <v>0</v>
      </c>
      <c r="BC20" s="182"/>
      <c r="BD20" s="90"/>
      <c r="BE20" s="90"/>
      <c r="BF20" s="183">
        <f t="shared" si="8"/>
        <v>0</v>
      </c>
      <c r="BG20" s="182"/>
      <c r="BH20" s="90"/>
      <c r="BI20" s="90"/>
      <c r="BJ20" s="183">
        <f t="shared" si="9"/>
        <v>0</v>
      </c>
      <c r="BK20" s="182"/>
      <c r="BL20" s="90"/>
      <c r="BM20" s="90"/>
      <c r="BN20" s="183">
        <f t="shared" si="10"/>
        <v>0</v>
      </c>
      <c r="BO20" s="182"/>
      <c r="BP20" s="90"/>
      <c r="BQ20" s="90"/>
      <c r="BR20" s="183">
        <f t="shared" si="11"/>
        <v>0</v>
      </c>
      <c r="BS20" s="182"/>
      <c r="BT20" s="90"/>
      <c r="BU20" s="90"/>
      <c r="BV20" s="183">
        <f t="shared" si="12"/>
        <v>0</v>
      </c>
      <c r="BW20" s="182"/>
      <c r="BX20" s="90"/>
      <c r="BY20" s="90"/>
      <c r="BZ20" s="183">
        <f t="shared" si="13"/>
        <v>0</v>
      </c>
      <c r="CA20" s="182"/>
      <c r="CB20" s="90"/>
      <c r="CC20" s="90"/>
      <c r="CD20" s="183">
        <f t="shared" si="14"/>
        <v>0</v>
      </c>
    </row>
    <row r="21" spans="2:82" x14ac:dyDescent="0.3">
      <c r="B21" s="53"/>
      <c r="C21" s="53" t="str">
        <f t="shared" si="0"/>
        <v>CPU_SinalizaçãohorizSAUS</v>
      </c>
      <c r="D21" s="278">
        <f t="shared" si="1"/>
        <v>1</v>
      </c>
      <c r="E21" s="278">
        <f t="shared" si="2"/>
        <v>0</v>
      </c>
      <c r="F21" s="1"/>
      <c r="G21" s="28" t="str">
        <f>IFERROR(VLOOKUP(F21,Tabela7[[RECURSO]:[CUSTO]],2,FALSE),"")</f>
        <v/>
      </c>
      <c r="H21" s="92"/>
      <c r="I21" s="90"/>
      <c r="J21" s="45">
        <f>IFERROR(VLOOKUP(F21,Tabela7[[RECURSO]:[CUSTO]],3,FALSE),0)</f>
        <v>0</v>
      </c>
      <c r="K21" s="45">
        <f>I21*J21*CPU_32[[#This Row],[Nº]]</f>
        <v>0</v>
      </c>
      <c r="M21" s="31"/>
      <c r="N21" s="297"/>
      <c r="O21" s="60">
        <f t="shared" si="15"/>
        <v>0</v>
      </c>
      <c r="AD21" s="144" t="str">
        <f t="shared" si="3"/>
        <v>Sinalização horiz SAUS</v>
      </c>
      <c r="AE21" s="179"/>
      <c r="AF21" s="180">
        <f t="shared" si="16"/>
        <v>0</v>
      </c>
      <c r="AG21" s="180">
        <f t="shared" si="17"/>
        <v>0</v>
      </c>
      <c r="AH21" s="181">
        <f t="shared" si="18"/>
        <v>0</v>
      </c>
      <c r="AI21" s="182"/>
      <c r="AJ21" s="90"/>
      <c r="AK21" s="90"/>
      <c r="AL21" s="183">
        <f t="shared" si="19"/>
        <v>0</v>
      </c>
      <c r="AM21" s="182"/>
      <c r="AN21" s="90"/>
      <c r="AO21" s="90"/>
      <c r="AP21" s="183">
        <f t="shared" si="4"/>
        <v>0</v>
      </c>
      <c r="AQ21" s="182"/>
      <c r="AR21" s="90"/>
      <c r="AS21" s="90"/>
      <c r="AT21" s="183">
        <f t="shared" si="5"/>
        <v>0</v>
      </c>
      <c r="AU21" s="182"/>
      <c r="AV21" s="90"/>
      <c r="AW21" s="90"/>
      <c r="AX21" s="183">
        <f t="shared" si="6"/>
        <v>0</v>
      </c>
      <c r="AY21" s="182"/>
      <c r="AZ21" s="90"/>
      <c r="BA21" s="90"/>
      <c r="BB21" s="183">
        <f t="shared" si="7"/>
        <v>0</v>
      </c>
      <c r="BC21" s="182"/>
      <c r="BD21" s="90"/>
      <c r="BE21" s="90"/>
      <c r="BF21" s="183">
        <f t="shared" si="8"/>
        <v>0</v>
      </c>
      <c r="BG21" s="182"/>
      <c r="BH21" s="90"/>
      <c r="BI21" s="90"/>
      <c r="BJ21" s="183">
        <f t="shared" si="9"/>
        <v>0</v>
      </c>
      <c r="BK21" s="182"/>
      <c r="BL21" s="90"/>
      <c r="BM21" s="90"/>
      <c r="BN21" s="183">
        <f t="shared" si="10"/>
        <v>0</v>
      </c>
      <c r="BO21" s="182"/>
      <c r="BP21" s="90"/>
      <c r="BQ21" s="90"/>
      <c r="BR21" s="183">
        <f t="shared" si="11"/>
        <v>0</v>
      </c>
      <c r="BS21" s="182"/>
      <c r="BT21" s="90"/>
      <c r="BU21" s="90"/>
      <c r="BV21" s="183">
        <f t="shared" si="12"/>
        <v>0</v>
      </c>
      <c r="BW21" s="182"/>
      <c r="BX21" s="90"/>
      <c r="BY21" s="90"/>
      <c r="BZ21" s="183">
        <f t="shared" si="13"/>
        <v>0</v>
      </c>
      <c r="CA21" s="182"/>
      <c r="CB21" s="90"/>
      <c r="CC21" s="90"/>
      <c r="CD21" s="183">
        <f t="shared" si="14"/>
        <v>0</v>
      </c>
    </row>
    <row r="22" spans="2:82" x14ac:dyDescent="0.3">
      <c r="B22" s="53"/>
      <c r="C22" s="53" t="str">
        <f t="shared" si="0"/>
        <v>CPU_SinalizaçãohorizSAUS</v>
      </c>
      <c r="D22" s="278">
        <f t="shared" si="1"/>
        <v>1</v>
      </c>
      <c r="E22" s="278">
        <f t="shared" si="2"/>
        <v>0</v>
      </c>
      <c r="F22" s="1"/>
      <c r="G22" s="28" t="str">
        <f>IFERROR(VLOOKUP(F22,Tabela7[[RECURSO]:[CUSTO]],2,FALSE),"")</f>
        <v/>
      </c>
      <c r="H22" s="92"/>
      <c r="I22" s="90"/>
      <c r="J22" s="45">
        <f>IFERROR(VLOOKUP(F22,Tabela7[[RECURSO]:[CUSTO]],3,FALSE),0)</f>
        <v>0</v>
      </c>
      <c r="K22" s="45">
        <f>I22*J22*CPU_32[[#This Row],[Nº]]</f>
        <v>0</v>
      </c>
      <c r="M22" s="31"/>
      <c r="N22" s="297"/>
      <c r="O22" s="60">
        <f t="shared" si="15"/>
        <v>0</v>
      </c>
      <c r="AD22" s="144" t="str">
        <f t="shared" si="3"/>
        <v>Sinalização horiz SAUS</v>
      </c>
      <c r="AE22" s="179"/>
      <c r="AF22" s="180">
        <f t="shared" si="16"/>
        <v>0</v>
      </c>
      <c r="AG22" s="180">
        <f t="shared" si="17"/>
        <v>0</v>
      </c>
      <c r="AH22" s="181">
        <f t="shared" si="18"/>
        <v>0</v>
      </c>
      <c r="AI22" s="182"/>
      <c r="AJ22" s="90"/>
      <c r="AK22" s="90"/>
      <c r="AL22" s="183">
        <f t="shared" si="19"/>
        <v>0</v>
      </c>
      <c r="AM22" s="182"/>
      <c r="AN22" s="90"/>
      <c r="AO22" s="90"/>
      <c r="AP22" s="183">
        <f t="shared" si="4"/>
        <v>0</v>
      </c>
      <c r="AQ22" s="182"/>
      <c r="AR22" s="90"/>
      <c r="AS22" s="90"/>
      <c r="AT22" s="183">
        <f t="shared" si="5"/>
        <v>0</v>
      </c>
      <c r="AU22" s="182"/>
      <c r="AV22" s="90"/>
      <c r="AW22" s="90"/>
      <c r="AX22" s="183">
        <f t="shared" si="6"/>
        <v>0</v>
      </c>
      <c r="AY22" s="182"/>
      <c r="AZ22" s="90"/>
      <c r="BA22" s="90"/>
      <c r="BB22" s="183">
        <f t="shared" si="7"/>
        <v>0</v>
      </c>
      <c r="BC22" s="182"/>
      <c r="BD22" s="90"/>
      <c r="BE22" s="90"/>
      <c r="BF22" s="183">
        <f t="shared" si="8"/>
        <v>0</v>
      </c>
      <c r="BG22" s="182"/>
      <c r="BH22" s="90"/>
      <c r="BI22" s="90"/>
      <c r="BJ22" s="183">
        <f t="shared" si="9"/>
        <v>0</v>
      </c>
      <c r="BK22" s="182"/>
      <c r="BL22" s="90"/>
      <c r="BM22" s="90"/>
      <c r="BN22" s="183">
        <f t="shared" si="10"/>
        <v>0</v>
      </c>
      <c r="BO22" s="182"/>
      <c r="BP22" s="90"/>
      <c r="BQ22" s="90"/>
      <c r="BR22" s="183">
        <f t="shared" si="11"/>
        <v>0</v>
      </c>
      <c r="BS22" s="182"/>
      <c r="BT22" s="90"/>
      <c r="BU22" s="90"/>
      <c r="BV22" s="183">
        <f t="shared" si="12"/>
        <v>0</v>
      </c>
      <c r="BW22" s="182"/>
      <c r="BX22" s="90"/>
      <c r="BY22" s="90"/>
      <c r="BZ22" s="183">
        <f t="shared" si="13"/>
        <v>0</v>
      </c>
      <c r="CA22" s="182"/>
      <c r="CB22" s="90"/>
      <c r="CC22" s="90"/>
      <c r="CD22" s="183">
        <f t="shared" si="14"/>
        <v>0</v>
      </c>
    </row>
    <row r="23" spans="2:82" ht="15" thickBot="1" x14ac:dyDescent="0.35">
      <c r="B23" s="53"/>
      <c r="C23" s="53" t="str">
        <f t="shared" si="0"/>
        <v>CPU_SinalizaçãohorizSAUS</v>
      </c>
      <c r="D23" s="278">
        <f t="shared" si="1"/>
        <v>1</v>
      </c>
      <c r="E23" s="278">
        <f t="shared" si="2"/>
        <v>0</v>
      </c>
      <c r="F23" s="1"/>
      <c r="G23" s="28" t="str">
        <f>IFERROR(VLOOKUP(F23,Tabela7[[RECURSO]:[CUSTO]],2,FALSE),"")</f>
        <v/>
      </c>
      <c r="H23" s="92"/>
      <c r="I23" s="90"/>
      <c r="J23" s="45">
        <f>IFERROR(VLOOKUP(F23,Tabela7[[RECURSO]:[CUSTO]],3,FALSE),0)</f>
        <v>0</v>
      </c>
      <c r="K23" s="45">
        <f>I23*J23*CPU_32[[#This Row],[Nº]]</f>
        <v>0</v>
      </c>
      <c r="M23" s="51"/>
      <c r="N23" s="298"/>
      <c r="O23" s="61">
        <f t="shared" si="15"/>
        <v>0</v>
      </c>
      <c r="AD23" s="144" t="str">
        <f t="shared" si="3"/>
        <v>Sinalização horiz SAUS</v>
      </c>
      <c r="AE23" s="179"/>
      <c r="AF23" s="180">
        <f t="shared" si="16"/>
        <v>0</v>
      </c>
      <c r="AG23" s="180">
        <f t="shared" si="17"/>
        <v>0</v>
      </c>
      <c r="AH23" s="181">
        <f t="shared" si="18"/>
        <v>0</v>
      </c>
      <c r="AI23" s="182"/>
      <c r="AJ23" s="90"/>
      <c r="AK23" s="90"/>
      <c r="AL23" s="183">
        <f t="shared" si="19"/>
        <v>0</v>
      </c>
      <c r="AM23" s="182"/>
      <c r="AN23" s="90"/>
      <c r="AO23" s="90"/>
      <c r="AP23" s="183">
        <f t="shared" si="4"/>
        <v>0</v>
      </c>
      <c r="AQ23" s="182"/>
      <c r="AR23" s="90"/>
      <c r="AS23" s="90"/>
      <c r="AT23" s="183">
        <f t="shared" si="5"/>
        <v>0</v>
      </c>
      <c r="AU23" s="182"/>
      <c r="AV23" s="90"/>
      <c r="AW23" s="90"/>
      <c r="AX23" s="183">
        <f t="shared" si="6"/>
        <v>0</v>
      </c>
      <c r="AY23" s="182"/>
      <c r="AZ23" s="90"/>
      <c r="BA23" s="90"/>
      <c r="BB23" s="183">
        <f t="shared" si="7"/>
        <v>0</v>
      </c>
      <c r="BC23" s="182"/>
      <c r="BD23" s="90"/>
      <c r="BE23" s="90"/>
      <c r="BF23" s="183">
        <f t="shared" si="8"/>
        <v>0</v>
      </c>
      <c r="BG23" s="182"/>
      <c r="BH23" s="90"/>
      <c r="BI23" s="90"/>
      <c r="BJ23" s="183">
        <f t="shared" si="9"/>
        <v>0</v>
      </c>
      <c r="BK23" s="182"/>
      <c r="BL23" s="90"/>
      <c r="BM23" s="90"/>
      <c r="BN23" s="183">
        <f t="shared" si="10"/>
        <v>0</v>
      </c>
      <c r="BO23" s="182"/>
      <c r="BP23" s="90"/>
      <c r="BQ23" s="90"/>
      <c r="BR23" s="183">
        <f t="shared" si="11"/>
        <v>0</v>
      </c>
      <c r="BS23" s="182"/>
      <c r="BT23" s="90"/>
      <c r="BU23" s="90"/>
      <c r="BV23" s="183">
        <f t="shared" si="12"/>
        <v>0</v>
      </c>
      <c r="BW23" s="182"/>
      <c r="BX23" s="90"/>
      <c r="BY23" s="90"/>
      <c r="BZ23" s="183">
        <f t="shared" si="13"/>
        <v>0</v>
      </c>
      <c r="CA23" s="182"/>
      <c r="CB23" s="90"/>
      <c r="CC23" s="90"/>
      <c r="CD23" s="183">
        <f t="shared" si="14"/>
        <v>0</v>
      </c>
    </row>
    <row r="24" spans="2:82" x14ac:dyDescent="0.3">
      <c r="B24" s="52" t="s">
        <v>686</v>
      </c>
      <c r="C24" s="52" t="str">
        <f t="shared" si="0"/>
        <v>CPU_SinalizaçãohorizSAUS</v>
      </c>
      <c r="D24" s="277">
        <f t="shared" si="1"/>
        <v>1</v>
      </c>
      <c r="E24" s="277">
        <f t="shared" si="2"/>
        <v>0</v>
      </c>
      <c r="F24" s="37"/>
      <c r="G24" s="38"/>
      <c r="H24" s="91"/>
      <c r="I24" s="40"/>
      <c r="J24" s="40">
        <f>IFERROR(K24/$B$6,0)</f>
        <v>0</v>
      </c>
      <c r="K24" s="40">
        <f>SUM(K25:K36)</f>
        <v>0</v>
      </c>
      <c r="AD24" s="144" t="str">
        <f t="shared" si="3"/>
        <v>Sinalização horiz SAUS</v>
      </c>
      <c r="AE24" s="184"/>
      <c r="AF24" s="40"/>
      <c r="AG24" s="40">
        <f>IFERROR(AH24/AF$3,0)</f>
        <v>0</v>
      </c>
      <c r="AH24" s="185">
        <f>SUM(AH25:AH36)</f>
        <v>0</v>
      </c>
      <c r="AI24" s="184"/>
      <c r="AJ24" s="40"/>
      <c r="AK24" s="40">
        <f>IFERROR(AL24/AJ$3,0)</f>
        <v>0</v>
      </c>
      <c r="AL24" s="185">
        <f>SUM(AL25:AL36)</f>
        <v>0</v>
      </c>
      <c r="AM24" s="184"/>
      <c r="AN24" s="40"/>
      <c r="AO24" s="40">
        <f>IFERROR(AP24/AN$3,0)</f>
        <v>0</v>
      </c>
      <c r="AP24" s="185">
        <f>SUM(AP25:AP36)</f>
        <v>0</v>
      </c>
      <c r="AQ24" s="184"/>
      <c r="AR24" s="40"/>
      <c r="AS24" s="40">
        <f>IFERROR(AT24/AR$3,0)</f>
        <v>0</v>
      </c>
      <c r="AT24" s="185">
        <f>SUM(AT25:AT36)</f>
        <v>0</v>
      </c>
      <c r="AU24" s="184"/>
      <c r="AV24" s="40"/>
      <c r="AW24" s="40">
        <f>IFERROR(AX24/AV$3,0)</f>
        <v>0</v>
      </c>
      <c r="AX24" s="185">
        <f>SUM(AX25:AX36)</f>
        <v>0</v>
      </c>
      <c r="AY24" s="184"/>
      <c r="AZ24" s="40"/>
      <c r="BA24" s="40">
        <f>IFERROR(BB24/AZ$3,0)</f>
        <v>0</v>
      </c>
      <c r="BB24" s="185">
        <f>SUM(BB25:BB36)</f>
        <v>0</v>
      </c>
      <c r="BC24" s="184"/>
      <c r="BD24" s="40"/>
      <c r="BE24" s="40">
        <f>IFERROR(BF24/BD$3,0)</f>
        <v>0</v>
      </c>
      <c r="BF24" s="185">
        <f>SUM(BF25:BF36)</f>
        <v>0</v>
      </c>
      <c r="BG24" s="184"/>
      <c r="BH24" s="40"/>
      <c r="BI24" s="40">
        <f>IFERROR(BJ24/BH$3,0)</f>
        <v>0</v>
      </c>
      <c r="BJ24" s="185">
        <f>SUM(BJ25:BJ36)</f>
        <v>0</v>
      </c>
      <c r="BK24" s="184"/>
      <c r="BL24" s="40"/>
      <c r="BM24" s="40">
        <f>IFERROR(BN24/BL$3,0)</f>
        <v>0</v>
      </c>
      <c r="BN24" s="185">
        <f>SUM(BN25:BN36)</f>
        <v>0</v>
      </c>
      <c r="BO24" s="184"/>
      <c r="BP24" s="40"/>
      <c r="BQ24" s="40">
        <f>IFERROR(BR24/BP$3,0)</f>
        <v>0</v>
      </c>
      <c r="BR24" s="185">
        <f>SUM(BR25:BR36)</f>
        <v>0</v>
      </c>
      <c r="BS24" s="184"/>
      <c r="BT24" s="40"/>
      <c r="BU24" s="40">
        <f>IFERROR(BV24/BT$3,0)</f>
        <v>0</v>
      </c>
      <c r="BV24" s="185">
        <f>SUM(BV25:BV36)</f>
        <v>0</v>
      </c>
      <c r="BW24" s="184"/>
      <c r="BX24" s="40"/>
      <c r="BY24" s="40">
        <f>IFERROR(BZ24/BX$3,0)</f>
        <v>0</v>
      </c>
      <c r="BZ24" s="185">
        <f>SUM(BZ25:BZ36)</f>
        <v>0</v>
      </c>
      <c r="CA24" s="184"/>
      <c r="CB24" s="40"/>
      <c r="CC24" s="40">
        <f>IFERROR(CD24/CB$3,0)</f>
        <v>0</v>
      </c>
      <c r="CD24" s="185">
        <f>SUM(CD25:CD36)</f>
        <v>0</v>
      </c>
    </row>
    <row r="25" spans="2:82" x14ac:dyDescent="0.3">
      <c r="B25" s="53"/>
      <c r="C25" s="53" t="str">
        <f t="shared" si="0"/>
        <v>CPU_SinalizaçãohorizSAUS</v>
      </c>
      <c r="D25" s="278">
        <f t="shared" si="1"/>
        <v>1</v>
      </c>
      <c r="E25" s="278">
        <f t="shared" si="2"/>
        <v>0</v>
      </c>
      <c r="F25" s="1"/>
      <c r="G25" s="28" t="str">
        <f>IFERROR(VLOOKUP(F25,Tabela7[[RECURSO]:[CUSTO]],2,FALSE),"")</f>
        <v/>
      </c>
      <c r="H25" s="93"/>
      <c r="I25" s="90">
        <f>IFERROR(SUMPRODUCT(I12:I23,M12:M23,H12:H23,N12:N23),0)</f>
        <v>0</v>
      </c>
      <c r="J25" s="45">
        <f>IFERROR(VLOOKUP(F25,Tabela7[[RECURSO]:[CUSTO]],3,FALSE),0)</f>
        <v>0</v>
      </c>
      <c r="K25" s="45">
        <f>I25*J25</f>
        <v>0</v>
      </c>
      <c r="AD25" s="144" t="str">
        <f t="shared" si="3"/>
        <v>Sinalização horiz SAUS</v>
      </c>
      <c r="AE25" s="179"/>
      <c r="AF25" s="180">
        <f t="shared" ref="AF25:AF36" si="20">AJ25+AN25+AR25+AV25+AZ25+BD25+BH25+BL25+BP25+BT25+BX25+CB25</f>
        <v>0</v>
      </c>
      <c r="AG25" s="180">
        <f t="shared" si="17"/>
        <v>0</v>
      </c>
      <c r="AH25" s="181">
        <f t="shared" ref="AH25:AH36" si="21">AL25+AP25+AT25+AX25+BB25+BF25+BJ25+BN25+BR25+BV25+BZ25+CD25</f>
        <v>0</v>
      </c>
      <c r="AI25" s="182"/>
      <c r="AJ25" s="90"/>
      <c r="AK25" s="90"/>
      <c r="AL25" s="183">
        <f t="shared" ref="AL25:AL36" si="22">AJ25*AK25</f>
        <v>0</v>
      </c>
      <c r="AM25" s="182"/>
      <c r="AN25" s="90"/>
      <c r="AO25" s="90"/>
      <c r="AP25" s="183">
        <f t="shared" ref="AP25:AP62" si="23">AN25*AO25</f>
        <v>0</v>
      </c>
      <c r="AQ25" s="182"/>
      <c r="AR25" s="90"/>
      <c r="AS25" s="90"/>
      <c r="AT25" s="183">
        <f t="shared" ref="AT25:AT62" si="24">AR25*AS25</f>
        <v>0</v>
      </c>
      <c r="AU25" s="182"/>
      <c r="AV25" s="90"/>
      <c r="AW25" s="90"/>
      <c r="AX25" s="183">
        <f t="shared" ref="AX25:AX62" si="25">AV25*AW25</f>
        <v>0</v>
      </c>
      <c r="AY25" s="182"/>
      <c r="AZ25" s="90"/>
      <c r="BA25" s="90"/>
      <c r="BB25" s="183">
        <f t="shared" ref="BB25:BB62" si="26">AZ25*BA25</f>
        <v>0</v>
      </c>
      <c r="BC25" s="182"/>
      <c r="BD25" s="90"/>
      <c r="BE25" s="90"/>
      <c r="BF25" s="183">
        <f t="shared" ref="BF25:BF62" si="27">BD25*BE25</f>
        <v>0</v>
      </c>
      <c r="BG25" s="182"/>
      <c r="BH25" s="90"/>
      <c r="BI25" s="90"/>
      <c r="BJ25" s="183">
        <f t="shared" ref="BJ25:BJ62" si="28">BH25*BI25</f>
        <v>0</v>
      </c>
      <c r="BK25" s="182"/>
      <c r="BL25" s="90"/>
      <c r="BM25" s="90"/>
      <c r="BN25" s="183">
        <f t="shared" ref="BN25:BN62" si="29">BL25*BM25</f>
        <v>0</v>
      </c>
      <c r="BO25" s="182"/>
      <c r="BP25" s="90"/>
      <c r="BQ25" s="90"/>
      <c r="BR25" s="183">
        <f t="shared" ref="BR25:BR62" si="30">BP25*BQ25</f>
        <v>0</v>
      </c>
      <c r="BS25" s="182"/>
      <c r="BT25" s="90"/>
      <c r="BU25" s="90"/>
      <c r="BV25" s="183">
        <f t="shared" ref="BV25:BV62" si="31">BT25*BU25</f>
        <v>0</v>
      </c>
      <c r="BW25" s="182"/>
      <c r="BX25" s="90"/>
      <c r="BY25" s="90"/>
      <c r="BZ25" s="183">
        <f t="shared" ref="BZ25:BZ62" si="32">BX25*BY25</f>
        <v>0</v>
      </c>
      <c r="CA25" s="182"/>
      <c r="CB25" s="90"/>
      <c r="CC25" s="90"/>
      <c r="CD25" s="183">
        <f t="shared" ref="CD25:CD62" si="33">CB25*CC25</f>
        <v>0</v>
      </c>
    </row>
    <row r="26" spans="2:82" x14ac:dyDescent="0.3">
      <c r="B26" s="53"/>
      <c r="C26" s="53" t="str">
        <f t="shared" si="0"/>
        <v>CPU_SinalizaçãohorizSAUS</v>
      </c>
      <c r="D26" s="278">
        <f t="shared" si="1"/>
        <v>1</v>
      </c>
      <c r="E26" s="278">
        <f t="shared" si="2"/>
        <v>0</v>
      </c>
      <c r="F26" s="1"/>
      <c r="G26" s="28" t="str">
        <f>IFERROR(VLOOKUP(F26,Tabela7[[RECURSO]:[CUSTO]],2,FALSE),"")</f>
        <v/>
      </c>
      <c r="H26" s="93"/>
      <c r="I26" s="90"/>
      <c r="J26" s="45">
        <f>IFERROR(VLOOKUP(F26,Tabela7[[RECURSO]:[CUSTO]],3,FALSE),0)</f>
        <v>0</v>
      </c>
      <c r="K26" s="45">
        <f t="shared" ref="K26:K36" si="34">I26*J26</f>
        <v>0</v>
      </c>
      <c r="AD26" s="144" t="str">
        <f t="shared" si="3"/>
        <v>Sinalização horiz SAUS</v>
      </c>
      <c r="AE26" s="179"/>
      <c r="AF26" s="180">
        <f t="shared" si="20"/>
        <v>0</v>
      </c>
      <c r="AG26" s="180">
        <f t="shared" si="17"/>
        <v>0</v>
      </c>
      <c r="AH26" s="181">
        <f t="shared" si="21"/>
        <v>0</v>
      </c>
      <c r="AI26" s="182"/>
      <c r="AJ26" s="90"/>
      <c r="AK26" s="90"/>
      <c r="AL26" s="183">
        <f t="shared" si="22"/>
        <v>0</v>
      </c>
      <c r="AM26" s="182"/>
      <c r="AN26" s="90"/>
      <c r="AO26" s="90"/>
      <c r="AP26" s="183">
        <f t="shared" si="23"/>
        <v>0</v>
      </c>
      <c r="AQ26" s="182"/>
      <c r="AR26" s="90"/>
      <c r="AS26" s="90"/>
      <c r="AT26" s="183">
        <f t="shared" si="24"/>
        <v>0</v>
      </c>
      <c r="AU26" s="182"/>
      <c r="AV26" s="90"/>
      <c r="AW26" s="90"/>
      <c r="AX26" s="183">
        <f t="shared" si="25"/>
        <v>0</v>
      </c>
      <c r="AY26" s="182"/>
      <c r="AZ26" s="90"/>
      <c r="BA26" s="90"/>
      <c r="BB26" s="183">
        <f t="shared" si="26"/>
        <v>0</v>
      </c>
      <c r="BC26" s="182"/>
      <c r="BD26" s="90"/>
      <c r="BE26" s="90"/>
      <c r="BF26" s="183">
        <f t="shared" si="27"/>
        <v>0</v>
      </c>
      <c r="BG26" s="182"/>
      <c r="BH26" s="90"/>
      <c r="BI26" s="90"/>
      <c r="BJ26" s="183">
        <f t="shared" si="28"/>
        <v>0</v>
      </c>
      <c r="BK26" s="182"/>
      <c r="BL26" s="90"/>
      <c r="BM26" s="90"/>
      <c r="BN26" s="183">
        <f t="shared" si="29"/>
        <v>0</v>
      </c>
      <c r="BO26" s="182"/>
      <c r="BP26" s="90"/>
      <c r="BQ26" s="90"/>
      <c r="BR26" s="183">
        <f t="shared" si="30"/>
        <v>0</v>
      </c>
      <c r="BS26" s="182"/>
      <c r="BT26" s="90"/>
      <c r="BU26" s="90"/>
      <c r="BV26" s="183">
        <f t="shared" si="31"/>
        <v>0</v>
      </c>
      <c r="BW26" s="182"/>
      <c r="BX26" s="90"/>
      <c r="BY26" s="90"/>
      <c r="BZ26" s="183">
        <f t="shared" si="32"/>
        <v>0</v>
      </c>
      <c r="CA26" s="182"/>
      <c r="CB26" s="90"/>
      <c r="CC26" s="90"/>
      <c r="CD26" s="183">
        <f t="shared" si="33"/>
        <v>0</v>
      </c>
    </row>
    <row r="27" spans="2:82" x14ac:dyDescent="0.3">
      <c r="B27" s="53"/>
      <c r="C27" s="53" t="str">
        <f t="shared" si="0"/>
        <v>CPU_SinalizaçãohorizSAUS</v>
      </c>
      <c r="D27" s="278">
        <f t="shared" si="1"/>
        <v>1</v>
      </c>
      <c r="E27" s="278">
        <f t="shared" si="2"/>
        <v>0</v>
      </c>
      <c r="F27" s="1"/>
      <c r="G27" s="28" t="str">
        <f>IFERROR(VLOOKUP(F27,Tabela7[[RECURSO]:[CUSTO]],2,FALSE),"")</f>
        <v/>
      </c>
      <c r="H27" s="93"/>
      <c r="I27" s="90"/>
      <c r="J27" s="45">
        <f>IFERROR(VLOOKUP(F27,Tabela7[[RECURSO]:[CUSTO]],3,FALSE),0)</f>
        <v>0</v>
      </c>
      <c r="K27" s="45">
        <f t="shared" si="34"/>
        <v>0</v>
      </c>
      <c r="AD27" s="144" t="str">
        <f t="shared" si="3"/>
        <v>Sinalização horiz SAUS</v>
      </c>
      <c r="AE27" s="179"/>
      <c r="AF27" s="180">
        <f t="shared" si="20"/>
        <v>0</v>
      </c>
      <c r="AG27" s="180">
        <f t="shared" si="17"/>
        <v>0</v>
      </c>
      <c r="AH27" s="181">
        <f t="shared" si="21"/>
        <v>0</v>
      </c>
      <c r="AI27" s="182"/>
      <c r="AJ27" s="90"/>
      <c r="AK27" s="90"/>
      <c r="AL27" s="183">
        <f t="shared" si="22"/>
        <v>0</v>
      </c>
      <c r="AM27" s="182"/>
      <c r="AN27" s="90"/>
      <c r="AO27" s="90"/>
      <c r="AP27" s="183">
        <f t="shared" si="23"/>
        <v>0</v>
      </c>
      <c r="AQ27" s="182"/>
      <c r="AR27" s="90"/>
      <c r="AS27" s="90"/>
      <c r="AT27" s="183">
        <f t="shared" si="24"/>
        <v>0</v>
      </c>
      <c r="AU27" s="182"/>
      <c r="AV27" s="90"/>
      <c r="AW27" s="90"/>
      <c r="AX27" s="183">
        <f t="shared" si="25"/>
        <v>0</v>
      </c>
      <c r="AY27" s="182"/>
      <c r="AZ27" s="90"/>
      <c r="BA27" s="90"/>
      <c r="BB27" s="183">
        <f t="shared" si="26"/>
        <v>0</v>
      </c>
      <c r="BC27" s="182"/>
      <c r="BD27" s="90"/>
      <c r="BE27" s="90"/>
      <c r="BF27" s="183">
        <f t="shared" si="27"/>
        <v>0</v>
      </c>
      <c r="BG27" s="182"/>
      <c r="BH27" s="90"/>
      <c r="BI27" s="90"/>
      <c r="BJ27" s="183">
        <f t="shared" si="28"/>
        <v>0</v>
      </c>
      <c r="BK27" s="182"/>
      <c r="BL27" s="90"/>
      <c r="BM27" s="90"/>
      <c r="BN27" s="183">
        <f t="shared" si="29"/>
        <v>0</v>
      </c>
      <c r="BO27" s="182"/>
      <c r="BP27" s="90"/>
      <c r="BQ27" s="90"/>
      <c r="BR27" s="183">
        <f t="shared" si="30"/>
        <v>0</v>
      </c>
      <c r="BS27" s="182"/>
      <c r="BT27" s="90"/>
      <c r="BU27" s="90"/>
      <c r="BV27" s="183">
        <f t="shared" si="31"/>
        <v>0</v>
      </c>
      <c r="BW27" s="182"/>
      <c r="BX27" s="90"/>
      <c r="BY27" s="90"/>
      <c r="BZ27" s="183">
        <f t="shared" si="32"/>
        <v>0</v>
      </c>
      <c r="CA27" s="182"/>
      <c r="CB27" s="90"/>
      <c r="CC27" s="90"/>
      <c r="CD27" s="183">
        <f t="shared" si="33"/>
        <v>0</v>
      </c>
    </row>
    <row r="28" spans="2:82" x14ac:dyDescent="0.3">
      <c r="B28" s="53"/>
      <c r="C28" s="53" t="str">
        <f t="shared" si="0"/>
        <v>CPU_SinalizaçãohorizSAUS</v>
      </c>
      <c r="D28" s="278">
        <f t="shared" si="1"/>
        <v>1</v>
      </c>
      <c r="E28" s="278">
        <f t="shared" si="2"/>
        <v>0</v>
      </c>
      <c r="F28" s="1"/>
      <c r="G28" s="28" t="str">
        <f>IFERROR(VLOOKUP(F28,Tabela7[[RECURSO]:[CUSTO]],2,FALSE),"")</f>
        <v/>
      </c>
      <c r="H28" s="93"/>
      <c r="I28" s="90"/>
      <c r="J28" s="45">
        <f>IFERROR(VLOOKUP(F28,Tabela7[[RECURSO]:[CUSTO]],3,FALSE),0)</f>
        <v>0</v>
      </c>
      <c r="K28" s="45">
        <f t="shared" si="34"/>
        <v>0</v>
      </c>
      <c r="AD28" s="144" t="str">
        <f t="shared" si="3"/>
        <v>Sinalização horiz SAUS</v>
      </c>
      <c r="AE28" s="179"/>
      <c r="AF28" s="180">
        <f t="shared" si="20"/>
        <v>0</v>
      </c>
      <c r="AG28" s="180">
        <f t="shared" si="17"/>
        <v>0</v>
      </c>
      <c r="AH28" s="181">
        <f t="shared" si="21"/>
        <v>0</v>
      </c>
      <c r="AI28" s="182"/>
      <c r="AJ28" s="90"/>
      <c r="AK28" s="90"/>
      <c r="AL28" s="183">
        <f t="shared" si="22"/>
        <v>0</v>
      </c>
      <c r="AM28" s="182"/>
      <c r="AN28" s="90"/>
      <c r="AO28" s="90"/>
      <c r="AP28" s="183">
        <f t="shared" si="23"/>
        <v>0</v>
      </c>
      <c r="AQ28" s="182"/>
      <c r="AR28" s="90"/>
      <c r="AS28" s="90"/>
      <c r="AT28" s="183">
        <f t="shared" si="24"/>
        <v>0</v>
      </c>
      <c r="AU28" s="182"/>
      <c r="AV28" s="90"/>
      <c r="AW28" s="90"/>
      <c r="AX28" s="183">
        <f t="shared" si="25"/>
        <v>0</v>
      </c>
      <c r="AY28" s="182"/>
      <c r="AZ28" s="90"/>
      <c r="BA28" s="90"/>
      <c r="BB28" s="183">
        <f t="shared" si="26"/>
        <v>0</v>
      </c>
      <c r="BC28" s="182"/>
      <c r="BD28" s="90"/>
      <c r="BE28" s="90"/>
      <c r="BF28" s="183">
        <f t="shared" si="27"/>
        <v>0</v>
      </c>
      <c r="BG28" s="182"/>
      <c r="BH28" s="90"/>
      <c r="BI28" s="90"/>
      <c r="BJ28" s="183">
        <f t="shared" si="28"/>
        <v>0</v>
      </c>
      <c r="BK28" s="182"/>
      <c r="BL28" s="90"/>
      <c r="BM28" s="90"/>
      <c r="BN28" s="183">
        <f t="shared" si="29"/>
        <v>0</v>
      </c>
      <c r="BO28" s="182"/>
      <c r="BP28" s="90"/>
      <c r="BQ28" s="90"/>
      <c r="BR28" s="183">
        <f t="shared" si="30"/>
        <v>0</v>
      </c>
      <c r="BS28" s="182"/>
      <c r="BT28" s="90"/>
      <c r="BU28" s="90"/>
      <c r="BV28" s="183">
        <f t="shared" si="31"/>
        <v>0</v>
      </c>
      <c r="BW28" s="182"/>
      <c r="BX28" s="90"/>
      <c r="BY28" s="90"/>
      <c r="BZ28" s="183">
        <f t="shared" si="32"/>
        <v>0</v>
      </c>
      <c r="CA28" s="182"/>
      <c r="CB28" s="90"/>
      <c r="CC28" s="90"/>
      <c r="CD28" s="183">
        <f t="shared" si="33"/>
        <v>0</v>
      </c>
    </row>
    <row r="29" spans="2:82" x14ac:dyDescent="0.3">
      <c r="B29" s="53"/>
      <c r="C29" s="53" t="str">
        <f t="shared" si="0"/>
        <v>CPU_SinalizaçãohorizSAUS</v>
      </c>
      <c r="D29" s="278">
        <f t="shared" si="1"/>
        <v>1</v>
      </c>
      <c r="E29" s="278">
        <f t="shared" si="2"/>
        <v>0</v>
      </c>
      <c r="F29" s="1"/>
      <c r="G29" s="28" t="str">
        <f>IFERROR(VLOOKUP(F29,Tabela7[[RECURSO]:[CUSTO]],2,FALSE),"")</f>
        <v/>
      </c>
      <c r="H29" s="93"/>
      <c r="I29" s="90"/>
      <c r="J29" s="45">
        <f>IFERROR(VLOOKUP(F29,Tabela7[[RECURSO]:[CUSTO]],3,FALSE),0)</f>
        <v>0</v>
      </c>
      <c r="K29" s="45">
        <f t="shared" si="34"/>
        <v>0</v>
      </c>
      <c r="AD29" s="144" t="str">
        <f t="shared" si="3"/>
        <v>Sinalização horiz SAUS</v>
      </c>
      <c r="AE29" s="179"/>
      <c r="AF29" s="180">
        <f t="shared" si="20"/>
        <v>0</v>
      </c>
      <c r="AG29" s="180">
        <f t="shared" si="17"/>
        <v>0</v>
      </c>
      <c r="AH29" s="181">
        <f t="shared" si="21"/>
        <v>0</v>
      </c>
      <c r="AI29" s="182"/>
      <c r="AJ29" s="90"/>
      <c r="AK29" s="90"/>
      <c r="AL29" s="183">
        <f t="shared" si="22"/>
        <v>0</v>
      </c>
      <c r="AM29" s="182"/>
      <c r="AN29" s="90"/>
      <c r="AO29" s="90"/>
      <c r="AP29" s="183">
        <f t="shared" si="23"/>
        <v>0</v>
      </c>
      <c r="AQ29" s="182"/>
      <c r="AR29" s="90"/>
      <c r="AS29" s="90"/>
      <c r="AT29" s="183">
        <f t="shared" si="24"/>
        <v>0</v>
      </c>
      <c r="AU29" s="182"/>
      <c r="AV29" s="90"/>
      <c r="AW29" s="90"/>
      <c r="AX29" s="183">
        <f t="shared" si="25"/>
        <v>0</v>
      </c>
      <c r="AY29" s="182"/>
      <c r="AZ29" s="90"/>
      <c r="BA29" s="90"/>
      <c r="BB29" s="183">
        <f t="shared" si="26"/>
        <v>0</v>
      </c>
      <c r="BC29" s="182"/>
      <c r="BD29" s="90"/>
      <c r="BE29" s="90"/>
      <c r="BF29" s="183">
        <f t="shared" si="27"/>
        <v>0</v>
      </c>
      <c r="BG29" s="182"/>
      <c r="BH29" s="90"/>
      <c r="BI29" s="90"/>
      <c r="BJ29" s="183">
        <f t="shared" si="28"/>
        <v>0</v>
      </c>
      <c r="BK29" s="182"/>
      <c r="BL29" s="90"/>
      <c r="BM29" s="90"/>
      <c r="BN29" s="183">
        <f t="shared" si="29"/>
        <v>0</v>
      </c>
      <c r="BO29" s="182"/>
      <c r="BP29" s="90"/>
      <c r="BQ29" s="90"/>
      <c r="BR29" s="183">
        <f t="shared" si="30"/>
        <v>0</v>
      </c>
      <c r="BS29" s="182"/>
      <c r="BT29" s="90"/>
      <c r="BU29" s="90"/>
      <c r="BV29" s="183">
        <f t="shared" si="31"/>
        <v>0</v>
      </c>
      <c r="BW29" s="182"/>
      <c r="BX29" s="90"/>
      <c r="BY29" s="90"/>
      <c r="BZ29" s="183">
        <f t="shared" si="32"/>
        <v>0</v>
      </c>
      <c r="CA29" s="182"/>
      <c r="CB29" s="90"/>
      <c r="CC29" s="90"/>
      <c r="CD29" s="183">
        <f t="shared" si="33"/>
        <v>0</v>
      </c>
    </row>
    <row r="30" spans="2:82" x14ac:dyDescent="0.3">
      <c r="B30" s="53"/>
      <c r="C30" s="53" t="str">
        <f t="shared" si="0"/>
        <v>CPU_SinalizaçãohorizSAUS</v>
      </c>
      <c r="D30" s="278">
        <f t="shared" si="1"/>
        <v>1</v>
      </c>
      <c r="E30" s="278">
        <f t="shared" si="2"/>
        <v>0</v>
      </c>
      <c r="F30" s="1"/>
      <c r="G30" s="28" t="str">
        <f>IFERROR(VLOOKUP(F30,Tabela7[[RECURSO]:[CUSTO]],2,FALSE),"")</f>
        <v/>
      </c>
      <c r="H30" s="93"/>
      <c r="I30" s="90"/>
      <c r="J30" s="45">
        <f>IFERROR(VLOOKUP(F30,Tabela7[[RECURSO]:[CUSTO]],3,FALSE),0)</f>
        <v>0</v>
      </c>
      <c r="K30" s="45">
        <f t="shared" si="34"/>
        <v>0</v>
      </c>
      <c r="AD30" s="144" t="str">
        <f t="shared" si="3"/>
        <v>Sinalização horiz SAUS</v>
      </c>
      <c r="AE30" s="179"/>
      <c r="AF30" s="180">
        <f t="shared" si="20"/>
        <v>0</v>
      </c>
      <c r="AG30" s="180">
        <f t="shared" si="17"/>
        <v>0</v>
      </c>
      <c r="AH30" s="181">
        <f t="shared" si="21"/>
        <v>0</v>
      </c>
      <c r="AI30" s="182"/>
      <c r="AJ30" s="90"/>
      <c r="AK30" s="90"/>
      <c r="AL30" s="183">
        <f t="shared" si="22"/>
        <v>0</v>
      </c>
      <c r="AM30" s="182"/>
      <c r="AN30" s="90"/>
      <c r="AO30" s="90"/>
      <c r="AP30" s="183">
        <f t="shared" si="23"/>
        <v>0</v>
      </c>
      <c r="AQ30" s="182"/>
      <c r="AR30" s="90"/>
      <c r="AS30" s="90"/>
      <c r="AT30" s="183">
        <f t="shared" si="24"/>
        <v>0</v>
      </c>
      <c r="AU30" s="182"/>
      <c r="AV30" s="90"/>
      <c r="AW30" s="90"/>
      <c r="AX30" s="183">
        <f t="shared" si="25"/>
        <v>0</v>
      </c>
      <c r="AY30" s="182"/>
      <c r="AZ30" s="90"/>
      <c r="BA30" s="90"/>
      <c r="BB30" s="183">
        <f t="shared" si="26"/>
        <v>0</v>
      </c>
      <c r="BC30" s="182"/>
      <c r="BD30" s="90"/>
      <c r="BE30" s="90"/>
      <c r="BF30" s="183">
        <f t="shared" si="27"/>
        <v>0</v>
      </c>
      <c r="BG30" s="182"/>
      <c r="BH30" s="90"/>
      <c r="BI30" s="90"/>
      <c r="BJ30" s="183">
        <f t="shared" si="28"/>
        <v>0</v>
      </c>
      <c r="BK30" s="182"/>
      <c r="BL30" s="90"/>
      <c r="BM30" s="90"/>
      <c r="BN30" s="183">
        <f t="shared" si="29"/>
        <v>0</v>
      </c>
      <c r="BO30" s="182"/>
      <c r="BP30" s="90"/>
      <c r="BQ30" s="90"/>
      <c r="BR30" s="183">
        <f t="shared" si="30"/>
        <v>0</v>
      </c>
      <c r="BS30" s="182"/>
      <c r="BT30" s="90"/>
      <c r="BU30" s="90"/>
      <c r="BV30" s="183">
        <f t="shared" si="31"/>
        <v>0</v>
      </c>
      <c r="BW30" s="182"/>
      <c r="BX30" s="90"/>
      <c r="BY30" s="90"/>
      <c r="BZ30" s="183">
        <f t="shared" si="32"/>
        <v>0</v>
      </c>
      <c r="CA30" s="182"/>
      <c r="CB30" s="90"/>
      <c r="CC30" s="90"/>
      <c r="CD30" s="183">
        <f t="shared" si="33"/>
        <v>0</v>
      </c>
    </row>
    <row r="31" spans="2:82" x14ac:dyDescent="0.3">
      <c r="B31" s="53"/>
      <c r="C31" s="53" t="str">
        <f t="shared" si="0"/>
        <v>CPU_SinalizaçãohorizSAUS</v>
      </c>
      <c r="D31" s="278">
        <f t="shared" si="1"/>
        <v>1</v>
      </c>
      <c r="E31" s="278">
        <f t="shared" si="2"/>
        <v>0</v>
      </c>
      <c r="F31" s="1"/>
      <c r="G31" s="28" t="str">
        <f>IFERROR(VLOOKUP(F31,Tabela7[[RECURSO]:[CUSTO]],2,FALSE),"")</f>
        <v/>
      </c>
      <c r="H31" s="93"/>
      <c r="I31" s="90"/>
      <c r="J31" s="45">
        <f>IFERROR(VLOOKUP(F31,Tabela7[[RECURSO]:[CUSTO]],3,FALSE),0)</f>
        <v>0</v>
      </c>
      <c r="K31" s="45">
        <f t="shared" si="34"/>
        <v>0</v>
      </c>
      <c r="AD31" s="144" t="str">
        <f t="shared" si="3"/>
        <v>Sinalização horiz SAUS</v>
      </c>
      <c r="AE31" s="179"/>
      <c r="AF31" s="180">
        <f t="shared" si="20"/>
        <v>0</v>
      </c>
      <c r="AG31" s="180">
        <f t="shared" si="17"/>
        <v>0</v>
      </c>
      <c r="AH31" s="181">
        <f t="shared" si="21"/>
        <v>0</v>
      </c>
      <c r="AI31" s="182"/>
      <c r="AJ31" s="90"/>
      <c r="AK31" s="90"/>
      <c r="AL31" s="183">
        <f t="shared" si="22"/>
        <v>0</v>
      </c>
      <c r="AM31" s="182"/>
      <c r="AN31" s="90"/>
      <c r="AO31" s="90"/>
      <c r="AP31" s="183">
        <f t="shared" si="23"/>
        <v>0</v>
      </c>
      <c r="AQ31" s="182"/>
      <c r="AR31" s="90"/>
      <c r="AS31" s="90"/>
      <c r="AT31" s="183">
        <f t="shared" si="24"/>
        <v>0</v>
      </c>
      <c r="AU31" s="182"/>
      <c r="AV31" s="90"/>
      <c r="AW31" s="90"/>
      <c r="AX31" s="183">
        <f t="shared" si="25"/>
        <v>0</v>
      </c>
      <c r="AY31" s="182"/>
      <c r="AZ31" s="90"/>
      <c r="BA31" s="90"/>
      <c r="BB31" s="183">
        <f t="shared" si="26"/>
        <v>0</v>
      </c>
      <c r="BC31" s="182"/>
      <c r="BD31" s="90"/>
      <c r="BE31" s="90"/>
      <c r="BF31" s="183">
        <f t="shared" si="27"/>
        <v>0</v>
      </c>
      <c r="BG31" s="182"/>
      <c r="BH31" s="90"/>
      <c r="BI31" s="90"/>
      <c r="BJ31" s="183">
        <f t="shared" si="28"/>
        <v>0</v>
      </c>
      <c r="BK31" s="182"/>
      <c r="BL31" s="90"/>
      <c r="BM31" s="90"/>
      <c r="BN31" s="183">
        <f t="shared" si="29"/>
        <v>0</v>
      </c>
      <c r="BO31" s="182"/>
      <c r="BP31" s="90"/>
      <c r="BQ31" s="90"/>
      <c r="BR31" s="183">
        <f t="shared" si="30"/>
        <v>0</v>
      </c>
      <c r="BS31" s="182"/>
      <c r="BT31" s="90"/>
      <c r="BU31" s="90"/>
      <c r="BV31" s="183">
        <f t="shared" si="31"/>
        <v>0</v>
      </c>
      <c r="BW31" s="182"/>
      <c r="BX31" s="90"/>
      <c r="BY31" s="90"/>
      <c r="BZ31" s="183">
        <f t="shared" si="32"/>
        <v>0</v>
      </c>
      <c r="CA31" s="182"/>
      <c r="CB31" s="90"/>
      <c r="CC31" s="90"/>
      <c r="CD31" s="183">
        <f t="shared" si="33"/>
        <v>0</v>
      </c>
    </row>
    <row r="32" spans="2:82" x14ac:dyDescent="0.3">
      <c r="B32" s="53"/>
      <c r="C32" s="53" t="str">
        <f t="shared" si="0"/>
        <v>CPU_SinalizaçãohorizSAUS</v>
      </c>
      <c r="D32" s="278">
        <f t="shared" si="1"/>
        <v>1</v>
      </c>
      <c r="E32" s="278">
        <f t="shared" si="2"/>
        <v>0</v>
      </c>
      <c r="F32" s="1"/>
      <c r="G32" s="28" t="str">
        <f>IFERROR(VLOOKUP(F32,Tabela7[[RECURSO]:[CUSTO]],2,FALSE),"")</f>
        <v/>
      </c>
      <c r="H32" s="93"/>
      <c r="I32" s="90"/>
      <c r="J32" s="45">
        <f>IFERROR(VLOOKUP(F32,Tabela7[[RECURSO]:[CUSTO]],3,FALSE),0)</f>
        <v>0</v>
      </c>
      <c r="K32" s="45">
        <f t="shared" si="34"/>
        <v>0</v>
      </c>
      <c r="AD32" s="144" t="str">
        <f t="shared" si="3"/>
        <v>Sinalização horiz SAUS</v>
      </c>
      <c r="AE32" s="179"/>
      <c r="AF32" s="180">
        <f t="shared" si="20"/>
        <v>0</v>
      </c>
      <c r="AG32" s="180">
        <f t="shared" si="17"/>
        <v>0</v>
      </c>
      <c r="AH32" s="181">
        <f t="shared" si="21"/>
        <v>0</v>
      </c>
      <c r="AI32" s="182"/>
      <c r="AJ32" s="90"/>
      <c r="AK32" s="90"/>
      <c r="AL32" s="183">
        <f t="shared" si="22"/>
        <v>0</v>
      </c>
      <c r="AM32" s="182"/>
      <c r="AN32" s="90"/>
      <c r="AO32" s="90"/>
      <c r="AP32" s="183">
        <f t="shared" si="23"/>
        <v>0</v>
      </c>
      <c r="AQ32" s="182"/>
      <c r="AR32" s="90"/>
      <c r="AS32" s="90"/>
      <c r="AT32" s="183">
        <f t="shared" si="24"/>
        <v>0</v>
      </c>
      <c r="AU32" s="182"/>
      <c r="AV32" s="90"/>
      <c r="AW32" s="90"/>
      <c r="AX32" s="183">
        <f t="shared" si="25"/>
        <v>0</v>
      </c>
      <c r="AY32" s="182"/>
      <c r="AZ32" s="90"/>
      <c r="BA32" s="90"/>
      <c r="BB32" s="183">
        <f t="shared" si="26"/>
        <v>0</v>
      </c>
      <c r="BC32" s="182"/>
      <c r="BD32" s="90"/>
      <c r="BE32" s="90"/>
      <c r="BF32" s="183">
        <f t="shared" si="27"/>
        <v>0</v>
      </c>
      <c r="BG32" s="182"/>
      <c r="BH32" s="90"/>
      <c r="BI32" s="90"/>
      <c r="BJ32" s="183">
        <f t="shared" si="28"/>
        <v>0</v>
      </c>
      <c r="BK32" s="182"/>
      <c r="BL32" s="90"/>
      <c r="BM32" s="90"/>
      <c r="BN32" s="183">
        <f t="shared" si="29"/>
        <v>0</v>
      </c>
      <c r="BO32" s="182"/>
      <c r="BP32" s="90"/>
      <c r="BQ32" s="90"/>
      <c r="BR32" s="183">
        <f t="shared" si="30"/>
        <v>0</v>
      </c>
      <c r="BS32" s="182"/>
      <c r="BT32" s="90"/>
      <c r="BU32" s="90"/>
      <c r="BV32" s="183">
        <f t="shared" si="31"/>
        <v>0</v>
      </c>
      <c r="BW32" s="182"/>
      <c r="BX32" s="90"/>
      <c r="BY32" s="90"/>
      <c r="BZ32" s="183">
        <f t="shared" si="32"/>
        <v>0</v>
      </c>
      <c r="CA32" s="182"/>
      <c r="CB32" s="90"/>
      <c r="CC32" s="90"/>
      <c r="CD32" s="183">
        <f t="shared" si="33"/>
        <v>0</v>
      </c>
    </row>
    <row r="33" spans="2:82" x14ac:dyDescent="0.3">
      <c r="B33" s="53"/>
      <c r="C33" s="53" t="str">
        <f t="shared" si="0"/>
        <v>CPU_SinalizaçãohorizSAUS</v>
      </c>
      <c r="D33" s="278">
        <f t="shared" si="1"/>
        <v>1</v>
      </c>
      <c r="E33" s="278">
        <f t="shared" si="2"/>
        <v>0</v>
      </c>
      <c r="F33" s="1"/>
      <c r="G33" s="28" t="str">
        <f>IFERROR(VLOOKUP(F33,Tabela7[[RECURSO]:[CUSTO]],2,FALSE),"")</f>
        <v/>
      </c>
      <c r="H33" s="93"/>
      <c r="I33" s="90"/>
      <c r="J33" s="45">
        <f>IFERROR(VLOOKUP(F33,Tabela7[[RECURSO]:[CUSTO]],3,FALSE),0)</f>
        <v>0</v>
      </c>
      <c r="K33" s="45">
        <f t="shared" si="34"/>
        <v>0</v>
      </c>
      <c r="AD33" s="144" t="str">
        <f t="shared" si="3"/>
        <v>Sinalização horiz SAUS</v>
      </c>
      <c r="AE33" s="179"/>
      <c r="AF33" s="180">
        <f t="shared" si="20"/>
        <v>0</v>
      </c>
      <c r="AG33" s="180">
        <f t="shared" si="17"/>
        <v>0</v>
      </c>
      <c r="AH33" s="181">
        <f t="shared" si="21"/>
        <v>0</v>
      </c>
      <c r="AI33" s="182"/>
      <c r="AJ33" s="90"/>
      <c r="AK33" s="90"/>
      <c r="AL33" s="183">
        <f t="shared" si="22"/>
        <v>0</v>
      </c>
      <c r="AM33" s="182"/>
      <c r="AN33" s="90"/>
      <c r="AO33" s="90"/>
      <c r="AP33" s="183">
        <f t="shared" si="23"/>
        <v>0</v>
      </c>
      <c r="AQ33" s="182"/>
      <c r="AR33" s="90"/>
      <c r="AS33" s="90"/>
      <c r="AT33" s="183">
        <f t="shared" si="24"/>
        <v>0</v>
      </c>
      <c r="AU33" s="182"/>
      <c r="AV33" s="90"/>
      <c r="AW33" s="90"/>
      <c r="AX33" s="183">
        <f t="shared" si="25"/>
        <v>0</v>
      </c>
      <c r="AY33" s="182"/>
      <c r="AZ33" s="90"/>
      <c r="BA33" s="90"/>
      <c r="BB33" s="183">
        <f t="shared" si="26"/>
        <v>0</v>
      </c>
      <c r="BC33" s="182"/>
      <c r="BD33" s="90"/>
      <c r="BE33" s="90"/>
      <c r="BF33" s="183">
        <f t="shared" si="27"/>
        <v>0</v>
      </c>
      <c r="BG33" s="182"/>
      <c r="BH33" s="90"/>
      <c r="BI33" s="90"/>
      <c r="BJ33" s="183">
        <f t="shared" si="28"/>
        <v>0</v>
      </c>
      <c r="BK33" s="182"/>
      <c r="BL33" s="90"/>
      <c r="BM33" s="90"/>
      <c r="BN33" s="183">
        <f t="shared" si="29"/>
        <v>0</v>
      </c>
      <c r="BO33" s="182"/>
      <c r="BP33" s="90"/>
      <c r="BQ33" s="90"/>
      <c r="BR33" s="183">
        <f t="shared" si="30"/>
        <v>0</v>
      </c>
      <c r="BS33" s="182"/>
      <c r="BT33" s="90"/>
      <c r="BU33" s="90"/>
      <c r="BV33" s="183">
        <f t="shared" si="31"/>
        <v>0</v>
      </c>
      <c r="BW33" s="182"/>
      <c r="BX33" s="90"/>
      <c r="BY33" s="90"/>
      <c r="BZ33" s="183">
        <f t="shared" si="32"/>
        <v>0</v>
      </c>
      <c r="CA33" s="182"/>
      <c r="CB33" s="90"/>
      <c r="CC33" s="90"/>
      <c r="CD33" s="183">
        <f t="shared" si="33"/>
        <v>0</v>
      </c>
    </row>
    <row r="34" spans="2:82" x14ac:dyDescent="0.3">
      <c r="B34" s="53"/>
      <c r="C34" s="53" t="str">
        <f t="shared" si="0"/>
        <v>CPU_SinalizaçãohorizSAUS</v>
      </c>
      <c r="D34" s="278">
        <f t="shared" si="1"/>
        <v>1</v>
      </c>
      <c r="E34" s="278">
        <f t="shared" si="2"/>
        <v>0</v>
      </c>
      <c r="F34" s="1"/>
      <c r="G34" s="28" t="str">
        <f>IFERROR(VLOOKUP(F34,Tabela7[[RECURSO]:[CUSTO]],2,FALSE),"")</f>
        <v/>
      </c>
      <c r="H34" s="93"/>
      <c r="I34" s="90"/>
      <c r="J34" s="45">
        <f>IFERROR(VLOOKUP(F34,Tabela7[[RECURSO]:[CUSTO]],3,FALSE),0)</f>
        <v>0</v>
      </c>
      <c r="K34" s="45">
        <f t="shared" si="34"/>
        <v>0</v>
      </c>
      <c r="AD34" s="144" t="str">
        <f t="shared" si="3"/>
        <v>Sinalização horiz SAUS</v>
      </c>
      <c r="AE34" s="179"/>
      <c r="AF34" s="180">
        <f t="shared" si="20"/>
        <v>0</v>
      </c>
      <c r="AG34" s="180">
        <f t="shared" si="17"/>
        <v>0</v>
      </c>
      <c r="AH34" s="181">
        <f t="shared" si="21"/>
        <v>0</v>
      </c>
      <c r="AI34" s="182"/>
      <c r="AJ34" s="90"/>
      <c r="AK34" s="90"/>
      <c r="AL34" s="183">
        <f t="shared" si="22"/>
        <v>0</v>
      </c>
      <c r="AM34" s="182"/>
      <c r="AN34" s="90"/>
      <c r="AO34" s="90"/>
      <c r="AP34" s="183">
        <f t="shared" si="23"/>
        <v>0</v>
      </c>
      <c r="AQ34" s="182"/>
      <c r="AR34" s="90"/>
      <c r="AS34" s="90"/>
      <c r="AT34" s="183">
        <f t="shared" si="24"/>
        <v>0</v>
      </c>
      <c r="AU34" s="182"/>
      <c r="AV34" s="90"/>
      <c r="AW34" s="90"/>
      <c r="AX34" s="183">
        <f t="shared" si="25"/>
        <v>0</v>
      </c>
      <c r="AY34" s="182"/>
      <c r="AZ34" s="90"/>
      <c r="BA34" s="90"/>
      <c r="BB34" s="183">
        <f t="shared" si="26"/>
        <v>0</v>
      </c>
      <c r="BC34" s="182"/>
      <c r="BD34" s="90"/>
      <c r="BE34" s="90"/>
      <c r="BF34" s="183">
        <f t="shared" si="27"/>
        <v>0</v>
      </c>
      <c r="BG34" s="182"/>
      <c r="BH34" s="90"/>
      <c r="BI34" s="90"/>
      <c r="BJ34" s="183">
        <f t="shared" si="28"/>
        <v>0</v>
      </c>
      <c r="BK34" s="182"/>
      <c r="BL34" s="90"/>
      <c r="BM34" s="90"/>
      <c r="BN34" s="183">
        <f t="shared" si="29"/>
        <v>0</v>
      </c>
      <c r="BO34" s="182"/>
      <c r="BP34" s="90"/>
      <c r="BQ34" s="90"/>
      <c r="BR34" s="183">
        <f t="shared" si="30"/>
        <v>0</v>
      </c>
      <c r="BS34" s="182"/>
      <c r="BT34" s="90"/>
      <c r="BU34" s="90"/>
      <c r="BV34" s="183">
        <f t="shared" si="31"/>
        <v>0</v>
      </c>
      <c r="BW34" s="182"/>
      <c r="BX34" s="90"/>
      <c r="BY34" s="90"/>
      <c r="BZ34" s="183">
        <f t="shared" si="32"/>
        <v>0</v>
      </c>
      <c r="CA34" s="182"/>
      <c r="CB34" s="90"/>
      <c r="CC34" s="90"/>
      <c r="CD34" s="183">
        <f t="shared" si="33"/>
        <v>0</v>
      </c>
    </row>
    <row r="35" spans="2:82" x14ac:dyDescent="0.3">
      <c r="B35" s="53"/>
      <c r="C35" s="53" t="str">
        <f t="shared" si="0"/>
        <v>CPU_SinalizaçãohorizSAUS</v>
      </c>
      <c r="D35" s="278">
        <f t="shared" si="1"/>
        <v>1</v>
      </c>
      <c r="E35" s="278">
        <f t="shared" si="2"/>
        <v>0</v>
      </c>
      <c r="F35" s="1"/>
      <c r="G35" s="28" t="str">
        <f>IFERROR(VLOOKUP(F35,Tabela7[[RECURSO]:[CUSTO]],2,FALSE),"")</f>
        <v/>
      </c>
      <c r="H35" s="93"/>
      <c r="I35" s="90"/>
      <c r="J35" s="45">
        <f>IFERROR(VLOOKUP(F35,Tabela7[[RECURSO]:[CUSTO]],3,FALSE),0)</f>
        <v>0</v>
      </c>
      <c r="K35" s="45">
        <f t="shared" si="34"/>
        <v>0</v>
      </c>
      <c r="AD35" s="144" t="str">
        <f t="shared" si="3"/>
        <v>Sinalização horiz SAUS</v>
      </c>
      <c r="AE35" s="179"/>
      <c r="AF35" s="180">
        <f t="shared" si="20"/>
        <v>0</v>
      </c>
      <c r="AG35" s="180">
        <f t="shared" si="17"/>
        <v>0</v>
      </c>
      <c r="AH35" s="181">
        <f t="shared" si="21"/>
        <v>0</v>
      </c>
      <c r="AI35" s="182"/>
      <c r="AJ35" s="90"/>
      <c r="AK35" s="90"/>
      <c r="AL35" s="183">
        <f t="shared" si="22"/>
        <v>0</v>
      </c>
      <c r="AM35" s="182"/>
      <c r="AN35" s="90"/>
      <c r="AO35" s="90"/>
      <c r="AP35" s="183">
        <f t="shared" si="23"/>
        <v>0</v>
      </c>
      <c r="AQ35" s="182"/>
      <c r="AR35" s="90"/>
      <c r="AS35" s="90"/>
      <c r="AT35" s="183">
        <f t="shared" si="24"/>
        <v>0</v>
      </c>
      <c r="AU35" s="182"/>
      <c r="AV35" s="90"/>
      <c r="AW35" s="90"/>
      <c r="AX35" s="183">
        <f t="shared" si="25"/>
        <v>0</v>
      </c>
      <c r="AY35" s="182"/>
      <c r="AZ35" s="90"/>
      <c r="BA35" s="90"/>
      <c r="BB35" s="183">
        <f t="shared" si="26"/>
        <v>0</v>
      </c>
      <c r="BC35" s="182"/>
      <c r="BD35" s="90"/>
      <c r="BE35" s="90"/>
      <c r="BF35" s="183">
        <f t="shared" si="27"/>
        <v>0</v>
      </c>
      <c r="BG35" s="182"/>
      <c r="BH35" s="90"/>
      <c r="BI35" s="90"/>
      <c r="BJ35" s="183">
        <f t="shared" si="28"/>
        <v>0</v>
      </c>
      <c r="BK35" s="182"/>
      <c r="BL35" s="90"/>
      <c r="BM35" s="90"/>
      <c r="BN35" s="183">
        <f t="shared" si="29"/>
        <v>0</v>
      </c>
      <c r="BO35" s="182"/>
      <c r="BP35" s="90"/>
      <c r="BQ35" s="90"/>
      <c r="BR35" s="183">
        <f t="shared" si="30"/>
        <v>0</v>
      </c>
      <c r="BS35" s="182"/>
      <c r="BT35" s="90"/>
      <c r="BU35" s="90"/>
      <c r="BV35" s="183">
        <f t="shared" si="31"/>
        <v>0</v>
      </c>
      <c r="BW35" s="182"/>
      <c r="BX35" s="90"/>
      <c r="BY35" s="90"/>
      <c r="BZ35" s="183">
        <f t="shared" si="32"/>
        <v>0</v>
      </c>
      <c r="CA35" s="182"/>
      <c r="CB35" s="90"/>
      <c r="CC35" s="90"/>
      <c r="CD35" s="183">
        <f t="shared" si="33"/>
        <v>0</v>
      </c>
    </row>
    <row r="36" spans="2:82" x14ac:dyDescent="0.3">
      <c r="B36" s="53"/>
      <c r="C36" s="53" t="str">
        <f t="shared" si="0"/>
        <v>CPU_SinalizaçãohorizSAUS</v>
      </c>
      <c r="D36" s="278">
        <f t="shared" si="1"/>
        <v>1</v>
      </c>
      <c r="E36" s="278">
        <f t="shared" si="2"/>
        <v>0</v>
      </c>
      <c r="F36" s="1"/>
      <c r="G36" s="28" t="str">
        <f>IFERROR(VLOOKUP(F36,Tabela7[[RECURSO]:[CUSTO]],2,FALSE),"")</f>
        <v/>
      </c>
      <c r="H36" s="93"/>
      <c r="I36" s="90"/>
      <c r="J36" s="45">
        <f>IFERROR(VLOOKUP(F36,Tabela7[[RECURSO]:[CUSTO]],3,FALSE),0)</f>
        <v>0</v>
      </c>
      <c r="K36" s="45">
        <f t="shared" si="34"/>
        <v>0</v>
      </c>
      <c r="AD36" s="144" t="str">
        <f t="shared" si="3"/>
        <v>Sinalização horiz SAUS</v>
      </c>
      <c r="AE36" s="179"/>
      <c r="AF36" s="180">
        <f t="shared" si="20"/>
        <v>0</v>
      </c>
      <c r="AG36" s="180">
        <f t="shared" si="17"/>
        <v>0</v>
      </c>
      <c r="AH36" s="181">
        <f t="shared" si="21"/>
        <v>0</v>
      </c>
      <c r="AI36" s="182"/>
      <c r="AJ36" s="90"/>
      <c r="AK36" s="90"/>
      <c r="AL36" s="183">
        <f t="shared" si="22"/>
        <v>0</v>
      </c>
      <c r="AM36" s="182"/>
      <c r="AN36" s="90"/>
      <c r="AO36" s="90"/>
      <c r="AP36" s="183">
        <f t="shared" si="23"/>
        <v>0</v>
      </c>
      <c r="AQ36" s="182"/>
      <c r="AR36" s="90"/>
      <c r="AS36" s="90"/>
      <c r="AT36" s="183">
        <f t="shared" si="24"/>
        <v>0</v>
      </c>
      <c r="AU36" s="182"/>
      <c r="AV36" s="90"/>
      <c r="AW36" s="90"/>
      <c r="AX36" s="183">
        <f t="shared" si="25"/>
        <v>0</v>
      </c>
      <c r="AY36" s="182"/>
      <c r="AZ36" s="90"/>
      <c r="BA36" s="90"/>
      <c r="BB36" s="183">
        <f t="shared" si="26"/>
        <v>0</v>
      </c>
      <c r="BC36" s="182"/>
      <c r="BD36" s="90"/>
      <c r="BE36" s="90"/>
      <c r="BF36" s="183">
        <f t="shared" si="27"/>
        <v>0</v>
      </c>
      <c r="BG36" s="182"/>
      <c r="BH36" s="90"/>
      <c r="BI36" s="90"/>
      <c r="BJ36" s="183">
        <f t="shared" si="28"/>
        <v>0</v>
      </c>
      <c r="BK36" s="182"/>
      <c r="BL36" s="90"/>
      <c r="BM36" s="90"/>
      <c r="BN36" s="183">
        <f t="shared" si="29"/>
        <v>0</v>
      </c>
      <c r="BO36" s="182"/>
      <c r="BP36" s="90"/>
      <c r="BQ36" s="90"/>
      <c r="BR36" s="183">
        <f t="shared" si="30"/>
        <v>0</v>
      </c>
      <c r="BS36" s="182"/>
      <c r="BT36" s="90"/>
      <c r="BU36" s="90"/>
      <c r="BV36" s="183">
        <f t="shared" si="31"/>
        <v>0</v>
      </c>
      <c r="BW36" s="182"/>
      <c r="BX36" s="90"/>
      <c r="BY36" s="90"/>
      <c r="BZ36" s="183">
        <f t="shared" si="32"/>
        <v>0</v>
      </c>
      <c r="CA36" s="182"/>
      <c r="CB36" s="90"/>
      <c r="CC36" s="90"/>
      <c r="CD36" s="183">
        <f t="shared" si="33"/>
        <v>0</v>
      </c>
    </row>
    <row r="37" spans="2:82" x14ac:dyDescent="0.3">
      <c r="B37" s="52" t="s">
        <v>692</v>
      </c>
      <c r="C37" s="52" t="str">
        <f t="shared" si="0"/>
        <v>CPU_SinalizaçãohorizSAUS</v>
      </c>
      <c r="D37" s="277">
        <f t="shared" si="1"/>
        <v>1</v>
      </c>
      <c r="E37" s="277">
        <f t="shared" si="2"/>
        <v>0</v>
      </c>
      <c r="F37" s="37"/>
      <c r="G37" s="38"/>
      <c r="H37" s="91"/>
      <c r="I37" s="40"/>
      <c r="J37" s="40">
        <f>IFERROR(K37/$B$6,0)</f>
        <v>0</v>
      </c>
      <c r="K37" s="40">
        <f>SUM(K38:K49)</f>
        <v>0</v>
      </c>
      <c r="N37" s="39"/>
      <c r="AD37" s="144" t="str">
        <f t="shared" si="3"/>
        <v>Sinalização horiz SAUS</v>
      </c>
      <c r="AE37" s="184"/>
      <c r="AF37" s="40"/>
      <c r="AG37" s="40">
        <f>IFERROR(AH37/AF$3,0)</f>
        <v>0</v>
      </c>
      <c r="AH37" s="185">
        <f>SUM(AH38:AH49)</f>
        <v>0</v>
      </c>
      <c r="AI37" s="184"/>
      <c r="AJ37" s="40"/>
      <c r="AK37" s="40">
        <f>IFERROR(AL37/AJ$3,0)</f>
        <v>0</v>
      </c>
      <c r="AL37" s="185">
        <f>SUM(AL38:AL49)</f>
        <v>0</v>
      </c>
      <c r="AM37" s="184"/>
      <c r="AN37" s="40"/>
      <c r="AO37" s="40">
        <f>IFERROR(AP37/AN$3,0)</f>
        <v>0</v>
      </c>
      <c r="AP37" s="185">
        <f>SUM(AP38:AP49)</f>
        <v>0</v>
      </c>
      <c r="AQ37" s="184"/>
      <c r="AR37" s="40"/>
      <c r="AS37" s="40">
        <f>IFERROR(AT37/AR$3,0)</f>
        <v>0</v>
      </c>
      <c r="AT37" s="185">
        <f>SUM(AT38:AT49)</f>
        <v>0</v>
      </c>
      <c r="AU37" s="184"/>
      <c r="AV37" s="40"/>
      <c r="AW37" s="40">
        <f>IFERROR(AX37/AV$3,0)</f>
        <v>0</v>
      </c>
      <c r="AX37" s="185">
        <f>SUM(AX38:AX49)</f>
        <v>0</v>
      </c>
      <c r="AY37" s="184"/>
      <c r="AZ37" s="40"/>
      <c r="BA37" s="40">
        <f>IFERROR(BB37/AZ$3,0)</f>
        <v>0</v>
      </c>
      <c r="BB37" s="185">
        <f>SUM(BB38:BB49)</f>
        <v>0</v>
      </c>
      <c r="BC37" s="184"/>
      <c r="BD37" s="40"/>
      <c r="BE37" s="40">
        <f>IFERROR(BF37/BD$3,0)</f>
        <v>0</v>
      </c>
      <c r="BF37" s="185">
        <f>SUM(BF38:BF49)</f>
        <v>0</v>
      </c>
      <c r="BG37" s="184"/>
      <c r="BH37" s="40"/>
      <c r="BI37" s="40">
        <f>IFERROR(BJ37/BH$3,0)</f>
        <v>0</v>
      </c>
      <c r="BJ37" s="185">
        <f>SUM(BJ38:BJ49)</f>
        <v>0</v>
      </c>
      <c r="BK37" s="184"/>
      <c r="BL37" s="40"/>
      <c r="BM37" s="40">
        <f>IFERROR(BN37/BL$3,0)</f>
        <v>0</v>
      </c>
      <c r="BN37" s="185">
        <f>SUM(BN38:BN49)</f>
        <v>0</v>
      </c>
      <c r="BO37" s="184"/>
      <c r="BP37" s="40"/>
      <c r="BQ37" s="40">
        <f>IFERROR(BR37/BP$3,0)</f>
        <v>0</v>
      </c>
      <c r="BR37" s="185">
        <f>SUM(BR38:BR49)</f>
        <v>0</v>
      </c>
      <c r="BS37" s="184"/>
      <c r="BT37" s="40"/>
      <c r="BU37" s="40">
        <f>IFERROR(BV37/BT$3,0)</f>
        <v>0</v>
      </c>
      <c r="BV37" s="185">
        <f>SUM(BV38:BV49)</f>
        <v>0</v>
      </c>
      <c r="BW37" s="184"/>
      <c r="BX37" s="40"/>
      <c r="BY37" s="40">
        <f>IFERROR(BZ37/BX$3,0)</f>
        <v>0</v>
      </c>
      <c r="BZ37" s="185">
        <f>SUM(BZ38:BZ49)</f>
        <v>0</v>
      </c>
      <c r="CA37" s="184"/>
      <c r="CB37" s="40"/>
      <c r="CC37" s="40">
        <f>IFERROR(CD37/CB$3,0)</f>
        <v>0</v>
      </c>
      <c r="CD37" s="185">
        <f>SUM(CD38:CD49)</f>
        <v>0</v>
      </c>
    </row>
    <row r="38" spans="2:82" x14ac:dyDescent="0.3">
      <c r="B38" s="54"/>
      <c r="C38" s="54" t="str">
        <f t="shared" si="0"/>
        <v>CPU_SinalizaçãohorizSAUS</v>
      </c>
      <c r="D38" s="280">
        <f t="shared" si="1"/>
        <v>1</v>
      </c>
      <c r="E38" s="280">
        <f t="shared" si="2"/>
        <v>0</v>
      </c>
      <c r="F38" s="1"/>
      <c r="G38" s="28" t="str">
        <f>IFERROR(VLOOKUP(F38,Tabela7[[RECURSO]:[CUSTO]],2,FALSE),"")</f>
        <v/>
      </c>
      <c r="H38" s="92"/>
      <c r="I38" s="90"/>
      <c r="J38" s="45">
        <f>IFERROR(VLOOKUP(F38,Tabela7[[RECURSO]:[CUSTO]],3,FALSE),0)</f>
        <v>0</v>
      </c>
      <c r="K38" s="45">
        <f>I38*J38*CPU_32[[#This Row],[Nº]]</f>
        <v>0</v>
      </c>
      <c r="AD38" s="144" t="str">
        <f t="shared" si="3"/>
        <v>Sinalização horiz SAUS</v>
      </c>
      <c r="AE38" s="186"/>
      <c r="AF38" s="180">
        <f t="shared" ref="AF38:AF49" si="35">AJ38+AN38+AR38+AV38+AZ38+BD38+BH38+BL38+BP38+BT38+BX38+CB38</f>
        <v>0</v>
      </c>
      <c r="AG38" s="180">
        <f t="shared" si="17"/>
        <v>0</v>
      </c>
      <c r="AH38" s="181">
        <f t="shared" ref="AH38:AH49" si="36">AL38+AP38+AT38+AX38+BB38+BF38+BJ38+BN38+BR38+BV38+BZ38+CD38</f>
        <v>0</v>
      </c>
      <c r="AI38" s="187"/>
      <c r="AJ38" s="90"/>
      <c r="AK38" s="90"/>
      <c r="AL38" s="183">
        <f t="shared" ref="AL38:AL49" si="37">AJ38*AK38</f>
        <v>0</v>
      </c>
      <c r="AM38" s="187"/>
      <c r="AN38" s="90"/>
      <c r="AO38" s="90"/>
      <c r="AP38" s="183">
        <f t="shared" si="23"/>
        <v>0</v>
      </c>
      <c r="AQ38" s="187"/>
      <c r="AR38" s="90"/>
      <c r="AS38" s="90"/>
      <c r="AT38" s="183">
        <f t="shared" si="24"/>
        <v>0</v>
      </c>
      <c r="AU38" s="187"/>
      <c r="AV38" s="90"/>
      <c r="AW38" s="90"/>
      <c r="AX38" s="183">
        <f t="shared" si="25"/>
        <v>0</v>
      </c>
      <c r="AY38" s="187"/>
      <c r="AZ38" s="90"/>
      <c r="BA38" s="90"/>
      <c r="BB38" s="183">
        <f t="shared" si="26"/>
        <v>0</v>
      </c>
      <c r="BC38" s="187"/>
      <c r="BD38" s="90"/>
      <c r="BE38" s="90"/>
      <c r="BF38" s="183">
        <f t="shared" si="27"/>
        <v>0</v>
      </c>
      <c r="BG38" s="187"/>
      <c r="BH38" s="90"/>
      <c r="BI38" s="90"/>
      <c r="BJ38" s="183">
        <f t="shared" si="28"/>
        <v>0</v>
      </c>
      <c r="BK38" s="187"/>
      <c r="BL38" s="90"/>
      <c r="BM38" s="90"/>
      <c r="BN38" s="183">
        <f t="shared" si="29"/>
        <v>0</v>
      </c>
      <c r="BO38" s="187"/>
      <c r="BP38" s="90"/>
      <c r="BQ38" s="90"/>
      <c r="BR38" s="183">
        <f t="shared" si="30"/>
        <v>0</v>
      </c>
      <c r="BS38" s="187"/>
      <c r="BT38" s="90"/>
      <c r="BU38" s="90"/>
      <c r="BV38" s="183">
        <f t="shared" si="31"/>
        <v>0</v>
      </c>
      <c r="BW38" s="187"/>
      <c r="BX38" s="90"/>
      <c r="BY38" s="90"/>
      <c r="BZ38" s="183">
        <f t="shared" si="32"/>
        <v>0</v>
      </c>
      <c r="CA38" s="187"/>
      <c r="CB38" s="90"/>
      <c r="CC38" s="90"/>
      <c r="CD38" s="183">
        <f t="shared" si="33"/>
        <v>0</v>
      </c>
    </row>
    <row r="39" spans="2:82" x14ac:dyDescent="0.3">
      <c r="B39" s="54"/>
      <c r="C39" s="54" t="str">
        <f t="shared" si="0"/>
        <v>CPU_SinalizaçãohorizSAUS</v>
      </c>
      <c r="D39" s="280">
        <f t="shared" si="1"/>
        <v>1</v>
      </c>
      <c r="E39" s="280">
        <f t="shared" si="2"/>
        <v>0</v>
      </c>
      <c r="F39" s="1"/>
      <c r="G39" s="28" t="str">
        <f>IFERROR(VLOOKUP(F39,Tabela7[[RECURSO]:[CUSTO]],2,FALSE),"")</f>
        <v/>
      </c>
      <c r="H39" s="92"/>
      <c r="I39" s="90"/>
      <c r="J39" s="45">
        <f>IFERROR(VLOOKUP(F39,Tabela7[[RECURSO]:[CUSTO]],3,FALSE),0)</f>
        <v>0</v>
      </c>
      <c r="K39" s="45">
        <f>I39*J39*CPU_32[[#This Row],[Nº]]</f>
        <v>0</v>
      </c>
      <c r="AD39" s="144" t="str">
        <f t="shared" si="3"/>
        <v>Sinalização horiz SAUS</v>
      </c>
      <c r="AE39" s="186"/>
      <c r="AF39" s="180">
        <f t="shared" si="35"/>
        <v>0</v>
      </c>
      <c r="AG39" s="180">
        <f t="shared" si="17"/>
        <v>0</v>
      </c>
      <c r="AH39" s="181">
        <f t="shared" si="36"/>
        <v>0</v>
      </c>
      <c r="AI39" s="187"/>
      <c r="AJ39" s="90"/>
      <c r="AK39" s="90"/>
      <c r="AL39" s="183">
        <f t="shared" si="37"/>
        <v>0</v>
      </c>
      <c r="AM39" s="187"/>
      <c r="AN39" s="90"/>
      <c r="AO39" s="90"/>
      <c r="AP39" s="183">
        <f t="shared" si="23"/>
        <v>0</v>
      </c>
      <c r="AQ39" s="187"/>
      <c r="AR39" s="90"/>
      <c r="AS39" s="90"/>
      <c r="AT39" s="183">
        <f t="shared" si="24"/>
        <v>0</v>
      </c>
      <c r="AU39" s="187"/>
      <c r="AV39" s="90"/>
      <c r="AW39" s="90"/>
      <c r="AX39" s="183">
        <f t="shared" si="25"/>
        <v>0</v>
      </c>
      <c r="AY39" s="187"/>
      <c r="AZ39" s="90"/>
      <c r="BA39" s="90"/>
      <c r="BB39" s="183">
        <f t="shared" si="26"/>
        <v>0</v>
      </c>
      <c r="BC39" s="187"/>
      <c r="BD39" s="90"/>
      <c r="BE39" s="90"/>
      <c r="BF39" s="183">
        <f t="shared" si="27"/>
        <v>0</v>
      </c>
      <c r="BG39" s="187"/>
      <c r="BH39" s="90"/>
      <c r="BI39" s="90"/>
      <c r="BJ39" s="183">
        <f t="shared" si="28"/>
        <v>0</v>
      </c>
      <c r="BK39" s="187"/>
      <c r="BL39" s="90"/>
      <c r="BM39" s="90"/>
      <c r="BN39" s="183">
        <f t="shared" si="29"/>
        <v>0</v>
      </c>
      <c r="BO39" s="187"/>
      <c r="BP39" s="90"/>
      <c r="BQ39" s="90"/>
      <c r="BR39" s="183">
        <f t="shared" si="30"/>
        <v>0</v>
      </c>
      <c r="BS39" s="187"/>
      <c r="BT39" s="90"/>
      <c r="BU39" s="90"/>
      <c r="BV39" s="183">
        <f t="shared" si="31"/>
        <v>0</v>
      </c>
      <c r="BW39" s="187"/>
      <c r="BX39" s="90"/>
      <c r="BY39" s="90"/>
      <c r="BZ39" s="183">
        <f t="shared" si="32"/>
        <v>0</v>
      </c>
      <c r="CA39" s="187"/>
      <c r="CB39" s="90"/>
      <c r="CC39" s="90"/>
      <c r="CD39" s="183">
        <f t="shared" si="33"/>
        <v>0</v>
      </c>
    </row>
    <row r="40" spans="2:82" x14ac:dyDescent="0.3">
      <c r="B40" s="54"/>
      <c r="C40" s="54" t="str">
        <f t="shared" si="0"/>
        <v>CPU_SinalizaçãohorizSAUS</v>
      </c>
      <c r="D40" s="280">
        <f t="shared" si="1"/>
        <v>1</v>
      </c>
      <c r="E40" s="280">
        <f t="shared" si="2"/>
        <v>0</v>
      </c>
      <c r="F40" s="1"/>
      <c r="G40" s="28" t="str">
        <f>IFERROR(VLOOKUP(F40,Tabela7[[RECURSO]:[CUSTO]],2,FALSE),"")</f>
        <v/>
      </c>
      <c r="H40" s="92"/>
      <c r="I40" s="90"/>
      <c r="J40" s="45">
        <f>IFERROR(VLOOKUP(F40,Tabela7[[RECURSO]:[CUSTO]],3,FALSE),0)</f>
        <v>0</v>
      </c>
      <c r="K40" s="45">
        <f>I40*J40*CPU_32[[#This Row],[Nº]]</f>
        <v>0</v>
      </c>
      <c r="AD40" s="144" t="str">
        <f t="shared" si="3"/>
        <v>Sinalização horiz SAUS</v>
      </c>
      <c r="AE40" s="186"/>
      <c r="AF40" s="180">
        <f t="shared" si="35"/>
        <v>0</v>
      </c>
      <c r="AG40" s="180">
        <f t="shared" si="17"/>
        <v>0</v>
      </c>
      <c r="AH40" s="181">
        <f t="shared" si="36"/>
        <v>0</v>
      </c>
      <c r="AI40" s="187"/>
      <c r="AJ40" s="90"/>
      <c r="AK40" s="90"/>
      <c r="AL40" s="183">
        <f t="shared" si="37"/>
        <v>0</v>
      </c>
      <c r="AM40" s="187"/>
      <c r="AN40" s="90"/>
      <c r="AO40" s="90"/>
      <c r="AP40" s="183">
        <f t="shared" si="23"/>
        <v>0</v>
      </c>
      <c r="AQ40" s="187"/>
      <c r="AR40" s="90"/>
      <c r="AS40" s="90"/>
      <c r="AT40" s="183">
        <f t="shared" si="24"/>
        <v>0</v>
      </c>
      <c r="AU40" s="187"/>
      <c r="AV40" s="90"/>
      <c r="AW40" s="90"/>
      <c r="AX40" s="183">
        <f t="shared" si="25"/>
        <v>0</v>
      </c>
      <c r="AY40" s="187"/>
      <c r="AZ40" s="90"/>
      <c r="BA40" s="90"/>
      <c r="BB40" s="183">
        <f t="shared" si="26"/>
        <v>0</v>
      </c>
      <c r="BC40" s="187"/>
      <c r="BD40" s="90"/>
      <c r="BE40" s="90"/>
      <c r="BF40" s="183">
        <f t="shared" si="27"/>
        <v>0</v>
      </c>
      <c r="BG40" s="187"/>
      <c r="BH40" s="90"/>
      <c r="BI40" s="90"/>
      <c r="BJ40" s="183">
        <f t="shared" si="28"/>
        <v>0</v>
      </c>
      <c r="BK40" s="187"/>
      <c r="BL40" s="90"/>
      <c r="BM40" s="90"/>
      <c r="BN40" s="183">
        <f t="shared" si="29"/>
        <v>0</v>
      </c>
      <c r="BO40" s="187"/>
      <c r="BP40" s="90"/>
      <c r="BQ40" s="90"/>
      <c r="BR40" s="183">
        <f t="shared" si="30"/>
        <v>0</v>
      </c>
      <c r="BS40" s="187"/>
      <c r="BT40" s="90"/>
      <c r="BU40" s="90"/>
      <c r="BV40" s="183">
        <f t="shared" si="31"/>
        <v>0</v>
      </c>
      <c r="BW40" s="187"/>
      <c r="BX40" s="90"/>
      <c r="BY40" s="90"/>
      <c r="BZ40" s="183">
        <f t="shared" si="32"/>
        <v>0</v>
      </c>
      <c r="CA40" s="187"/>
      <c r="CB40" s="90"/>
      <c r="CC40" s="90"/>
      <c r="CD40" s="183">
        <f t="shared" si="33"/>
        <v>0</v>
      </c>
    </row>
    <row r="41" spans="2:82" x14ac:dyDescent="0.3">
      <c r="B41" s="54"/>
      <c r="C41" s="54" t="str">
        <f t="shared" si="0"/>
        <v>CPU_SinalizaçãohorizSAUS</v>
      </c>
      <c r="D41" s="280">
        <f t="shared" si="1"/>
        <v>1</v>
      </c>
      <c r="E41" s="280">
        <f t="shared" si="2"/>
        <v>0</v>
      </c>
      <c r="F41" s="1"/>
      <c r="G41" s="28" t="str">
        <f>IFERROR(VLOOKUP(F41,Tabela7[[RECURSO]:[CUSTO]],2,FALSE),"")</f>
        <v/>
      </c>
      <c r="H41" s="92"/>
      <c r="I41" s="90"/>
      <c r="J41" s="45">
        <f>IFERROR(VLOOKUP(F41,Tabela7[[RECURSO]:[CUSTO]],3,FALSE),0)</f>
        <v>0</v>
      </c>
      <c r="K41" s="45">
        <f>I41*J41*CPU_32[[#This Row],[Nº]]</f>
        <v>0</v>
      </c>
      <c r="AD41" s="144" t="str">
        <f t="shared" si="3"/>
        <v>Sinalização horiz SAUS</v>
      </c>
      <c r="AE41" s="186"/>
      <c r="AF41" s="180">
        <f t="shared" si="35"/>
        <v>0</v>
      </c>
      <c r="AG41" s="180">
        <f t="shared" si="17"/>
        <v>0</v>
      </c>
      <c r="AH41" s="181">
        <f t="shared" si="36"/>
        <v>0</v>
      </c>
      <c r="AI41" s="187"/>
      <c r="AJ41" s="90"/>
      <c r="AK41" s="90"/>
      <c r="AL41" s="183">
        <f t="shared" si="37"/>
        <v>0</v>
      </c>
      <c r="AM41" s="187"/>
      <c r="AN41" s="90"/>
      <c r="AO41" s="90"/>
      <c r="AP41" s="183">
        <f t="shared" si="23"/>
        <v>0</v>
      </c>
      <c r="AQ41" s="187"/>
      <c r="AR41" s="90"/>
      <c r="AS41" s="90"/>
      <c r="AT41" s="183">
        <f t="shared" si="24"/>
        <v>0</v>
      </c>
      <c r="AU41" s="187"/>
      <c r="AV41" s="90"/>
      <c r="AW41" s="90"/>
      <c r="AX41" s="183">
        <f t="shared" si="25"/>
        <v>0</v>
      </c>
      <c r="AY41" s="187"/>
      <c r="AZ41" s="90"/>
      <c r="BA41" s="90"/>
      <c r="BB41" s="183">
        <f t="shared" si="26"/>
        <v>0</v>
      </c>
      <c r="BC41" s="187"/>
      <c r="BD41" s="90"/>
      <c r="BE41" s="90"/>
      <c r="BF41" s="183">
        <f t="shared" si="27"/>
        <v>0</v>
      </c>
      <c r="BG41" s="187"/>
      <c r="BH41" s="90"/>
      <c r="BI41" s="90"/>
      <c r="BJ41" s="183">
        <f t="shared" si="28"/>
        <v>0</v>
      </c>
      <c r="BK41" s="187"/>
      <c r="BL41" s="90"/>
      <c r="BM41" s="90"/>
      <c r="BN41" s="183">
        <f t="shared" si="29"/>
        <v>0</v>
      </c>
      <c r="BO41" s="187"/>
      <c r="BP41" s="90"/>
      <c r="BQ41" s="90"/>
      <c r="BR41" s="183">
        <f t="shared" si="30"/>
        <v>0</v>
      </c>
      <c r="BS41" s="187"/>
      <c r="BT41" s="90"/>
      <c r="BU41" s="90"/>
      <c r="BV41" s="183">
        <f t="shared" si="31"/>
        <v>0</v>
      </c>
      <c r="BW41" s="187"/>
      <c r="BX41" s="90"/>
      <c r="BY41" s="90"/>
      <c r="BZ41" s="183">
        <f t="shared" si="32"/>
        <v>0</v>
      </c>
      <c r="CA41" s="187"/>
      <c r="CB41" s="90"/>
      <c r="CC41" s="90"/>
      <c r="CD41" s="183">
        <f t="shared" si="33"/>
        <v>0</v>
      </c>
    </row>
    <row r="42" spans="2:82" x14ac:dyDescent="0.3">
      <c r="B42" s="54"/>
      <c r="C42" s="54" t="str">
        <f t="shared" si="0"/>
        <v>CPU_SinalizaçãohorizSAUS</v>
      </c>
      <c r="D42" s="280">
        <f t="shared" si="1"/>
        <v>1</v>
      </c>
      <c r="E42" s="280">
        <f t="shared" si="2"/>
        <v>0</v>
      </c>
      <c r="F42" s="1"/>
      <c r="G42" s="28" t="str">
        <f>IFERROR(VLOOKUP(F42,Tabela7[[RECURSO]:[CUSTO]],2,FALSE),"")</f>
        <v/>
      </c>
      <c r="H42" s="92"/>
      <c r="I42" s="90"/>
      <c r="J42" s="45">
        <f>IFERROR(VLOOKUP(F42,Tabela7[[RECURSO]:[CUSTO]],3,FALSE),0)</f>
        <v>0</v>
      </c>
      <c r="K42" s="45">
        <f>I42*J42*CPU_32[[#This Row],[Nº]]</f>
        <v>0</v>
      </c>
      <c r="AD42" s="144" t="str">
        <f t="shared" si="3"/>
        <v>Sinalização horiz SAUS</v>
      </c>
      <c r="AE42" s="186"/>
      <c r="AF42" s="180">
        <f t="shared" si="35"/>
        <v>0</v>
      </c>
      <c r="AG42" s="180">
        <f t="shared" si="17"/>
        <v>0</v>
      </c>
      <c r="AH42" s="181">
        <f t="shared" si="36"/>
        <v>0</v>
      </c>
      <c r="AI42" s="187"/>
      <c r="AJ42" s="90"/>
      <c r="AK42" s="90"/>
      <c r="AL42" s="183">
        <f t="shared" si="37"/>
        <v>0</v>
      </c>
      <c r="AM42" s="187"/>
      <c r="AN42" s="90"/>
      <c r="AO42" s="90"/>
      <c r="AP42" s="183">
        <f t="shared" si="23"/>
        <v>0</v>
      </c>
      <c r="AQ42" s="187"/>
      <c r="AR42" s="90"/>
      <c r="AS42" s="90"/>
      <c r="AT42" s="183">
        <f t="shared" si="24"/>
        <v>0</v>
      </c>
      <c r="AU42" s="187"/>
      <c r="AV42" s="90"/>
      <c r="AW42" s="90"/>
      <c r="AX42" s="183">
        <f t="shared" si="25"/>
        <v>0</v>
      </c>
      <c r="AY42" s="187"/>
      <c r="AZ42" s="90"/>
      <c r="BA42" s="90"/>
      <c r="BB42" s="183">
        <f t="shared" si="26"/>
        <v>0</v>
      </c>
      <c r="BC42" s="187"/>
      <c r="BD42" s="90"/>
      <c r="BE42" s="90"/>
      <c r="BF42" s="183">
        <f t="shared" si="27"/>
        <v>0</v>
      </c>
      <c r="BG42" s="187"/>
      <c r="BH42" s="90"/>
      <c r="BI42" s="90"/>
      <c r="BJ42" s="183">
        <f t="shared" si="28"/>
        <v>0</v>
      </c>
      <c r="BK42" s="187"/>
      <c r="BL42" s="90"/>
      <c r="BM42" s="90"/>
      <c r="BN42" s="183">
        <f t="shared" si="29"/>
        <v>0</v>
      </c>
      <c r="BO42" s="187"/>
      <c r="BP42" s="90"/>
      <c r="BQ42" s="90"/>
      <c r="BR42" s="183">
        <f t="shared" si="30"/>
        <v>0</v>
      </c>
      <c r="BS42" s="187"/>
      <c r="BT42" s="90"/>
      <c r="BU42" s="90"/>
      <c r="BV42" s="183">
        <f t="shared" si="31"/>
        <v>0</v>
      </c>
      <c r="BW42" s="187"/>
      <c r="BX42" s="90"/>
      <c r="BY42" s="90"/>
      <c r="BZ42" s="183">
        <f t="shared" si="32"/>
        <v>0</v>
      </c>
      <c r="CA42" s="187"/>
      <c r="CB42" s="90"/>
      <c r="CC42" s="90"/>
      <c r="CD42" s="183">
        <f t="shared" si="33"/>
        <v>0</v>
      </c>
    </row>
    <row r="43" spans="2:82" x14ac:dyDescent="0.3">
      <c r="B43" s="54"/>
      <c r="C43" s="54" t="str">
        <f t="shared" si="0"/>
        <v>CPU_SinalizaçãohorizSAUS</v>
      </c>
      <c r="D43" s="280">
        <f t="shared" si="1"/>
        <v>1</v>
      </c>
      <c r="E43" s="280">
        <f t="shared" si="2"/>
        <v>0</v>
      </c>
      <c r="F43" s="1"/>
      <c r="G43" s="28" t="str">
        <f>IFERROR(VLOOKUP(F43,Tabela7[[RECURSO]:[CUSTO]],2,FALSE),"")</f>
        <v/>
      </c>
      <c r="H43" s="92"/>
      <c r="I43" s="90"/>
      <c r="J43" s="45">
        <f>IFERROR(VLOOKUP(F43,Tabela7[[RECURSO]:[CUSTO]],3,FALSE),0)</f>
        <v>0</v>
      </c>
      <c r="K43" s="45">
        <f>I43*J43*CPU_32[[#This Row],[Nº]]</f>
        <v>0</v>
      </c>
      <c r="AD43" s="144" t="str">
        <f t="shared" si="3"/>
        <v>Sinalização horiz SAUS</v>
      </c>
      <c r="AE43" s="186"/>
      <c r="AF43" s="180">
        <f t="shared" si="35"/>
        <v>0</v>
      </c>
      <c r="AG43" s="180">
        <f t="shared" si="17"/>
        <v>0</v>
      </c>
      <c r="AH43" s="181">
        <f t="shared" si="36"/>
        <v>0</v>
      </c>
      <c r="AI43" s="187"/>
      <c r="AJ43" s="90"/>
      <c r="AK43" s="90"/>
      <c r="AL43" s="183">
        <f t="shared" si="37"/>
        <v>0</v>
      </c>
      <c r="AM43" s="187"/>
      <c r="AN43" s="90"/>
      <c r="AO43" s="90"/>
      <c r="AP43" s="183">
        <f t="shared" si="23"/>
        <v>0</v>
      </c>
      <c r="AQ43" s="187"/>
      <c r="AR43" s="90"/>
      <c r="AS43" s="90"/>
      <c r="AT43" s="183">
        <f t="shared" si="24"/>
        <v>0</v>
      </c>
      <c r="AU43" s="187"/>
      <c r="AV43" s="90"/>
      <c r="AW43" s="90"/>
      <c r="AX43" s="183">
        <f t="shared" si="25"/>
        <v>0</v>
      </c>
      <c r="AY43" s="187"/>
      <c r="AZ43" s="90"/>
      <c r="BA43" s="90"/>
      <c r="BB43" s="183">
        <f t="shared" si="26"/>
        <v>0</v>
      </c>
      <c r="BC43" s="187"/>
      <c r="BD43" s="90"/>
      <c r="BE43" s="90"/>
      <c r="BF43" s="183">
        <f t="shared" si="27"/>
        <v>0</v>
      </c>
      <c r="BG43" s="187"/>
      <c r="BH43" s="90"/>
      <c r="BI43" s="90"/>
      <c r="BJ43" s="183">
        <f t="shared" si="28"/>
        <v>0</v>
      </c>
      <c r="BK43" s="187"/>
      <c r="BL43" s="90"/>
      <c r="BM43" s="90"/>
      <c r="BN43" s="183">
        <f t="shared" si="29"/>
        <v>0</v>
      </c>
      <c r="BO43" s="187"/>
      <c r="BP43" s="90"/>
      <c r="BQ43" s="90"/>
      <c r="BR43" s="183">
        <f t="shared" si="30"/>
        <v>0</v>
      </c>
      <c r="BS43" s="187"/>
      <c r="BT43" s="90"/>
      <c r="BU43" s="90"/>
      <c r="BV43" s="183">
        <f t="shared" si="31"/>
        <v>0</v>
      </c>
      <c r="BW43" s="187"/>
      <c r="BX43" s="90"/>
      <c r="BY43" s="90"/>
      <c r="BZ43" s="183">
        <f t="shared" si="32"/>
        <v>0</v>
      </c>
      <c r="CA43" s="187"/>
      <c r="CB43" s="90"/>
      <c r="CC43" s="90"/>
      <c r="CD43" s="183">
        <f t="shared" si="33"/>
        <v>0</v>
      </c>
    </row>
    <row r="44" spans="2:82" x14ac:dyDescent="0.3">
      <c r="B44" s="54"/>
      <c r="C44" s="54" t="str">
        <f t="shared" si="0"/>
        <v>CPU_SinalizaçãohorizSAUS</v>
      </c>
      <c r="D44" s="280">
        <f t="shared" si="1"/>
        <v>1</v>
      </c>
      <c r="E44" s="280">
        <f t="shared" si="2"/>
        <v>0</v>
      </c>
      <c r="F44" s="1"/>
      <c r="G44" s="28" t="str">
        <f>IFERROR(VLOOKUP(F44,Tabela7[[RECURSO]:[CUSTO]],2,FALSE),"")</f>
        <v/>
      </c>
      <c r="H44" s="92"/>
      <c r="I44" s="90"/>
      <c r="J44" s="45">
        <f>IFERROR(VLOOKUP(F44,Tabela7[[RECURSO]:[CUSTO]],3,FALSE),0)</f>
        <v>0</v>
      </c>
      <c r="K44" s="45">
        <f>I44*J44*CPU_32[[#This Row],[Nº]]</f>
        <v>0</v>
      </c>
      <c r="AD44" s="144" t="str">
        <f t="shared" si="3"/>
        <v>Sinalização horiz SAUS</v>
      </c>
      <c r="AE44" s="186"/>
      <c r="AF44" s="180">
        <f t="shared" si="35"/>
        <v>0</v>
      </c>
      <c r="AG44" s="180">
        <f t="shared" si="17"/>
        <v>0</v>
      </c>
      <c r="AH44" s="181">
        <f t="shared" si="36"/>
        <v>0</v>
      </c>
      <c r="AI44" s="187"/>
      <c r="AJ44" s="90"/>
      <c r="AK44" s="90"/>
      <c r="AL44" s="183">
        <f t="shared" si="37"/>
        <v>0</v>
      </c>
      <c r="AM44" s="187"/>
      <c r="AN44" s="90"/>
      <c r="AO44" s="90"/>
      <c r="AP44" s="183">
        <f t="shared" si="23"/>
        <v>0</v>
      </c>
      <c r="AQ44" s="187"/>
      <c r="AR44" s="90"/>
      <c r="AS44" s="90"/>
      <c r="AT44" s="183">
        <f t="shared" si="24"/>
        <v>0</v>
      </c>
      <c r="AU44" s="187"/>
      <c r="AV44" s="90"/>
      <c r="AW44" s="90"/>
      <c r="AX44" s="183">
        <f t="shared" si="25"/>
        <v>0</v>
      </c>
      <c r="AY44" s="187"/>
      <c r="AZ44" s="90"/>
      <c r="BA44" s="90"/>
      <c r="BB44" s="183">
        <f t="shared" si="26"/>
        <v>0</v>
      </c>
      <c r="BC44" s="187"/>
      <c r="BD44" s="90"/>
      <c r="BE44" s="90"/>
      <c r="BF44" s="183">
        <f t="shared" si="27"/>
        <v>0</v>
      </c>
      <c r="BG44" s="187"/>
      <c r="BH44" s="90"/>
      <c r="BI44" s="90"/>
      <c r="BJ44" s="183">
        <f t="shared" si="28"/>
        <v>0</v>
      </c>
      <c r="BK44" s="187"/>
      <c r="BL44" s="90"/>
      <c r="BM44" s="90"/>
      <c r="BN44" s="183">
        <f t="shared" si="29"/>
        <v>0</v>
      </c>
      <c r="BO44" s="187"/>
      <c r="BP44" s="90"/>
      <c r="BQ44" s="90"/>
      <c r="BR44" s="183">
        <f t="shared" si="30"/>
        <v>0</v>
      </c>
      <c r="BS44" s="187"/>
      <c r="BT44" s="90"/>
      <c r="BU44" s="90"/>
      <c r="BV44" s="183">
        <f t="shared" si="31"/>
        <v>0</v>
      </c>
      <c r="BW44" s="187"/>
      <c r="BX44" s="90"/>
      <c r="BY44" s="90"/>
      <c r="BZ44" s="183">
        <f t="shared" si="32"/>
        <v>0</v>
      </c>
      <c r="CA44" s="187"/>
      <c r="CB44" s="90"/>
      <c r="CC44" s="90"/>
      <c r="CD44" s="183">
        <f t="shared" si="33"/>
        <v>0</v>
      </c>
    </row>
    <row r="45" spans="2:82" x14ac:dyDescent="0.3">
      <c r="B45" s="53"/>
      <c r="C45" s="53" t="str">
        <f t="shared" si="0"/>
        <v>CPU_SinalizaçãohorizSAUS</v>
      </c>
      <c r="D45" s="278">
        <f t="shared" si="1"/>
        <v>1</v>
      </c>
      <c r="E45" s="278">
        <f t="shared" si="2"/>
        <v>0</v>
      </c>
      <c r="F45" s="1"/>
      <c r="G45" s="28" t="str">
        <f>IFERROR(VLOOKUP(F45,Tabela7[[RECURSO]:[CUSTO]],2,FALSE),"")</f>
        <v/>
      </c>
      <c r="H45" s="92"/>
      <c r="I45" s="90"/>
      <c r="J45" s="45">
        <f>IFERROR(VLOOKUP(F45,Tabela7[[RECURSO]:[CUSTO]],3,FALSE),0)</f>
        <v>0</v>
      </c>
      <c r="K45" s="45">
        <f>I45*J45*CPU_32[[#This Row],[Nº]]</f>
        <v>0</v>
      </c>
      <c r="AD45" s="144" t="str">
        <f t="shared" si="3"/>
        <v>Sinalização horiz SAUS</v>
      </c>
      <c r="AE45" s="188"/>
      <c r="AF45" s="180">
        <f t="shared" si="35"/>
        <v>0</v>
      </c>
      <c r="AG45" s="180">
        <f t="shared" si="17"/>
        <v>0</v>
      </c>
      <c r="AH45" s="181">
        <f t="shared" si="36"/>
        <v>0</v>
      </c>
      <c r="AI45" s="189"/>
      <c r="AJ45" s="90"/>
      <c r="AK45" s="90"/>
      <c r="AL45" s="183">
        <f t="shared" si="37"/>
        <v>0</v>
      </c>
      <c r="AM45" s="189"/>
      <c r="AN45" s="90"/>
      <c r="AO45" s="90"/>
      <c r="AP45" s="183">
        <f t="shared" si="23"/>
        <v>0</v>
      </c>
      <c r="AQ45" s="189"/>
      <c r="AR45" s="90"/>
      <c r="AS45" s="90"/>
      <c r="AT45" s="183">
        <f t="shared" si="24"/>
        <v>0</v>
      </c>
      <c r="AU45" s="189"/>
      <c r="AV45" s="90"/>
      <c r="AW45" s="90"/>
      <c r="AX45" s="183">
        <f t="shared" si="25"/>
        <v>0</v>
      </c>
      <c r="AY45" s="189"/>
      <c r="AZ45" s="90"/>
      <c r="BA45" s="90"/>
      <c r="BB45" s="183">
        <f t="shared" si="26"/>
        <v>0</v>
      </c>
      <c r="BC45" s="189"/>
      <c r="BD45" s="90"/>
      <c r="BE45" s="90"/>
      <c r="BF45" s="183">
        <f t="shared" si="27"/>
        <v>0</v>
      </c>
      <c r="BG45" s="189"/>
      <c r="BH45" s="90"/>
      <c r="BI45" s="90"/>
      <c r="BJ45" s="183">
        <f t="shared" si="28"/>
        <v>0</v>
      </c>
      <c r="BK45" s="189"/>
      <c r="BL45" s="90"/>
      <c r="BM45" s="90"/>
      <c r="BN45" s="183">
        <f t="shared" si="29"/>
        <v>0</v>
      </c>
      <c r="BO45" s="189"/>
      <c r="BP45" s="90"/>
      <c r="BQ45" s="90"/>
      <c r="BR45" s="183">
        <f t="shared" si="30"/>
        <v>0</v>
      </c>
      <c r="BS45" s="189"/>
      <c r="BT45" s="90"/>
      <c r="BU45" s="90"/>
      <c r="BV45" s="183">
        <f t="shared" si="31"/>
        <v>0</v>
      </c>
      <c r="BW45" s="189"/>
      <c r="BX45" s="90"/>
      <c r="BY45" s="90"/>
      <c r="BZ45" s="183">
        <f t="shared" si="32"/>
        <v>0</v>
      </c>
      <c r="CA45" s="189"/>
      <c r="CB45" s="90"/>
      <c r="CC45" s="90"/>
      <c r="CD45" s="183">
        <f t="shared" si="33"/>
        <v>0</v>
      </c>
    </row>
    <row r="46" spans="2:82" x14ac:dyDescent="0.3">
      <c r="B46" s="53"/>
      <c r="C46" s="53" t="str">
        <f t="shared" si="0"/>
        <v>CPU_SinalizaçãohorizSAUS</v>
      </c>
      <c r="D46" s="278">
        <f t="shared" si="1"/>
        <v>1</v>
      </c>
      <c r="E46" s="278">
        <f t="shared" si="2"/>
        <v>0</v>
      </c>
      <c r="F46" s="1"/>
      <c r="G46" s="28" t="str">
        <f>IFERROR(VLOOKUP(F46,Tabela7[[RECURSO]:[CUSTO]],2,FALSE),"")</f>
        <v/>
      </c>
      <c r="H46" s="92"/>
      <c r="I46" s="90"/>
      <c r="J46" s="45">
        <f>IFERROR(VLOOKUP(F46,Tabela7[[RECURSO]:[CUSTO]],3,FALSE),0)</f>
        <v>0</v>
      </c>
      <c r="K46" s="45">
        <f>I46*J46*CPU_32[[#This Row],[Nº]]</f>
        <v>0</v>
      </c>
      <c r="AD46" s="144" t="str">
        <f t="shared" si="3"/>
        <v>Sinalização horiz SAUS</v>
      </c>
      <c r="AE46" s="188"/>
      <c r="AF46" s="180">
        <f t="shared" si="35"/>
        <v>0</v>
      </c>
      <c r="AG46" s="180">
        <f t="shared" si="17"/>
        <v>0</v>
      </c>
      <c r="AH46" s="181">
        <f t="shared" si="36"/>
        <v>0</v>
      </c>
      <c r="AI46" s="189"/>
      <c r="AJ46" s="90"/>
      <c r="AK46" s="90"/>
      <c r="AL46" s="183">
        <f t="shared" si="37"/>
        <v>0</v>
      </c>
      <c r="AM46" s="189"/>
      <c r="AN46" s="90"/>
      <c r="AO46" s="90"/>
      <c r="AP46" s="183">
        <f t="shared" si="23"/>
        <v>0</v>
      </c>
      <c r="AQ46" s="189"/>
      <c r="AR46" s="90"/>
      <c r="AS46" s="90"/>
      <c r="AT46" s="183">
        <f t="shared" si="24"/>
        <v>0</v>
      </c>
      <c r="AU46" s="189"/>
      <c r="AV46" s="90"/>
      <c r="AW46" s="90"/>
      <c r="AX46" s="183">
        <f t="shared" si="25"/>
        <v>0</v>
      </c>
      <c r="AY46" s="189"/>
      <c r="AZ46" s="90"/>
      <c r="BA46" s="90"/>
      <c r="BB46" s="183">
        <f t="shared" si="26"/>
        <v>0</v>
      </c>
      <c r="BC46" s="189"/>
      <c r="BD46" s="90"/>
      <c r="BE46" s="90"/>
      <c r="BF46" s="183">
        <f t="shared" si="27"/>
        <v>0</v>
      </c>
      <c r="BG46" s="189"/>
      <c r="BH46" s="90"/>
      <c r="BI46" s="90"/>
      <c r="BJ46" s="183">
        <f t="shared" si="28"/>
        <v>0</v>
      </c>
      <c r="BK46" s="189"/>
      <c r="BL46" s="90"/>
      <c r="BM46" s="90"/>
      <c r="BN46" s="183">
        <f t="shared" si="29"/>
        <v>0</v>
      </c>
      <c r="BO46" s="189"/>
      <c r="BP46" s="90"/>
      <c r="BQ46" s="90"/>
      <c r="BR46" s="183">
        <f t="shared" si="30"/>
        <v>0</v>
      </c>
      <c r="BS46" s="189"/>
      <c r="BT46" s="90"/>
      <c r="BU46" s="90"/>
      <c r="BV46" s="183">
        <f t="shared" si="31"/>
        <v>0</v>
      </c>
      <c r="BW46" s="189"/>
      <c r="BX46" s="90"/>
      <c r="BY46" s="90"/>
      <c r="BZ46" s="183">
        <f t="shared" si="32"/>
        <v>0</v>
      </c>
      <c r="CA46" s="189"/>
      <c r="CB46" s="90"/>
      <c r="CC46" s="90"/>
      <c r="CD46" s="183">
        <f t="shared" si="33"/>
        <v>0</v>
      </c>
    </row>
    <row r="47" spans="2:82" x14ac:dyDescent="0.3">
      <c r="B47" s="53"/>
      <c r="C47" s="53" t="str">
        <f t="shared" si="0"/>
        <v>CPU_SinalizaçãohorizSAUS</v>
      </c>
      <c r="D47" s="278">
        <f t="shared" si="1"/>
        <v>1</v>
      </c>
      <c r="E47" s="278">
        <f t="shared" si="2"/>
        <v>0</v>
      </c>
      <c r="F47" s="1"/>
      <c r="G47" s="28" t="str">
        <f>IFERROR(VLOOKUP(F47,Tabela7[[RECURSO]:[CUSTO]],2,FALSE),"")</f>
        <v/>
      </c>
      <c r="H47" s="92"/>
      <c r="I47" s="90"/>
      <c r="J47" s="45">
        <f>IFERROR(VLOOKUP(F47,Tabela7[[RECURSO]:[CUSTO]],3,FALSE),0)</f>
        <v>0</v>
      </c>
      <c r="K47" s="45">
        <f>I47*J47*CPU_32[[#This Row],[Nº]]</f>
        <v>0</v>
      </c>
      <c r="AD47" s="144" t="str">
        <f t="shared" si="3"/>
        <v>Sinalização horiz SAUS</v>
      </c>
      <c r="AE47" s="188"/>
      <c r="AF47" s="180">
        <f t="shared" si="35"/>
        <v>0</v>
      </c>
      <c r="AG47" s="180">
        <f t="shared" si="17"/>
        <v>0</v>
      </c>
      <c r="AH47" s="181">
        <f t="shared" si="36"/>
        <v>0</v>
      </c>
      <c r="AI47" s="189"/>
      <c r="AJ47" s="90"/>
      <c r="AK47" s="90"/>
      <c r="AL47" s="183">
        <f t="shared" si="37"/>
        <v>0</v>
      </c>
      <c r="AM47" s="189"/>
      <c r="AN47" s="90"/>
      <c r="AO47" s="90"/>
      <c r="AP47" s="183">
        <f t="shared" si="23"/>
        <v>0</v>
      </c>
      <c r="AQ47" s="189"/>
      <c r="AR47" s="90"/>
      <c r="AS47" s="90"/>
      <c r="AT47" s="183">
        <f t="shared" si="24"/>
        <v>0</v>
      </c>
      <c r="AU47" s="189"/>
      <c r="AV47" s="90"/>
      <c r="AW47" s="90"/>
      <c r="AX47" s="183">
        <f t="shared" si="25"/>
        <v>0</v>
      </c>
      <c r="AY47" s="189"/>
      <c r="AZ47" s="90"/>
      <c r="BA47" s="90"/>
      <c r="BB47" s="183">
        <f t="shared" si="26"/>
        <v>0</v>
      </c>
      <c r="BC47" s="189"/>
      <c r="BD47" s="90"/>
      <c r="BE47" s="90"/>
      <c r="BF47" s="183">
        <f t="shared" si="27"/>
        <v>0</v>
      </c>
      <c r="BG47" s="189"/>
      <c r="BH47" s="90"/>
      <c r="BI47" s="90"/>
      <c r="BJ47" s="183">
        <f t="shared" si="28"/>
        <v>0</v>
      </c>
      <c r="BK47" s="189"/>
      <c r="BL47" s="90"/>
      <c r="BM47" s="90"/>
      <c r="BN47" s="183">
        <f t="shared" si="29"/>
        <v>0</v>
      </c>
      <c r="BO47" s="189"/>
      <c r="BP47" s="90"/>
      <c r="BQ47" s="90"/>
      <c r="BR47" s="183">
        <f t="shared" si="30"/>
        <v>0</v>
      </c>
      <c r="BS47" s="189"/>
      <c r="BT47" s="90"/>
      <c r="BU47" s="90"/>
      <c r="BV47" s="183">
        <f t="shared" si="31"/>
        <v>0</v>
      </c>
      <c r="BW47" s="189"/>
      <c r="BX47" s="90"/>
      <c r="BY47" s="90"/>
      <c r="BZ47" s="183">
        <f t="shared" si="32"/>
        <v>0</v>
      </c>
      <c r="CA47" s="189"/>
      <c r="CB47" s="90"/>
      <c r="CC47" s="90"/>
      <c r="CD47" s="183">
        <f t="shared" si="33"/>
        <v>0</v>
      </c>
    </row>
    <row r="48" spans="2:82" x14ac:dyDescent="0.3">
      <c r="B48" s="53"/>
      <c r="C48" s="53" t="str">
        <f t="shared" si="0"/>
        <v>CPU_SinalizaçãohorizSAUS</v>
      </c>
      <c r="D48" s="278">
        <f t="shared" si="1"/>
        <v>1</v>
      </c>
      <c r="E48" s="278">
        <f t="shared" si="2"/>
        <v>0</v>
      </c>
      <c r="F48" s="1"/>
      <c r="G48" s="28" t="str">
        <f>IFERROR(VLOOKUP(F48,Tabela7[[RECURSO]:[CUSTO]],2,FALSE),"")</f>
        <v/>
      </c>
      <c r="H48" s="92"/>
      <c r="I48" s="90"/>
      <c r="J48" s="45">
        <f>IFERROR(VLOOKUP(F48,Tabela7[[RECURSO]:[CUSTO]],3,FALSE),0)</f>
        <v>0</v>
      </c>
      <c r="K48" s="45">
        <f>I48*J48*CPU_32[[#This Row],[Nº]]</f>
        <v>0</v>
      </c>
      <c r="AD48" s="144" t="str">
        <f t="shared" si="3"/>
        <v>Sinalização horiz SAUS</v>
      </c>
      <c r="AE48" s="188"/>
      <c r="AF48" s="180">
        <f t="shared" si="35"/>
        <v>0</v>
      </c>
      <c r="AG48" s="180">
        <f t="shared" si="17"/>
        <v>0</v>
      </c>
      <c r="AH48" s="181">
        <f t="shared" si="36"/>
        <v>0</v>
      </c>
      <c r="AI48" s="189"/>
      <c r="AJ48" s="90"/>
      <c r="AK48" s="90"/>
      <c r="AL48" s="183">
        <f t="shared" si="37"/>
        <v>0</v>
      </c>
      <c r="AM48" s="189"/>
      <c r="AN48" s="90"/>
      <c r="AO48" s="90"/>
      <c r="AP48" s="183">
        <f t="shared" si="23"/>
        <v>0</v>
      </c>
      <c r="AQ48" s="189"/>
      <c r="AR48" s="90"/>
      <c r="AS48" s="90"/>
      <c r="AT48" s="183">
        <f t="shared" si="24"/>
        <v>0</v>
      </c>
      <c r="AU48" s="189"/>
      <c r="AV48" s="90"/>
      <c r="AW48" s="90"/>
      <c r="AX48" s="183">
        <f t="shared" si="25"/>
        <v>0</v>
      </c>
      <c r="AY48" s="189"/>
      <c r="AZ48" s="90"/>
      <c r="BA48" s="90"/>
      <c r="BB48" s="183">
        <f t="shared" si="26"/>
        <v>0</v>
      </c>
      <c r="BC48" s="189"/>
      <c r="BD48" s="90"/>
      <c r="BE48" s="90"/>
      <c r="BF48" s="183">
        <f t="shared" si="27"/>
        <v>0</v>
      </c>
      <c r="BG48" s="189"/>
      <c r="BH48" s="90"/>
      <c r="BI48" s="90"/>
      <c r="BJ48" s="183">
        <f t="shared" si="28"/>
        <v>0</v>
      </c>
      <c r="BK48" s="189"/>
      <c r="BL48" s="90"/>
      <c r="BM48" s="90"/>
      <c r="BN48" s="183">
        <f t="shared" si="29"/>
        <v>0</v>
      </c>
      <c r="BO48" s="189"/>
      <c r="BP48" s="90"/>
      <c r="BQ48" s="90"/>
      <c r="BR48" s="183">
        <f t="shared" si="30"/>
        <v>0</v>
      </c>
      <c r="BS48" s="189"/>
      <c r="BT48" s="90"/>
      <c r="BU48" s="90"/>
      <c r="BV48" s="183">
        <f t="shared" si="31"/>
        <v>0</v>
      </c>
      <c r="BW48" s="189"/>
      <c r="BX48" s="90"/>
      <c r="BY48" s="90"/>
      <c r="BZ48" s="183">
        <f t="shared" si="32"/>
        <v>0</v>
      </c>
      <c r="CA48" s="189"/>
      <c r="CB48" s="90"/>
      <c r="CC48" s="90"/>
      <c r="CD48" s="183">
        <f t="shared" si="33"/>
        <v>0</v>
      </c>
    </row>
    <row r="49" spans="2:82" ht="15" thickBot="1" x14ac:dyDescent="0.35">
      <c r="B49" s="53"/>
      <c r="C49" s="53" t="str">
        <f t="shared" si="0"/>
        <v>CPU_SinalizaçãohorizSAUS</v>
      </c>
      <c r="D49" s="278">
        <f t="shared" si="1"/>
        <v>1</v>
      </c>
      <c r="E49" s="278">
        <f t="shared" si="2"/>
        <v>0</v>
      </c>
      <c r="F49" s="1"/>
      <c r="G49" s="28" t="str">
        <f>IFERROR(VLOOKUP(F49,Tabela7[[RECURSO]:[CUSTO]],2,FALSE),"")</f>
        <v/>
      </c>
      <c r="H49" s="92"/>
      <c r="I49" s="90"/>
      <c r="J49" s="45">
        <f>IFERROR(VLOOKUP(F49,Tabela7[[RECURSO]:[CUSTO]],3,FALSE),0)</f>
        <v>0</v>
      </c>
      <c r="K49" s="45">
        <f>I49*J49*CPU_32[[#This Row],[Nº]]</f>
        <v>0</v>
      </c>
      <c r="M49" s="83" t="s">
        <v>701</v>
      </c>
      <c r="N49" s="87" t="s">
        <v>702</v>
      </c>
      <c r="AD49" s="144" t="str">
        <f t="shared" si="3"/>
        <v>Sinalização horiz SAUS</v>
      </c>
      <c r="AE49" s="188"/>
      <c r="AF49" s="180">
        <f t="shared" si="35"/>
        <v>0</v>
      </c>
      <c r="AG49" s="180">
        <f t="shared" si="17"/>
        <v>0</v>
      </c>
      <c r="AH49" s="181">
        <f t="shared" si="36"/>
        <v>0</v>
      </c>
      <c r="AI49" s="189"/>
      <c r="AJ49" s="90"/>
      <c r="AK49" s="90"/>
      <c r="AL49" s="183">
        <f t="shared" si="37"/>
        <v>0</v>
      </c>
      <c r="AM49" s="189"/>
      <c r="AN49" s="90"/>
      <c r="AO49" s="90"/>
      <c r="AP49" s="183">
        <f t="shared" si="23"/>
        <v>0</v>
      </c>
      <c r="AQ49" s="189"/>
      <c r="AR49" s="90"/>
      <c r="AS49" s="90"/>
      <c r="AT49" s="183">
        <f t="shared" si="24"/>
        <v>0</v>
      </c>
      <c r="AU49" s="189"/>
      <c r="AV49" s="90"/>
      <c r="AW49" s="90"/>
      <c r="AX49" s="183">
        <f t="shared" si="25"/>
        <v>0</v>
      </c>
      <c r="AY49" s="189"/>
      <c r="AZ49" s="90"/>
      <c r="BA49" s="90"/>
      <c r="BB49" s="183">
        <f t="shared" si="26"/>
        <v>0</v>
      </c>
      <c r="BC49" s="189"/>
      <c r="BD49" s="90"/>
      <c r="BE49" s="90"/>
      <c r="BF49" s="183">
        <f t="shared" si="27"/>
        <v>0</v>
      </c>
      <c r="BG49" s="189"/>
      <c r="BH49" s="90"/>
      <c r="BI49" s="90"/>
      <c r="BJ49" s="183">
        <f t="shared" si="28"/>
        <v>0</v>
      </c>
      <c r="BK49" s="189"/>
      <c r="BL49" s="90"/>
      <c r="BM49" s="90"/>
      <c r="BN49" s="183">
        <f t="shared" si="29"/>
        <v>0</v>
      </c>
      <c r="BO49" s="189"/>
      <c r="BP49" s="90"/>
      <c r="BQ49" s="90"/>
      <c r="BR49" s="183">
        <f t="shared" si="30"/>
        <v>0</v>
      </c>
      <c r="BS49" s="189"/>
      <c r="BT49" s="90"/>
      <c r="BU49" s="90"/>
      <c r="BV49" s="183">
        <f t="shared" si="31"/>
        <v>0</v>
      </c>
      <c r="BW49" s="189"/>
      <c r="BX49" s="90"/>
      <c r="BY49" s="90"/>
      <c r="BZ49" s="183">
        <f t="shared" si="32"/>
        <v>0</v>
      </c>
      <c r="CA49" s="189"/>
      <c r="CB49" s="90"/>
      <c r="CC49" s="90"/>
      <c r="CD49" s="183">
        <f t="shared" si="33"/>
        <v>0</v>
      </c>
    </row>
    <row r="50" spans="2:82" x14ac:dyDescent="0.3">
      <c r="B50" s="52" t="s">
        <v>693</v>
      </c>
      <c r="C50" s="52" t="str">
        <f t="shared" si="0"/>
        <v>CPU_SinalizaçãohorizSAUS</v>
      </c>
      <c r="D50" s="277">
        <f t="shared" si="1"/>
        <v>1</v>
      </c>
      <c r="E50" s="277">
        <f t="shared" si="2"/>
        <v>0</v>
      </c>
      <c r="F50" s="37"/>
      <c r="G50" s="38"/>
      <c r="H50" s="38"/>
      <c r="I50" s="37"/>
      <c r="J50" s="40">
        <f>IFERROR(K50/$B$6,0)</f>
        <v>26558.355555555558</v>
      </c>
      <c r="K50" s="40">
        <f>SUM(K51:K62)</f>
        <v>26558.355555555558</v>
      </c>
      <c r="M50" s="84" t="str">
        <f>"Consumo por "&amp;J3</f>
        <v>Consumo por UNID</v>
      </c>
      <c r="N50" s="89"/>
      <c r="O50" s="339" t="s">
        <v>771</v>
      </c>
      <c r="P50" s="340" t="s">
        <v>772</v>
      </c>
      <c r="Q50" s="340" t="s">
        <v>773</v>
      </c>
      <c r="R50" s="340" t="s">
        <v>774</v>
      </c>
      <c r="S50" s="340" t="s">
        <v>775</v>
      </c>
      <c r="T50" s="340" t="s">
        <v>776</v>
      </c>
      <c r="U50" s="340" t="s">
        <v>777</v>
      </c>
      <c r="V50" s="340" t="s">
        <v>778</v>
      </c>
      <c r="W50" s="341" t="s">
        <v>779</v>
      </c>
      <c r="AD50" s="144" t="str">
        <f t="shared" si="3"/>
        <v>Sinalização horiz SAUS</v>
      </c>
      <c r="AE50" s="190"/>
      <c r="AF50" s="191"/>
      <c r="AG50" s="40">
        <f>IFERROR(AH50/AF$3,0)</f>
        <v>0</v>
      </c>
      <c r="AH50" s="185">
        <f>SUM(AH51:AH62)</f>
        <v>0</v>
      </c>
      <c r="AI50" s="190"/>
      <c r="AJ50" s="37"/>
      <c r="AK50" s="40">
        <f>IFERROR(AL50/AJ$3,0)</f>
        <v>0</v>
      </c>
      <c r="AL50" s="185">
        <f>SUM(AL51:AL62)</f>
        <v>0</v>
      </c>
      <c r="AM50" s="190"/>
      <c r="AN50" s="37"/>
      <c r="AO50" s="40">
        <f>IFERROR(AP50/AN$3,0)</f>
        <v>0</v>
      </c>
      <c r="AP50" s="185">
        <f>SUM(AP51:AP62)</f>
        <v>0</v>
      </c>
      <c r="AQ50" s="190"/>
      <c r="AR50" s="37"/>
      <c r="AS50" s="40">
        <f>IFERROR(AT50/AR$3,0)</f>
        <v>0</v>
      </c>
      <c r="AT50" s="185">
        <f>SUM(AT51:AT62)</f>
        <v>0</v>
      </c>
      <c r="AU50" s="190"/>
      <c r="AV50" s="37"/>
      <c r="AW50" s="40">
        <f>IFERROR(AX50/AV$3,0)</f>
        <v>0</v>
      </c>
      <c r="AX50" s="185">
        <f>SUM(AX51:AX62)</f>
        <v>0</v>
      </c>
      <c r="AY50" s="190"/>
      <c r="AZ50" s="37"/>
      <c r="BA50" s="40">
        <f>IFERROR(BB50/AZ$3,0)</f>
        <v>0</v>
      </c>
      <c r="BB50" s="185">
        <f>SUM(BB51:BB62)</f>
        <v>0</v>
      </c>
      <c r="BC50" s="190"/>
      <c r="BD50" s="37"/>
      <c r="BE50" s="40">
        <f>IFERROR(BF50/BD$3,0)</f>
        <v>0</v>
      </c>
      <c r="BF50" s="185">
        <f>SUM(BF51:BF62)</f>
        <v>0</v>
      </c>
      <c r="BG50" s="190"/>
      <c r="BH50" s="37"/>
      <c r="BI50" s="40">
        <f>IFERROR(BJ50/BH$3,0)</f>
        <v>0</v>
      </c>
      <c r="BJ50" s="185">
        <f>SUM(BJ51:BJ62)</f>
        <v>0</v>
      </c>
      <c r="BK50" s="190"/>
      <c r="BL50" s="37"/>
      <c r="BM50" s="40">
        <f>IFERROR(BN50/BL$3,0)</f>
        <v>0</v>
      </c>
      <c r="BN50" s="185">
        <f>SUM(BN51:BN62)</f>
        <v>0</v>
      </c>
      <c r="BO50" s="190"/>
      <c r="BP50" s="37"/>
      <c r="BQ50" s="40">
        <f>IFERROR(BR50/BP$3,0)</f>
        <v>0</v>
      </c>
      <c r="BR50" s="185">
        <f>SUM(BR51:BR62)</f>
        <v>0</v>
      </c>
      <c r="BS50" s="190"/>
      <c r="BT50" s="37"/>
      <c r="BU50" s="40">
        <f>IFERROR(BV50/BT$3,0)</f>
        <v>0</v>
      </c>
      <c r="BV50" s="185">
        <f>SUM(BV51:BV62)</f>
        <v>0</v>
      </c>
      <c r="BW50" s="190"/>
      <c r="BX50" s="37"/>
      <c r="BY50" s="40">
        <f>IFERROR(BZ50/BX$3,0)</f>
        <v>0</v>
      </c>
      <c r="BZ50" s="185">
        <f>SUM(BZ51:BZ62)</f>
        <v>0</v>
      </c>
      <c r="CA50" s="190"/>
      <c r="CB50" s="37"/>
      <c r="CC50" s="40">
        <f>IFERROR(CD50/CB$3,0)</f>
        <v>0</v>
      </c>
      <c r="CD50" s="185">
        <f>SUM(CD51:CD62)</f>
        <v>0</v>
      </c>
    </row>
    <row r="51" spans="2:82" x14ac:dyDescent="0.3">
      <c r="B51" s="53"/>
      <c r="C51" s="53" t="str">
        <f t="shared" si="0"/>
        <v>CPU_SinalizaçãohorizSAUS</v>
      </c>
      <c r="D51" s="278">
        <f t="shared" si="1"/>
        <v>1</v>
      </c>
      <c r="E51" s="278">
        <f t="shared" si="2"/>
        <v>0</v>
      </c>
      <c r="F51" s="1" t="s">
        <v>819</v>
      </c>
      <c r="G51" s="28" t="str">
        <f>IFERROR(VLOOKUP(F51,Tabela7[[RECURSO]:[CUSTO]],2,FALSE),"")</f>
        <v>m2</v>
      </c>
      <c r="I51" s="90">
        <f>IFERROR(M51*$B$6,0)</f>
        <v>581.80666666666673</v>
      </c>
      <c r="J51" s="45">
        <f>IFERROR(VLOOKUP(F51,Tabela7[[RECURSO]:[CUSTO]],3,FALSE),0)</f>
        <v>20</v>
      </c>
      <c r="K51" s="45">
        <f>I51*J51</f>
        <v>11636.133333333335</v>
      </c>
      <c r="M51" s="85">
        <f>SUM(O51:W51)/9</f>
        <v>581.80666666666673</v>
      </c>
      <c r="N51" s="88"/>
      <c r="O51" s="31">
        <v>476.39</v>
      </c>
      <c r="P51" s="1">
        <v>1314.66</v>
      </c>
      <c r="Q51" s="1">
        <v>762.15</v>
      </c>
      <c r="R51" s="1">
        <v>0</v>
      </c>
      <c r="S51" s="1">
        <v>788.06</v>
      </c>
      <c r="T51" s="1">
        <v>433.4</v>
      </c>
      <c r="U51" s="1">
        <v>487.2</v>
      </c>
      <c r="V51" s="1">
        <v>487.2</v>
      </c>
      <c r="W51" s="342">
        <v>487.2</v>
      </c>
      <c r="AD51" s="144" t="str">
        <f t="shared" si="3"/>
        <v>Sinalização horiz SAUS</v>
      </c>
      <c r="AE51" s="192"/>
      <c r="AF51" s="180">
        <f t="shared" ref="AF51:AF62" si="38">AJ51+AN51+AR51+AV51+AZ51+BD51+BH51+BL51+BP51+BT51+BX51+CB51</f>
        <v>0</v>
      </c>
      <c r="AG51" s="180">
        <f t="shared" si="17"/>
        <v>0</v>
      </c>
      <c r="AH51" s="181">
        <f t="shared" ref="AH51:AH62" si="39">AL51+AP51+AT51+AX51+BB51+BF51+BJ51+BN51+BR51+BV51+BZ51+CD51</f>
        <v>0</v>
      </c>
      <c r="AI51" s="193"/>
      <c r="AJ51" s="90"/>
      <c r="AK51" s="90"/>
      <c r="AL51" s="183">
        <f t="shared" ref="AL51:AL62" si="40">AJ51*AK51</f>
        <v>0</v>
      </c>
      <c r="AM51" s="193"/>
      <c r="AN51" s="90"/>
      <c r="AO51" s="90"/>
      <c r="AP51" s="183">
        <f t="shared" si="23"/>
        <v>0</v>
      </c>
      <c r="AQ51" s="193"/>
      <c r="AR51" s="90"/>
      <c r="AS51" s="90"/>
      <c r="AT51" s="183">
        <f t="shared" si="24"/>
        <v>0</v>
      </c>
      <c r="AU51" s="193"/>
      <c r="AV51" s="90"/>
      <c r="AW51" s="90"/>
      <c r="AX51" s="183">
        <f t="shared" si="25"/>
        <v>0</v>
      </c>
      <c r="AY51" s="193"/>
      <c r="AZ51" s="90"/>
      <c r="BA51" s="90"/>
      <c r="BB51" s="183">
        <f t="shared" si="26"/>
        <v>0</v>
      </c>
      <c r="BC51" s="193"/>
      <c r="BD51" s="90"/>
      <c r="BE51" s="90"/>
      <c r="BF51" s="183">
        <f t="shared" si="27"/>
        <v>0</v>
      </c>
      <c r="BG51" s="193"/>
      <c r="BH51" s="90"/>
      <c r="BI51" s="90"/>
      <c r="BJ51" s="183">
        <f t="shared" si="28"/>
        <v>0</v>
      </c>
      <c r="BK51" s="193"/>
      <c r="BL51" s="90"/>
      <c r="BM51" s="90"/>
      <c r="BN51" s="183">
        <f t="shared" si="29"/>
        <v>0</v>
      </c>
      <c r="BO51" s="193"/>
      <c r="BP51" s="90"/>
      <c r="BQ51" s="90"/>
      <c r="BR51" s="183">
        <f t="shared" si="30"/>
        <v>0</v>
      </c>
      <c r="BS51" s="193"/>
      <c r="BT51" s="90"/>
      <c r="BU51" s="90"/>
      <c r="BV51" s="183">
        <f t="shared" si="31"/>
        <v>0</v>
      </c>
      <c r="BW51" s="193"/>
      <c r="BX51" s="90"/>
      <c r="BY51" s="90"/>
      <c r="BZ51" s="183">
        <f t="shared" si="32"/>
        <v>0</v>
      </c>
      <c r="CA51" s="193"/>
      <c r="CB51" s="90"/>
      <c r="CC51" s="90"/>
      <c r="CD51" s="183">
        <f t="shared" si="33"/>
        <v>0</v>
      </c>
    </row>
    <row r="52" spans="2:82" x14ac:dyDescent="0.3">
      <c r="B52" s="53"/>
      <c r="C52" s="53" t="str">
        <f t="shared" si="0"/>
        <v>CPU_SinalizaçãohorizSAUS</v>
      </c>
      <c r="D52" s="278">
        <f t="shared" si="1"/>
        <v>1</v>
      </c>
      <c r="E52" s="278">
        <f t="shared" si="2"/>
        <v>0</v>
      </c>
      <c r="F52" s="1" t="s">
        <v>820</v>
      </c>
      <c r="G52" s="28" t="str">
        <f>IFERROR(VLOOKUP(F52,Tabela7[[RECURSO]:[CUSTO]],2,FALSE),"")</f>
        <v>unid</v>
      </c>
      <c r="I52" s="90">
        <f t="shared" ref="I52:I62" si="41">IFERROR(M52*$B$6,0)</f>
        <v>596.88888888888891</v>
      </c>
      <c r="J52" s="45">
        <f>IFERROR(VLOOKUP(F52,Tabela7[[RECURSO]:[CUSTO]],3,FALSE),0)</f>
        <v>25</v>
      </c>
      <c r="K52" s="45">
        <f t="shared" ref="K52:K62" si="42">I52*J52</f>
        <v>14922.222222222223</v>
      </c>
      <c r="M52" s="85">
        <f>SUM(O52:W52)/9</f>
        <v>596.88888888888891</v>
      </c>
      <c r="N52" s="88"/>
      <c r="O52" s="31">
        <v>363</v>
      </c>
      <c r="P52" s="1">
        <v>998</v>
      </c>
      <c r="Q52" s="1">
        <v>470</v>
      </c>
      <c r="R52" s="1">
        <v>0</v>
      </c>
      <c r="S52" s="1">
        <v>1273</v>
      </c>
      <c r="T52" s="1">
        <v>480</v>
      </c>
      <c r="U52" s="1">
        <v>596</v>
      </c>
      <c r="V52" s="1">
        <v>596</v>
      </c>
      <c r="W52" s="342">
        <v>596</v>
      </c>
      <c r="AD52" s="144" t="str">
        <f t="shared" si="3"/>
        <v>Sinalização horiz SAUS</v>
      </c>
      <c r="AE52" s="192"/>
      <c r="AF52" s="180">
        <f t="shared" si="38"/>
        <v>0</v>
      </c>
      <c r="AG52" s="180">
        <f t="shared" si="17"/>
        <v>0</v>
      </c>
      <c r="AH52" s="181">
        <f t="shared" si="39"/>
        <v>0</v>
      </c>
      <c r="AI52" s="193"/>
      <c r="AJ52" s="90"/>
      <c r="AK52" s="90"/>
      <c r="AL52" s="183">
        <f t="shared" si="40"/>
        <v>0</v>
      </c>
      <c r="AM52" s="193"/>
      <c r="AN52" s="90"/>
      <c r="AO52" s="90"/>
      <c r="AP52" s="183">
        <f t="shared" si="23"/>
        <v>0</v>
      </c>
      <c r="AQ52" s="193"/>
      <c r="AR52" s="90"/>
      <c r="AS52" s="90"/>
      <c r="AT52" s="183">
        <f t="shared" si="24"/>
        <v>0</v>
      </c>
      <c r="AU52" s="193"/>
      <c r="AV52" s="90"/>
      <c r="AW52" s="90"/>
      <c r="AX52" s="183">
        <f t="shared" si="25"/>
        <v>0</v>
      </c>
      <c r="AY52" s="193"/>
      <c r="AZ52" s="90"/>
      <c r="BA52" s="90"/>
      <c r="BB52" s="183">
        <f t="shared" si="26"/>
        <v>0</v>
      </c>
      <c r="BC52" s="193"/>
      <c r="BD52" s="90"/>
      <c r="BE52" s="90"/>
      <c r="BF52" s="183">
        <f t="shared" si="27"/>
        <v>0</v>
      </c>
      <c r="BG52" s="193"/>
      <c r="BH52" s="90"/>
      <c r="BI52" s="90"/>
      <c r="BJ52" s="183">
        <f t="shared" si="28"/>
        <v>0</v>
      </c>
      <c r="BK52" s="193"/>
      <c r="BL52" s="90"/>
      <c r="BM52" s="90"/>
      <c r="BN52" s="183">
        <f t="shared" si="29"/>
        <v>0</v>
      </c>
      <c r="BO52" s="193"/>
      <c r="BP52" s="90"/>
      <c r="BQ52" s="90"/>
      <c r="BR52" s="183">
        <f t="shared" si="30"/>
        <v>0</v>
      </c>
      <c r="BS52" s="193"/>
      <c r="BT52" s="90"/>
      <c r="BU52" s="90"/>
      <c r="BV52" s="183">
        <f t="shared" si="31"/>
        <v>0</v>
      </c>
      <c r="BW52" s="193"/>
      <c r="BX52" s="90"/>
      <c r="BY52" s="90"/>
      <c r="BZ52" s="183">
        <f t="shared" si="32"/>
        <v>0</v>
      </c>
      <c r="CA52" s="193"/>
      <c r="CB52" s="90"/>
      <c r="CC52" s="90"/>
      <c r="CD52" s="183">
        <f t="shared" si="33"/>
        <v>0</v>
      </c>
    </row>
    <row r="53" spans="2:82" x14ac:dyDescent="0.3">
      <c r="B53" s="53"/>
      <c r="C53" s="53" t="str">
        <f t="shared" si="0"/>
        <v>CPU_SinalizaçãohorizSAUS</v>
      </c>
      <c r="D53" s="278">
        <f t="shared" si="1"/>
        <v>1</v>
      </c>
      <c r="E53" s="278">
        <f t="shared" si="2"/>
        <v>0</v>
      </c>
      <c r="F53" s="1"/>
      <c r="G53" s="28" t="str">
        <f>IFERROR(VLOOKUP(F53,Tabela7[[RECURSO]:[CUSTO]],2,FALSE),"")</f>
        <v/>
      </c>
      <c r="I53" s="90">
        <f t="shared" si="41"/>
        <v>0</v>
      </c>
      <c r="J53" s="45">
        <f>IFERROR(VLOOKUP(F53,Tabela7[[RECURSO]:[CUSTO]],3,FALSE),0)</f>
        <v>0</v>
      </c>
      <c r="K53" s="45">
        <f t="shared" si="42"/>
        <v>0</v>
      </c>
      <c r="M53" s="85"/>
      <c r="N53" s="88"/>
      <c r="O53" s="31"/>
      <c r="P53" s="1"/>
      <c r="Q53" s="1"/>
      <c r="R53" s="1"/>
      <c r="S53" s="1"/>
      <c r="T53" s="1"/>
      <c r="U53" s="1"/>
      <c r="V53" s="1"/>
      <c r="W53" s="342"/>
      <c r="AD53" s="144" t="str">
        <f t="shared" si="3"/>
        <v>Sinalização horiz SAUS</v>
      </c>
      <c r="AE53" s="192"/>
      <c r="AF53" s="180">
        <f t="shared" si="38"/>
        <v>0</v>
      </c>
      <c r="AG53" s="180">
        <f t="shared" si="17"/>
        <v>0</v>
      </c>
      <c r="AH53" s="181">
        <f t="shared" si="39"/>
        <v>0</v>
      </c>
      <c r="AI53" s="193"/>
      <c r="AJ53" s="90"/>
      <c r="AK53" s="90"/>
      <c r="AL53" s="183">
        <f t="shared" si="40"/>
        <v>0</v>
      </c>
      <c r="AM53" s="193"/>
      <c r="AN53" s="90"/>
      <c r="AO53" s="90"/>
      <c r="AP53" s="183">
        <f t="shared" si="23"/>
        <v>0</v>
      </c>
      <c r="AQ53" s="193"/>
      <c r="AR53" s="90"/>
      <c r="AS53" s="90"/>
      <c r="AT53" s="183">
        <f t="shared" si="24"/>
        <v>0</v>
      </c>
      <c r="AU53" s="193"/>
      <c r="AV53" s="90"/>
      <c r="AW53" s="90"/>
      <c r="AX53" s="183">
        <f t="shared" si="25"/>
        <v>0</v>
      </c>
      <c r="AY53" s="193"/>
      <c r="AZ53" s="90"/>
      <c r="BA53" s="90"/>
      <c r="BB53" s="183">
        <f t="shared" si="26"/>
        <v>0</v>
      </c>
      <c r="BC53" s="193"/>
      <c r="BD53" s="90"/>
      <c r="BE53" s="90"/>
      <c r="BF53" s="183">
        <f t="shared" si="27"/>
        <v>0</v>
      </c>
      <c r="BG53" s="193"/>
      <c r="BH53" s="90"/>
      <c r="BI53" s="90"/>
      <c r="BJ53" s="183">
        <f t="shared" si="28"/>
        <v>0</v>
      </c>
      <c r="BK53" s="193"/>
      <c r="BL53" s="90"/>
      <c r="BM53" s="90"/>
      <c r="BN53" s="183">
        <f t="shared" si="29"/>
        <v>0</v>
      </c>
      <c r="BO53" s="193"/>
      <c r="BP53" s="90"/>
      <c r="BQ53" s="90"/>
      <c r="BR53" s="183">
        <f t="shared" si="30"/>
        <v>0</v>
      </c>
      <c r="BS53" s="193"/>
      <c r="BT53" s="90"/>
      <c r="BU53" s="90"/>
      <c r="BV53" s="183">
        <f t="shared" si="31"/>
        <v>0</v>
      </c>
      <c r="BW53" s="193"/>
      <c r="BX53" s="90"/>
      <c r="BY53" s="90"/>
      <c r="BZ53" s="183">
        <f t="shared" si="32"/>
        <v>0</v>
      </c>
      <c r="CA53" s="193"/>
      <c r="CB53" s="90"/>
      <c r="CC53" s="90"/>
      <c r="CD53" s="183">
        <f t="shared" si="33"/>
        <v>0</v>
      </c>
    </row>
    <row r="54" spans="2:82" x14ac:dyDescent="0.3">
      <c r="B54" s="53"/>
      <c r="C54" s="53" t="str">
        <f t="shared" si="0"/>
        <v>CPU_SinalizaçãohorizSAUS</v>
      </c>
      <c r="D54" s="278">
        <f t="shared" si="1"/>
        <v>1</v>
      </c>
      <c r="E54" s="278">
        <f t="shared" si="2"/>
        <v>0</v>
      </c>
      <c r="F54" s="1"/>
      <c r="G54" s="28" t="str">
        <f>IFERROR(VLOOKUP(F54,Tabela7[[RECURSO]:[CUSTO]],2,FALSE),"")</f>
        <v/>
      </c>
      <c r="I54" s="90">
        <f t="shared" si="41"/>
        <v>0</v>
      </c>
      <c r="J54" s="45">
        <f>IFERROR(VLOOKUP(F54,Tabela7[[RECURSO]:[CUSTO]],3,FALSE),0)</f>
        <v>0</v>
      </c>
      <c r="K54" s="45">
        <f>I54*J54</f>
        <v>0</v>
      </c>
      <c r="M54" s="85"/>
      <c r="N54" s="88"/>
      <c r="O54" s="31"/>
      <c r="P54" s="1"/>
      <c r="Q54" s="1"/>
      <c r="R54" s="1"/>
      <c r="S54" s="1"/>
      <c r="T54" s="1"/>
      <c r="U54" s="1"/>
      <c r="V54" s="1"/>
      <c r="W54" s="342"/>
      <c r="AD54" s="144" t="str">
        <f>$B$3</f>
        <v>Sinalização horiz SAUS</v>
      </c>
      <c r="AE54" s="192"/>
      <c r="AF54" s="180">
        <f t="shared" si="38"/>
        <v>0</v>
      </c>
      <c r="AG54" s="180">
        <f t="shared" si="17"/>
        <v>0</v>
      </c>
      <c r="AH54" s="181">
        <f t="shared" si="39"/>
        <v>0</v>
      </c>
      <c r="AI54" s="193"/>
      <c r="AJ54" s="90"/>
      <c r="AK54" s="90"/>
      <c r="AL54" s="183">
        <f t="shared" si="40"/>
        <v>0</v>
      </c>
      <c r="AM54" s="193"/>
      <c r="AN54" s="90"/>
      <c r="AO54" s="90"/>
      <c r="AP54" s="183">
        <f t="shared" si="23"/>
        <v>0</v>
      </c>
      <c r="AQ54" s="193"/>
      <c r="AR54" s="90"/>
      <c r="AS54" s="90"/>
      <c r="AT54" s="183">
        <f t="shared" si="24"/>
        <v>0</v>
      </c>
      <c r="AU54" s="193"/>
      <c r="AV54" s="90"/>
      <c r="AW54" s="90"/>
      <c r="AX54" s="183">
        <f t="shared" si="25"/>
        <v>0</v>
      </c>
      <c r="AY54" s="193"/>
      <c r="AZ54" s="90"/>
      <c r="BA54" s="90"/>
      <c r="BB54" s="183">
        <f t="shared" si="26"/>
        <v>0</v>
      </c>
      <c r="BC54" s="193"/>
      <c r="BD54" s="90"/>
      <c r="BE54" s="90"/>
      <c r="BF54" s="183">
        <f t="shared" si="27"/>
        <v>0</v>
      </c>
      <c r="BG54" s="193"/>
      <c r="BH54" s="90"/>
      <c r="BI54" s="90"/>
      <c r="BJ54" s="183">
        <f t="shared" si="28"/>
        <v>0</v>
      </c>
      <c r="BK54" s="193"/>
      <c r="BL54" s="90"/>
      <c r="BM54" s="90"/>
      <c r="BN54" s="183">
        <f t="shared" si="29"/>
        <v>0</v>
      </c>
      <c r="BO54" s="193"/>
      <c r="BP54" s="90"/>
      <c r="BQ54" s="90"/>
      <c r="BR54" s="183">
        <f t="shared" si="30"/>
        <v>0</v>
      </c>
      <c r="BS54" s="193"/>
      <c r="BT54" s="90"/>
      <c r="BU54" s="90"/>
      <c r="BV54" s="183">
        <f t="shared" si="31"/>
        <v>0</v>
      </c>
      <c r="BW54" s="193"/>
      <c r="BX54" s="90"/>
      <c r="BY54" s="90"/>
      <c r="BZ54" s="183">
        <f t="shared" si="32"/>
        <v>0</v>
      </c>
      <c r="CA54" s="193"/>
      <c r="CB54" s="90"/>
      <c r="CC54" s="90"/>
      <c r="CD54" s="183">
        <f t="shared" si="33"/>
        <v>0</v>
      </c>
    </row>
    <row r="55" spans="2:82" x14ac:dyDescent="0.3">
      <c r="B55" s="53"/>
      <c r="C55" s="53" t="str">
        <f t="shared" si="0"/>
        <v>CPU_SinalizaçãohorizSAUS</v>
      </c>
      <c r="D55" s="278">
        <f t="shared" si="1"/>
        <v>1</v>
      </c>
      <c r="E55" s="278">
        <f t="shared" si="2"/>
        <v>0</v>
      </c>
      <c r="F55" s="1"/>
      <c r="G55" s="28" t="str">
        <f>IFERROR(VLOOKUP(F55,Tabela7[[RECURSO]:[CUSTO]],2,FALSE),"")</f>
        <v/>
      </c>
      <c r="I55" s="90">
        <f t="shared" si="41"/>
        <v>0</v>
      </c>
      <c r="J55" s="45">
        <f>IFERROR(VLOOKUP(F55,Tabela7[[RECURSO]:[CUSTO]],3,FALSE),0)</f>
        <v>0</v>
      </c>
      <c r="K55" s="45">
        <f t="shared" si="42"/>
        <v>0</v>
      </c>
      <c r="M55" s="85"/>
      <c r="N55" s="88"/>
      <c r="O55" s="31"/>
      <c r="P55" s="1"/>
      <c r="Q55" s="1"/>
      <c r="R55" s="1"/>
      <c r="S55" s="1"/>
      <c r="T55" s="1"/>
      <c r="U55" s="1"/>
      <c r="V55" s="1"/>
      <c r="W55" s="342"/>
      <c r="AD55" s="144" t="str">
        <f t="shared" si="3"/>
        <v>Sinalização horiz SAUS</v>
      </c>
      <c r="AE55" s="192"/>
      <c r="AF55" s="180">
        <f t="shared" si="38"/>
        <v>0</v>
      </c>
      <c r="AG55" s="180">
        <f t="shared" si="17"/>
        <v>0</v>
      </c>
      <c r="AH55" s="181">
        <f t="shared" si="39"/>
        <v>0</v>
      </c>
      <c r="AI55" s="193"/>
      <c r="AJ55" s="90"/>
      <c r="AK55" s="90"/>
      <c r="AL55" s="183">
        <f t="shared" si="40"/>
        <v>0</v>
      </c>
      <c r="AM55" s="193"/>
      <c r="AN55" s="90"/>
      <c r="AO55" s="90"/>
      <c r="AP55" s="183">
        <f t="shared" si="23"/>
        <v>0</v>
      </c>
      <c r="AQ55" s="193"/>
      <c r="AR55" s="90"/>
      <c r="AS55" s="90"/>
      <c r="AT55" s="183">
        <f t="shared" si="24"/>
        <v>0</v>
      </c>
      <c r="AU55" s="193"/>
      <c r="AV55" s="90"/>
      <c r="AW55" s="90"/>
      <c r="AX55" s="183">
        <f t="shared" si="25"/>
        <v>0</v>
      </c>
      <c r="AY55" s="193"/>
      <c r="AZ55" s="90"/>
      <c r="BA55" s="90"/>
      <c r="BB55" s="183">
        <f t="shared" si="26"/>
        <v>0</v>
      </c>
      <c r="BC55" s="193"/>
      <c r="BD55" s="90"/>
      <c r="BE55" s="90"/>
      <c r="BF55" s="183">
        <f t="shared" si="27"/>
        <v>0</v>
      </c>
      <c r="BG55" s="193"/>
      <c r="BH55" s="90"/>
      <c r="BI55" s="90"/>
      <c r="BJ55" s="183">
        <f t="shared" si="28"/>
        <v>0</v>
      </c>
      <c r="BK55" s="193"/>
      <c r="BL55" s="90"/>
      <c r="BM55" s="90"/>
      <c r="BN55" s="183">
        <f t="shared" si="29"/>
        <v>0</v>
      </c>
      <c r="BO55" s="193"/>
      <c r="BP55" s="90"/>
      <c r="BQ55" s="90"/>
      <c r="BR55" s="183">
        <f t="shared" si="30"/>
        <v>0</v>
      </c>
      <c r="BS55" s="193"/>
      <c r="BT55" s="90"/>
      <c r="BU55" s="90"/>
      <c r="BV55" s="183">
        <f t="shared" si="31"/>
        <v>0</v>
      </c>
      <c r="BW55" s="193"/>
      <c r="BX55" s="90"/>
      <c r="BY55" s="90"/>
      <c r="BZ55" s="183">
        <f t="shared" si="32"/>
        <v>0</v>
      </c>
      <c r="CA55" s="193"/>
      <c r="CB55" s="90"/>
      <c r="CC55" s="90"/>
      <c r="CD55" s="183">
        <f t="shared" si="33"/>
        <v>0</v>
      </c>
    </row>
    <row r="56" spans="2:82" x14ac:dyDescent="0.3">
      <c r="B56" s="53"/>
      <c r="C56" s="53" t="str">
        <f t="shared" si="0"/>
        <v>CPU_SinalizaçãohorizSAUS</v>
      </c>
      <c r="D56" s="278">
        <f t="shared" si="1"/>
        <v>1</v>
      </c>
      <c r="E56" s="278">
        <f t="shared" si="2"/>
        <v>0</v>
      </c>
      <c r="F56" s="1"/>
      <c r="G56" s="28" t="str">
        <f>IFERROR(VLOOKUP(F56,Tabela7[[RECURSO]:[CUSTO]],2,FALSE),"")</f>
        <v/>
      </c>
      <c r="I56" s="90">
        <f t="shared" si="41"/>
        <v>0</v>
      </c>
      <c r="J56" s="45">
        <f>IFERROR(VLOOKUP(F56,Tabela7[[RECURSO]:[CUSTO]],3,FALSE),0)</f>
        <v>0</v>
      </c>
      <c r="K56" s="45">
        <f t="shared" si="42"/>
        <v>0</v>
      </c>
      <c r="M56" s="85"/>
      <c r="N56" s="88"/>
      <c r="O56" s="31"/>
      <c r="P56" s="1"/>
      <c r="Q56" s="1"/>
      <c r="R56" s="1"/>
      <c r="S56" s="1"/>
      <c r="T56" s="1"/>
      <c r="U56" s="1"/>
      <c r="V56" s="1"/>
      <c r="W56" s="342"/>
      <c r="AD56" s="144" t="str">
        <f t="shared" si="3"/>
        <v>Sinalização horiz SAUS</v>
      </c>
      <c r="AE56" s="192"/>
      <c r="AF56" s="180">
        <f t="shared" si="38"/>
        <v>0</v>
      </c>
      <c r="AG56" s="180">
        <f t="shared" si="17"/>
        <v>0</v>
      </c>
      <c r="AH56" s="181">
        <f t="shared" si="39"/>
        <v>0</v>
      </c>
      <c r="AI56" s="193"/>
      <c r="AJ56" s="90"/>
      <c r="AK56" s="90"/>
      <c r="AL56" s="183">
        <f t="shared" si="40"/>
        <v>0</v>
      </c>
      <c r="AM56" s="193"/>
      <c r="AN56" s="90"/>
      <c r="AO56" s="90"/>
      <c r="AP56" s="183">
        <f t="shared" si="23"/>
        <v>0</v>
      </c>
      <c r="AQ56" s="193"/>
      <c r="AR56" s="90"/>
      <c r="AS56" s="90"/>
      <c r="AT56" s="183">
        <f t="shared" si="24"/>
        <v>0</v>
      </c>
      <c r="AU56" s="193"/>
      <c r="AV56" s="90"/>
      <c r="AW56" s="90"/>
      <c r="AX56" s="183">
        <f t="shared" si="25"/>
        <v>0</v>
      </c>
      <c r="AY56" s="193"/>
      <c r="AZ56" s="90"/>
      <c r="BA56" s="90"/>
      <c r="BB56" s="183">
        <f t="shared" si="26"/>
        <v>0</v>
      </c>
      <c r="BC56" s="193"/>
      <c r="BD56" s="90"/>
      <c r="BE56" s="90"/>
      <c r="BF56" s="183">
        <f t="shared" si="27"/>
        <v>0</v>
      </c>
      <c r="BG56" s="193"/>
      <c r="BH56" s="90"/>
      <c r="BI56" s="90"/>
      <c r="BJ56" s="183">
        <f t="shared" si="28"/>
        <v>0</v>
      </c>
      <c r="BK56" s="193"/>
      <c r="BL56" s="90"/>
      <c r="BM56" s="90"/>
      <c r="BN56" s="183">
        <f t="shared" si="29"/>
        <v>0</v>
      </c>
      <c r="BO56" s="193"/>
      <c r="BP56" s="90"/>
      <c r="BQ56" s="90"/>
      <c r="BR56" s="183">
        <f t="shared" si="30"/>
        <v>0</v>
      </c>
      <c r="BS56" s="193"/>
      <c r="BT56" s="90"/>
      <c r="BU56" s="90"/>
      <c r="BV56" s="183">
        <f t="shared" si="31"/>
        <v>0</v>
      </c>
      <c r="BW56" s="193"/>
      <c r="BX56" s="90"/>
      <c r="BY56" s="90"/>
      <c r="BZ56" s="183">
        <f t="shared" si="32"/>
        <v>0</v>
      </c>
      <c r="CA56" s="193"/>
      <c r="CB56" s="90"/>
      <c r="CC56" s="90"/>
      <c r="CD56" s="183">
        <f t="shared" si="33"/>
        <v>0</v>
      </c>
    </row>
    <row r="57" spans="2:82" x14ac:dyDescent="0.3">
      <c r="B57" s="53"/>
      <c r="C57" s="53" t="str">
        <f t="shared" si="0"/>
        <v>CPU_SinalizaçãohorizSAUS</v>
      </c>
      <c r="D57" s="278">
        <f t="shared" si="1"/>
        <v>1</v>
      </c>
      <c r="E57" s="278">
        <f t="shared" si="2"/>
        <v>0</v>
      </c>
      <c r="F57" s="1"/>
      <c r="G57" s="28" t="str">
        <f>IFERROR(VLOOKUP(F57,Tabela7[[RECURSO]:[CUSTO]],2,FALSE),"")</f>
        <v/>
      </c>
      <c r="I57" s="90">
        <f t="shared" si="41"/>
        <v>0</v>
      </c>
      <c r="J57" s="45">
        <f>IFERROR(VLOOKUP(F57,Tabela7[[RECURSO]:[CUSTO]],3,FALSE),0)</f>
        <v>0</v>
      </c>
      <c r="K57" s="45">
        <f t="shared" si="42"/>
        <v>0</v>
      </c>
      <c r="M57" s="85"/>
      <c r="N57" s="88"/>
      <c r="O57" s="31"/>
      <c r="P57" s="1"/>
      <c r="Q57" s="1"/>
      <c r="R57" s="1"/>
      <c r="S57" s="1"/>
      <c r="T57" s="1"/>
      <c r="U57" s="1"/>
      <c r="V57" s="1"/>
      <c r="W57" s="342"/>
      <c r="AD57" s="144" t="str">
        <f t="shared" si="3"/>
        <v>Sinalização horiz SAUS</v>
      </c>
      <c r="AE57" s="192"/>
      <c r="AF57" s="180">
        <f t="shared" si="38"/>
        <v>0</v>
      </c>
      <c r="AG57" s="180">
        <f t="shared" si="17"/>
        <v>0</v>
      </c>
      <c r="AH57" s="181">
        <f t="shared" si="39"/>
        <v>0</v>
      </c>
      <c r="AI57" s="193"/>
      <c r="AJ57" s="90"/>
      <c r="AK57" s="90"/>
      <c r="AL57" s="183">
        <f t="shared" si="40"/>
        <v>0</v>
      </c>
      <c r="AM57" s="193"/>
      <c r="AN57" s="90"/>
      <c r="AO57" s="90"/>
      <c r="AP57" s="183">
        <f t="shared" si="23"/>
        <v>0</v>
      </c>
      <c r="AQ57" s="193"/>
      <c r="AR57" s="90"/>
      <c r="AS57" s="90"/>
      <c r="AT57" s="183">
        <f t="shared" si="24"/>
        <v>0</v>
      </c>
      <c r="AU57" s="193"/>
      <c r="AV57" s="90"/>
      <c r="AW57" s="90"/>
      <c r="AX57" s="183">
        <f t="shared" si="25"/>
        <v>0</v>
      </c>
      <c r="AY57" s="193"/>
      <c r="AZ57" s="90"/>
      <c r="BA57" s="90"/>
      <c r="BB57" s="183">
        <f t="shared" si="26"/>
        <v>0</v>
      </c>
      <c r="BC57" s="193"/>
      <c r="BD57" s="90"/>
      <c r="BE57" s="90"/>
      <c r="BF57" s="183">
        <f t="shared" si="27"/>
        <v>0</v>
      </c>
      <c r="BG57" s="193"/>
      <c r="BH57" s="90"/>
      <c r="BI57" s="90"/>
      <c r="BJ57" s="183">
        <f t="shared" si="28"/>
        <v>0</v>
      </c>
      <c r="BK57" s="193"/>
      <c r="BL57" s="90"/>
      <c r="BM57" s="90"/>
      <c r="BN57" s="183">
        <f t="shared" si="29"/>
        <v>0</v>
      </c>
      <c r="BO57" s="193"/>
      <c r="BP57" s="90"/>
      <c r="BQ57" s="90"/>
      <c r="BR57" s="183">
        <f t="shared" si="30"/>
        <v>0</v>
      </c>
      <c r="BS57" s="193"/>
      <c r="BT57" s="90"/>
      <c r="BU57" s="90"/>
      <c r="BV57" s="183">
        <f t="shared" si="31"/>
        <v>0</v>
      </c>
      <c r="BW57" s="193"/>
      <c r="BX57" s="90"/>
      <c r="BY57" s="90"/>
      <c r="BZ57" s="183">
        <f t="shared" si="32"/>
        <v>0</v>
      </c>
      <c r="CA57" s="193"/>
      <c r="CB57" s="90"/>
      <c r="CC57" s="90"/>
      <c r="CD57" s="183">
        <f t="shared" si="33"/>
        <v>0</v>
      </c>
    </row>
    <row r="58" spans="2:82" x14ac:dyDescent="0.3">
      <c r="B58" s="53"/>
      <c r="C58" s="53" t="str">
        <f t="shared" si="0"/>
        <v>CPU_SinalizaçãohorizSAUS</v>
      </c>
      <c r="D58" s="278">
        <f t="shared" si="1"/>
        <v>1</v>
      </c>
      <c r="E58" s="278">
        <f t="shared" si="2"/>
        <v>0</v>
      </c>
      <c r="F58" s="1"/>
      <c r="G58" s="28" t="str">
        <f>IFERROR(VLOOKUP(F58,Tabela7[[RECURSO]:[CUSTO]],2,FALSE),"")</f>
        <v/>
      </c>
      <c r="I58" s="90">
        <f t="shared" si="41"/>
        <v>0</v>
      </c>
      <c r="J58" s="45">
        <f>IFERROR(VLOOKUP(F58,Tabela7[[RECURSO]:[CUSTO]],3,FALSE),0)</f>
        <v>0</v>
      </c>
      <c r="K58" s="45">
        <f t="shared" si="42"/>
        <v>0</v>
      </c>
      <c r="M58" s="85"/>
      <c r="N58" s="88"/>
      <c r="O58" s="31"/>
      <c r="P58" s="1"/>
      <c r="Q58" s="1"/>
      <c r="R58" s="1"/>
      <c r="S58" s="1"/>
      <c r="T58" s="1"/>
      <c r="U58" s="1"/>
      <c r="V58" s="1"/>
      <c r="W58" s="342"/>
      <c r="AD58" s="144" t="str">
        <f t="shared" si="3"/>
        <v>Sinalização horiz SAUS</v>
      </c>
      <c r="AE58" s="192"/>
      <c r="AF58" s="180">
        <f t="shared" si="38"/>
        <v>0</v>
      </c>
      <c r="AG58" s="180">
        <f t="shared" si="17"/>
        <v>0</v>
      </c>
      <c r="AH58" s="181">
        <f t="shared" si="39"/>
        <v>0</v>
      </c>
      <c r="AI58" s="193"/>
      <c r="AJ58" s="90"/>
      <c r="AK58" s="90"/>
      <c r="AL58" s="183">
        <f t="shared" si="40"/>
        <v>0</v>
      </c>
      <c r="AM58" s="193"/>
      <c r="AN58" s="90"/>
      <c r="AO58" s="90"/>
      <c r="AP58" s="183">
        <f t="shared" si="23"/>
        <v>0</v>
      </c>
      <c r="AQ58" s="193"/>
      <c r="AR58" s="90"/>
      <c r="AS58" s="90"/>
      <c r="AT58" s="183">
        <f t="shared" si="24"/>
        <v>0</v>
      </c>
      <c r="AU58" s="193"/>
      <c r="AV58" s="90"/>
      <c r="AW58" s="90"/>
      <c r="AX58" s="183">
        <f t="shared" si="25"/>
        <v>0</v>
      </c>
      <c r="AY58" s="193"/>
      <c r="AZ58" s="90"/>
      <c r="BA58" s="90"/>
      <c r="BB58" s="183">
        <f t="shared" si="26"/>
        <v>0</v>
      </c>
      <c r="BC58" s="193"/>
      <c r="BD58" s="90"/>
      <c r="BE58" s="90"/>
      <c r="BF58" s="183">
        <f t="shared" si="27"/>
        <v>0</v>
      </c>
      <c r="BG58" s="193"/>
      <c r="BH58" s="90"/>
      <c r="BI58" s="90"/>
      <c r="BJ58" s="183">
        <f t="shared" si="28"/>
        <v>0</v>
      </c>
      <c r="BK58" s="193"/>
      <c r="BL58" s="90"/>
      <c r="BM58" s="90"/>
      <c r="BN58" s="183">
        <f t="shared" si="29"/>
        <v>0</v>
      </c>
      <c r="BO58" s="193"/>
      <c r="BP58" s="90"/>
      <c r="BQ58" s="90"/>
      <c r="BR58" s="183">
        <f t="shared" si="30"/>
        <v>0</v>
      </c>
      <c r="BS58" s="193"/>
      <c r="BT58" s="90"/>
      <c r="BU58" s="90"/>
      <c r="BV58" s="183">
        <f t="shared" si="31"/>
        <v>0</v>
      </c>
      <c r="BW58" s="193"/>
      <c r="BX58" s="90"/>
      <c r="BY58" s="90"/>
      <c r="BZ58" s="183">
        <f t="shared" si="32"/>
        <v>0</v>
      </c>
      <c r="CA58" s="193"/>
      <c r="CB58" s="90"/>
      <c r="CC58" s="90"/>
      <c r="CD58" s="183">
        <f t="shared" si="33"/>
        <v>0</v>
      </c>
    </row>
    <row r="59" spans="2:82" x14ac:dyDescent="0.3">
      <c r="B59" s="53"/>
      <c r="C59" s="53" t="str">
        <f t="shared" si="0"/>
        <v>CPU_SinalizaçãohorizSAUS</v>
      </c>
      <c r="D59" s="278">
        <f t="shared" si="1"/>
        <v>1</v>
      </c>
      <c r="E59" s="278">
        <f t="shared" si="2"/>
        <v>0</v>
      </c>
      <c r="F59" s="1"/>
      <c r="G59" s="28" t="str">
        <f>IFERROR(VLOOKUP(F59,Tabela7[[RECURSO]:[CUSTO]],2,FALSE),"")</f>
        <v/>
      </c>
      <c r="I59" s="90">
        <f t="shared" si="41"/>
        <v>0</v>
      </c>
      <c r="J59" s="45">
        <f>IFERROR(VLOOKUP(F59,Tabela7[[RECURSO]:[CUSTO]],3,FALSE),0)</f>
        <v>0</v>
      </c>
      <c r="K59" s="45">
        <f t="shared" si="42"/>
        <v>0</v>
      </c>
      <c r="M59" s="85"/>
      <c r="N59" s="88"/>
      <c r="O59" s="31"/>
      <c r="P59" s="1"/>
      <c r="Q59" s="1"/>
      <c r="R59" s="1"/>
      <c r="S59" s="1"/>
      <c r="T59" s="1"/>
      <c r="U59" s="1"/>
      <c r="V59" s="1"/>
      <c r="W59" s="342"/>
      <c r="AD59" s="144" t="str">
        <f t="shared" si="3"/>
        <v>Sinalização horiz SAUS</v>
      </c>
      <c r="AE59" s="192"/>
      <c r="AF59" s="180">
        <f t="shared" si="38"/>
        <v>0</v>
      </c>
      <c r="AG59" s="180">
        <f t="shared" si="17"/>
        <v>0</v>
      </c>
      <c r="AH59" s="181">
        <f t="shared" si="39"/>
        <v>0</v>
      </c>
      <c r="AI59" s="193"/>
      <c r="AJ59" s="90"/>
      <c r="AK59" s="90"/>
      <c r="AL59" s="183">
        <f t="shared" si="40"/>
        <v>0</v>
      </c>
      <c r="AM59" s="193"/>
      <c r="AN59" s="90"/>
      <c r="AO59" s="90"/>
      <c r="AP59" s="183">
        <f t="shared" si="23"/>
        <v>0</v>
      </c>
      <c r="AQ59" s="193"/>
      <c r="AR59" s="90"/>
      <c r="AS59" s="90"/>
      <c r="AT59" s="183">
        <f t="shared" si="24"/>
        <v>0</v>
      </c>
      <c r="AU59" s="193"/>
      <c r="AV59" s="90"/>
      <c r="AW59" s="90"/>
      <c r="AX59" s="183">
        <f t="shared" si="25"/>
        <v>0</v>
      </c>
      <c r="AY59" s="193"/>
      <c r="AZ59" s="90"/>
      <c r="BA59" s="90"/>
      <c r="BB59" s="183">
        <f t="shared" si="26"/>
        <v>0</v>
      </c>
      <c r="BC59" s="193"/>
      <c r="BD59" s="90"/>
      <c r="BE59" s="90"/>
      <c r="BF59" s="183">
        <f t="shared" si="27"/>
        <v>0</v>
      </c>
      <c r="BG59" s="193"/>
      <c r="BH59" s="90"/>
      <c r="BI59" s="90"/>
      <c r="BJ59" s="183">
        <f t="shared" si="28"/>
        <v>0</v>
      </c>
      <c r="BK59" s="193"/>
      <c r="BL59" s="90"/>
      <c r="BM59" s="90"/>
      <c r="BN59" s="183">
        <f t="shared" si="29"/>
        <v>0</v>
      </c>
      <c r="BO59" s="193"/>
      <c r="BP59" s="90"/>
      <c r="BQ59" s="90"/>
      <c r="BR59" s="183">
        <f t="shared" si="30"/>
        <v>0</v>
      </c>
      <c r="BS59" s="193"/>
      <c r="BT59" s="90"/>
      <c r="BU59" s="90"/>
      <c r="BV59" s="183">
        <f t="shared" si="31"/>
        <v>0</v>
      </c>
      <c r="BW59" s="193"/>
      <c r="BX59" s="90"/>
      <c r="BY59" s="90"/>
      <c r="BZ59" s="183">
        <f t="shared" si="32"/>
        <v>0</v>
      </c>
      <c r="CA59" s="193"/>
      <c r="CB59" s="90"/>
      <c r="CC59" s="90"/>
      <c r="CD59" s="183">
        <f t="shared" si="33"/>
        <v>0</v>
      </c>
    </row>
    <row r="60" spans="2:82" x14ac:dyDescent="0.3">
      <c r="B60" s="53"/>
      <c r="C60" s="53" t="str">
        <f t="shared" si="0"/>
        <v>CPU_SinalizaçãohorizSAUS</v>
      </c>
      <c r="D60" s="278">
        <f t="shared" si="1"/>
        <v>1</v>
      </c>
      <c r="E60" s="278">
        <f t="shared" si="2"/>
        <v>0</v>
      </c>
      <c r="F60" s="1"/>
      <c r="G60" s="28" t="str">
        <f>IFERROR(VLOOKUP(F60,Tabela7[[RECURSO]:[CUSTO]],2,FALSE),"")</f>
        <v/>
      </c>
      <c r="I60" s="90">
        <f t="shared" si="41"/>
        <v>0</v>
      </c>
      <c r="J60" s="45">
        <f>IFERROR(VLOOKUP(F60,Tabela7[[RECURSO]:[CUSTO]],3,FALSE),0)</f>
        <v>0</v>
      </c>
      <c r="K60" s="45">
        <f t="shared" si="42"/>
        <v>0</v>
      </c>
      <c r="M60" s="85"/>
      <c r="N60" s="88"/>
      <c r="O60" s="31"/>
      <c r="P60" s="1"/>
      <c r="Q60" s="1"/>
      <c r="R60" s="1"/>
      <c r="S60" s="1"/>
      <c r="T60" s="1"/>
      <c r="U60" s="1"/>
      <c r="V60" s="1"/>
      <c r="W60" s="342"/>
      <c r="AD60" s="144" t="str">
        <f t="shared" si="3"/>
        <v>Sinalização horiz SAUS</v>
      </c>
      <c r="AE60" s="192"/>
      <c r="AF60" s="180">
        <f t="shared" si="38"/>
        <v>0</v>
      </c>
      <c r="AG60" s="180">
        <f t="shared" si="17"/>
        <v>0</v>
      </c>
      <c r="AH60" s="181">
        <f t="shared" si="39"/>
        <v>0</v>
      </c>
      <c r="AI60" s="193"/>
      <c r="AJ60" s="90"/>
      <c r="AK60" s="90"/>
      <c r="AL60" s="183">
        <f t="shared" si="40"/>
        <v>0</v>
      </c>
      <c r="AM60" s="193"/>
      <c r="AN60" s="90"/>
      <c r="AO60" s="90"/>
      <c r="AP60" s="183">
        <f t="shared" si="23"/>
        <v>0</v>
      </c>
      <c r="AQ60" s="193"/>
      <c r="AR60" s="90"/>
      <c r="AS60" s="90"/>
      <c r="AT60" s="183">
        <f t="shared" si="24"/>
        <v>0</v>
      </c>
      <c r="AU60" s="193"/>
      <c r="AV60" s="90"/>
      <c r="AW60" s="90"/>
      <c r="AX60" s="183">
        <f t="shared" si="25"/>
        <v>0</v>
      </c>
      <c r="AY60" s="193"/>
      <c r="AZ60" s="90"/>
      <c r="BA60" s="90"/>
      <c r="BB60" s="183">
        <f t="shared" si="26"/>
        <v>0</v>
      </c>
      <c r="BC60" s="193"/>
      <c r="BD60" s="90"/>
      <c r="BE60" s="90"/>
      <c r="BF60" s="183">
        <f t="shared" si="27"/>
        <v>0</v>
      </c>
      <c r="BG60" s="193"/>
      <c r="BH60" s="90"/>
      <c r="BI60" s="90"/>
      <c r="BJ60" s="183">
        <f t="shared" si="28"/>
        <v>0</v>
      </c>
      <c r="BK60" s="193"/>
      <c r="BL60" s="90"/>
      <c r="BM60" s="90"/>
      <c r="BN60" s="183">
        <f t="shared" si="29"/>
        <v>0</v>
      </c>
      <c r="BO60" s="193"/>
      <c r="BP60" s="90"/>
      <c r="BQ60" s="90"/>
      <c r="BR60" s="183">
        <f t="shared" si="30"/>
        <v>0</v>
      </c>
      <c r="BS60" s="193"/>
      <c r="BT60" s="90"/>
      <c r="BU60" s="90"/>
      <c r="BV60" s="183">
        <f t="shared" si="31"/>
        <v>0</v>
      </c>
      <c r="BW60" s="193"/>
      <c r="BX60" s="90"/>
      <c r="BY60" s="90"/>
      <c r="BZ60" s="183">
        <f t="shared" si="32"/>
        <v>0</v>
      </c>
      <c r="CA60" s="193"/>
      <c r="CB60" s="90"/>
      <c r="CC60" s="90"/>
      <c r="CD60" s="183">
        <f t="shared" si="33"/>
        <v>0</v>
      </c>
    </row>
    <row r="61" spans="2:82" x14ac:dyDescent="0.3">
      <c r="B61" s="53"/>
      <c r="C61" s="53" t="str">
        <f t="shared" si="0"/>
        <v>CPU_SinalizaçãohorizSAUS</v>
      </c>
      <c r="D61" s="278">
        <f t="shared" si="1"/>
        <v>1</v>
      </c>
      <c r="E61" s="278">
        <f t="shared" si="2"/>
        <v>0</v>
      </c>
      <c r="F61" s="1"/>
      <c r="G61" s="28" t="str">
        <f>IFERROR(VLOOKUP(F61,Tabela7[[RECURSO]:[CUSTO]],2,FALSE),"")</f>
        <v/>
      </c>
      <c r="I61" s="90">
        <f t="shared" si="41"/>
        <v>0</v>
      </c>
      <c r="J61" s="45">
        <f>IFERROR(VLOOKUP(F61,Tabela7[[RECURSO]:[CUSTO]],3,FALSE),0)</f>
        <v>0</v>
      </c>
      <c r="K61" s="45">
        <f t="shared" si="42"/>
        <v>0</v>
      </c>
      <c r="M61" s="85"/>
      <c r="N61" s="88"/>
      <c r="O61" s="31"/>
      <c r="P61" s="1"/>
      <c r="Q61" s="1"/>
      <c r="R61" s="1"/>
      <c r="S61" s="1"/>
      <c r="T61" s="1"/>
      <c r="U61" s="1"/>
      <c r="V61" s="1"/>
      <c r="W61" s="342"/>
      <c r="AD61" s="144" t="str">
        <f t="shared" si="3"/>
        <v>Sinalização horiz SAUS</v>
      </c>
      <c r="AE61" s="192"/>
      <c r="AF61" s="180">
        <f t="shared" si="38"/>
        <v>0</v>
      </c>
      <c r="AG61" s="180">
        <f t="shared" si="17"/>
        <v>0</v>
      </c>
      <c r="AH61" s="181">
        <f t="shared" si="39"/>
        <v>0</v>
      </c>
      <c r="AI61" s="193"/>
      <c r="AJ61" s="90"/>
      <c r="AK61" s="90"/>
      <c r="AL61" s="183">
        <f t="shared" si="40"/>
        <v>0</v>
      </c>
      <c r="AM61" s="193"/>
      <c r="AN61" s="90"/>
      <c r="AO61" s="90"/>
      <c r="AP61" s="183">
        <f t="shared" si="23"/>
        <v>0</v>
      </c>
      <c r="AQ61" s="193"/>
      <c r="AR61" s="90"/>
      <c r="AS61" s="90"/>
      <c r="AT61" s="183">
        <f t="shared" si="24"/>
        <v>0</v>
      </c>
      <c r="AU61" s="193"/>
      <c r="AV61" s="90"/>
      <c r="AW61" s="90"/>
      <c r="AX61" s="183">
        <f t="shared" si="25"/>
        <v>0</v>
      </c>
      <c r="AY61" s="193"/>
      <c r="AZ61" s="90"/>
      <c r="BA61" s="90"/>
      <c r="BB61" s="183">
        <f t="shared" si="26"/>
        <v>0</v>
      </c>
      <c r="BC61" s="193"/>
      <c r="BD61" s="90"/>
      <c r="BE61" s="90"/>
      <c r="BF61" s="183">
        <f t="shared" si="27"/>
        <v>0</v>
      </c>
      <c r="BG61" s="193"/>
      <c r="BH61" s="90"/>
      <c r="BI61" s="90"/>
      <c r="BJ61" s="183">
        <f t="shared" si="28"/>
        <v>0</v>
      </c>
      <c r="BK61" s="193"/>
      <c r="BL61" s="90"/>
      <c r="BM61" s="90"/>
      <c r="BN61" s="183">
        <f t="shared" si="29"/>
        <v>0</v>
      </c>
      <c r="BO61" s="193"/>
      <c r="BP61" s="90"/>
      <c r="BQ61" s="90"/>
      <c r="BR61" s="183">
        <f t="shared" si="30"/>
        <v>0</v>
      </c>
      <c r="BS61" s="193"/>
      <c r="BT61" s="90"/>
      <c r="BU61" s="90"/>
      <c r="BV61" s="183">
        <f t="shared" si="31"/>
        <v>0</v>
      </c>
      <c r="BW61" s="193"/>
      <c r="BX61" s="90"/>
      <c r="BY61" s="90"/>
      <c r="BZ61" s="183">
        <f t="shared" si="32"/>
        <v>0</v>
      </c>
      <c r="CA61" s="193"/>
      <c r="CB61" s="90"/>
      <c r="CC61" s="90"/>
      <c r="CD61" s="183">
        <f t="shared" si="33"/>
        <v>0</v>
      </c>
    </row>
    <row r="62" spans="2:82" ht="15" thickBot="1" x14ac:dyDescent="0.35">
      <c r="B62" s="53"/>
      <c r="C62" s="53" t="str">
        <f t="shared" si="0"/>
        <v>CPU_SinalizaçãohorizSAUS</v>
      </c>
      <c r="D62" s="278">
        <f t="shared" si="1"/>
        <v>1</v>
      </c>
      <c r="E62" s="278">
        <f t="shared" si="2"/>
        <v>0</v>
      </c>
      <c r="F62" s="1"/>
      <c r="G62" s="28" t="str">
        <f>IFERROR(VLOOKUP(F62,Tabela7[[RECURSO]:[CUSTO]],2,FALSE),"")</f>
        <v/>
      </c>
      <c r="I62" s="90">
        <f t="shared" si="41"/>
        <v>0</v>
      </c>
      <c r="J62" s="45">
        <f>IFERROR(VLOOKUP(F62,Tabela7[[RECURSO]:[CUSTO]],3,FALSE),0)</f>
        <v>0</v>
      </c>
      <c r="K62" s="45">
        <f t="shared" si="42"/>
        <v>0</v>
      </c>
      <c r="M62" s="86"/>
      <c r="N62" s="88"/>
      <c r="O62" s="51"/>
      <c r="P62" s="343"/>
      <c r="Q62" s="343"/>
      <c r="R62" s="343"/>
      <c r="S62" s="343"/>
      <c r="T62" s="343"/>
      <c r="U62" s="343"/>
      <c r="V62" s="343"/>
      <c r="W62" s="344"/>
      <c r="AD62" s="144" t="str">
        <f t="shared" si="3"/>
        <v>Sinalização horiz SAUS</v>
      </c>
      <c r="AE62" s="194"/>
      <c r="AF62" s="195">
        <f t="shared" si="38"/>
        <v>0</v>
      </c>
      <c r="AG62" s="195">
        <f t="shared" si="17"/>
        <v>0</v>
      </c>
      <c r="AH62" s="196">
        <f t="shared" si="39"/>
        <v>0</v>
      </c>
      <c r="AI62" s="197"/>
      <c r="AJ62" s="198"/>
      <c r="AK62" s="198"/>
      <c r="AL62" s="199">
        <f t="shared" si="40"/>
        <v>0</v>
      </c>
      <c r="AM62" s="197"/>
      <c r="AN62" s="198"/>
      <c r="AO62" s="198"/>
      <c r="AP62" s="199">
        <f t="shared" si="23"/>
        <v>0</v>
      </c>
      <c r="AQ62" s="197"/>
      <c r="AR62" s="198"/>
      <c r="AS62" s="198"/>
      <c r="AT62" s="199">
        <f t="shared" si="24"/>
        <v>0</v>
      </c>
      <c r="AU62" s="197"/>
      <c r="AV62" s="198"/>
      <c r="AW62" s="198"/>
      <c r="AX62" s="199">
        <f t="shared" si="25"/>
        <v>0</v>
      </c>
      <c r="AY62" s="197"/>
      <c r="AZ62" s="198"/>
      <c r="BA62" s="198"/>
      <c r="BB62" s="199">
        <f t="shared" si="26"/>
        <v>0</v>
      </c>
      <c r="BC62" s="197"/>
      <c r="BD62" s="198"/>
      <c r="BE62" s="198"/>
      <c r="BF62" s="199">
        <f t="shared" si="27"/>
        <v>0</v>
      </c>
      <c r="BG62" s="197"/>
      <c r="BH62" s="198"/>
      <c r="BI62" s="198"/>
      <c r="BJ62" s="199">
        <f t="shared" si="28"/>
        <v>0</v>
      </c>
      <c r="BK62" s="197"/>
      <c r="BL62" s="198"/>
      <c r="BM62" s="198"/>
      <c r="BN62" s="199">
        <f t="shared" si="29"/>
        <v>0</v>
      </c>
      <c r="BO62" s="197"/>
      <c r="BP62" s="198"/>
      <c r="BQ62" s="198"/>
      <c r="BR62" s="199">
        <f t="shared" si="30"/>
        <v>0</v>
      </c>
      <c r="BS62" s="197"/>
      <c r="BT62" s="198"/>
      <c r="BU62" s="198"/>
      <c r="BV62" s="199">
        <f t="shared" si="31"/>
        <v>0</v>
      </c>
      <c r="BW62" s="197"/>
      <c r="BX62" s="198"/>
      <c r="BY62" s="198"/>
      <c r="BZ62" s="199">
        <f t="shared" si="32"/>
        <v>0</v>
      </c>
      <c r="CA62" s="197"/>
      <c r="CB62" s="198"/>
      <c r="CC62" s="198"/>
      <c r="CD62" s="199">
        <f t="shared" si="33"/>
        <v>0</v>
      </c>
    </row>
  </sheetData>
  <conditionalFormatting sqref="K6:K7">
    <cfRule type="iconSet" priority="14">
      <iconSet>
        <cfvo type="percent" val="0"/>
        <cfvo type="num" val="0"/>
        <cfvo type="num" val="0.02"/>
      </iconSet>
    </cfRule>
  </conditionalFormatting>
  <conditionalFormatting sqref="AH6:AH7">
    <cfRule type="iconSet" priority="13">
      <iconSet>
        <cfvo type="percent" val="0"/>
        <cfvo type="num" val="0"/>
        <cfvo type="num" val="0.02"/>
      </iconSet>
    </cfRule>
  </conditionalFormatting>
  <conditionalFormatting sqref="AL6:AL7">
    <cfRule type="iconSet" priority="12">
      <iconSet>
        <cfvo type="percent" val="0"/>
        <cfvo type="num" val="0"/>
        <cfvo type="num" val="0.02"/>
      </iconSet>
    </cfRule>
  </conditionalFormatting>
  <conditionalFormatting sqref="AP6:AP7">
    <cfRule type="iconSet" priority="11">
      <iconSet>
        <cfvo type="percent" val="0"/>
        <cfvo type="num" val="0"/>
        <cfvo type="num" val="0.02"/>
      </iconSet>
    </cfRule>
  </conditionalFormatting>
  <conditionalFormatting sqref="AT6:AT7">
    <cfRule type="iconSet" priority="10">
      <iconSet>
        <cfvo type="percent" val="0"/>
        <cfvo type="num" val="0"/>
        <cfvo type="num" val="0.02"/>
      </iconSet>
    </cfRule>
  </conditionalFormatting>
  <conditionalFormatting sqref="AX6:AX7">
    <cfRule type="iconSet" priority="9">
      <iconSet>
        <cfvo type="percent" val="0"/>
        <cfvo type="num" val="0"/>
        <cfvo type="num" val="0.02"/>
      </iconSet>
    </cfRule>
  </conditionalFormatting>
  <conditionalFormatting sqref="BB6:BB7">
    <cfRule type="iconSet" priority="8">
      <iconSet>
        <cfvo type="percent" val="0"/>
        <cfvo type="num" val="0"/>
        <cfvo type="num" val="0.02"/>
      </iconSet>
    </cfRule>
  </conditionalFormatting>
  <conditionalFormatting sqref="BF6:BF7">
    <cfRule type="iconSet" priority="7">
      <iconSet>
        <cfvo type="percent" val="0"/>
        <cfvo type="num" val="0"/>
        <cfvo type="num" val="0.02"/>
      </iconSet>
    </cfRule>
  </conditionalFormatting>
  <conditionalFormatting sqref="BJ6:BJ7">
    <cfRule type="iconSet" priority="6">
      <iconSet>
        <cfvo type="percent" val="0"/>
        <cfvo type="num" val="0"/>
        <cfvo type="num" val="0.02"/>
      </iconSet>
    </cfRule>
  </conditionalFormatting>
  <conditionalFormatting sqref="BN6:BN7">
    <cfRule type="iconSet" priority="5">
      <iconSet>
        <cfvo type="percent" val="0"/>
        <cfvo type="num" val="0"/>
        <cfvo type="num" val="0.02"/>
      </iconSet>
    </cfRule>
  </conditionalFormatting>
  <conditionalFormatting sqref="BR6:BR7">
    <cfRule type="iconSet" priority="4">
      <iconSet>
        <cfvo type="percent" val="0"/>
        <cfvo type="num" val="0"/>
        <cfvo type="num" val="0.02"/>
      </iconSet>
    </cfRule>
  </conditionalFormatting>
  <conditionalFormatting sqref="BV6:BV7">
    <cfRule type="iconSet" priority="3">
      <iconSet>
        <cfvo type="percent" val="0"/>
        <cfvo type="num" val="0"/>
        <cfvo type="num" val="0.02"/>
      </iconSet>
    </cfRule>
  </conditionalFormatting>
  <conditionalFormatting sqref="BZ6:BZ7">
    <cfRule type="iconSet" priority="2">
      <iconSet>
        <cfvo type="percent" val="0"/>
        <cfvo type="num" val="0"/>
        <cfvo type="num" val="0.02"/>
      </iconSet>
    </cfRule>
  </conditionalFormatting>
  <conditionalFormatting sqref="CD6:CD7">
    <cfRule type="iconSet" priority="1">
      <iconSet>
        <cfvo type="percent" val="0"/>
        <cfvo type="num" val="0"/>
        <cfvo type="num" val="0.02"/>
      </iconSet>
    </cfRule>
  </conditionalFormatting>
  <dataValidations count="5">
    <dataValidation type="list" allowBlank="1" showInputMessage="1" showErrorMessage="1" sqref="F51:F62" xr:uid="{13E4BF2F-C4D0-4EEB-93C8-1EC5DA33D465}">
      <formula1>INDIRECT($B$50)</formula1>
    </dataValidation>
    <dataValidation type="list" allowBlank="1" showInputMessage="1" showErrorMessage="1" sqref="F38:F49" xr:uid="{DFF12372-0781-48DE-8BF7-F1B1886508C2}">
      <formula1>INDIRECT($B$37)</formula1>
    </dataValidation>
    <dataValidation type="list" allowBlank="1" showInputMessage="1" showErrorMessage="1" sqref="F25:F36" xr:uid="{B6C21860-5B82-45C6-9A5A-A7244F919CF8}">
      <formula1>INDIRECT($B$24)</formula1>
    </dataValidation>
    <dataValidation type="list" allowBlank="1" showInputMessage="1" showErrorMessage="1" sqref="F12:F23" xr:uid="{FAE20CCA-84D1-4501-9982-98B6EBC09BCA}">
      <formula1>INDIRECT($B$11)</formula1>
    </dataValidation>
    <dataValidation type="list" allowBlank="1" showInputMessage="1" showErrorMessage="1" sqref="B3:E3" xr:uid="{2B8358EF-A15D-4E62-A965-EE3C5DD03908}">
      <formula1>INDIRECT($B$2)</formula1>
    </dataValidation>
  </dataValidations>
  <pageMargins left="0.51181102362204722" right="0.51181102362204722" top="0.19685039370078741" bottom="0.19685039370078741" header="0.31496062992125984" footer="0.31496062992125984"/>
  <pageSetup paperSize="9" scale="82" orientation="portrait" r:id="rId1"/>
  <colBreaks count="1" manualBreakCount="1">
    <brk id="11" max="1048575" man="1"/>
  </colBreaks>
  <drawing r:id="rId2"/>
  <legacyDrawing r:id="rId3"/>
  <tableParts count="2">
    <tablePart r:id="rId4"/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B2FF8-1CA9-401C-97E6-67D06F00A479}">
  <sheetPr codeName="Plan24"/>
  <dimension ref="A1:CD62"/>
  <sheetViews>
    <sheetView showGridLines="0" zoomScaleNormal="100" workbookViewId="0">
      <pane xSplit="14" ySplit="10" topLeftCell="O43" activePane="bottomRight" state="frozen"/>
      <selection pane="topRight" activeCell="C28" activeCellId="1" sqref="E13 C28"/>
      <selection pane="bottomLeft" activeCell="C28" activeCellId="1" sqref="E13 C28"/>
      <selection pane="bottomRight" activeCell="J51" sqref="J51"/>
    </sheetView>
  </sheetViews>
  <sheetFormatPr defaultRowHeight="14.4" x14ac:dyDescent="0.3"/>
  <cols>
    <col min="1" max="1" width="4.109375" customWidth="1"/>
    <col min="2" max="2" width="16.109375" customWidth="1"/>
    <col min="3" max="5" width="16.109375" hidden="1" customWidth="1"/>
    <col min="6" max="6" width="40.6640625" customWidth="1"/>
    <col min="7" max="7" width="10.6640625" style="28" customWidth="1"/>
    <col min="8" max="8" width="7.6640625" style="28" customWidth="1"/>
    <col min="9" max="11" width="10.6640625" customWidth="1"/>
    <col min="12" max="12" width="2.33203125" customWidth="1"/>
    <col min="13" max="14" width="12.6640625" customWidth="1"/>
    <col min="15" max="15" width="14" bestFit="1" customWidth="1"/>
    <col min="30" max="30" width="12.44140625" bestFit="1" customWidth="1"/>
    <col min="31" max="31" width="7.6640625" customWidth="1"/>
    <col min="32" max="32" width="9.33203125" bestFit="1" customWidth="1"/>
    <col min="33" max="34" width="10.6640625" customWidth="1"/>
    <col min="35" max="35" width="7.6640625" customWidth="1"/>
    <col min="36" max="36" width="9.33203125" customWidth="1"/>
    <col min="37" max="38" width="10.6640625" customWidth="1"/>
    <col min="40" max="40" width="9.33203125" customWidth="1"/>
    <col min="42" max="42" width="9.6640625" customWidth="1"/>
    <col min="44" max="44" width="9.33203125" customWidth="1"/>
    <col min="46" max="46" width="9.6640625" customWidth="1"/>
    <col min="48" max="48" width="9.33203125" customWidth="1"/>
    <col min="50" max="50" width="9.6640625" customWidth="1"/>
    <col min="52" max="52" width="9.33203125" customWidth="1"/>
    <col min="54" max="54" width="9.6640625" customWidth="1"/>
    <col min="56" max="56" width="9.33203125" customWidth="1"/>
    <col min="58" max="58" width="9.6640625" customWidth="1"/>
    <col min="60" max="60" width="9.33203125" customWidth="1"/>
    <col min="62" max="62" width="9.6640625" customWidth="1"/>
    <col min="64" max="64" width="9.33203125" customWidth="1"/>
    <col min="66" max="66" width="9.6640625" customWidth="1"/>
    <col min="68" max="68" width="9.33203125" customWidth="1"/>
    <col min="70" max="70" width="9.6640625" customWidth="1"/>
    <col min="72" max="72" width="10" customWidth="1"/>
    <col min="73" max="73" width="9.5546875" customWidth="1"/>
    <col min="74" max="74" width="10.44140625" customWidth="1"/>
    <col min="76" max="76" width="10" customWidth="1"/>
    <col min="77" max="77" width="9.5546875" customWidth="1"/>
    <col min="78" max="78" width="10.44140625" customWidth="1"/>
    <col min="80" max="80" width="10" customWidth="1"/>
    <col min="81" max="81" width="9.5546875" customWidth="1"/>
    <col min="82" max="82" width="10.44140625" customWidth="1"/>
  </cols>
  <sheetData>
    <row r="1" spans="1:82" ht="26.4" customHeight="1" thickBot="1" x14ac:dyDescent="0.35">
      <c r="AE1" s="163" t="s">
        <v>678</v>
      </c>
    </row>
    <row r="2" spans="1:82" x14ac:dyDescent="0.3">
      <c r="B2" s="64" t="s">
        <v>679</v>
      </c>
      <c r="C2" s="67"/>
      <c r="D2" s="67"/>
      <c r="E2" s="67"/>
      <c r="F2" s="65"/>
      <c r="G2" s="66"/>
      <c r="H2" s="66"/>
      <c r="I2" s="65"/>
      <c r="J2" s="67" t="s">
        <v>680</v>
      </c>
      <c r="K2" s="68" t="s">
        <v>681</v>
      </c>
      <c r="M2" s="227" t="s">
        <v>682</v>
      </c>
      <c r="N2" s="228" t="s">
        <v>683</v>
      </c>
      <c r="O2" s="234" t="s">
        <v>684</v>
      </c>
      <c r="AE2" s="164" t="s">
        <v>590</v>
      </c>
      <c r="AF2" s="165" t="s">
        <v>20</v>
      </c>
      <c r="AG2" s="67"/>
      <c r="AH2" s="68" t="s">
        <v>681</v>
      </c>
      <c r="AI2" s="166">
        <v>44927</v>
      </c>
      <c r="AJ2" s="165" t="s">
        <v>20</v>
      </c>
      <c r="AK2" s="67"/>
      <c r="AL2" s="68" t="s">
        <v>681</v>
      </c>
      <c r="AM2" s="166">
        <v>44958</v>
      </c>
      <c r="AN2" s="165" t="s">
        <v>20</v>
      </c>
      <c r="AO2" s="67"/>
      <c r="AP2" s="68" t="s">
        <v>681</v>
      </c>
      <c r="AQ2" s="166">
        <v>44986</v>
      </c>
      <c r="AR2" s="165" t="s">
        <v>20</v>
      </c>
      <c r="AS2" s="67"/>
      <c r="AT2" s="68" t="s">
        <v>681</v>
      </c>
      <c r="AU2" s="166">
        <v>45017</v>
      </c>
      <c r="AV2" s="165" t="s">
        <v>20</v>
      </c>
      <c r="AW2" s="67"/>
      <c r="AX2" s="68" t="s">
        <v>681</v>
      </c>
      <c r="AY2" s="166">
        <v>45047</v>
      </c>
      <c r="AZ2" s="165" t="s">
        <v>20</v>
      </c>
      <c r="BA2" s="67"/>
      <c r="BB2" s="68" t="s">
        <v>681</v>
      </c>
      <c r="BC2" s="166">
        <v>45078</v>
      </c>
      <c r="BD2" s="165" t="s">
        <v>20</v>
      </c>
      <c r="BE2" s="67"/>
      <c r="BF2" s="68" t="s">
        <v>681</v>
      </c>
      <c r="BG2" s="166">
        <v>45108</v>
      </c>
      <c r="BH2" s="165" t="s">
        <v>20</v>
      </c>
      <c r="BI2" s="67"/>
      <c r="BJ2" s="68" t="s">
        <v>681</v>
      </c>
      <c r="BK2" s="166">
        <v>45139</v>
      </c>
      <c r="BL2" s="165" t="s">
        <v>20</v>
      </c>
      <c r="BM2" s="67"/>
      <c r="BN2" s="68" t="s">
        <v>681</v>
      </c>
      <c r="BO2" s="166">
        <v>45170</v>
      </c>
      <c r="BP2" s="165" t="s">
        <v>20</v>
      </c>
      <c r="BQ2" s="67"/>
      <c r="BR2" s="68" t="s">
        <v>681</v>
      </c>
      <c r="BS2" s="166">
        <v>45200</v>
      </c>
      <c r="BT2" s="165" t="s">
        <v>20</v>
      </c>
      <c r="BU2" s="67"/>
      <c r="BV2" s="68" t="s">
        <v>681</v>
      </c>
      <c r="BW2" s="166">
        <v>45231</v>
      </c>
      <c r="BX2" s="165" t="s">
        <v>20</v>
      </c>
      <c r="BY2" s="67"/>
      <c r="BZ2" s="68" t="s">
        <v>681</v>
      </c>
      <c r="CA2" s="166">
        <v>45261</v>
      </c>
      <c r="CB2" s="165" t="s">
        <v>20</v>
      </c>
      <c r="CC2" s="67"/>
      <c r="CD2" s="68" t="s">
        <v>681</v>
      </c>
    </row>
    <row r="3" spans="1:82" x14ac:dyDescent="0.3">
      <c r="A3" s="42" t="str">
        <f>"CPU_"&amp;LEFT(SUBSTITUTE(SUBSTITUTE(B3," ",""),"-",""),20)</f>
        <v>CPU_Grama</v>
      </c>
      <c r="B3" s="31" t="s">
        <v>821</v>
      </c>
      <c r="C3" s="1"/>
      <c r="D3" s="1"/>
      <c r="E3" s="1"/>
      <c r="F3" s="73"/>
      <c r="G3" s="74"/>
      <c r="H3" s="74"/>
      <c r="I3" s="73"/>
      <c r="J3" s="74" t="str">
        <f>IFERROR(VLOOKUP(B3,Tabela1[[NOME SERVIÇO]:[UNID]],4,0),"")</f>
        <v>UNID</v>
      </c>
      <c r="K3" s="75">
        <f>IFERROR(J6/B6,0)</f>
        <v>19905.222222222223</v>
      </c>
      <c r="M3" s="229" t="s">
        <v>685</v>
      </c>
      <c r="N3" s="230">
        <f>K11</f>
        <v>0</v>
      </c>
      <c r="O3" s="235">
        <f>IFERROR(N3/$N$7,0)</f>
        <v>0</v>
      </c>
      <c r="AE3" s="167"/>
      <c r="AF3" s="168">
        <f>AJ3+AN3+AR3+AV3+AZ3+BD3+BH3+BL3+BP3+BT3+BX3+CB3</f>
        <v>0</v>
      </c>
      <c r="AG3" s="74"/>
      <c r="AH3" s="75">
        <f>IFERROR((AG6/AF3),0)</f>
        <v>0</v>
      </c>
      <c r="AI3" s="167"/>
      <c r="AJ3" s="168">
        <f>IFERROR(SUMPRODUCT(Plan_Orc!$I$4:$I$2002*Plan_Orc!$AB$4:$AB$2002*(Plan_Orc!$D$4:$D$2002=$B3)),0)</f>
        <v>0</v>
      </c>
      <c r="AK3" s="74"/>
      <c r="AL3" s="75">
        <f>IFERROR((AK6/AJ3),0)</f>
        <v>0</v>
      </c>
      <c r="AM3" s="167"/>
      <c r="AN3" s="168">
        <f>IFERROR(SUMPRODUCT(Plan_Orc!$I$4:$I$2002*Plan_Orc!$AC$4:$AC$2002*(Plan_Orc!$D$4:$D$2002=$B3)),0)</f>
        <v>0</v>
      </c>
      <c r="AO3" s="74"/>
      <c r="AP3" s="75">
        <f>IFERROR((AO6/AN3),0)</f>
        <v>0</v>
      </c>
      <c r="AQ3" s="167"/>
      <c r="AR3" s="168">
        <f>IFERROR(SUMPRODUCT(Plan_Orc!$I$4:$I$2002*Plan_Orc!$AD$4:$AD$2002*(Plan_Orc!$D$4:$D$2002=$B3)),0)</f>
        <v>0</v>
      </c>
      <c r="AS3" s="74"/>
      <c r="AT3" s="75">
        <f>IFERROR((AS6/AR3),0)</f>
        <v>0</v>
      </c>
      <c r="AU3" s="167"/>
      <c r="AV3" s="168">
        <f>IFERROR(SUMPRODUCT(Plan_Orc!$I$4:$I$2002*Plan_Orc!$AE$4:$AE$2002*(Plan_Orc!$D$4:$D$2002=$B3)),0)</f>
        <v>0</v>
      </c>
      <c r="AW3" s="74"/>
      <c r="AX3" s="75">
        <f>IFERROR((AW6/AV3),0)</f>
        <v>0</v>
      </c>
      <c r="AY3" s="167"/>
      <c r="AZ3" s="168">
        <f>IFERROR(SUMPRODUCT(Plan_Orc!$I$4:$I$2002*Plan_Orc!$AF$4:$AF$2002*(Plan_Orc!$D$4:$D$2002=$B3)),0)</f>
        <v>0</v>
      </c>
      <c r="BA3" s="74"/>
      <c r="BB3" s="75">
        <f>IFERROR((BA6/AZ3),0)</f>
        <v>0</v>
      </c>
      <c r="BC3" s="167"/>
      <c r="BD3" s="168">
        <f>IFERROR(SUMPRODUCT(Plan_Orc!$I$4:$I$2002*Plan_Orc!$AG$4:$AG$2002*(Plan_Orc!$D$4:$D$2002=$B3)),0)</f>
        <v>0</v>
      </c>
      <c r="BE3" s="74"/>
      <c r="BF3" s="75">
        <f>IFERROR((BE6/BD3),0)</f>
        <v>0</v>
      </c>
      <c r="BG3" s="167"/>
      <c r="BH3" s="168">
        <f>IFERROR(SUMPRODUCT(Plan_Orc!$I$4:$I$2002*Plan_Orc!$AH$4:$AH$2002*(Plan_Orc!$D$4:$D$2002=$B3)),0)</f>
        <v>0</v>
      </c>
      <c r="BI3" s="74"/>
      <c r="BJ3" s="75">
        <f>IFERROR((BI6/BH3),0)</f>
        <v>0</v>
      </c>
      <c r="BK3" s="167"/>
      <c r="BL3" s="168">
        <f>IFERROR(SUMPRODUCT(Plan_Orc!$I$4:$I$2002*Plan_Orc!$AI$4:$AI$2002*(Plan_Orc!$D$4:$D$2002=$B3)),0)</f>
        <v>0</v>
      </c>
      <c r="BM3" s="74"/>
      <c r="BN3" s="75">
        <f>IFERROR((BM6/BL3),0)</f>
        <v>0</v>
      </c>
      <c r="BO3" s="167"/>
      <c r="BP3" s="168">
        <f>IFERROR(SUMPRODUCT(Plan_Orc!$I$4:$I$2002*Plan_Orc!$AJ$4:$AJ$2002*(Plan_Orc!$D$4:$D$2002=$B3)),0)</f>
        <v>0</v>
      </c>
      <c r="BQ3" s="74"/>
      <c r="BR3" s="75">
        <f>IFERROR((BQ6/BP3),0)</f>
        <v>0</v>
      </c>
      <c r="BS3" s="167"/>
      <c r="BT3" s="168">
        <f>IFERROR(SUMPRODUCT(Plan_Orc!$I$4:$I$2002*Plan_Orc!$AK$4:$AK$2002*(Plan_Orc!$D$4:$D$2002=$B3)),0)</f>
        <v>0</v>
      </c>
      <c r="BU3" s="74"/>
      <c r="BV3" s="75">
        <f>IFERROR((BU6/BT3),0)</f>
        <v>0</v>
      </c>
      <c r="BW3" s="167"/>
      <c r="BX3" s="168">
        <f>IFERROR(SUMPRODUCT(Plan_Orc!$I$4:$I$2002*Plan_Orc!$AL$4:$AL$2002*(Plan_Orc!$D$4:$D$2002=$B3)),0)</f>
        <v>0</v>
      </c>
      <c r="BY3" s="74"/>
      <c r="BZ3" s="75">
        <f>IFERROR((BY6/BX3),0)</f>
        <v>0</v>
      </c>
      <c r="CA3" s="167"/>
      <c r="CB3" s="168">
        <f>IFERROR(SUMPRODUCT(Plan_Orc!$I$4:$I$2002*Plan_Orc!$AM$4:$AM$2002*(Plan_Orc!$D$4:$D$2002=$B3)),0)</f>
        <v>0</v>
      </c>
      <c r="CC3" s="74"/>
      <c r="CD3" s="75">
        <f>IFERROR((CC6/CB3),0)</f>
        <v>0</v>
      </c>
    </row>
    <row r="4" spans="1:82" x14ac:dyDescent="0.3">
      <c r="B4" s="32"/>
      <c r="K4" s="30"/>
      <c r="M4" s="229" t="s">
        <v>686</v>
      </c>
      <c r="N4" s="230">
        <f>+K24</f>
        <v>0</v>
      </c>
      <c r="O4" s="235">
        <f>IFERROR(N4/$N$7,0)</f>
        <v>0</v>
      </c>
      <c r="AE4" s="169"/>
      <c r="AH4" s="30"/>
      <c r="AI4" s="169"/>
      <c r="AL4" s="30"/>
      <c r="AM4" s="169"/>
      <c r="AP4" s="30"/>
      <c r="AQ4" s="169"/>
      <c r="AT4" s="30"/>
      <c r="AU4" s="169"/>
      <c r="AX4" s="30"/>
      <c r="AY4" s="169"/>
      <c r="BB4" s="30"/>
      <c r="BC4" s="169"/>
      <c r="BF4" s="30"/>
      <c r="BG4" s="169"/>
      <c r="BJ4" s="30"/>
      <c r="BK4" s="169"/>
      <c r="BN4" s="30"/>
      <c r="BO4" s="169"/>
      <c r="BR4" s="30"/>
      <c r="BS4" s="169"/>
      <c r="BV4" s="30"/>
      <c r="BW4" s="169"/>
      <c r="BZ4" s="30"/>
      <c r="CA4" s="169"/>
      <c r="CD4" s="30"/>
    </row>
    <row r="5" spans="1:82" x14ac:dyDescent="0.3">
      <c r="B5" s="69" t="s">
        <v>687</v>
      </c>
      <c r="C5" s="72"/>
      <c r="D5" s="72"/>
      <c r="E5" s="72"/>
      <c r="F5" s="70" t="s">
        <v>688</v>
      </c>
      <c r="G5" s="70" t="s">
        <v>689</v>
      </c>
      <c r="H5" s="70" t="s">
        <v>690</v>
      </c>
      <c r="I5" s="70" t="s">
        <v>691</v>
      </c>
      <c r="J5" s="70" t="s">
        <v>683</v>
      </c>
      <c r="K5" s="71" t="s">
        <v>593</v>
      </c>
      <c r="M5" s="229" t="s">
        <v>692</v>
      </c>
      <c r="N5" s="230">
        <f>+K37</f>
        <v>0</v>
      </c>
      <c r="O5" s="235">
        <f>IFERROR(N5/$N$7,0)</f>
        <v>0</v>
      </c>
      <c r="AE5" s="170"/>
      <c r="AF5" s="70" t="s">
        <v>691</v>
      </c>
      <c r="AG5" s="70" t="s">
        <v>683</v>
      </c>
      <c r="AH5" s="71" t="s">
        <v>593</v>
      </c>
      <c r="AI5" s="170"/>
      <c r="AJ5" s="70" t="s">
        <v>691</v>
      </c>
      <c r="AK5" s="70" t="s">
        <v>683</v>
      </c>
      <c r="AL5" s="71" t="s">
        <v>593</v>
      </c>
      <c r="AM5" s="170"/>
      <c r="AN5" s="70" t="s">
        <v>691</v>
      </c>
      <c r="AO5" s="70" t="s">
        <v>683</v>
      </c>
      <c r="AP5" s="71" t="s">
        <v>593</v>
      </c>
      <c r="AQ5" s="170"/>
      <c r="AR5" s="70" t="s">
        <v>691</v>
      </c>
      <c r="AS5" s="70" t="s">
        <v>683</v>
      </c>
      <c r="AT5" s="71" t="s">
        <v>593</v>
      </c>
      <c r="AU5" s="170"/>
      <c r="AV5" s="70" t="s">
        <v>691</v>
      </c>
      <c r="AW5" s="70" t="s">
        <v>683</v>
      </c>
      <c r="AX5" s="71" t="s">
        <v>593</v>
      </c>
      <c r="AY5" s="170"/>
      <c r="AZ5" s="70" t="s">
        <v>691</v>
      </c>
      <c r="BA5" s="70" t="s">
        <v>683</v>
      </c>
      <c r="BB5" s="71" t="s">
        <v>593</v>
      </c>
      <c r="BC5" s="170"/>
      <c r="BD5" s="70" t="s">
        <v>691</v>
      </c>
      <c r="BE5" s="70" t="s">
        <v>683</v>
      </c>
      <c r="BF5" s="71" t="s">
        <v>593</v>
      </c>
      <c r="BG5" s="170"/>
      <c r="BH5" s="70" t="s">
        <v>691</v>
      </c>
      <c r="BI5" s="70" t="s">
        <v>683</v>
      </c>
      <c r="BJ5" s="71" t="s">
        <v>593</v>
      </c>
      <c r="BK5" s="170"/>
      <c r="BL5" s="70" t="s">
        <v>691</v>
      </c>
      <c r="BM5" s="70" t="s">
        <v>683</v>
      </c>
      <c r="BN5" s="71" t="s">
        <v>593</v>
      </c>
      <c r="BO5" s="170"/>
      <c r="BP5" s="70" t="s">
        <v>691</v>
      </c>
      <c r="BQ5" s="70" t="s">
        <v>683</v>
      </c>
      <c r="BR5" s="71" t="s">
        <v>593</v>
      </c>
      <c r="BS5" s="170"/>
      <c r="BT5" s="70" t="s">
        <v>691</v>
      </c>
      <c r="BU5" s="70" t="s">
        <v>683</v>
      </c>
      <c r="BV5" s="71" t="s">
        <v>593</v>
      </c>
      <c r="BW5" s="170"/>
      <c r="BX5" s="70" t="s">
        <v>691</v>
      </c>
      <c r="BY5" s="70" t="s">
        <v>683</v>
      </c>
      <c r="BZ5" s="71" t="s">
        <v>593</v>
      </c>
      <c r="CA5" s="170"/>
      <c r="CB5" s="70" t="s">
        <v>691</v>
      </c>
      <c r="CC5" s="70" t="s">
        <v>683</v>
      </c>
      <c r="CD5" s="71" t="s">
        <v>593</v>
      </c>
    </row>
    <row r="6" spans="1:82" s="2" customFormat="1" ht="30" customHeight="1" x14ac:dyDescent="0.3">
      <c r="B6" s="33">
        <f>1/2</f>
        <v>0.5</v>
      </c>
      <c r="C6" s="275"/>
      <c r="D6" s="275"/>
      <c r="E6" s="275"/>
      <c r="F6" s="27"/>
      <c r="G6" s="35">
        <v>1</v>
      </c>
      <c r="H6" s="81" t="s">
        <v>347</v>
      </c>
      <c r="I6" s="55">
        <f>IFERROR(I7/B7*B6,0)</f>
        <v>0</v>
      </c>
      <c r="J6" s="55">
        <f>K11+K24+K37+K50</f>
        <v>9952.6111111111113</v>
      </c>
      <c r="K6" s="56">
        <f>IFERROR((I6-J6)/I6-PARAMETROS!C19,0)</f>
        <v>0</v>
      </c>
      <c r="M6" s="229" t="s">
        <v>693</v>
      </c>
      <c r="N6" s="230">
        <f>+K50</f>
        <v>9952.6111111111113</v>
      </c>
      <c r="O6" s="235">
        <f>IFERROR(N6/$N$7,0)</f>
        <v>1</v>
      </c>
      <c r="AE6" s="171"/>
      <c r="AF6" s="55">
        <f>AJ6+AN6+AR6+AV6+AZ6+BD6+BH6+BL6+BP6+BT6+BX6+CB6</f>
        <v>0</v>
      </c>
      <c r="AG6" s="55">
        <f>AH11+AH24+AH37+AH50</f>
        <v>0</v>
      </c>
      <c r="AH6" s="56">
        <f>IFERROR((AF6-AG6)/AF6,0)</f>
        <v>0</v>
      </c>
      <c r="AI6" s="171"/>
      <c r="AJ6" s="55"/>
      <c r="AK6" s="55">
        <f>AL11+AL24+AL37+AL50</f>
        <v>0</v>
      </c>
      <c r="AL6" s="56">
        <f>IFERROR((AJ6-AK6)/AJ6,0)</f>
        <v>0</v>
      </c>
      <c r="AM6" s="171"/>
      <c r="AN6" s="55"/>
      <c r="AO6" s="55">
        <f>AP11+AP24+AP37+AP50</f>
        <v>0</v>
      </c>
      <c r="AP6" s="56">
        <f>IFERROR((AN6-AO6)/AN6,0)</f>
        <v>0</v>
      </c>
      <c r="AQ6" s="171"/>
      <c r="AR6" s="55"/>
      <c r="AS6" s="55">
        <f>AT11+AT24+AT37+AT50</f>
        <v>0</v>
      </c>
      <c r="AT6" s="56">
        <f>IFERROR((AR6-AS6)/AR6,0)</f>
        <v>0</v>
      </c>
      <c r="AU6" s="171"/>
      <c r="AV6" s="55"/>
      <c r="AW6" s="55">
        <f>AX11+AX24+AX37+AX50</f>
        <v>0</v>
      </c>
      <c r="AX6" s="56">
        <f>IFERROR((AV6-AW6)/AV6,0)</f>
        <v>0</v>
      </c>
      <c r="AY6" s="171"/>
      <c r="AZ6" s="55"/>
      <c r="BA6" s="55">
        <f>BB11+BB24+BB37+BB50</f>
        <v>0</v>
      </c>
      <c r="BB6" s="56">
        <f>IFERROR((AZ6-BA6)/AZ6,0)</f>
        <v>0</v>
      </c>
      <c r="BC6" s="171"/>
      <c r="BD6" s="55"/>
      <c r="BE6" s="55">
        <f>BF11+BF24+BF37+BF50</f>
        <v>0</v>
      </c>
      <c r="BF6" s="56">
        <f>IFERROR((BD6-BE6)/BD6,0)</f>
        <v>0</v>
      </c>
      <c r="BG6" s="171"/>
      <c r="BH6" s="55"/>
      <c r="BI6" s="55">
        <f>BJ11+BJ24+BJ37+BJ50</f>
        <v>0</v>
      </c>
      <c r="BJ6" s="56">
        <f>IFERROR((BH6-BI6)/BH6,0)</f>
        <v>0</v>
      </c>
      <c r="BK6" s="171"/>
      <c r="BL6" s="55"/>
      <c r="BM6" s="55">
        <f>BN11+BN24+BN37+BN50</f>
        <v>0</v>
      </c>
      <c r="BN6" s="56">
        <f>IFERROR((BL6-BM6)/BL6,0)</f>
        <v>0</v>
      </c>
      <c r="BO6" s="171"/>
      <c r="BP6" s="55"/>
      <c r="BQ6" s="55">
        <f>BR11+BR24+BR37+BR50</f>
        <v>0</v>
      </c>
      <c r="BR6" s="56">
        <f>IFERROR((BP6-BQ6)/BP6,0)</f>
        <v>0</v>
      </c>
      <c r="BS6" s="171"/>
      <c r="BT6" s="55"/>
      <c r="BU6" s="55">
        <f>BV11+BV24+BV37+BV50</f>
        <v>0</v>
      </c>
      <c r="BV6" s="56">
        <f>IFERROR((BT6-BU6)/BT6,0)</f>
        <v>0</v>
      </c>
      <c r="BW6" s="171"/>
      <c r="BX6" s="55"/>
      <c r="BY6" s="55">
        <f>BZ11+BZ24+BZ37+BZ50</f>
        <v>0</v>
      </c>
      <c r="BZ6" s="56">
        <f>IFERROR((BX6-BY6)/BX6,0)</f>
        <v>0</v>
      </c>
      <c r="CA6" s="171"/>
      <c r="CB6" s="55"/>
      <c r="CC6" s="55">
        <f>CD11+CD24+CD37+CD50</f>
        <v>0</v>
      </c>
      <c r="CD6" s="56">
        <f>IFERROR((CB6-CC6)/CB6,0)</f>
        <v>0</v>
      </c>
    </row>
    <row r="7" spans="1:82" s="2" customFormat="1" ht="30" customHeight="1" thickBot="1" x14ac:dyDescent="0.35">
      <c r="B7" s="34">
        <f>IFERROR(VLOOKUP(B3,Lucratividade!G4:N853,2,0),0)</f>
        <v>0</v>
      </c>
      <c r="C7" s="276"/>
      <c r="D7" s="276"/>
      <c r="E7" s="276"/>
      <c r="F7" s="50"/>
      <c r="G7" s="36">
        <f>IFERROR(B7/B6,0)</f>
        <v>0</v>
      </c>
      <c r="H7" s="82" t="s">
        <v>347</v>
      </c>
      <c r="I7" s="57">
        <f>IFERROR(VLOOKUP(B3,Lucratividade!G4:N132,6,0),0)</f>
        <v>0</v>
      </c>
      <c r="J7" s="58">
        <f>B7*K3</f>
        <v>0</v>
      </c>
      <c r="K7" s="59">
        <f>IFERROR((I7-J7)/I7-PARAMETROS!C19,0)</f>
        <v>0</v>
      </c>
      <c r="M7" s="231" t="s">
        <v>694</v>
      </c>
      <c r="N7" s="232">
        <f>SUM(N3:N6)</f>
        <v>9952.6111111111113</v>
      </c>
      <c r="O7" s="236"/>
      <c r="AE7" s="172"/>
      <c r="AF7" s="57"/>
      <c r="AG7" s="58"/>
      <c r="AH7" s="59"/>
      <c r="AI7" s="172"/>
      <c r="AJ7" s="57"/>
      <c r="AK7" s="58"/>
      <c r="AL7" s="59"/>
      <c r="AM7" s="172"/>
      <c r="AN7" s="57"/>
      <c r="AO7" s="58"/>
      <c r="AP7" s="59"/>
      <c r="AQ7" s="172"/>
      <c r="AR7" s="57"/>
      <c r="AS7" s="58"/>
      <c r="AT7" s="59"/>
      <c r="AU7" s="172"/>
      <c r="AV7" s="57"/>
      <c r="AW7" s="58"/>
      <c r="AX7" s="59"/>
      <c r="AY7" s="172"/>
      <c r="AZ7" s="57"/>
      <c r="BA7" s="58"/>
      <c r="BB7" s="59"/>
      <c r="BC7" s="172"/>
      <c r="BD7" s="57"/>
      <c r="BE7" s="58"/>
      <c r="BF7" s="59"/>
      <c r="BG7" s="172"/>
      <c r="BH7" s="57"/>
      <c r="BI7" s="58"/>
      <c r="BJ7" s="59"/>
      <c r="BK7" s="172"/>
      <c r="BL7" s="57"/>
      <c r="BM7" s="58"/>
      <c r="BN7" s="59"/>
      <c r="BO7" s="172"/>
      <c r="BP7" s="57"/>
      <c r="BQ7" s="58"/>
      <c r="BR7" s="59"/>
      <c r="BS7" s="172"/>
      <c r="BT7" s="57"/>
      <c r="BU7" s="58"/>
      <c r="BV7" s="59"/>
      <c r="BW7" s="172"/>
      <c r="BX7" s="57"/>
      <c r="BY7" s="58"/>
      <c r="BZ7" s="59"/>
      <c r="CA7" s="172"/>
      <c r="CB7" s="57"/>
      <c r="CC7" s="58"/>
      <c r="CD7" s="59"/>
    </row>
    <row r="8" spans="1:82" ht="4.2" customHeight="1" x14ac:dyDescent="0.3">
      <c r="AE8" s="28"/>
      <c r="AI8" s="28"/>
      <c r="AM8" s="28"/>
      <c r="AQ8" s="28"/>
      <c r="AU8" s="28"/>
      <c r="AY8" s="28"/>
      <c r="BC8" s="28"/>
      <c r="BG8" s="28"/>
      <c r="BK8" s="28"/>
      <c r="BO8" s="28"/>
      <c r="BS8" s="28"/>
      <c r="BW8" s="28"/>
      <c r="CA8" s="28"/>
    </row>
    <row r="9" spans="1:82" ht="4.95" customHeight="1" thickBot="1" x14ac:dyDescent="0.35">
      <c r="AE9" s="28"/>
      <c r="AI9" s="28"/>
      <c r="AM9" s="28"/>
      <c r="AQ9" s="28"/>
      <c r="AU9" s="28"/>
      <c r="AY9" s="28"/>
      <c r="BC9" s="28"/>
      <c r="BG9" s="28"/>
      <c r="BK9" s="28"/>
      <c r="BO9" s="28"/>
      <c r="BS9" s="28"/>
      <c r="BW9" s="28"/>
      <c r="CA9" s="28"/>
    </row>
    <row r="10" spans="1:82" ht="15" thickBot="1" x14ac:dyDescent="0.35">
      <c r="B10" s="72" t="s">
        <v>695</v>
      </c>
      <c r="C10" s="72" t="s">
        <v>679</v>
      </c>
      <c r="D10" s="72" t="s">
        <v>696</v>
      </c>
      <c r="E10" s="72" t="s">
        <v>697</v>
      </c>
      <c r="F10" s="72" t="s">
        <v>17</v>
      </c>
      <c r="G10" s="70" t="s">
        <v>690</v>
      </c>
      <c r="H10" s="70" t="s">
        <v>698</v>
      </c>
      <c r="I10" s="72" t="s">
        <v>20</v>
      </c>
      <c r="J10" s="72" t="s">
        <v>699</v>
      </c>
      <c r="K10" s="72" t="s">
        <v>700</v>
      </c>
      <c r="M10" s="83" t="s">
        <v>701</v>
      </c>
      <c r="N10" s="87" t="s">
        <v>702</v>
      </c>
      <c r="AD10" s="173" t="s">
        <v>703</v>
      </c>
      <c r="AE10" s="170" t="s">
        <v>698</v>
      </c>
      <c r="AF10" s="70" t="s">
        <v>20</v>
      </c>
      <c r="AG10" s="70" t="s">
        <v>699</v>
      </c>
      <c r="AH10" s="70" t="s">
        <v>700</v>
      </c>
      <c r="AI10" s="173" t="s">
        <v>704</v>
      </c>
      <c r="AJ10" s="174" t="s">
        <v>705</v>
      </c>
      <c r="AK10" s="174" t="s">
        <v>706</v>
      </c>
      <c r="AL10" s="175" t="s">
        <v>707</v>
      </c>
      <c r="AM10" s="173" t="s">
        <v>708</v>
      </c>
      <c r="AN10" s="174" t="s">
        <v>709</v>
      </c>
      <c r="AO10" s="174" t="s">
        <v>710</v>
      </c>
      <c r="AP10" s="175" t="s">
        <v>711</v>
      </c>
      <c r="AQ10" s="173" t="s">
        <v>712</v>
      </c>
      <c r="AR10" s="174" t="s">
        <v>713</v>
      </c>
      <c r="AS10" s="174" t="s">
        <v>714</v>
      </c>
      <c r="AT10" s="175" t="s">
        <v>715</v>
      </c>
      <c r="AU10" s="173" t="s">
        <v>716</v>
      </c>
      <c r="AV10" s="174" t="s">
        <v>717</v>
      </c>
      <c r="AW10" s="174" t="s">
        <v>718</v>
      </c>
      <c r="AX10" s="175" t="s">
        <v>719</v>
      </c>
      <c r="AY10" s="173" t="s">
        <v>720</v>
      </c>
      <c r="AZ10" s="174" t="s">
        <v>721</v>
      </c>
      <c r="BA10" s="174" t="s">
        <v>722</v>
      </c>
      <c r="BB10" s="175" t="s">
        <v>723</v>
      </c>
      <c r="BC10" s="173" t="s">
        <v>724</v>
      </c>
      <c r="BD10" s="174" t="s">
        <v>725</v>
      </c>
      <c r="BE10" s="174" t="s">
        <v>726</v>
      </c>
      <c r="BF10" s="175" t="s">
        <v>727</v>
      </c>
      <c r="BG10" s="173" t="s">
        <v>728</v>
      </c>
      <c r="BH10" s="174" t="s">
        <v>729</v>
      </c>
      <c r="BI10" s="174" t="s">
        <v>730</v>
      </c>
      <c r="BJ10" s="175" t="s">
        <v>731</v>
      </c>
      <c r="BK10" s="173" t="s">
        <v>732</v>
      </c>
      <c r="BL10" s="174" t="s">
        <v>733</v>
      </c>
      <c r="BM10" s="174" t="s">
        <v>734</v>
      </c>
      <c r="BN10" s="175" t="s">
        <v>735</v>
      </c>
      <c r="BO10" s="173" t="s">
        <v>736</v>
      </c>
      <c r="BP10" s="174" t="s">
        <v>737</v>
      </c>
      <c r="BQ10" s="174" t="s">
        <v>738</v>
      </c>
      <c r="BR10" s="175" t="s">
        <v>739</v>
      </c>
      <c r="BS10" s="173" t="s">
        <v>740</v>
      </c>
      <c r="BT10" s="174" t="s">
        <v>741</v>
      </c>
      <c r="BU10" s="174" t="s">
        <v>742</v>
      </c>
      <c r="BV10" s="175" t="s">
        <v>743</v>
      </c>
      <c r="BW10" s="173" t="s">
        <v>744</v>
      </c>
      <c r="BX10" s="174" t="s">
        <v>745</v>
      </c>
      <c r="BY10" s="174" t="s">
        <v>746</v>
      </c>
      <c r="BZ10" s="175" t="s">
        <v>747</v>
      </c>
      <c r="CA10" s="173" t="s">
        <v>748</v>
      </c>
      <c r="CB10" s="174" t="s">
        <v>749</v>
      </c>
      <c r="CC10" s="174" t="s">
        <v>750</v>
      </c>
      <c r="CD10" s="174" t="s">
        <v>751</v>
      </c>
    </row>
    <row r="11" spans="1:82" x14ac:dyDescent="0.3">
      <c r="B11" s="52" t="s">
        <v>752</v>
      </c>
      <c r="C11" s="52" t="str">
        <f t="shared" ref="C11:C62" si="0">$A$3</f>
        <v>CPU_Grama</v>
      </c>
      <c r="D11" s="277">
        <f t="shared" ref="D11:D62" si="1">$B$6</f>
        <v>0.5</v>
      </c>
      <c r="E11" s="277">
        <f t="shared" ref="E11:E62" si="2">$B$7</f>
        <v>0</v>
      </c>
      <c r="F11" s="37"/>
      <c r="G11" s="38"/>
      <c r="H11" s="91"/>
      <c r="I11" s="40"/>
      <c r="J11" s="40">
        <f>IFERROR(K11/$B$6,0)</f>
        <v>0</v>
      </c>
      <c r="K11" s="40">
        <f>SUM(K12:K23)</f>
        <v>0</v>
      </c>
      <c r="M11" s="294" t="s">
        <v>753</v>
      </c>
      <c r="N11" s="295" t="s">
        <v>754</v>
      </c>
      <c r="O11" s="296" t="s">
        <v>755</v>
      </c>
      <c r="AD11" s="144" t="str">
        <f>$B$3</f>
        <v>Grama</v>
      </c>
      <c r="AE11" s="176"/>
      <c r="AF11" s="177"/>
      <c r="AG11" s="177">
        <f>IFERROR(AH11/AF$3,0)</f>
        <v>0</v>
      </c>
      <c r="AH11" s="178">
        <f>SUM(AH12:AH23)</f>
        <v>0</v>
      </c>
      <c r="AI11" s="176"/>
      <c r="AJ11" s="177"/>
      <c r="AK11" s="177">
        <f>IFERROR(AL11/AJ$3,0)</f>
        <v>0</v>
      </c>
      <c r="AL11" s="178">
        <f>SUM(AL12:AL23)</f>
        <v>0</v>
      </c>
      <c r="AM11" s="176"/>
      <c r="AN11" s="177"/>
      <c r="AO11" s="177">
        <f>IFERROR(AP11/AN$3,0)</f>
        <v>0</v>
      </c>
      <c r="AP11" s="178">
        <f>SUM(AP12:AP23)</f>
        <v>0</v>
      </c>
      <c r="AQ11" s="176"/>
      <c r="AR11" s="177"/>
      <c r="AS11" s="177">
        <f>IFERROR(AT11/AR$3,0)</f>
        <v>0</v>
      </c>
      <c r="AT11" s="178">
        <f>SUM(AT12:AT23)</f>
        <v>0</v>
      </c>
      <c r="AU11" s="176"/>
      <c r="AV11" s="177"/>
      <c r="AW11" s="177">
        <f>IFERROR(AX11/AV$3,0)</f>
        <v>0</v>
      </c>
      <c r="AX11" s="178">
        <f>SUM(AX12:AX23)</f>
        <v>0</v>
      </c>
      <c r="AY11" s="176"/>
      <c r="AZ11" s="177"/>
      <c r="BA11" s="177">
        <f>IFERROR(BB11/AZ$3,0)</f>
        <v>0</v>
      </c>
      <c r="BB11" s="178">
        <f>SUM(BB12:BB23)</f>
        <v>0</v>
      </c>
      <c r="BC11" s="176"/>
      <c r="BD11" s="177"/>
      <c r="BE11" s="177">
        <f>IFERROR(BF11/BD$3,0)</f>
        <v>0</v>
      </c>
      <c r="BF11" s="178">
        <f>SUM(BF12:BF23)</f>
        <v>0</v>
      </c>
      <c r="BG11" s="176"/>
      <c r="BH11" s="177"/>
      <c r="BI11" s="177">
        <f>IFERROR(BJ11/BH$3,0)</f>
        <v>0</v>
      </c>
      <c r="BJ11" s="178">
        <f>SUM(BJ12:BJ23)</f>
        <v>0</v>
      </c>
      <c r="BK11" s="176"/>
      <c r="BL11" s="177"/>
      <c r="BM11" s="177">
        <f>IFERROR(BN11/BL$3,0)</f>
        <v>0</v>
      </c>
      <c r="BN11" s="178">
        <f>SUM(BN12:BN23)</f>
        <v>0</v>
      </c>
      <c r="BO11" s="176"/>
      <c r="BP11" s="177"/>
      <c r="BQ11" s="177">
        <f>IFERROR(BR11/BP$3,0)</f>
        <v>0</v>
      </c>
      <c r="BR11" s="178">
        <f>SUM(BR12:BR23)</f>
        <v>0</v>
      </c>
      <c r="BS11" s="176"/>
      <c r="BT11" s="177"/>
      <c r="BU11" s="177">
        <f>IFERROR(BV11/BT$3,0)</f>
        <v>0</v>
      </c>
      <c r="BV11" s="178">
        <f>SUM(BV12:BV23)</f>
        <v>0</v>
      </c>
      <c r="BW11" s="176"/>
      <c r="BX11" s="177"/>
      <c r="BY11" s="177">
        <f>IFERROR(BZ11/BX$3,0)</f>
        <v>0</v>
      </c>
      <c r="BZ11" s="178">
        <f>SUM(BZ12:BZ23)</f>
        <v>0</v>
      </c>
      <c r="CA11" s="176"/>
      <c r="CB11" s="177"/>
      <c r="CC11" s="177">
        <f>IFERROR(CD11/CB$3,0)</f>
        <v>0</v>
      </c>
      <c r="CD11" s="178">
        <f>SUM(CD12:CD23)</f>
        <v>0</v>
      </c>
    </row>
    <row r="12" spans="1:82" x14ac:dyDescent="0.3">
      <c r="B12" s="53"/>
      <c r="C12" s="53" t="str">
        <f t="shared" si="0"/>
        <v>CPU_Grama</v>
      </c>
      <c r="D12" s="278">
        <f t="shared" si="1"/>
        <v>0.5</v>
      </c>
      <c r="E12" s="278">
        <f t="shared" si="2"/>
        <v>0</v>
      </c>
      <c r="F12" s="46"/>
      <c r="G12" s="28" t="str">
        <f>IFERROR(VLOOKUP(F12,Tabela7[[RECURSO]:[CUSTO]],2,FALSE),"")</f>
        <v/>
      </c>
      <c r="H12" s="92"/>
      <c r="I12" s="90"/>
      <c r="J12" s="45">
        <f>IFERROR(VLOOKUP(F12,Tabela7[[RECURSO]:[CUSTO]],3,FALSE),0)</f>
        <v>0</v>
      </c>
      <c r="K12" s="45">
        <f>I12*J12*CPU_30[[#This Row],[Nº]]</f>
        <v>0</v>
      </c>
      <c r="M12" s="31"/>
      <c r="N12" s="297"/>
      <c r="O12" s="60">
        <f>IFERROR($B$6/(H12*I12*N12),0)</f>
        <v>0</v>
      </c>
      <c r="AD12" s="144" t="str">
        <f t="shared" ref="AD12:AD62" si="3">$B$3</f>
        <v>Grama</v>
      </c>
      <c r="AE12" s="179"/>
      <c r="AF12" s="180">
        <f>AJ12+AN12+AR12+AV12+AZ12+BD12+BH12+BL12+BP12+BT12+BX12+CB12</f>
        <v>0</v>
      </c>
      <c r="AG12" s="180">
        <f>IFERROR(AH12/AF12,0)</f>
        <v>0</v>
      </c>
      <c r="AH12" s="181">
        <f>AL12+AP12+AT12+AX12+BB12+BF12+BJ12+BN12+BR12+BV12+BZ12+CD12</f>
        <v>0</v>
      </c>
      <c r="AI12" s="182"/>
      <c r="AJ12" s="90"/>
      <c r="AK12" s="90"/>
      <c r="AL12" s="183">
        <f>AJ12*AK12</f>
        <v>0</v>
      </c>
      <c r="AM12" s="182"/>
      <c r="AN12" s="90"/>
      <c r="AO12" s="90"/>
      <c r="AP12" s="183">
        <f t="shared" ref="AP12:AP23" si="4">AN12*AO12</f>
        <v>0</v>
      </c>
      <c r="AQ12" s="182"/>
      <c r="AR12" s="90"/>
      <c r="AS12" s="90"/>
      <c r="AT12" s="183">
        <f t="shared" ref="AT12:AT23" si="5">AR12*AS12</f>
        <v>0</v>
      </c>
      <c r="AU12" s="182"/>
      <c r="AV12" s="90"/>
      <c r="AW12" s="90"/>
      <c r="AX12" s="183">
        <f t="shared" ref="AX12:AX23" si="6">AV12*AW12</f>
        <v>0</v>
      </c>
      <c r="AY12" s="182"/>
      <c r="AZ12" s="90"/>
      <c r="BA12" s="90"/>
      <c r="BB12" s="183">
        <f t="shared" ref="BB12:BB23" si="7">AZ12*BA12</f>
        <v>0</v>
      </c>
      <c r="BC12" s="182"/>
      <c r="BD12" s="90"/>
      <c r="BE12" s="90"/>
      <c r="BF12" s="183">
        <f t="shared" ref="BF12:BF23" si="8">BD12*BE12</f>
        <v>0</v>
      </c>
      <c r="BG12" s="182"/>
      <c r="BH12" s="90"/>
      <c r="BI12" s="90"/>
      <c r="BJ12" s="183">
        <f t="shared" ref="BJ12:BJ23" si="9">BH12*BI12</f>
        <v>0</v>
      </c>
      <c r="BK12" s="182"/>
      <c r="BL12" s="90"/>
      <c r="BM12" s="90"/>
      <c r="BN12" s="183">
        <f t="shared" ref="BN12:BN23" si="10">BL12*BM12</f>
        <v>0</v>
      </c>
      <c r="BO12" s="182"/>
      <c r="BP12" s="90"/>
      <c r="BQ12" s="90"/>
      <c r="BR12" s="183">
        <f t="shared" ref="BR12:BR23" si="11">BP12*BQ12</f>
        <v>0</v>
      </c>
      <c r="BS12" s="182"/>
      <c r="BT12" s="90"/>
      <c r="BU12" s="90"/>
      <c r="BV12" s="183">
        <f t="shared" ref="BV12:BV23" si="12">BT12*BU12</f>
        <v>0</v>
      </c>
      <c r="BW12" s="182"/>
      <c r="BX12" s="90"/>
      <c r="BY12" s="90"/>
      <c r="BZ12" s="183">
        <f t="shared" ref="BZ12:BZ23" si="13">BX12*BY12</f>
        <v>0</v>
      </c>
      <c r="CA12" s="182"/>
      <c r="CB12" s="90"/>
      <c r="CC12" s="90"/>
      <c r="CD12" s="183">
        <f t="shared" ref="CD12:CD23" si="14">CB12*CC12</f>
        <v>0</v>
      </c>
    </row>
    <row r="13" spans="1:82" x14ac:dyDescent="0.3">
      <c r="B13" s="53"/>
      <c r="C13" s="53" t="str">
        <f t="shared" si="0"/>
        <v>CPU_Grama</v>
      </c>
      <c r="D13" s="278">
        <f t="shared" si="1"/>
        <v>0.5</v>
      </c>
      <c r="E13" s="278">
        <f t="shared" si="2"/>
        <v>0</v>
      </c>
      <c r="F13" s="1"/>
      <c r="G13" s="28" t="str">
        <f>IFERROR(VLOOKUP(F13,Tabela7[[RECURSO]:[CUSTO]],2,FALSE),"")</f>
        <v/>
      </c>
      <c r="H13" s="92"/>
      <c r="I13" s="90"/>
      <c r="J13" s="45">
        <f>IFERROR(VLOOKUP(F13,Tabela7[[RECURSO]:[CUSTO]],3,FALSE),0)</f>
        <v>0</v>
      </c>
      <c r="K13" s="45">
        <f>I13*J13*CPU_30[[#This Row],[Nº]]</f>
        <v>0</v>
      </c>
      <c r="M13" s="31"/>
      <c r="N13" s="297"/>
      <c r="O13" s="60">
        <f t="shared" ref="O13:O23" si="15">IFERROR($B$6/(H13*I13),0)</f>
        <v>0</v>
      </c>
      <c r="AD13" s="144" t="str">
        <f t="shared" si="3"/>
        <v>Grama</v>
      </c>
      <c r="AE13" s="179"/>
      <c r="AF13" s="180">
        <f t="shared" ref="AF13:AF23" si="16">AJ13+AN13+AR13+AV13+AZ13+BD13+BH13+BL13+BP13+BT13+BX13+CB13</f>
        <v>0</v>
      </c>
      <c r="AG13" s="180">
        <f t="shared" ref="AG13:AG62" si="17">IFERROR(AH13/AF13,0)</f>
        <v>0</v>
      </c>
      <c r="AH13" s="181">
        <f t="shared" ref="AH13:AH23" si="18">AL13+AP13+AT13+AX13+BB13+BF13+BJ13+BN13+BR13+BV13+BZ13+CD13</f>
        <v>0</v>
      </c>
      <c r="AI13" s="182"/>
      <c r="AJ13" s="90"/>
      <c r="AK13" s="90"/>
      <c r="AL13" s="183">
        <f t="shared" ref="AL13:AL23" si="19">AJ13*AK13</f>
        <v>0</v>
      </c>
      <c r="AM13" s="182"/>
      <c r="AN13" s="90"/>
      <c r="AO13" s="90"/>
      <c r="AP13" s="183">
        <f t="shared" si="4"/>
        <v>0</v>
      </c>
      <c r="AQ13" s="182"/>
      <c r="AR13" s="90"/>
      <c r="AS13" s="90"/>
      <c r="AT13" s="183">
        <f t="shared" si="5"/>
        <v>0</v>
      </c>
      <c r="AU13" s="182"/>
      <c r="AV13" s="90"/>
      <c r="AW13" s="90"/>
      <c r="AX13" s="183">
        <f t="shared" si="6"/>
        <v>0</v>
      </c>
      <c r="AY13" s="182"/>
      <c r="AZ13" s="90"/>
      <c r="BA13" s="90"/>
      <c r="BB13" s="183">
        <f t="shared" si="7"/>
        <v>0</v>
      </c>
      <c r="BC13" s="182"/>
      <c r="BD13" s="90"/>
      <c r="BE13" s="90"/>
      <c r="BF13" s="183">
        <f t="shared" si="8"/>
        <v>0</v>
      </c>
      <c r="BG13" s="182"/>
      <c r="BH13" s="90"/>
      <c r="BI13" s="90"/>
      <c r="BJ13" s="183">
        <f t="shared" si="9"/>
        <v>0</v>
      </c>
      <c r="BK13" s="182"/>
      <c r="BL13" s="90"/>
      <c r="BM13" s="90"/>
      <c r="BN13" s="183">
        <f t="shared" si="10"/>
        <v>0</v>
      </c>
      <c r="BO13" s="182"/>
      <c r="BP13" s="90"/>
      <c r="BQ13" s="90"/>
      <c r="BR13" s="183">
        <f t="shared" si="11"/>
        <v>0</v>
      </c>
      <c r="BS13" s="182"/>
      <c r="BT13" s="90"/>
      <c r="BU13" s="90"/>
      <c r="BV13" s="183">
        <f t="shared" si="12"/>
        <v>0</v>
      </c>
      <c r="BW13" s="182"/>
      <c r="BX13" s="90"/>
      <c r="BY13" s="90"/>
      <c r="BZ13" s="183">
        <f t="shared" si="13"/>
        <v>0</v>
      </c>
      <c r="CA13" s="182"/>
      <c r="CB13" s="90"/>
      <c r="CC13" s="90"/>
      <c r="CD13" s="183">
        <f t="shared" si="14"/>
        <v>0</v>
      </c>
    </row>
    <row r="14" spans="1:82" x14ac:dyDescent="0.3">
      <c r="B14" s="53"/>
      <c r="C14" s="53" t="str">
        <f t="shared" si="0"/>
        <v>CPU_Grama</v>
      </c>
      <c r="D14" s="278">
        <f t="shared" si="1"/>
        <v>0.5</v>
      </c>
      <c r="E14" s="278">
        <f t="shared" si="2"/>
        <v>0</v>
      </c>
      <c r="F14" s="1"/>
      <c r="G14" s="28" t="str">
        <f>IFERROR(VLOOKUP(F14,Tabela7[[RECURSO]:[CUSTO]],2,FALSE),"")</f>
        <v/>
      </c>
      <c r="H14" s="92"/>
      <c r="I14" s="90"/>
      <c r="J14" s="45">
        <f>IFERROR(VLOOKUP(F14,Tabela7[[RECURSO]:[CUSTO]],3,FALSE),0)</f>
        <v>0</v>
      </c>
      <c r="K14" s="45">
        <f>I14*J14*CPU_30[[#This Row],[Nº]]</f>
        <v>0</v>
      </c>
      <c r="M14" s="31"/>
      <c r="N14" s="297"/>
      <c r="O14" s="60">
        <f t="shared" si="15"/>
        <v>0</v>
      </c>
      <c r="AD14" s="144" t="str">
        <f t="shared" si="3"/>
        <v>Grama</v>
      </c>
      <c r="AE14" s="179"/>
      <c r="AF14" s="180">
        <f t="shared" si="16"/>
        <v>0</v>
      </c>
      <c r="AG14" s="180">
        <f t="shared" si="17"/>
        <v>0</v>
      </c>
      <c r="AH14" s="181">
        <f t="shared" si="18"/>
        <v>0</v>
      </c>
      <c r="AI14" s="182"/>
      <c r="AJ14" s="90"/>
      <c r="AK14" s="90"/>
      <c r="AL14" s="183">
        <f t="shared" si="19"/>
        <v>0</v>
      </c>
      <c r="AM14" s="182"/>
      <c r="AN14" s="90"/>
      <c r="AO14" s="90"/>
      <c r="AP14" s="183">
        <f t="shared" si="4"/>
        <v>0</v>
      </c>
      <c r="AQ14" s="182"/>
      <c r="AR14" s="90"/>
      <c r="AS14" s="90"/>
      <c r="AT14" s="183">
        <f t="shared" si="5"/>
        <v>0</v>
      </c>
      <c r="AU14" s="182"/>
      <c r="AV14" s="90"/>
      <c r="AW14" s="90"/>
      <c r="AX14" s="183">
        <f t="shared" si="6"/>
        <v>0</v>
      </c>
      <c r="AY14" s="182"/>
      <c r="AZ14" s="90"/>
      <c r="BA14" s="90"/>
      <c r="BB14" s="183">
        <f t="shared" si="7"/>
        <v>0</v>
      </c>
      <c r="BC14" s="182"/>
      <c r="BD14" s="90"/>
      <c r="BE14" s="90"/>
      <c r="BF14" s="183">
        <f t="shared" si="8"/>
        <v>0</v>
      </c>
      <c r="BG14" s="182"/>
      <c r="BH14" s="90"/>
      <c r="BI14" s="90"/>
      <c r="BJ14" s="183">
        <f t="shared" si="9"/>
        <v>0</v>
      </c>
      <c r="BK14" s="182"/>
      <c r="BL14" s="90"/>
      <c r="BM14" s="90"/>
      <c r="BN14" s="183">
        <f t="shared" si="10"/>
        <v>0</v>
      </c>
      <c r="BO14" s="182"/>
      <c r="BP14" s="90"/>
      <c r="BQ14" s="90"/>
      <c r="BR14" s="183">
        <f t="shared" si="11"/>
        <v>0</v>
      </c>
      <c r="BS14" s="182"/>
      <c r="BT14" s="90"/>
      <c r="BU14" s="90"/>
      <c r="BV14" s="183">
        <f t="shared" si="12"/>
        <v>0</v>
      </c>
      <c r="BW14" s="182"/>
      <c r="BX14" s="90"/>
      <c r="BY14" s="90"/>
      <c r="BZ14" s="183">
        <f t="shared" si="13"/>
        <v>0</v>
      </c>
      <c r="CA14" s="182"/>
      <c r="CB14" s="90"/>
      <c r="CC14" s="90"/>
      <c r="CD14" s="183">
        <f t="shared" si="14"/>
        <v>0</v>
      </c>
    </row>
    <row r="15" spans="1:82" x14ac:dyDescent="0.3">
      <c r="B15" s="153"/>
      <c r="C15" s="153" t="str">
        <f t="shared" si="0"/>
        <v>CPU_Grama</v>
      </c>
      <c r="D15" s="279">
        <f t="shared" si="1"/>
        <v>0.5</v>
      </c>
      <c r="E15" s="279">
        <f t="shared" si="2"/>
        <v>0</v>
      </c>
      <c r="F15" s="1"/>
      <c r="G15" s="28" t="str">
        <f>IFERROR(VLOOKUP(F15,Tabela7[[RECURSO]:[CUSTO]],2,FALSE),"")</f>
        <v/>
      </c>
      <c r="H15" s="92"/>
      <c r="I15" s="90"/>
      <c r="J15" s="45">
        <f>IFERROR(VLOOKUP(F15,Tabela7[[RECURSO]:[CUSTO]],3,FALSE),0)</f>
        <v>0</v>
      </c>
      <c r="K15" s="45">
        <f>I15*J15*CPU_30[[#This Row],[Nº]]</f>
        <v>0</v>
      </c>
      <c r="M15" s="31"/>
      <c r="N15" s="297"/>
      <c r="O15" s="60">
        <f t="shared" si="15"/>
        <v>0</v>
      </c>
      <c r="AD15" s="144" t="str">
        <f t="shared" si="3"/>
        <v>Grama</v>
      </c>
      <c r="AE15" s="179"/>
      <c r="AF15" s="180">
        <f t="shared" si="16"/>
        <v>0</v>
      </c>
      <c r="AG15" s="180">
        <f t="shared" si="17"/>
        <v>0</v>
      </c>
      <c r="AH15" s="181">
        <f t="shared" si="18"/>
        <v>0</v>
      </c>
      <c r="AI15" s="182"/>
      <c r="AJ15" s="90"/>
      <c r="AK15" s="90"/>
      <c r="AL15" s="183">
        <f t="shared" si="19"/>
        <v>0</v>
      </c>
      <c r="AM15" s="182"/>
      <c r="AN15" s="90"/>
      <c r="AO15" s="90"/>
      <c r="AP15" s="183">
        <f t="shared" si="4"/>
        <v>0</v>
      </c>
      <c r="AQ15" s="182"/>
      <c r="AR15" s="90"/>
      <c r="AS15" s="90"/>
      <c r="AT15" s="183">
        <f t="shared" si="5"/>
        <v>0</v>
      </c>
      <c r="AU15" s="182"/>
      <c r="AV15" s="90"/>
      <c r="AW15" s="90"/>
      <c r="AX15" s="183">
        <f t="shared" si="6"/>
        <v>0</v>
      </c>
      <c r="AY15" s="182"/>
      <c r="AZ15" s="90"/>
      <c r="BA15" s="90"/>
      <c r="BB15" s="183">
        <f t="shared" si="7"/>
        <v>0</v>
      </c>
      <c r="BC15" s="182"/>
      <c r="BD15" s="90"/>
      <c r="BE15" s="90"/>
      <c r="BF15" s="183">
        <f t="shared" si="8"/>
        <v>0</v>
      </c>
      <c r="BG15" s="182"/>
      <c r="BH15" s="90"/>
      <c r="BI15" s="90"/>
      <c r="BJ15" s="183">
        <f t="shared" si="9"/>
        <v>0</v>
      </c>
      <c r="BK15" s="182"/>
      <c r="BL15" s="90"/>
      <c r="BM15" s="90"/>
      <c r="BN15" s="183">
        <f t="shared" si="10"/>
        <v>0</v>
      </c>
      <c r="BO15" s="182"/>
      <c r="BP15" s="90"/>
      <c r="BQ15" s="90"/>
      <c r="BR15" s="183">
        <f t="shared" si="11"/>
        <v>0</v>
      </c>
      <c r="BS15" s="182"/>
      <c r="BT15" s="90"/>
      <c r="BU15" s="90"/>
      <c r="BV15" s="183">
        <f t="shared" si="12"/>
        <v>0</v>
      </c>
      <c r="BW15" s="182"/>
      <c r="BX15" s="90"/>
      <c r="BY15" s="90"/>
      <c r="BZ15" s="183">
        <f t="shared" si="13"/>
        <v>0</v>
      </c>
      <c r="CA15" s="182"/>
      <c r="CB15" s="90"/>
      <c r="CC15" s="90"/>
      <c r="CD15" s="183">
        <f t="shared" si="14"/>
        <v>0</v>
      </c>
    </row>
    <row r="16" spans="1:82" x14ac:dyDescent="0.3">
      <c r="B16" s="53"/>
      <c r="C16" s="53" t="str">
        <f t="shared" si="0"/>
        <v>CPU_Grama</v>
      </c>
      <c r="D16" s="278">
        <f t="shared" si="1"/>
        <v>0.5</v>
      </c>
      <c r="E16" s="278">
        <f t="shared" si="2"/>
        <v>0</v>
      </c>
      <c r="F16" s="1"/>
      <c r="G16" s="28" t="str">
        <f>IFERROR(VLOOKUP(F16,Tabela7[[RECURSO]:[CUSTO]],2,FALSE),"")</f>
        <v/>
      </c>
      <c r="H16" s="92"/>
      <c r="I16" s="90"/>
      <c r="J16" s="45">
        <f>IFERROR(VLOOKUP(F16,Tabela7[[RECURSO]:[CUSTO]],3,FALSE),0)</f>
        <v>0</v>
      </c>
      <c r="K16" s="45">
        <f>I16*J16*CPU_30[[#This Row],[Nº]]</f>
        <v>0</v>
      </c>
      <c r="M16" s="31"/>
      <c r="N16" s="297"/>
      <c r="O16" s="60">
        <f t="shared" si="15"/>
        <v>0</v>
      </c>
      <c r="AD16" s="144" t="str">
        <f t="shared" si="3"/>
        <v>Grama</v>
      </c>
      <c r="AE16" s="179"/>
      <c r="AF16" s="180">
        <f t="shared" si="16"/>
        <v>0</v>
      </c>
      <c r="AG16" s="180">
        <f t="shared" si="17"/>
        <v>0</v>
      </c>
      <c r="AH16" s="181">
        <f t="shared" si="18"/>
        <v>0</v>
      </c>
      <c r="AI16" s="182"/>
      <c r="AJ16" s="90"/>
      <c r="AK16" s="90"/>
      <c r="AL16" s="183">
        <f t="shared" si="19"/>
        <v>0</v>
      </c>
      <c r="AM16" s="182"/>
      <c r="AN16" s="90"/>
      <c r="AO16" s="90"/>
      <c r="AP16" s="183">
        <f t="shared" si="4"/>
        <v>0</v>
      </c>
      <c r="AQ16" s="182"/>
      <c r="AR16" s="90"/>
      <c r="AS16" s="90"/>
      <c r="AT16" s="183">
        <f t="shared" si="5"/>
        <v>0</v>
      </c>
      <c r="AU16" s="182"/>
      <c r="AV16" s="90"/>
      <c r="AW16" s="90"/>
      <c r="AX16" s="183">
        <f t="shared" si="6"/>
        <v>0</v>
      </c>
      <c r="AY16" s="182"/>
      <c r="AZ16" s="90"/>
      <c r="BA16" s="90"/>
      <c r="BB16" s="183">
        <f t="shared" si="7"/>
        <v>0</v>
      </c>
      <c r="BC16" s="182"/>
      <c r="BD16" s="90"/>
      <c r="BE16" s="90"/>
      <c r="BF16" s="183">
        <f t="shared" si="8"/>
        <v>0</v>
      </c>
      <c r="BG16" s="182"/>
      <c r="BH16" s="90"/>
      <c r="BI16" s="90"/>
      <c r="BJ16" s="183">
        <f t="shared" si="9"/>
        <v>0</v>
      </c>
      <c r="BK16" s="182"/>
      <c r="BL16" s="90"/>
      <c r="BM16" s="90"/>
      <c r="BN16" s="183">
        <f t="shared" si="10"/>
        <v>0</v>
      </c>
      <c r="BO16" s="182"/>
      <c r="BP16" s="90"/>
      <c r="BQ16" s="90"/>
      <c r="BR16" s="183">
        <f t="shared" si="11"/>
        <v>0</v>
      </c>
      <c r="BS16" s="182"/>
      <c r="BT16" s="90"/>
      <c r="BU16" s="90"/>
      <c r="BV16" s="183">
        <f t="shared" si="12"/>
        <v>0</v>
      </c>
      <c r="BW16" s="182"/>
      <c r="BX16" s="90"/>
      <c r="BY16" s="90"/>
      <c r="BZ16" s="183">
        <f t="shared" si="13"/>
        <v>0</v>
      </c>
      <c r="CA16" s="182"/>
      <c r="CB16" s="90"/>
      <c r="CC16" s="90"/>
      <c r="CD16" s="183">
        <f t="shared" si="14"/>
        <v>0</v>
      </c>
    </row>
    <row r="17" spans="2:82" x14ac:dyDescent="0.3">
      <c r="B17" s="53"/>
      <c r="C17" s="53" t="str">
        <f t="shared" si="0"/>
        <v>CPU_Grama</v>
      </c>
      <c r="D17" s="278">
        <f t="shared" si="1"/>
        <v>0.5</v>
      </c>
      <c r="E17" s="278">
        <f t="shared" si="2"/>
        <v>0</v>
      </c>
      <c r="F17" s="1"/>
      <c r="G17" s="28" t="str">
        <f>IFERROR(VLOOKUP(F17,Tabela7[[RECURSO]:[CUSTO]],2,FALSE),"")</f>
        <v/>
      </c>
      <c r="H17" s="92"/>
      <c r="I17" s="90"/>
      <c r="J17" s="45">
        <f>IFERROR(VLOOKUP(F17,Tabela7[[RECURSO]:[CUSTO]],3,FALSE),0)</f>
        <v>0</v>
      </c>
      <c r="K17" s="45">
        <f>I17*J17*CPU_30[[#This Row],[Nº]]</f>
        <v>0</v>
      </c>
      <c r="M17" s="31"/>
      <c r="N17" s="297"/>
      <c r="O17" s="60">
        <f t="shared" si="15"/>
        <v>0</v>
      </c>
      <c r="AD17" s="144" t="str">
        <f t="shared" si="3"/>
        <v>Grama</v>
      </c>
      <c r="AE17" s="179"/>
      <c r="AF17" s="180">
        <f t="shared" si="16"/>
        <v>0</v>
      </c>
      <c r="AG17" s="180">
        <f t="shared" si="17"/>
        <v>0</v>
      </c>
      <c r="AH17" s="181">
        <f t="shared" si="18"/>
        <v>0</v>
      </c>
      <c r="AI17" s="182"/>
      <c r="AJ17" s="90"/>
      <c r="AK17" s="90"/>
      <c r="AL17" s="183">
        <f t="shared" si="19"/>
        <v>0</v>
      </c>
      <c r="AM17" s="182"/>
      <c r="AN17" s="90"/>
      <c r="AO17" s="90"/>
      <c r="AP17" s="183">
        <f t="shared" si="4"/>
        <v>0</v>
      </c>
      <c r="AQ17" s="182"/>
      <c r="AR17" s="90"/>
      <c r="AS17" s="90"/>
      <c r="AT17" s="183">
        <f t="shared" si="5"/>
        <v>0</v>
      </c>
      <c r="AU17" s="182"/>
      <c r="AV17" s="90"/>
      <c r="AW17" s="90"/>
      <c r="AX17" s="183">
        <f t="shared" si="6"/>
        <v>0</v>
      </c>
      <c r="AY17" s="182"/>
      <c r="AZ17" s="90"/>
      <c r="BA17" s="90"/>
      <c r="BB17" s="183">
        <f t="shared" si="7"/>
        <v>0</v>
      </c>
      <c r="BC17" s="182"/>
      <c r="BD17" s="90"/>
      <c r="BE17" s="90"/>
      <c r="BF17" s="183">
        <f t="shared" si="8"/>
        <v>0</v>
      </c>
      <c r="BG17" s="182"/>
      <c r="BH17" s="90"/>
      <c r="BI17" s="90"/>
      <c r="BJ17" s="183">
        <f t="shared" si="9"/>
        <v>0</v>
      </c>
      <c r="BK17" s="182"/>
      <c r="BL17" s="90"/>
      <c r="BM17" s="90"/>
      <c r="BN17" s="183">
        <f t="shared" si="10"/>
        <v>0</v>
      </c>
      <c r="BO17" s="182"/>
      <c r="BP17" s="90"/>
      <c r="BQ17" s="90"/>
      <c r="BR17" s="183">
        <f t="shared" si="11"/>
        <v>0</v>
      </c>
      <c r="BS17" s="182"/>
      <c r="BT17" s="90"/>
      <c r="BU17" s="90"/>
      <c r="BV17" s="183">
        <f t="shared" si="12"/>
        <v>0</v>
      </c>
      <c r="BW17" s="182"/>
      <c r="BX17" s="90"/>
      <c r="BY17" s="90"/>
      <c r="BZ17" s="183">
        <f t="shared" si="13"/>
        <v>0</v>
      </c>
      <c r="CA17" s="182"/>
      <c r="CB17" s="90"/>
      <c r="CC17" s="90"/>
      <c r="CD17" s="183">
        <f t="shared" si="14"/>
        <v>0</v>
      </c>
    </row>
    <row r="18" spans="2:82" x14ac:dyDescent="0.3">
      <c r="B18" s="53"/>
      <c r="C18" s="53" t="str">
        <f t="shared" si="0"/>
        <v>CPU_Grama</v>
      </c>
      <c r="D18" s="278">
        <f t="shared" si="1"/>
        <v>0.5</v>
      </c>
      <c r="E18" s="278">
        <f t="shared" si="2"/>
        <v>0</v>
      </c>
      <c r="F18" s="1"/>
      <c r="G18" s="28" t="str">
        <f>IFERROR(VLOOKUP(F18,Tabela7[[RECURSO]:[CUSTO]],2,FALSE),"")</f>
        <v/>
      </c>
      <c r="H18" s="92"/>
      <c r="I18" s="90"/>
      <c r="J18" s="45">
        <f>IFERROR(VLOOKUP(F18,Tabela7[[RECURSO]:[CUSTO]],3,FALSE),0)</f>
        <v>0</v>
      </c>
      <c r="K18" s="45">
        <f>I18*J18*CPU_30[[#This Row],[Nº]]</f>
        <v>0</v>
      </c>
      <c r="M18" s="31"/>
      <c r="N18" s="297"/>
      <c r="O18" s="60">
        <f t="shared" si="15"/>
        <v>0</v>
      </c>
      <c r="AD18" s="144" t="str">
        <f t="shared" si="3"/>
        <v>Grama</v>
      </c>
      <c r="AE18" s="179"/>
      <c r="AF18" s="180">
        <f t="shared" si="16"/>
        <v>0</v>
      </c>
      <c r="AG18" s="180">
        <f t="shared" si="17"/>
        <v>0</v>
      </c>
      <c r="AH18" s="181">
        <f t="shared" si="18"/>
        <v>0</v>
      </c>
      <c r="AI18" s="182"/>
      <c r="AJ18" s="90"/>
      <c r="AK18" s="90"/>
      <c r="AL18" s="183">
        <f t="shared" si="19"/>
        <v>0</v>
      </c>
      <c r="AM18" s="182"/>
      <c r="AN18" s="90"/>
      <c r="AO18" s="90"/>
      <c r="AP18" s="183">
        <f t="shared" si="4"/>
        <v>0</v>
      </c>
      <c r="AQ18" s="182"/>
      <c r="AR18" s="90"/>
      <c r="AS18" s="90"/>
      <c r="AT18" s="183">
        <f t="shared" si="5"/>
        <v>0</v>
      </c>
      <c r="AU18" s="182"/>
      <c r="AV18" s="90"/>
      <c r="AW18" s="90"/>
      <c r="AX18" s="183">
        <f t="shared" si="6"/>
        <v>0</v>
      </c>
      <c r="AY18" s="182"/>
      <c r="AZ18" s="90"/>
      <c r="BA18" s="90"/>
      <c r="BB18" s="183">
        <f t="shared" si="7"/>
        <v>0</v>
      </c>
      <c r="BC18" s="182"/>
      <c r="BD18" s="90"/>
      <c r="BE18" s="90"/>
      <c r="BF18" s="183">
        <f t="shared" si="8"/>
        <v>0</v>
      </c>
      <c r="BG18" s="182"/>
      <c r="BH18" s="90"/>
      <c r="BI18" s="90"/>
      <c r="BJ18" s="183">
        <f t="shared" si="9"/>
        <v>0</v>
      </c>
      <c r="BK18" s="182"/>
      <c r="BL18" s="90"/>
      <c r="BM18" s="90"/>
      <c r="BN18" s="183">
        <f t="shared" si="10"/>
        <v>0</v>
      </c>
      <c r="BO18" s="182"/>
      <c r="BP18" s="90"/>
      <c r="BQ18" s="90"/>
      <c r="BR18" s="183">
        <f t="shared" si="11"/>
        <v>0</v>
      </c>
      <c r="BS18" s="182"/>
      <c r="BT18" s="90"/>
      <c r="BU18" s="90"/>
      <c r="BV18" s="183">
        <f t="shared" si="12"/>
        <v>0</v>
      </c>
      <c r="BW18" s="182"/>
      <c r="BX18" s="90"/>
      <c r="BY18" s="90"/>
      <c r="BZ18" s="183">
        <f t="shared" si="13"/>
        <v>0</v>
      </c>
      <c r="CA18" s="182"/>
      <c r="CB18" s="90"/>
      <c r="CC18" s="90"/>
      <c r="CD18" s="183">
        <f t="shared" si="14"/>
        <v>0</v>
      </c>
    </row>
    <row r="19" spans="2:82" x14ac:dyDescent="0.3">
      <c r="B19" s="53"/>
      <c r="C19" s="53" t="str">
        <f t="shared" si="0"/>
        <v>CPU_Grama</v>
      </c>
      <c r="D19" s="278">
        <f t="shared" si="1"/>
        <v>0.5</v>
      </c>
      <c r="E19" s="278">
        <f t="shared" si="2"/>
        <v>0</v>
      </c>
      <c r="F19" s="1"/>
      <c r="G19" s="28" t="str">
        <f>IFERROR(VLOOKUP(F19,Tabela7[[RECURSO]:[CUSTO]],2,FALSE),"")</f>
        <v/>
      </c>
      <c r="H19" s="92"/>
      <c r="I19" s="90"/>
      <c r="J19" s="45">
        <f>IFERROR(VLOOKUP(F19,Tabela7[[RECURSO]:[CUSTO]],3,FALSE),0)</f>
        <v>0</v>
      </c>
      <c r="K19" s="45">
        <f>I19*J19*CPU_30[[#This Row],[Nº]]</f>
        <v>0</v>
      </c>
      <c r="M19" s="31"/>
      <c r="N19" s="297"/>
      <c r="O19" s="60">
        <f t="shared" si="15"/>
        <v>0</v>
      </c>
      <c r="AD19" s="144" t="str">
        <f t="shared" si="3"/>
        <v>Grama</v>
      </c>
      <c r="AE19" s="179"/>
      <c r="AF19" s="180">
        <f t="shared" si="16"/>
        <v>0</v>
      </c>
      <c r="AG19" s="180">
        <f t="shared" si="17"/>
        <v>0</v>
      </c>
      <c r="AH19" s="181">
        <f t="shared" si="18"/>
        <v>0</v>
      </c>
      <c r="AI19" s="182"/>
      <c r="AJ19" s="90"/>
      <c r="AK19" s="90"/>
      <c r="AL19" s="183">
        <f t="shared" si="19"/>
        <v>0</v>
      </c>
      <c r="AM19" s="182"/>
      <c r="AN19" s="90"/>
      <c r="AO19" s="90"/>
      <c r="AP19" s="183">
        <f t="shared" si="4"/>
        <v>0</v>
      </c>
      <c r="AQ19" s="182"/>
      <c r="AR19" s="90"/>
      <c r="AS19" s="90"/>
      <c r="AT19" s="183">
        <f t="shared" si="5"/>
        <v>0</v>
      </c>
      <c r="AU19" s="182"/>
      <c r="AV19" s="90"/>
      <c r="AW19" s="90"/>
      <c r="AX19" s="183">
        <f t="shared" si="6"/>
        <v>0</v>
      </c>
      <c r="AY19" s="182"/>
      <c r="AZ19" s="90"/>
      <c r="BA19" s="90"/>
      <c r="BB19" s="183">
        <f t="shared" si="7"/>
        <v>0</v>
      </c>
      <c r="BC19" s="182"/>
      <c r="BD19" s="90"/>
      <c r="BE19" s="90"/>
      <c r="BF19" s="183">
        <f t="shared" si="8"/>
        <v>0</v>
      </c>
      <c r="BG19" s="182"/>
      <c r="BH19" s="90"/>
      <c r="BI19" s="90"/>
      <c r="BJ19" s="183">
        <f t="shared" si="9"/>
        <v>0</v>
      </c>
      <c r="BK19" s="182"/>
      <c r="BL19" s="90"/>
      <c r="BM19" s="90"/>
      <c r="BN19" s="183">
        <f t="shared" si="10"/>
        <v>0</v>
      </c>
      <c r="BO19" s="182"/>
      <c r="BP19" s="90"/>
      <c r="BQ19" s="90"/>
      <c r="BR19" s="183">
        <f t="shared" si="11"/>
        <v>0</v>
      </c>
      <c r="BS19" s="182"/>
      <c r="BT19" s="90"/>
      <c r="BU19" s="90"/>
      <c r="BV19" s="183">
        <f t="shared" si="12"/>
        <v>0</v>
      </c>
      <c r="BW19" s="182"/>
      <c r="BX19" s="90"/>
      <c r="BY19" s="90"/>
      <c r="BZ19" s="183">
        <f t="shared" si="13"/>
        <v>0</v>
      </c>
      <c r="CA19" s="182"/>
      <c r="CB19" s="90"/>
      <c r="CC19" s="90"/>
      <c r="CD19" s="183">
        <f t="shared" si="14"/>
        <v>0</v>
      </c>
    </row>
    <row r="20" spans="2:82" x14ac:dyDescent="0.3">
      <c r="B20" s="53"/>
      <c r="C20" s="53" t="str">
        <f t="shared" si="0"/>
        <v>CPU_Grama</v>
      </c>
      <c r="D20" s="278">
        <f t="shared" si="1"/>
        <v>0.5</v>
      </c>
      <c r="E20" s="278">
        <f t="shared" si="2"/>
        <v>0</v>
      </c>
      <c r="F20" s="1"/>
      <c r="G20" s="28" t="str">
        <f>IFERROR(VLOOKUP(F20,Tabela7[[RECURSO]:[CUSTO]],2,FALSE),"")</f>
        <v/>
      </c>
      <c r="H20" s="92"/>
      <c r="I20" s="90"/>
      <c r="J20" s="45">
        <f>IFERROR(VLOOKUP(F20,Tabela7[[RECURSO]:[CUSTO]],3,FALSE),0)</f>
        <v>0</v>
      </c>
      <c r="K20" s="45">
        <f>I20*J20*CPU_30[[#This Row],[Nº]]</f>
        <v>0</v>
      </c>
      <c r="M20" s="31"/>
      <c r="N20" s="297"/>
      <c r="O20" s="60">
        <f t="shared" si="15"/>
        <v>0</v>
      </c>
      <c r="AD20" s="144" t="str">
        <f t="shared" si="3"/>
        <v>Grama</v>
      </c>
      <c r="AE20" s="179"/>
      <c r="AF20" s="180">
        <f t="shared" si="16"/>
        <v>0</v>
      </c>
      <c r="AG20" s="180">
        <f t="shared" si="17"/>
        <v>0</v>
      </c>
      <c r="AH20" s="181">
        <f t="shared" si="18"/>
        <v>0</v>
      </c>
      <c r="AI20" s="182"/>
      <c r="AJ20" s="90"/>
      <c r="AK20" s="90"/>
      <c r="AL20" s="183">
        <f t="shared" si="19"/>
        <v>0</v>
      </c>
      <c r="AM20" s="182"/>
      <c r="AN20" s="90"/>
      <c r="AO20" s="90"/>
      <c r="AP20" s="183">
        <f t="shared" si="4"/>
        <v>0</v>
      </c>
      <c r="AQ20" s="182"/>
      <c r="AR20" s="90"/>
      <c r="AS20" s="90"/>
      <c r="AT20" s="183">
        <f t="shared" si="5"/>
        <v>0</v>
      </c>
      <c r="AU20" s="182"/>
      <c r="AV20" s="90"/>
      <c r="AW20" s="90"/>
      <c r="AX20" s="183">
        <f t="shared" si="6"/>
        <v>0</v>
      </c>
      <c r="AY20" s="182"/>
      <c r="AZ20" s="90"/>
      <c r="BA20" s="90"/>
      <c r="BB20" s="183">
        <f t="shared" si="7"/>
        <v>0</v>
      </c>
      <c r="BC20" s="182"/>
      <c r="BD20" s="90"/>
      <c r="BE20" s="90"/>
      <c r="BF20" s="183">
        <f t="shared" si="8"/>
        <v>0</v>
      </c>
      <c r="BG20" s="182"/>
      <c r="BH20" s="90"/>
      <c r="BI20" s="90"/>
      <c r="BJ20" s="183">
        <f t="shared" si="9"/>
        <v>0</v>
      </c>
      <c r="BK20" s="182"/>
      <c r="BL20" s="90"/>
      <c r="BM20" s="90"/>
      <c r="BN20" s="183">
        <f t="shared" si="10"/>
        <v>0</v>
      </c>
      <c r="BO20" s="182"/>
      <c r="BP20" s="90"/>
      <c r="BQ20" s="90"/>
      <c r="BR20" s="183">
        <f t="shared" si="11"/>
        <v>0</v>
      </c>
      <c r="BS20" s="182"/>
      <c r="BT20" s="90"/>
      <c r="BU20" s="90"/>
      <c r="BV20" s="183">
        <f t="shared" si="12"/>
        <v>0</v>
      </c>
      <c r="BW20" s="182"/>
      <c r="BX20" s="90"/>
      <c r="BY20" s="90"/>
      <c r="BZ20" s="183">
        <f t="shared" si="13"/>
        <v>0</v>
      </c>
      <c r="CA20" s="182"/>
      <c r="CB20" s="90"/>
      <c r="CC20" s="90"/>
      <c r="CD20" s="183">
        <f t="shared" si="14"/>
        <v>0</v>
      </c>
    </row>
    <row r="21" spans="2:82" x14ac:dyDescent="0.3">
      <c r="B21" s="53"/>
      <c r="C21" s="53" t="str">
        <f t="shared" si="0"/>
        <v>CPU_Grama</v>
      </c>
      <c r="D21" s="278">
        <f t="shared" si="1"/>
        <v>0.5</v>
      </c>
      <c r="E21" s="278">
        <f t="shared" si="2"/>
        <v>0</v>
      </c>
      <c r="F21" s="1"/>
      <c r="G21" s="28" t="str">
        <f>IFERROR(VLOOKUP(F21,Tabela7[[RECURSO]:[CUSTO]],2,FALSE),"")</f>
        <v/>
      </c>
      <c r="H21" s="92"/>
      <c r="I21" s="90"/>
      <c r="J21" s="45">
        <f>IFERROR(VLOOKUP(F21,Tabela7[[RECURSO]:[CUSTO]],3,FALSE),0)</f>
        <v>0</v>
      </c>
      <c r="K21" s="45">
        <f>I21*J21*CPU_30[[#This Row],[Nº]]</f>
        <v>0</v>
      </c>
      <c r="M21" s="31"/>
      <c r="N21" s="297"/>
      <c r="O21" s="60">
        <f t="shared" si="15"/>
        <v>0</v>
      </c>
      <c r="AD21" s="144" t="str">
        <f t="shared" si="3"/>
        <v>Grama</v>
      </c>
      <c r="AE21" s="179"/>
      <c r="AF21" s="180">
        <f t="shared" si="16"/>
        <v>0</v>
      </c>
      <c r="AG21" s="180">
        <f t="shared" si="17"/>
        <v>0</v>
      </c>
      <c r="AH21" s="181">
        <f t="shared" si="18"/>
        <v>0</v>
      </c>
      <c r="AI21" s="182"/>
      <c r="AJ21" s="90"/>
      <c r="AK21" s="90"/>
      <c r="AL21" s="183">
        <f t="shared" si="19"/>
        <v>0</v>
      </c>
      <c r="AM21" s="182"/>
      <c r="AN21" s="90"/>
      <c r="AO21" s="90"/>
      <c r="AP21" s="183">
        <f t="shared" si="4"/>
        <v>0</v>
      </c>
      <c r="AQ21" s="182"/>
      <c r="AR21" s="90"/>
      <c r="AS21" s="90"/>
      <c r="AT21" s="183">
        <f t="shared" si="5"/>
        <v>0</v>
      </c>
      <c r="AU21" s="182"/>
      <c r="AV21" s="90"/>
      <c r="AW21" s="90"/>
      <c r="AX21" s="183">
        <f t="shared" si="6"/>
        <v>0</v>
      </c>
      <c r="AY21" s="182"/>
      <c r="AZ21" s="90"/>
      <c r="BA21" s="90"/>
      <c r="BB21" s="183">
        <f t="shared" si="7"/>
        <v>0</v>
      </c>
      <c r="BC21" s="182"/>
      <c r="BD21" s="90"/>
      <c r="BE21" s="90"/>
      <c r="BF21" s="183">
        <f t="shared" si="8"/>
        <v>0</v>
      </c>
      <c r="BG21" s="182"/>
      <c r="BH21" s="90"/>
      <c r="BI21" s="90"/>
      <c r="BJ21" s="183">
        <f t="shared" si="9"/>
        <v>0</v>
      </c>
      <c r="BK21" s="182"/>
      <c r="BL21" s="90"/>
      <c r="BM21" s="90"/>
      <c r="BN21" s="183">
        <f t="shared" si="10"/>
        <v>0</v>
      </c>
      <c r="BO21" s="182"/>
      <c r="BP21" s="90"/>
      <c r="BQ21" s="90"/>
      <c r="BR21" s="183">
        <f t="shared" si="11"/>
        <v>0</v>
      </c>
      <c r="BS21" s="182"/>
      <c r="BT21" s="90"/>
      <c r="BU21" s="90"/>
      <c r="BV21" s="183">
        <f t="shared" si="12"/>
        <v>0</v>
      </c>
      <c r="BW21" s="182"/>
      <c r="BX21" s="90"/>
      <c r="BY21" s="90"/>
      <c r="BZ21" s="183">
        <f t="shared" si="13"/>
        <v>0</v>
      </c>
      <c r="CA21" s="182"/>
      <c r="CB21" s="90"/>
      <c r="CC21" s="90"/>
      <c r="CD21" s="183">
        <f t="shared" si="14"/>
        <v>0</v>
      </c>
    </row>
    <row r="22" spans="2:82" x14ac:dyDescent="0.3">
      <c r="B22" s="53"/>
      <c r="C22" s="53" t="str">
        <f t="shared" si="0"/>
        <v>CPU_Grama</v>
      </c>
      <c r="D22" s="278">
        <f t="shared" si="1"/>
        <v>0.5</v>
      </c>
      <c r="E22" s="278">
        <f t="shared" si="2"/>
        <v>0</v>
      </c>
      <c r="F22" s="1"/>
      <c r="G22" s="28" t="str">
        <f>IFERROR(VLOOKUP(F22,Tabela7[[RECURSO]:[CUSTO]],2,FALSE),"")</f>
        <v/>
      </c>
      <c r="H22" s="92"/>
      <c r="I22" s="90"/>
      <c r="J22" s="45">
        <f>IFERROR(VLOOKUP(F22,Tabela7[[RECURSO]:[CUSTO]],3,FALSE),0)</f>
        <v>0</v>
      </c>
      <c r="K22" s="45">
        <f>I22*J22*CPU_30[[#This Row],[Nº]]</f>
        <v>0</v>
      </c>
      <c r="M22" s="31"/>
      <c r="N22" s="297"/>
      <c r="O22" s="60">
        <f t="shared" si="15"/>
        <v>0</v>
      </c>
      <c r="AD22" s="144" t="str">
        <f t="shared" si="3"/>
        <v>Grama</v>
      </c>
      <c r="AE22" s="179"/>
      <c r="AF22" s="180">
        <f t="shared" si="16"/>
        <v>0</v>
      </c>
      <c r="AG22" s="180">
        <f t="shared" si="17"/>
        <v>0</v>
      </c>
      <c r="AH22" s="181">
        <f t="shared" si="18"/>
        <v>0</v>
      </c>
      <c r="AI22" s="182"/>
      <c r="AJ22" s="90"/>
      <c r="AK22" s="90"/>
      <c r="AL22" s="183">
        <f t="shared" si="19"/>
        <v>0</v>
      </c>
      <c r="AM22" s="182"/>
      <c r="AN22" s="90"/>
      <c r="AO22" s="90"/>
      <c r="AP22" s="183">
        <f t="shared" si="4"/>
        <v>0</v>
      </c>
      <c r="AQ22" s="182"/>
      <c r="AR22" s="90"/>
      <c r="AS22" s="90"/>
      <c r="AT22" s="183">
        <f t="shared" si="5"/>
        <v>0</v>
      </c>
      <c r="AU22" s="182"/>
      <c r="AV22" s="90"/>
      <c r="AW22" s="90"/>
      <c r="AX22" s="183">
        <f t="shared" si="6"/>
        <v>0</v>
      </c>
      <c r="AY22" s="182"/>
      <c r="AZ22" s="90"/>
      <c r="BA22" s="90"/>
      <c r="BB22" s="183">
        <f t="shared" si="7"/>
        <v>0</v>
      </c>
      <c r="BC22" s="182"/>
      <c r="BD22" s="90"/>
      <c r="BE22" s="90"/>
      <c r="BF22" s="183">
        <f t="shared" si="8"/>
        <v>0</v>
      </c>
      <c r="BG22" s="182"/>
      <c r="BH22" s="90"/>
      <c r="BI22" s="90"/>
      <c r="BJ22" s="183">
        <f t="shared" si="9"/>
        <v>0</v>
      </c>
      <c r="BK22" s="182"/>
      <c r="BL22" s="90"/>
      <c r="BM22" s="90"/>
      <c r="BN22" s="183">
        <f t="shared" si="10"/>
        <v>0</v>
      </c>
      <c r="BO22" s="182"/>
      <c r="BP22" s="90"/>
      <c r="BQ22" s="90"/>
      <c r="BR22" s="183">
        <f t="shared" si="11"/>
        <v>0</v>
      </c>
      <c r="BS22" s="182"/>
      <c r="BT22" s="90"/>
      <c r="BU22" s="90"/>
      <c r="BV22" s="183">
        <f t="shared" si="12"/>
        <v>0</v>
      </c>
      <c r="BW22" s="182"/>
      <c r="BX22" s="90"/>
      <c r="BY22" s="90"/>
      <c r="BZ22" s="183">
        <f t="shared" si="13"/>
        <v>0</v>
      </c>
      <c r="CA22" s="182"/>
      <c r="CB22" s="90"/>
      <c r="CC22" s="90"/>
      <c r="CD22" s="183">
        <f t="shared" si="14"/>
        <v>0</v>
      </c>
    </row>
    <row r="23" spans="2:82" ht="15" thickBot="1" x14ac:dyDescent="0.35">
      <c r="B23" s="53"/>
      <c r="C23" s="53" t="str">
        <f t="shared" si="0"/>
        <v>CPU_Grama</v>
      </c>
      <c r="D23" s="278">
        <f t="shared" si="1"/>
        <v>0.5</v>
      </c>
      <c r="E23" s="278">
        <f t="shared" si="2"/>
        <v>0</v>
      </c>
      <c r="F23" s="1"/>
      <c r="G23" s="28" t="str">
        <f>IFERROR(VLOOKUP(F23,Tabela7[[RECURSO]:[CUSTO]],2,FALSE),"")</f>
        <v/>
      </c>
      <c r="H23" s="92"/>
      <c r="I23" s="90"/>
      <c r="J23" s="45">
        <f>IFERROR(VLOOKUP(F23,Tabela7[[RECURSO]:[CUSTO]],3,FALSE),0)</f>
        <v>0</v>
      </c>
      <c r="K23" s="45">
        <f>I23*J23*CPU_30[[#This Row],[Nº]]</f>
        <v>0</v>
      </c>
      <c r="M23" s="51"/>
      <c r="N23" s="298"/>
      <c r="O23" s="61">
        <f t="shared" si="15"/>
        <v>0</v>
      </c>
      <c r="AD23" s="144" t="str">
        <f t="shared" si="3"/>
        <v>Grama</v>
      </c>
      <c r="AE23" s="179"/>
      <c r="AF23" s="180">
        <f t="shared" si="16"/>
        <v>0</v>
      </c>
      <c r="AG23" s="180">
        <f t="shared" si="17"/>
        <v>0</v>
      </c>
      <c r="AH23" s="181">
        <f t="shared" si="18"/>
        <v>0</v>
      </c>
      <c r="AI23" s="182"/>
      <c r="AJ23" s="90"/>
      <c r="AK23" s="90"/>
      <c r="AL23" s="183">
        <f t="shared" si="19"/>
        <v>0</v>
      </c>
      <c r="AM23" s="182"/>
      <c r="AN23" s="90"/>
      <c r="AO23" s="90"/>
      <c r="AP23" s="183">
        <f t="shared" si="4"/>
        <v>0</v>
      </c>
      <c r="AQ23" s="182"/>
      <c r="AR23" s="90"/>
      <c r="AS23" s="90"/>
      <c r="AT23" s="183">
        <f t="shared" si="5"/>
        <v>0</v>
      </c>
      <c r="AU23" s="182"/>
      <c r="AV23" s="90"/>
      <c r="AW23" s="90"/>
      <c r="AX23" s="183">
        <f t="shared" si="6"/>
        <v>0</v>
      </c>
      <c r="AY23" s="182"/>
      <c r="AZ23" s="90"/>
      <c r="BA23" s="90"/>
      <c r="BB23" s="183">
        <f t="shared" si="7"/>
        <v>0</v>
      </c>
      <c r="BC23" s="182"/>
      <c r="BD23" s="90"/>
      <c r="BE23" s="90"/>
      <c r="BF23" s="183">
        <f t="shared" si="8"/>
        <v>0</v>
      </c>
      <c r="BG23" s="182"/>
      <c r="BH23" s="90"/>
      <c r="BI23" s="90"/>
      <c r="BJ23" s="183">
        <f t="shared" si="9"/>
        <v>0</v>
      </c>
      <c r="BK23" s="182"/>
      <c r="BL23" s="90"/>
      <c r="BM23" s="90"/>
      <c r="BN23" s="183">
        <f t="shared" si="10"/>
        <v>0</v>
      </c>
      <c r="BO23" s="182"/>
      <c r="BP23" s="90"/>
      <c r="BQ23" s="90"/>
      <c r="BR23" s="183">
        <f t="shared" si="11"/>
        <v>0</v>
      </c>
      <c r="BS23" s="182"/>
      <c r="BT23" s="90"/>
      <c r="BU23" s="90"/>
      <c r="BV23" s="183">
        <f t="shared" si="12"/>
        <v>0</v>
      </c>
      <c r="BW23" s="182"/>
      <c r="BX23" s="90"/>
      <c r="BY23" s="90"/>
      <c r="BZ23" s="183">
        <f t="shared" si="13"/>
        <v>0</v>
      </c>
      <c r="CA23" s="182"/>
      <c r="CB23" s="90"/>
      <c r="CC23" s="90"/>
      <c r="CD23" s="183">
        <f t="shared" si="14"/>
        <v>0</v>
      </c>
    </row>
    <row r="24" spans="2:82" x14ac:dyDescent="0.3">
      <c r="B24" s="52" t="s">
        <v>686</v>
      </c>
      <c r="C24" s="52" t="str">
        <f t="shared" si="0"/>
        <v>CPU_Grama</v>
      </c>
      <c r="D24" s="277">
        <f t="shared" si="1"/>
        <v>0.5</v>
      </c>
      <c r="E24" s="277">
        <f t="shared" si="2"/>
        <v>0</v>
      </c>
      <c r="F24" s="37"/>
      <c r="G24" s="38"/>
      <c r="H24" s="91"/>
      <c r="I24" s="40"/>
      <c r="J24" s="40">
        <f>IFERROR(K24/$B$6,0)</f>
        <v>0</v>
      </c>
      <c r="K24" s="40">
        <f>SUM(K25:K36)</f>
        <v>0</v>
      </c>
      <c r="AD24" s="144" t="str">
        <f t="shared" si="3"/>
        <v>Grama</v>
      </c>
      <c r="AE24" s="184"/>
      <c r="AF24" s="40"/>
      <c r="AG24" s="40">
        <f>IFERROR(AH24/AF$3,0)</f>
        <v>0</v>
      </c>
      <c r="AH24" s="185">
        <f>SUM(AH25:AH36)</f>
        <v>0</v>
      </c>
      <c r="AI24" s="184"/>
      <c r="AJ24" s="40"/>
      <c r="AK24" s="40">
        <f>IFERROR(AL24/AJ$3,0)</f>
        <v>0</v>
      </c>
      <c r="AL24" s="185">
        <f>SUM(AL25:AL36)</f>
        <v>0</v>
      </c>
      <c r="AM24" s="184"/>
      <c r="AN24" s="40"/>
      <c r="AO24" s="40">
        <f>IFERROR(AP24/AN$3,0)</f>
        <v>0</v>
      </c>
      <c r="AP24" s="185">
        <f>SUM(AP25:AP36)</f>
        <v>0</v>
      </c>
      <c r="AQ24" s="184"/>
      <c r="AR24" s="40"/>
      <c r="AS24" s="40">
        <f>IFERROR(AT24/AR$3,0)</f>
        <v>0</v>
      </c>
      <c r="AT24" s="185">
        <f>SUM(AT25:AT36)</f>
        <v>0</v>
      </c>
      <c r="AU24" s="184"/>
      <c r="AV24" s="40"/>
      <c r="AW24" s="40">
        <f>IFERROR(AX24/AV$3,0)</f>
        <v>0</v>
      </c>
      <c r="AX24" s="185">
        <f>SUM(AX25:AX36)</f>
        <v>0</v>
      </c>
      <c r="AY24" s="184"/>
      <c r="AZ24" s="40"/>
      <c r="BA24" s="40">
        <f>IFERROR(BB24/AZ$3,0)</f>
        <v>0</v>
      </c>
      <c r="BB24" s="185">
        <f>SUM(BB25:BB36)</f>
        <v>0</v>
      </c>
      <c r="BC24" s="184"/>
      <c r="BD24" s="40"/>
      <c r="BE24" s="40">
        <f>IFERROR(BF24/BD$3,0)</f>
        <v>0</v>
      </c>
      <c r="BF24" s="185">
        <f>SUM(BF25:BF36)</f>
        <v>0</v>
      </c>
      <c r="BG24" s="184"/>
      <c r="BH24" s="40"/>
      <c r="BI24" s="40">
        <f>IFERROR(BJ24/BH$3,0)</f>
        <v>0</v>
      </c>
      <c r="BJ24" s="185">
        <f>SUM(BJ25:BJ36)</f>
        <v>0</v>
      </c>
      <c r="BK24" s="184"/>
      <c r="BL24" s="40"/>
      <c r="BM24" s="40">
        <f>IFERROR(BN24/BL$3,0)</f>
        <v>0</v>
      </c>
      <c r="BN24" s="185">
        <f>SUM(BN25:BN36)</f>
        <v>0</v>
      </c>
      <c r="BO24" s="184"/>
      <c r="BP24" s="40"/>
      <c r="BQ24" s="40">
        <f>IFERROR(BR24/BP$3,0)</f>
        <v>0</v>
      </c>
      <c r="BR24" s="185">
        <f>SUM(BR25:BR36)</f>
        <v>0</v>
      </c>
      <c r="BS24" s="184"/>
      <c r="BT24" s="40"/>
      <c r="BU24" s="40">
        <f>IFERROR(BV24/BT$3,0)</f>
        <v>0</v>
      </c>
      <c r="BV24" s="185">
        <f>SUM(BV25:BV36)</f>
        <v>0</v>
      </c>
      <c r="BW24" s="184"/>
      <c r="BX24" s="40"/>
      <c r="BY24" s="40">
        <f>IFERROR(BZ24/BX$3,0)</f>
        <v>0</v>
      </c>
      <c r="BZ24" s="185">
        <f>SUM(BZ25:BZ36)</f>
        <v>0</v>
      </c>
      <c r="CA24" s="184"/>
      <c r="CB24" s="40"/>
      <c r="CC24" s="40">
        <f>IFERROR(CD24/CB$3,0)</f>
        <v>0</v>
      </c>
      <c r="CD24" s="185">
        <f>SUM(CD25:CD36)</f>
        <v>0</v>
      </c>
    </row>
    <row r="25" spans="2:82" x14ac:dyDescent="0.3">
      <c r="B25" s="53"/>
      <c r="C25" s="53" t="str">
        <f t="shared" si="0"/>
        <v>CPU_Grama</v>
      </c>
      <c r="D25" s="278">
        <f t="shared" si="1"/>
        <v>0.5</v>
      </c>
      <c r="E25" s="278">
        <f t="shared" si="2"/>
        <v>0</v>
      </c>
      <c r="F25" s="1"/>
      <c r="G25" s="28" t="str">
        <f>IFERROR(VLOOKUP(F25,Tabela7[[RECURSO]:[CUSTO]],2,FALSE),"")</f>
        <v/>
      </c>
      <c r="H25" s="93"/>
      <c r="I25" s="90">
        <f>IFERROR(SUMPRODUCT(I12:I23,M12:M23,H12:H23,N12:N23),0)</f>
        <v>0</v>
      </c>
      <c r="J25" s="45">
        <f>IFERROR(VLOOKUP(F25,Tabela7[[RECURSO]:[CUSTO]],3,FALSE),0)</f>
        <v>0</v>
      </c>
      <c r="K25" s="45">
        <f>I25*J25</f>
        <v>0</v>
      </c>
      <c r="AD25" s="144" t="str">
        <f t="shared" si="3"/>
        <v>Grama</v>
      </c>
      <c r="AE25" s="179"/>
      <c r="AF25" s="180">
        <f t="shared" ref="AF25:AF36" si="20">AJ25+AN25+AR25+AV25+AZ25+BD25+BH25+BL25+BP25+BT25+BX25+CB25</f>
        <v>0</v>
      </c>
      <c r="AG25" s="180">
        <f t="shared" si="17"/>
        <v>0</v>
      </c>
      <c r="AH25" s="181">
        <f t="shared" ref="AH25:AH36" si="21">AL25+AP25+AT25+AX25+BB25+BF25+BJ25+BN25+BR25+BV25+BZ25+CD25</f>
        <v>0</v>
      </c>
      <c r="AI25" s="182"/>
      <c r="AJ25" s="90"/>
      <c r="AK25" s="90"/>
      <c r="AL25" s="183">
        <f t="shared" ref="AL25:AL36" si="22">AJ25*AK25</f>
        <v>0</v>
      </c>
      <c r="AM25" s="182"/>
      <c r="AN25" s="90"/>
      <c r="AO25" s="90"/>
      <c r="AP25" s="183">
        <f t="shared" ref="AP25:AP62" si="23">AN25*AO25</f>
        <v>0</v>
      </c>
      <c r="AQ25" s="182"/>
      <c r="AR25" s="90"/>
      <c r="AS25" s="90"/>
      <c r="AT25" s="183">
        <f t="shared" ref="AT25:AT62" si="24">AR25*AS25</f>
        <v>0</v>
      </c>
      <c r="AU25" s="182"/>
      <c r="AV25" s="90"/>
      <c r="AW25" s="90"/>
      <c r="AX25" s="183">
        <f t="shared" ref="AX25:AX62" si="25">AV25*AW25</f>
        <v>0</v>
      </c>
      <c r="AY25" s="182"/>
      <c r="AZ25" s="90"/>
      <c r="BA25" s="90"/>
      <c r="BB25" s="183">
        <f t="shared" ref="BB25:BB62" si="26">AZ25*BA25</f>
        <v>0</v>
      </c>
      <c r="BC25" s="182"/>
      <c r="BD25" s="90"/>
      <c r="BE25" s="90"/>
      <c r="BF25" s="183">
        <f t="shared" ref="BF25:BF62" si="27">BD25*BE25</f>
        <v>0</v>
      </c>
      <c r="BG25" s="182"/>
      <c r="BH25" s="90"/>
      <c r="BI25" s="90"/>
      <c r="BJ25" s="183">
        <f t="shared" ref="BJ25:BJ62" si="28">BH25*BI25</f>
        <v>0</v>
      </c>
      <c r="BK25" s="182"/>
      <c r="BL25" s="90"/>
      <c r="BM25" s="90"/>
      <c r="BN25" s="183">
        <f t="shared" ref="BN25:BN62" si="29">BL25*BM25</f>
        <v>0</v>
      </c>
      <c r="BO25" s="182"/>
      <c r="BP25" s="90"/>
      <c r="BQ25" s="90"/>
      <c r="BR25" s="183">
        <f t="shared" ref="BR25:BR62" si="30">BP25*BQ25</f>
        <v>0</v>
      </c>
      <c r="BS25" s="182"/>
      <c r="BT25" s="90"/>
      <c r="BU25" s="90"/>
      <c r="BV25" s="183">
        <f t="shared" ref="BV25:BV62" si="31">BT25*BU25</f>
        <v>0</v>
      </c>
      <c r="BW25" s="182"/>
      <c r="BX25" s="90"/>
      <c r="BY25" s="90"/>
      <c r="BZ25" s="183">
        <f t="shared" ref="BZ25:BZ62" si="32">BX25*BY25</f>
        <v>0</v>
      </c>
      <c r="CA25" s="182"/>
      <c r="CB25" s="90"/>
      <c r="CC25" s="90"/>
      <c r="CD25" s="183">
        <f t="shared" ref="CD25:CD62" si="33">CB25*CC25</f>
        <v>0</v>
      </c>
    </row>
    <row r="26" spans="2:82" x14ac:dyDescent="0.3">
      <c r="B26" s="53"/>
      <c r="C26" s="53" t="str">
        <f t="shared" si="0"/>
        <v>CPU_Grama</v>
      </c>
      <c r="D26" s="278">
        <f t="shared" si="1"/>
        <v>0.5</v>
      </c>
      <c r="E26" s="278">
        <f t="shared" si="2"/>
        <v>0</v>
      </c>
      <c r="F26" s="1"/>
      <c r="G26" s="28" t="str">
        <f>IFERROR(VLOOKUP(F26,Tabela7[[RECURSO]:[CUSTO]],2,FALSE),"")</f>
        <v/>
      </c>
      <c r="H26" s="93"/>
      <c r="I26" s="90"/>
      <c r="J26" s="45">
        <f>IFERROR(VLOOKUP(F26,Tabela7[[RECURSO]:[CUSTO]],3,FALSE),0)</f>
        <v>0</v>
      </c>
      <c r="K26" s="45">
        <f t="shared" ref="K26:K36" si="34">I26*J26</f>
        <v>0</v>
      </c>
      <c r="AD26" s="144" t="str">
        <f t="shared" si="3"/>
        <v>Grama</v>
      </c>
      <c r="AE26" s="179"/>
      <c r="AF26" s="180">
        <f t="shared" si="20"/>
        <v>0</v>
      </c>
      <c r="AG26" s="180">
        <f t="shared" si="17"/>
        <v>0</v>
      </c>
      <c r="AH26" s="181">
        <f t="shared" si="21"/>
        <v>0</v>
      </c>
      <c r="AI26" s="182"/>
      <c r="AJ26" s="90"/>
      <c r="AK26" s="90"/>
      <c r="AL26" s="183">
        <f t="shared" si="22"/>
        <v>0</v>
      </c>
      <c r="AM26" s="182"/>
      <c r="AN26" s="90"/>
      <c r="AO26" s="90"/>
      <c r="AP26" s="183">
        <f t="shared" si="23"/>
        <v>0</v>
      </c>
      <c r="AQ26" s="182"/>
      <c r="AR26" s="90"/>
      <c r="AS26" s="90"/>
      <c r="AT26" s="183">
        <f t="shared" si="24"/>
        <v>0</v>
      </c>
      <c r="AU26" s="182"/>
      <c r="AV26" s="90"/>
      <c r="AW26" s="90"/>
      <c r="AX26" s="183">
        <f t="shared" si="25"/>
        <v>0</v>
      </c>
      <c r="AY26" s="182"/>
      <c r="AZ26" s="90"/>
      <c r="BA26" s="90"/>
      <c r="BB26" s="183">
        <f t="shared" si="26"/>
        <v>0</v>
      </c>
      <c r="BC26" s="182"/>
      <c r="BD26" s="90"/>
      <c r="BE26" s="90"/>
      <c r="BF26" s="183">
        <f t="shared" si="27"/>
        <v>0</v>
      </c>
      <c r="BG26" s="182"/>
      <c r="BH26" s="90"/>
      <c r="BI26" s="90"/>
      <c r="BJ26" s="183">
        <f t="shared" si="28"/>
        <v>0</v>
      </c>
      <c r="BK26" s="182"/>
      <c r="BL26" s="90"/>
      <c r="BM26" s="90"/>
      <c r="BN26" s="183">
        <f t="shared" si="29"/>
        <v>0</v>
      </c>
      <c r="BO26" s="182"/>
      <c r="BP26" s="90"/>
      <c r="BQ26" s="90"/>
      <c r="BR26" s="183">
        <f t="shared" si="30"/>
        <v>0</v>
      </c>
      <c r="BS26" s="182"/>
      <c r="BT26" s="90"/>
      <c r="BU26" s="90"/>
      <c r="BV26" s="183">
        <f t="shared" si="31"/>
        <v>0</v>
      </c>
      <c r="BW26" s="182"/>
      <c r="BX26" s="90"/>
      <c r="BY26" s="90"/>
      <c r="BZ26" s="183">
        <f t="shared" si="32"/>
        <v>0</v>
      </c>
      <c r="CA26" s="182"/>
      <c r="CB26" s="90"/>
      <c r="CC26" s="90"/>
      <c r="CD26" s="183">
        <f t="shared" si="33"/>
        <v>0</v>
      </c>
    </row>
    <row r="27" spans="2:82" x14ac:dyDescent="0.3">
      <c r="B27" s="53"/>
      <c r="C27" s="53" t="str">
        <f t="shared" si="0"/>
        <v>CPU_Grama</v>
      </c>
      <c r="D27" s="278">
        <f t="shared" si="1"/>
        <v>0.5</v>
      </c>
      <c r="E27" s="278">
        <f t="shared" si="2"/>
        <v>0</v>
      </c>
      <c r="F27" s="1"/>
      <c r="G27" s="28" t="str">
        <f>IFERROR(VLOOKUP(F27,Tabela7[[RECURSO]:[CUSTO]],2,FALSE),"")</f>
        <v/>
      </c>
      <c r="H27" s="93"/>
      <c r="I27" s="90"/>
      <c r="J27" s="45">
        <f>IFERROR(VLOOKUP(F27,Tabela7[[RECURSO]:[CUSTO]],3,FALSE),0)</f>
        <v>0</v>
      </c>
      <c r="K27" s="45">
        <f t="shared" si="34"/>
        <v>0</v>
      </c>
      <c r="AD27" s="144" t="str">
        <f t="shared" si="3"/>
        <v>Grama</v>
      </c>
      <c r="AE27" s="179"/>
      <c r="AF27" s="180">
        <f t="shared" si="20"/>
        <v>0</v>
      </c>
      <c r="AG27" s="180">
        <f t="shared" si="17"/>
        <v>0</v>
      </c>
      <c r="AH27" s="181">
        <f t="shared" si="21"/>
        <v>0</v>
      </c>
      <c r="AI27" s="182"/>
      <c r="AJ27" s="90"/>
      <c r="AK27" s="90"/>
      <c r="AL27" s="183">
        <f t="shared" si="22"/>
        <v>0</v>
      </c>
      <c r="AM27" s="182"/>
      <c r="AN27" s="90"/>
      <c r="AO27" s="90"/>
      <c r="AP27" s="183">
        <f t="shared" si="23"/>
        <v>0</v>
      </c>
      <c r="AQ27" s="182"/>
      <c r="AR27" s="90"/>
      <c r="AS27" s="90"/>
      <c r="AT27" s="183">
        <f t="shared" si="24"/>
        <v>0</v>
      </c>
      <c r="AU27" s="182"/>
      <c r="AV27" s="90"/>
      <c r="AW27" s="90"/>
      <c r="AX27" s="183">
        <f t="shared" si="25"/>
        <v>0</v>
      </c>
      <c r="AY27" s="182"/>
      <c r="AZ27" s="90"/>
      <c r="BA27" s="90"/>
      <c r="BB27" s="183">
        <f t="shared" si="26"/>
        <v>0</v>
      </c>
      <c r="BC27" s="182"/>
      <c r="BD27" s="90"/>
      <c r="BE27" s="90"/>
      <c r="BF27" s="183">
        <f t="shared" si="27"/>
        <v>0</v>
      </c>
      <c r="BG27" s="182"/>
      <c r="BH27" s="90"/>
      <c r="BI27" s="90"/>
      <c r="BJ27" s="183">
        <f t="shared" si="28"/>
        <v>0</v>
      </c>
      <c r="BK27" s="182"/>
      <c r="BL27" s="90"/>
      <c r="BM27" s="90"/>
      <c r="BN27" s="183">
        <f t="shared" si="29"/>
        <v>0</v>
      </c>
      <c r="BO27" s="182"/>
      <c r="BP27" s="90"/>
      <c r="BQ27" s="90"/>
      <c r="BR27" s="183">
        <f t="shared" si="30"/>
        <v>0</v>
      </c>
      <c r="BS27" s="182"/>
      <c r="BT27" s="90"/>
      <c r="BU27" s="90"/>
      <c r="BV27" s="183">
        <f t="shared" si="31"/>
        <v>0</v>
      </c>
      <c r="BW27" s="182"/>
      <c r="BX27" s="90"/>
      <c r="BY27" s="90"/>
      <c r="BZ27" s="183">
        <f t="shared" si="32"/>
        <v>0</v>
      </c>
      <c r="CA27" s="182"/>
      <c r="CB27" s="90"/>
      <c r="CC27" s="90"/>
      <c r="CD27" s="183">
        <f t="shared" si="33"/>
        <v>0</v>
      </c>
    </row>
    <row r="28" spans="2:82" x14ac:dyDescent="0.3">
      <c r="B28" s="53"/>
      <c r="C28" s="53" t="str">
        <f t="shared" si="0"/>
        <v>CPU_Grama</v>
      </c>
      <c r="D28" s="278">
        <f t="shared" si="1"/>
        <v>0.5</v>
      </c>
      <c r="E28" s="278">
        <f t="shared" si="2"/>
        <v>0</v>
      </c>
      <c r="F28" s="1"/>
      <c r="G28" s="28" t="str">
        <f>IFERROR(VLOOKUP(F28,Tabela7[[RECURSO]:[CUSTO]],2,FALSE),"")</f>
        <v/>
      </c>
      <c r="H28" s="93"/>
      <c r="I28" s="90"/>
      <c r="J28" s="45">
        <f>IFERROR(VLOOKUP(F28,Tabela7[[RECURSO]:[CUSTO]],3,FALSE),0)</f>
        <v>0</v>
      </c>
      <c r="K28" s="45">
        <f t="shared" si="34"/>
        <v>0</v>
      </c>
      <c r="AD28" s="144" t="str">
        <f t="shared" si="3"/>
        <v>Grama</v>
      </c>
      <c r="AE28" s="179"/>
      <c r="AF28" s="180">
        <f t="shared" si="20"/>
        <v>0</v>
      </c>
      <c r="AG28" s="180">
        <f t="shared" si="17"/>
        <v>0</v>
      </c>
      <c r="AH28" s="181">
        <f t="shared" si="21"/>
        <v>0</v>
      </c>
      <c r="AI28" s="182"/>
      <c r="AJ28" s="90"/>
      <c r="AK28" s="90"/>
      <c r="AL28" s="183">
        <f t="shared" si="22"/>
        <v>0</v>
      </c>
      <c r="AM28" s="182"/>
      <c r="AN28" s="90"/>
      <c r="AO28" s="90"/>
      <c r="AP28" s="183">
        <f t="shared" si="23"/>
        <v>0</v>
      </c>
      <c r="AQ28" s="182"/>
      <c r="AR28" s="90"/>
      <c r="AS28" s="90"/>
      <c r="AT28" s="183">
        <f t="shared" si="24"/>
        <v>0</v>
      </c>
      <c r="AU28" s="182"/>
      <c r="AV28" s="90"/>
      <c r="AW28" s="90"/>
      <c r="AX28" s="183">
        <f t="shared" si="25"/>
        <v>0</v>
      </c>
      <c r="AY28" s="182"/>
      <c r="AZ28" s="90"/>
      <c r="BA28" s="90"/>
      <c r="BB28" s="183">
        <f t="shared" si="26"/>
        <v>0</v>
      </c>
      <c r="BC28" s="182"/>
      <c r="BD28" s="90"/>
      <c r="BE28" s="90"/>
      <c r="BF28" s="183">
        <f t="shared" si="27"/>
        <v>0</v>
      </c>
      <c r="BG28" s="182"/>
      <c r="BH28" s="90"/>
      <c r="BI28" s="90"/>
      <c r="BJ28" s="183">
        <f t="shared" si="28"/>
        <v>0</v>
      </c>
      <c r="BK28" s="182"/>
      <c r="BL28" s="90"/>
      <c r="BM28" s="90"/>
      <c r="BN28" s="183">
        <f t="shared" si="29"/>
        <v>0</v>
      </c>
      <c r="BO28" s="182"/>
      <c r="BP28" s="90"/>
      <c r="BQ28" s="90"/>
      <c r="BR28" s="183">
        <f t="shared" si="30"/>
        <v>0</v>
      </c>
      <c r="BS28" s="182"/>
      <c r="BT28" s="90"/>
      <c r="BU28" s="90"/>
      <c r="BV28" s="183">
        <f t="shared" si="31"/>
        <v>0</v>
      </c>
      <c r="BW28" s="182"/>
      <c r="BX28" s="90"/>
      <c r="BY28" s="90"/>
      <c r="BZ28" s="183">
        <f t="shared" si="32"/>
        <v>0</v>
      </c>
      <c r="CA28" s="182"/>
      <c r="CB28" s="90"/>
      <c r="CC28" s="90"/>
      <c r="CD28" s="183">
        <f t="shared" si="33"/>
        <v>0</v>
      </c>
    </row>
    <row r="29" spans="2:82" x14ac:dyDescent="0.3">
      <c r="B29" s="53"/>
      <c r="C29" s="53" t="str">
        <f t="shared" si="0"/>
        <v>CPU_Grama</v>
      </c>
      <c r="D29" s="278">
        <f t="shared" si="1"/>
        <v>0.5</v>
      </c>
      <c r="E29" s="278">
        <f t="shared" si="2"/>
        <v>0</v>
      </c>
      <c r="F29" s="1"/>
      <c r="G29" s="28" t="str">
        <f>IFERROR(VLOOKUP(F29,Tabela7[[RECURSO]:[CUSTO]],2,FALSE),"")</f>
        <v/>
      </c>
      <c r="H29" s="93"/>
      <c r="I29" s="90"/>
      <c r="J29" s="45">
        <f>IFERROR(VLOOKUP(F29,Tabela7[[RECURSO]:[CUSTO]],3,FALSE),0)</f>
        <v>0</v>
      </c>
      <c r="K29" s="45">
        <f t="shared" si="34"/>
        <v>0</v>
      </c>
      <c r="AD29" s="144" t="str">
        <f t="shared" si="3"/>
        <v>Grama</v>
      </c>
      <c r="AE29" s="179"/>
      <c r="AF29" s="180">
        <f t="shared" si="20"/>
        <v>0</v>
      </c>
      <c r="AG29" s="180">
        <f t="shared" si="17"/>
        <v>0</v>
      </c>
      <c r="AH29" s="181">
        <f t="shared" si="21"/>
        <v>0</v>
      </c>
      <c r="AI29" s="182"/>
      <c r="AJ29" s="90"/>
      <c r="AK29" s="90"/>
      <c r="AL29" s="183">
        <f t="shared" si="22"/>
        <v>0</v>
      </c>
      <c r="AM29" s="182"/>
      <c r="AN29" s="90"/>
      <c r="AO29" s="90"/>
      <c r="AP29" s="183">
        <f t="shared" si="23"/>
        <v>0</v>
      </c>
      <c r="AQ29" s="182"/>
      <c r="AR29" s="90"/>
      <c r="AS29" s="90"/>
      <c r="AT29" s="183">
        <f t="shared" si="24"/>
        <v>0</v>
      </c>
      <c r="AU29" s="182"/>
      <c r="AV29" s="90"/>
      <c r="AW29" s="90"/>
      <c r="AX29" s="183">
        <f t="shared" si="25"/>
        <v>0</v>
      </c>
      <c r="AY29" s="182"/>
      <c r="AZ29" s="90"/>
      <c r="BA29" s="90"/>
      <c r="BB29" s="183">
        <f t="shared" si="26"/>
        <v>0</v>
      </c>
      <c r="BC29" s="182"/>
      <c r="BD29" s="90"/>
      <c r="BE29" s="90"/>
      <c r="BF29" s="183">
        <f t="shared" si="27"/>
        <v>0</v>
      </c>
      <c r="BG29" s="182"/>
      <c r="BH29" s="90"/>
      <c r="BI29" s="90"/>
      <c r="BJ29" s="183">
        <f t="shared" si="28"/>
        <v>0</v>
      </c>
      <c r="BK29" s="182"/>
      <c r="BL29" s="90"/>
      <c r="BM29" s="90"/>
      <c r="BN29" s="183">
        <f t="shared" si="29"/>
        <v>0</v>
      </c>
      <c r="BO29" s="182"/>
      <c r="BP29" s="90"/>
      <c r="BQ29" s="90"/>
      <c r="BR29" s="183">
        <f t="shared" si="30"/>
        <v>0</v>
      </c>
      <c r="BS29" s="182"/>
      <c r="BT29" s="90"/>
      <c r="BU29" s="90"/>
      <c r="BV29" s="183">
        <f t="shared" si="31"/>
        <v>0</v>
      </c>
      <c r="BW29" s="182"/>
      <c r="BX29" s="90"/>
      <c r="BY29" s="90"/>
      <c r="BZ29" s="183">
        <f t="shared" si="32"/>
        <v>0</v>
      </c>
      <c r="CA29" s="182"/>
      <c r="CB29" s="90"/>
      <c r="CC29" s="90"/>
      <c r="CD29" s="183">
        <f t="shared" si="33"/>
        <v>0</v>
      </c>
    </row>
    <row r="30" spans="2:82" x14ac:dyDescent="0.3">
      <c r="B30" s="53"/>
      <c r="C30" s="53" t="str">
        <f t="shared" si="0"/>
        <v>CPU_Grama</v>
      </c>
      <c r="D30" s="278">
        <f t="shared" si="1"/>
        <v>0.5</v>
      </c>
      <c r="E30" s="278">
        <f t="shared" si="2"/>
        <v>0</v>
      </c>
      <c r="F30" s="1"/>
      <c r="G30" s="28" t="str">
        <f>IFERROR(VLOOKUP(F30,Tabela7[[RECURSO]:[CUSTO]],2,FALSE),"")</f>
        <v/>
      </c>
      <c r="H30" s="93"/>
      <c r="I30" s="90"/>
      <c r="J30" s="45">
        <f>IFERROR(VLOOKUP(F30,Tabela7[[RECURSO]:[CUSTO]],3,FALSE),0)</f>
        <v>0</v>
      </c>
      <c r="K30" s="45">
        <f t="shared" si="34"/>
        <v>0</v>
      </c>
      <c r="AD30" s="144" t="str">
        <f t="shared" si="3"/>
        <v>Grama</v>
      </c>
      <c r="AE30" s="179"/>
      <c r="AF30" s="180">
        <f t="shared" si="20"/>
        <v>0</v>
      </c>
      <c r="AG30" s="180">
        <f t="shared" si="17"/>
        <v>0</v>
      </c>
      <c r="AH30" s="181">
        <f t="shared" si="21"/>
        <v>0</v>
      </c>
      <c r="AI30" s="182"/>
      <c r="AJ30" s="90"/>
      <c r="AK30" s="90"/>
      <c r="AL30" s="183">
        <f t="shared" si="22"/>
        <v>0</v>
      </c>
      <c r="AM30" s="182"/>
      <c r="AN30" s="90"/>
      <c r="AO30" s="90"/>
      <c r="AP30" s="183">
        <f t="shared" si="23"/>
        <v>0</v>
      </c>
      <c r="AQ30" s="182"/>
      <c r="AR30" s="90"/>
      <c r="AS30" s="90"/>
      <c r="AT30" s="183">
        <f t="shared" si="24"/>
        <v>0</v>
      </c>
      <c r="AU30" s="182"/>
      <c r="AV30" s="90"/>
      <c r="AW30" s="90"/>
      <c r="AX30" s="183">
        <f t="shared" si="25"/>
        <v>0</v>
      </c>
      <c r="AY30" s="182"/>
      <c r="AZ30" s="90"/>
      <c r="BA30" s="90"/>
      <c r="BB30" s="183">
        <f t="shared" si="26"/>
        <v>0</v>
      </c>
      <c r="BC30" s="182"/>
      <c r="BD30" s="90"/>
      <c r="BE30" s="90"/>
      <c r="BF30" s="183">
        <f t="shared" si="27"/>
        <v>0</v>
      </c>
      <c r="BG30" s="182"/>
      <c r="BH30" s="90"/>
      <c r="BI30" s="90"/>
      <c r="BJ30" s="183">
        <f t="shared" si="28"/>
        <v>0</v>
      </c>
      <c r="BK30" s="182"/>
      <c r="BL30" s="90"/>
      <c r="BM30" s="90"/>
      <c r="BN30" s="183">
        <f t="shared" si="29"/>
        <v>0</v>
      </c>
      <c r="BO30" s="182"/>
      <c r="BP30" s="90"/>
      <c r="BQ30" s="90"/>
      <c r="BR30" s="183">
        <f t="shared" si="30"/>
        <v>0</v>
      </c>
      <c r="BS30" s="182"/>
      <c r="BT30" s="90"/>
      <c r="BU30" s="90"/>
      <c r="BV30" s="183">
        <f t="shared" si="31"/>
        <v>0</v>
      </c>
      <c r="BW30" s="182"/>
      <c r="BX30" s="90"/>
      <c r="BY30" s="90"/>
      <c r="BZ30" s="183">
        <f t="shared" si="32"/>
        <v>0</v>
      </c>
      <c r="CA30" s="182"/>
      <c r="CB30" s="90"/>
      <c r="CC30" s="90"/>
      <c r="CD30" s="183">
        <f t="shared" si="33"/>
        <v>0</v>
      </c>
    </row>
    <row r="31" spans="2:82" x14ac:dyDescent="0.3">
      <c r="B31" s="53"/>
      <c r="C31" s="53" t="str">
        <f t="shared" si="0"/>
        <v>CPU_Grama</v>
      </c>
      <c r="D31" s="278">
        <f t="shared" si="1"/>
        <v>0.5</v>
      </c>
      <c r="E31" s="278">
        <f t="shared" si="2"/>
        <v>0</v>
      </c>
      <c r="F31" s="1"/>
      <c r="G31" s="28" t="str">
        <f>IFERROR(VLOOKUP(F31,Tabela7[[RECURSO]:[CUSTO]],2,FALSE),"")</f>
        <v/>
      </c>
      <c r="H31" s="93"/>
      <c r="I31" s="90"/>
      <c r="J31" s="45">
        <f>IFERROR(VLOOKUP(F31,Tabela7[[RECURSO]:[CUSTO]],3,FALSE),0)</f>
        <v>0</v>
      </c>
      <c r="K31" s="45">
        <f t="shared" si="34"/>
        <v>0</v>
      </c>
      <c r="AD31" s="144" t="str">
        <f t="shared" si="3"/>
        <v>Grama</v>
      </c>
      <c r="AE31" s="179"/>
      <c r="AF31" s="180">
        <f t="shared" si="20"/>
        <v>0</v>
      </c>
      <c r="AG31" s="180">
        <f t="shared" si="17"/>
        <v>0</v>
      </c>
      <c r="AH31" s="181">
        <f t="shared" si="21"/>
        <v>0</v>
      </c>
      <c r="AI31" s="182"/>
      <c r="AJ31" s="90"/>
      <c r="AK31" s="90"/>
      <c r="AL31" s="183">
        <f t="shared" si="22"/>
        <v>0</v>
      </c>
      <c r="AM31" s="182"/>
      <c r="AN31" s="90"/>
      <c r="AO31" s="90"/>
      <c r="AP31" s="183">
        <f t="shared" si="23"/>
        <v>0</v>
      </c>
      <c r="AQ31" s="182"/>
      <c r="AR31" s="90"/>
      <c r="AS31" s="90"/>
      <c r="AT31" s="183">
        <f t="shared" si="24"/>
        <v>0</v>
      </c>
      <c r="AU31" s="182"/>
      <c r="AV31" s="90"/>
      <c r="AW31" s="90"/>
      <c r="AX31" s="183">
        <f t="shared" si="25"/>
        <v>0</v>
      </c>
      <c r="AY31" s="182"/>
      <c r="AZ31" s="90"/>
      <c r="BA31" s="90"/>
      <c r="BB31" s="183">
        <f t="shared" si="26"/>
        <v>0</v>
      </c>
      <c r="BC31" s="182"/>
      <c r="BD31" s="90"/>
      <c r="BE31" s="90"/>
      <c r="BF31" s="183">
        <f t="shared" si="27"/>
        <v>0</v>
      </c>
      <c r="BG31" s="182"/>
      <c r="BH31" s="90"/>
      <c r="BI31" s="90"/>
      <c r="BJ31" s="183">
        <f t="shared" si="28"/>
        <v>0</v>
      </c>
      <c r="BK31" s="182"/>
      <c r="BL31" s="90"/>
      <c r="BM31" s="90"/>
      <c r="BN31" s="183">
        <f t="shared" si="29"/>
        <v>0</v>
      </c>
      <c r="BO31" s="182"/>
      <c r="BP31" s="90"/>
      <c r="BQ31" s="90"/>
      <c r="BR31" s="183">
        <f t="shared" si="30"/>
        <v>0</v>
      </c>
      <c r="BS31" s="182"/>
      <c r="BT31" s="90"/>
      <c r="BU31" s="90"/>
      <c r="BV31" s="183">
        <f t="shared" si="31"/>
        <v>0</v>
      </c>
      <c r="BW31" s="182"/>
      <c r="BX31" s="90"/>
      <c r="BY31" s="90"/>
      <c r="BZ31" s="183">
        <f t="shared" si="32"/>
        <v>0</v>
      </c>
      <c r="CA31" s="182"/>
      <c r="CB31" s="90"/>
      <c r="CC31" s="90"/>
      <c r="CD31" s="183">
        <f t="shared" si="33"/>
        <v>0</v>
      </c>
    </row>
    <row r="32" spans="2:82" x14ac:dyDescent="0.3">
      <c r="B32" s="53"/>
      <c r="C32" s="53" t="str">
        <f t="shared" si="0"/>
        <v>CPU_Grama</v>
      </c>
      <c r="D32" s="278">
        <f t="shared" si="1"/>
        <v>0.5</v>
      </c>
      <c r="E32" s="278">
        <f t="shared" si="2"/>
        <v>0</v>
      </c>
      <c r="F32" s="1"/>
      <c r="G32" s="28" t="str">
        <f>IFERROR(VLOOKUP(F32,Tabela7[[RECURSO]:[CUSTO]],2,FALSE),"")</f>
        <v/>
      </c>
      <c r="H32" s="93"/>
      <c r="I32" s="90"/>
      <c r="J32" s="45">
        <f>IFERROR(VLOOKUP(F32,Tabela7[[RECURSO]:[CUSTO]],3,FALSE),0)</f>
        <v>0</v>
      </c>
      <c r="K32" s="45">
        <f t="shared" si="34"/>
        <v>0</v>
      </c>
      <c r="AD32" s="144" t="str">
        <f t="shared" si="3"/>
        <v>Grama</v>
      </c>
      <c r="AE32" s="179"/>
      <c r="AF32" s="180">
        <f t="shared" si="20"/>
        <v>0</v>
      </c>
      <c r="AG32" s="180">
        <f t="shared" si="17"/>
        <v>0</v>
      </c>
      <c r="AH32" s="181">
        <f t="shared" si="21"/>
        <v>0</v>
      </c>
      <c r="AI32" s="182"/>
      <c r="AJ32" s="90"/>
      <c r="AK32" s="90"/>
      <c r="AL32" s="183">
        <f t="shared" si="22"/>
        <v>0</v>
      </c>
      <c r="AM32" s="182"/>
      <c r="AN32" s="90"/>
      <c r="AO32" s="90"/>
      <c r="AP32" s="183">
        <f t="shared" si="23"/>
        <v>0</v>
      </c>
      <c r="AQ32" s="182"/>
      <c r="AR32" s="90"/>
      <c r="AS32" s="90"/>
      <c r="AT32" s="183">
        <f t="shared" si="24"/>
        <v>0</v>
      </c>
      <c r="AU32" s="182"/>
      <c r="AV32" s="90"/>
      <c r="AW32" s="90"/>
      <c r="AX32" s="183">
        <f t="shared" si="25"/>
        <v>0</v>
      </c>
      <c r="AY32" s="182"/>
      <c r="AZ32" s="90"/>
      <c r="BA32" s="90"/>
      <c r="BB32" s="183">
        <f t="shared" si="26"/>
        <v>0</v>
      </c>
      <c r="BC32" s="182"/>
      <c r="BD32" s="90"/>
      <c r="BE32" s="90"/>
      <c r="BF32" s="183">
        <f t="shared" si="27"/>
        <v>0</v>
      </c>
      <c r="BG32" s="182"/>
      <c r="BH32" s="90"/>
      <c r="BI32" s="90"/>
      <c r="BJ32" s="183">
        <f t="shared" si="28"/>
        <v>0</v>
      </c>
      <c r="BK32" s="182"/>
      <c r="BL32" s="90"/>
      <c r="BM32" s="90"/>
      <c r="BN32" s="183">
        <f t="shared" si="29"/>
        <v>0</v>
      </c>
      <c r="BO32" s="182"/>
      <c r="BP32" s="90"/>
      <c r="BQ32" s="90"/>
      <c r="BR32" s="183">
        <f t="shared" si="30"/>
        <v>0</v>
      </c>
      <c r="BS32" s="182"/>
      <c r="BT32" s="90"/>
      <c r="BU32" s="90"/>
      <c r="BV32" s="183">
        <f t="shared" si="31"/>
        <v>0</v>
      </c>
      <c r="BW32" s="182"/>
      <c r="BX32" s="90"/>
      <c r="BY32" s="90"/>
      <c r="BZ32" s="183">
        <f t="shared" si="32"/>
        <v>0</v>
      </c>
      <c r="CA32" s="182"/>
      <c r="CB32" s="90"/>
      <c r="CC32" s="90"/>
      <c r="CD32" s="183">
        <f t="shared" si="33"/>
        <v>0</v>
      </c>
    </row>
    <row r="33" spans="2:82" x14ac:dyDescent="0.3">
      <c r="B33" s="53"/>
      <c r="C33" s="53" t="str">
        <f t="shared" si="0"/>
        <v>CPU_Grama</v>
      </c>
      <c r="D33" s="278">
        <f t="shared" si="1"/>
        <v>0.5</v>
      </c>
      <c r="E33" s="278">
        <f t="shared" si="2"/>
        <v>0</v>
      </c>
      <c r="F33" s="1"/>
      <c r="G33" s="28" t="str">
        <f>IFERROR(VLOOKUP(F33,Tabela7[[RECURSO]:[CUSTO]],2,FALSE),"")</f>
        <v/>
      </c>
      <c r="H33" s="93"/>
      <c r="I33" s="90"/>
      <c r="J33" s="45">
        <f>IFERROR(VLOOKUP(F33,Tabela7[[RECURSO]:[CUSTO]],3,FALSE),0)</f>
        <v>0</v>
      </c>
      <c r="K33" s="45">
        <f t="shared" si="34"/>
        <v>0</v>
      </c>
      <c r="AD33" s="144" t="str">
        <f t="shared" si="3"/>
        <v>Grama</v>
      </c>
      <c r="AE33" s="179"/>
      <c r="AF33" s="180">
        <f t="shared" si="20"/>
        <v>0</v>
      </c>
      <c r="AG33" s="180">
        <f t="shared" si="17"/>
        <v>0</v>
      </c>
      <c r="AH33" s="181">
        <f t="shared" si="21"/>
        <v>0</v>
      </c>
      <c r="AI33" s="182"/>
      <c r="AJ33" s="90"/>
      <c r="AK33" s="90"/>
      <c r="AL33" s="183">
        <f t="shared" si="22"/>
        <v>0</v>
      </c>
      <c r="AM33" s="182"/>
      <c r="AN33" s="90"/>
      <c r="AO33" s="90"/>
      <c r="AP33" s="183">
        <f t="shared" si="23"/>
        <v>0</v>
      </c>
      <c r="AQ33" s="182"/>
      <c r="AR33" s="90"/>
      <c r="AS33" s="90"/>
      <c r="AT33" s="183">
        <f t="shared" si="24"/>
        <v>0</v>
      </c>
      <c r="AU33" s="182"/>
      <c r="AV33" s="90"/>
      <c r="AW33" s="90"/>
      <c r="AX33" s="183">
        <f t="shared" si="25"/>
        <v>0</v>
      </c>
      <c r="AY33" s="182"/>
      <c r="AZ33" s="90"/>
      <c r="BA33" s="90"/>
      <c r="BB33" s="183">
        <f t="shared" si="26"/>
        <v>0</v>
      </c>
      <c r="BC33" s="182"/>
      <c r="BD33" s="90"/>
      <c r="BE33" s="90"/>
      <c r="BF33" s="183">
        <f t="shared" si="27"/>
        <v>0</v>
      </c>
      <c r="BG33" s="182"/>
      <c r="BH33" s="90"/>
      <c r="BI33" s="90"/>
      <c r="BJ33" s="183">
        <f t="shared" si="28"/>
        <v>0</v>
      </c>
      <c r="BK33" s="182"/>
      <c r="BL33" s="90"/>
      <c r="BM33" s="90"/>
      <c r="BN33" s="183">
        <f t="shared" si="29"/>
        <v>0</v>
      </c>
      <c r="BO33" s="182"/>
      <c r="BP33" s="90"/>
      <c r="BQ33" s="90"/>
      <c r="BR33" s="183">
        <f t="shared" si="30"/>
        <v>0</v>
      </c>
      <c r="BS33" s="182"/>
      <c r="BT33" s="90"/>
      <c r="BU33" s="90"/>
      <c r="BV33" s="183">
        <f t="shared" si="31"/>
        <v>0</v>
      </c>
      <c r="BW33" s="182"/>
      <c r="BX33" s="90"/>
      <c r="BY33" s="90"/>
      <c r="BZ33" s="183">
        <f t="shared" si="32"/>
        <v>0</v>
      </c>
      <c r="CA33" s="182"/>
      <c r="CB33" s="90"/>
      <c r="CC33" s="90"/>
      <c r="CD33" s="183">
        <f t="shared" si="33"/>
        <v>0</v>
      </c>
    </row>
    <row r="34" spans="2:82" x14ac:dyDescent="0.3">
      <c r="B34" s="53"/>
      <c r="C34" s="53" t="str">
        <f t="shared" si="0"/>
        <v>CPU_Grama</v>
      </c>
      <c r="D34" s="278">
        <f t="shared" si="1"/>
        <v>0.5</v>
      </c>
      <c r="E34" s="278">
        <f t="shared" si="2"/>
        <v>0</v>
      </c>
      <c r="F34" s="1"/>
      <c r="G34" s="28" t="str">
        <f>IFERROR(VLOOKUP(F34,Tabela7[[RECURSO]:[CUSTO]],2,FALSE),"")</f>
        <v/>
      </c>
      <c r="H34" s="93"/>
      <c r="I34" s="90"/>
      <c r="J34" s="45">
        <f>IFERROR(VLOOKUP(F34,Tabela7[[RECURSO]:[CUSTO]],3,FALSE),0)</f>
        <v>0</v>
      </c>
      <c r="K34" s="45">
        <f t="shared" si="34"/>
        <v>0</v>
      </c>
      <c r="AD34" s="144" t="str">
        <f t="shared" si="3"/>
        <v>Grama</v>
      </c>
      <c r="AE34" s="179"/>
      <c r="AF34" s="180">
        <f t="shared" si="20"/>
        <v>0</v>
      </c>
      <c r="AG34" s="180">
        <f t="shared" si="17"/>
        <v>0</v>
      </c>
      <c r="AH34" s="181">
        <f t="shared" si="21"/>
        <v>0</v>
      </c>
      <c r="AI34" s="182"/>
      <c r="AJ34" s="90"/>
      <c r="AK34" s="90"/>
      <c r="AL34" s="183">
        <f t="shared" si="22"/>
        <v>0</v>
      </c>
      <c r="AM34" s="182"/>
      <c r="AN34" s="90"/>
      <c r="AO34" s="90"/>
      <c r="AP34" s="183">
        <f t="shared" si="23"/>
        <v>0</v>
      </c>
      <c r="AQ34" s="182"/>
      <c r="AR34" s="90"/>
      <c r="AS34" s="90"/>
      <c r="AT34" s="183">
        <f t="shared" si="24"/>
        <v>0</v>
      </c>
      <c r="AU34" s="182"/>
      <c r="AV34" s="90"/>
      <c r="AW34" s="90"/>
      <c r="AX34" s="183">
        <f t="shared" si="25"/>
        <v>0</v>
      </c>
      <c r="AY34" s="182"/>
      <c r="AZ34" s="90"/>
      <c r="BA34" s="90"/>
      <c r="BB34" s="183">
        <f t="shared" si="26"/>
        <v>0</v>
      </c>
      <c r="BC34" s="182"/>
      <c r="BD34" s="90"/>
      <c r="BE34" s="90"/>
      <c r="BF34" s="183">
        <f t="shared" si="27"/>
        <v>0</v>
      </c>
      <c r="BG34" s="182"/>
      <c r="BH34" s="90"/>
      <c r="BI34" s="90"/>
      <c r="BJ34" s="183">
        <f t="shared" si="28"/>
        <v>0</v>
      </c>
      <c r="BK34" s="182"/>
      <c r="BL34" s="90"/>
      <c r="BM34" s="90"/>
      <c r="BN34" s="183">
        <f t="shared" si="29"/>
        <v>0</v>
      </c>
      <c r="BO34" s="182"/>
      <c r="BP34" s="90"/>
      <c r="BQ34" s="90"/>
      <c r="BR34" s="183">
        <f t="shared" si="30"/>
        <v>0</v>
      </c>
      <c r="BS34" s="182"/>
      <c r="BT34" s="90"/>
      <c r="BU34" s="90"/>
      <c r="BV34" s="183">
        <f t="shared" si="31"/>
        <v>0</v>
      </c>
      <c r="BW34" s="182"/>
      <c r="BX34" s="90"/>
      <c r="BY34" s="90"/>
      <c r="BZ34" s="183">
        <f t="shared" si="32"/>
        <v>0</v>
      </c>
      <c r="CA34" s="182"/>
      <c r="CB34" s="90"/>
      <c r="CC34" s="90"/>
      <c r="CD34" s="183">
        <f t="shared" si="33"/>
        <v>0</v>
      </c>
    </row>
    <row r="35" spans="2:82" x14ac:dyDescent="0.3">
      <c r="B35" s="53"/>
      <c r="C35" s="53" t="str">
        <f t="shared" si="0"/>
        <v>CPU_Grama</v>
      </c>
      <c r="D35" s="278">
        <f t="shared" si="1"/>
        <v>0.5</v>
      </c>
      <c r="E35" s="278">
        <f t="shared" si="2"/>
        <v>0</v>
      </c>
      <c r="F35" s="1"/>
      <c r="G35" s="28" t="str">
        <f>IFERROR(VLOOKUP(F35,Tabela7[[RECURSO]:[CUSTO]],2,FALSE),"")</f>
        <v/>
      </c>
      <c r="H35" s="93"/>
      <c r="I35" s="90"/>
      <c r="J35" s="45">
        <f>IFERROR(VLOOKUP(F35,Tabela7[[RECURSO]:[CUSTO]],3,FALSE),0)</f>
        <v>0</v>
      </c>
      <c r="K35" s="45">
        <f t="shared" si="34"/>
        <v>0</v>
      </c>
      <c r="AD35" s="144" t="str">
        <f t="shared" si="3"/>
        <v>Grama</v>
      </c>
      <c r="AE35" s="179"/>
      <c r="AF35" s="180">
        <f t="shared" si="20"/>
        <v>0</v>
      </c>
      <c r="AG35" s="180">
        <f t="shared" si="17"/>
        <v>0</v>
      </c>
      <c r="AH35" s="181">
        <f t="shared" si="21"/>
        <v>0</v>
      </c>
      <c r="AI35" s="182"/>
      <c r="AJ35" s="90"/>
      <c r="AK35" s="90"/>
      <c r="AL35" s="183">
        <f t="shared" si="22"/>
        <v>0</v>
      </c>
      <c r="AM35" s="182"/>
      <c r="AN35" s="90"/>
      <c r="AO35" s="90"/>
      <c r="AP35" s="183">
        <f t="shared" si="23"/>
        <v>0</v>
      </c>
      <c r="AQ35" s="182"/>
      <c r="AR35" s="90"/>
      <c r="AS35" s="90"/>
      <c r="AT35" s="183">
        <f t="shared" si="24"/>
        <v>0</v>
      </c>
      <c r="AU35" s="182"/>
      <c r="AV35" s="90"/>
      <c r="AW35" s="90"/>
      <c r="AX35" s="183">
        <f t="shared" si="25"/>
        <v>0</v>
      </c>
      <c r="AY35" s="182"/>
      <c r="AZ35" s="90"/>
      <c r="BA35" s="90"/>
      <c r="BB35" s="183">
        <f t="shared" si="26"/>
        <v>0</v>
      </c>
      <c r="BC35" s="182"/>
      <c r="BD35" s="90"/>
      <c r="BE35" s="90"/>
      <c r="BF35" s="183">
        <f t="shared" si="27"/>
        <v>0</v>
      </c>
      <c r="BG35" s="182"/>
      <c r="BH35" s="90"/>
      <c r="BI35" s="90"/>
      <c r="BJ35" s="183">
        <f t="shared" si="28"/>
        <v>0</v>
      </c>
      <c r="BK35" s="182"/>
      <c r="BL35" s="90"/>
      <c r="BM35" s="90"/>
      <c r="BN35" s="183">
        <f t="shared" si="29"/>
        <v>0</v>
      </c>
      <c r="BO35" s="182"/>
      <c r="BP35" s="90"/>
      <c r="BQ35" s="90"/>
      <c r="BR35" s="183">
        <f t="shared" si="30"/>
        <v>0</v>
      </c>
      <c r="BS35" s="182"/>
      <c r="BT35" s="90"/>
      <c r="BU35" s="90"/>
      <c r="BV35" s="183">
        <f t="shared" si="31"/>
        <v>0</v>
      </c>
      <c r="BW35" s="182"/>
      <c r="BX35" s="90"/>
      <c r="BY35" s="90"/>
      <c r="BZ35" s="183">
        <f t="shared" si="32"/>
        <v>0</v>
      </c>
      <c r="CA35" s="182"/>
      <c r="CB35" s="90"/>
      <c r="CC35" s="90"/>
      <c r="CD35" s="183">
        <f t="shared" si="33"/>
        <v>0</v>
      </c>
    </row>
    <row r="36" spans="2:82" x14ac:dyDescent="0.3">
      <c r="B36" s="53"/>
      <c r="C36" s="53" t="str">
        <f t="shared" si="0"/>
        <v>CPU_Grama</v>
      </c>
      <c r="D36" s="278">
        <f t="shared" si="1"/>
        <v>0.5</v>
      </c>
      <c r="E36" s="278">
        <f t="shared" si="2"/>
        <v>0</v>
      </c>
      <c r="F36" s="1"/>
      <c r="G36" s="28" t="str">
        <f>IFERROR(VLOOKUP(F36,Tabela7[[RECURSO]:[CUSTO]],2,FALSE),"")</f>
        <v/>
      </c>
      <c r="H36" s="93"/>
      <c r="I36" s="90"/>
      <c r="J36" s="45">
        <f>IFERROR(VLOOKUP(F36,Tabela7[[RECURSO]:[CUSTO]],3,FALSE),0)</f>
        <v>0</v>
      </c>
      <c r="K36" s="45">
        <f t="shared" si="34"/>
        <v>0</v>
      </c>
      <c r="AD36" s="144" t="str">
        <f t="shared" si="3"/>
        <v>Grama</v>
      </c>
      <c r="AE36" s="179"/>
      <c r="AF36" s="180">
        <f t="shared" si="20"/>
        <v>0</v>
      </c>
      <c r="AG36" s="180">
        <f t="shared" si="17"/>
        <v>0</v>
      </c>
      <c r="AH36" s="181">
        <f t="shared" si="21"/>
        <v>0</v>
      </c>
      <c r="AI36" s="182"/>
      <c r="AJ36" s="90"/>
      <c r="AK36" s="90"/>
      <c r="AL36" s="183">
        <f t="shared" si="22"/>
        <v>0</v>
      </c>
      <c r="AM36" s="182"/>
      <c r="AN36" s="90"/>
      <c r="AO36" s="90"/>
      <c r="AP36" s="183">
        <f t="shared" si="23"/>
        <v>0</v>
      </c>
      <c r="AQ36" s="182"/>
      <c r="AR36" s="90"/>
      <c r="AS36" s="90"/>
      <c r="AT36" s="183">
        <f t="shared" si="24"/>
        <v>0</v>
      </c>
      <c r="AU36" s="182"/>
      <c r="AV36" s="90"/>
      <c r="AW36" s="90"/>
      <c r="AX36" s="183">
        <f t="shared" si="25"/>
        <v>0</v>
      </c>
      <c r="AY36" s="182"/>
      <c r="AZ36" s="90"/>
      <c r="BA36" s="90"/>
      <c r="BB36" s="183">
        <f t="shared" si="26"/>
        <v>0</v>
      </c>
      <c r="BC36" s="182"/>
      <c r="BD36" s="90"/>
      <c r="BE36" s="90"/>
      <c r="BF36" s="183">
        <f t="shared" si="27"/>
        <v>0</v>
      </c>
      <c r="BG36" s="182"/>
      <c r="BH36" s="90"/>
      <c r="BI36" s="90"/>
      <c r="BJ36" s="183">
        <f t="shared" si="28"/>
        <v>0</v>
      </c>
      <c r="BK36" s="182"/>
      <c r="BL36" s="90"/>
      <c r="BM36" s="90"/>
      <c r="BN36" s="183">
        <f t="shared" si="29"/>
        <v>0</v>
      </c>
      <c r="BO36" s="182"/>
      <c r="BP36" s="90"/>
      <c r="BQ36" s="90"/>
      <c r="BR36" s="183">
        <f t="shared" si="30"/>
        <v>0</v>
      </c>
      <c r="BS36" s="182"/>
      <c r="BT36" s="90"/>
      <c r="BU36" s="90"/>
      <c r="BV36" s="183">
        <f t="shared" si="31"/>
        <v>0</v>
      </c>
      <c r="BW36" s="182"/>
      <c r="BX36" s="90"/>
      <c r="BY36" s="90"/>
      <c r="BZ36" s="183">
        <f t="shared" si="32"/>
        <v>0</v>
      </c>
      <c r="CA36" s="182"/>
      <c r="CB36" s="90"/>
      <c r="CC36" s="90"/>
      <c r="CD36" s="183">
        <f t="shared" si="33"/>
        <v>0</v>
      </c>
    </row>
    <row r="37" spans="2:82" x14ac:dyDescent="0.3">
      <c r="B37" s="52" t="s">
        <v>692</v>
      </c>
      <c r="C37" s="52" t="str">
        <f t="shared" si="0"/>
        <v>CPU_Grama</v>
      </c>
      <c r="D37" s="277">
        <f t="shared" si="1"/>
        <v>0.5</v>
      </c>
      <c r="E37" s="277">
        <f t="shared" si="2"/>
        <v>0</v>
      </c>
      <c r="F37" s="37"/>
      <c r="G37" s="38"/>
      <c r="H37" s="91"/>
      <c r="I37" s="40"/>
      <c r="J37" s="40">
        <f>IFERROR(K37/$B$6,0)</f>
        <v>0</v>
      </c>
      <c r="K37" s="40">
        <f>SUM(K38:K49)</f>
        <v>0</v>
      </c>
      <c r="N37" s="39"/>
      <c r="AD37" s="144" t="str">
        <f t="shared" si="3"/>
        <v>Grama</v>
      </c>
      <c r="AE37" s="184"/>
      <c r="AF37" s="40"/>
      <c r="AG37" s="40">
        <f>IFERROR(AH37/AF$3,0)</f>
        <v>0</v>
      </c>
      <c r="AH37" s="185">
        <f>SUM(AH38:AH49)</f>
        <v>0</v>
      </c>
      <c r="AI37" s="184"/>
      <c r="AJ37" s="40"/>
      <c r="AK37" s="40">
        <f>IFERROR(AL37/AJ$3,0)</f>
        <v>0</v>
      </c>
      <c r="AL37" s="185">
        <f>SUM(AL38:AL49)</f>
        <v>0</v>
      </c>
      <c r="AM37" s="184"/>
      <c r="AN37" s="40"/>
      <c r="AO37" s="40">
        <f>IFERROR(AP37/AN$3,0)</f>
        <v>0</v>
      </c>
      <c r="AP37" s="185">
        <f>SUM(AP38:AP49)</f>
        <v>0</v>
      </c>
      <c r="AQ37" s="184"/>
      <c r="AR37" s="40"/>
      <c r="AS37" s="40">
        <f>IFERROR(AT37/AR$3,0)</f>
        <v>0</v>
      </c>
      <c r="AT37" s="185">
        <f>SUM(AT38:AT49)</f>
        <v>0</v>
      </c>
      <c r="AU37" s="184"/>
      <c r="AV37" s="40"/>
      <c r="AW37" s="40">
        <f>IFERROR(AX37/AV$3,0)</f>
        <v>0</v>
      </c>
      <c r="AX37" s="185">
        <f>SUM(AX38:AX49)</f>
        <v>0</v>
      </c>
      <c r="AY37" s="184"/>
      <c r="AZ37" s="40"/>
      <c r="BA37" s="40">
        <f>IFERROR(BB37/AZ$3,0)</f>
        <v>0</v>
      </c>
      <c r="BB37" s="185">
        <f>SUM(BB38:BB49)</f>
        <v>0</v>
      </c>
      <c r="BC37" s="184"/>
      <c r="BD37" s="40"/>
      <c r="BE37" s="40">
        <f>IFERROR(BF37/BD$3,0)</f>
        <v>0</v>
      </c>
      <c r="BF37" s="185">
        <f>SUM(BF38:BF49)</f>
        <v>0</v>
      </c>
      <c r="BG37" s="184"/>
      <c r="BH37" s="40"/>
      <c r="BI37" s="40">
        <f>IFERROR(BJ37/BH$3,0)</f>
        <v>0</v>
      </c>
      <c r="BJ37" s="185">
        <f>SUM(BJ38:BJ49)</f>
        <v>0</v>
      </c>
      <c r="BK37" s="184"/>
      <c r="BL37" s="40"/>
      <c r="BM37" s="40">
        <f>IFERROR(BN37/BL$3,0)</f>
        <v>0</v>
      </c>
      <c r="BN37" s="185">
        <f>SUM(BN38:BN49)</f>
        <v>0</v>
      </c>
      <c r="BO37" s="184"/>
      <c r="BP37" s="40"/>
      <c r="BQ37" s="40">
        <f>IFERROR(BR37/BP$3,0)</f>
        <v>0</v>
      </c>
      <c r="BR37" s="185">
        <f>SUM(BR38:BR49)</f>
        <v>0</v>
      </c>
      <c r="BS37" s="184"/>
      <c r="BT37" s="40"/>
      <c r="BU37" s="40">
        <f>IFERROR(BV37/BT$3,0)</f>
        <v>0</v>
      </c>
      <c r="BV37" s="185">
        <f>SUM(BV38:BV49)</f>
        <v>0</v>
      </c>
      <c r="BW37" s="184"/>
      <c r="BX37" s="40"/>
      <c r="BY37" s="40">
        <f>IFERROR(BZ37/BX$3,0)</f>
        <v>0</v>
      </c>
      <c r="BZ37" s="185">
        <f>SUM(BZ38:BZ49)</f>
        <v>0</v>
      </c>
      <c r="CA37" s="184"/>
      <c r="CB37" s="40"/>
      <c r="CC37" s="40">
        <f>IFERROR(CD37/CB$3,0)</f>
        <v>0</v>
      </c>
      <c r="CD37" s="185">
        <f>SUM(CD38:CD49)</f>
        <v>0</v>
      </c>
    </row>
    <row r="38" spans="2:82" x14ac:dyDescent="0.3">
      <c r="B38" s="54"/>
      <c r="C38" s="54" t="str">
        <f t="shared" si="0"/>
        <v>CPU_Grama</v>
      </c>
      <c r="D38" s="280">
        <f t="shared" si="1"/>
        <v>0.5</v>
      </c>
      <c r="E38" s="280">
        <f t="shared" si="2"/>
        <v>0</v>
      </c>
      <c r="F38" s="1"/>
      <c r="G38" s="28" t="str">
        <f>IFERROR(VLOOKUP(F38,Tabela7[[RECURSO]:[CUSTO]],2,FALSE),"")</f>
        <v/>
      </c>
      <c r="H38" s="92"/>
      <c r="I38" s="90"/>
      <c r="J38" s="45">
        <f>IFERROR(VLOOKUP(F38,Tabela7[[RECURSO]:[CUSTO]],3,FALSE),0)</f>
        <v>0</v>
      </c>
      <c r="K38" s="45">
        <f>I38*J38*CPU_30[[#This Row],[Nº]]</f>
        <v>0</v>
      </c>
      <c r="AD38" s="144" t="str">
        <f t="shared" si="3"/>
        <v>Grama</v>
      </c>
      <c r="AE38" s="186"/>
      <c r="AF38" s="180">
        <f t="shared" ref="AF38:AF49" si="35">AJ38+AN38+AR38+AV38+AZ38+BD38+BH38+BL38+BP38+BT38+BX38+CB38</f>
        <v>0</v>
      </c>
      <c r="AG38" s="180">
        <f t="shared" si="17"/>
        <v>0</v>
      </c>
      <c r="AH38" s="181">
        <f t="shared" ref="AH38:AH49" si="36">AL38+AP38+AT38+AX38+BB38+BF38+BJ38+BN38+BR38+BV38+BZ38+CD38</f>
        <v>0</v>
      </c>
      <c r="AI38" s="187"/>
      <c r="AJ38" s="90"/>
      <c r="AK38" s="90"/>
      <c r="AL38" s="183">
        <f t="shared" ref="AL38:AL49" si="37">AJ38*AK38</f>
        <v>0</v>
      </c>
      <c r="AM38" s="187"/>
      <c r="AN38" s="90"/>
      <c r="AO38" s="90"/>
      <c r="AP38" s="183">
        <f t="shared" si="23"/>
        <v>0</v>
      </c>
      <c r="AQ38" s="187"/>
      <c r="AR38" s="90"/>
      <c r="AS38" s="90"/>
      <c r="AT38" s="183">
        <f t="shared" si="24"/>
        <v>0</v>
      </c>
      <c r="AU38" s="187"/>
      <c r="AV38" s="90"/>
      <c r="AW38" s="90"/>
      <c r="AX38" s="183">
        <f t="shared" si="25"/>
        <v>0</v>
      </c>
      <c r="AY38" s="187"/>
      <c r="AZ38" s="90"/>
      <c r="BA38" s="90"/>
      <c r="BB38" s="183">
        <f t="shared" si="26"/>
        <v>0</v>
      </c>
      <c r="BC38" s="187"/>
      <c r="BD38" s="90"/>
      <c r="BE38" s="90"/>
      <c r="BF38" s="183">
        <f t="shared" si="27"/>
        <v>0</v>
      </c>
      <c r="BG38" s="187"/>
      <c r="BH38" s="90"/>
      <c r="BI38" s="90"/>
      <c r="BJ38" s="183">
        <f t="shared" si="28"/>
        <v>0</v>
      </c>
      <c r="BK38" s="187"/>
      <c r="BL38" s="90"/>
      <c r="BM38" s="90"/>
      <c r="BN38" s="183">
        <f t="shared" si="29"/>
        <v>0</v>
      </c>
      <c r="BO38" s="187"/>
      <c r="BP38" s="90"/>
      <c r="BQ38" s="90"/>
      <c r="BR38" s="183">
        <f t="shared" si="30"/>
        <v>0</v>
      </c>
      <c r="BS38" s="187"/>
      <c r="BT38" s="90"/>
      <c r="BU38" s="90"/>
      <c r="BV38" s="183">
        <f t="shared" si="31"/>
        <v>0</v>
      </c>
      <c r="BW38" s="187"/>
      <c r="BX38" s="90"/>
      <c r="BY38" s="90"/>
      <c r="BZ38" s="183">
        <f t="shared" si="32"/>
        <v>0</v>
      </c>
      <c r="CA38" s="187"/>
      <c r="CB38" s="90"/>
      <c r="CC38" s="90"/>
      <c r="CD38" s="183">
        <f t="shared" si="33"/>
        <v>0</v>
      </c>
    </row>
    <row r="39" spans="2:82" x14ac:dyDescent="0.3">
      <c r="B39" s="54"/>
      <c r="C39" s="54" t="str">
        <f t="shared" si="0"/>
        <v>CPU_Grama</v>
      </c>
      <c r="D39" s="280">
        <f t="shared" si="1"/>
        <v>0.5</v>
      </c>
      <c r="E39" s="280">
        <f t="shared" si="2"/>
        <v>0</v>
      </c>
      <c r="F39" s="1"/>
      <c r="G39" s="28" t="str">
        <f>IFERROR(VLOOKUP(F39,Tabela7[[RECURSO]:[CUSTO]],2,FALSE),"")</f>
        <v/>
      </c>
      <c r="H39" s="92"/>
      <c r="I39" s="90"/>
      <c r="J39" s="45">
        <f>IFERROR(VLOOKUP(F39,Tabela7[[RECURSO]:[CUSTO]],3,FALSE),0)</f>
        <v>0</v>
      </c>
      <c r="K39" s="45">
        <f>I39*J39*CPU_30[[#This Row],[Nº]]</f>
        <v>0</v>
      </c>
      <c r="AD39" s="144" t="str">
        <f t="shared" si="3"/>
        <v>Grama</v>
      </c>
      <c r="AE39" s="186"/>
      <c r="AF39" s="180">
        <f t="shared" si="35"/>
        <v>0</v>
      </c>
      <c r="AG39" s="180">
        <f t="shared" si="17"/>
        <v>0</v>
      </c>
      <c r="AH39" s="181">
        <f t="shared" si="36"/>
        <v>0</v>
      </c>
      <c r="AI39" s="187"/>
      <c r="AJ39" s="90"/>
      <c r="AK39" s="90"/>
      <c r="AL39" s="183">
        <f t="shared" si="37"/>
        <v>0</v>
      </c>
      <c r="AM39" s="187"/>
      <c r="AN39" s="90"/>
      <c r="AO39" s="90"/>
      <c r="AP39" s="183">
        <f t="shared" si="23"/>
        <v>0</v>
      </c>
      <c r="AQ39" s="187"/>
      <c r="AR39" s="90"/>
      <c r="AS39" s="90"/>
      <c r="AT39" s="183">
        <f t="shared" si="24"/>
        <v>0</v>
      </c>
      <c r="AU39" s="187"/>
      <c r="AV39" s="90"/>
      <c r="AW39" s="90"/>
      <c r="AX39" s="183">
        <f t="shared" si="25"/>
        <v>0</v>
      </c>
      <c r="AY39" s="187"/>
      <c r="AZ39" s="90"/>
      <c r="BA39" s="90"/>
      <c r="BB39" s="183">
        <f t="shared" si="26"/>
        <v>0</v>
      </c>
      <c r="BC39" s="187"/>
      <c r="BD39" s="90"/>
      <c r="BE39" s="90"/>
      <c r="BF39" s="183">
        <f t="shared" si="27"/>
        <v>0</v>
      </c>
      <c r="BG39" s="187"/>
      <c r="BH39" s="90"/>
      <c r="BI39" s="90"/>
      <c r="BJ39" s="183">
        <f t="shared" si="28"/>
        <v>0</v>
      </c>
      <c r="BK39" s="187"/>
      <c r="BL39" s="90"/>
      <c r="BM39" s="90"/>
      <c r="BN39" s="183">
        <f t="shared" si="29"/>
        <v>0</v>
      </c>
      <c r="BO39" s="187"/>
      <c r="BP39" s="90"/>
      <c r="BQ39" s="90"/>
      <c r="BR39" s="183">
        <f t="shared" si="30"/>
        <v>0</v>
      </c>
      <c r="BS39" s="187"/>
      <c r="BT39" s="90"/>
      <c r="BU39" s="90"/>
      <c r="BV39" s="183">
        <f t="shared" si="31"/>
        <v>0</v>
      </c>
      <c r="BW39" s="187"/>
      <c r="BX39" s="90"/>
      <c r="BY39" s="90"/>
      <c r="BZ39" s="183">
        <f t="shared" si="32"/>
        <v>0</v>
      </c>
      <c r="CA39" s="187"/>
      <c r="CB39" s="90"/>
      <c r="CC39" s="90"/>
      <c r="CD39" s="183">
        <f t="shared" si="33"/>
        <v>0</v>
      </c>
    </row>
    <row r="40" spans="2:82" x14ac:dyDescent="0.3">
      <c r="B40" s="54"/>
      <c r="C40" s="54" t="str">
        <f t="shared" si="0"/>
        <v>CPU_Grama</v>
      </c>
      <c r="D40" s="280">
        <f t="shared" si="1"/>
        <v>0.5</v>
      </c>
      <c r="E40" s="280">
        <f t="shared" si="2"/>
        <v>0</v>
      </c>
      <c r="F40" s="1"/>
      <c r="G40" s="28" t="str">
        <f>IFERROR(VLOOKUP(F40,Tabela7[[RECURSO]:[CUSTO]],2,FALSE),"")</f>
        <v/>
      </c>
      <c r="H40" s="92"/>
      <c r="I40" s="90"/>
      <c r="J40" s="45">
        <f>IFERROR(VLOOKUP(F40,Tabela7[[RECURSO]:[CUSTO]],3,FALSE),0)</f>
        <v>0</v>
      </c>
      <c r="K40" s="45">
        <f>I40*J40*CPU_30[[#This Row],[Nº]]</f>
        <v>0</v>
      </c>
      <c r="AD40" s="144" t="str">
        <f t="shared" si="3"/>
        <v>Grama</v>
      </c>
      <c r="AE40" s="186"/>
      <c r="AF40" s="180">
        <f t="shared" si="35"/>
        <v>0</v>
      </c>
      <c r="AG40" s="180">
        <f t="shared" si="17"/>
        <v>0</v>
      </c>
      <c r="AH40" s="181">
        <f t="shared" si="36"/>
        <v>0</v>
      </c>
      <c r="AI40" s="187"/>
      <c r="AJ40" s="90"/>
      <c r="AK40" s="90"/>
      <c r="AL40" s="183">
        <f t="shared" si="37"/>
        <v>0</v>
      </c>
      <c r="AM40" s="187"/>
      <c r="AN40" s="90"/>
      <c r="AO40" s="90"/>
      <c r="AP40" s="183">
        <f t="shared" si="23"/>
        <v>0</v>
      </c>
      <c r="AQ40" s="187"/>
      <c r="AR40" s="90"/>
      <c r="AS40" s="90"/>
      <c r="AT40" s="183">
        <f t="shared" si="24"/>
        <v>0</v>
      </c>
      <c r="AU40" s="187"/>
      <c r="AV40" s="90"/>
      <c r="AW40" s="90"/>
      <c r="AX40" s="183">
        <f t="shared" si="25"/>
        <v>0</v>
      </c>
      <c r="AY40" s="187"/>
      <c r="AZ40" s="90"/>
      <c r="BA40" s="90"/>
      <c r="BB40" s="183">
        <f t="shared" si="26"/>
        <v>0</v>
      </c>
      <c r="BC40" s="187"/>
      <c r="BD40" s="90"/>
      <c r="BE40" s="90"/>
      <c r="BF40" s="183">
        <f t="shared" si="27"/>
        <v>0</v>
      </c>
      <c r="BG40" s="187"/>
      <c r="BH40" s="90"/>
      <c r="BI40" s="90"/>
      <c r="BJ40" s="183">
        <f t="shared" si="28"/>
        <v>0</v>
      </c>
      <c r="BK40" s="187"/>
      <c r="BL40" s="90"/>
      <c r="BM40" s="90"/>
      <c r="BN40" s="183">
        <f t="shared" si="29"/>
        <v>0</v>
      </c>
      <c r="BO40" s="187"/>
      <c r="BP40" s="90"/>
      <c r="BQ40" s="90"/>
      <c r="BR40" s="183">
        <f t="shared" si="30"/>
        <v>0</v>
      </c>
      <c r="BS40" s="187"/>
      <c r="BT40" s="90"/>
      <c r="BU40" s="90"/>
      <c r="BV40" s="183">
        <f t="shared" si="31"/>
        <v>0</v>
      </c>
      <c r="BW40" s="187"/>
      <c r="BX40" s="90"/>
      <c r="BY40" s="90"/>
      <c r="BZ40" s="183">
        <f t="shared" si="32"/>
        <v>0</v>
      </c>
      <c r="CA40" s="187"/>
      <c r="CB40" s="90"/>
      <c r="CC40" s="90"/>
      <c r="CD40" s="183">
        <f t="shared" si="33"/>
        <v>0</v>
      </c>
    </row>
    <row r="41" spans="2:82" x14ac:dyDescent="0.3">
      <c r="B41" s="54"/>
      <c r="C41" s="54" t="str">
        <f t="shared" si="0"/>
        <v>CPU_Grama</v>
      </c>
      <c r="D41" s="280">
        <f t="shared" si="1"/>
        <v>0.5</v>
      </c>
      <c r="E41" s="280">
        <f t="shared" si="2"/>
        <v>0</v>
      </c>
      <c r="F41" s="1"/>
      <c r="G41" s="28" t="str">
        <f>IFERROR(VLOOKUP(F41,Tabela7[[RECURSO]:[CUSTO]],2,FALSE),"")</f>
        <v/>
      </c>
      <c r="H41" s="92"/>
      <c r="I41" s="90"/>
      <c r="J41" s="45">
        <f>IFERROR(VLOOKUP(F41,Tabela7[[RECURSO]:[CUSTO]],3,FALSE),0)</f>
        <v>0</v>
      </c>
      <c r="K41" s="45">
        <f>I41*J41*CPU_30[[#This Row],[Nº]]</f>
        <v>0</v>
      </c>
      <c r="AD41" s="144" t="str">
        <f t="shared" si="3"/>
        <v>Grama</v>
      </c>
      <c r="AE41" s="186"/>
      <c r="AF41" s="180">
        <f t="shared" si="35"/>
        <v>0</v>
      </c>
      <c r="AG41" s="180">
        <f t="shared" si="17"/>
        <v>0</v>
      </c>
      <c r="AH41" s="181">
        <f t="shared" si="36"/>
        <v>0</v>
      </c>
      <c r="AI41" s="187"/>
      <c r="AJ41" s="90"/>
      <c r="AK41" s="90"/>
      <c r="AL41" s="183">
        <f t="shared" si="37"/>
        <v>0</v>
      </c>
      <c r="AM41" s="187"/>
      <c r="AN41" s="90"/>
      <c r="AO41" s="90"/>
      <c r="AP41" s="183">
        <f t="shared" si="23"/>
        <v>0</v>
      </c>
      <c r="AQ41" s="187"/>
      <c r="AR41" s="90"/>
      <c r="AS41" s="90"/>
      <c r="AT41" s="183">
        <f t="shared" si="24"/>
        <v>0</v>
      </c>
      <c r="AU41" s="187"/>
      <c r="AV41" s="90"/>
      <c r="AW41" s="90"/>
      <c r="AX41" s="183">
        <f t="shared" si="25"/>
        <v>0</v>
      </c>
      <c r="AY41" s="187"/>
      <c r="AZ41" s="90"/>
      <c r="BA41" s="90"/>
      <c r="BB41" s="183">
        <f t="shared" si="26"/>
        <v>0</v>
      </c>
      <c r="BC41" s="187"/>
      <c r="BD41" s="90"/>
      <c r="BE41" s="90"/>
      <c r="BF41" s="183">
        <f t="shared" si="27"/>
        <v>0</v>
      </c>
      <c r="BG41" s="187"/>
      <c r="BH41" s="90"/>
      <c r="BI41" s="90"/>
      <c r="BJ41" s="183">
        <f t="shared" si="28"/>
        <v>0</v>
      </c>
      <c r="BK41" s="187"/>
      <c r="BL41" s="90"/>
      <c r="BM41" s="90"/>
      <c r="BN41" s="183">
        <f t="shared" si="29"/>
        <v>0</v>
      </c>
      <c r="BO41" s="187"/>
      <c r="BP41" s="90"/>
      <c r="BQ41" s="90"/>
      <c r="BR41" s="183">
        <f t="shared" si="30"/>
        <v>0</v>
      </c>
      <c r="BS41" s="187"/>
      <c r="BT41" s="90"/>
      <c r="BU41" s="90"/>
      <c r="BV41" s="183">
        <f t="shared" si="31"/>
        <v>0</v>
      </c>
      <c r="BW41" s="187"/>
      <c r="BX41" s="90"/>
      <c r="BY41" s="90"/>
      <c r="BZ41" s="183">
        <f t="shared" si="32"/>
        <v>0</v>
      </c>
      <c r="CA41" s="187"/>
      <c r="CB41" s="90"/>
      <c r="CC41" s="90"/>
      <c r="CD41" s="183">
        <f t="shared" si="33"/>
        <v>0</v>
      </c>
    </row>
    <row r="42" spans="2:82" x14ac:dyDescent="0.3">
      <c r="B42" s="54"/>
      <c r="C42" s="54" t="str">
        <f t="shared" si="0"/>
        <v>CPU_Grama</v>
      </c>
      <c r="D42" s="280">
        <f t="shared" si="1"/>
        <v>0.5</v>
      </c>
      <c r="E42" s="280">
        <f t="shared" si="2"/>
        <v>0</v>
      </c>
      <c r="F42" s="1"/>
      <c r="G42" s="28" t="str">
        <f>IFERROR(VLOOKUP(F42,Tabela7[[RECURSO]:[CUSTO]],2,FALSE),"")</f>
        <v/>
      </c>
      <c r="H42" s="92"/>
      <c r="I42" s="90"/>
      <c r="J42" s="45">
        <f>IFERROR(VLOOKUP(F42,Tabela7[[RECURSO]:[CUSTO]],3,FALSE),0)</f>
        <v>0</v>
      </c>
      <c r="K42" s="45">
        <f>I42*J42*CPU_30[[#This Row],[Nº]]</f>
        <v>0</v>
      </c>
      <c r="AD42" s="144" t="str">
        <f t="shared" si="3"/>
        <v>Grama</v>
      </c>
      <c r="AE42" s="186"/>
      <c r="AF42" s="180">
        <f t="shared" si="35"/>
        <v>0</v>
      </c>
      <c r="AG42" s="180">
        <f t="shared" si="17"/>
        <v>0</v>
      </c>
      <c r="AH42" s="181">
        <f t="shared" si="36"/>
        <v>0</v>
      </c>
      <c r="AI42" s="187"/>
      <c r="AJ42" s="90"/>
      <c r="AK42" s="90"/>
      <c r="AL42" s="183">
        <f t="shared" si="37"/>
        <v>0</v>
      </c>
      <c r="AM42" s="187"/>
      <c r="AN42" s="90"/>
      <c r="AO42" s="90"/>
      <c r="AP42" s="183">
        <f t="shared" si="23"/>
        <v>0</v>
      </c>
      <c r="AQ42" s="187"/>
      <c r="AR42" s="90"/>
      <c r="AS42" s="90"/>
      <c r="AT42" s="183">
        <f t="shared" si="24"/>
        <v>0</v>
      </c>
      <c r="AU42" s="187"/>
      <c r="AV42" s="90"/>
      <c r="AW42" s="90"/>
      <c r="AX42" s="183">
        <f t="shared" si="25"/>
        <v>0</v>
      </c>
      <c r="AY42" s="187"/>
      <c r="AZ42" s="90"/>
      <c r="BA42" s="90"/>
      <c r="BB42" s="183">
        <f t="shared" si="26"/>
        <v>0</v>
      </c>
      <c r="BC42" s="187"/>
      <c r="BD42" s="90"/>
      <c r="BE42" s="90"/>
      <c r="BF42" s="183">
        <f t="shared" si="27"/>
        <v>0</v>
      </c>
      <c r="BG42" s="187"/>
      <c r="BH42" s="90"/>
      <c r="BI42" s="90"/>
      <c r="BJ42" s="183">
        <f t="shared" si="28"/>
        <v>0</v>
      </c>
      <c r="BK42" s="187"/>
      <c r="BL42" s="90"/>
      <c r="BM42" s="90"/>
      <c r="BN42" s="183">
        <f t="shared" si="29"/>
        <v>0</v>
      </c>
      <c r="BO42" s="187"/>
      <c r="BP42" s="90"/>
      <c r="BQ42" s="90"/>
      <c r="BR42" s="183">
        <f t="shared" si="30"/>
        <v>0</v>
      </c>
      <c r="BS42" s="187"/>
      <c r="BT42" s="90"/>
      <c r="BU42" s="90"/>
      <c r="BV42" s="183">
        <f t="shared" si="31"/>
        <v>0</v>
      </c>
      <c r="BW42" s="187"/>
      <c r="BX42" s="90"/>
      <c r="BY42" s="90"/>
      <c r="BZ42" s="183">
        <f t="shared" si="32"/>
        <v>0</v>
      </c>
      <c r="CA42" s="187"/>
      <c r="CB42" s="90"/>
      <c r="CC42" s="90"/>
      <c r="CD42" s="183">
        <f t="shared" si="33"/>
        <v>0</v>
      </c>
    </row>
    <row r="43" spans="2:82" x14ac:dyDescent="0.3">
      <c r="B43" s="54"/>
      <c r="C43" s="54" t="str">
        <f t="shared" si="0"/>
        <v>CPU_Grama</v>
      </c>
      <c r="D43" s="280">
        <f t="shared" si="1"/>
        <v>0.5</v>
      </c>
      <c r="E43" s="280">
        <f t="shared" si="2"/>
        <v>0</v>
      </c>
      <c r="F43" s="1"/>
      <c r="G43" s="28" t="str">
        <f>IFERROR(VLOOKUP(F43,Tabela7[[RECURSO]:[CUSTO]],2,FALSE),"")</f>
        <v/>
      </c>
      <c r="H43" s="92"/>
      <c r="I43" s="90"/>
      <c r="J43" s="45">
        <f>IFERROR(VLOOKUP(F43,Tabela7[[RECURSO]:[CUSTO]],3,FALSE),0)</f>
        <v>0</v>
      </c>
      <c r="K43" s="45">
        <f>I43*J43*CPU_30[[#This Row],[Nº]]</f>
        <v>0</v>
      </c>
      <c r="AD43" s="144" t="str">
        <f t="shared" si="3"/>
        <v>Grama</v>
      </c>
      <c r="AE43" s="186"/>
      <c r="AF43" s="180">
        <f t="shared" si="35"/>
        <v>0</v>
      </c>
      <c r="AG43" s="180">
        <f t="shared" si="17"/>
        <v>0</v>
      </c>
      <c r="AH43" s="181">
        <f t="shared" si="36"/>
        <v>0</v>
      </c>
      <c r="AI43" s="187"/>
      <c r="AJ43" s="90"/>
      <c r="AK43" s="90"/>
      <c r="AL43" s="183">
        <f t="shared" si="37"/>
        <v>0</v>
      </c>
      <c r="AM43" s="187"/>
      <c r="AN43" s="90"/>
      <c r="AO43" s="90"/>
      <c r="AP43" s="183">
        <f t="shared" si="23"/>
        <v>0</v>
      </c>
      <c r="AQ43" s="187"/>
      <c r="AR43" s="90"/>
      <c r="AS43" s="90"/>
      <c r="AT43" s="183">
        <f t="shared" si="24"/>
        <v>0</v>
      </c>
      <c r="AU43" s="187"/>
      <c r="AV43" s="90"/>
      <c r="AW43" s="90"/>
      <c r="AX43" s="183">
        <f t="shared" si="25"/>
        <v>0</v>
      </c>
      <c r="AY43" s="187"/>
      <c r="AZ43" s="90"/>
      <c r="BA43" s="90"/>
      <c r="BB43" s="183">
        <f t="shared" si="26"/>
        <v>0</v>
      </c>
      <c r="BC43" s="187"/>
      <c r="BD43" s="90"/>
      <c r="BE43" s="90"/>
      <c r="BF43" s="183">
        <f t="shared" si="27"/>
        <v>0</v>
      </c>
      <c r="BG43" s="187"/>
      <c r="BH43" s="90"/>
      <c r="BI43" s="90"/>
      <c r="BJ43" s="183">
        <f t="shared" si="28"/>
        <v>0</v>
      </c>
      <c r="BK43" s="187"/>
      <c r="BL43" s="90"/>
      <c r="BM43" s="90"/>
      <c r="BN43" s="183">
        <f t="shared" si="29"/>
        <v>0</v>
      </c>
      <c r="BO43" s="187"/>
      <c r="BP43" s="90"/>
      <c r="BQ43" s="90"/>
      <c r="BR43" s="183">
        <f t="shared" si="30"/>
        <v>0</v>
      </c>
      <c r="BS43" s="187"/>
      <c r="BT43" s="90"/>
      <c r="BU43" s="90"/>
      <c r="BV43" s="183">
        <f t="shared" si="31"/>
        <v>0</v>
      </c>
      <c r="BW43" s="187"/>
      <c r="BX43" s="90"/>
      <c r="BY43" s="90"/>
      <c r="BZ43" s="183">
        <f t="shared" si="32"/>
        <v>0</v>
      </c>
      <c r="CA43" s="187"/>
      <c r="CB43" s="90"/>
      <c r="CC43" s="90"/>
      <c r="CD43" s="183">
        <f t="shared" si="33"/>
        <v>0</v>
      </c>
    </row>
    <row r="44" spans="2:82" x14ac:dyDescent="0.3">
      <c r="B44" s="54"/>
      <c r="C44" s="54" t="str">
        <f t="shared" si="0"/>
        <v>CPU_Grama</v>
      </c>
      <c r="D44" s="280">
        <f t="shared" si="1"/>
        <v>0.5</v>
      </c>
      <c r="E44" s="280">
        <f t="shared" si="2"/>
        <v>0</v>
      </c>
      <c r="F44" s="1"/>
      <c r="G44" s="28" t="str">
        <f>IFERROR(VLOOKUP(F44,Tabela7[[RECURSO]:[CUSTO]],2,FALSE),"")</f>
        <v/>
      </c>
      <c r="H44" s="92"/>
      <c r="I44" s="90"/>
      <c r="J44" s="45">
        <f>IFERROR(VLOOKUP(F44,Tabela7[[RECURSO]:[CUSTO]],3,FALSE),0)</f>
        <v>0</v>
      </c>
      <c r="K44" s="45">
        <f>I44*J44*CPU_30[[#This Row],[Nº]]</f>
        <v>0</v>
      </c>
      <c r="AD44" s="144" t="str">
        <f t="shared" si="3"/>
        <v>Grama</v>
      </c>
      <c r="AE44" s="186"/>
      <c r="AF44" s="180">
        <f t="shared" si="35"/>
        <v>0</v>
      </c>
      <c r="AG44" s="180">
        <f t="shared" si="17"/>
        <v>0</v>
      </c>
      <c r="AH44" s="181">
        <f t="shared" si="36"/>
        <v>0</v>
      </c>
      <c r="AI44" s="187"/>
      <c r="AJ44" s="90"/>
      <c r="AK44" s="90"/>
      <c r="AL44" s="183">
        <f t="shared" si="37"/>
        <v>0</v>
      </c>
      <c r="AM44" s="187"/>
      <c r="AN44" s="90"/>
      <c r="AO44" s="90"/>
      <c r="AP44" s="183">
        <f t="shared" si="23"/>
        <v>0</v>
      </c>
      <c r="AQ44" s="187"/>
      <c r="AR44" s="90"/>
      <c r="AS44" s="90"/>
      <c r="AT44" s="183">
        <f t="shared" si="24"/>
        <v>0</v>
      </c>
      <c r="AU44" s="187"/>
      <c r="AV44" s="90"/>
      <c r="AW44" s="90"/>
      <c r="AX44" s="183">
        <f t="shared" si="25"/>
        <v>0</v>
      </c>
      <c r="AY44" s="187"/>
      <c r="AZ44" s="90"/>
      <c r="BA44" s="90"/>
      <c r="BB44" s="183">
        <f t="shared" si="26"/>
        <v>0</v>
      </c>
      <c r="BC44" s="187"/>
      <c r="BD44" s="90"/>
      <c r="BE44" s="90"/>
      <c r="BF44" s="183">
        <f t="shared" si="27"/>
        <v>0</v>
      </c>
      <c r="BG44" s="187"/>
      <c r="BH44" s="90"/>
      <c r="BI44" s="90"/>
      <c r="BJ44" s="183">
        <f t="shared" si="28"/>
        <v>0</v>
      </c>
      <c r="BK44" s="187"/>
      <c r="BL44" s="90"/>
      <c r="BM44" s="90"/>
      <c r="BN44" s="183">
        <f t="shared" si="29"/>
        <v>0</v>
      </c>
      <c r="BO44" s="187"/>
      <c r="BP44" s="90"/>
      <c r="BQ44" s="90"/>
      <c r="BR44" s="183">
        <f t="shared" si="30"/>
        <v>0</v>
      </c>
      <c r="BS44" s="187"/>
      <c r="BT44" s="90"/>
      <c r="BU44" s="90"/>
      <c r="BV44" s="183">
        <f t="shared" si="31"/>
        <v>0</v>
      </c>
      <c r="BW44" s="187"/>
      <c r="BX44" s="90"/>
      <c r="BY44" s="90"/>
      <c r="BZ44" s="183">
        <f t="shared" si="32"/>
        <v>0</v>
      </c>
      <c r="CA44" s="187"/>
      <c r="CB44" s="90"/>
      <c r="CC44" s="90"/>
      <c r="CD44" s="183">
        <f t="shared" si="33"/>
        <v>0</v>
      </c>
    </row>
    <row r="45" spans="2:82" x14ac:dyDescent="0.3">
      <c r="B45" s="53"/>
      <c r="C45" s="53" t="str">
        <f t="shared" si="0"/>
        <v>CPU_Grama</v>
      </c>
      <c r="D45" s="278">
        <f t="shared" si="1"/>
        <v>0.5</v>
      </c>
      <c r="E45" s="278">
        <f t="shared" si="2"/>
        <v>0</v>
      </c>
      <c r="F45" s="1"/>
      <c r="G45" s="28" t="str">
        <f>IFERROR(VLOOKUP(F45,Tabela7[[RECURSO]:[CUSTO]],2,FALSE),"")</f>
        <v/>
      </c>
      <c r="H45" s="92"/>
      <c r="I45" s="90"/>
      <c r="J45" s="45">
        <f>IFERROR(VLOOKUP(F45,Tabela7[[RECURSO]:[CUSTO]],3,FALSE),0)</f>
        <v>0</v>
      </c>
      <c r="K45" s="45">
        <f>I45*J45*CPU_30[[#This Row],[Nº]]</f>
        <v>0</v>
      </c>
      <c r="AD45" s="144" t="str">
        <f t="shared" si="3"/>
        <v>Grama</v>
      </c>
      <c r="AE45" s="188"/>
      <c r="AF45" s="180">
        <f t="shared" si="35"/>
        <v>0</v>
      </c>
      <c r="AG45" s="180">
        <f t="shared" si="17"/>
        <v>0</v>
      </c>
      <c r="AH45" s="181">
        <f t="shared" si="36"/>
        <v>0</v>
      </c>
      <c r="AI45" s="189"/>
      <c r="AJ45" s="90"/>
      <c r="AK45" s="90"/>
      <c r="AL45" s="183">
        <f t="shared" si="37"/>
        <v>0</v>
      </c>
      <c r="AM45" s="189"/>
      <c r="AN45" s="90"/>
      <c r="AO45" s="90"/>
      <c r="AP45" s="183">
        <f t="shared" si="23"/>
        <v>0</v>
      </c>
      <c r="AQ45" s="189"/>
      <c r="AR45" s="90"/>
      <c r="AS45" s="90"/>
      <c r="AT45" s="183">
        <f t="shared" si="24"/>
        <v>0</v>
      </c>
      <c r="AU45" s="189"/>
      <c r="AV45" s="90"/>
      <c r="AW45" s="90"/>
      <c r="AX45" s="183">
        <f t="shared" si="25"/>
        <v>0</v>
      </c>
      <c r="AY45" s="189"/>
      <c r="AZ45" s="90"/>
      <c r="BA45" s="90"/>
      <c r="BB45" s="183">
        <f t="shared" si="26"/>
        <v>0</v>
      </c>
      <c r="BC45" s="189"/>
      <c r="BD45" s="90"/>
      <c r="BE45" s="90"/>
      <c r="BF45" s="183">
        <f t="shared" si="27"/>
        <v>0</v>
      </c>
      <c r="BG45" s="189"/>
      <c r="BH45" s="90"/>
      <c r="BI45" s="90"/>
      <c r="BJ45" s="183">
        <f t="shared" si="28"/>
        <v>0</v>
      </c>
      <c r="BK45" s="189"/>
      <c r="BL45" s="90"/>
      <c r="BM45" s="90"/>
      <c r="BN45" s="183">
        <f t="shared" si="29"/>
        <v>0</v>
      </c>
      <c r="BO45" s="189"/>
      <c r="BP45" s="90"/>
      <c r="BQ45" s="90"/>
      <c r="BR45" s="183">
        <f t="shared" si="30"/>
        <v>0</v>
      </c>
      <c r="BS45" s="189"/>
      <c r="BT45" s="90"/>
      <c r="BU45" s="90"/>
      <c r="BV45" s="183">
        <f t="shared" si="31"/>
        <v>0</v>
      </c>
      <c r="BW45" s="189"/>
      <c r="BX45" s="90"/>
      <c r="BY45" s="90"/>
      <c r="BZ45" s="183">
        <f t="shared" si="32"/>
        <v>0</v>
      </c>
      <c r="CA45" s="189"/>
      <c r="CB45" s="90"/>
      <c r="CC45" s="90"/>
      <c r="CD45" s="183">
        <f t="shared" si="33"/>
        <v>0</v>
      </c>
    </row>
    <row r="46" spans="2:82" x14ac:dyDescent="0.3">
      <c r="B46" s="53"/>
      <c r="C46" s="53" t="str">
        <f t="shared" si="0"/>
        <v>CPU_Grama</v>
      </c>
      <c r="D46" s="278">
        <f t="shared" si="1"/>
        <v>0.5</v>
      </c>
      <c r="E46" s="278">
        <f t="shared" si="2"/>
        <v>0</v>
      </c>
      <c r="F46" s="1"/>
      <c r="G46" s="28" t="str">
        <f>IFERROR(VLOOKUP(F46,Tabela7[[RECURSO]:[CUSTO]],2,FALSE),"")</f>
        <v/>
      </c>
      <c r="H46" s="92"/>
      <c r="I46" s="90"/>
      <c r="J46" s="45">
        <f>IFERROR(VLOOKUP(F46,Tabela7[[RECURSO]:[CUSTO]],3,FALSE),0)</f>
        <v>0</v>
      </c>
      <c r="K46" s="45">
        <f>I46*J46*CPU_30[[#This Row],[Nº]]</f>
        <v>0</v>
      </c>
      <c r="AD46" s="144" t="str">
        <f t="shared" si="3"/>
        <v>Grama</v>
      </c>
      <c r="AE46" s="188"/>
      <c r="AF46" s="180">
        <f t="shared" si="35"/>
        <v>0</v>
      </c>
      <c r="AG46" s="180">
        <f t="shared" si="17"/>
        <v>0</v>
      </c>
      <c r="AH46" s="181">
        <f t="shared" si="36"/>
        <v>0</v>
      </c>
      <c r="AI46" s="189"/>
      <c r="AJ46" s="90"/>
      <c r="AK46" s="90"/>
      <c r="AL46" s="183">
        <f t="shared" si="37"/>
        <v>0</v>
      </c>
      <c r="AM46" s="189"/>
      <c r="AN46" s="90"/>
      <c r="AO46" s="90"/>
      <c r="AP46" s="183">
        <f t="shared" si="23"/>
        <v>0</v>
      </c>
      <c r="AQ46" s="189"/>
      <c r="AR46" s="90"/>
      <c r="AS46" s="90"/>
      <c r="AT46" s="183">
        <f t="shared" si="24"/>
        <v>0</v>
      </c>
      <c r="AU46" s="189"/>
      <c r="AV46" s="90"/>
      <c r="AW46" s="90"/>
      <c r="AX46" s="183">
        <f t="shared" si="25"/>
        <v>0</v>
      </c>
      <c r="AY46" s="189"/>
      <c r="AZ46" s="90"/>
      <c r="BA46" s="90"/>
      <c r="BB46" s="183">
        <f t="shared" si="26"/>
        <v>0</v>
      </c>
      <c r="BC46" s="189"/>
      <c r="BD46" s="90"/>
      <c r="BE46" s="90"/>
      <c r="BF46" s="183">
        <f t="shared" si="27"/>
        <v>0</v>
      </c>
      <c r="BG46" s="189"/>
      <c r="BH46" s="90"/>
      <c r="BI46" s="90"/>
      <c r="BJ46" s="183">
        <f t="shared" si="28"/>
        <v>0</v>
      </c>
      <c r="BK46" s="189"/>
      <c r="BL46" s="90"/>
      <c r="BM46" s="90"/>
      <c r="BN46" s="183">
        <f t="shared" si="29"/>
        <v>0</v>
      </c>
      <c r="BO46" s="189"/>
      <c r="BP46" s="90"/>
      <c r="BQ46" s="90"/>
      <c r="BR46" s="183">
        <f t="shared" si="30"/>
        <v>0</v>
      </c>
      <c r="BS46" s="189"/>
      <c r="BT46" s="90"/>
      <c r="BU46" s="90"/>
      <c r="BV46" s="183">
        <f t="shared" si="31"/>
        <v>0</v>
      </c>
      <c r="BW46" s="189"/>
      <c r="BX46" s="90"/>
      <c r="BY46" s="90"/>
      <c r="BZ46" s="183">
        <f t="shared" si="32"/>
        <v>0</v>
      </c>
      <c r="CA46" s="189"/>
      <c r="CB46" s="90"/>
      <c r="CC46" s="90"/>
      <c r="CD46" s="183">
        <f t="shared" si="33"/>
        <v>0</v>
      </c>
    </row>
    <row r="47" spans="2:82" x14ac:dyDescent="0.3">
      <c r="B47" s="53"/>
      <c r="C47" s="53" t="str">
        <f t="shared" si="0"/>
        <v>CPU_Grama</v>
      </c>
      <c r="D47" s="278">
        <f t="shared" si="1"/>
        <v>0.5</v>
      </c>
      <c r="E47" s="278">
        <f t="shared" si="2"/>
        <v>0</v>
      </c>
      <c r="F47" s="1"/>
      <c r="G47" s="28" t="str">
        <f>IFERROR(VLOOKUP(F47,Tabela7[[RECURSO]:[CUSTO]],2,FALSE),"")</f>
        <v/>
      </c>
      <c r="H47" s="92"/>
      <c r="I47" s="90"/>
      <c r="J47" s="45">
        <f>IFERROR(VLOOKUP(F47,Tabela7[[RECURSO]:[CUSTO]],3,FALSE),0)</f>
        <v>0</v>
      </c>
      <c r="K47" s="45">
        <f>I47*J47*CPU_30[[#This Row],[Nº]]</f>
        <v>0</v>
      </c>
      <c r="AD47" s="144" t="str">
        <f t="shared" si="3"/>
        <v>Grama</v>
      </c>
      <c r="AE47" s="188"/>
      <c r="AF47" s="180">
        <f t="shared" si="35"/>
        <v>0</v>
      </c>
      <c r="AG47" s="180">
        <f t="shared" si="17"/>
        <v>0</v>
      </c>
      <c r="AH47" s="181">
        <f t="shared" si="36"/>
        <v>0</v>
      </c>
      <c r="AI47" s="189"/>
      <c r="AJ47" s="90"/>
      <c r="AK47" s="90"/>
      <c r="AL47" s="183">
        <f t="shared" si="37"/>
        <v>0</v>
      </c>
      <c r="AM47" s="189"/>
      <c r="AN47" s="90"/>
      <c r="AO47" s="90"/>
      <c r="AP47" s="183">
        <f t="shared" si="23"/>
        <v>0</v>
      </c>
      <c r="AQ47" s="189"/>
      <c r="AR47" s="90"/>
      <c r="AS47" s="90"/>
      <c r="AT47" s="183">
        <f t="shared" si="24"/>
        <v>0</v>
      </c>
      <c r="AU47" s="189"/>
      <c r="AV47" s="90"/>
      <c r="AW47" s="90"/>
      <c r="AX47" s="183">
        <f t="shared" si="25"/>
        <v>0</v>
      </c>
      <c r="AY47" s="189"/>
      <c r="AZ47" s="90"/>
      <c r="BA47" s="90"/>
      <c r="BB47" s="183">
        <f t="shared" si="26"/>
        <v>0</v>
      </c>
      <c r="BC47" s="189"/>
      <c r="BD47" s="90"/>
      <c r="BE47" s="90"/>
      <c r="BF47" s="183">
        <f t="shared" si="27"/>
        <v>0</v>
      </c>
      <c r="BG47" s="189"/>
      <c r="BH47" s="90"/>
      <c r="BI47" s="90"/>
      <c r="BJ47" s="183">
        <f t="shared" si="28"/>
        <v>0</v>
      </c>
      <c r="BK47" s="189"/>
      <c r="BL47" s="90"/>
      <c r="BM47" s="90"/>
      <c r="BN47" s="183">
        <f t="shared" si="29"/>
        <v>0</v>
      </c>
      <c r="BO47" s="189"/>
      <c r="BP47" s="90"/>
      <c r="BQ47" s="90"/>
      <c r="BR47" s="183">
        <f t="shared" si="30"/>
        <v>0</v>
      </c>
      <c r="BS47" s="189"/>
      <c r="BT47" s="90"/>
      <c r="BU47" s="90"/>
      <c r="BV47" s="183">
        <f t="shared" si="31"/>
        <v>0</v>
      </c>
      <c r="BW47" s="189"/>
      <c r="BX47" s="90"/>
      <c r="BY47" s="90"/>
      <c r="BZ47" s="183">
        <f t="shared" si="32"/>
        <v>0</v>
      </c>
      <c r="CA47" s="189"/>
      <c r="CB47" s="90"/>
      <c r="CC47" s="90"/>
      <c r="CD47" s="183">
        <f t="shared" si="33"/>
        <v>0</v>
      </c>
    </row>
    <row r="48" spans="2:82" x14ac:dyDescent="0.3">
      <c r="B48" s="53"/>
      <c r="C48" s="53" t="str">
        <f t="shared" si="0"/>
        <v>CPU_Grama</v>
      </c>
      <c r="D48" s="278">
        <f t="shared" si="1"/>
        <v>0.5</v>
      </c>
      <c r="E48" s="278">
        <f t="shared" si="2"/>
        <v>0</v>
      </c>
      <c r="F48" s="1"/>
      <c r="G48" s="28" t="str">
        <f>IFERROR(VLOOKUP(F48,Tabela7[[RECURSO]:[CUSTO]],2,FALSE),"")</f>
        <v/>
      </c>
      <c r="H48" s="92"/>
      <c r="I48" s="90"/>
      <c r="J48" s="45">
        <f>IFERROR(VLOOKUP(F48,Tabela7[[RECURSO]:[CUSTO]],3,FALSE),0)</f>
        <v>0</v>
      </c>
      <c r="K48" s="45">
        <f>I48*J48*CPU_30[[#This Row],[Nº]]</f>
        <v>0</v>
      </c>
      <c r="AD48" s="144" t="str">
        <f t="shared" si="3"/>
        <v>Grama</v>
      </c>
      <c r="AE48" s="188"/>
      <c r="AF48" s="180">
        <f t="shared" si="35"/>
        <v>0</v>
      </c>
      <c r="AG48" s="180">
        <f t="shared" si="17"/>
        <v>0</v>
      </c>
      <c r="AH48" s="181">
        <f t="shared" si="36"/>
        <v>0</v>
      </c>
      <c r="AI48" s="189"/>
      <c r="AJ48" s="90"/>
      <c r="AK48" s="90"/>
      <c r="AL48" s="183">
        <f t="shared" si="37"/>
        <v>0</v>
      </c>
      <c r="AM48" s="189"/>
      <c r="AN48" s="90"/>
      <c r="AO48" s="90"/>
      <c r="AP48" s="183">
        <f t="shared" si="23"/>
        <v>0</v>
      </c>
      <c r="AQ48" s="189"/>
      <c r="AR48" s="90"/>
      <c r="AS48" s="90"/>
      <c r="AT48" s="183">
        <f t="shared" si="24"/>
        <v>0</v>
      </c>
      <c r="AU48" s="189"/>
      <c r="AV48" s="90"/>
      <c r="AW48" s="90"/>
      <c r="AX48" s="183">
        <f t="shared" si="25"/>
        <v>0</v>
      </c>
      <c r="AY48" s="189"/>
      <c r="AZ48" s="90"/>
      <c r="BA48" s="90"/>
      <c r="BB48" s="183">
        <f t="shared" si="26"/>
        <v>0</v>
      </c>
      <c r="BC48" s="189"/>
      <c r="BD48" s="90"/>
      <c r="BE48" s="90"/>
      <c r="BF48" s="183">
        <f t="shared" si="27"/>
        <v>0</v>
      </c>
      <c r="BG48" s="189"/>
      <c r="BH48" s="90"/>
      <c r="BI48" s="90"/>
      <c r="BJ48" s="183">
        <f t="shared" si="28"/>
        <v>0</v>
      </c>
      <c r="BK48" s="189"/>
      <c r="BL48" s="90"/>
      <c r="BM48" s="90"/>
      <c r="BN48" s="183">
        <f t="shared" si="29"/>
        <v>0</v>
      </c>
      <c r="BO48" s="189"/>
      <c r="BP48" s="90"/>
      <c r="BQ48" s="90"/>
      <c r="BR48" s="183">
        <f t="shared" si="30"/>
        <v>0</v>
      </c>
      <c r="BS48" s="189"/>
      <c r="BT48" s="90"/>
      <c r="BU48" s="90"/>
      <c r="BV48" s="183">
        <f t="shared" si="31"/>
        <v>0</v>
      </c>
      <c r="BW48" s="189"/>
      <c r="BX48" s="90"/>
      <c r="BY48" s="90"/>
      <c r="BZ48" s="183">
        <f t="shared" si="32"/>
        <v>0</v>
      </c>
      <c r="CA48" s="189"/>
      <c r="CB48" s="90"/>
      <c r="CC48" s="90"/>
      <c r="CD48" s="183">
        <f t="shared" si="33"/>
        <v>0</v>
      </c>
    </row>
    <row r="49" spans="2:82" ht="15" thickBot="1" x14ac:dyDescent="0.35">
      <c r="B49" s="53"/>
      <c r="C49" s="53" t="str">
        <f t="shared" si="0"/>
        <v>CPU_Grama</v>
      </c>
      <c r="D49" s="278">
        <f t="shared" si="1"/>
        <v>0.5</v>
      </c>
      <c r="E49" s="278">
        <f t="shared" si="2"/>
        <v>0</v>
      </c>
      <c r="F49" s="1"/>
      <c r="G49" s="28" t="str">
        <f>IFERROR(VLOOKUP(F49,Tabela7[[RECURSO]:[CUSTO]],2,FALSE),"")</f>
        <v/>
      </c>
      <c r="H49" s="92"/>
      <c r="I49" s="90"/>
      <c r="J49" s="45">
        <f>IFERROR(VLOOKUP(F49,Tabela7[[RECURSO]:[CUSTO]],3,FALSE),0)</f>
        <v>0</v>
      </c>
      <c r="K49" s="45">
        <f>I49*J49*CPU_30[[#This Row],[Nº]]</f>
        <v>0</v>
      </c>
      <c r="M49" s="83" t="s">
        <v>701</v>
      </c>
      <c r="N49" s="87" t="s">
        <v>702</v>
      </c>
      <c r="AD49" s="144" t="str">
        <f t="shared" si="3"/>
        <v>Grama</v>
      </c>
      <c r="AE49" s="188"/>
      <c r="AF49" s="180">
        <f t="shared" si="35"/>
        <v>0</v>
      </c>
      <c r="AG49" s="180">
        <f t="shared" si="17"/>
        <v>0</v>
      </c>
      <c r="AH49" s="181">
        <f t="shared" si="36"/>
        <v>0</v>
      </c>
      <c r="AI49" s="189"/>
      <c r="AJ49" s="90"/>
      <c r="AK49" s="90"/>
      <c r="AL49" s="183">
        <f t="shared" si="37"/>
        <v>0</v>
      </c>
      <c r="AM49" s="189"/>
      <c r="AN49" s="90"/>
      <c r="AO49" s="90"/>
      <c r="AP49" s="183">
        <f t="shared" si="23"/>
        <v>0</v>
      </c>
      <c r="AQ49" s="189"/>
      <c r="AR49" s="90"/>
      <c r="AS49" s="90"/>
      <c r="AT49" s="183">
        <f t="shared" si="24"/>
        <v>0</v>
      </c>
      <c r="AU49" s="189"/>
      <c r="AV49" s="90"/>
      <c r="AW49" s="90"/>
      <c r="AX49" s="183">
        <f t="shared" si="25"/>
        <v>0</v>
      </c>
      <c r="AY49" s="189"/>
      <c r="AZ49" s="90"/>
      <c r="BA49" s="90"/>
      <c r="BB49" s="183">
        <f t="shared" si="26"/>
        <v>0</v>
      </c>
      <c r="BC49" s="189"/>
      <c r="BD49" s="90"/>
      <c r="BE49" s="90"/>
      <c r="BF49" s="183">
        <f t="shared" si="27"/>
        <v>0</v>
      </c>
      <c r="BG49" s="189"/>
      <c r="BH49" s="90"/>
      <c r="BI49" s="90"/>
      <c r="BJ49" s="183">
        <f t="shared" si="28"/>
        <v>0</v>
      </c>
      <c r="BK49" s="189"/>
      <c r="BL49" s="90"/>
      <c r="BM49" s="90"/>
      <c r="BN49" s="183">
        <f t="shared" si="29"/>
        <v>0</v>
      </c>
      <c r="BO49" s="189"/>
      <c r="BP49" s="90"/>
      <c r="BQ49" s="90"/>
      <c r="BR49" s="183">
        <f t="shared" si="30"/>
        <v>0</v>
      </c>
      <c r="BS49" s="189"/>
      <c r="BT49" s="90"/>
      <c r="BU49" s="90"/>
      <c r="BV49" s="183">
        <f t="shared" si="31"/>
        <v>0</v>
      </c>
      <c r="BW49" s="189"/>
      <c r="BX49" s="90"/>
      <c r="BY49" s="90"/>
      <c r="BZ49" s="183">
        <f t="shared" si="32"/>
        <v>0</v>
      </c>
      <c r="CA49" s="189"/>
      <c r="CB49" s="90"/>
      <c r="CC49" s="90"/>
      <c r="CD49" s="183">
        <f t="shared" si="33"/>
        <v>0</v>
      </c>
    </row>
    <row r="50" spans="2:82" x14ac:dyDescent="0.3">
      <c r="B50" s="52" t="s">
        <v>693</v>
      </c>
      <c r="C50" s="52" t="str">
        <f t="shared" si="0"/>
        <v>CPU_Grama</v>
      </c>
      <c r="D50" s="277">
        <f t="shared" si="1"/>
        <v>0.5</v>
      </c>
      <c r="E50" s="277">
        <f t="shared" si="2"/>
        <v>0</v>
      </c>
      <c r="F50" s="37"/>
      <c r="G50" s="38"/>
      <c r="H50" s="38"/>
      <c r="I50" s="37"/>
      <c r="J50" s="40">
        <f>IFERROR(K50/$B$6,0)</f>
        <v>19905.222222222223</v>
      </c>
      <c r="K50" s="40">
        <f>SUM(K51:K62)</f>
        <v>9952.6111111111113</v>
      </c>
      <c r="M50" s="84" t="str">
        <f>"Consumo por "&amp;J3</f>
        <v>Consumo por UNID</v>
      </c>
      <c r="N50" s="89"/>
      <c r="O50" s="339" t="s">
        <v>771</v>
      </c>
      <c r="P50" s="340" t="s">
        <v>772</v>
      </c>
      <c r="Q50" s="340" t="s">
        <v>773</v>
      </c>
      <c r="R50" s="340" t="s">
        <v>774</v>
      </c>
      <c r="S50" s="340" t="s">
        <v>775</v>
      </c>
      <c r="T50" s="340" t="s">
        <v>776</v>
      </c>
      <c r="U50" s="340" t="s">
        <v>777</v>
      </c>
      <c r="V50" s="340" t="s">
        <v>778</v>
      </c>
      <c r="W50" s="341" t="s">
        <v>779</v>
      </c>
      <c r="AD50" s="144" t="str">
        <f t="shared" si="3"/>
        <v>Grama</v>
      </c>
      <c r="AE50" s="190"/>
      <c r="AF50" s="191"/>
      <c r="AG50" s="40">
        <f>IFERROR(AH50/AF$3,0)</f>
        <v>0</v>
      </c>
      <c r="AH50" s="185">
        <f>SUM(AH51:AH62)</f>
        <v>0</v>
      </c>
      <c r="AI50" s="190"/>
      <c r="AJ50" s="37"/>
      <c r="AK50" s="40">
        <f>IFERROR(AL50/AJ$3,0)</f>
        <v>0</v>
      </c>
      <c r="AL50" s="185">
        <f>SUM(AL51:AL62)</f>
        <v>0</v>
      </c>
      <c r="AM50" s="190"/>
      <c r="AN50" s="37"/>
      <c r="AO50" s="40">
        <f>IFERROR(AP50/AN$3,0)</f>
        <v>0</v>
      </c>
      <c r="AP50" s="185">
        <f>SUM(AP51:AP62)</f>
        <v>0</v>
      </c>
      <c r="AQ50" s="190"/>
      <c r="AR50" s="37"/>
      <c r="AS50" s="40">
        <f>IFERROR(AT50/AR$3,0)</f>
        <v>0</v>
      </c>
      <c r="AT50" s="185">
        <f>SUM(AT51:AT62)</f>
        <v>0</v>
      </c>
      <c r="AU50" s="190"/>
      <c r="AV50" s="37"/>
      <c r="AW50" s="40">
        <f>IFERROR(AX50/AV$3,0)</f>
        <v>0</v>
      </c>
      <c r="AX50" s="185">
        <f>SUM(AX51:AX62)</f>
        <v>0</v>
      </c>
      <c r="AY50" s="190"/>
      <c r="AZ50" s="37"/>
      <c r="BA50" s="40">
        <f>IFERROR(BB50/AZ$3,0)</f>
        <v>0</v>
      </c>
      <c r="BB50" s="185">
        <f>SUM(BB51:BB62)</f>
        <v>0</v>
      </c>
      <c r="BC50" s="190"/>
      <c r="BD50" s="37"/>
      <c r="BE50" s="40">
        <f>IFERROR(BF50/BD$3,0)</f>
        <v>0</v>
      </c>
      <c r="BF50" s="185">
        <f>SUM(BF51:BF62)</f>
        <v>0</v>
      </c>
      <c r="BG50" s="190"/>
      <c r="BH50" s="37"/>
      <c r="BI50" s="40">
        <f>IFERROR(BJ50/BH$3,0)</f>
        <v>0</v>
      </c>
      <c r="BJ50" s="185">
        <f>SUM(BJ51:BJ62)</f>
        <v>0</v>
      </c>
      <c r="BK50" s="190"/>
      <c r="BL50" s="37"/>
      <c r="BM50" s="40">
        <f>IFERROR(BN50/BL$3,0)</f>
        <v>0</v>
      </c>
      <c r="BN50" s="185">
        <f>SUM(BN51:BN62)</f>
        <v>0</v>
      </c>
      <c r="BO50" s="190"/>
      <c r="BP50" s="37"/>
      <c r="BQ50" s="40">
        <f>IFERROR(BR50/BP$3,0)</f>
        <v>0</v>
      </c>
      <c r="BR50" s="185">
        <f>SUM(BR51:BR62)</f>
        <v>0</v>
      </c>
      <c r="BS50" s="190"/>
      <c r="BT50" s="37"/>
      <c r="BU50" s="40">
        <f>IFERROR(BV50/BT$3,0)</f>
        <v>0</v>
      </c>
      <c r="BV50" s="185">
        <f>SUM(BV51:BV62)</f>
        <v>0</v>
      </c>
      <c r="BW50" s="190"/>
      <c r="BX50" s="37"/>
      <c r="BY50" s="40">
        <f>IFERROR(BZ50/BX$3,0)</f>
        <v>0</v>
      </c>
      <c r="BZ50" s="185">
        <f>SUM(BZ51:BZ62)</f>
        <v>0</v>
      </c>
      <c r="CA50" s="190"/>
      <c r="CB50" s="37"/>
      <c r="CC50" s="40">
        <f>IFERROR(CD50/CB$3,0)</f>
        <v>0</v>
      </c>
      <c r="CD50" s="185">
        <f>SUM(CD51:CD62)</f>
        <v>0</v>
      </c>
    </row>
    <row r="51" spans="2:82" x14ac:dyDescent="0.3">
      <c r="B51" s="53"/>
      <c r="C51" s="53" t="str">
        <f t="shared" si="0"/>
        <v>CPU_Grama</v>
      </c>
      <c r="D51" s="278">
        <f t="shared" si="1"/>
        <v>0.5</v>
      </c>
      <c r="E51" s="278">
        <f t="shared" si="2"/>
        <v>0</v>
      </c>
      <c r="F51" s="1" t="s">
        <v>822</v>
      </c>
      <c r="G51" s="28" t="str">
        <f>IFERROR(VLOOKUP(F51,Tabela7[[RECURSO]:[CUSTO]],2,FALSE),"")</f>
        <v>M2</v>
      </c>
      <c r="I51" s="90">
        <f>IFERROR(M51*$B$6,0)</f>
        <v>432.72222222222223</v>
      </c>
      <c r="J51" s="45">
        <f>IFERROR(VLOOKUP(F51,Tabela7[[RECURSO]:[CUSTO]],3,FALSE),0)</f>
        <v>23</v>
      </c>
      <c r="K51" s="45">
        <f>I51*J51</f>
        <v>9952.6111111111113</v>
      </c>
      <c r="M51" s="85">
        <f>SUM(O51:W51)/9</f>
        <v>865.44444444444446</v>
      </c>
      <c r="N51" s="88"/>
      <c r="O51" s="31">
        <v>780</v>
      </c>
      <c r="P51" s="1">
        <v>987</v>
      </c>
      <c r="Q51" s="1">
        <v>1481</v>
      </c>
      <c r="R51" s="1">
        <v>949</v>
      </c>
      <c r="S51" s="1">
        <v>378</v>
      </c>
      <c r="T51" s="1">
        <v>946</v>
      </c>
      <c r="U51" s="1">
        <v>756</v>
      </c>
      <c r="V51" s="1">
        <v>756</v>
      </c>
      <c r="W51" s="342">
        <v>756</v>
      </c>
      <c r="AD51" s="144" t="str">
        <f t="shared" si="3"/>
        <v>Grama</v>
      </c>
      <c r="AE51" s="192"/>
      <c r="AF51" s="180">
        <f t="shared" ref="AF51:AF62" si="38">AJ51+AN51+AR51+AV51+AZ51+BD51+BH51+BL51+BP51+BT51+BX51+CB51</f>
        <v>0</v>
      </c>
      <c r="AG51" s="180">
        <f t="shared" si="17"/>
        <v>0</v>
      </c>
      <c r="AH51" s="181">
        <f t="shared" ref="AH51:AH62" si="39">AL51+AP51+AT51+AX51+BB51+BF51+BJ51+BN51+BR51+BV51+BZ51+CD51</f>
        <v>0</v>
      </c>
      <c r="AI51" s="193"/>
      <c r="AJ51" s="90"/>
      <c r="AK51" s="90"/>
      <c r="AL51" s="183">
        <f t="shared" ref="AL51:AL62" si="40">AJ51*AK51</f>
        <v>0</v>
      </c>
      <c r="AM51" s="193"/>
      <c r="AN51" s="90"/>
      <c r="AO51" s="90"/>
      <c r="AP51" s="183">
        <f t="shared" si="23"/>
        <v>0</v>
      </c>
      <c r="AQ51" s="193"/>
      <c r="AR51" s="90"/>
      <c r="AS51" s="90"/>
      <c r="AT51" s="183">
        <f t="shared" si="24"/>
        <v>0</v>
      </c>
      <c r="AU51" s="193"/>
      <c r="AV51" s="90"/>
      <c r="AW51" s="90"/>
      <c r="AX51" s="183">
        <f t="shared" si="25"/>
        <v>0</v>
      </c>
      <c r="AY51" s="193"/>
      <c r="AZ51" s="90"/>
      <c r="BA51" s="90"/>
      <c r="BB51" s="183">
        <f t="shared" si="26"/>
        <v>0</v>
      </c>
      <c r="BC51" s="193"/>
      <c r="BD51" s="90"/>
      <c r="BE51" s="90"/>
      <c r="BF51" s="183">
        <f t="shared" si="27"/>
        <v>0</v>
      </c>
      <c r="BG51" s="193"/>
      <c r="BH51" s="90"/>
      <c r="BI51" s="90"/>
      <c r="BJ51" s="183">
        <f t="shared" si="28"/>
        <v>0</v>
      </c>
      <c r="BK51" s="193"/>
      <c r="BL51" s="90"/>
      <c r="BM51" s="90"/>
      <c r="BN51" s="183">
        <f t="shared" si="29"/>
        <v>0</v>
      </c>
      <c r="BO51" s="193"/>
      <c r="BP51" s="90"/>
      <c r="BQ51" s="90"/>
      <c r="BR51" s="183">
        <f t="shared" si="30"/>
        <v>0</v>
      </c>
      <c r="BS51" s="193"/>
      <c r="BT51" s="90"/>
      <c r="BU51" s="90"/>
      <c r="BV51" s="183">
        <f t="shared" si="31"/>
        <v>0</v>
      </c>
      <c r="BW51" s="193"/>
      <c r="BX51" s="90"/>
      <c r="BY51" s="90"/>
      <c r="BZ51" s="183">
        <f t="shared" si="32"/>
        <v>0</v>
      </c>
      <c r="CA51" s="193"/>
      <c r="CB51" s="90"/>
      <c r="CC51" s="90"/>
      <c r="CD51" s="183">
        <f t="shared" si="33"/>
        <v>0</v>
      </c>
    </row>
    <row r="52" spans="2:82" x14ac:dyDescent="0.3">
      <c r="B52" s="53"/>
      <c r="C52" s="53" t="str">
        <f t="shared" si="0"/>
        <v>CPU_Grama</v>
      </c>
      <c r="D52" s="278">
        <f t="shared" si="1"/>
        <v>0.5</v>
      </c>
      <c r="E52" s="278">
        <f t="shared" si="2"/>
        <v>0</v>
      </c>
      <c r="F52" s="1"/>
      <c r="G52" s="28" t="str">
        <f>IFERROR(VLOOKUP(F52,Tabela7[[RECURSO]:[CUSTO]],2,FALSE),"")</f>
        <v/>
      </c>
      <c r="I52" s="90">
        <f t="shared" ref="I52:I62" si="41">IFERROR(M52*$B$6,0)</f>
        <v>0</v>
      </c>
      <c r="J52" s="45">
        <f>IFERROR(VLOOKUP(F52,Tabela7[[RECURSO]:[CUSTO]],3,FALSE),0)</f>
        <v>0</v>
      </c>
      <c r="K52" s="45">
        <f t="shared" ref="K52:K62" si="42">I52*J52</f>
        <v>0</v>
      </c>
      <c r="M52" s="85"/>
      <c r="N52" s="88"/>
      <c r="O52" s="31"/>
      <c r="P52" s="1"/>
      <c r="Q52" s="1"/>
      <c r="R52" s="1"/>
      <c r="S52" s="1"/>
      <c r="T52" s="1"/>
      <c r="U52" s="1"/>
      <c r="V52" s="1"/>
      <c r="W52" s="342"/>
      <c r="AD52" s="144" t="str">
        <f t="shared" si="3"/>
        <v>Grama</v>
      </c>
      <c r="AE52" s="192"/>
      <c r="AF52" s="180">
        <f t="shared" si="38"/>
        <v>0</v>
      </c>
      <c r="AG52" s="180">
        <f t="shared" si="17"/>
        <v>0</v>
      </c>
      <c r="AH52" s="181">
        <f t="shared" si="39"/>
        <v>0</v>
      </c>
      <c r="AI52" s="193"/>
      <c r="AJ52" s="90"/>
      <c r="AK52" s="90"/>
      <c r="AL52" s="183">
        <f t="shared" si="40"/>
        <v>0</v>
      </c>
      <c r="AM52" s="193"/>
      <c r="AN52" s="90"/>
      <c r="AO52" s="90"/>
      <c r="AP52" s="183">
        <f t="shared" si="23"/>
        <v>0</v>
      </c>
      <c r="AQ52" s="193"/>
      <c r="AR52" s="90"/>
      <c r="AS52" s="90"/>
      <c r="AT52" s="183">
        <f t="shared" si="24"/>
        <v>0</v>
      </c>
      <c r="AU52" s="193"/>
      <c r="AV52" s="90"/>
      <c r="AW52" s="90"/>
      <c r="AX52" s="183">
        <f t="shared" si="25"/>
        <v>0</v>
      </c>
      <c r="AY52" s="193"/>
      <c r="AZ52" s="90"/>
      <c r="BA52" s="90"/>
      <c r="BB52" s="183">
        <f t="shared" si="26"/>
        <v>0</v>
      </c>
      <c r="BC52" s="193"/>
      <c r="BD52" s="90"/>
      <c r="BE52" s="90"/>
      <c r="BF52" s="183">
        <f t="shared" si="27"/>
        <v>0</v>
      </c>
      <c r="BG52" s="193"/>
      <c r="BH52" s="90"/>
      <c r="BI52" s="90"/>
      <c r="BJ52" s="183">
        <f t="shared" si="28"/>
        <v>0</v>
      </c>
      <c r="BK52" s="193"/>
      <c r="BL52" s="90"/>
      <c r="BM52" s="90"/>
      <c r="BN52" s="183">
        <f t="shared" si="29"/>
        <v>0</v>
      </c>
      <c r="BO52" s="193"/>
      <c r="BP52" s="90"/>
      <c r="BQ52" s="90"/>
      <c r="BR52" s="183">
        <f t="shared" si="30"/>
        <v>0</v>
      </c>
      <c r="BS52" s="193"/>
      <c r="BT52" s="90"/>
      <c r="BU52" s="90"/>
      <c r="BV52" s="183">
        <f t="shared" si="31"/>
        <v>0</v>
      </c>
      <c r="BW52" s="193"/>
      <c r="BX52" s="90"/>
      <c r="BY52" s="90"/>
      <c r="BZ52" s="183">
        <f t="shared" si="32"/>
        <v>0</v>
      </c>
      <c r="CA52" s="193"/>
      <c r="CB52" s="90"/>
      <c r="CC52" s="90"/>
      <c r="CD52" s="183">
        <f t="shared" si="33"/>
        <v>0</v>
      </c>
    </row>
    <row r="53" spans="2:82" x14ac:dyDescent="0.3">
      <c r="B53" s="53"/>
      <c r="C53" s="53" t="str">
        <f t="shared" si="0"/>
        <v>CPU_Grama</v>
      </c>
      <c r="D53" s="278">
        <f t="shared" si="1"/>
        <v>0.5</v>
      </c>
      <c r="E53" s="278">
        <f t="shared" si="2"/>
        <v>0</v>
      </c>
      <c r="F53" s="1"/>
      <c r="G53" s="28" t="str">
        <f>IFERROR(VLOOKUP(F53,Tabela7[[RECURSO]:[CUSTO]],2,FALSE),"")</f>
        <v/>
      </c>
      <c r="I53" s="90">
        <f t="shared" si="41"/>
        <v>0</v>
      </c>
      <c r="J53" s="45">
        <f>IFERROR(VLOOKUP(F53,Tabela7[[RECURSO]:[CUSTO]],3,FALSE),0)</f>
        <v>0</v>
      </c>
      <c r="K53" s="45">
        <f t="shared" si="42"/>
        <v>0</v>
      </c>
      <c r="M53" s="85"/>
      <c r="N53" s="88"/>
      <c r="O53" s="31"/>
      <c r="P53" s="1"/>
      <c r="Q53" s="1"/>
      <c r="R53" s="1"/>
      <c r="S53" s="1"/>
      <c r="T53" s="1"/>
      <c r="U53" s="1"/>
      <c r="V53" s="1"/>
      <c r="W53" s="342"/>
      <c r="AD53" s="144" t="str">
        <f t="shared" si="3"/>
        <v>Grama</v>
      </c>
      <c r="AE53" s="192"/>
      <c r="AF53" s="180">
        <f t="shared" si="38"/>
        <v>0</v>
      </c>
      <c r="AG53" s="180">
        <f t="shared" si="17"/>
        <v>0</v>
      </c>
      <c r="AH53" s="181">
        <f t="shared" si="39"/>
        <v>0</v>
      </c>
      <c r="AI53" s="193"/>
      <c r="AJ53" s="90"/>
      <c r="AK53" s="90"/>
      <c r="AL53" s="183">
        <f t="shared" si="40"/>
        <v>0</v>
      </c>
      <c r="AM53" s="193"/>
      <c r="AN53" s="90"/>
      <c r="AO53" s="90"/>
      <c r="AP53" s="183">
        <f t="shared" si="23"/>
        <v>0</v>
      </c>
      <c r="AQ53" s="193"/>
      <c r="AR53" s="90"/>
      <c r="AS53" s="90"/>
      <c r="AT53" s="183">
        <f t="shared" si="24"/>
        <v>0</v>
      </c>
      <c r="AU53" s="193"/>
      <c r="AV53" s="90"/>
      <c r="AW53" s="90"/>
      <c r="AX53" s="183">
        <f t="shared" si="25"/>
        <v>0</v>
      </c>
      <c r="AY53" s="193"/>
      <c r="AZ53" s="90"/>
      <c r="BA53" s="90"/>
      <c r="BB53" s="183">
        <f t="shared" si="26"/>
        <v>0</v>
      </c>
      <c r="BC53" s="193"/>
      <c r="BD53" s="90"/>
      <c r="BE53" s="90"/>
      <c r="BF53" s="183">
        <f t="shared" si="27"/>
        <v>0</v>
      </c>
      <c r="BG53" s="193"/>
      <c r="BH53" s="90"/>
      <c r="BI53" s="90"/>
      <c r="BJ53" s="183">
        <f t="shared" si="28"/>
        <v>0</v>
      </c>
      <c r="BK53" s="193"/>
      <c r="BL53" s="90"/>
      <c r="BM53" s="90"/>
      <c r="BN53" s="183">
        <f t="shared" si="29"/>
        <v>0</v>
      </c>
      <c r="BO53" s="193"/>
      <c r="BP53" s="90"/>
      <c r="BQ53" s="90"/>
      <c r="BR53" s="183">
        <f t="shared" si="30"/>
        <v>0</v>
      </c>
      <c r="BS53" s="193"/>
      <c r="BT53" s="90"/>
      <c r="BU53" s="90"/>
      <c r="BV53" s="183">
        <f t="shared" si="31"/>
        <v>0</v>
      </c>
      <c r="BW53" s="193"/>
      <c r="BX53" s="90"/>
      <c r="BY53" s="90"/>
      <c r="BZ53" s="183">
        <f t="shared" si="32"/>
        <v>0</v>
      </c>
      <c r="CA53" s="193"/>
      <c r="CB53" s="90"/>
      <c r="CC53" s="90"/>
      <c r="CD53" s="183">
        <f t="shared" si="33"/>
        <v>0</v>
      </c>
    </row>
    <row r="54" spans="2:82" x14ac:dyDescent="0.3">
      <c r="B54" s="53"/>
      <c r="C54" s="53" t="str">
        <f t="shared" si="0"/>
        <v>CPU_Grama</v>
      </c>
      <c r="D54" s="278">
        <f t="shared" si="1"/>
        <v>0.5</v>
      </c>
      <c r="E54" s="278">
        <f t="shared" si="2"/>
        <v>0</v>
      </c>
      <c r="F54" s="1"/>
      <c r="G54" s="28" t="str">
        <f>IFERROR(VLOOKUP(F54,Tabela7[[RECURSO]:[CUSTO]],2,FALSE),"")</f>
        <v/>
      </c>
      <c r="I54" s="90">
        <f t="shared" si="41"/>
        <v>0</v>
      </c>
      <c r="J54" s="45">
        <f>IFERROR(VLOOKUP(F54,Tabela7[[RECURSO]:[CUSTO]],3,FALSE),0)</f>
        <v>0</v>
      </c>
      <c r="K54" s="45">
        <f>I54*J54</f>
        <v>0</v>
      </c>
      <c r="M54" s="85"/>
      <c r="N54" s="88"/>
      <c r="O54" s="31"/>
      <c r="P54" s="1"/>
      <c r="Q54" s="1"/>
      <c r="R54" s="1"/>
      <c r="S54" s="1"/>
      <c r="T54" s="1"/>
      <c r="U54" s="1"/>
      <c r="V54" s="1"/>
      <c r="W54" s="342"/>
      <c r="AD54" s="144" t="str">
        <f>$B$3</f>
        <v>Grama</v>
      </c>
      <c r="AE54" s="192"/>
      <c r="AF54" s="180">
        <f t="shared" si="38"/>
        <v>0</v>
      </c>
      <c r="AG54" s="180">
        <f t="shared" si="17"/>
        <v>0</v>
      </c>
      <c r="AH54" s="181">
        <f t="shared" si="39"/>
        <v>0</v>
      </c>
      <c r="AI54" s="193"/>
      <c r="AJ54" s="90"/>
      <c r="AK54" s="90"/>
      <c r="AL54" s="183">
        <f t="shared" si="40"/>
        <v>0</v>
      </c>
      <c r="AM54" s="193"/>
      <c r="AN54" s="90"/>
      <c r="AO54" s="90"/>
      <c r="AP54" s="183">
        <f t="shared" si="23"/>
        <v>0</v>
      </c>
      <c r="AQ54" s="193"/>
      <c r="AR54" s="90"/>
      <c r="AS54" s="90"/>
      <c r="AT54" s="183">
        <f t="shared" si="24"/>
        <v>0</v>
      </c>
      <c r="AU54" s="193"/>
      <c r="AV54" s="90"/>
      <c r="AW54" s="90"/>
      <c r="AX54" s="183">
        <f t="shared" si="25"/>
        <v>0</v>
      </c>
      <c r="AY54" s="193"/>
      <c r="AZ54" s="90"/>
      <c r="BA54" s="90"/>
      <c r="BB54" s="183">
        <f t="shared" si="26"/>
        <v>0</v>
      </c>
      <c r="BC54" s="193"/>
      <c r="BD54" s="90"/>
      <c r="BE54" s="90"/>
      <c r="BF54" s="183">
        <f t="shared" si="27"/>
        <v>0</v>
      </c>
      <c r="BG54" s="193"/>
      <c r="BH54" s="90"/>
      <c r="BI54" s="90"/>
      <c r="BJ54" s="183">
        <f t="shared" si="28"/>
        <v>0</v>
      </c>
      <c r="BK54" s="193"/>
      <c r="BL54" s="90"/>
      <c r="BM54" s="90"/>
      <c r="BN54" s="183">
        <f t="shared" si="29"/>
        <v>0</v>
      </c>
      <c r="BO54" s="193"/>
      <c r="BP54" s="90"/>
      <c r="BQ54" s="90"/>
      <c r="BR54" s="183">
        <f t="shared" si="30"/>
        <v>0</v>
      </c>
      <c r="BS54" s="193"/>
      <c r="BT54" s="90"/>
      <c r="BU54" s="90"/>
      <c r="BV54" s="183">
        <f t="shared" si="31"/>
        <v>0</v>
      </c>
      <c r="BW54" s="193"/>
      <c r="BX54" s="90"/>
      <c r="BY54" s="90"/>
      <c r="BZ54" s="183">
        <f t="shared" si="32"/>
        <v>0</v>
      </c>
      <c r="CA54" s="193"/>
      <c r="CB54" s="90"/>
      <c r="CC54" s="90"/>
      <c r="CD54" s="183">
        <f t="shared" si="33"/>
        <v>0</v>
      </c>
    </row>
    <row r="55" spans="2:82" x14ac:dyDescent="0.3">
      <c r="B55" s="53"/>
      <c r="C55" s="53" t="str">
        <f t="shared" si="0"/>
        <v>CPU_Grama</v>
      </c>
      <c r="D55" s="278">
        <f t="shared" si="1"/>
        <v>0.5</v>
      </c>
      <c r="E55" s="278">
        <f t="shared" si="2"/>
        <v>0</v>
      </c>
      <c r="F55" s="1"/>
      <c r="G55" s="28" t="str">
        <f>IFERROR(VLOOKUP(F55,Tabela7[[RECURSO]:[CUSTO]],2,FALSE),"")</f>
        <v/>
      </c>
      <c r="I55" s="90">
        <f t="shared" si="41"/>
        <v>0</v>
      </c>
      <c r="J55" s="45">
        <f>IFERROR(VLOOKUP(F55,Tabela7[[RECURSO]:[CUSTO]],3,FALSE),0)</f>
        <v>0</v>
      </c>
      <c r="K55" s="45">
        <f t="shared" si="42"/>
        <v>0</v>
      </c>
      <c r="M55" s="85"/>
      <c r="N55" s="88"/>
      <c r="O55" s="31"/>
      <c r="P55" s="1"/>
      <c r="Q55" s="1"/>
      <c r="R55" s="1"/>
      <c r="S55" s="1"/>
      <c r="T55" s="1"/>
      <c r="U55" s="1"/>
      <c r="V55" s="1"/>
      <c r="W55" s="342"/>
      <c r="AD55" s="144" t="str">
        <f t="shared" si="3"/>
        <v>Grama</v>
      </c>
      <c r="AE55" s="192"/>
      <c r="AF55" s="180">
        <f t="shared" si="38"/>
        <v>0</v>
      </c>
      <c r="AG55" s="180">
        <f t="shared" si="17"/>
        <v>0</v>
      </c>
      <c r="AH55" s="181">
        <f t="shared" si="39"/>
        <v>0</v>
      </c>
      <c r="AI55" s="193"/>
      <c r="AJ55" s="90"/>
      <c r="AK55" s="90"/>
      <c r="AL55" s="183">
        <f t="shared" si="40"/>
        <v>0</v>
      </c>
      <c r="AM55" s="193"/>
      <c r="AN55" s="90"/>
      <c r="AO55" s="90"/>
      <c r="AP55" s="183">
        <f t="shared" si="23"/>
        <v>0</v>
      </c>
      <c r="AQ55" s="193"/>
      <c r="AR55" s="90"/>
      <c r="AS55" s="90"/>
      <c r="AT55" s="183">
        <f t="shared" si="24"/>
        <v>0</v>
      </c>
      <c r="AU55" s="193"/>
      <c r="AV55" s="90"/>
      <c r="AW55" s="90"/>
      <c r="AX55" s="183">
        <f t="shared" si="25"/>
        <v>0</v>
      </c>
      <c r="AY55" s="193"/>
      <c r="AZ55" s="90"/>
      <c r="BA55" s="90"/>
      <c r="BB55" s="183">
        <f t="shared" si="26"/>
        <v>0</v>
      </c>
      <c r="BC55" s="193"/>
      <c r="BD55" s="90"/>
      <c r="BE55" s="90"/>
      <c r="BF55" s="183">
        <f t="shared" si="27"/>
        <v>0</v>
      </c>
      <c r="BG55" s="193"/>
      <c r="BH55" s="90"/>
      <c r="BI55" s="90"/>
      <c r="BJ55" s="183">
        <f t="shared" si="28"/>
        <v>0</v>
      </c>
      <c r="BK55" s="193"/>
      <c r="BL55" s="90"/>
      <c r="BM55" s="90"/>
      <c r="BN55" s="183">
        <f t="shared" si="29"/>
        <v>0</v>
      </c>
      <c r="BO55" s="193"/>
      <c r="BP55" s="90"/>
      <c r="BQ55" s="90"/>
      <c r="BR55" s="183">
        <f t="shared" si="30"/>
        <v>0</v>
      </c>
      <c r="BS55" s="193"/>
      <c r="BT55" s="90"/>
      <c r="BU55" s="90"/>
      <c r="BV55" s="183">
        <f t="shared" si="31"/>
        <v>0</v>
      </c>
      <c r="BW55" s="193"/>
      <c r="BX55" s="90"/>
      <c r="BY55" s="90"/>
      <c r="BZ55" s="183">
        <f t="shared" si="32"/>
        <v>0</v>
      </c>
      <c r="CA55" s="193"/>
      <c r="CB55" s="90"/>
      <c r="CC55" s="90"/>
      <c r="CD55" s="183">
        <f t="shared" si="33"/>
        <v>0</v>
      </c>
    </row>
    <row r="56" spans="2:82" x14ac:dyDescent="0.3">
      <c r="B56" s="53"/>
      <c r="C56" s="53" t="str">
        <f t="shared" si="0"/>
        <v>CPU_Grama</v>
      </c>
      <c r="D56" s="278">
        <f t="shared" si="1"/>
        <v>0.5</v>
      </c>
      <c r="E56" s="278">
        <f t="shared" si="2"/>
        <v>0</v>
      </c>
      <c r="F56" s="1"/>
      <c r="G56" s="28" t="str">
        <f>IFERROR(VLOOKUP(F56,Tabela7[[RECURSO]:[CUSTO]],2,FALSE),"")</f>
        <v/>
      </c>
      <c r="I56" s="90">
        <f t="shared" si="41"/>
        <v>0</v>
      </c>
      <c r="J56" s="45">
        <f>IFERROR(VLOOKUP(F56,Tabela7[[RECURSO]:[CUSTO]],3,FALSE),0)</f>
        <v>0</v>
      </c>
      <c r="K56" s="45">
        <f t="shared" si="42"/>
        <v>0</v>
      </c>
      <c r="M56" s="85"/>
      <c r="N56" s="88"/>
      <c r="O56" s="31"/>
      <c r="P56" s="1"/>
      <c r="Q56" s="1"/>
      <c r="R56" s="1"/>
      <c r="S56" s="1"/>
      <c r="T56" s="1"/>
      <c r="U56" s="1"/>
      <c r="V56" s="1"/>
      <c r="W56" s="342"/>
      <c r="AD56" s="144" t="str">
        <f t="shared" si="3"/>
        <v>Grama</v>
      </c>
      <c r="AE56" s="192"/>
      <c r="AF56" s="180">
        <f t="shared" si="38"/>
        <v>0</v>
      </c>
      <c r="AG56" s="180">
        <f t="shared" si="17"/>
        <v>0</v>
      </c>
      <c r="AH56" s="181">
        <f t="shared" si="39"/>
        <v>0</v>
      </c>
      <c r="AI56" s="193"/>
      <c r="AJ56" s="90"/>
      <c r="AK56" s="90"/>
      <c r="AL56" s="183">
        <f t="shared" si="40"/>
        <v>0</v>
      </c>
      <c r="AM56" s="193"/>
      <c r="AN56" s="90"/>
      <c r="AO56" s="90"/>
      <c r="AP56" s="183">
        <f t="shared" si="23"/>
        <v>0</v>
      </c>
      <c r="AQ56" s="193"/>
      <c r="AR56" s="90"/>
      <c r="AS56" s="90"/>
      <c r="AT56" s="183">
        <f t="shared" si="24"/>
        <v>0</v>
      </c>
      <c r="AU56" s="193"/>
      <c r="AV56" s="90"/>
      <c r="AW56" s="90"/>
      <c r="AX56" s="183">
        <f t="shared" si="25"/>
        <v>0</v>
      </c>
      <c r="AY56" s="193"/>
      <c r="AZ56" s="90"/>
      <c r="BA56" s="90"/>
      <c r="BB56" s="183">
        <f t="shared" si="26"/>
        <v>0</v>
      </c>
      <c r="BC56" s="193"/>
      <c r="BD56" s="90"/>
      <c r="BE56" s="90"/>
      <c r="BF56" s="183">
        <f t="shared" si="27"/>
        <v>0</v>
      </c>
      <c r="BG56" s="193"/>
      <c r="BH56" s="90"/>
      <c r="BI56" s="90"/>
      <c r="BJ56" s="183">
        <f t="shared" si="28"/>
        <v>0</v>
      </c>
      <c r="BK56" s="193"/>
      <c r="BL56" s="90"/>
      <c r="BM56" s="90"/>
      <c r="BN56" s="183">
        <f t="shared" si="29"/>
        <v>0</v>
      </c>
      <c r="BO56" s="193"/>
      <c r="BP56" s="90"/>
      <c r="BQ56" s="90"/>
      <c r="BR56" s="183">
        <f t="shared" si="30"/>
        <v>0</v>
      </c>
      <c r="BS56" s="193"/>
      <c r="BT56" s="90"/>
      <c r="BU56" s="90"/>
      <c r="BV56" s="183">
        <f t="shared" si="31"/>
        <v>0</v>
      </c>
      <c r="BW56" s="193"/>
      <c r="BX56" s="90"/>
      <c r="BY56" s="90"/>
      <c r="BZ56" s="183">
        <f t="shared" si="32"/>
        <v>0</v>
      </c>
      <c r="CA56" s="193"/>
      <c r="CB56" s="90"/>
      <c r="CC56" s="90"/>
      <c r="CD56" s="183">
        <f t="shared" si="33"/>
        <v>0</v>
      </c>
    </row>
    <row r="57" spans="2:82" x14ac:dyDescent="0.3">
      <c r="B57" s="53"/>
      <c r="C57" s="53" t="str">
        <f t="shared" si="0"/>
        <v>CPU_Grama</v>
      </c>
      <c r="D57" s="278">
        <f t="shared" si="1"/>
        <v>0.5</v>
      </c>
      <c r="E57" s="278">
        <f t="shared" si="2"/>
        <v>0</v>
      </c>
      <c r="F57" s="1"/>
      <c r="G57" s="28" t="str">
        <f>IFERROR(VLOOKUP(F57,Tabela7[[RECURSO]:[CUSTO]],2,FALSE),"")</f>
        <v/>
      </c>
      <c r="I57" s="90">
        <f t="shared" si="41"/>
        <v>0</v>
      </c>
      <c r="J57" s="45">
        <f>IFERROR(VLOOKUP(F57,Tabela7[[RECURSO]:[CUSTO]],3,FALSE),0)</f>
        <v>0</v>
      </c>
      <c r="K57" s="45">
        <f t="shared" si="42"/>
        <v>0</v>
      </c>
      <c r="M57" s="85"/>
      <c r="N57" s="88"/>
      <c r="O57" s="31"/>
      <c r="P57" s="1"/>
      <c r="Q57" s="1"/>
      <c r="R57" s="1"/>
      <c r="S57" s="1"/>
      <c r="T57" s="1"/>
      <c r="U57" s="1"/>
      <c r="V57" s="1"/>
      <c r="W57" s="342"/>
      <c r="AD57" s="144" t="str">
        <f t="shared" si="3"/>
        <v>Grama</v>
      </c>
      <c r="AE57" s="192"/>
      <c r="AF57" s="180">
        <f t="shared" si="38"/>
        <v>0</v>
      </c>
      <c r="AG57" s="180">
        <f t="shared" si="17"/>
        <v>0</v>
      </c>
      <c r="AH57" s="181">
        <f t="shared" si="39"/>
        <v>0</v>
      </c>
      <c r="AI57" s="193"/>
      <c r="AJ57" s="90"/>
      <c r="AK57" s="90"/>
      <c r="AL57" s="183">
        <f t="shared" si="40"/>
        <v>0</v>
      </c>
      <c r="AM57" s="193"/>
      <c r="AN57" s="90"/>
      <c r="AO57" s="90"/>
      <c r="AP57" s="183">
        <f t="shared" si="23"/>
        <v>0</v>
      </c>
      <c r="AQ57" s="193"/>
      <c r="AR57" s="90"/>
      <c r="AS57" s="90"/>
      <c r="AT57" s="183">
        <f t="shared" si="24"/>
        <v>0</v>
      </c>
      <c r="AU57" s="193"/>
      <c r="AV57" s="90"/>
      <c r="AW57" s="90"/>
      <c r="AX57" s="183">
        <f t="shared" si="25"/>
        <v>0</v>
      </c>
      <c r="AY57" s="193"/>
      <c r="AZ57" s="90"/>
      <c r="BA57" s="90"/>
      <c r="BB57" s="183">
        <f t="shared" si="26"/>
        <v>0</v>
      </c>
      <c r="BC57" s="193"/>
      <c r="BD57" s="90"/>
      <c r="BE57" s="90"/>
      <c r="BF57" s="183">
        <f t="shared" si="27"/>
        <v>0</v>
      </c>
      <c r="BG57" s="193"/>
      <c r="BH57" s="90"/>
      <c r="BI57" s="90"/>
      <c r="BJ57" s="183">
        <f t="shared" si="28"/>
        <v>0</v>
      </c>
      <c r="BK57" s="193"/>
      <c r="BL57" s="90"/>
      <c r="BM57" s="90"/>
      <c r="BN57" s="183">
        <f t="shared" si="29"/>
        <v>0</v>
      </c>
      <c r="BO57" s="193"/>
      <c r="BP57" s="90"/>
      <c r="BQ57" s="90"/>
      <c r="BR57" s="183">
        <f t="shared" si="30"/>
        <v>0</v>
      </c>
      <c r="BS57" s="193"/>
      <c r="BT57" s="90"/>
      <c r="BU57" s="90"/>
      <c r="BV57" s="183">
        <f t="shared" si="31"/>
        <v>0</v>
      </c>
      <c r="BW57" s="193"/>
      <c r="BX57" s="90"/>
      <c r="BY57" s="90"/>
      <c r="BZ57" s="183">
        <f t="shared" si="32"/>
        <v>0</v>
      </c>
      <c r="CA57" s="193"/>
      <c r="CB57" s="90"/>
      <c r="CC57" s="90"/>
      <c r="CD57" s="183">
        <f t="shared" si="33"/>
        <v>0</v>
      </c>
    </row>
    <row r="58" spans="2:82" x14ac:dyDescent="0.3">
      <c r="B58" s="53"/>
      <c r="C58" s="53" t="str">
        <f t="shared" si="0"/>
        <v>CPU_Grama</v>
      </c>
      <c r="D58" s="278">
        <f t="shared" si="1"/>
        <v>0.5</v>
      </c>
      <c r="E58" s="278">
        <f t="shared" si="2"/>
        <v>0</v>
      </c>
      <c r="F58" s="1"/>
      <c r="G58" s="28" t="str">
        <f>IFERROR(VLOOKUP(F58,Tabela7[[RECURSO]:[CUSTO]],2,FALSE),"")</f>
        <v/>
      </c>
      <c r="I58" s="90">
        <f t="shared" si="41"/>
        <v>0</v>
      </c>
      <c r="J58" s="45">
        <f>IFERROR(VLOOKUP(F58,Tabela7[[RECURSO]:[CUSTO]],3,FALSE),0)</f>
        <v>0</v>
      </c>
      <c r="K58" s="45">
        <f t="shared" si="42"/>
        <v>0</v>
      </c>
      <c r="M58" s="85"/>
      <c r="N58" s="88"/>
      <c r="O58" s="31"/>
      <c r="P58" s="1"/>
      <c r="Q58" s="1"/>
      <c r="R58" s="1"/>
      <c r="S58" s="1"/>
      <c r="T58" s="1"/>
      <c r="U58" s="1"/>
      <c r="V58" s="1"/>
      <c r="W58" s="342"/>
      <c r="AD58" s="144" t="str">
        <f t="shared" si="3"/>
        <v>Grama</v>
      </c>
      <c r="AE58" s="192"/>
      <c r="AF58" s="180">
        <f t="shared" si="38"/>
        <v>0</v>
      </c>
      <c r="AG58" s="180">
        <f t="shared" si="17"/>
        <v>0</v>
      </c>
      <c r="AH58" s="181">
        <f t="shared" si="39"/>
        <v>0</v>
      </c>
      <c r="AI58" s="193"/>
      <c r="AJ58" s="90"/>
      <c r="AK58" s="90"/>
      <c r="AL58" s="183">
        <f t="shared" si="40"/>
        <v>0</v>
      </c>
      <c r="AM58" s="193"/>
      <c r="AN58" s="90"/>
      <c r="AO58" s="90"/>
      <c r="AP58" s="183">
        <f t="shared" si="23"/>
        <v>0</v>
      </c>
      <c r="AQ58" s="193"/>
      <c r="AR58" s="90"/>
      <c r="AS58" s="90"/>
      <c r="AT58" s="183">
        <f t="shared" si="24"/>
        <v>0</v>
      </c>
      <c r="AU58" s="193"/>
      <c r="AV58" s="90"/>
      <c r="AW58" s="90"/>
      <c r="AX58" s="183">
        <f t="shared" si="25"/>
        <v>0</v>
      </c>
      <c r="AY58" s="193"/>
      <c r="AZ58" s="90"/>
      <c r="BA58" s="90"/>
      <c r="BB58" s="183">
        <f t="shared" si="26"/>
        <v>0</v>
      </c>
      <c r="BC58" s="193"/>
      <c r="BD58" s="90"/>
      <c r="BE58" s="90"/>
      <c r="BF58" s="183">
        <f t="shared" si="27"/>
        <v>0</v>
      </c>
      <c r="BG58" s="193"/>
      <c r="BH58" s="90"/>
      <c r="BI58" s="90"/>
      <c r="BJ58" s="183">
        <f t="shared" si="28"/>
        <v>0</v>
      </c>
      <c r="BK58" s="193"/>
      <c r="BL58" s="90"/>
      <c r="BM58" s="90"/>
      <c r="BN58" s="183">
        <f t="shared" si="29"/>
        <v>0</v>
      </c>
      <c r="BO58" s="193"/>
      <c r="BP58" s="90"/>
      <c r="BQ58" s="90"/>
      <c r="BR58" s="183">
        <f t="shared" si="30"/>
        <v>0</v>
      </c>
      <c r="BS58" s="193"/>
      <c r="BT58" s="90"/>
      <c r="BU58" s="90"/>
      <c r="BV58" s="183">
        <f t="shared" si="31"/>
        <v>0</v>
      </c>
      <c r="BW58" s="193"/>
      <c r="BX58" s="90"/>
      <c r="BY58" s="90"/>
      <c r="BZ58" s="183">
        <f t="shared" si="32"/>
        <v>0</v>
      </c>
      <c r="CA58" s="193"/>
      <c r="CB58" s="90"/>
      <c r="CC58" s="90"/>
      <c r="CD58" s="183">
        <f t="shared" si="33"/>
        <v>0</v>
      </c>
    </row>
    <row r="59" spans="2:82" x14ac:dyDescent="0.3">
      <c r="B59" s="53"/>
      <c r="C59" s="53" t="str">
        <f t="shared" si="0"/>
        <v>CPU_Grama</v>
      </c>
      <c r="D59" s="278">
        <f t="shared" si="1"/>
        <v>0.5</v>
      </c>
      <c r="E59" s="278">
        <f t="shared" si="2"/>
        <v>0</v>
      </c>
      <c r="F59" s="1"/>
      <c r="G59" s="28" t="str">
        <f>IFERROR(VLOOKUP(F59,Tabela7[[RECURSO]:[CUSTO]],2,FALSE),"")</f>
        <v/>
      </c>
      <c r="I59" s="90">
        <f t="shared" si="41"/>
        <v>0</v>
      </c>
      <c r="J59" s="45">
        <f>IFERROR(VLOOKUP(F59,Tabela7[[RECURSO]:[CUSTO]],3,FALSE),0)</f>
        <v>0</v>
      </c>
      <c r="K59" s="45">
        <f t="shared" si="42"/>
        <v>0</v>
      </c>
      <c r="M59" s="85"/>
      <c r="N59" s="88"/>
      <c r="O59" s="31"/>
      <c r="P59" s="1"/>
      <c r="Q59" s="1"/>
      <c r="R59" s="1"/>
      <c r="S59" s="1"/>
      <c r="T59" s="1"/>
      <c r="U59" s="1"/>
      <c r="V59" s="1"/>
      <c r="W59" s="342"/>
      <c r="AD59" s="144" t="str">
        <f t="shared" si="3"/>
        <v>Grama</v>
      </c>
      <c r="AE59" s="192"/>
      <c r="AF59" s="180">
        <f t="shared" si="38"/>
        <v>0</v>
      </c>
      <c r="AG59" s="180">
        <f t="shared" si="17"/>
        <v>0</v>
      </c>
      <c r="AH59" s="181">
        <f t="shared" si="39"/>
        <v>0</v>
      </c>
      <c r="AI59" s="193"/>
      <c r="AJ59" s="90"/>
      <c r="AK59" s="90"/>
      <c r="AL59" s="183">
        <f t="shared" si="40"/>
        <v>0</v>
      </c>
      <c r="AM59" s="193"/>
      <c r="AN59" s="90"/>
      <c r="AO59" s="90"/>
      <c r="AP59" s="183">
        <f t="shared" si="23"/>
        <v>0</v>
      </c>
      <c r="AQ59" s="193"/>
      <c r="AR59" s="90"/>
      <c r="AS59" s="90"/>
      <c r="AT59" s="183">
        <f t="shared" si="24"/>
        <v>0</v>
      </c>
      <c r="AU59" s="193"/>
      <c r="AV59" s="90"/>
      <c r="AW59" s="90"/>
      <c r="AX59" s="183">
        <f t="shared" si="25"/>
        <v>0</v>
      </c>
      <c r="AY59" s="193"/>
      <c r="AZ59" s="90"/>
      <c r="BA59" s="90"/>
      <c r="BB59" s="183">
        <f t="shared" si="26"/>
        <v>0</v>
      </c>
      <c r="BC59" s="193"/>
      <c r="BD59" s="90"/>
      <c r="BE59" s="90"/>
      <c r="BF59" s="183">
        <f t="shared" si="27"/>
        <v>0</v>
      </c>
      <c r="BG59" s="193"/>
      <c r="BH59" s="90"/>
      <c r="BI59" s="90"/>
      <c r="BJ59" s="183">
        <f t="shared" si="28"/>
        <v>0</v>
      </c>
      <c r="BK59" s="193"/>
      <c r="BL59" s="90"/>
      <c r="BM59" s="90"/>
      <c r="BN59" s="183">
        <f t="shared" si="29"/>
        <v>0</v>
      </c>
      <c r="BO59" s="193"/>
      <c r="BP59" s="90"/>
      <c r="BQ59" s="90"/>
      <c r="BR59" s="183">
        <f t="shared" si="30"/>
        <v>0</v>
      </c>
      <c r="BS59" s="193"/>
      <c r="BT59" s="90"/>
      <c r="BU59" s="90"/>
      <c r="BV59" s="183">
        <f t="shared" si="31"/>
        <v>0</v>
      </c>
      <c r="BW59" s="193"/>
      <c r="BX59" s="90"/>
      <c r="BY59" s="90"/>
      <c r="BZ59" s="183">
        <f t="shared" si="32"/>
        <v>0</v>
      </c>
      <c r="CA59" s="193"/>
      <c r="CB59" s="90"/>
      <c r="CC59" s="90"/>
      <c r="CD59" s="183">
        <f t="shared" si="33"/>
        <v>0</v>
      </c>
    </row>
    <row r="60" spans="2:82" x14ac:dyDescent="0.3">
      <c r="B60" s="53"/>
      <c r="C60" s="53" t="str">
        <f t="shared" si="0"/>
        <v>CPU_Grama</v>
      </c>
      <c r="D60" s="278">
        <f t="shared" si="1"/>
        <v>0.5</v>
      </c>
      <c r="E60" s="278">
        <f t="shared" si="2"/>
        <v>0</v>
      </c>
      <c r="F60" s="1"/>
      <c r="G60" s="28" t="str">
        <f>IFERROR(VLOOKUP(F60,Tabela7[[RECURSO]:[CUSTO]],2,FALSE),"")</f>
        <v/>
      </c>
      <c r="I60" s="90">
        <f t="shared" si="41"/>
        <v>0</v>
      </c>
      <c r="J60" s="45">
        <f>IFERROR(VLOOKUP(F60,Tabela7[[RECURSO]:[CUSTO]],3,FALSE),0)</f>
        <v>0</v>
      </c>
      <c r="K60" s="45">
        <f t="shared" si="42"/>
        <v>0</v>
      </c>
      <c r="M60" s="85"/>
      <c r="N60" s="88"/>
      <c r="O60" s="31"/>
      <c r="P60" s="1"/>
      <c r="Q60" s="1"/>
      <c r="R60" s="1"/>
      <c r="S60" s="1"/>
      <c r="T60" s="1"/>
      <c r="U60" s="1"/>
      <c r="V60" s="1"/>
      <c r="W60" s="342"/>
      <c r="AD60" s="144" t="str">
        <f t="shared" si="3"/>
        <v>Grama</v>
      </c>
      <c r="AE60" s="192"/>
      <c r="AF60" s="180">
        <f t="shared" si="38"/>
        <v>0</v>
      </c>
      <c r="AG60" s="180">
        <f t="shared" si="17"/>
        <v>0</v>
      </c>
      <c r="AH60" s="181">
        <f t="shared" si="39"/>
        <v>0</v>
      </c>
      <c r="AI60" s="193"/>
      <c r="AJ60" s="90"/>
      <c r="AK60" s="90"/>
      <c r="AL60" s="183">
        <f t="shared" si="40"/>
        <v>0</v>
      </c>
      <c r="AM60" s="193"/>
      <c r="AN60" s="90"/>
      <c r="AO60" s="90"/>
      <c r="AP60" s="183">
        <f t="shared" si="23"/>
        <v>0</v>
      </c>
      <c r="AQ60" s="193"/>
      <c r="AR60" s="90"/>
      <c r="AS60" s="90"/>
      <c r="AT60" s="183">
        <f t="shared" si="24"/>
        <v>0</v>
      </c>
      <c r="AU60" s="193"/>
      <c r="AV60" s="90"/>
      <c r="AW60" s="90"/>
      <c r="AX60" s="183">
        <f t="shared" si="25"/>
        <v>0</v>
      </c>
      <c r="AY60" s="193"/>
      <c r="AZ60" s="90"/>
      <c r="BA60" s="90"/>
      <c r="BB60" s="183">
        <f t="shared" si="26"/>
        <v>0</v>
      </c>
      <c r="BC60" s="193"/>
      <c r="BD60" s="90"/>
      <c r="BE60" s="90"/>
      <c r="BF60" s="183">
        <f t="shared" si="27"/>
        <v>0</v>
      </c>
      <c r="BG60" s="193"/>
      <c r="BH60" s="90"/>
      <c r="BI60" s="90"/>
      <c r="BJ60" s="183">
        <f t="shared" si="28"/>
        <v>0</v>
      </c>
      <c r="BK60" s="193"/>
      <c r="BL60" s="90"/>
      <c r="BM60" s="90"/>
      <c r="BN60" s="183">
        <f t="shared" si="29"/>
        <v>0</v>
      </c>
      <c r="BO60" s="193"/>
      <c r="BP60" s="90"/>
      <c r="BQ60" s="90"/>
      <c r="BR60" s="183">
        <f t="shared" si="30"/>
        <v>0</v>
      </c>
      <c r="BS60" s="193"/>
      <c r="BT60" s="90"/>
      <c r="BU60" s="90"/>
      <c r="BV60" s="183">
        <f t="shared" si="31"/>
        <v>0</v>
      </c>
      <c r="BW60" s="193"/>
      <c r="BX60" s="90"/>
      <c r="BY60" s="90"/>
      <c r="BZ60" s="183">
        <f t="shared" si="32"/>
        <v>0</v>
      </c>
      <c r="CA60" s="193"/>
      <c r="CB60" s="90"/>
      <c r="CC60" s="90"/>
      <c r="CD60" s="183">
        <f t="shared" si="33"/>
        <v>0</v>
      </c>
    </row>
    <row r="61" spans="2:82" x14ac:dyDescent="0.3">
      <c r="B61" s="53"/>
      <c r="C61" s="53" t="str">
        <f t="shared" si="0"/>
        <v>CPU_Grama</v>
      </c>
      <c r="D61" s="278">
        <f t="shared" si="1"/>
        <v>0.5</v>
      </c>
      <c r="E61" s="278">
        <f t="shared" si="2"/>
        <v>0</v>
      </c>
      <c r="F61" s="1"/>
      <c r="G61" s="28" t="str">
        <f>IFERROR(VLOOKUP(F61,Tabela7[[RECURSO]:[CUSTO]],2,FALSE),"")</f>
        <v/>
      </c>
      <c r="I61" s="90">
        <f t="shared" si="41"/>
        <v>0</v>
      </c>
      <c r="J61" s="45">
        <f>IFERROR(VLOOKUP(F61,Tabela7[[RECURSO]:[CUSTO]],3,FALSE),0)</f>
        <v>0</v>
      </c>
      <c r="K61" s="45">
        <f t="shared" si="42"/>
        <v>0</v>
      </c>
      <c r="M61" s="85"/>
      <c r="N61" s="88"/>
      <c r="O61" s="31"/>
      <c r="P61" s="1"/>
      <c r="Q61" s="1"/>
      <c r="R61" s="1"/>
      <c r="S61" s="1"/>
      <c r="T61" s="1"/>
      <c r="U61" s="1"/>
      <c r="V61" s="1"/>
      <c r="W61" s="342"/>
      <c r="AD61" s="144" t="str">
        <f t="shared" si="3"/>
        <v>Grama</v>
      </c>
      <c r="AE61" s="192"/>
      <c r="AF61" s="180">
        <f t="shared" si="38"/>
        <v>0</v>
      </c>
      <c r="AG61" s="180">
        <f t="shared" si="17"/>
        <v>0</v>
      </c>
      <c r="AH61" s="181">
        <f t="shared" si="39"/>
        <v>0</v>
      </c>
      <c r="AI61" s="193"/>
      <c r="AJ61" s="90"/>
      <c r="AK61" s="90"/>
      <c r="AL61" s="183">
        <f t="shared" si="40"/>
        <v>0</v>
      </c>
      <c r="AM61" s="193"/>
      <c r="AN61" s="90"/>
      <c r="AO61" s="90"/>
      <c r="AP61" s="183">
        <f t="shared" si="23"/>
        <v>0</v>
      </c>
      <c r="AQ61" s="193"/>
      <c r="AR61" s="90"/>
      <c r="AS61" s="90"/>
      <c r="AT61" s="183">
        <f t="shared" si="24"/>
        <v>0</v>
      </c>
      <c r="AU61" s="193"/>
      <c r="AV61" s="90"/>
      <c r="AW61" s="90"/>
      <c r="AX61" s="183">
        <f t="shared" si="25"/>
        <v>0</v>
      </c>
      <c r="AY61" s="193"/>
      <c r="AZ61" s="90"/>
      <c r="BA61" s="90"/>
      <c r="BB61" s="183">
        <f t="shared" si="26"/>
        <v>0</v>
      </c>
      <c r="BC61" s="193"/>
      <c r="BD61" s="90"/>
      <c r="BE61" s="90"/>
      <c r="BF61" s="183">
        <f t="shared" si="27"/>
        <v>0</v>
      </c>
      <c r="BG61" s="193"/>
      <c r="BH61" s="90"/>
      <c r="BI61" s="90"/>
      <c r="BJ61" s="183">
        <f t="shared" si="28"/>
        <v>0</v>
      </c>
      <c r="BK61" s="193"/>
      <c r="BL61" s="90"/>
      <c r="BM61" s="90"/>
      <c r="BN61" s="183">
        <f t="shared" si="29"/>
        <v>0</v>
      </c>
      <c r="BO61" s="193"/>
      <c r="BP61" s="90"/>
      <c r="BQ61" s="90"/>
      <c r="BR61" s="183">
        <f t="shared" si="30"/>
        <v>0</v>
      </c>
      <c r="BS61" s="193"/>
      <c r="BT61" s="90"/>
      <c r="BU61" s="90"/>
      <c r="BV61" s="183">
        <f t="shared" si="31"/>
        <v>0</v>
      </c>
      <c r="BW61" s="193"/>
      <c r="BX61" s="90"/>
      <c r="BY61" s="90"/>
      <c r="BZ61" s="183">
        <f t="shared" si="32"/>
        <v>0</v>
      </c>
      <c r="CA61" s="193"/>
      <c r="CB61" s="90"/>
      <c r="CC61" s="90"/>
      <c r="CD61" s="183">
        <f t="shared" si="33"/>
        <v>0</v>
      </c>
    </row>
    <row r="62" spans="2:82" ht="15" thickBot="1" x14ac:dyDescent="0.35">
      <c r="B62" s="53"/>
      <c r="C62" s="53" t="str">
        <f t="shared" si="0"/>
        <v>CPU_Grama</v>
      </c>
      <c r="D62" s="278">
        <f t="shared" si="1"/>
        <v>0.5</v>
      </c>
      <c r="E62" s="278">
        <f t="shared" si="2"/>
        <v>0</v>
      </c>
      <c r="F62" s="1"/>
      <c r="G62" s="28" t="str">
        <f>IFERROR(VLOOKUP(F62,Tabela7[[RECURSO]:[CUSTO]],2,FALSE),"")</f>
        <v/>
      </c>
      <c r="I62" s="90">
        <f t="shared" si="41"/>
        <v>0</v>
      </c>
      <c r="J62" s="45">
        <f>IFERROR(VLOOKUP(F62,Tabela7[[RECURSO]:[CUSTO]],3,FALSE),0)</f>
        <v>0</v>
      </c>
      <c r="K62" s="45">
        <f t="shared" si="42"/>
        <v>0</v>
      </c>
      <c r="M62" s="86"/>
      <c r="N62" s="88"/>
      <c r="O62" s="51"/>
      <c r="P62" s="343"/>
      <c r="Q62" s="343"/>
      <c r="R62" s="343"/>
      <c r="S62" s="343"/>
      <c r="T62" s="343"/>
      <c r="U62" s="343"/>
      <c r="V62" s="343"/>
      <c r="W62" s="344"/>
      <c r="AD62" s="144" t="str">
        <f t="shared" si="3"/>
        <v>Grama</v>
      </c>
      <c r="AE62" s="194"/>
      <c r="AF62" s="195">
        <f t="shared" si="38"/>
        <v>0</v>
      </c>
      <c r="AG62" s="195">
        <f t="shared" si="17"/>
        <v>0</v>
      </c>
      <c r="AH62" s="196">
        <f t="shared" si="39"/>
        <v>0</v>
      </c>
      <c r="AI62" s="197"/>
      <c r="AJ62" s="198"/>
      <c r="AK62" s="198"/>
      <c r="AL62" s="199">
        <f t="shared" si="40"/>
        <v>0</v>
      </c>
      <c r="AM62" s="197"/>
      <c r="AN62" s="198"/>
      <c r="AO62" s="198"/>
      <c r="AP62" s="199">
        <f t="shared" si="23"/>
        <v>0</v>
      </c>
      <c r="AQ62" s="197"/>
      <c r="AR62" s="198"/>
      <c r="AS62" s="198"/>
      <c r="AT62" s="199">
        <f t="shared" si="24"/>
        <v>0</v>
      </c>
      <c r="AU62" s="197"/>
      <c r="AV62" s="198"/>
      <c r="AW62" s="198"/>
      <c r="AX62" s="199">
        <f t="shared" si="25"/>
        <v>0</v>
      </c>
      <c r="AY62" s="197"/>
      <c r="AZ62" s="198"/>
      <c r="BA62" s="198"/>
      <c r="BB62" s="199">
        <f t="shared" si="26"/>
        <v>0</v>
      </c>
      <c r="BC62" s="197"/>
      <c r="BD62" s="198"/>
      <c r="BE62" s="198"/>
      <c r="BF62" s="199">
        <f t="shared" si="27"/>
        <v>0</v>
      </c>
      <c r="BG62" s="197"/>
      <c r="BH62" s="198"/>
      <c r="BI62" s="198"/>
      <c r="BJ62" s="199">
        <f t="shared" si="28"/>
        <v>0</v>
      </c>
      <c r="BK62" s="197"/>
      <c r="BL62" s="198"/>
      <c r="BM62" s="198"/>
      <c r="BN62" s="199">
        <f t="shared" si="29"/>
        <v>0</v>
      </c>
      <c r="BO62" s="197"/>
      <c r="BP62" s="198"/>
      <c r="BQ62" s="198"/>
      <c r="BR62" s="199">
        <f t="shared" si="30"/>
        <v>0</v>
      </c>
      <c r="BS62" s="197"/>
      <c r="BT62" s="198"/>
      <c r="BU62" s="198"/>
      <c r="BV62" s="199">
        <f t="shared" si="31"/>
        <v>0</v>
      </c>
      <c r="BW62" s="197"/>
      <c r="BX62" s="198"/>
      <c r="BY62" s="198"/>
      <c r="BZ62" s="199">
        <f t="shared" si="32"/>
        <v>0</v>
      </c>
      <c r="CA62" s="197"/>
      <c r="CB62" s="198"/>
      <c r="CC62" s="198"/>
      <c r="CD62" s="199">
        <f t="shared" si="33"/>
        <v>0</v>
      </c>
    </row>
  </sheetData>
  <conditionalFormatting sqref="K6:K7">
    <cfRule type="iconSet" priority="14">
      <iconSet>
        <cfvo type="percent" val="0"/>
        <cfvo type="num" val="0"/>
        <cfvo type="num" val="0.02"/>
      </iconSet>
    </cfRule>
  </conditionalFormatting>
  <conditionalFormatting sqref="AH6:AH7">
    <cfRule type="iconSet" priority="13">
      <iconSet>
        <cfvo type="percent" val="0"/>
        <cfvo type="num" val="0"/>
        <cfvo type="num" val="0.02"/>
      </iconSet>
    </cfRule>
  </conditionalFormatting>
  <conditionalFormatting sqref="AL6:AL7">
    <cfRule type="iconSet" priority="12">
      <iconSet>
        <cfvo type="percent" val="0"/>
        <cfvo type="num" val="0"/>
        <cfvo type="num" val="0.02"/>
      </iconSet>
    </cfRule>
  </conditionalFormatting>
  <conditionalFormatting sqref="AP6:AP7">
    <cfRule type="iconSet" priority="11">
      <iconSet>
        <cfvo type="percent" val="0"/>
        <cfvo type="num" val="0"/>
        <cfvo type="num" val="0.02"/>
      </iconSet>
    </cfRule>
  </conditionalFormatting>
  <conditionalFormatting sqref="AT6:AT7">
    <cfRule type="iconSet" priority="10">
      <iconSet>
        <cfvo type="percent" val="0"/>
        <cfvo type="num" val="0"/>
        <cfvo type="num" val="0.02"/>
      </iconSet>
    </cfRule>
  </conditionalFormatting>
  <conditionalFormatting sqref="AX6:AX7">
    <cfRule type="iconSet" priority="9">
      <iconSet>
        <cfvo type="percent" val="0"/>
        <cfvo type="num" val="0"/>
        <cfvo type="num" val="0.02"/>
      </iconSet>
    </cfRule>
  </conditionalFormatting>
  <conditionalFormatting sqref="BB6:BB7">
    <cfRule type="iconSet" priority="8">
      <iconSet>
        <cfvo type="percent" val="0"/>
        <cfvo type="num" val="0"/>
        <cfvo type="num" val="0.02"/>
      </iconSet>
    </cfRule>
  </conditionalFormatting>
  <conditionalFormatting sqref="BF6:BF7">
    <cfRule type="iconSet" priority="7">
      <iconSet>
        <cfvo type="percent" val="0"/>
        <cfvo type="num" val="0"/>
        <cfvo type="num" val="0.02"/>
      </iconSet>
    </cfRule>
  </conditionalFormatting>
  <conditionalFormatting sqref="BJ6:BJ7">
    <cfRule type="iconSet" priority="6">
      <iconSet>
        <cfvo type="percent" val="0"/>
        <cfvo type="num" val="0"/>
        <cfvo type="num" val="0.02"/>
      </iconSet>
    </cfRule>
  </conditionalFormatting>
  <conditionalFormatting sqref="BN6:BN7">
    <cfRule type="iconSet" priority="5">
      <iconSet>
        <cfvo type="percent" val="0"/>
        <cfvo type="num" val="0"/>
        <cfvo type="num" val="0.02"/>
      </iconSet>
    </cfRule>
  </conditionalFormatting>
  <conditionalFormatting sqref="BR6:BR7">
    <cfRule type="iconSet" priority="4">
      <iconSet>
        <cfvo type="percent" val="0"/>
        <cfvo type="num" val="0"/>
        <cfvo type="num" val="0.02"/>
      </iconSet>
    </cfRule>
  </conditionalFormatting>
  <conditionalFormatting sqref="BV6:BV7">
    <cfRule type="iconSet" priority="3">
      <iconSet>
        <cfvo type="percent" val="0"/>
        <cfvo type="num" val="0"/>
        <cfvo type="num" val="0.02"/>
      </iconSet>
    </cfRule>
  </conditionalFormatting>
  <conditionalFormatting sqref="BZ6:BZ7">
    <cfRule type="iconSet" priority="2">
      <iconSet>
        <cfvo type="percent" val="0"/>
        <cfvo type="num" val="0"/>
        <cfvo type="num" val="0.02"/>
      </iconSet>
    </cfRule>
  </conditionalFormatting>
  <conditionalFormatting sqref="CD6:CD7">
    <cfRule type="iconSet" priority="1">
      <iconSet>
        <cfvo type="percent" val="0"/>
        <cfvo type="num" val="0"/>
        <cfvo type="num" val="0.02"/>
      </iconSet>
    </cfRule>
  </conditionalFormatting>
  <dataValidations count="5">
    <dataValidation type="list" allowBlank="1" showInputMessage="1" showErrorMessage="1" sqref="F51:F62" xr:uid="{86F0D340-EA13-4996-83BE-461456C261A8}">
      <formula1>INDIRECT($B$50)</formula1>
    </dataValidation>
    <dataValidation type="list" allowBlank="1" showInputMessage="1" showErrorMessage="1" sqref="F38:F49" xr:uid="{9CF453DD-35F2-4961-B7F6-D205B7D455C1}">
      <formula1>INDIRECT($B$37)</formula1>
    </dataValidation>
    <dataValidation type="list" allowBlank="1" showInputMessage="1" showErrorMessage="1" sqref="F25:F36" xr:uid="{2D48B3A1-2100-4D72-B4DD-41DE76A4B81B}">
      <formula1>INDIRECT($B$24)</formula1>
    </dataValidation>
    <dataValidation type="list" allowBlank="1" showInputMessage="1" showErrorMessage="1" sqref="F12:F23" xr:uid="{0AEC184E-0A51-435A-82E1-523FD8A1086B}">
      <formula1>INDIRECT($B$11)</formula1>
    </dataValidation>
    <dataValidation type="list" allowBlank="1" showInputMessage="1" showErrorMessage="1" sqref="B3:E3" xr:uid="{D503B84B-E112-4A78-A223-04F1EC73A706}">
      <formula1>INDIRECT($B$2)</formula1>
    </dataValidation>
  </dataValidations>
  <pageMargins left="0.51181102362204722" right="0.51181102362204722" top="0.19685039370078741" bottom="0.19685039370078741" header="0.31496062992125984" footer="0.31496062992125984"/>
  <pageSetup paperSize="9" scale="82" orientation="portrait" r:id="rId1"/>
  <colBreaks count="1" manualBreakCount="1">
    <brk id="11" max="1048575" man="1"/>
  </colBreaks>
  <drawing r:id="rId2"/>
  <legacyDrawing r:id="rId3"/>
  <tableParts count="2">
    <tablePart r:id="rId4"/>
    <tablePart r:id="rId5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0DC1C-E4CA-467C-8290-520473B596B5}">
  <sheetPr codeName="Plan23"/>
  <dimension ref="A1:CD62"/>
  <sheetViews>
    <sheetView showGridLines="0" zoomScaleNormal="100" workbookViewId="0">
      <pane xSplit="14" ySplit="10" topLeftCell="P43" activePane="bottomRight" state="frozen"/>
      <selection pane="topRight" activeCell="C28" activeCellId="1" sqref="E13 C28"/>
      <selection pane="bottomLeft" activeCell="C28" activeCellId="1" sqref="E13 C28"/>
      <selection pane="bottomRight" activeCell="O57" sqref="O57:U57"/>
    </sheetView>
  </sheetViews>
  <sheetFormatPr defaultRowHeight="14.4" x14ac:dyDescent="0.3"/>
  <cols>
    <col min="1" max="1" width="4.109375" customWidth="1"/>
    <col min="2" max="2" width="16.109375" customWidth="1"/>
    <col min="3" max="5" width="16.109375" hidden="1" customWidth="1"/>
    <col min="6" max="6" width="40.6640625" customWidth="1"/>
    <col min="7" max="7" width="10.6640625" style="28" customWidth="1"/>
    <col min="8" max="8" width="7.6640625" style="28" customWidth="1"/>
    <col min="9" max="11" width="10.6640625" customWidth="1"/>
    <col min="12" max="12" width="2.33203125" customWidth="1"/>
    <col min="13" max="14" width="12.6640625" customWidth="1"/>
    <col min="15" max="15" width="14" bestFit="1" customWidth="1"/>
    <col min="30" max="30" width="12.44140625" bestFit="1" customWidth="1"/>
    <col min="31" max="31" width="7.6640625" customWidth="1"/>
    <col min="32" max="32" width="9.33203125" bestFit="1" customWidth="1"/>
    <col min="33" max="34" width="10.6640625" customWidth="1"/>
    <col min="35" max="35" width="7.6640625" customWidth="1"/>
    <col min="36" max="36" width="9.33203125" customWidth="1"/>
    <col min="37" max="38" width="10.6640625" customWidth="1"/>
    <col min="40" max="40" width="9.33203125" customWidth="1"/>
    <col min="42" max="42" width="9.6640625" customWidth="1"/>
    <col min="44" max="44" width="9.33203125" customWidth="1"/>
    <col min="46" max="46" width="9.6640625" customWidth="1"/>
    <col min="48" max="48" width="9.33203125" customWidth="1"/>
    <col min="50" max="50" width="9.6640625" customWidth="1"/>
    <col min="52" max="52" width="9.33203125" customWidth="1"/>
    <col min="54" max="54" width="9.6640625" customWidth="1"/>
    <col min="56" max="56" width="9.33203125" customWidth="1"/>
    <col min="58" max="58" width="9.6640625" customWidth="1"/>
    <col min="60" max="60" width="9.33203125" customWidth="1"/>
    <col min="62" max="62" width="9.6640625" customWidth="1"/>
    <col min="64" max="64" width="9.33203125" customWidth="1"/>
    <col min="66" max="66" width="9.6640625" customWidth="1"/>
    <col min="68" max="68" width="9.33203125" customWidth="1"/>
    <col min="70" max="70" width="9.6640625" customWidth="1"/>
    <col min="72" max="72" width="10" customWidth="1"/>
    <col min="73" max="73" width="9.5546875" customWidth="1"/>
    <col min="74" max="74" width="10.44140625" customWidth="1"/>
    <col min="76" max="76" width="10" customWidth="1"/>
    <col min="77" max="77" width="9.5546875" customWidth="1"/>
    <col min="78" max="78" width="10.44140625" customWidth="1"/>
    <col min="80" max="80" width="10" customWidth="1"/>
    <col min="81" max="81" width="9.5546875" customWidth="1"/>
    <col min="82" max="82" width="10.44140625" customWidth="1"/>
  </cols>
  <sheetData>
    <row r="1" spans="1:82" ht="26.4" customHeight="1" thickBot="1" x14ac:dyDescent="0.35">
      <c r="AE1" s="163" t="s">
        <v>678</v>
      </c>
    </row>
    <row r="2" spans="1:82" x14ac:dyDescent="0.3">
      <c r="B2" s="64" t="s">
        <v>679</v>
      </c>
      <c r="C2" s="67"/>
      <c r="D2" s="67"/>
      <c r="E2" s="67"/>
      <c r="F2" s="65"/>
      <c r="G2" s="66"/>
      <c r="H2" s="66"/>
      <c r="I2" s="65"/>
      <c r="J2" s="67" t="s">
        <v>680</v>
      </c>
      <c r="K2" s="68" t="s">
        <v>681</v>
      </c>
      <c r="M2" s="227" t="s">
        <v>682</v>
      </c>
      <c r="N2" s="228" t="s">
        <v>683</v>
      </c>
      <c r="O2" s="234" t="s">
        <v>684</v>
      </c>
      <c r="AE2" s="164" t="s">
        <v>590</v>
      </c>
      <c r="AF2" s="165" t="s">
        <v>20</v>
      </c>
      <c r="AG2" s="67"/>
      <c r="AH2" s="68" t="s">
        <v>681</v>
      </c>
      <c r="AI2" s="166">
        <v>44927</v>
      </c>
      <c r="AJ2" s="165" t="s">
        <v>20</v>
      </c>
      <c r="AK2" s="67"/>
      <c r="AL2" s="68" t="s">
        <v>681</v>
      </c>
      <c r="AM2" s="166">
        <v>44958</v>
      </c>
      <c r="AN2" s="165" t="s">
        <v>20</v>
      </c>
      <c r="AO2" s="67"/>
      <c r="AP2" s="68" t="s">
        <v>681</v>
      </c>
      <c r="AQ2" s="166">
        <v>44986</v>
      </c>
      <c r="AR2" s="165" t="s">
        <v>20</v>
      </c>
      <c r="AS2" s="67"/>
      <c r="AT2" s="68" t="s">
        <v>681</v>
      </c>
      <c r="AU2" s="166">
        <v>45017</v>
      </c>
      <c r="AV2" s="165" t="s">
        <v>20</v>
      </c>
      <c r="AW2" s="67"/>
      <c r="AX2" s="68" t="s">
        <v>681</v>
      </c>
      <c r="AY2" s="166">
        <v>45047</v>
      </c>
      <c r="AZ2" s="165" t="s">
        <v>20</v>
      </c>
      <c r="BA2" s="67"/>
      <c r="BB2" s="68" t="s">
        <v>681</v>
      </c>
      <c r="BC2" s="166">
        <v>45078</v>
      </c>
      <c r="BD2" s="165" t="s">
        <v>20</v>
      </c>
      <c r="BE2" s="67"/>
      <c r="BF2" s="68" t="s">
        <v>681</v>
      </c>
      <c r="BG2" s="166">
        <v>45108</v>
      </c>
      <c r="BH2" s="165" t="s">
        <v>20</v>
      </c>
      <c r="BI2" s="67"/>
      <c r="BJ2" s="68" t="s">
        <v>681</v>
      </c>
      <c r="BK2" s="166">
        <v>45139</v>
      </c>
      <c r="BL2" s="165" t="s">
        <v>20</v>
      </c>
      <c r="BM2" s="67"/>
      <c r="BN2" s="68" t="s">
        <v>681</v>
      </c>
      <c r="BO2" s="166">
        <v>45170</v>
      </c>
      <c r="BP2" s="165" t="s">
        <v>20</v>
      </c>
      <c r="BQ2" s="67"/>
      <c r="BR2" s="68" t="s">
        <v>681</v>
      </c>
      <c r="BS2" s="166">
        <v>45200</v>
      </c>
      <c r="BT2" s="165" t="s">
        <v>20</v>
      </c>
      <c r="BU2" s="67"/>
      <c r="BV2" s="68" t="s">
        <v>681</v>
      </c>
      <c r="BW2" s="166">
        <v>45231</v>
      </c>
      <c r="BX2" s="165" t="s">
        <v>20</v>
      </c>
      <c r="BY2" s="67"/>
      <c r="BZ2" s="68" t="s">
        <v>681</v>
      </c>
      <c r="CA2" s="166">
        <v>45261</v>
      </c>
      <c r="CB2" s="165" t="s">
        <v>20</v>
      </c>
      <c r="CC2" s="67"/>
      <c r="CD2" s="68" t="s">
        <v>681</v>
      </c>
    </row>
    <row r="3" spans="1:82" x14ac:dyDescent="0.3">
      <c r="A3" s="42" t="str">
        <f>"CPU_"&amp;LEFT(SUBSTITUTE(SUBSTITUTE(B3," ",""),"-",""),20)</f>
        <v>CPU_Reservatorio</v>
      </c>
      <c r="B3" s="31" t="s">
        <v>823</v>
      </c>
      <c r="C3" s="1"/>
      <c r="D3" s="1"/>
      <c r="E3" s="1"/>
      <c r="F3" s="73"/>
      <c r="G3" s="74"/>
      <c r="H3" s="74"/>
      <c r="I3" s="73"/>
      <c r="J3" s="74" t="str">
        <f>IFERROR(VLOOKUP(B3,Tabela1[[NOME SERVIÇO]:[UNID]],4,0),"")</f>
        <v>UNID</v>
      </c>
      <c r="K3" s="75">
        <f>IFERROR(J6/B6,0)</f>
        <v>24244.361672668874</v>
      </c>
      <c r="M3" s="229" t="s">
        <v>685</v>
      </c>
      <c r="N3" s="230">
        <f>K11</f>
        <v>0</v>
      </c>
      <c r="O3" s="235">
        <f>IFERROR(N3/$N$7,0)</f>
        <v>0</v>
      </c>
      <c r="AE3" s="167"/>
      <c r="AF3" s="168">
        <f>AJ3+AN3+AR3+AV3+AZ3+BD3+BH3+BL3+BP3+BT3+BX3+CB3</f>
        <v>0</v>
      </c>
      <c r="AG3" s="74"/>
      <c r="AH3" s="75">
        <f>IFERROR((AG6/AF3),0)</f>
        <v>0</v>
      </c>
      <c r="AI3" s="167"/>
      <c r="AJ3" s="168">
        <f>IFERROR(SUMPRODUCT(Plan_Orc!$I$4:$I$2002*Plan_Orc!$AB$4:$AB$2002*(Plan_Orc!$D$4:$D$2002=$B3)),0)</f>
        <v>0</v>
      </c>
      <c r="AK3" s="74"/>
      <c r="AL3" s="75">
        <f>IFERROR((AK6/AJ3),0)</f>
        <v>0</v>
      </c>
      <c r="AM3" s="167"/>
      <c r="AN3" s="168">
        <f>IFERROR(SUMPRODUCT(Plan_Orc!$I$4:$I$2002*Plan_Orc!$AC$4:$AC$2002*(Plan_Orc!$D$4:$D$2002=$B3)),0)</f>
        <v>0</v>
      </c>
      <c r="AO3" s="74"/>
      <c r="AP3" s="75">
        <f>IFERROR((AO6/AN3),0)</f>
        <v>0</v>
      </c>
      <c r="AQ3" s="167"/>
      <c r="AR3" s="168">
        <f>IFERROR(SUMPRODUCT(Plan_Orc!$I$4:$I$2002*Plan_Orc!$AD$4:$AD$2002*(Plan_Orc!$D$4:$D$2002=$B3)),0)</f>
        <v>0</v>
      </c>
      <c r="AS3" s="74"/>
      <c r="AT3" s="75">
        <f>IFERROR((AS6/AR3),0)</f>
        <v>0</v>
      </c>
      <c r="AU3" s="167"/>
      <c r="AV3" s="168">
        <f>IFERROR(SUMPRODUCT(Plan_Orc!$I$4:$I$2002*Plan_Orc!$AE$4:$AE$2002*(Plan_Orc!$D$4:$D$2002=$B3)),0)</f>
        <v>0</v>
      </c>
      <c r="AW3" s="74"/>
      <c r="AX3" s="75">
        <f>IFERROR((AW6/AV3),0)</f>
        <v>0</v>
      </c>
      <c r="AY3" s="167"/>
      <c r="AZ3" s="168">
        <f>IFERROR(SUMPRODUCT(Plan_Orc!$I$4:$I$2002*Plan_Orc!$AF$4:$AF$2002*(Plan_Orc!$D$4:$D$2002=$B3)),0)</f>
        <v>0</v>
      </c>
      <c r="BA3" s="74"/>
      <c r="BB3" s="75">
        <f>IFERROR((BA6/AZ3),0)</f>
        <v>0</v>
      </c>
      <c r="BC3" s="167"/>
      <c r="BD3" s="168">
        <f>IFERROR(SUMPRODUCT(Plan_Orc!$I$4:$I$2002*Plan_Orc!$AG$4:$AG$2002*(Plan_Orc!$D$4:$D$2002=$B3)),0)</f>
        <v>0</v>
      </c>
      <c r="BE3" s="74"/>
      <c r="BF3" s="75">
        <f>IFERROR((BE6/BD3),0)</f>
        <v>0</v>
      </c>
      <c r="BG3" s="167"/>
      <c r="BH3" s="168">
        <f>IFERROR(SUMPRODUCT(Plan_Orc!$I$4:$I$2002*Plan_Orc!$AH$4:$AH$2002*(Plan_Orc!$D$4:$D$2002=$B3)),0)</f>
        <v>0</v>
      </c>
      <c r="BI3" s="74"/>
      <c r="BJ3" s="75">
        <f>IFERROR((BI6/BH3),0)</f>
        <v>0</v>
      </c>
      <c r="BK3" s="167"/>
      <c r="BL3" s="168">
        <f>IFERROR(SUMPRODUCT(Plan_Orc!$I$4:$I$2002*Plan_Orc!$AI$4:$AI$2002*(Plan_Orc!$D$4:$D$2002=$B3)),0)</f>
        <v>0</v>
      </c>
      <c r="BM3" s="74"/>
      <c r="BN3" s="75">
        <f>IFERROR((BM6/BL3),0)</f>
        <v>0</v>
      </c>
      <c r="BO3" s="167"/>
      <c r="BP3" s="168">
        <f>IFERROR(SUMPRODUCT(Plan_Orc!$I$4:$I$2002*Plan_Orc!$AJ$4:$AJ$2002*(Plan_Orc!$D$4:$D$2002=$B3)),0)</f>
        <v>0</v>
      </c>
      <c r="BQ3" s="74"/>
      <c r="BR3" s="75">
        <f>IFERROR((BQ6/BP3),0)</f>
        <v>0</v>
      </c>
      <c r="BS3" s="167"/>
      <c r="BT3" s="168">
        <f>IFERROR(SUMPRODUCT(Plan_Orc!$I$4:$I$2002*Plan_Orc!$AK$4:$AK$2002*(Plan_Orc!$D$4:$D$2002=$B3)),0)</f>
        <v>0</v>
      </c>
      <c r="BU3" s="74"/>
      <c r="BV3" s="75">
        <f>IFERROR((BU6/BT3),0)</f>
        <v>0</v>
      </c>
      <c r="BW3" s="167"/>
      <c r="BX3" s="168">
        <f>IFERROR(SUMPRODUCT(Plan_Orc!$I$4:$I$2002*Plan_Orc!$AL$4:$AL$2002*(Plan_Orc!$D$4:$D$2002=$B3)),0)</f>
        <v>0</v>
      </c>
      <c r="BY3" s="74"/>
      <c r="BZ3" s="75">
        <f>IFERROR((BY6/BX3),0)</f>
        <v>0</v>
      </c>
      <c r="CA3" s="167"/>
      <c r="CB3" s="168">
        <f>IFERROR(SUMPRODUCT(Plan_Orc!$I$4:$I$2002*Plan_Orc!$AM$4:$AM$2002*(Plan_Orc!$D$4:$D$2002=$B3)),0)</f>
        <v>0</v>
      </c>
      <c r="CC3" s="74"/>
      <c r="CD3" s="75">
        <f>IFERROR((CC6/CB3),0)</f>
        <v>0</v>
      </c>
    </row>
    <row r="4" spans="1:82" x14ac:dyDescent="0.3">
      <c r="B4" s="32"/>
      <c r="K4" s="30"/>
      <c r="M4" s="229" t="s">
        <v>686</v>
      </c>
      <c r="N4" s="230">
        <f>+K24</f>
        <v>0</v>
      </c>
      <c r="O4" s="235">
        <f>IFERROR(N4/$N$7,0)</f>
        <v>0</v>
      </c>
      <c r="AE4" s="169"/>
      <c r="AH4" s="30"/>
      <c r="AI4" s="169"/>
      <c r="AL4" s="30"/>
      <c r="AM4" s="169"/>
      <c r="AP4" s="30"/>
      <c r="AQ4" s="169"/>
      <c r="AT4" s="30"/>
      <c r="AU4" s="169"/>
      <c r="AX4" s="30"/>
      <c r="AY4" s="169"/>
      <c r="BB4" s="30"/>
      <c r="BC4" s="169"/>
      <c r="BF4" s="30"/>
      <c r="BG4" s="169"/>
      <c r="BJ4" s="30"/>
      <c r="BK4" s="169"/>
      <c r="BN4" s="30"/>
      <c r="BO4" s="169"/>
      <c r="BR4" s="30"/>
      <c r="BS4" s="169"/>
      <c r="BV4" s="30"/>
      <c r="BW4" s="169"/>
      <c r="BZ4" s="30"/>
      <c r="CA4" s="169"/>
      <c r="CD4" s="30"/>
    </row>
    <row r="5" spans="1:82" x14ac:dyDescent="0.3">
      <c r="B5" s="69" t="s">
        <v>687</v>
      </c>
      <c r="C5" s="72"/>
      <c r="D5" s="72"/>
      <c r="E5" s="72"/>
      <c r="F5" s="70" t="s">
        <v>688</v>
      </c>
      <c r="G5" s="70" t="s">
        <v>689</v>
      </c>
      <c r="H5" s="70" t="s">
        <v>690</v>
      </c>
      <c r="I5" s="70" t="s">
        <v>691</v>
      </c>
      <c r="J5" s="70" t="s">
        <v>683</v>
      </c>
      <c r="K5" s="71" t="s">
        <v>593</v>
      </c>
      <c r="M5" s="229" t="s">
        <v>692</v>
      </c>
      <c r="N5" s="230">
        <f>+K37</f>
        <v>937.0643345337744</v>
      </c>
      <c r="O5" s="235">
        <f>IFERROR(N5/$N$7,0)</f>
        <v>0.19325407432569047</v>
      </c>
      <c r="AE5" s="170"/>
      <c r="AF5" s="70" t="s">
        <v>691</v>
      </c>
      <c r="AG5" s="70" t="s">
        <v>683</v>
      </c>
      <c r="AH5" s="71" t="s">
        <v>593</v>
      </c>
      <c r="AI5" s="170"/>
      <c r="AJ5" s="70" t="s">
        <v>691</v>
      </c>
      <c r="AK5" s="70" t="s">
        <v>683</v>
      </c>
      <c r="AL5" s="71" t="s">
        <v>593</v>
      </c>
      <c r="AM5" s="170"/>
      <c r="AN5" s="70" t="s">
        <v>691</v>
      </c>
      <c r="AO5" s="70" t="s">
        <v>683</v>
      </c>
      <c r="AP5" s="71" t="s">
        <v>593</v>
      </c>
      <c r="AQ5" s="170"/>
      <c r="AR5" s="70" t="s">
        <v>691</v>
      </c>
      <c r="AS5" s="70" t="s">
        <v>683</v>
      </c>
      <c r="AT5" s="71" t="s">
        <v>593</v>
      </c>
      <c r="AU5" s="170"/>
      <c r="AV5" s="70" t="s">
        <v>691</v>
      </c>
      <c r="AW5" s="70" t="s">
        <v>683</v>
      </c>
      <c r="AX5" s="71" t="s">
        <v>593</v>
      </c>
      <c r="AY5" s="170"/>
      <c r="AZ5" s="70" t="s">
        <v>691</v>
      </c>
      <c r="BA5" s="70" t="s">
        <v>683</v>
      </c>
      <c r="BB5" s="71" t="s">
        <v>593</v>
      </c>
      <c r="BC5" s="170"/>
      <c r="BD5" s="70" t="s">
        <v>691</v>
      </c>
      <c r="BE5" s="70" t="s">
        <v>683</v>
      </c>
      <c r="BF5" s="71" t="s">
        <v>593</v>
      </c>
      <c r="BG5" s="170"/>
      <c r="BH5" s="70" t="s">
        <v>691</v>
      </c>
      <c r="BI5" s="70" t="s">
        <v>683</v>
      </c>
      <c r="BJ5" s="71" t="s">
        <v>593</v>
      </c>
      <c r="BK5" s="170"/>
      <c r="BL5" s="70" t="s">
        <v>691</v>
      </c>
      <c r="BM5" s="70" t="s">
        <v>683</v>
      </c>
      <c r="BN5" s="71" t="s">
        <v>593</v>
      </c>
      <c r="BO5" s="170"/>
      <c r="BP5" s="70" t="s">
        <v>691</v>
      </c>
      <c r="BQ5" s="70" t="s">
        <v>683</v>
      </c>
      <c r="BR5" s="71" t="s">
        <v>593</v>
      </c>
      <c r="BS5" s="170"/>
      <c r="BT5" s="70" t="s">
        <v>691</v>
      </c>
      <c r="BU5" s="70" t="s">
        <v>683</v>
      </c>
      <c r="BV5" s="71" t="s">
        <v>593</v>
      </c>
      <c r="BW5" s="170"/>
      <c r="BX5" s="70" t="s">
        <v>691</v>
      </c>
      <c r="BY5" s="70" t="s">
        <v>683</v>
      </c>
      <c r="BZ5" s="71" t="s">
        <v>593</v>
      </c>
      <c r="CA5" s="170"/>
      <c r="CB5" s="70" t="s">
        <v>691</v>
      </c>
      <c r="CC5" s="70" t="s">
        <v>683</v>
      </c>
      <c r="CD5" s="71" t="s">
        <v>593</v>
      </c>
    </row>
    <row r="6" spans="1:82" s="2" customFormat="1" ht="30" customHeight="1" x14ac:dyDescent="0.3">
      <c r="B6" s="33">
        <f>1/5</f>
        <v>0.2</v>
      </c>
      <c r="C6" s="275"/>
      <c r="D6" s="275"/>
      <c r="E6" s="275"/>
      <c r="F6" s="27"/>
      <c r="G6" s="35">
        <v>1</v>
      </c>
      <c r="H6" s="81" t="s">
        <v>347</v>
      </c>
      <c r="I6" s="55">
        <f>IFERROR(I7/B7*B6,0)</f>
        <v>0</v>
      </c>
      <c r="J6" s="55">
        <f>K11+K24+K37+K50</f>
        <v>4848.8723345337748</v>
      </c>
      <c r="K6" s="56">
        <f>IFERROR((I6-J6)/I6-PARAMETROS!C19,0)</f>
        <v>0</v>
      </c>
      <c r="M6" s="229" t="s">
        <v>693</v>
      </c>
      <c r="N6" s="230">
        <f>+K50</f>
        <v>3911.808</v>
      </c>
      <c r="O6" s="235">
        <f>IFERROR(N6/$N$7,0)</f>
        <v>0.80674592567430947</v>
      </c>
      <c r="AE6" s="171"/>
      <c r="AF6" s="55">
        <f>AJ6+AN6+AR6+AV6+AZ6+BD6+BH6+BL6+BP6+BT6+BX6+CB6</f>
        <v>0</v>
      </c>
      <c r="AG6" s="55">
        <f>AH11+AH24+AH37+AH50</f>
        <v>0</v>
      </c>
      <c r="AH6" s="56">
        <f>IFERROR((AF6-AG6)/AF6,0)</f>
        <v>0</v>
      </c>
      <c r="AI6" s="171"/>
      <c r="AJ6" s="55"/>
      <c r="AK6" s="55">
        <f>AL11+AL24+AL37+AL50</f>
        <v>0</v>
      </c>
      <c r="AL6" s="56">
        <f>IFERROR((AJ6-AK6)/AJ6,0)</f>
        <v>0</v>
      </c>
      <c r="AM6" s="171"/>
      <c r="AN6" s="55"/>
      <c r="AO6" s="55">
        <f>AP11+AP24+AP37+AP50</f>
        <v>0</v>
      </c>
      <c r="AP6" s="56">
        <f>IFERROR((AN6-AO6)/AN6,0)</f>
        <v>0</v>
      </c>
      <c r="AQ6" s="171"/>
      <c r="AR6" s="55"/>
      <c r="AS6" s="55">
        <f>AT11+AT24+AT37+AT50</f>
        <v>0</v>
      </c>
      <c r="AT6" s="56">
        <f>IFERROR((AR6-AS6)/AR6,0)</f>
        <v>0</v>
      </c>
      <c r="AU6" s="171"/>
      <c r="AV6" s="55"/>
      <c r="AW6" s="55">
        <f>AX11+AX24+AX37+AX50</f>
        <v>0</v>
      </c>
      <c r="AX6" s="56">
        <f>IFERROR((AV6-AW6)/AV6,0)</f>
        <v>0</v>
      </c>
      <c r="AY6" s="171"/>
      <c r="AZ6" s="55"/>
      <c r="BA6" s="55">
        <f>BB11+BB24+BB37+BB50</f>
        <v>0</v>
      </c>
      <c r="BB6" s="56">
        <f>IFERROR((AZ6-BA6)/AZ6,0)</f>
        <v>0</v>
      </c>
      <c r="BC6" s="171"/>
      <c r="BD6" s="55"/>
      <c r="BE6" s="55">
        <f>BF11+BF24+BF37+BF50</f>
        <v>0</v>
      </c>
      <c r="BF6" s="56">
        <f>IFERROR((BD6-BE6)/BD6,0)</f>
        <v>0</v>
      </c>
      <c r="BG6" s="171"/>
      <c r="BH6" s="55"/>
      <c r="BI6" s="55">
        <f>BJ11+BJ24+BJ37+BJ50</f>
        <v>0</v>
      </c>
      <c r="BJ6" s="56">
        <f>IFERROR((BH6-BI6)/BH6,0)</f>
        <v>0</v>
      </c>
      <c r="BK6" s="171"/>
      <c r="BL6" s="55"/>
      <c r="BM6" s="55">
        <f>BN11+BN24+BN37+BN50</f>
        <v>0</v>
      </c>
      <c r="BN6" s="56">
        <f>IFERROR((BL6-BM6)/BL6,0)</f>
        <v>0</v>
      </c>
      <c r="BO6" s="171"/>
      <c r="BP6" s="55"/>
      <c r="BQ6" s="55">
        <f>BR11+BR24+BR37+BR50</f>
        <v>0</v>
      </c>
      <c r="BR6" s="56">
        <f>IFERROR((BP6-BQ6)/BP6,0)</f>
        <v>0</v>
      </c>
      <c r="BS6" s="171"/>
      <c r="BT6" s="55"/>
      <c r="BU6" s="55">
        <f>BV11+BV24+BV37+BV50</f>
        <v>0</v>
      </c>
      <c r="BV6" s="56">
        <f>IFERROR((BT6-BU6)/BT6,0)</f>
        <v>0</v>
      </c>
      <c r="BW6" s="171"/>
      <c r="BX6" s="55"/>
      <c r="BY6" s="55">
        <f>BZ11+BZ24+BZ37+BZ50</f>
        <v>0</v>
      </c>
      <c r="BZ6" s="56">
        <f>IFERROR((BX6-BY6)/BX6,0)</f>
        <v>0</v>
      </c>
      <c r="CA6" s="171"/>
      <c r="CB6" s="55"/>
      <c r="CC6" s="55">
        <f>CD11+CD24+CD37+CD50</f>
        <v>0</v>
      </c>
      <c r="CD6" s="56">
        <f>IFERROR((CB6-CC6)/CB6,0)</f>
        <v>0</v>
      </c>
    </row>
    <row r="7" spans="1:82" s="2" customFormat="1" ht="30" customHeight="1" thickBot="1" x14ac:dyDescent="0.35">
      <c r="B7" s="34">
        <f>IFERROR(VLOOKUP(B3,Lucratividade!G4:N853,2,0),0)</f>
        <v>0</v>
      </c>
      <c r="C7" s="276"/>
      <c r="D7" s="276"/>
      <c r="E7" s="276"/>
      <c r="F7" s="50"/>
      <c r="G7" s="36">
        <f>IFERROR(B7/B6,0)</f>
        <v>0</v>
      </c>
      <c r="H7" s="82" t="s">
        <v>347</v>
      </c>
      <c r="I7" s="57">
        <f>IFERROR(VLOOKUP(B3,Lucratividade!G4:N132,6,0),0)</f>
        <v>0</v>
      </c>
      <c r="J7" s="58">
        <f>B7*K3</f>
        <v>0</v>
      </c>
      <c r="K7" s="59">
        <f>IFERROR((I7-J7)/I7-PARAMETROS!C19,0)</f>
        <v>0</v>
      </c>
      <c r="M7" s="231" t="s">
        <v>694</v>
      </c>
      <c r="N7" s="232">
        <f>SUM(N3:N6)</f>
        <v>4848.8723345337748</v>
      </c>
      <c r="O7" s="236"/>
      <c r="AE7" s="172"/>
      <c r="AF7" s="57"/>
      <c r="AG7" s="58"/>
      <c r="AH7" s="59"/>
      <c r="AI7" s="172"/>
      <c r="AJ7" s="57"/>
      <c r="AK7" s="58"/>
      <c r="AL7" s="59"/>
      <c r="AM7" s="172"/>
      <c r="AN7" s="57"/>
      <c r="AO7" s="58"/>
      <c r="AP7" s="59"/>
      <c r="AQ7" s="172"/>
      <c r="AR7" s="57"/>
      <c r="AS7" s="58"/>
      <c r="AT7" s="59"/>
      <c r="AU7" s="172"/>
      <c r="AV7" s="57"/>
      <c r="AW7" s="58"/>
      <c r="AX7" s="59"/>
      <c r="AY7" s="172"/>
      <c r="AZ7" s="57"/>
      <c r="BA7" s="58"/>
      <c r="BB7" s="59"/>
      <c r="BC7" s="172"/>
      <c r="BD7" s="57"/>
      <c r="BE7" s="58"/>
      <c r="BF7" s="59"/>
      <c r="BG7" s="172"/>
      <c r="BH7" s="57"/>
      <c r="BI7" s="58"/>
      <c r="BJ7" s="59"/>
      <c r="BK7" s="172"/>
      <c r="BL7" s="57"/>
      <c r="BM7" s="58"/>
      <c r="BN7" s="59"/>
      <c r="BO7" s="172"/>
      <c r="BP7" s="57"/>
      <c r="BQ7" s="58"/>
      <c r="BR7" s="59"/>
      <c r="BS7" s="172"/>
      <c r="BT7" s="57"/>
      <c r="BU7" s="58"/>
      <c r="BV7" s="59"/>
      <c r="BW7" s="172"/>
      <c r="BX7" s="57"/>
      <c r="BY7" s="58"/>
      <c r="BZ7" s="59"/>
      <c r="CA7" s="172"/>
      <c r="CB7" s="57"/>
      <c r="CC7" s="58"/>
      <c r="CD7" s="59"/>
    </row>
    <row r="8" spans="1:82" ht="4.2" customHeight="1" x14ac:dyDescent="0.3">
      <c r="AE8" s="28"/>
      <c r="AI8" s="28"/>
      <c r="AM8" s="28"/>
      <c r="AQ8" s="28"/>
      <c r="AU8" s="28"/>
      <c r="AY8" s="28"/>
      <c r="BC8" s="28"/>
      <c r="BG8" s="28"/>
      <c r="BK8" s="28"/>
      <c r="BO8" s="28"/>
      <c r="BS8" s="28"/>
      <c r="BW8" s="28"/>
      <c r="CA8" s="28"/>
    </row>
    <row r="9" spans="1:82" ht="4.95" customHeight="1" thickBot="1" x14ac:dyDescent="0.35">
      <c r="AE9" s="28"/>
      <c r="AI9" s="28"/>
      <c r="AM9" s="28"/>
      <c r="AQ9" s="28"/>
      <c r="AU9" s="28"/>
      <c r="AY9" s="28"/>
      <c r="BC9" s="28"/>
      <c r="BG9" s="28"/>
      <c r="BK9" s="28"/>
      <c r="BO9" s="28"/>
      <c r="BS9" s="28"/>
      <c r="BW9" s="28"/>
      <c r="CA9" s="28"/>
    </row>
    <row r="10" spans="1:82" ht="15" thickBot="1" x14ac:dyDescent="0.35">
      <c r="B10" s="72" t="s">
        <v>695</v>
      </c>
      <c r="C10" s="72" t="s">
        <v>679</v>
      </c>
      <c r="D10" s="72" t="s">
        <v>696</v>
      </c>
      <c r="E10" s="72" t="s">
        <v>697</v>
      </c>
      <c r="F10" s="72" t="s">
        <v>17</v>
      </c>
      <c r="G10" s="70" t="s">
        <v>690</v>
      </c>
      <c r="H10" s="70" t="s">
        <v>698</v>
      </c>
      <c r="I10" s="72" t="s">
        <v>20</v>
      </c>
      <c r="J10" s="72" t="s">
        <v>699</v>
      </c>
      <c r="K10" s="72" t="s">
        <v>700</v>
      </c>
      <c r="M10" s="83" t="s">
        <v>701</v>
      </c>
      <c r="N10" s="87" t="s">
        <v>702</v>
      </c>
      <c r="AD10" s="173" t="s">
        <v>703</v>
      </c>
      <c r="AE10" s="170" t="s">
        <v>698</v>
      </c>
      <c r="AF10" s="70" t="s">
        <v>20</v>
      </c>
      <c r="AG10" s="70" t="s">
        <v>699</v>
      </c>
      <c r="AH10" s="70" t="s">
        <v>700</v>
      </c>
      <c r="AI10" s="173" t="s">
        <v>704</v>
      </c>
      <c r="AJ10" s="174" t="s">
        <v>705</v>
      </c>
      <c r="AK10" s="174" t="s">
        <v>706</v>
      </c>
      <c r="AL10" s="175" t="s">
        <v>707</v>
      </c>
      <c r="AM10" s="173" t="s">
        <v>708</v>
      </c>
      <c r="AN10" s="174" t="s">
        <v>709</v>
      </c>
      <c r="AO10" s="174" t="s">
        <v>710</v>
      </c>
      <c r="AP10" s="175" t="s">
        <v>711</v>
      </c>
      <c r="AQ10" s="173" t="s">
        <v>712</v>
      </c>
      <c r="AR10" s="174" t="s">
        <v>713</v>
      </c>
      <c r="AS10" s="174" t="s">
        <v>714</v>
      </c>
      <c r="AT10" s="175" t="s">
        <v>715</v>
      </c>
      <c r="AU10" s="173" t="s">
        <v>716</v>
      </c>
      <c r="AV10" s="174" t="s">
        <v>717</v>
      </c>
      <c r="AW10" s="174" t="s">
        <v>718</v>
      </c>
      <c r="AX10" s="175" t="s">
        <v>719</v>
      </c>
      <c r="AY10" s="173" t="s">
        <v>720</v>
      </c>
      <c r="AZ10" s="174" t="s">
        <v>721</v>
      </c>
      <c r="BA10" s="174" t="s">
        <v>722</v>
      </c>
      <c r="BB10" s="175" t="s">
        <v>723</v>
      </c>
      <c r="BC10" s="173" t="s">
        <v>724</v>
      </c>
      <c r="BD10" s="174" t="s">
        <v>725</v>
      </c>
      <c r="BE10" s="174" t="s">
        <v>726</v>
      </c>
      <c r="BF10" s="175" t="s">
        <v>727</v>
      </c>
      <c r="BG10" s="173" t="s">
        <v>728</v>
      </c>
      <c r="BH10" s="174" t="s">
        <v>729</v>
      </c>
      <c r="BI10" s="174" t="s">
        <v>730</v>
      </c>
      <c r="BJ10" s="175" t="s">
        <v>731</v>
      </c>
      <c r="BK10" s="173" t="s">
        <v>732</v>
      </c>
      <c r="BL10" s="174" t="s">
        <v>733</v>
      </c>
      <c r="BM10" s="174" t="s">
        <v>734</v>
      </c>
      <c r="BN10" s="175" t="s">
        <v>735</v>
      </c>
      <c r="BO10" s="173" t="s">
        <v>736</v>
      </c>
      <c r="BP10" s="174" t="s">
        <v>737</v>
      </c>
      <c r="BQ10" s="174" t="s">
        <v>738</v>
      </c>
      <c r="BR10" s="175" t="s">
        <v>739</v>
      </c>
      <c r="BS10" s="173" t="s">
        <v>740</v>
      </c>
      <c r="BT10" s="174" t="s">
        <v>741</v>
      </c>
      <c r="BU10" s="174" t="s">
        <v>742</v>
      </c>
      <c r="BV10" s="175" t="s">
        <v>743</v>
      </c>
      <c r="BW10" s="173" t="s">
        <v>744</v>
      </c>
      <c r="BX10" s="174" t="s">
        <v>745</v>
      </c>
      <c r="BY10" s="174" t="s">
        <v>746</v>
      </c>
      <c r="BZ10" s="175" t="s">
        <v>747</v>
      </c>
      <c r="CA10" s="173" t="s">
        <v>748</v>
      </c>
      <c r="CB10" s="174" t="s">
        <v>749</v>
      </c>
      <c r="CC10" s="174" t="s">
        <v>750</v>
      </c>
      <c r="CD10" s="174" t="s">
        <v>751</v>
      </c>
    </row>
    <row r="11" spans="1:82" x14ac:dyDescent="0.3">
      <c r="B11" s="52" t="s">
        <v>752</v>
      </c>
      <c r="C11" s="52" t="str">
        <f t="shared" ref="C11:C62" si="0">$A$3</f>
        <v>CPU_Reservatorio</v>
      </c>
      <c r="D11" s="277">
        <f t="shared" ref="D11:D62" si="1">$B$6</f>
        <v>0.2</v>
      </c>
      <c r="E11" s="277">
        <f t="shared" ref="E11:E62" si="2">$B$7</f>
        <v>0</v>
      </c>
      <c r="F11" s="37"/>
      <c r="G11" s="38"/>
      <c r="H11" s="91"/>
      <c r="I11" s="40"/>
      <c r="J11" s="40">
        <f>IFERROR(K11/$B$6,0)</f>
        <v>0</v>
      </c>
      <c r="K11" s="40">
        <f>SUM(K12:K23)</f>
        <v>0</v>
      </c>
      <c r="M11" s="294" t="s">
        <v>753</v>
      </c>
      <c r="N11" s="295" t="s">
        <v>754</v>
      </c>
      <c r="O11" s="296" t="s">
        <v>755</v>
      </c>
      <c r="AD11" s="144" t="str">
        <f>$B$3</f>
        <v>Reservatorio</v>
      </c>
      <c r="AE11" s="176"/>
      <c r="AF11" s="177"/>
      <c r="AG11" s="177">
        <f>IFERROR(AH11/AF$3,0)</f>
        <v>0</v>
      </c>
      <c r="AH11" s="178">
        <f>SUM(AH12:AH23)</f>
        <v>0</v>
      </c>
      <c r="AI11" s="176"/>
      <c r="AJ11" s="177"/>
      <c r="AK11" s="177">
        <f>IFERROR(AL11/AJ$3,0)</f>
        <v>0</v>
      </c>
      <c r="AL11" s="178">
        <f>SUM(AL12:AL23)</f>
        <v>0</v>
      </c>
      <c r="AM11" s="176"/>
      <c r="AN11" s="177"/>
      <c r="AO11" s="177">
        <f>IFERROR(AP11/AN$3,0)</f>
        <v>0</v>
      </c>
      <c r="AP11" s="178">
        <f>SUM(AP12:AP23)</f>
        <v>0</v>
      </c>
      <c r="AQ11" s="176"/>
      <c r="AR11" s="177"/>
      <c r="AS11" s="177">
        <f>IFERROR(AT11/AR$3,0)</f>
        <v>0</v>
      </c>
      <c r="AT11" s="178">
        <f>SUM(AT12:AT23)</f>
        <v>0</v>
      </c>
      <c r="AU11" s="176"/>
      <c r="AV11" s="177"/>
      <c r="AW11" s="177">
        <f>IFERROR(AX11/AV$3,0)</f>
        <v>0</v>
      </c>
      <c r="AX11" s="178">
        <f>SUM(AX12:AX23)</f>
        <v>0</v>
      </c>
      <c r="AY11" s="176"/>
      <c r="AZ11" s="177"/>
      <c r="BA11" s="177">
        <f>IFERROR(BB11/AZ$3,0)</f>
        <v>0</v>
      </c>
      <c r="BB11" s="178">
        <f>SUM(BB12:BB23)</f>
        <v>0</v>
      </c>
      <c r="BC11" s="176"/>
      <c r="BD11" s="177"/>
      <c r="BE11" s="177">
        <f>IFERROR(BF11/BD$3,0)</f>
        <v>0</v>
      </c>
      <c r="BF11" s="178">
        <f>SUM(BF12:BF23)</f>
        <v>0</v>
      </c>
      <c r="BG11" s="176"/>
      <c r="BH11" s="177"/>
      <c r="BI11" s="177">
        <f>IFERROR(BJ11/BH$3,0)</f>
        <v>0</v>
      </c>
      <c r="BJ11" s="178">
        <f>SUM(BJ12:BJ23)</f>
        <v>0</v>
      </c>
      <c r="BK11" s="176"/>
      <c r="BL11" s="177"/>
      <c r="BM11" s="177">
        <f>IFERROR(BN11/BL$3,0)</f>
        <v>0</v>
      </c>
      <c r="BN11" s="178">
        <f>SUM(BN12:BN23)</f>
        <v>0</v>
      </c>
      <c r="BO11" s="176"/>
      <c r="BP11" s="177"/>
      <c r="BQ11" s="177">
        <f>IFERROR(BR11/BP$3,0)</f>
        <v>0</v>
      </c>
      <c r="BR11" s="178">
        <f>SUM(BR12:BR23)</f>
        <v>0</v>
      </c>
      <c r="BS11" s="176"/>
      <c r="BT11" s="177"/>
      <c r="BU11" s="177">
        <f>IFERROR(BV11/BT$3,0)</f>
        <v>0</v>
      </c>
      <c r="BV11" s="178">
        <f>SUM(BV12:BV23)</f>
        <v>0</v>
      </c>
      <c r="BW11" s="176"/>
      <c r="BX11" s="177"/>
      <c r="BY11" s="177">
        <f>IFERROR(BZ11/BX$3,0)</f>
        <v>0</v>
      </c>
      <c r="BZ11" s="178">
        <f>SUM(BZ12:BZ23)</f>
        <v>0</v>
      </c>
      <c r="CA11" s="176"/>
      <c r="CB11" s="177"/>
      <c r="CC11" s="177">
        <f>IFERROR(CD11/CB$3,0)</f>
        <v>0</v>
      </c>
      <c r="CD11" s="178">
        <f>SUM(CD12:CD23)</f>
        <v>0</v>
      </c>
    </row>
    <row r="12" spans="1:82" x14ac:dyDescent="0.3">
      <c r="B12" s="53"/>
      <c r="C12" s="53" t="str">
        <f t="shared" si="0"/>
        <v>CPU_Reservatorio</v>
      </c>
      <c r="D12" s="278">
        <f t="shared" si="1"/>
        <v>0.2</v>
      </c>
      <c r="E12" s="278">
        <f t="shared" si="2"/>
        <v>0</v>
      </c>
      <c r="F12" s="46"/>
      <c r="G12" s="28" t="str">
        <f>IFERROR(VLOOKUP(F12,Tabela7[[RECURSO]:[CUSTO]],2,FALSE),"")</f>
        <v/>
      </c>
      <c r="H12" s="92"/>
      <c r="I12" s="90"/>
      <c r="J12" s="45">
        <f>IFERROR(VLOOKUP(F12,Tabela7[[RECURSO]:[CUSTO]],3,FALSE),0)</f>
        <v>0</v>
      </c>
      <c r="K12" s="45">
        <f>I12*J12*CPU_28[[#This Row],[Nº]]</f>
        <v>0</v>
      </c>
      <c r="M12" s="31"/>
      <c r="N12" s="297"/>
      <c r="O12" s="60">
        <f>IFERROR($B$6/(H12*I12*N12),0)</f>
        <v>0</v>
      </c>
      <c r="AD12" s="144" t="str">
        <f t="shared" ref="AD12:AD62" si="3">$B$3</f>
        <v>Reservatorio</v>
      </c>
      <c r="AE12" s="179"/>
      <c r="AF12" s="180">
        <f>AJ12+AN12+AR12+AV12+AZ12+BD12+BH12+BL12+BP12+BT12+BX12+CB12</f>
        <v>0</v>
      </c>
      <c r="AG12" s="180">
        <f>IFERROR(AH12/AF12,0)</f>
        <v>0</v>
      </c>
      <c r="AH12" s="181">
        <f>AL12+AP12+AT12+AX12+BB12+BF12+BJ12+BN12+BR12+BV12+BZ12+CD12</f>
        <v>0</v>
      </c>
      <c r="AI12" s="182"/>
      <c r="AJ12" s="90"/>
      <c r="AK12" s="90"/>
      <c r="AL12" s="183">
        <f>AJ12*AK12</f>
        <v>0</v>
      </c>
      <c r="AM12" s="182"/>
      <c r="AN12" s="90"/>
      <c r="AO12" s="90"/>
      <c r="AP12" s="183">
        <f t="shared" ref="AP12:AP23" si="4">AN12*AO12</f>
        <v>0</v>
      </c>
      <c r="AQ12" s="182"/>
      <c r="AR12" s="90"/>
      <c r="AS12" s="90"/>
      <c r="AT12" s="183">
        <f t="shared" ref="AT12:AT23" si="5">AR12*AS12</f>
        <v>0</v>
      </c>
      <c r="AU12" s="182"/>
      <c r="AV12" s="90"/>
      <c r="AW12" s="90"/>
      <c r="AX12" s="183">
        <f t="shared" ref="AX12:AX23" si="6">AV12*AW12</f>
        <v>0</v>
      </c>
      <c r="AY12" s="182"/>
      <c r="AZ12" s="90"/>
      <c r="BA12" s="90"/>
      <c r="BB12" s="183">
        <f t="shared" ref="BB12:BB23" si="7">AZ12*BA12</f>
        <v>0</v>
      </c>
      <c r="BC12" s="182"/>
      <c r="BD12" s="90"/>
      <c r="BE12" s="90"/>
      <c r="BF12" s="183">
        <f t="shared" ref="BF12:BF23" si="8">BD12*BE12</f>
        <v>0</v>
      </c>
      <c r="BG12" s="182"/>
      <c r="BH12" s="90"/>
      <c r="BI12" s="90"/>
      <c r="BJ12" s="183">
        <f t="shared" ref="BJ12:BJ23" si="9">BH12*BI12</f>
        <v>0</v>
      </c>
      <c r="BK12" s="182"/>
      <c r="BL12" s="90"/>
      <c r="BM12" s="90"/>
      <c r="BN12" s="183">
        <f t="shared" ref="BN12:BN23" si="10">BL12*BM12</f>
        <v>0</v>
      </c>
      <c r="BO12" s="182"/>
      <c r="BP12" s="90"/>
      <c r="BQ12" s="90"/>
      <c r="BR12" s="183">
        <f t="shared" ref="BR12:BR23" si="11">BP12*BQ12</f>
        <v>0</v>
      </c>
      <c r="BS12" s="182"/>
      <c r="BT12" s="90"/>
      <c r="BU12" s="90"/>
      <c r="BV12" s="183">
        <f t="shared" ref="BV12:BV23" si="12">BT12*BU12</f>
        <v>0</v>
      </c>
      <c r="BW12" s="182"/>
      <c r="BX12" s="90"/>
      <c r="BY12" s="90"/>
      <c r="BZ12" s="183">
        <f t="shared" ref="BZ12:BZ23" si="13">BX12*BY12</f>
        <v>0</v>
      </c>
      <c r="CA12" s="182"/>
      <c r="CB12" s="90"/>
      <c r="CC12" s="90"/>
      <c r="CD12" s="183">
        <f t="shared" ref="CD12:CD23" si="14">CB12*CC12</f>
        <v>0</v>
      </c>
    </row>
    <row r="13" spans="1:82" x14ac:dyDescent="0.3">
      <c r="B13" s="53"/>
      <c r="C13" s="53" t="str">
        <f t="shared" si="0"/>
        <v>CPU_Reservatorio</v>
      </c>
      <c r="D13" s="278">
        <f t="shared" si="1"/>
        <v>0.2</v>
      </c>
      <c r="E13" s="278">
        <f t="shared" si="2"/>
        <v>0</v>
      </c>
      <c r="F13" s="1"/>
      <c r="G13" s="28" t="str">
        <f>IFERROR(VLOOKUP(F13,Tabela7[[RECURSO]:[CUSTO]],2,FALSE),"")</f>
        <v/>
      </c>
      <c r="H13" s="92"/>
      <c r="I13" s="90"/>
      <c r="J13" s="45">
        <f>IFERROR(VLOOKUP(F13,Tabela7[[RECURSO]:[CUSTO]],3,FALSE),0)</f>
        <v>0</v>
      </c>
      <c r="K13" s="45">
        <f>I13*J13*CPU_28[[#This Row],[Nº]]</f>
        <v>0</v>
      </c>
      <c r="M13" s="31"/>
      <c r="N13" s="297"/>
      <c r="O13" s="60">
        <f t="shared" ref="O13:O23" si="15">IFERROR($B$6/(H13*I13),0)</f>
        <v>0</v>
      </c>
      <c r="AD13" s="144" t="str">
        <f t="shared" si="3"/>
        <v>Reservatorio</v>
      </c>
      <c r="AE13" s="179"/>
      <c r="AF13" s="180">
        <f t="shared" ref="AF13:AF23" si="16">AJ13+AN13+AR13+AV13+AZ13+BD13+BH13+BL13+BP13+BT13+BX13+CB13</f>
        <v>0</v>
      </c>
      <c r="AG13" s="180">
        <f t="shared" ref="AG13:AG62" si="17">IFERROR(AH13/AF13,0)</f>
        <v>0</v>
      </c>
      <c r="AH13" s="181">
        <f t="shared" ref="AH13:AH23" si="18">AL13+AP13+AT13+AX13+BB13+BF13+BJ13+BN13+BR13+BV13+BZ13+CD13</f>
        <v>0</v>
      </c>
      <c r="AI13" s="182"/>
      <c r="AJ13" s="90"/>
      <c r="AK13" s="90"/>
      <c r="AL13" s="183">
        <f t="shared" ref="AL13:AL23" si="19">AJ13*AK13</f>
        <v>0</v>
      </c>
      <c r="AM13" s="182"/>
      <c r="AN13" s="90"/>
      <c r="AO13" s="90"/>
      <c r="AP13" s="183">
        <f t="shared" si="4"/>
        <v>0</v>
      </c>
      <c r="AQ13" s="182"/>
      <c r="AR13" s="90"/>
      <c r="AS13" s="90"/>
      <c r="AT13" s="183">
        <f t="shared" si="5"/>
        <v>0</v>
      </c>
      <c r="AU13" s="182"/>
      <c r="AV13" s="90"/>
      <c r="AW13" s="90"/>
      <c r="AX13" s="183">
        <f t="shared" si="6"/>
        <v>0</v>
      </c>
      <c r="AY13" s="182"/>
      <c r="AZ13" s="90"/>
      <c r="BA13" s="90"/>
      <c r="BB13" s="183">
        <f t="shared" si="7"/>
        <v>0</v>
      </c>
      <c r="BC13" s="182"/>
      <c r="BD13" s="90"/>
      <c r="BE13" s="90"/>
      <c r="BF13" s="183">
        <f t="shared" si="8"/>
        <v>0</v>
      </c>
      <c r="BG13" s="182"/>
      <c r="BH13" s="90"/>
      <c r="BI13" s="90"/>
      <c r="BJ13" s="183">
        <f t="shared" si="9"/>
        <v>0</v>
      </c>
      <c r="BK13" s="182"/>
      <c r="BL13" s="90"/>
      <c r="BM13" s="90"/>
      <c r="BN13" s="183">
        <f t="shared" si="10"/>
        <v>0</v>
      </c>
      <c r="BO13" s="182"/>
      <c r="BP13" s="90"/>
      <c r="BQ13" s="90"/>
      <c r="BR13" s="183">
        <f t="shared" si="11"/>
        <v>0</v>
      </c>
      <c r="BS13" s="182"/>
      <c r="BT13" s="90"/>
      <c r="BU13" s="90"/>
      <c r="BV13" s="183">
        <f t="shared" si="12"/>
        <v>0</v>
      </c>
      <c r="BW13" s="182"/>
      <c r="BX13" s="90"/>
      <c r="BY13" s="90"/>
      <c r="BZ13" s="183">
        <f t="shared" si="13"/>
        <v>0</v>
      </c>
      <c r="CA13" s="182"/>
      <c r="CB13" s="90"/>
      <c r="CC13" s="90"/>
      <c r="CD13" s="183">
        <f t="shared" si="14"/>
        <v>0</v>
      </c>
    </row>
    <row r="14" spans="1:82" x14ac:dyDescent="0.3">
      <c r="B14" s="53"/>
      <c r="C14" s="53" t="str">
        <f t="shared" si="0"/>
        <v>CPU_Reservatorio</v>
      </c>
      <c r="D14" s="278">
        <f t="shared" si="1"/>
        <v>0.2</v>
      </c>
      <c r="E14" s="278">
        <f t="shared" si="2"/>
        <v>0</v>
      </c>
      <c r="F14" s="1"/>
      <c r="G14" s="28" t="str">
        <f>IFERROR(VLOOKUP(F14,Tabela7[[RECURSO]:[CUSTO]],2,FALSE),"")</f>
        <v/>
      </c>
      <c r="H14" s="92"/>
      <c r="I14" s="90"/>
      <c r="J14" s="45">
        <f>IFERROR(VLOOKUP(F14,Tabela7[[RECURSO]:[CUSTO]],3,FALSE),0)</f>
        <v>0</v>
      </c>
      <c r="K14" s="45">
        <f>I14*J14*CPU_28[[#This Row],[Nº]]</f>
        <v>0</v>
      </c>
      <c r="M14" s="31"/>
      <c r="N14" s="297"/>
      <c r="O14" s="60">
        <f t="shared" si="15"/>
        <v>0</v>
      </c>
      <c r="AD14" s="144" t="str">
        <f t="shared" si="3"/>
        <v>Reservatorio</v>
      </c>
      <c r="AE14" s="179"/>
      <c r="AF14" s="180">
        <f t="shared" si="16"/>
        <v>0</v>
      </c>
      <c r="AG14" s="180">
        <f t="shared" si="17"/>
        <v>0</v>
      </c>
      <c r="AH14" s="181">
        <f t="shared" si="18"/>
        <v>0</v>
      </c>
      <c r="AI14" s="182"/>
      <c r="AJ14" s="90"/>
      <c r="AK14" s="90"/>
      <c r="AL14" s="183">
        <f t="shared" si="19"/>
        <v>0</v>
      </c>
      <c r="AM14" s="182"/>
      <c r="AN14" s="90"/>
      <c r="AO14" s="90"/>
      <c r="AP14" s="183">
        <f t="shared" si="4"/>
        <v>0</v>
      </c>
      <c r="AQ14" s="182"/>
      <c r="AR14" s="90"/>
      <c r="AS14" s="90"/>
      <c r="AT14" s="183">
        <f t="shared" si="5"/>
        <v>0</v>
      </c>
      <c r="AU14" s="182"/>
      <c r="AV14" s="90"/>
      <c r="AW14" s="90"/>
      <c r="AX14" s="183">
        <f t="shared" si="6"/>
        <v>0</v>
      </c>
      <c r="AY14" s="182"/>
      <c r="AZ14" s="90"/>
      <c r="BA14" s="90"/>
      <c r="BB14" s="183">
        <f t="shared" si="7"/>
        <v>0</v>
      </c>
      <c r="BC14" s="182"/>
      <c r="BD14" s="90"/>
      <c r="BE14" s="90"/>
      <c r="BF14" s="183">
        <f t="shared" si="8"/>
        <v>0</v>
      </c>
      <c r="BG14" s="182"/>
      <c r="BH14" s="90"/>
      <c r="BI14" s="90"/>
      <c r="BJ14" s="183">
        <f t="shared" si="9"/>
        <v>0</v>
      </c>
      <c r="BK14" s="182"/>
      <c r="BL14" s="90"/>
      <c r="BM14" s="90"/>
      <c r="BN14" s="183">
        <f t="shared" si="10"/>
        <v>0</v>
      </c>
      <c r="BO14" s="182"/>
      <c r="BP14" s="90"/>
      <c r="BQ14" s="90"/>
      <c r="BR14" s="183">
        <f t="shared" si="11"/>
        <v>0</v>
      </c>
      <c r="BS14" s="182"/>
      <c r="BT14" s="90"/>
      <c r="BU14" s="90"/>
      <c r="BV14" s="183">
        <f t="shared" si="12"/>
        <v>0</v>
      </c>
      <c r="BW14" s="182"/>
      <c r="BX14" s="90"/>
      <c r="BY14" s="90"/>
      <c r="BZ14" s="183">
        <f t="shared" si="13"/>
        <v>0</v>
      </c>
      <c r="CA14" s="182"/>
      <c r="CB14" s="90"/>
      <c r="CC14" s="90"/>
      <c r="CD14" s="183">
        <f t="shared" si="14"/>
        <v>0</v>
      </c>
    </row>
    <row r="15" spans="1:82" x14ac:dyDescent="0.3">
      <c r="B15" s="153"/>
      <c r="C15" s="153" t="str">
        <f t="shared" si="0"/>
        <v>CPU_Reservatorio</v>
      </c>
      <c r="D15" s="279">
        <f t="shared" si="1"/>
        <v>0.2</v>
      </c>
      <c r="E15" s="279">
        <f t="shared" si="2"/>
        <v>0</v>
      </c>
      <c r="F15" s="1"/>
      <c r="G15" s="28" t="str">
        <f>IFERROR(VLOOKUP(F15,Tabela7[[RECURSO]:[CUSTO]],2,FALSE),"")</f>
        <v/>
      </c>
      <c r="H15" s="92"/>
      <c r="I15" s="90"/>
      <c r="J15" s="45">
        <f>IFERROR(VLOOKUP(F15,Tabela7[[RECURSO]:[CUSTO]],3,FALSE),0)</f>
        <v>0</v>
      </c>
      <c r="K15" s="45">
        <f>I15*J15*CPU_28[[#This Row],[Nº]]</f>
        <v>0</v>
      </c>
      <c r="M15" s="31"/>
      <c r="N15" s="297"/>
      <c r="O15" s="60">
        <f t="shared" si="15"/>
        <v>0</v>
      </c>
      <c r="AD15" s="144" t="str">
        <f t="shared" si="3"/>
        <v>Reservatorio</v>
      </c>
      <c r="AE15" s="179"/>
      <c r="AF15" s="180">
        <f t="shared" si="16"/>
        <v>0</v>
      </c>
      <c r="AG15" s="180">
        <f t="shared" si="17"/>
        <v>0</v>
      </c>
      <c r="AH15" s="181">
        <f t="shared" si="18"/>
        <v>0</v>
      </c>
      <c r="AI15" s="182"/>
      <c r="AJ15" s="90"/>
      <c r="AK15" s="90"/>
      <c r="AL15" s="183">
        <f t="shared" si="19"/>
        <v>0</v>
      </c>
      <c r="AM15" s="182"/>
      <c r="AN15" s="90"/>
      <c r="AO15" s="90"/>
      <c r="AP15" s="183">
        <f t="shared" si="4"/>
        <v>0</v>
      </c>
      <c r="AQ15" s="182"/>
      <c r="AR15" s="90"/>
      <c r="AS15" s="90"/>
      <c r="AT15" s="183">
        <f t="shared" si="5"/>
        <v>0</v>
      </c>
      <c r="AU15" s="182"/>
      <c r="AV15" s="90"/>
      <c r="AW15" s="90"/>
      <c r="AX15" s="183">
        <f t="shared" si="6"/>
        <v>0</v>
      </c>
      <c r="AY15" s="182"/>
      <c r="AZ15" s="90"/>
      <c r="BA15" s="90"/>
      <c r="BB15" s="183">
        <f t="shared" si="7"/>
        <v>0</v>
      </c>
      <c r="BC15" s="182"/>
      <c r="BD15" s="90"/>
      <c r="BE15" s="90"/>
      <c r="BF15" s="183">
        <f t="shared" si="8"/>
        <v>0</v>
      </c>
      <c r="BG15" s="182"/>
      <c r="BH15" s="90"/>
      <c r="BI15" s="90"/>
      <c r="BJ15" s="183">
        <f t="shared" si="9"/>
        <v>0</v>
      </c>
      <c r="BK15" s="182"/>
      <c r="BL15" s="90"/>
      <c r="BM15" s="90"/>
      <c r="BN15" s="183">
        <f t="shared" si="10"/>
        <v>0</v>
      </c>
      <c r="BO15" s="182"/>
      <c r="BP15" s="90"/>
      <c r="BQ15" s="90"/>
      <c r="BR15" s="183">
        <f t="shared" si="11"/>
        <v>0</v>
      </c>
      <c r="BS15" s="182"/>
      <c r="BT15" s="90"/>
      <c r="BU15" s="90"/>
      <c r="BV15" s="183">
        <f t="shared" si="12"/>
        <v>0</v>
      </c>
      <c r="BW15" s="182"/>
      <c r="BX15" s="90"/>
      <c r="BY15" s="90"/>
      <c r="BZ15" s="183">
        <f t="shared" si="13"/>
        <v>0</v>
      </c>
      <c r="CA15" s="182"/>
      <c r="CB15" s="90"/>
      <c r="CC15" s="90"/>
      <c r="CD15" s="183">
        <f t="shared" si="14"/>
        <v>0</v>
      </c>
    </row>
    <row r="16" spans="1:82" x14ac:dyDescent="0.3">
      <c r="B16" s="53"/>
      <c r="C16" s="53" t="str">
        <f t="shared" si="0"/>
        <v>CPU_Reservatorio</v>
      </c>
      <c r="D16" s="278">
        <f t="shared" si="1"/>
        <v>0.2</v>
      </c>
      <c r="E16" s="278">
        <f t="shared" si="2"/>
        <v>0</v>
      </c>
      <c r="F16" s="1"/>
      <c r="G16" s="28" t="str">
        <f>IFERROR(VLOOKUP(F16,Tabela7[[RECURSO]:[CUSTO]],2,FALSE),"")</f>
        <v/>
      </c>
      <c r="H16" s="92"/>
      <c r="I16" s="90"/>
      <c r="J16" s="45">
        <f>IFERROR(VLOOKUP(F16,Tabela7[[RECURSO]:[CUSTO]],3,FALSE),0)</f>
        <v>0</v>
      </c>
      <c r="K16" s="45">
        <f>I16*J16*CPU_28[[#This Row],[Nº]]</f>
        <v>0</v>
      </c>
      <c r="M16" s="31"/>
      <c r="N16" s="297"/>
      <c r="O16" s="60">
        <f t="shared" si="15"/>
        <v>0</v>
      </c>
      <c r="AD16" s="144" t="str">
        <f t="shared" si="3"/>
        <v>Reservatorio</v>
      </c>
      <c r="AE16" s="179"/>
      <c r="AF16" s="180">
        <f t="shared" si="16"/>
        <v>0</v>
      </c>
      <c r="AG16" s="180">
        <f t="shared" si="17"/>
        <v>0</v>
      </c>
      <c r="AH16" s="181">
        <f t="shared" si="18"/>
        <v>0</v>
      </c>
      <c r="AI16" s="182"/>
      <c r="AJ16" s="90"/>
      <c r="AK16" s="90"/>
      <c r="AL16" s="183">
        <f t="shared" si="19"/>
        <v>0</v>
      </c>
      <c r="AM16" s="182"/>
      <c r="AN16" s="90"/>
      <c r="AO16" s="90"/>
      <c r="AP16" s="183">
        <f t="shared" si="4"/>
        <v>0</v>
      </c>
      <c r="AQ16" s="182"/>
      <c r="AR16" s="90"/>
      <c r="AS16" s="90"/>
      <c r="AT16" s="183">
        <f t="shared" si="5"/>
        <v>0</v>
      </c>
      <c r="AU16" s="182"/>
      <c r="AV16" s="90"/>
      <c r="AW16" s="90"/>
      <c r="AX16" s="183">
        <f t="shared" si="6"/>
        <v>0</v>
      </c>
      <c r="AY16" s="182"/>
      <c r="AZ16" s="90"/>
      <c r="BA16" s="90"/>
      <c r="BB16" s="183">
        <f t="shared" si="7"/>
        <v>0</v>
      </c>
      <c r="BC16" s="182"/>
      <c r="BD16" s="90"/>
      <c r="BE16" s="90"/>
      <c r="BF16" s="183">
        <f t="shared" si="8"/>
        <v>0</v>
      </c>
      <c r="BG16" s="182"/>
      <c r="BH16" s="90"/>
      <c r="BI16" s="90"/>
      <c r="BJ16" s="183">
        <f t="shared" si="9"/>
        <v>0</v>
      </c>
      <c r="BK16" s="182"/>
      <c r="BL16" s="90"/>
      <c r="BM16" s="90"/>
      <c r="BN16" s="183">
        <f t="shared" si="10"/>
        <v>0</v>
      </c>
      <c r="BO16" s="182"/>
      <c r="BP16" s="90"/>
      <c r="BQ16" s="90"/>
      <c r="BR16" s="183">
        <f t="shared" si="11"/>
        <v>0</v>
      </c>
      <c r="BS16" s="182"/>
      <c r="BT16" s="90"/>
      <c r="BU16" s="90"/>
      <c r="BV16" s="183">
        <f t="shared" si="12"/>
        <v>0</v>
      </c>
      <c r="BW16" s="182"/>
      <c r="BX16" s="90"/>
      <c r="BY16" s="90"/>
      <c r="BZ16" s="183">
        <f t="shared" si="13"/>
        <v>0</v>
      </c>
      <c r="CA16" s="182"/>
      <c r="CB16" s="90"/>
      <c r="CC16" s="90"/>
      <c r="CD16" s="183">
        <f t="shared" si="14"/>
        <v>0</v>
      </c>
    </row>
    <row r="17" spans="2:82" x14ac:dyDescent="0.3">
      <c r="B17" s="53"/>
      <c r="C17" s="53" t="str">
        <f t="shared" si="0"/>
        <v>CPU_Reservatorio</v>
      </c>
      <c r="D17" s="278">
        <f t="shared" si="1"/>
        <v>0.2</v>
      </c>
      <c r="E17" s="278">
        <f t="shared" si="2"/>
        <v>0</v>
      </c>
      <c r="F17" s="1"/>
      <c r="G17" s="28" t="str">
        <f>IFERROR(VLOOKUP(F17,Tabela7[[RECURSO]:[CUSTO]],2,FALSE),"")</f>
        <v/>
      </c>
      <c r="H17" s="92"/>
      <c r="I17" s="90"/>
      <c r="J17" s="45">
        <f>IFERROR(VLOOKUP(F17,Tabela7[[RECURSO]:[CUSTO]],3,FALSE),0)</f>
        <v>0</v>
      </c>
      <c r="K17" s="45">
        <f>I17*J17*CPU_28[[#This Row],[Nº]]</f>
        <v>0</v>
      </c>
      <c r="M17" s="31"/>
      <c r="N17" s="297"/>
      <c r="O17" s="60">
        <f t="shared" si="15"/>
        <v>0</v>
      </c>
      <c r="AD17" s="144" t="str">
        <f t="shared" si="3"/>
        <v>Reservatorio</v>
      </c>
      <c r="AE17" s="179"/>
      <c r="AF17" s="180">
        <f t="shared" si="16"/>
        <v>0</v>
      </c>
      <c r="AG17" s="180">
        <f t="shared" si="17"/>
        <v>0</v>
      </c>
      <c r="AH17" s="181">
        <f t="shared" si="18"/>
        <v>0</v>
      </c>
      <c r="AI17" s="182"/>
      <c r="AJ17" s="90"/>
      <c r="AK17" s="90"/>
      <c r="AL17" s="183">
        <f t="shared" si="19"/>
        <v>0</v>
      </c>
      <c r="AM17" s="182"/>
      <c r="AN17" s="90"/>
      <c r="AO17" s="90"/>
      <c r="AP17" s="183">
        <f t="shared" si="4"/>
        <v>0</v>
      </c>
      <c r="AQ17" s="182"/>
      <c r="AR17" s="90"/>
      <c r="AS17" s="90"/>
      <c r="AT17" s="183">
        <f t="shared" si="5"/>
        <v>0</v>
      </c>
      <c r="AU17" s="182"/>
      <c r="AV17" s="90"/>
      <c r="AW17" s="90"/>
      <c r="AX17" s="183">
        <f t="shared" si="6"/>
        <v>0</v>
      </c>
      <c r="AY17" s="182"/>
      <c r="AZ17" s="90"/>
      <c r="BA17" s="90"/>
      <c r="BB17" s="183">
        <f t="shared" si="7"/>
        <v>0</v>
      </c>
      <c r="BC17" s="182"/>
      <c r="BD17" s="90"/>
      <c r="BE17" s="90"/>
      <c r="BF17" s="183">
        <f t="shared" si="8"/>
        <v>0</v>
      </c>
      <c r="BG17" s="182"/>
      <c r="BH17" s="90"/>
      <c r="BI17" s="90"/>
      <c r="BJ17" s="183">
        <f t="shared" si="9"/>
        <v>0</v>
      </c>
      <c r="BK17" s="182"/>
      <c r="BL17" s="90"/>
      <c r="BM17" s="90"/>
      <c r="BN17" s="183">
        <f t="shared" si="10"/>
        <v>0</v>
      </c>
      <c r="BO17" s="182"/>
      <c r="BP17" s="90"/>
      <c r="BQ17" s="90"/>
      <c r="BR17" s="183">
        <f t="shared" si="11"/>
        <v>0</v>
      </c>
      <c r="BS17" s="182"/>
      <c r="BT17" s="90"/>
      <c r="BU17" s="90"/>
      <c r="BV17" s="183">
        <f t="shared" si="12"/>
        <v>0</v>
      </c>
      <c r="BW17" s="182"/>
      <c r="BX17" s="90"/>
      <c r="BY17" s="90"/>
      <c r="BZ17" s="183">
        <f t="shared" si="13"/>
        <v>0</v>
      </c>
      <c r="CA17" s="182"/>
      <c r="CB17" s="90"/>
      <c r="CC17" s="90"/>
      <c r="CD17" s="183">
        <f t="shared" si="14"/>
        <v>0</v>
      </c>
    </row>
    <row r="18" spans="2:82" x14ac:dyDescent="0.3">
      <c r="B18" s="53"/>
      <c r="C18" s="53" t="str">
        <f t="shared" si="0"/>
        <v>CPU_Reservatorio</v>
      </c>
      <c r="D18" s="278">
        <f t="shared" si="1"/>
        <v>0.2</v>
      </c>
      <c r="E18" s="278">
        <f t="shared" si="2"/>
        <v>0</v>
      </c>
      <c r="F18" s="1"/>
      <c r="G18" s="28" t="str">
        <f>IFERROR(VLOOKUP(F18,Tabela7[[RECURSO]:[CUSTO]],2,FALSE),"")</f>
        <v/>
      </c>
      <c r="H18" s="92"/>
      <c r="I18" s="90"/>
      <c r="J18" s="45">
        <f>IFERROR(VLOOKUP(F18,Tabela7[[RECURSO]:[CUSTO]],3,FALSE),0)</f>
        <v>0</v>
      </c>
      <c r="K18" s="45">
        <f>I18*J18*CPU_28[[#This Row],[Nº]]</f>
        <v>0</v>
      </c>
      <c r="M18" s="31"/>
      <c r="N18" s="297"/>
      <c r="O18" s="60">
        <f t="shared" si="15"/>
        <v>0</v>
      </c>
      <c r="AD18" s="144" t="str">
        <f t="shared" si="3"/>
        <v>Reservatorio</v>
      </c>
      <c r="AE18" s="179"/>
      <c r="AF18" s="180">
        <f t="shared" si="16"/>
        <v>0</v>
      </c>
      <c r="AG18" s="180">
        <f t="shared" si="17"/>
        <v>0</v>
      </c>
      <c r="AH18" s="181">
        <f t="shared" si="18"/>
        <v>0</v>
      </c>
      <c r="AI18" s="182"/>
      <c r="AJ18" s="90"/>
      <c r="AK18" s="90"/>
      <c r="AL18" s="183">
        <f t="shared" si="19"/>
        <v>0</v>
      </c>
      <c r="AM18" s="182"/>
      <c r="AN18" s="90"/>
      <c r="AO18" s="90"/>
      <c r="AP18" s="183">
        <f t="shared" si="4"/>
        <v>0</v>
      </c>
      <c r="AQ18" s="182"/>
      <c r="AR18" s="90"/>
      <c r="AS18" s="90"/>
      <c r="AT18" s="183">
        <f t="shared" si="5"/>
        <v>0</v>
      </c>
      <c r="AU18" s="182"/>
      <c r="AV18" s="90"/>
      <c r="AW18" s="90"/>
      <c r="AX18" s="183">
        <f t="shared" si="6"/>
        <v>0</v>
      </c>
      <c r="AY18" s="182"/>
      <c r="AZ18" s="90"/>
      <c r="BA18" s="90"/>
      <c r="BB18" s="183">
        <f t="shared" si="7"/>
        <v>0</v>
      </c>
      <c r="BC18" s="182"/>
      <c r="BD18" s="90"/>
      <c r="BE18" s="90"/>
      <c r="BF18" s="183">
        <f t="shared" si="8"/>
        <v>0</v>
      </c>
      <c r="BG18" s="182"/>
      <c r="BH18" s="90"/>
      <c r="BI18" s="90"/>
      <c r="BJ18" s="183">
        <f t="shared" si="9"/>
        <v>0</v>
      </c>
      <c r="BK18" s="182"/>
      <c r="BL18" s="90"/>
      <c r="BM18" s="90"/>
      <c r="BN18" s="183">
        <f t="shared" si="10"/>
        <v>0</v>
      </c>
      <c r="BO18" s="182"/>
      <c r="BP18" s="90"/>
      <c r="BQ18" s="90"/>
      <c r="BR18" s="183">
        <f t="shared" si="11"/>
        <v>0</v>
      </c>
      <c r="BS18" s="182"/>
      <c r="BT18" s="90"/>
      <c r="BU18" s="90"/>
      <c r="BV18" s="183">
        <f t="shared" si="12"/>
        <v>0</v>
      </c>
      <c r="BW18" s="182"/>
      <c r="BX18" s="90"/>
      <c r="BY18" s="90"/>
      <c r="BZ18" s="183">
        <f t="shared" si="13"/>
        <v>0</v>
      </c>
      <c r="CA18" s="182"/>
      <c r="CB18" s="90"/>
      <c r="CC18" s="90"/>
      <c r="CD18" s="183">
        <f t="shared" si="14"/>
        <v>0</v>
      </c>
    </row>
    <row r="19" spans="2:82" x14ac:dyDescent="0.3">
      <c r="B19" s="53"/>
      <c r="C19" s="53" t="str">
        <f t="shared" si="0"/>
        <v>CPU_Reservatorio</v>
      </c>
      <c r="D19" s="278">
        <f t="shared" si="1"/>
        <v>0.2</v>
      </c>
      <c r="E19" s="278">
        <f t="shared" si="2"/>
        <v>0</v>
      </c>
      <c r="F19" s="1"/>
      <c r="G19" s="28" t="str">
        <f>IFERROR(VLOOKUP(F19,Tabela7[[RECURSO]:[CUSTO]],2,FALSE),"")</f>
        <v/>
      </c>
      <c r="H19" s="92"/>
      <c r="I19" s="90"/>
      <c r="J19" s="45">
        <f>IFERROR(VLOOKUP(F19,Tabela7[[RECURSO]:[CUSTO]],3,FALSE),0)</f>
        <v>0</v>
      </c>
      <c r="K19" s="45">
        <f>I19*J19*CPU_28[[#This Row],[Nº]]</f>
        <v>0</v>
      </c>
      <c r="M19" s="31"/>
      <c r="N19" s="297"/>
      <c r="O19" s="60">
        <f t="shared" si="15"/>
        <v>0</v>
      </c>
      <c r="AD19" s="144" t="str">
        <f t="shared" si="3"/>
        <v>Reservatorio</v>
      </c>
      <c r="AE19" s="179"/>
      <c r="AF19" s="180">
        <f t="shared" si="16"/>
        <v>0</v>
      </c>
      <c r="AG19" s="180">
        <f t="shared" si="17"/>
        <v>0</v>
      </c>
      <c r="AH19" s="181">
        <f t="shared" si="18"/>
        <v>0</v>
      </c>
      <c r="AI19" s="182"/>
      <c r="AJ19" s="90"/>
      <c r="AK19" s="90"/>
      <c r="AL19" s="183">
        <f t="shared" si="19"/>
        <v>0</v>
      </c>
      <c r="AM19" s="182"/>
      <c r="AN19" s="90"/>
      <c r="AO19" s="90"/>
      <c r="AP19" s="183">
        <f t="shared" si="4"/>
        <v>0</v>
      </c>
      <c r="AQ19" s="182"/>
      <c r="AR19" s="90"/>
      <c r="AS19" s="90"/>
      <c r="AT19" s="183">
        <f t="shared" si="5"/>
        <v>0</v>
      </c>
      <c r="AU19" s="182"/>
      <c r="AV19" s="90"/>
      <c r="AW19" s="90"/>
      <c r="AX19" s="183">
        <f t="shared" si="6"/>
        <v>0</v>
      </c>
      <c r="AY19" s="182"/>
      <c r="AZ19" s="90"/>
      <c r="BA19" s="90"/>
      <c r="BB19" s="183">
        <f t="shared" si="7"/>
        <v>0</v>
      </c>
      <c r="BC19" s="182"/>
      <c r="BD19" s="90"/>
      <c r="BE19" s="90"/>
      <c r="BF19" s="183">
        <f t="shared" si="8"/>
        <v>0</v>
      </c>
      <c r="BG19" s="182"/>
      <c r="BH19" s="90"/>
      <c r="BI19" s="90"/>
      <c r="BJ19" s="183">
        <f t="shared" si="9"/>
        <v>0</v>
      </c>
      <c r="BK19" s="182"/>
      <c r="BL19" s="90"/>
      <c r="BM19" s="90"/>
      <c r="BN19" s="183">
        <f t="shared" si="10"/>
        <v>0</v>
      </c>
      <c r="BO19" s="182"/>
      <c r="BP19" s="90"/>
      <c r="BQ19" s="90"/>
      <c r="BR19" s="183">
        <f t="shared" si="11"/>
        <v>0</v>
      </c>
      <c r="BS19" s="182"/>
      <c r="BT19" s="90"/>
      <c r="BU19" s="90"/>
      <c r="BV19" s="183">
        <f t="shared" si="12"/>
        <v>0</v>
      </c>
      <c r="BW19" s="182"/>
      <c r="BX19" s="90"/>
      <c r="BY19" s="90"/>
      <c r="BZ19" s="183">
        <f t="shared" si="13"/>
        <v>0</v>
      </c>
      <c r="CA19" s="182"/>
      <c r="CB19" s="90"/>
      <c r="CC19" s="90"/>
      <c r="CD19" s="183">
        <f t="shared" si="14"/>
        <v>0</v>
      </c>
    </row>
    <row r="20" spans="2:82" x14ac:dyDescent="0.3">
      <c r="B20" s="53"/>
      <c r="C20" s="53" t="str">
        <f t="shared" si="0"/>
        <v>CPU_Reservatorio</v>
      </c>
      <c r="D20" s="278">
        <f t="shared" si="1"/>
        <v>0.2</v>
      </c>
      <c r="E20" s="278">
        <f t="shared" si="2"/>
        <v>0</v>
      </c>
      <c r="F20" s="1"/>
      <c r="G20" s="28" t="str">
        <f>IFERROR(VLOOKUP(F20,Tabela7[[RECURSO]:[CUSTO]],2,FALSE),"")</f>
        <v/>
      </c>
      <c r="H20" s="92"/>
      <c r="I20" s="90"/>
      <c r="J20" s="45">
        <f>IFERROR(VLOOKUP(F20,Tabela7[[RECURSO]:[CUSTO]],3,FALSE),0)</f>
        <v>0</v>
      </c>
      <c r="K20" s="45">
        <f>I20*J20*CPU_28[[#This Row],[Nº]]</f>
        <v>0</v>
      </c>
      <c r="M20" s="31"/>
      <c r="N20" s="297"/>
      <c r="O20" s="60">
        <f t="shared" si="15"/>
        <v>0</v>
      </c>
      <c r="AD20" s="144" t="str">
        <f t="shared" si="3"/>
        <v>Reservatorio</v>
      </c>
      <c r="AE20" s="179"/>
      <c r="AF20" s="180">
        <f t="shared" si="16"/>
        <v>0</v>
      </c>
      <c r="AG20" s="180">
        <f t="shared" si="17"/>
        <v>0</v>
      </c>
      <c r="AH20" s="181">
        <f t="shared" si="18"/>
        <v>0</v>
      </c>
      <c r="AI20" s="182"/>
      <c r="AJ20" s="90"/>
      <c r="AK20" s="90"/>
      <c r="AL20" s="183">
        <f t="shared" si="19"/>
        <v>0</v>
      </c>
      <c r="AM20" s="182"/>
      <c r="AN20" s="90"/>
      <c r="AO20" s="90"/>
      <c r="AP20" s="183">
        <f t="shared" si="4"/>
        <v>0</v>
      </c>
      <c r="AQ20" s="182"/>
      <c r="AR20" s="90"/>
      <c r="AS20" s="90"/>
      <c r="AT20" s="183">
        <f t="shared" si="5"/>
        <v>0</v>
      </c>
      <c r="AU20" s="182"/>
      <c r="AV20" s="90"/>
      <c r="AW20" s="90"/>
      <c r="AX20" s="183">
        <f t="shared" si="6"/>
        <v>0</v>
      </c>
      <c r="AY20" s="182"/>
      <c r="AZ20" s="90"/>
      <c r="BA20" s="90"/>
      <c r="BB20" s="183">
        <f t="shared" si="7"/>
        <v>0</v>
      </c>
      <c r="BC20" s="182"/>
      <c r="BD20" s="90"/>
      <c r="BE20" s="90"/>
      <c r="BF20" s="183">
        <f t="shared" si="8"/>
        <v>0</v>
      </c>
      <c r="BG20" s="182"/>
      <c r="BH20" s="90"/>
      <c r="BI20" s="90"/>
      <c r="BJ20" s="183">
        <f t="shared" si="9"/>
        <v>0</v>
      </c>
      <c r="BK20" s="182"/>
      <c r="BL20" s="90"/>
      <c r="BM20" s="90"/>
      <c r="BN20" s="183">
        <f t="shared" si="10"/>
        <v>0</v>
      </c>
      <c r="BO20" s="182"/>
      <c r="BP20" s="90"/>
      <c r="BQ20" s="90"/>
      <c r="BR20" s="183">
        <f t="shared" si="11"/>
        <v>0</v>
      </c>
      <c r="BS20" s="182"/>
      <c r="BT20" s="90"/>
      <c r="BU20" s="90"/>
      <c r="BV20" s="183">
        <f t="shared" si="12"/>
        <v>0</v>
      </c>
      <c r="BW20" s="182"/>
      <c r="BX20" s="90"/>
      <c r="BY20" s="90"/>
      <c r="BZ20" s="183">
        <f t="shared" si="13"/>
        <v>0</v>
      </c>
      <c r="CA20" s="182"/>
      <c r="CB20" s="90"/>
      <c r="CC20" s="90"/>
      <c r="CD20" s="183">
        <f t="shared" si="14"/>
        <v>0</v>
      </c>
    </row>
    <row r="21" spans="2:82" x14ac:dyDescent="0.3">
      <c r="B21" s="53"/>
      <c r="C21" s="53" t="str">
        <f t="shared" si="0"/>
        <v>CPU_Reservatorio</v>
      </c>
      <c r="D21" s="278">
        <f t="shared" si="1"/>
        <v>0.2</v>
      </c>
      <c r="E21" s="278">
        <f t="shared" si="2"/>
        <v>0</v>
      </c>
      <c r="F21" s="1"/>
      <c r="G21" s="28" t="str">
        <f>IFERROR(VLOOKUP(F21,Tabela7[[RECURSO]:[CUSTO]],2,FALSE),"")</f>
        <v/>
      </c>
      <c r="H21" s="92"/>
      <c r="I21" s="90"/>
      <c r="J21" s="45">
        <f>IFERROR(VLOOKUP(F21,Tabela7[[RECURSO]:[CUSTO]],3,FALSE),0)</f>
        <v>0</v>
      </c>
      <c r="K21" s="45">
        <f>I21*J21*CPU_28[[#This Row],[Nº]]</f>
        <v>0</v>
      </c>
      <c r="M21" s="31"/>
      <c r="N21" s="297"/>
      <c r="O21" s="60">
        <f t="shared" si="15"/>
        <v>0</v>
      </c>
      <c r="AD21" s="144" t="str">
        <f t="shared" si="3"/>
        <v>Reservatorio</v>
      </c>
      <c r="AE21" s="179"/>
      <c r="AF21" s="180">
        <f t="shared" si="16"/>
        <v>0</v>
      </c>
      <c r="AG21" s="180">
        <f t="shared" si="17"/>
        <v>0</v>
      </c>
      <c r="AH21" s="181">
        <f t="shared" si="18"/>
        <v>0</v>
      </c>
      <c r="AI21" s="182"/>
      <c r="AJ21" s="90"/>
      <c r="AK21" s="90"/>
      <c r="AL21" s="183">
        <f t="shared" si="19"/>
        <v>0</v>
      </c>
      <c r="AM21" s="182"/>
      <c r="AN21" s="90"/>
      <c r="AO21" s="90"/>
      <c r="AP21" s="183">
        <f t="shared" si="4"/>
        <v>0</v>
      </c>
      <c r="AQ21" s="182"/>
      <c r="AR21" s="90"/>
      <c r="AS21" s="90"/>
      <c r="AT21" s="183">
        <f t="shared" si="5"/>
        <v>0</v>
      </c>
      <c r="AU21" s="182"/>
      <c r="AV21" s="90"/>
      <c r="AW21" s="90"/>
      <c r="AX21" s="183">
        <f t="shared" si="6"/>
        <v>0</v>
      </c>
      <c r="AY21" s="182"/>
      <c r="AZ21" s="90"/>
      <c r="BA21" s="90"/>
      <c r="BB21" s="183">
        <f t="shared" si="7"/>
        <v>0</v>
      </c>
      <c r="BC21" s="182"/>
      <c r="BD21" s="90"/>
      <c r="BE21" s="90"/>
      <c r="BF21" s="183">
        <f t="shared" si="8"/>
        <v>0</v>
      </c>
      <c r="BG21" s="182"/>
      <c r="BH21" s="90"/>
      <c r="BI21" s="90"/>
      <c r="BJ21" s="183">
        <f t="shared" si="9"/>
        <v>0</v>
      </c>
      <c r="BK21" s="182"/>
      <c r="BL21" s="90"/>
      <c r="BM21" s="90"/>
      <c r="BN21" s="183">
        <f t="shared" si="10"/>
        <v>0</v>
      </c>
      <c r="BO21" s="182"/>
      <c r="BP21" s="90"/>
      <c r="BQ21" s="90"/>
      <c r="BR21" s="183">
        <f t="shared" si="11"/>
        <v>0</v>
      </c>
      <c r="BS21" s="182"/>
      <c r="BT21" s="90"/>
      <c r="BU21" s="90"/>
      <c r="BV21" s="183">
        <f t="shared" si="12"/>
        <v>0</v>
      </c>
      <c r="BW21" s="182"/>
      <c r="BX21" s="90"/>
      <c r="BY21" s="90"/>
      <c r="BZ21" s="183">
        <f t="shared" si="13"/>
        <v>0</v>
      </c>
      <c r="CA21" s="182"/>
      <c r="CB21" s="90"/>
      <c r="CC21" s="90"/>
      <c r="CD21" s="183">
        <f t="shared" si="14"/>
        <v>0</v>
      </c>
    </row>
    <row r="22" spans="2:82" x14ac:dyDescent="0.3">
      <c r="B22" s="53"/>
      <c r="C22" s="53" t="str">
        <f t="shared" si="0"/>
        <v>CPU_Reservatorio</v>
      </c>
      <c r="D22" s="278">
        <f t="shared" si="1"/>
        <v>0.2</v>
      </c>
      <c r="E22" s="278">
        <f t="shared" si="2"/>
        <v>0</v>
      </c>
      <c r="F22" s="1"/>
      <c r="G22" s="28" t="str">
        <f>IFERROR(VLOOKUP(F22,Tabela7[[RECURSO]:[CUSTO]],2,FALSE),"")</f>
        <v/>
      </c>
      <c r="H22" s="92"/>
      <c r="I22" s="90"/>
      <c r="J22" s="45">
        <f>IFERROR(VLOOKUP(F22,Tabela7[[RECURSO]:[CUSTO]],3,FALSE),0)</f>
        <v>0</v>
      </c>
      <c r="K22" s="45">
        <f>I22*J22*CPU_28[[#This Row],[Nº]]</f>
        <v>0</v>
      </c>
      <c r="M22" s="31"/>
      <c r="N22" s="297"/>
      <c r="O22" s="60">
        <f t="shared" si="15"/>
        <v>0</v>
      </c>
      <c r="AD22" s="144" t="str">
        <f t="shared" si="3"/>
        <v>Reservatorio</v>
      </c>
      <c r="AE22" s="179"/>
      <c r="AF22" s="180">
        <f t="shared" si="16"/>
        <v>0</v>
      </c>
      <c r="AG22" s="180">
        <f t="shared" si="17"/>
        <v>0</v>
      </c>
      <c r="AH22" s="181">
        <f t="shared" si="18"/>
        <v>0</v>
      </c>
      <c r="AI22" s="182"/>
      <c r="AJ22" s="90"/>
      <c r="AK22" s="90"/>
      <c r="AL22" s="183">
        <f t="shared" si="19"/>
        <v>0</v>
      </c>
      <c r="AM22" s="182"/>
      <c r="AN22" s="90"/>
      <c r="AO22" s="90"/>
      <c r="AP22" s="183">
        <f t="shared" si="4"/>
        <v>0</v>
      </c>
      <c r="AQ22" s="182"/>
      <c r="AR22" s="90"/>
      <c r="AS22" s="90"/>
      <c r="AT22" s="183">
        <f t="shared" si="5"/>
        <v>0</v>
      </c>
      <c r="AU22" s="182"/>
      <c r="AV22" s="90"/>
      <c r="AW22" s="90"/>
      <c r="AX22" s="183">
        <f t="shared" si="6"/>
        <v>0</v>
      </c>
      <c r="AY22" s="182"/>
      <c r="AZ22" s="90"/>
      <c r="BA22" s="90"/>
      <c r="BB22" s="183">
        <f t="shared" si="7"/>
        <v>0</v>
      </c>
      <c r="BC22" s="182"/>
      <c r="BD22" s="90"/>
      <c r="BE22" s="90"/>
      <c r="BF22" s="183">
        <f t="shared" si="8"/>
        <v>0</v>
      </c>
      <c r="BG22" s="182"/>
      <c r="BH22" s="90"/>
      <c r="BI22" s="90"/>
      <c r="BJ22" s="183">
        <f t="shared" si="9"/>
        <v>0</v>
      </c>
      <c r="BK22" s="182"/>
      <c r="BL22" s="90"/>
      <c r="BM22" s="90"/>
      <c r="BN22" s="183">
        <f t="shared" si="10"/>
        <v>0</v>
      </c>
      <c r="BO22" s="182"/>
      <c r="BP22" s="90"/>
      <c r="BQ22" s="90"/>
      <c r="BR22" s="183">
        <f t="shared" si="11"/>
        <v>0</v>
      </c>
      <c r="BS22" s="182"/>
      <c r="BT22" s="90"/>
      <c r="BU22" s="90"/>
      <c r="BV22" s="183">
        <f t="shared" si="12"/>
        <v>0</v>
      </c>
      <c r="BW22" s="182"/>
      <c r="BX22" s="90"/>
      <c r="BY22" s="90"/>
      <c r="BZ22" s="183">
        <f t="shared" si="13"/>
        <v>0</v>
      </c>
      <c r="CA22" s="182"/>
      <c r="CB22" s="90"/>
      <c r="CC22" s="90"/>
      <c r="CD22" s="183">
        <f t="shared" si="14"/>
        <v>0</v>
      </c>
    </row>
    <row r="23" spans="2:82" ht="15" thickBot="1" x14ac:dyDescent="0.35">
      <c r="B23" s="53"/>
      <c r="C23" s="53" t="str">
        <f t="shared" si="0"/>
        <v>CPU_Reservatorio</v>
      </c>
      <c r="D23" s="278">
        <f t="shared" si="1"/>
        <v>0.2</v>
      </c>
      <c r="E23" s="278">
        <f t="shared" si="2"/>
        <v>0</v>
      </c>
      <c r="F23" s="1"/>
      <c r="G23" s="28" t="str">
        <f>IFERROR(VLOOKUP(F23,Tabela7[[RECURSO]:[CUSTO]],2,FALSE),"")</f>
        <v/>
      </c>
      <c r="H23" s="92"/>
      <c r="I23" s="90"/>
      <c r="J23" s="45">
        <f>IFERROR(VLOOKUP(F23,Tabela7[[RECURSO]:[CUSTO]],3,FALSE),0)</f>
        <v>0</v>
      </c>
      <c r="K23" s="45">
        <f>I23*J23*CPU_28[[#This Row],[Nº]]</f>
        <v>0</v>
      </c>
      <c r="M23" s="51"/>
      <c r="N23" s="298"/>
      <c r="O23" s="61">
        <f t="shared" si="15"/>
        <v>0</v>
      </c>
      <c r="AD23" s="144" t="str">
        <f t="shared" si="3"/>
        <v>Reservatorio</v>
      </c>
      <c r="AE23" s="179"/>
      <c r="AF23" s="180">
        <f t="shared" si="16"/>
        <v>0</v>
      </c>
      <c r="AG23" s="180">
        <f t="shared" si="17"/>
        <v>0</v>
      </c>
      <c r="AH23" s="181">
        <f t="shared" si="18"/>
        <v>0</v>
      </c>
      <c r="AI23" s="182"/>
      <c r="AJ23" s="90"/>
      <c r="AK23" s="90"/>
      <c r="AL23" s="183">
        <f t="shared" si="19"/>
        <v>0</v>
      </c>
      <c r="AM23" s="182"/>
      <c r="AN23" s="90"/>
      <c r="AO23" s="90"/>
      <c r="AP23" s="183">
        <f t="shared" si="4"/>
        <v>0</v>
      </c>
      <c r="AQ23" s="182"/>
      <c r="AR23" s="90"/>
      <c r="AS23" s="90"/>
      <c r="AT23" s="183">
        <f t="shared" si="5"/>
        <v>0</v>
      </c>
      <c r="AU23" s="182"/>
      <c r="AV23" s="90"/>
      <c r="AW23" s="90"/>
      <c r="AX23" s="183">
        <f t="shared" si="6"/>
        <v>0</v>
      </c>
      <c r="AY23" s="182"/>
      <c r="AZ23" s="90"/>
      <c r="BA23" s="90"/>
      <c r="BB23" s="183">
        <f t="shared" si="7"/>
        <v>0</v>
      </c>
      <c r="BC23" s="182"/>
      <c r="BD23" s="90"/>
      <c r="BE23" s="90"/>
      <c r="BF23" s="183">
        <f t="shared" si="8"/>
        <v>0</v>
      </c>
      <c r="BG23" s="182"/>
      <c r="BH23" s="90"/>
      <c r="BI23" s="90"/>
      <c r="BJ23" s="183">
        <f t="shared" si="9"/>
        <v>0</v>
      </c>
      <c r="BK23" s="182"/>
      <c r="BL23" s="90"/>
      <c r="BM23" s="90"/>
      <c r="BN23" s="183">
        <f t="shared" si="10"/>
        <v>0</v>
      </c>
      <c r="BO23" s="182"/>
      <c r="BP23" s="90"/>
      <c r="BQ23" s="90"/>
      <c r="BR23" s="183">
        <f t="shared" si="11"/>
        <v>0</v>
      </c>
      <c r="BS23" s="182"/>
      <c r="BT23" s="90"/>
      <c r="BU23" s="90"/>
      <c r="BV23" s="183">
        <f t="shared" si="12"/>
        <v>0</v>
      </c>
      <c r="BW23" s="182"/>
      <c r="BX23" s="90"/>
      <c r="BY23" s="90"/>
      <c r="BZ23" s="183">
        <f t="shared" si="13"/>
        <v>0</v>
      </c>
      <c r="CA23" s="182"/>
      <c r="CB23" s="90"/>
      <c r="CC23" s="90"/>
      <c r="CD23" s="183">
        <f t="shared" si="14"/>
        <v>0</v>
      </c>
    </row>
    <row r="24" spans="2:82" x14ac:dyDescent="0.3">
      <c r="B24" s="52" t="s">
        <v>686</v>
      </c>
      <c r="C24" s="52" t="str">
        <f t="shared" si="0"/>
        <v>CPU_Reservatorio</v>
      </c>
      <c r="D24" s="277">
        <f t="shared" si="1"/>
        <v>0.2</v>
      </c>
      <c r="E24" s="277">
        <f t="shared" si="2"/>
        <v>0</v>
      </c>
      <c r="F24" s="37"/>
      <c r="G24" s="38"/>
      <c r="H24" s="91"/>
      <c r="I24" s="40"/>
      <c r="J24" s="40">
        <f>IFERROR(K24/$B$6,0)</f>
        <v>0</v>
      </c>
      <c r="K24" s="40">
        <f>SUM(K25:K36)</f>
        <v>0</v>
      </c>
      <c r="AD24" s="144" t="str">
        <f t="shared" si="3"/>
        <v>Reservatorio</v>
      </c>
      <c r="AE24" s="184"/>
      <c r="AF24" s="40"/>
      <c r="AG24" s="40">
        <f>IFERROR(AH24/AF$3,0)</f>
        <v>0</v>
      </c>
      <c r="AH24" s="185">
        <f>SUM(AH25:AH36)</f>
        <v>0</v>
      </c>
      <c r="AI24" s="184"/>
      <c r="AJ24" s="40"/>
      <c r="AK24" s="40">
        <f>IFERROR(AL24/AJ$3,0)</f>
        <v>0</v>
      </c>
      <c r="AL24" s="185">
        <f>SUM(AL25:AL36)</f>
        <v>0</v>
      </c>
      <c r="AM24" s="184"/>
      <c r="AN24" s="40"/>
      <c r="AO24" s="40">
        <f>IFERROR(AP24/AN$3,0)</f>
        <v>0</v>
      </c>
      <c r="AP24" s="185">
        <f>SUM(AP25:AP36)</f>
        <v>0</v>
      </c>
      <c r="AQ24" s="184"/>
      <c r="AR24" s="40"/>
      <c r="AS24" s="40">
        <f>IFERROR(AT24/AR$3,0)</f>
        <v>0</v>
      </c>
      <c r="AT24" s="185">
        <f>SUM(AT25:AT36)</f>
        <v>0</v>
      </c>
      <c r="AU24" s="184"/>
      <c r="AV24" s="40"/>
      <c r="AW24" s="40">
        <f>IFERROR(AX24/AV$3,0)</f>
        <v>0</v>
      </c>
      <c r="AX24" s="185">
        <f>SUM(AX25:AX36)</f>
        <v>0</v>
      </c>
      <c r="AY24" s="184"/>
      <c r="AZ24" s="40"/>
      <c r="BA24" s="40">
        <f>IFERROR(BB24/AZ$3,0)</f>
        <v>0</v>
      </c>
      <c r="BB24" s="185">
        <f>SUM(BB25:BB36)</f>
        <v>0</v>
      </c>
      <c r="BC24" s="184"/>
      <c r="BD24" s="40"/>
      <c r="BE24" s="40">
        <f>IFERROR(BF24/BD$3,0)</f>
        <v>0</v>
      </c>
      <c r="BF24" s="185">
        <f>SUM(BF25:BF36)</f>
        <v>0</v>
      </c>
      <c r="BG24" s="184"/>
      <c r="BH24" s="40"/>
      <c r="BI24" s="40">
        <f>IFERROR(BJ24/BH$3,0)</f>
        <v>0</v>
      </c>
      <c r="BJ24" s="185">
        <f>SUM(BJ25:BJ36)</f>
        <v>0</v>
      </c>
      <c r="BK24" s="184"/>
      <c r="BL24" s="40"/>
      <c r="BM24" s="40">
        <f>IFERROR(BN24/BL$3,0)</f>
        <v>0</v>
      </c>
      <c r="BN24" s="185">
        <f>SUM(BN25:BN36)</f>
        <v>0</v>
      </c>
      <c r="BO24" s="184"/>
      <c r="BP24" s="40"/>
      <c r="BQ24" s="40">
        <f>IFERROR(BR24/BP$3,0)</f>
        <v>0</v>
      </c>
      <c r="BR24" s="185">
        <f>SUM(BR25:BR36)</f>
        <v>0</v>
      </c>
      <c r="BS24" s="184"/>
      <c r="BT24" s="40"/>
      <c r="BU24" s="40">
        <f>IFERROR(BV24/BT$3,0)</f>
        <v>0</v>
      </c>
      <c r="BV24" s="185">
        <f>SUM(BV25:BV36)</f>
        <v>0</v>
      </c>
      <c r="BW24" s="184"/>
      <c r="BX24" s="40"/>
      <c r="BY24" s="40">
        <f>IFERROR(BZ24/BX$3,0)</f>
        <v>0</v>
      </c>
      <c r="BZ24" s="185">
        <f>SUM(BZ25:BZ36)</f>
        <v>0</v>
      </c>
      <c r="CA24" s="184"/>
      <c r="CB24" s="40"/>
      <c r="CC24" s="40">
        <f>IFERROR(CD24/CB$3,0)</f>
        <v>0</v>
      </c>
      <c r="CD24" s="185">
        <f>SUM(CD25:CD36)</f>
        <v>0</v>
      </c>
    </row>
    <row r="25" spans="2:82" x14ac:dyDescent="0.3">
      <c r="B25" s="53"/>
      <c r="C25" s="53" t="str">
        <f t="shared" si="0"/>
        <v>CPU_Reservatorio</v>
      </c>
      <c r="D25" s="278">
        <f t="shared" si="1"/>
        <v>0.2</v>
      </c>
      <c r="E25" s="278">
        <f t="shared" si="2"/>
        <v>0</v>
      </c>
      <c r="F25" s="1"/>
      <c r="G25" s="28" t="str">
        <f>IFERROR(VLOOKUP(F25,Tabela7[[RECURSO]:[CUSTO]],2,FALSE),"")</f>
        <v/>
      </c>
      <c r="H25" s="93"/>
      <c r="I25" s="90">
        <f>IFERROR(SUMPRODUCT(I12:I23,M12:M23,H12:H23,N12:N23),0)</f>
        <v>0</v>
      </c>
      <c r="J25" s="45">
        <f>IFERROR(VLOOKUP(F25,Tabela7[[RECURSO]:[CUSTO]],3,FALSE),0)</f>
        <v>0</v>
      </c>
      <c r="K25" s="45">
        <f>I25*J25</f>
        <v>0</v>
      </c>
      <c r="AD25" s="144" t="str">
        <f t="shared" si="3"/>
        <v>Reservatorio</v>
      </c>
      <c r="AE25" s="179"/>
      <c r="AF25" s="180">
        <f t="shared" ref="AF25:AF36" si="20">AJ25+AN25+AR25+AV25+AZ25+BD25+BH25+BL25+BP25+BT25+BX25+CB25</f>
        <v>0</v>
      </c>
      <c r="AG25" s="180">
        <f t="shared" si="17"/>
        <v>0</v>
      </c>
      <c r="AH25" s="181">
        <f t="shared" ref="AH25:AH36" si="21">AL25+AP25+AT25+AX25+BB25+BF25+BJ25+BN25+BR25+BV25+BZ25+CD25</f>
        <v>0</v>
      </c>
      <c r="AI25" s="182"/>
      <c r="AJ25" s="90"/>
      <c r="AK25" s="90"/>
      <c r="AL25" s="183">
        <f t="shared" ref="AL25:AL36" si="22">AJ25*AK25</f>
        <v>0</v>
      </c>
      <c r="AM25" s="182"/>
      <c r="AN25" s="90"/>
      <c r="AO25" s="90"/>
      <c r="AP25" s="183">
        <f t="shared" ref="AP25:AP62" si="23">AN25*AO25</f>
        <v>0</v>
      </c>
      <c r="AQ25" s="182"/>
      <c r="AR25" s="90"/>
      <c r="AS25" s="90"/>
      <c r="AT25" s="183">
        <f t="shared" ref="AT25:AT62" si="24">AR25*AS25</f>
        <v>0</v>
      </c>
      <c r="AU25" s="182"/>
      <c r="AV25" s="90"/>
      <c r="AW25" s="90"/>
      <c r="AX25" s="183">
        <f t="shared" ref="AX25:AX62" si="25">AV25*AW25</f>
        <v>0</v>
      </c>
      <c r="AY25" s="182"/>
      <c r="AZ25" s="90"/>
      <c r="BA25" s="90"/>
      <c r="BB25" s="183">
        <f t="shared" ref="BB25:BB62" si="26">AZ25*BA25</f>
        <v>0</v>
      </c>
      <c r="BC25" s="182"/>
      <c r="BD25" s="90"/>
      <c r="BE25" s="90"/>
      <c r="BF25" s="183">
        <f t="shared" ref="BF25:BF62" si="27">BD25*BE25</f>
        <v>0</v>
      </c>
      <c r="BG25" s="182"/>
      <c r="BH25" s="90"/>
      <c r="BI25" s="90"/>
      <c r="BJ25" s="183">
        <f t="shared" ref="BJ25:BJ62" si="28">BH25*BI25</f>
        <v>0</v>
      </c>
      <c r="BK25" s="182"/>
      <c r="BL25" s="90"/>
      <c r="BM25" s="90"/>
      <c r="BN25" s="183">
        <f t="shared" ref="BN25:BN62" si="29">BL25*BM25</f>
        <v>0</v>
      </c>
      <c r="BO25" s="182"/>
      <c r="BP25" s="90"/>
      <c r="BQ25" s="90"/>
      <c r="BR25" s="183">
        <f t="shared" ref="BR25:BR62" si="30">BP25*BQ25</f>
        <v>0</v>
      </c>
      <c r="BS25" s="182"/>
      <c r="BT25" s="90"/>
      <c r="BU25" s="90"/>
      <c r="BV25" s="183">
        <f t="shared" ref="BV25:BV62" si="31">BT25*BU25</f>
        <v>0</v>
      </c>
      <c r="BW25" s="182"/>
      <c r="BX25" s="90"/>
      <c r="BY25" s="90"/>
      <c r="BZ25" s="183">
        <f t="shared" ref="BZ25:BZ62" si="32">BX25*BY25</f>
        <v>0</v>
      </c>
      <c r="CA25" s="182"/>
      <c r="CB25" s="90"/>
      <c r="CC25" s="90"/>
      <c r="CD25" s="183">
        <f t="shared" ref="CD25:CD62" si="33">CB25*CC25</f>
        <v>0</v>
      </c>
    </row>
    <row r="26" spans="2:82" x14ac:dyDescent="0.3">
      <c r="B26" s="53"/>
      <c r="C26" s="53" t="str">
        <f t="shared" si="0"/>
        <v>CPU_Reservatorio</v>
      </c>
      <c r="D26" s="278">
        <f t="shared" si="1"/>
        <v>0.2</v>
      </c>
      <c r="E26" s="278">
        <f t="shared" si="2"/>
        <v>0</v>
      </c>
      <c r="F26" s="1"/>
      <c r="G26" s="28" t="str">
        <f>IFERROR(VLOOKUP(F26,Tabela7[[RECURSO]:[CUSTO]],2,FALSE),"")</f>
        <v/>
      </c>
      <c r="H26" s="93"/>
      <c r="I26" s="90"/>
      <c r="J26" s="45">
        <f>IFERROR(VLOOKUP(F26,Tabela7[[RECURSO]:[CUSTO]],3,FALSE),0)</f>
        <v>0</v>
      </c>
      <c r="K26" s="45">
        <f t="shared" ref="K26:K36" si="34">I26*J26</f>
        <v>0</v>
      </c>
      <c r="AD26" s="144" t="str">
        <f t="shared" si="3"/>
        <v>Reservatorio</v>
      </c>
      <c r="AE26" s="179"/>
      <c r="AF26" s="180">
        <f t="shared" si="20"/>
        <v>0</v>
      </c>
      <c r="AG26" s="180">
        <f t="shared" si="17"/>
        <v>0</v>
      </c>
      <c r="AH26" s="181">
        <f t="shared" si="21"/>
        <v>0</v>
      </c>
      <c r="AI26" s="182"/>
      <c r="AJ26" s="90"/>
      <c r="AK26" s="90"/>
      <c r="AL26" s="183">
        <f t="shared" si="22"/>
        <v>0</v>
      </c>
      <c r="AM26" s="182"/>
      <c r="AN26" s="90"/>
      <c r="AO26" s="90"/>
      <c r="AP26" s="183">
        <f t="shared" si="23"/>
        <v>0</v>
      </c>
      <c r="AQ26" s="182"/>
      <c r="AR26" s="90"/>
      <c r="AS26" s="90"/>
      <c r="AT26" s="183">
        <f t="shared" si="24"/>
        <v>0</v>
      </c>
      <c r="AU26" s="182"/>
      <c r="AV26" s="90"/>
      <c r="AW26" s="90"/>
      <c r="AX26" s="183">
        <f t="shared" si="25"/>
        <v>0</v>
      </c>
      <c r="AY26" s="182"/>
      <c r="AZ26" s="90"/>
      <c r="BA26" s="90"/>
      <c r="BB26" s="183">
        <f t="shared" si="26"/>
        <v>0</v>
      </c>
      <c r="BC26" s="182"/>
      <c r="BD26" s="90"/>
      <c r="BE26" s="90"/>
      <c r="BF26" s="183">
        <f t="shared" si="27"/>
        <v>0</v>
      </c>
      <c r="BG26" s="182"/>
      <c r="BH26" s="90"/>
      <c r="BI26" s="90"/>
      <c r="BJ26" s="183">
        <f t="shared" si="28"/>
        <v>0</v>
      </c>
      <c r="BK26" s="182"/>
      <c r="BL26" s="90"/>
      <c r="BM26" s="90"/>
      <c r="BN26" s="183">
        <f t="shared" si="29"/>
        <v>0</v>
      </c>
      <c r="BO26" s="182"/>
      <c r="BP26" s="90"/>
      <c r="BQ26" s="90"/>
      <c r="BR26" s="183">
        <f t="shared" si="30"/>
        <v>0</v>
      </c>
      <c r="BS26" s="182"/>
      <c r="BT26" s="90"/>
      <c r="BU26" s="90"/>
      <c r="BV26" s="183">
        <f t="shared" si="31"/>
        <v>0</v>
      </c>
      <c r="BW26" s="182"/>
      <c r="BX26" s="90"/>
      <c r="BY26" s="90"/>
      <c r="BZ26" s="183">
        <f t="shared" si="32"/>
        <v>0</v>
      </c>
      <c r="CA26" s="182"/>
      <c r="CB26" s="90"/>
      <c r="CC26" s="90"/>
      <c r="CD26" s="183">
        <f t="shared" si="33"/>
        <v>0</v>
      </c>
    </row>
    <row r="27" spans="2:82" x14ac:dyDescent="0.3">
      <c r="B27" s="53"/>
      <c r="C27" s="53" t="str">
        <f t="shared" si="0"/>
        <v>CPU_Reservatorio</v>
      </c>
      <c r="D27" s="278">
        <f t="shared" si="1"/>
        <v>0.2</v>
      </c>
      <c r="E27" s="278">
        <f t="shared" si="2"/>
        <v>0</v>
      </c>
      <c r="F27" s="1"/>
      <c r="G27" s="28" t="str">
        <f>IFERROR(VLOOKUP(F27,Tabela7[[RECURSO]:[CUSTO]],2,FALSE),"")</f>
        <v/>
      </c>
      <c r="H27" s="93"/>
      <c r="I27" s="90"/>
      <c r="J27" s="45">
        <f>IFERROR(VLOOKUP(F27,Tabela7[[RECURSO]:[CUSTO]],3,FALSE),0)</f>
        <v>0</v>
      </c>
      <c r="K27" s="45">
        <f t="shared" si="34"/>
        <v>0</v>
      </c>
      <c r="AD27" s="144" t="str">
        <f t="shared" si="3"/>
        <v>Reservatorio</v>
      </c>
      <c r="AE27" s="179"/>
      <c r="AF27" s="180">
        <f t="shared" si="20"/>
        <v>0</v>
      </c>
      <c r="AG27" s="180">
        <f t="shared" si="17"/>
        <v>0</v>
      </c>
      <c r="AH27" s="181">
        <f t="shared" si="21"/>
        <v>0</v>
      </c>
      <c r="AI27" s="182"/>
      <c r="AJ27" s="90"/>
      <c r="AK27" s="90"/>
      <c r="AL27" s="183">
        <f t="shared" si="22"/>
        <v>0</v>
      </c>
      <c r="AM27" s="182"/>
      <c r="AN27" s="90"/>
      <c r="AO27" s="90"/>
      <c r="AP27" s="183">
        <f t="shared" si="23"/>
        <v>0</v>
      </c>
      <c r="AQ27" s="182"/>
      <c r="AR27" s="90"/>
      <c r="AS27" s="90"/>
      <c r="AT27" s="183">
        <f t="shared" si="24"/>
        <v>0</v>
      </c>
      <c r="AU27" s="182"/>
      <c r="AV27" s="90"/>
      <c r="AW27" s="90"/>
      <c r="AX27" s="183">
        <f t="shared" si="25"/>
        <v>0</v>
      </c>
      <c r="AY27" s="182"/>
      <c r="AZ27" s="90"/>
      <c r="BA27" s="90"/>
      <c r="BB27" s="183">
        <f t="shared" si="26"/>
        <v>0</v>
      </c>
      <c r="BC27" s="182"/>
      <c r="BD27" s="90"/>
      <c r="BE27" s="90"/>
      <c r="BF27" s="183">
        <f t="shared" si="27"/>
        <v>0</v>
      </c>
      <c r="BG27" s="182"/>
      <c r="BH27" s="90"/>
      <c r="BI27" s="90"/>
      <c r="BJ27" s="183">
        <f t="shared" si="28"/>
        <v>0</v>
      </c>
      <c r="BK27" s="182"/>
      <c r="BL27" s="90"/>
      <c r="BM27" s="90"/>
      <c r="BN27" s="183">
        <f t="shared" si="29"/>
        <v>0</v>
      </c>
      <c r="BO27" s="182"/>
      <c r="BP27" s="90"/>
      <c r="BQ27" s="90"/>
      <c r="BR27" s="183">
        <f t="shared" si="30"/>
        <v>0</v>
      </c>
      <c r="BS27" s="182"/>
      <c r="BT27" s="90"/>
      <c r="BU27" s="90"/>
      <c r="BV27" s="183">
        <f t="shared" si="31"/>
        <v>0</v>
      </c>
      <c r="BW27" s="182"/>
      <c r="BX27" s="90"/>
      <c r="BY27" s="90"/>
      <c r="BZ27" s="183">
        <f t="shared" si="32"/>
        <v>0</v>
      </c>
      <c r="CA27" s="182"/>
      <c r="CB27" s="90"/>
      <c r="CC27" s="90"/>
      <c r="CD27" s="183">
        <f t="shared" si="33"/>
        <v>0</v>
      </c>
    </row>
    <row r="28" spans="2:82" x14ac:dyDescent="0.3">
      <c r="B28" s="53"/>
      <c r="C28" s="53" t="str">
        <f t="shared" si="0"/>
        <v>CPU_Reservatorio</v>
      </c>
      <c r="D28" s="278">
        <f t="shared" si="1"/>
        <v>0.2</v>
      </c>
      <c r="E28" s="278">
        <f t="shared" si="2"/>
        <v>0</v>
      </c>
      <c r="F28" s="1"/>
      <c r="G28" s="28" t="str">
        <f>IFERROR(VLOOKUP(F28,Tabela7[[RECURSO]:[CUSTO]],2,FALSE),"")</f>
        <v/>
      </c>
      <c r="H28" s="93"/>
      <c r="I28" s="90"/>
      <c r="J28" s="45">
        <f>IFERROR(VLOOKUP(F28,Tabela7[[RECURSO]:[CUSTO]],3,FALSE),0)</f>
        <v>0</v>
      </c>
      <c r="K28" s="45">
        <f t="shared" si="34"/>
        <v>0</v>
      </c>
      <c r="AD28" s="144" t="str">
        <f t="shared" si="3"/>
        <v>Reservatorio</v>
      </c>
      <c r="AE28" s="179"/>
      <c r="AF28" s="180">
        <f t="shared" si="20"/>
        <v>0</v>
      </c>
      <c r="AG28" s="180">
        <f t="shared" si="17"/>
        <v>0</v>
      </c>
      <c r="AH28" s="181">
        <f t="shared" si="21"/>
        <v>0</v>
      </c>
      <c r="AI28" s="182"/>
      <c r="AJ28" s="90"/>
      <c r="AK28" s="90"/>
      <c r="AL28" s="183">
        <f t="shared" si="22"/>
        <v>0</v>
      </c>
      <c r="AM28" s="182"/>
      <c r="AN28" s="90"/>
      <c r="AO28" s="90"/>
      <c r="AP28" s="183">
        <f t="shared" si="23"/>
        <v>0</v>
      </c>
      <c r="AQ28" s="182"/>
      <c r="AR28" s="90"/>
      <c r="AS28" s="90"/>
      <c r="AT28" s="183">
        <f t="shared" si="24"/>
        <v>0</v>
      </c>
      <c r="AU28" s="182"/>
      <c r="AV28" s="90"/>
      <c r="AW28" s="90"/>
      <c r="AX28" s="183">
        <f t="shared" si="25"/>
        <v>0</v>
      </c>
      <c r="AY28" s="182"/>
      <c r="AZ28" s="90"/>
      <c r="BA28" s="90"/>
      <c r="BB28" s="183">
        <f t="shared" si="26"/>
        <v>0</v>
      </c>
      <c r="BC28" s="182"/>
      <c r="BD28" s="90"/>
      <c r="BE28" s="90"/>
      <c r="BF28" s="183">
        <f t="shared" si="27"/>
        <v>0</v>
      </c>
      <c r="BG28" s="182"/>
      <c r="BH28" s="90"/>
      <c r="BI28" s="90"/>
      <c r="BJ28" s="183">
        <f t="shared" si="28"/>
        <v>0</v>
      </c>
      <c r="BK28" s="182"/>
      <c r="BL28" s="90"/>
      <c r="BM28" s="90"/>
      <c r="BN28" s="183">
        <f t="shared" si="29"/>
        <v>0</v>
      </c>
      <c r="BO28" s="182"/>
      <c r="BP28" s="90"/>
      <c r="BQ28" s="90"/>
      <c r="BR28" s="183">
        <f t="shared" si="30"/>
        <v>0</v>
      </c>
      <c r="BS28" s="182"/>
      <c r="BT28" s="90"/>
      <c r="BU28" s="90"/>
      <c r="BV28" s="183">
        <f t="shared" si="31"/>
        <v>0</v>
      </c>
      <c r="BW28" s="182"/>
      <c r="BX28" s="90"/>
      <c r="BY28" s="90"/>
      <c r="BZ28" s="183">
        <f t="shared" si="32"/>
        <v>0</v>
      </c>
      <c r="CA28" s="182"/>
      <c r="CB28" s="90"/>
      <c r="CC28" s="90"/>
      <c r="CD28" s="183">
        <f t="shared" si="33"/>
        <v>0</v>
      </c>
    </row>
    <row r="29" spans="2:82" x14ac:dyDescent="0.3">
      <c r="B29" s="53"/>
      <c r="C29" s="53" t="str">
        <f t="shared" si="0"/>
        <v>CPU_Reservatorio</v>
      </c>
      <c r="D29" s="278">
        <f t="shared" si="1"/>
        <v>0.2</v>
      </c>
      <c r="E29" s="278">
        <f t="shared" si="2"/>
        <v>0</v>
      </c>
      <c r="F29" s="1"/>
      <c r="G29" s="28" t="str">
        <f>IFERROR(VLOOKUP(F29,Tabela7[[RECURSO]:[CUSTO]],2,FALSE),"")</f>
        <v/>
      </c>
      <c r="H29" s="93"/>
      <c r="I29" s="90"/>
      <c r="J29" s="45">
        <f>IFERROR(VLOOKUP(F29,Tabela7[[RECURSO]:[CUSTO]],3,FALSE),0)</f>
        <v>0</v>
      </c>
      <c r="K29" s="45">
        <f t="shared" si="34"/>
        <v>0</v>
      </c>
      <c r="AD29" s="144" t="str">
        <f t="shared" si="3"/>
        <v>Reservatorio</v>
      </c>
      <c r="AE29" s="179"/>
      <c r="AF29" s="180">
        <f t="shared" si="20"/>
        <v>0</v>
      </c>
      <c r="AG29" s="180">
        <f t="shared" si="17"/>
        <v>0</v>
      </c>
      <c r="AH29" s="181">
        <f t="shared" si="21"/>
        <v>0</v>
      </c>
      <c r="AI29" s="182"/>
      <c r="AJ29" s="90"/>
      <c r="AK29" s="90"/>
      <c r="AL29" s="183">
        <f t="shared" si="22"/>
        <v>0</v>
      </c>
      <c r="AM29" s="182"/>
      <c r="AN29" s="90"/>
      <c r="AO29" s="90"/>
      <c r="AP29" s="183">
        <f t="shared" si="23"/>
        <v>0</v>
      </c>
      <c r="AQ29" s="182"/>
      <c r="AR29" s="90"/>
      <c r="AS29" s="90"/>
      <c r="AT29" s="183">
        <f t="shared" si="24"/>
        <v>0</v>
      </c>
      <c r="AU29" s="182"/>
      <c r="AV29" s="90"/>
      <c r="AW29" s="90"/>
      <c r="AX29" s="183">
        <f t="shared" si="25"/>
        <v>0</v>
      </c>
      <c r="AY29" s="182"/>
      <c r="AZ29" s="90"/>
      <c r="BA29" s="90"/>
      <c r="BB29" s="183">
        <f t="shared" si="26"/>
        <v>0</v>
      </c>
      <c r="BC29" s="182"/>
      <c r="BD29" s="90"/>
      <c r="BE29" s="90"/>
      <c r="BF29" s="183">
        <f t="shared" si="27"/>
        <v>0</v>
      </c>
      <c r="BG29" s="182"/>
      <c r="BH29" s="90"/>
      <c r="BI29" s="90"/>
      <c r="BJ29" s="183">
        <f t="shared" si="28"/>
        <v>0</v>
      </c>
      <c r="BK29" s="182"/>
      <c r="BL29" s="90"/>
      <c r="BM29" s="90"/>
      <c r="BN29" s="183">
        <f t="shared" si="29"/>
        <v>0</v>
      </c>
      <c r="BO29" s="182"/>
      <c r="BP29" s="90"/>
      <c r="BQ29" s="90"/>
      <c r="BR29" s="183">
        <f t="shared" si="30"/>
        <v>0</v>
      </c>
      <c r="BS29" s="182"/>
      <c r="BT29" s="90"/>
      <c r="BU29" s="90"/>
      <c r="BV29" s="183">
        <f t="shared" si="31"/>
        <v>0</v>
      </c>
      <c r="BW29" s="182"/>
      <c r="BX29" s="90"/>
      <c r="BY29" s="90"/>
      <c r="BZ29" s="183">
        <f t="shared" si="32"/>
        <v>0</v>
      </c>
      <c r="CA29" s="182"/>
      <c r="CB29" s="90"/>
      <c r="CC29" s="90"/>
      <c r="CD29" s="183">
        <f t="shared" si="33"/>
        <v>0</v>
      </c>
    </row>
    <row r="30" spans="2:82" x14ac:dyDescent="0.3">
      <c r="B30" s="53"/>
      <c r="C30" s="53" t="str">
        <f t="shared" si="0"/>
        <v>CPU_Reservatorio</v>
      </c>
      <c r="D30" s="278">
        <f t="shared" si="1"/>
        <v>0.2</v>
      </c>
      <c r="E30" s="278">
        <f t="shared" si="2"/>
        <v>0</v>
      </c>
      <c r="F30" s="1"/>
      <c r="G30" s="28" t="str">
        <f>IFERROR(VLOOKUP(F30,Tabela7[[RECURSO]:[CUSTO]],2,FALSE),"")</f>
        <v/>
      </c>
      <c r="H30" s="93"/>
      <c r="I30" s="90"/>
      <c r="J30" s="45">
        <f>IFERROR(VLOOKUP(F30,Tabela7[[RECURSO]:[CUSTO]],3,FALSE),0)</f>
        <v>0</v>
      </c>
      <c r="K30" s="45">
        <f t="shared" si="34"/>
        <v>0</v>
      </c>
      <c r="AD30" s="144" t="str">
        <f t="shared" si="3"/>
        <v>Reservatorio</v>
      </c>
      <c r="AE30" s="179"/>
      <c r="AF30" s="180">
        <f t="shared" si="20"/>
        <v>0</v>
      </c>
      <c r="AG30" s="180">
        <f t="shared" si="17"/>
        <v>0</v>
      </c>
      <c r="AH30" s="181">
        <f t="shared" si="21"/>
        <v>0</v>
      </c>
      <c r="AI30" s="182"/>
      <c r="AJ30" s="90"/>
      <c r="AK30" s="90"/>
      <c r="AL30" s="183">
        <f t="shared" si="22"/>
        <v>0</v>
      </c>
      <c r="AM30" s="182"/>
      <c r="AN30" s="90"/>
      <c r="AO30" s="90"/>
      <c r="AP30" s="183">
        <f t="shared" si="23"/>
        <v>0</v>
      </c>
      <c r="AQ30" s="182"/>
      <c r="AR30" s="90"/>
      <c r="AS30" s="90"/>
      <c r="AT30" s="183">
        <f t="shared" si="24"/>
        <v>0</v>
      </c>
      <c r="AU30" s="182"/>
      <c r="AV30" s="90"/>
      <c r="AW30" s="90"/>
      <c r="AX30" s="183">
        <f t="shared" si="25"/>
        <v>0</v>
      </c>
      <c r="AY30" s="182"/>
      <c r="AZ30" s="90"/>
      <c r="BA30" s="90"/>
      <c r="BB30" s="183">
        <f t="shared" si="26"/>
        <v>0</v>
      </c>
      <c r="BC30" s="182"/>
      <c r="BD30" s="90"/>
      <c r="BE30" s="90"/>
      <c r="BF30" s="183">
        <f t="shared" si="27"/>
        <v>0</v>
      </c>
      <c r="BG30" s="182"/>
      <c r="BH30" s="90"/>
      <c r="BI30" s="90"/>
      <c r="BJ30" s="183">
        <f t="shared" si="28"/>
        <v>0</v>
      </c>
      <c r="BK30" s="182"/>
      <c r="BL30" s="90"/>
      <c r="BM30" s="90"/>
      <c r="BN30" s="183">
        <f t="shared" si="29"/>
        <v>0</v>
      </c>
      <c r="BO30" s="182"/>
      <c r="BP30" s="90"/>
      <c r="BQ30" s="90"/>
      <c r="BR30" s="183">
        <f t="shared" si="30"/>
        <v>0</v>
      </c>
      <c r="BS30" s="182"/>
      <c r="BT30" s="90"/>
      <c r="BU30" s="90"/>
      <c r="BV30" s="183">
        <f t="shared" si="31"/>
        <v>0</v>
      </c>
      <c r="BW30" s="182"/>
      <c r="BX30" s="90"/>
      <c r="BY30" s="90"/>
      <c r="BZ30" s="183">
        <f t="shared" si="32"/>
        <v>0</v>
      </c>
      <c r="CA30" s="182"/>
      <c r="CB30" s="90"/>
      <c r="CC30" s="90"/>
      <c r="CD30" s="183">
        <f t="shared" si="33"/>
        <v>0</v>
      </c>
    </row>
    <row r="31" spans="2:82" x14ac:dyDescent="0.3">
      <c r="B31" s="53"/>
      <c r="C31" s="53" t="str">
        <f t="shared" si="0"/>
        <v>CPU_Reservatorio</v>
      </c>
      <c r="D31" s="278">
        <f t="shared" si="1"/>
        <v>0.2</v>
      </c>
      <c r="E31" s="278">
        <f t="shared" si="2"/>
        <v>0</v>
      </c>
      <c r="F31" s="1"/>
      <c r="G31" s="28" t="str">
        <f>IFERROR(VLOOKUP(F31,Tabela7[[RECURSO]:[CUSTO]],2,FALSE),"")</f>
        <v/>
      </c>
      <c r="H31" s="93"/>
      <c r="I31" s="90"/>
      <c r="J31" s="45">
        <f>IFERROR(VLOOKUP(F31,Tabela7[[RECURSO]:[CUSTO]],3,FALSE),0)</f>
        <v>0</v>
      </c>
      <c r="K31" s="45">
        <f t="shared" si="34"/>
        <v>0</v>
      </c>
      <c r="AD31" s="144" t="str">
        <f t="shared" si="3"/>
        <v>Reservatorio</v>
      </c>
      <c r="AE31" s="179"/>
      <c r="AF31" s="180">
        <f t="shared" si="20"/>
        <v>0</v>
      </c>
      <c r="AG31" s="180">
        <f t="shared" si="17"/>
        <v>0</v>
      </c>
      <c r="AH31" s="181">
        <f t="shared" si="21"/>
        <v>0</v>
      </c>
      <c r="AI31" s="182"/>
      <c r="AJ31" s="90"/>
      <c r="AK31" s="90"/>
      <c r="AL31" s="183">
        <f t="shared" si="22"/>
        <v>0</v>
      </c>
      <c r="AM31" s="182"/>
      <c r="AN31" s="90"/>
      <c r="AO31" s="90"/>
      <c r="AP31" s="183">
        <f t="shared" si="23"/>
        <v>0</v>
      </c>
      <c r="AQ31" s="182"/>
      <c r="AR31" s="90"/>
      <c r="AS31" s="90"/>
      <c r="AT31" s="183">
        <f t="shared" si="24"/>
        <v>0</v>
      </c>
      <c r="AU31" s="182"/>
      <c r="AV31" s="90"/>
      <c r="AW31" s="90"/>
      <c r="AX31" s="183">
        <f t="shared" si="25"/>
        <v>0</v>
      </c>
      <c r="AY31" s="182"/>
      <c r="AZ31" s="90"/>
      <c r="BA31" s="90"/>
      <c r="BB31" s="183">
        <f t="shared" si="26"/>
        <v>0</v>
      </c>
      <c r="BC31" s="182"/>
      <c r="BD31" s="90"/>
      <c r="BE31" s="90"/>
      <c r="BF31" s="183">
        <f t="shared" si="27"/>
        <v>0</v>
      </c>
      <c r="BG31" s="182"/>
      <c r="BH31" s="90"/>
      <c r="BI31" s="90"/>
      <c r="BJ31" s="183">
        <f t="shared" si="28"/>
        <v>0</v>
      </c>
      <c r="BK31" s="182"/>
      <c r="BL31" s="90"/>
      <c r="BM31" s="90"/>
      <c r="BN31" s="183">
        <f t="shared" si="29"/>
        <v>0</v>
      </c>
      <c r="BO31" s="182"/>
      <c r="BP31" s="90"/>
      <c r="BQ31" s="90"/>
      <c r="BR31" s="183">
        <f t="shared" si="30"/>
        <v>0</v>
      </c>
      <c r="BS31" s="182"/>
      <c r="BT31" s="90"/>
      <c r="BU31" s="90"/>
      <c r="BV31" s="183">
        <f t="shared" si="31"/>
        <v>0</v>
      </c>
      <c r="BW31" s="182"/>
      <c r="BX31" s="90"/>
      <c r="BY31" s="90"/>
      <c r="BZ31" s="183">
        <f t="shared" si="32"/>
        <v>0</v>
      </c>
      <c r="CA31" s="182"/>
      <c r="CB31" s="90"/>
      <c r="CC31" s="90"/>
      <c r="CD31" s="183">
        <f t="shared" si="33"/>
        <v>0</v>
      </c>
    </row>
    <row r="32" spans="2:82" x14ac:dyDescent="0.3">
      <c r="B32" s="53"/>
      <c r="C32" s="53" t="str">
        <f t="shared" si="0"/>
        <v>CPU_Reservatorio</v>
      </c>
      <c r="D32" s="278">
        <f t="shared" si="1"/>
        <v>0.2</v>
      </c>
      <c r="E32" s="278">
        <f t="shared" si="2"/>
        <v>0</v>
      </c>
      <c r="F32" s="1"/>
      <c r="G32" s="28" t="str">
        <f>IFERROR(VLOOKUP(F32,Tabela7[[RECURSO]:[CUSTO]],2,FALSE),"")</f>
        <v/>
      </c>
      <c r="H32" s="93"/>
      <c r="I32" s="90"/>
      <c r="J32" s="45">
        <f>IFERROR(VLOOKUP(F32,Tabela7[[RECURSO]:[CUSTO]],3,FALSE),0)</f>
        <v>0</v>
      </c>
      <c r="K32" s="45">
        <f t="shared" si="34"/>
        <v>0</v>
      </c>
      <c r="AD32" s="144" t="str">
        <f t="shared" si="3"/>
        <v>Reservatorio</v>
      </c>
      <c r="AE32" s="179"/>
      <c r="AF32" s="180">
        <f t="shared" si="20"/>
        <v>0</v>
      </c>
      <c r="AG32" s="180">
        <f t="shared" si="17"/>
        <v>0</v>
      </c>
      <c r="AH32" s="181">
        <f t="shared" si="21"/>
        <v>0</v>
      </c>
      <c r="AI32" s="182"/>
      <c r="AJ32" s="90"/>
      <c r="AK32" s="90"/>
      <c r="AL32" s="183">
        <f t="shared" si="22"/>
        <v>0</v>
      </c>
      <c r="AM32" s="182"/>
      <c r="AN32" s="90"/>
      <c r="AO32" s="90"/>
      <c r="AP32" s="183">
        <f t="shared" si="23"/>
        <v>0</v>
      </c>
      <c r="AQ32" s="182"/>
      <c r="AR32" s="90"/>
      <c r="AS32" s="90"/>
      <c r="AT32" s="183">
        <f t="shared" si="24"/>
        <v>0</v>
      </c>
      <c r="AU32" s="182"/>
      <c r="AV32" s="90"/>
      <c r="AW32" s="90"/>
      <c r="AX32" s="183">
        <f t="shared" si="25"/>
        <v>0</v>
      </c>
      <c r="AY32" s="182"/>
      <c r="AZ32" s="90"/>
      <c r="BA32" s="90"/>
      <c r="BB32" s="183">
        <f t="shared" si="26"/>
        <v>0</v>
      </c>
      <c r="BC32" s="182"/>
      <c r="BD32" s="90"/>
      <c r="BE32" s="90"/>
      <c r="BF32" s="183">
        <f t="shared" si="27"/>
        <v>0</v>
      </c>
      <c r="BG32" s="182"/>
      <c r="BH32" s="90"/>
      <c r="BI32" s="90"/>
      <c r="BJ32" s="183">
        <f t="shared" si="28"/>
        <v>0</v>
      </c>
      <c r="BK32" s="182"/>
      <c r="BL32" s="90"/>
      <c r="BM32" s="90"/>
      <c r="BN32" s="183">
        <f t="shared" si="29"/>
        <v>0</v>
      </c>
      <c r="BO32" s="182"/>
      <c r="BP32" s="90"/>
      <c r="BQ32" s="90"/>
      <c r="BR32" s="183">
        <f t="shared" si="30"/>
        <v>0</v>
      </c>
      <c r="BS32" s="182"/>
      <c r="BT32" s="90"/>
      <c r="BU32" s="90"/>
      <c r="BV32" s="183">
        <f t="shared" si="31"/>
        <v>0</v>
      </c>
      <c r="BW32" s="182"/>
      <c r="BX32" s="90"/>
      <c r="BY32" s="90"/>
      <c r="BZ32" s="183">
        <f t="shared" si="32"/>
        <v>0</v>
      </c>
      <c r="CA32" s="182"/>
      <c r="CB32" s="90"/>
      <c r="CC32" s="90"/>
      <c r="CD32" s="183">
        <f t="shared" si="33"/>
        <v>0</v>
      </c>
    </row>
    <row r="33" spans="2:82" x14ac:dyDescent="0.3">
      <c r="B33" s="53"/>
      <c r="C33" s="53" t="str">
        <f t="shared" si="0"/>
        <v>CPU_Reservatorio</v>
      </c>
      <c r="D33" s="278">
        <f t="shared" si="1"/>
        <v>0.2</v>
      </c>
      <c r="E33" s="278">
        <f t="shared" si="2"/>
        <v>0</v>
      </c>
      <c r="F33" s="1"/>
      <c r="G33" s="28" t="str">
        <f>IFERROR(VLOOKUP(F33,Tabela7[[RECURSO]:[CUSTO]],2,FALSE),"")</f>
        <v/>
      </c>
      <c r="H33" s="93"/>
      <c r="I33" s="90"/>
      <c r="J33" s="45">
        <f>IFERROR(VLOOKUP(F33,Tabela7[[RECURSO]:[CUSTO]],3,FALSE),0)</f>
        <v>0</v>
      </c>
      <c r="K33" s="45">
        <f t="shared" si="34"/>
        <v>0</v>
      </c>
      <c r="AD33" s="144" t="str">
        <f t="shared" si="3"/>
        <v>Reservatorio</v>
      </c>
      <c r="AE33" s="179"/>
      <c r="AF33" s="180">
        <f t="shared" si="20"/>
        <v>0</v>
      </c>
      <c r="AG33" s="180">
        <f t="shared" si="17"/>
        <v>0</v>
      </c>
      <c r="AH33" s="181">
        <f t="shared" si="21"/>
        <v>0</v>
      </c>
      <c r="AI33" s="182"/>
      <c r="AJ33" s="90"/>
      <c r="AK33" s="90"/>
      <c r="AL33" s="183">
        <f t="shared" si="22"/>
        <v>0</v>
      </c>
      <c r="AM33" s="182"/>
      <c r="AN33" s="90"/>
      <c r="AO33" s="90"/>
      <c r="AP33" s="183">
        <f t="shared" si="23"/>
        <v>0</v>
      </c>
      <c r="AQ33" s="182"/>
      <c r="AR33" s="90"/>
      <c r="AS33" s="90"/>
      <c r="AT33" s="183">
        <f t="shared" si="24"/>
        <v>0</v>
      </c>
      <c r="AU33" s="182"/>
      <c r="AV33" s="90"/>
      <c r="AW33" s="90"/>
      <c r="AX33" s="183">
        <f t="shared" si="25"/>
        <v>0</v>
      </c>
      <c r="AY33" s="182"/>
      <c r="AZ33" s="90"/>
      <c r="BA33" s="90"/>
      <c r="BB33" s="183">
        <f t="shared" si="26"/>
        <v>0</v>
      </c>
      <c r="BC33" s="182"/>
      <c r="BD33" s="90"/>
      <c r="BE33" s="90"/>
      <c r="BF33" s="183">
        <f t="shared" si="27"/>
        <v>0</v>
      </c>
      <c r="BG33" s="182"/>
      <c r="BH33" s="90"/>
      <c r="BI33" s="90"/>
      <c r="BJ33" s="183">
        <f t="shared" si="28"/>
        <v>0</v>
      </c>
      <c r="BK33" s="182"/>
      <c r="BL33" s="90"/>
      <c r="BM33" s="90"/>
      <c r="BN33" s="183">
        <f t="shared" si="29"/>
        <v>0</v>
      </c>
      <c r="BO33" s="182"/>
      <c r="BP33" s="90"/>
      <c r="BQ33" s="90"/>
      <c r="BR33" s="183">
        <f t="shared" si="30"/>
        <v>0</v>
      </c>
      <c r="BS33" s="182"/>
      <c r="BT33" s="90"/>
      <c r="BU33" s="90"/>
      <c r="BV33" s="183">
        <f t="shared" si="31"/>
        <v>0</v>
      </c>
      <c r="BW33" s="182"/>
      <c r="BX33" s="90"/>
      <c r="BY33" s="90"/>
      <c r="BZ33" s="183">
        <f t="shared" si="32"/>
        <v>0</v>
      </c>
      <c r="CA33" s="182"/>
      <c r="CB33" s="90"/>
      <c r="CC33" s="90"/>
      <c r="CD33" s="183">
        <f t="shared" si="33"/>
        <v>0</v>
      </c>
    </row>
    <row r="34" spans="2:82" x14ac:dyDescent="0.3">
      <c r="B34" s="53"/>
      <c r="C34" s="53" t="str">
        <f t="shared" si="0"/>
        <v>CPU_Reservatorio</v>
      </c>
      <c r="D34" s="278">
        <f t="shared" si="1"/>
        <v>0.2</v>
      </c>
      <c r="E34" s="278">
        <f t="shared" si="2"/>
        <v>0</v>
      </c>
      <c r="F34" s="1"/>
      <c r="G34" s="28" t="str">
        <f>IFERROR(VLOOKUP(F34,Tabela7[[RECURSO]:[CUSTO]],2,FALSE),"")</f>
        <v/>
      </c>
      <c r="H34" s="93"/>
      <c r="I34" s="90"/>
      <c r="J34" s="45">
        <f>IFERROR(VLOOKUP(F34,Tabela7[[RECURSO]:[CUSTO]],3,FALSE),0)</f>
        <v>0</v>
      </c>
      <c r="K34" s="45">
        <f t="shared" si="34"/>
        <v>0</v>
      </c>
      <c r="AD34" s="144" t="str">
        <f t="shared" si="3"/>
        <v>Reservatorio</v>
      </c>
      <c r="AE34" s="179"/>
      <c r="AF34" s="180">
        <f t="shared" si="20"/>
        <v>0</v>
      </c>
      <c r="AG34" s="180">
        <f t="shared" si="17"/>
        <v>0</v>
      </c>
      <c r="AH34" s="181">
        <f t="shared" si="21"/>
        <v>0</v>
      </c>
      <c r="AI34" s="182"/>
      <c r="AJ34" s="90"/>
      <c r="AK34" s="90"/>
      <c r="AL34" s="183">
        <f t="shared" si="22"/>
        <v>0</v>
      </c>
      <c r="AM34" s="182"/>
      <c r="AN34" s="90"/>
      <c r="AO34" s="90"/>
      <c r="AP34" s="183">
        <f t="shared" si="23"/>
        <v>0</v>
      </c>
      <c r="AQ34" s="182"/>
      <c r="AR34" s="90"/>
      <c r="AS34" s="90"/>
      <c r="AT34" s="183">
        <f t="shared" si="24"/>
        <v>0</v>
      </c>
      <c r="AU34" s="182"/>
      <c r="AV34" s="90"/>
      <c r="AW34" s="90"/>
      <c r="AX34" s="183">
        <f t="shared" si="25"/>
        <v>0</v>
      </c>
      <c r="AY34" s="182"/>
      <c r="AZ34" s="90"/>
      <c r="BA34" s="90"/>
      <c r="BB34" s="183">
        <f t="shared" si="26"/>
        <v>0</v>
      </c>
      <c r="BC34" s="182"/>
      <c r="BD34" s="90"/>
      <c r="BE34" s="90"/>
      <c r="BF34" s="183">
        <f t="shared" si="27"/>
        <v>0</v>
      </c>
      <c r="BG34" s="182"/>
      <c r="BH34" s="90"/>
      <c r="BI34" s="90"/>
      <c r="BJ34" s="183">
        <f t="shared" si="28"/>
        <v>0</v>
      </c>
      <c r="BK34" s="182"/>
      <c r="BL34" s="90"/>
      <c r="BM34" s="90"/>
      <c r="BN34" s="183">
        <f t="shared" si="29"/>
        <v>0</v>
      </c>
      <c r="BO34" s="182"/>
      <c r="BP34" s="90"/>
      <c r="BQ34" s="90"/>
      <c r="BR34" s="183">
        <f t="shared" si="30"/>
        <v>0</v>
      </c>
      <c r="BS34" s="182"/>
      <c r="BT34" s="90"/>
      <c r="BU34" s="90"/>
      <c r="BV34" s="183">
        <f t="shared" si="31"/>
        <v>0</v>
      </c>
      <c r="BW34" s="182"/>
      <c r="BX34" s="90"/>
      <c r="BY34" s="90"/>
      <c r="BZ34" s="183">
        <f t="shared" si="32"/>
        <v>0</v>
      </c>
      <c r="CA34" s="182"/>
      <c r="CB34" s="90"/>
      <c r="CC34" s="90"/>
      <c r="CD34" s="183">
        <f t="shared" si="33"/>
        <v>0</v>
      </c>
    </row>
    <row r="35" spans="2:82" x14ac:dyDescent="0.3">
      <c r="B35" s="53"/>
      <c r="C35" s="53" t="str">
        <f t="shared" si="0"/>
        <v>CPU_Reservatorio</v>
      </c>
      <c r="D35" s="278">
        <f t="shared" si="1"/>
        <v>0.2</v>
      </c>
      <c r="E35" s="278">
        <f t="shared" si="2"/>
        <v>0</v>
      </c>
      <c r="F35" s="1"/>
      <c r="G35" s="28" t="str">
        <f>IFERROR(VLOOKUP(F35,Tabela7[[RECURSO]:[CUSTO]],2,FALSE),"")</f>
        <v/>
      </c>
      <c r="H35" s="93"/>
      <c r="I35" s="90"/>
      <c r="J35" s="45">
        <f>IFERROR(VLOOKUP(F35,Tabela7[[RECURSO]:[CUSTO]],3,FALSE),0)</f>
        <v>0</v>
      </c>
      <c r="K35" s="45">
        <f t="shared" si="34"/>
        <v>0</v>
      </c>
      <c r="AD35" s="144" t="str">
        <f t="shared" si="3"/>
        <v>Reservatorio</v>
      </c>
      <c r="AE35" s="179"/>
      <c r="AF35" s="180">
        <f t="shared" si="20"/>
        <v>0</v>
      </c>
      <c r="AG35" s="180">
        <f t="shared" si="17"/>
        <v>0</v>
      </c>
      <c r="AH35" s="181">
        <f t="shared" si="21"/>
        <v>0</v>
      </c>
      <c r="AI35" s="182"/>
      <c r="AJ35" s="90"/>
      <c r="AK35" s="90"/>
      <c r="AL35" s="183">
        <f t="shared" si="22"/>
        <v>0</v>
      </c>
      <c r="AM35" s="182"/>
      <c r="AN35" s="90"/>
      <c r="AO35" s="90"/>
      <c r="AP35" s="183">
        <f t="shared" si="23"/>
        <v>0</v>
      </c>
      <c r="AQ35" s="182"/>
      <c r="AR35" s="90"/>
      <c r="AS35" s="90"/>
      <c r="AT35" s="183">
        <f t="shared" si="24"/>
        <v>0</v>
      </c>
      <c r="AU35" s="182"/>
      <c r="AV35" s="90"/>
      <c r="AW35" s="90"/>
      <c r="AX35" s="183">
        <f t="shared" si="25"/>
        <v>0</v>
      </c>
      <c r="AY35" s="182"/>
      <c r="AZ35" s="90"/>
      <c r="BA35" s="90"/>
      <c r="BB35" s="183">
        <f t="shared" si="26"/>
        <v>0</v>
      </c>
      <c r="BC35" s="182"/>
      <c r="BD35" s="90"/>
      <c r="BE35" s="90"/>
      <c r="BF35" s="183">
        <f t="shared" si="27"/>
        <v>0</v>
      </c>
      <c r="BG35" s="182"/>
      <c r="BH35" s="90"/>
      <c r="BI35" s="90"/>
      <c r="BJ35" s="183">
        <f t="shared" si="28"/>
        <v>0</v>
      </c>
      <c r="BK35" s="182"/>
      <c r="BL35" s="90"/>
      <c r="BM35" s="90"/>
      <c r="BN35" s="183">
        <f t="shared" si="29"/>
        <v>0</v>
      </c>
      <c r="BO35" s="182"/>
      <c r="BP35" s="90"/>
      <c r="BQ35" s="90"/>
      <c r="BR35" s="183">
        <f t="shared" si="30"/>
        <v>0</v>
      </c>
      <c r="BS35" s="182"/>
      <c r="BT35" s="90"/>
      <c r="BU35" s="90"/>
      <c r="BV35" s="183">
        <f t="shared" si="31"/>
        <v>0</v>
      </c>
      <c r="BW35" s="182"/>
      <c r="BX35" s="90"/>
      <c r="BY35" s="90"/>
      <c r="BZ35" s="183">
        <f t="shared" si="32"/>
        <v>0</v>
      </c>
      <c r="CA35" s="182"/>
      <c r="CB35" s="90"/>
      <c r="CC35" s="90"/>
      <c r="CD35" s="183">
        <f t="shared" si="33"/>
        <v>0</v>
      </c>
    </row>
    <row r="36" spans="2:82" x14ac:dyDescent="0.3">
      <c r="B36" s="53"/>
      <c r="C36" s="53" t="str">
        <f t="shared" si="0"/>
        <v>CPU_Reservatorio</v>
      </c>
      <c r="D36" s="278">
        <f t="shared" si="1"/>
        <v>0.2</v>
      </c>
      <c r="E36" s="278">
        <f t="shared" si="2"/>
        <v>0</v>
      </c>
      <c r="F36" s="1"/>
      <c r="G36" s="28" t="str">
        <f>IFERROR(VLOOKUP(F36,Tabela7[[RECURSO]:[CUSTO]],2,FALSE),"")</f>
        <v/>
      </c>
      <c r="H36" s="93"/>
      <c r="I36" s="90"/>
      <c r="J36" s="45">
        <f>IFERROR(VLOOKUP(F36,Tabela7[[RECURSO]:[CUSTO]],3,FALSE),0)</f>
        <v>0</v>
      </c>
      <c r="K36" s="45">
        <f t="shared" si="34"/>
        <v>0</v>
      </c>
      <c r="AD36" s="144" t="str">
        <f t="shared" si="3"/>
        <v>Reservatorio</v>
      </c>
      <c r="AE36" s="179"/>
      <c r="AF36" s="180">
        <f t="shared" si="20"/>
        <v>0</v>
      </c>
      <c r="AG36" s="180">
        <f t="shared" si="17"/>
        <v>0</v>
      </c>
      <c r="AH36" s="181">
        <f t="shared" si="21"/>
        <v>0</v>
      </c>
      <c r="AI36" s="182"/>
      <c r="AJ36" s="90"/>
      <c r="AK36" s="90"/>
      <c r="AL36" s="183">
        <f t="shared" si="22"/>
        <v>0</v>
      </c>
      <c r="AM36" s="182"/>
      <c r="AN36" s="90"/>
      <c r="AO36" s="90"/>
      <c r="AP36" s="183">
        <f t="shared" si="23"/>
        <v>0</v>
      </c>
      <c r="AQ36" s="182"/>
      <c r="AR36" s="90"/>
      <c r="AS36" s="90"/>
      <c r="AT36" s="183">
        <f t="shared" si="24"/>
        <v>0</v>
      </c>
      <c r="AU36" s="182"/>
      <c r="AV36" s="90"/>
      <c r="AW36" s="90"/>
      <c r="AX36" s="183">
        <f t="shared" si="25"/>
        <v>0</v>
      </c>
      <c r="AY36" s="182"/>
      <c r="AZ36" s="90"/>
      <c r="BA36" s="90"/>
      <c r="BB36" s="183">
        <f t="shared" si="26"/>
        <v>0</v>
      </c>
      <c r="BC36" s="182"/>
      <c r="BD36" s="90"/>
      <c r="BE36" s="90"/>
      <c r="BF36" s="183">
        <f t="shared" si="27"/>
        <v>0</v>
      </c>
      <c r="BG36" s="182"/>
      <c r="BH36" s="90"/>
      <c r="BI36" s="90"/>
      <c r="BJ36" s="183">
        <f t="shared" si="28"/>
        <v>0</v>
      </c>
      <c r="BK36" s="182"/>
      <c r="BL36" s="90"/>
      <c r="BM36" s="90"/>
      <c r="BN36" s="183">
        <f t="shared" si="29"/>
        <v>0</v>
      </c>
      <c r="BO36" s="182"/>
      <c r="BP36" s="90"/>
      <c r="BQ36" s="90"/>
      <c r="BR36" s="183">
        <f t="shared" si="30"/>
        <v>0</v>
      </c>
      <c r="BS36" s="182"/>
      <c r="BT36" s="90"/>
      <c r="BU36" s="90"/>
      <c r="BV36" s="183">
        <f t="shared" si="31"/>
        <v>0</v>
      </c>
      <c r="BW36" s="182"/>
      <c r="BX36" s="90"/>
      <c r="BY36" s="90"/>
      <c r="BZ36" s="183">
        <f t="shared" si="32"/>
        <v>0</v>
      </c>
      <c r="CA36" s="182"/>
      <c r="CB36" s="90"/>
      <c r="CC36" s="90"/>
      <c r="CD36" s="183">
        <f t="shared" si="33"/>
        <v>0</v>
      </c>
    </row>
    <row r="37" spans="2:82" x14ac:dyDescent="0.3">
      <c r="B37" s="52" t="s">
        <v>692</v>
      </c>
      <c r="C37" s="52" t="str">
        <f t="shared" si="0"/>
        <v>CPU_Reservatorio</v>
      </c>
      <c r="D37" s="277">
        <f t="shared" si="1"/>
        <v>0.2</v>
      </c>
      <c r="E37" s="277">
        <f t="shared" si="2"/>
        <v>0</v>
      </c>
      <c r="F37" s="37"/>
      <c r="G37" s="38"/>
      <c r="H37" s="91"/>
      <c r="I37" s="40"/>
      <c r="J37" s="40">
        <f>IFERROR(K37/$B$6,0)</f>
        <v>4685.3216726688715</v>
      </c>
      <c r="K37" s="40">
        <f>SUM(K38:K49)</f>
        <v>937.0643345337744</v>
      </c>
      <c r="N37" s="39"/>
      <c r="AD37" s="144" t="str">
        <f t="shared" si="3"/>
        <v>Reservatorio</v>
      </c>
      <c r="AE37" s="184"/>
      <c r="AF37" s="40"/>
      <c r="AG37" s="40">
        <f>IFERROR(AH37/AF$3,0)</f>
        <v>0</v>
      </c>
      <c r="AH37" s="185">
        <f>SUM(AH38:AH49)</f>
        <v>0</v>
      </c>
      <c r="AI37" s="184"/>
      <c r="AJ37" s="40"/>
      <c r="AK37" s="40">
        <f>IFERROR(AL37/AJ$3,0)</f>
        <v>0</v>
      </c>
      <c r="AL37" s="185">
        <f>SUM(AL38:AL49)</f>
        <v>0</v>
      </c>
      <c r="AM37" s="184"/>
      <c r="AN37" s="40"/>
      <c r="AO37" s="40">
        <f>IFERROR(AP37/AN$3,0)</f>
        <v>0</v>
      </c>
      <c r="AP37" s="185">
        <f>SUM(AP38:AP49)</f>
        <v>0</v>
      </c>
      <c r="AQ37" s="184"/>
      <c r="AR37" s="40"/>
      <c r="AS37" s="40">
        <f>IFERROR(AT37/AR$3,0)</f>
        <v>0</v>
      </c>
      <c r="AT37" s="185">
        <f>SUM(AT38:AT49)</f>
        <v>0</v>
      </c>
      <c r="AU37" s="184"/>
      <c r="AV37" s="40"/>
      <c r="AW37" s="40">
        <f>IFERROR(AX37/AV$3,0)</f>
        <v>0</v>
      </c>
      <c r="AX37" s="185">
        <f>SUM(AX38:AX49)</f>
        <v>0</v>
      </c>
      <c r="AY37" s="184"/>
      <c r="AZ37" s="40"/>
      <c r="BA37" s="40">
        <f>IFERROR(BB37/AZ$3,0)</f>
        <v>0</v>
      </c>
      <c r="BB37" s="185">
        <f>SUM(BB38:BB49)</f>
        <v>0</v>
      </c>
      <c r="BC37" s="184"/>
      <c r="BD37" s="40"/>
      <c r="BE37" s="40">
        <f>IFERROR(BF37/BD$3,0)</f>
        <v>0</v>
      </c>
      <c r="BF37" s="185">
        <f>SUM(BF38:BF49)</f>
        <v>0</v>
      </c>
      <c r="BG37" s="184"/>
      <c r="BH37" s="40"/>
      <c r="BI37" s="40">
        <f>IFERROR(BJ37/BH$3,0)</f>
        <v>0</v>
      </c>
      <c r="BJ37" s="185">
        <f>SUM(BJ38:BJ49)</f>
        <v>0</v>
      </c>
      <c r="BK37" s="184"/>
      <c r="BL37" s="40"/>
      <c r="BM37" s="40">
        <f>IFERROR(BN37/BL$3,0)</f>
        <v>0</v>
      </c>
      <c r="BN37" s="185">
        <f>SUM(BN38:BN49)</f>
        <v>0</v>
      </c>
      <c r="BO37" s="184"/>
      <c r="BP37" s="40"/>
      <c r="BQ37" s="40">
        <f>IFERROR(BR37/BP$3,0)</f>
        <v>0</v>
      </c>
      <c r="BR37" s="185">
        <f>SUM(BR38:BR49)</f>
        <v>0</v>
      </c>
      <c r="BS37" s="184"/>
      <c r="BT37" s="40"/>
      <c r="BU37" s="40">
        <f>IFERROR(BV37/BT$3,0)</f>
        <v>0</v>
      </c>
      <c r="BV37" s="185">
        <f>SUM(BV38:BV49)</f>
        <v>0</v>
      </c>
      <c r="BW37" s="184"/>
      <c r="BX37" s="40"/>
      <c r="BY37" s="40">
        <f>IFERROR(BZ37/BX$3,0)</f>
        <v>0</v>
      </c>
      <c r="BZ37" s="185">
        <f>SUM(BZ38:BZ49)</f>
        <v>0</v>
      </c>
      <c r="CA37" s="184"/>
      <c r="CB37" s="40"/>
      <c r="CC37" s="40">
        <f>IFERROR(CD37/CB$3,0)</f>
        <v>0</v>
      </c>
      <c r="CD37" s="185">
        <f>SUM(CD38:CD49)</f>
        <v>0</v>
      </c>
    </row>
    <row r="38" spans="2:82" x14ac:dyDescent="0.3">
      <c r="B38" s="54"/>
      <c r="C38" s="54" t="str">
        <f t="shared" si="0"/>
        <v>CPU_Reservatorio</v>
      </c>
      <c r="D38" s="280">
        <f t="shared" si="1"/>
        <v>0.2</v>
      </c>
      <c r="E38" s="280">
        <f t="shared" si="2"/>
        <v>0</v>
      </c>
      <c r="F38" s="1" t="s">
        <v>758</v>
      </c>
      <c r="G38" s="28" t="str">
        <f>IFERROR(VLOOKUP(F38,Tabela7[[RECURSO]:[CUSTO]],2,FALSE),"")</f>
        <v>H</v>
      </c>
      <c r="H38" s="92">
        <v>1</v>
      </c>
      <c r="I38" s="90">
        <v>10</v>
      </c>
      <c r="J38" s="45">
        <f>IFERROR(VLOOKUP(F38,Tabela7[[RECURSO]:[CUSTO]],3,FALSE),0)</f>
        <v>40.546465252092652</v>
      </c>
      <c r="K38" s="45">
        <f>I38*J38*CPU_28[[#This Row],[Nº]]</f>
        <v>405.46465252092651</v>
      </c>
      <c r="AD38" s="144" t="str">
        <f t="shared" si="3"/>
        <v>Reservatorio</v>
      </c>
      <c r="AE38" s="186"/>
      <c r="AF38" s="180">
        <f t="shared" ref="AF38:AF49" si="35">AJ38+AN38+AR38+AV38+AZ38+BD38+BH38+BL38+BP38+BT38+BX38+CB38</f>
        <v>0</v>
      </c>
      <c r="AG38" s="180">
        <f t="shared" si="17"/>
        <v>0</v>
      </c>
      <c r="AH38" s="181">
        <f t="shared" ref="AH38:AH49" si="36">AL38+AP38+AT38+AX38+BB38+BF38+BJ38+BN38+BR38+BV38+BZ38+CD38</f>
        <v>0</v>
      </c>
      <c r="AI38" s="187"/>
      <c r="AJ38" s="90"/>
      <c r="AK38" s="90"/>
      <c r="AL38" s="183">
        <f t="shared" ref="AL38:AL49" si="37">AJ38*AK38</f>
        <v>0</v>
      </c>
      <c r="AM38" s="187"/>
      <c r="AN38" s="90"/>
      <c r="AO38" s="90"/>
      <c r="AP38" s="183">
        <f t="shared" si="23"/>
        <v>0</v>
      </c>
      <c r="AQ38" s="187"/>
      <c r="AR38" s="90"/>
      <c r="AS38" s="90"/>
      <c r="AT38" s="183">
        <f t="shared" si="24"/>
        <v>0</v>
      </c>
      <c r="AU38" s="187"/>
      <c r="AV38" s="90"/>
      <c r="AW38" s="90"/>
      <c r="AX38" s="183">
        <f t="shared" si="25"/>
        <v>0</v>
      </c>
      <c r="AY38" s="187"/>
      <c r="AZ38" s="90"/>
      <c r="BA38" s="90"/>
      <c r="BB38" s="183">
        <f t="shared" si="26"/>
        <v>0</v>
      </c>
      <c r="BC38" s="187"/>
      <c r="BD38" s="90"/>
      <c r="BE38" s="90"/>
      <c r="BF38" s="183">
        <f t="shared" si="27"/>
        <v>0</v>
      </c>
      <c r="BG38" s="187"/>
      <c r="BH38" s="90"/>
      <c r="BI38" s="90"/>
      <c r="BJ38" s="183">
        <f t="shared" si="28"/>
        <v>0</v>
      </c>
      <c r="BK38" s="187"/>
      <c r="BL38" s="90"/>
      <c r="BM38" s="90"/>
      <c r="BN38" s="183">
        <f t="shared" si="29"/>
        <v>0</v>
      </c>
      <c r="BO38" s="187"/>
      <c r="BP38" s="90"/>
      <c r="BQ38" s="90"/>
      <c r="BR38" s="183">
        <f t="shared" si="30"/>
        <v>0</v>
      </c>
      <c r="BS38" s="187"/>
      <c r="BT38" s="90"/>
      <c r="BU38" s="90"/>
      <c r="BV38" s="183">
        <f t="shared" si="31"/>
        <v>0</v>
      </c>
      <c r="BW38" s="187"/>
      <c r="BX38" s="90"/>
      <c r="BY38" s="90"/>
      <c r="BZ38" s="183">
        <f t="shared" si="32"/>
        <v>0</v>
      </c>
      <c r="CA38" s="187"/>
      <c r="CB38" s="90"/>
      <c r="CC38" s="90"/>
      <c r="CD38" s="183">
        <f t="shared" si="33"/>
        <v>0</v>
      </c>
    </row>
    <row r="39" spans="2:82" x14ac:dyDescent="0.3">
      <c r="B39" s="54"/>
      <c r="C39" s="54" t="str">
        <f t="shared" si="0"/>
        <v>CPU_Reservatorio</v>
      </c>
      <c r="D39" s="280">
        <f t="shared" si="1"/>
        <v>0.2</v>
      </c>
      <c r="E39" s="280">
        <f t="shared" si="2"/>
        <v>0</v>
      </c>
      <c r="F39" s="1" t="s">
        <v>361</v>
      </c>
      <c r="G39" s="28" t="str">
        <f>IFERROR(VLOOKUP(F39,Tabela7[[RECURSO]:[CUSTO]],2,FALSE),"")</f>
        <v>H</v>
      </c>
      <c r="H39" s="92">
        <v>2</v>
      </c>
      <c r="I39" s="90">
        <v>10</v>
      </c>
      <c r="J39" s="45">
        <f>IFERROR(VLOOKUP(F39,Tabela7[[RECURSO]:[CUSTO]],3,FALSE),0)</f>
        <v>26.579984100642395</v>
      </c>
      <c r="K39" s="45">
        <f>I39*J39*CPU_28[[#This Row],[Nº]]</f>
        <v>531.59968201284789</v>
      </c>
      <c r="AD39" s="144" t="str">
        <f t="shared" si="3"/>
        <v>Reservatorio</v>
      </c>
      <c r="AE39" s="186"/>
      <c r="AF39" s="180">
        <f t="shared" si="35"/>
        <v>0</v>
      </c>
      <c r="AG39" s="180">
        <f t="shared" si="17"/>
        <v>0</v>
      </c>
      <c r="AH39" s="181">
        <f t="shared" si="36"/>
        <v>0</v>
      </c>
      <c r="AI39" s="187"/>
      <c r="AJ39" s="90"/>
      <c r="AK39" s="90"/>
      <c r="AL39" s="183">
        <f t="shared" si="37"/>
        <v>0</v>
      </c>
      <c r="AM39" s="187"/>
      <c r="AN39" s="90"/>
      <c r="AO39" s="90"/>
      <c r="AP39" s="183">
        <f t="shared" si="23"/>
        <v>0</v>
      </c>
      <c r="AQ39" s="187"/>
      <c r="AR39" s="90"/>
      <c r="AS39" s="90"/>
      <c r="AT39" s="183">
        <f t="shared" si="24"/>
        <v>0</v>
      </c>
      <c r="AU39" s="187"/>
      <c r="AV39" s="90"/>
      <c r="AW39" s="90"/>
      <c r="AX39" s="183">
        <f t="shared" si="25"/>
        <v>0</v>
      </c>
      <c r="AY39" s="187"/>
      <c r="AZ39" s="90"/>
      <c r="BA39" s="90"/>
      <c r="BB39" s="183">
        <f t="shared" si="26"/>
        <v>0</v>
      </c>
      <c r="BC39" s="187"/>
      <c r="BD39" s="90"/>
      <c r="BE39" s="90"/>
      <c r="BF39" s="183">
        <f t="shared" si="27"/>
        <v>0</v>
      </c>
      <c r="BG39" s="187"/>
      <c r="BH39" s="90"/>
      <c r="BI39" s="90"/>
      <c r="BJ39" s="183">
        <f t="shared" si="28"/>
        <v>0</v>
      </c>
      <c r="BK39" s="187"/>
      <c r="BL39" s="90"/>
      <c r="BM39" s="90"/>
      <c r="BN39" s="183">
        <f t="shared" si="29"/>
        <v>0</v>
      </c>
      <c r="BO39" s="187"/>
      <c r="BP39" s="90"/>
      <c r="BQ39" s="90"/>
      <c r="BR39" s="183">
        <f t="shared" si="30"/>
        <v>0</v>
      </c>
      <c r="BS39" s="187"/>
      <c r="BT39" s="90"/>
      <c r="BU39" s="90"/>
      <c r="BV39" s="183">
        <f t="shared" si="31"/>
        <v>0</v>
      </c>
      <c r="BW39" s="187"/>
      <c r="BX39" s="90"/>
      <c r="BY39" s="90"/>
      <c r="BZ39" s="183">
        <f t="shared" si="32"/>
        <v>0</v>
      </c>
      <c r="CA39" s="187"/>
      <c r="CB39" s="90"/>
      <c r="CC39" s="90"/>
      <c r="CD39" s="183">
        <f t="shared" si="33"/>
        <v>0</v>
      </c>
    </row>
    <row r="40" spans="2:82" x14ac:dyDescent="0.3">
      <c r="B40" s="54"/>
      <c r="C40" s="54" t="str">
        <f t="shared" si="0"/>
        <v>CPU_Reservatorio</v>
      </c>
      <c r="D40" s="280">
        <f t="shared" si="1"/>
        <v>0.2</v>
      </c>
      <c r="E40" s="280">
        <f t="shared" si="2"/>
        <v>0</v>
      </c>
      <c r="F40" s="1"/>
      <c r="G40" s="28" t="str">
        <f>IFERROR(VLOOKUP(F40,Tabela7[[RECURSO]:[CUSTO]],2,FALSE),"")</f>
        <v/>
      </c>
      <c r="H40" s="92"/>
      <c r="I40" s="90"/>
      <c r="J40" s="45">
        <f>IFERROR(VLOOKUP(F40,Tabela7[[RECURSO]:[CUSTO]],3,FALSE),0)</f>
        <v>0</v>
      </c>
      <c r="K40" s="45">
        <f>I40*J40*CPU_28[[#This Row],[Nº]]</f>
        <v>0</v>
      </c>
      <c r="AD40" s="144" t="str">
        <f t="shared" si="3"/>
        <v>Reservatorio</v>
      </c>
      <c r="AE40" s="186"/>
      <c r="AF40" s="180">
        <f t="shared" si="35"/>
        <v>0</v>
      </c>
      <c r="AG40" s="180">
        <f t="shared" si="17"/>
        <v>0</v>
      </c>
      <c r="AH40" s="181">
        <f t="shared" si="36"/>
        <v>0</v>
      </c>
      <c r="AI40" s="187"/>
      <c r="AJ40" s="90"/>
      <c r="AK40" s="90"/>
      <c r="AL40" s="183">
        <f t="shared" si="37"/>
        <v>0</v>
      </c>
      <c r="AM40" s="187"/>
      <c r="AN40" s="90"/>
      <c r="AO40" s="90"/>
      <c r="AP40" s="183">
        <f t="shared" si="23"/>
        <v>0</v>
      </c>
      <c r="AQ40" s="187"/>
      <c r="AR40" s="90"/>
      <c r="AS40" s="90"/>
      <c r="AT40" s="183">
        <f t="shared" si="24"/>
        <v>0</v>
      </c>
      <c r="AU40" s="187"/>
      <c r="AV40" s="90"/>
      <c r="AW40" s="90"/>
      <c r="AX40" s="183">
        <f t="shared" si="25"/>
        <v>0</v>
      </c>
      <c r="AY40" s="187"/>
      <c r="AZ40" s="90"/>
      <c r="BA40" s="90"/>
      <c r="BB40" s="183">
        <f t="shared" si="26"/>
        <v>0</v>
      </c>
      <c r="BC40" s="187"/>
      <c r="BD40" s="90"/>
      <c r="BE40" s="90"/>
      <c r="BF40" s="183">
        <f t="shared" si="27"/>
        <v>0</v>
      </c>
      <c r="BG40" s="187"/>
      <c r="BH40" s="90"/>
      <c r="BI40" s="90"/>
      <c r="BJ40" s="183">
        <f t="shared" si="28"/>
        <v>0</v>
      </c>
      <c r="BK40" s="187"/>
      <c r="BL40" s="90"/>
      <c r="BM40" s="90"/>
      <c r="BN40" s="183">
        <f t="shared" si="29"/>
        <v>0</v>
      </c>
      <c r="BO40" s="187"/>
      <c r="BP40" s="90"/>
      <c r="BQ40" s="90"/>
      <c r="BR40" s="183">
        <f t="shared" si="30"/>
        <v>0</v>
      </c>
      <c r="BS40" s="187"/>
      <c r="BT40" s="90"/>
      <c r="BU40" s="90"/>
      <c r="BV40" s="183">
        <f t="shared" si="31"/>
        <v>0</v>
      </c>
      <c r="BW40" s="187"/>
      <c r="BX40" s="90"/>
      <c r="BY40" s="90"/>
      <c r="BZ40" s="183">
        <f t="shared" si="32"/>
        <v>0</v>
      </c>
      <c r="CA40" s="187"/>
      <c r="CB40" s="90"/>
      <c r="CC40" s="90"/>
      <c r="CD40" s="183">
        <f t="shared" si="33"/>
        <v>0</v>
      </c>
    </row>
    <row r="41" spans="2:82" x14ac:dyDescent="0.3">
      <c r="B41" s="54"/>
      <c r="C41" s="54" t="str">
        <f t="shared" si="0"/>
        <v>CPU_Reservatorio</v>
      </c>
      <c r="D41" s="280">
        <f t="shared" si="1"/>
        <v>0.2</v>
      </c>
      <c r="E41" s="280">
        <f t="shared" si="2"/>
        <v>0</v>
      </c>
      <c r="F41" s="1"/>
      <c r="G41" s="28" t="str">
        <f>IFERROR(VLOOKUP(F41,Tabela7[[RECURSO]:[CUSTO]],2,FALSE),"")</f>
        <v/>
      </c>
      <c r="H41" s="92"/>
      <c r="I41" s="90"/>
      <c r="J41" s="45">
        <f>IFERROR(VLOOKUP(F41,Tabela7[[RECURSO]:[CUSTO]],3,FALSE),0)</f>
        <v>0</v>
      </c>
      <c r="K41" s="45">
        <f>I41*J41*CPU_28[[#This Row],[Nº]]</f>
        <v>0</v>
      </c>
      <c r="AD41" s="144" t="str">
        <f t="shared" si="3"/>
        <v>Reservatorio</v>
      </c>
      <c r="AE41" s="186"/>
      <c r="AF41" s="180">
        <f t="shared" si="35"/>
        <v>0</v>
      </c>
      <c r="AG41" s="180">
        <f t="shared" si="17"/>
        <v>0</v>
      </c>
      <c r="AH41" s="181">
        <f t="shared" si="36"/>
        <v>0</v>
      </c>
      <c r="AI41" s="187"/>
      <c r="AJ41" s="90"/>
      <c r="AK41" s="90"/>
      <c r="AL41" s="183">
        <f t="shared" si="37"/>
        <v>0</v>
      </c>
      <c r="AM41" s="187"/>
      <c r="AN41" s="90"/>
      <c r="AO41" s="90"/>
      <c r="AP41" s="183">
        <f t="shared" si="23"/>
        <v>0</v>
      </c>
      <c r="AQ41" s="187"/>
      <c r="AR41" s="90"/>
      <c r="AS41" s="90"/>
      <c r="AT41" s="183">
        <f t="shared" si="24"/>
        <v>0</v>
      </c>
      <c r="AU41" s="187"/>
      <c r="AV41" s="90"/>
      <c r="AW41" s="90"/>
      <c r="AX41" s="183">
        <f t="shared" si="25"/>
        <v>0</v>
      </c>
      <c r="AY41" s="187"/>
      <c r="AZ41" s="90"/>
      <c r="BA41" s="90"/>
      <c r="BB41" s="183">
        <f t="shared" si="26"/>
        <v>0</v>
      </c>
      <c r="BC41" s="187"/>
      <c r="BD41" s="90"/>
      <c r="BE41" s="90"/>
      <c r="BF41" s="183">
        <f t="shared" si="27"/>
        <v>0</v>
      </c>
      <c r="BG41" s="187"/>
      <c r="BH41" s="90"/>
      <c r="BI41" s="90"/>
      <c r="BJ41" s="183">
        <f t="shared" si="28"/>
        <v>0</v>
      </c>
      <c r="BK41" s="187"/>
      <c r="BL41" s="90"/>
      <c r="BM41" s="90"/>
      <c r="BN41" s="183">
        <f t="shared" si="29"/>
        <v>0</v>
      </c>
      <c r="BO41" s="187"/>
      <c r="BP41" s="90"/>
      <c r="BQ41" s="90"/>
      <c r="BR41" s="183">
        <f t="shared" si="30"/>
        <v>0</v>
      </c>
      <c r="BS41" s="187"/>
      <c r="BT41" s="90"/>
      <c r="BU41" s="90"/>
      <c r="BV41" s="183">
        <f t="shared" si="31"/>
        <v>0</v>
      </c>
      <c r="BW41" s="187"/>
      <c r="BX41" s="90"/>
      <c r="BY41" s="90"/>
      <c r="BZ41" s="183">
        <f t="shared" si="32"/>
        <v>0</v>
      </c>
      <c r="CA41" s="187"/>
      <c r="CB41" s="90"/>
      <c r="CC41" s="90"/>
      <c r="CD41" s="183">
        <f t="shared" si="33"/>
        <v>0</v>
      </c>
    </row>
    <row r="42" spans="2:82" x14ac:dyDescent="0.3">
      <c r="B42" s="54"/>
      <c r="C42" s="54" t="str">
        <f t="shared" si="0"/>
        <v>CPU_Reservatorio</v>
      </c>
      <c r="D42" s="280">
        <f t="shared" si="1"/>
        <v>0.2</v>
      </c>
      <c r="E42" s="280">
        <f t="shared" si="2"/>
        <v>0</v>
      </c>
      <c r="F42" s="1"/>
      <c r="G42" s="28" t="str">
        <f>IFERROR(VLOOKUP(F42,Tabela7[[RECURSO]:[CUSTO]],2,FALSE),"")</f>
        <v/>
      </c>
      <c r="H42" s="92"/>
      <c r="I42" s="90"/>
      <c r="J42" s="45">
        <f>IFERROR(VLOOKUP(F42,Tabela7[[RECURSO]:[CUSTO]],3,FALSE),0)</f>
        <v>0</v>
      </c>
      <c r="K42" s="45">
        <f>I42*J42*CPU_28[[#This Row],[Nº]]</f>
        <v>0</v>
      </c>
      <c r="AD42" s="144" t="str">
        <f t="shared" si="3"/>
        <v>Reservatorio</v>
      </c>
      <c r="AE42" s="186"/>
      <c r="AF42" s="180">
        <f t="shared" si="35"/>
        <v>0</v>
      </c>
      <c r="AG42" s="180">
        <f t="shared" si="17"/>
        <v>0</v>
      </c>
      <c r="AH42" s="181">
        <f t="shared" si="36"/>
        <v>0</v>
      </c>
      <c r="AI42" s="187"/>
      <c r="AJ42" s="90"/>
      <c r="AK42" s="90"/>
      <c r="AL42" s="183">
        <f t="shared" si="37"/>
        <v>0</v>
      </c>
      <c r="AM42" s="187"/>
      <c r="AN42" s="90"/>
      <c r="AO42" s="90"/>
      <c r="AP42" s="183">
        <f t="shared" si="23"/>
        <v>0</v>
      </c>
      <c r="AQ42" s="187"/>
      <c r="AR42" s="90"/>
      <c r="AS42" s="90"/>
      <c r="AT42" s="183">
        <f t="shared" si="24"/>
        <v>0</v>
      </c>
      <c r="AU42" s="187"/>
      <c r="AV42" s="90"/>
      <c r="AW42" s="90"/>
      <c r="AX42" s="183">
        <f t="shared" si="25"/>
        <v>0</v>
      </c>
      <c r="AY42" s="187"/>
      <c r="AZ42" s="90"/>
      <c r="BA42" s="90"/>
      <c r="BB42" s="183">
        <f t="shared" si="26"/>
        <v>0</v>
      </c>
      <c r="BC42" s="187"/>
      <c r="BD42" s="90"/>
      <c r="BE42" s="90"/>
      <c r="BF42" s="183">
        <f t="shared" si="27"/>
        <v>0</v>
      </c>
      <c r="BG42" s="187"/>
      <c r="BH42" s="90"/>
      <c r="BI42" s="90"/>
      <c r="BJ42" s="183">
        <f t="shared" si="28"/>
        <v>0</v>
      </c>
      <c r="BK42" s="187"/>
      <c r="BL42" s="90"/>
      <c r="BM42" s="90"/>
      <c r="BN42" s="183">
        <f t="shared" si="29"/>
        <v>0</v>
      </c>
      <c r="BO42" s="187"/>
      <c r="BP42" s="90"/>
      <c r="BQ42" s="90"/>
      <c r="BR42" s="183">
        <f t="shared" si="30"/>
        <v>0</v>
      </c>
      <c r="BS42" s="187"/>
      <c r="BT42" s="90"/>
      <c r="BU42" s="90"/>
      <c r="BV42" s="183">
        <f t="shared" si="31"/>
        <v>0</v>
      </c>
      <c r="BW42" s="187"/>
      <c r="BX42" s="90"/>
      <c r="BY42" s="90"/>
      <c r="BZ42" s="183">
        <f t="shared" si="32"/>
        <v>0</v>
      </c>
      <c r="CA42" s="187"/>
      <c r="CB42" s="90"/>
      <c r="CC42" s="90"/>
      <c r="CD42" s="183">
        <f t="shared" si="33"/>
        <v>0</v>
      </c>
    </row>
    <row r="43" spans="2:82" x14ac:dyDescent="0.3">
      <c r="B43" s="54"/>
      <c r="C43" s="54" t="str">
        <f t="shared" si="0"/>
        <v>CPU_Reservatorio</v>
      </c>
      <c r="D43" s="280">
        <f t="shared" si="1"/>
        <v>0.2</v>
      </c>
      <c r="E43" s="280">
        <f t="shared" si="2"/>
        <v>0</v>
      </c>
      <c r="F43" s="1"/>
      <c r="G43" s="28" t="str">
        <f>IFERROR(VLOOKUP(F43,Tabela7[[RECURSO]:[CUSTO]],2,FALSE),"")</f>
        <v/>
      </c>
      <c r="H43" s="92"/>
      <c r="I43" s="90"/>
      <c r="J43" s="45">
        <f>IFERROR(VLOOKUP(F43,Tabela7[[RECURSO]:[CUSTO]],3,FALSE),0)</f>
        <v>0</v>
      </c>
      <c r="K43" s="45">
        <f>I43*J43*CPU_28[[#This Row],[Nº]]</f>
        <v>0</v>
      </c>
      <c r="AD43" s="144" t="str">
        <f t="shared" si="3"/>
        <v>Reservatorio</v>
      </c>
      <c r="AE43" s="186"/>
      <c r="AF43" s="180">
        <f t="shared" si="35"/>
        <v>0</v>
      </c>
      <c r="AG43" s="180">
        <f t="shared" si="17"/>
        <v>0</v>
      </c>
      <c r="AH43" s="181">
        <f t="shared" si="36"/>
        <v>0</v>
      </c>
      <c r="AI43" s="187"/>
      <c r="AJ43" s="90"/>
      <c r="AK43" s="90"/>
      <c r="AL43" s="183">
        <f t="shared" si="37"/>
        <v>0</v>
      </c>
      <c r="AM43" s="187"/>
      <c r="AN43" s="90"/>
      <c r="AO43" s="90"/>
      <c r="AP43" s="183">
        <f t="shared" si="23"/>
        <v>0</v>
      </c>
      <c r="AQ43" s="187"/>
      <c r="AR43" s="90"/>
      <c r="AS43" s="90"/>
      <c r="AT43" s="183">
        <f t="shared" si="24"/>
        <v>0</v>
      </c>
      <c r="AU43" s="187"/>
      <c r="AV43" s="90"/>
      <c r="AW43" s="90"/>
      <c r="AX43" s="183">
        <f t="shared" si="25"/>
        <v>0</v>
      </c>
      <c r="AY43" s="187"/>
      <c r="AZ43" s="90"/>
      <c r="BA43" s="90"/>
      <c r="BB43" s="183">
        <f t="shared" si="26"/>
        <v>0</v>
      </c>
      <c r="BC43" s="187"/>
      <c r="BD43" s="90"/>
      <c r="BE43" s="90"/>
      <c r="BF43" s="183">
        <f t="shared" si="27"/>
        <v>0</v>
      </c>
      <c r="BG43" s="187"/>
      <c r="BH43" s="90"/>
      <c r="BI43" s="90"/>
      <c r="BJ43" s="183">
        <f t="shared" si="28"/>
        <v>0</v>
      </c>
      <c r="BK43" s="187"/>
      <c r="BL43" s="90"/>
      <c r="BM43" s="90"/>
      <c r="BN43" s="183">
        <f t="shared" si="29"/>
        <v>0</v>
      </c>
      <c r="BO43" s="187"/>
      <c r="BP43" s="90"/>
      <c r="BQ43" s="90"/>
      <c r="BR43" s="183">
        <f t="shared" si="30"/>
        <v>0</v>
      </c>
      <c r="BS43" s="187"/>
      <c r="BT43" s="90"/>
      <c r="BU43" s="90"/>
      <c r="BV43" s="183">
        <f t="shared" si="31"/>
        <v>0</v>
      </c>
      <c r="BW43" s="187"/>
      <c r="BX43" s="90"/>
      <c r="BY43" s="90"/>
      <c r="BZ43" s="183">
        <f t="shared" si="32"/>
        <v>0</v>
      </c>
      <c r="CA43" s="187"/>
      <c r="CB43" s="90"/>
      <c r="CC43" s="90"/>
      <c r="CD43" s="183">
        <f t="shared" si="33"/>
        <v>0</v>
      </c>
    </row>
    <row r="44" spans="2:82" x14ac:dyDescent="0.3">
      <c r="B44" s="54"/>
      <c r="C44" s="54" t="str">
        <f t="shared" si="0"/>
        <v>CPU_Reservatorio</v>
      </c>
      <c r="D44" s="280">
        <f t="shared" si="1"/>
        <v>0.2</v>
      </c>
      <c r="E44" s="280">
        <f t="shared" si="2"/>
        <v>0</v>
      </c>
      <c r="F44" s="1"/>
      <c r="G44" s="28" t="str">
        <f>IFERROR(VLOOKUP(F44,Tabela7[[RECURSO]:[CUSTO]],2,FALSE),"")</f>
        <v/>
      </c>
      <c r="H44" s="92"/>
      <c r="I44" s="90"/>
      <c r="J44" s="45">
        <f>IFERROR(VLOOKUP(F44,Tabela7[[RECURSO]:[CUSTO]],3,FALSE),0)</f>
        <v>0</v>
      </c>
      <c r="K44" s="45">
        <f>I44*J44*CPU_28[[#This Row],[Nº]]</f>
        <v>0</v>
      </c>
      <c r="AD44" s="144" t="str">
        <f t="shared" si="3"/>
        <v>Reservatorio</v>
      </c>
      <c r="AE44" s="186"/>
      <c r="AF44" s="180">
        <f t="shared" si="35"/>
        <v>0</v>
      </c>
      <c r="AG44" s="180">
        <f t="shared" si="17"/>
        <v>0</v>
      </c>
      <c r="AH44" s="181">
        <f t="shared" si="36"/>
        <v>0</v>
      </c>
      <c r="AI44" s="187"/>
      <c r="AJ44" s="90"/>
      <c r="AK44" s="90"/>
      <c r="AL44" s="183">
        <f t="shared" si="37"/>
        <v>0</v>
      </c>
      <c r="AM44" s="187"/>
      <c r="AN44" s="90"/>
      <c r="AO44" s="90"/>
      <c r="AP44" s="183">
        <f t="shared" si="23"/>
        <v>0</v>
      </c>
      <c r="AQ44" s="187"/>
      <c r="AR44" s="90"/>
      <c r="AS44" s="90"/>
      <c r="AT44" s="183">
        <f t="shared" si="24"/>
        <v>0</v>
      </c>
      <c r="AU44" s="187"/>
      <c r="AV44" s="90"/>
      <c r="AW44" s="90"/>
      <c r="AX44" s="183">
        <f t="shared" si="25"/>
        <v>0</v>
      </c>
      <c r="AY44" s="187"/>
      <c r="AZ44" s="90"/>
      <c r="BA44" s="90"/>
      <c r="BB44" s="183">
        <f t="shared" si="26"/>
        <v>0</v>
      </c>
      <c r="BC44" s="187"/>
      <c r="BD44" s="90"/>
      <c r="BE44" s="90"/>
      <c r="BF44" s="183">
        <f t="shared" si="27"/>
        <v>0</v>
      </c>
      <c r="BG44" s="187"/>
      <c r="BH44" s="90"/>
      <c r="BI44" s="90"/>
      <c r="BJ44" s="183">
        <f t="shared" si="28"/>
        <v>0</v>
      </c>
      <c r="BK44" s="187"/>
      <c r="BL44" s="90"/>
      <c r="BM44" s="90"/>
      <c r="BN44" s="183">
        <f t="shared" si="29"/>
        <v>0</v>
      </c>
      <c r="BO44" s="187"/>
      <c r="BP44" s="90"/>
      <c r="BQ44" s="90"/>
      <c r="BR44" s="183">
        <f t="shared" si="30"/>
        <v>0</v>
      </c>
      <c r="BS44" s="187"/>
      <c r="BT44" s="90"/>
      <c r="BU44" s="90"/>
      <c r="BV44" s="183">
        <f t="shared" si="31"/>
        <v>0</v>
      </c>
      <c r="BW44" s="187"/>
      <c r="BX44" s="90"/>
      <c r="BY44" s="90"/>
      <c r="BZ44" s="183">
        <f t="shared" si="32"/>
        <v>0</v>
      </c>
      <c r="CA44" s="187"/>
      <c r="CB44" s="90"/>
      <c r="CC44" s="90"/>
      <c r="CD44" s="183">
        <f t="shared" si="33"/>
        <v>0</v>
      </c>
    </row>
    <row r="45" spans="2:82" x14ac:dyDescent="0.3">
      <c r="B45" s="53"/>
      <c r="C45" s="53" t="str">
        <f t="shared" si="0"/>
        <v>CPU_Reservatorio</v>
      </c>
      <c r="D45" s="278">
        <f t="shared" si="1"/>
        <v>0.2</v>
      </c>
      <c r="E45" s="278">
        <f t="shared" si="2"/>
        <v>0</v>
      </c>
      <c r="F45" s="1"/>
      <c r="G45" s="28" t="str">
        <f>IFERROR(VLOOKUP(F45,Tabela7[[RECURSO]:[CUSTO]],2,FALSE),"")</f>
        <v/>
      </c>
      <c r="H45" s="92"/>
      <c r="I45" s="90"/>
      <c r="J45" s="45">
        <f>IFERROR(VLOOKUP(F45,Tabela7[[RECURSO]:[CUSTO]],3,FALSE),0)</f>
        <v>0</v>
      </c>
      <c r="K45" s="45">
        <f>I45*J45*CPU_28[[#This Row],[Nº]]</f>
        <v>0</v>
      </c>
      <c r="AD45" s="144" t="str">
        <f t="shared" si="3"/>
        <v>Reservatorio</v>
      </c>
      <c r="AE45" s="188"/>
      <c r="AF45" s="180">
        <f t="shared" si="35"/>
        <v>0</v>
      </c>
      <c r="AG45" s="180">
        <f t="shared" si="17"/>
        <v>0</v>
      </c>
      <c r="AH45" s="181">
        <f t="shared" si="36"/>
        <v>0</v>
      </c>
      <c r="AI45" s="189"/>
      <c r="AJ45" s="90"/>
      <c r="AK45" s="90"/>
      <c r="AL45" s="183">
        <f t="shared" si="37"/>
        <v>0</v>
      </c>
      <c r="AM45" s="189"/>
      <c r="AN45" s="90"/>
      <c r="AO45" s="90"/>
      <c r="AP45" s="183">
        <f t="shared" si="23"/>
        <v>0</v>
      </c>
      <c r="AQ45" s="189"/>
      <c r="AR45" s="90"/>
      <c r="AS45" s="90"/>
      <c r="AT45" s="183">
        <f t="shared" si="24"/>
        <v>0</v>
      </c>
      <c r="AU45" s="189"/>
      <c r="AV45" s="90"/>
      <c r="AW45" s="90"/>
      <c r="AX45" s="183">
        <f t="shared" si="25"/>
        <v>0</v>
      </c>
      <c r="AY45" s="189"/>
      <c r="AZ45" s="90"/>
      <c r="BA45" s="90"/>
      <c r="BB45" s="183">
        <f t="shared" si="26"/>
        <v>0</v>
      </c>
      <c r="BC45" s="189"/>
      <c r="BD45" s="90"/>
      <c r="BE45" s="90"/>
      <c r="BF45" s="183">
        <f t="shared" si="27"/>
        <v>0</v>
      </c>
      <c r="BG45" s="189"/>
      <c r="BH45" s="90"/>
      <c r="BI45" s="90"/>
      <c r="BJ45" s="183">
        <f t="shared" si="28"/>
        <v>0</v>
      </c>
      <c r="BK45" s="189"/>
      <c r="BL45" s="90"/>
      <c r="BM45" s="90"/>
      <c r="BN45" s="183">
        <f t="shared" si="29"/>
        <v>0</v>
      </c>
      <c r="BO45" s="189"/>
      <c r="BP45" s="90"/>
      <c r="BQ45" s="90"/>
      <c r="BR45" s="183">
        <f t="shared" si="30"/>
        <v>0</v>
      </c>
      <c r="BS45" s="189"/>
      <c r="BT45" s="90"/>
      <c r="BU45" s="90"/>
      <c r="BV45" s="183">
        <f t="shared" si="31"/>
        <v>0</v>
      </c>
      <c r="BW45" s="189"/>
      <c r="BX45" s="90"/>
      <c r="BY45" s="90"/>
      <c r="BZ45" s="183">
        <f t="shared" si="32"/>
        <v>0</v>
      </c>
      <c r="CA45" s="189"/>
      <c r="CB45" s="90"/>
      <c r="CC45" s="90"/>
      <c r="CD45" s="183">
        <f t="shared" si="33"/>
        <v>0</v>
      </c>
    </row>
    <row r="46" spans="2:82" x14ac:dyDescent="0.3">
      <c r="B46" s="53"/>
      <c r="C46" s="53" t="str">
        <f t="shared" si="0"/>
        <v>CPU_Reservatorio</v>
      </c>
      <c r="D46" s="278">
        <f t="shared" si="1"/>
        <v>0.2</v>
      </c>
      <c r="E46" s="278">
        <f t="shared" si="2"/>
        <v>0</v>
      </c>
      <c r="F46" s="1"/>
      <c r="G46" s="28" t="str">
        <f>IFERROR(VLOOKUP(F46,Tabela7[[RECURSO]:[CUSTO]],2,FALSE),"")</f>
        <v/>
      </c>
      <c r="H46" s="92"/>
      <c r="I46" s="90"/>
      <c r="J46" s="45">
        <f>IFERROR(VLOOKUP(F46,Tabela7[[RECURSO]:[CUSTO]],3,FALSE),0)</f>
        <v>0</v>
      </c>
      <c r="K46" s="45">
        <f>I46*J46*CPU_28[[#This Row],[Nº]]</f>
        <v>0</v>
      </c>
      <c r="AD46" s="144" t="str">
        <f t="shared" si="3"/>
        <v>Reservatorio</v>
      </c>
      <c r="AE46" s="188"/>
      <c r="AF46" s="180">
        <f t="shared" si="35"/>
        <v>0</v>
      </c>
      <c r="AG46" s="180">
        <f t="shared" si="17"/>
        <v>0</v>
      </c>
      <c r="AH46" s="181">
        <f t="shared" si="36"/>
        <v>0</v>
      </c>
      <c r="AI46" s="189"/>
      <c r="AJ46" s="90"/>
      <c r="AK46" s="90"/>
      <c r="AL46" s="183">
        <f t="shared" si="37"/>
        <v>0</v>
      </c>
      <c r="AM46" s="189"/>
      <c r="AN46" s="90"/>
      <c r="AO46" s="90"/>
      <c r="AP46" s="183">
        <f t="shared" si="23"/>
        <v>0</v>
      </c>
      <c r="AQ46" s="189"/>
      <c r="AR46" s="90"/>
      <c r="AS46" s="90"/>
      <c r="AT46" s="183">
        <f t="shared" si="24"/>
        <v>0</v>
      </c>
      <c r="AU46" s="189"/>
      <c r="AV46" s="90"/>
      <c r="AW46" s="90"/>
      <c r="AX46" s="183">
        <f t="shared" si="25"/>
        <v>0</v>
      </c>
      <c r="AY46" s="189"/>
      <c r="AZ46" s="90"/>
      <c r="BA46" s="90"/>
      <c r="BB46" s="183">
        <f t="shared" si="26"/>
        <v>0</v>
      </c>
      <c r="BC46" s="189"/>
      <c r="BD46" s="90"/>
      <c r="BE46" s="90"/>
      <c r="BF46" s="183">
        <f t="shared" si="27"/>
        <v>0</v>
      </c>
      <c r="BG46" s="189"/>
      <c r="BH46" s="90"/>
      <c r="BI46" s="90"/>
      <c r="BJ46" s="183">
        <f t="shared" si="28"/>
        <v>0</v>
      </c>
      <c r="BK46" s="189"/>
      <c r="BL46" s="90"/>
      <c r="BM46" s="90"/>
      <c r="BN46" s="183">
        <f t="shared" si="29"/>
        <v>0</v>
      </c>
      <c r="BO46" s="189"/>
      <c r="BP46" s="90"/>
      <c r="BQ46" s="90"/>
      <c r="BR46" s="183">
        <f t="shared" si="30"/>
        <v>0</v>
      </c>
      <c r="BS46" s="189"/>
      <c r="BT46" s="90"/>
      <c r="BU46" s="90"/>
      <c r="BV46" s="183">
        <f t="shared" si="31"/>
        <v>0</v>
      </c>
      <c r="BW46" s="189"/>
      <c r="BX46" s="90"/>
      <c r="BY46" s="90"/>
      <c r="BZ46" s="183">
        <f t="shared" si="32"/>
        <v>0</v>
      </c>
      <c r="CA46" s="189"/>
      <c r="CB46" s="90"/>
      <c r="CC46" s="90"/>
      <c r="CD46" s="183">
        <f t="shared" si="33"/>
        <v>0</v>
      </c>
    </row>
    <row r="47" spans="2:82" x14ac:dyDescent="0.3">
      <c r="B47" s="53"/>
      <c r="C47" s="53" t="str">
        <f t="shared" si="0"/>
        <v>CPU_Reservatorio</v>
      </c>
      <c r="D47" s="278">
        <f t="shared" si="1"/>
        <v>0.2</v>
      </c>
      <c r="E47" s="278">
        <f t="shared" si="2"/>
        <v>0</v>
      </c>
      <c r="F47" s="1"/>
      <c r="G47" s="28" t="str">
        <f>IFERROR(VLOOKUP(F47,Tabela7[[RECURSO]:[CUSTO]],2,FALSE),"")</f>
        <v/>
      </c>
      <c r="H47" s="92"/>
      <c r="I47" s="90"/>
      <c r="J47" s="45">
        <f>IFERROR(VLOOKUP(F47,Tabela7[[RECURSO]:[CUSTO]],3,FALSE),0)</f>
        <v>0</v>
      </c>
      <c r="K47" s="45">
        <f>I47*J47*CPU_28[[#This Row],[Nº]]</f>
        <v>0</v>
      </c>
      <c r="AD47" s="144" t="str">
        <f t="shared" si="3"/>
        <v>Reservatorio</v>
      </c>
      <c r="AE47" s="188"/>
      <c r="AF47" s="180">
        <f t="shared" si="35"/>
        <v>0</v>
      </c>
      <c r="AG47" s="180">
        <f t="shared" si="17"/>
        <v>0</v>
      </c>
      <c r="AH47" s="181">
        <f t="shared" si="36"/>
        <v>0</v>
      </c>
      <c r="AI47" s="189"/>
      <c r="AJ47" s="90"/>
      <c r="AK47" s="90"/>
      <c r="AL47" s="183">
        <f t="shared" si="37"/>
        <v>0</v>
      </c>
      <c r="AM47" s="189"/>
      <c r="AN47" s="90"/>
      <c r="AO47" s="90"/>
      <c r="AP47" s="183">
        <f t="shared" si="23"/>
        <v>0</v>
      </c>
      <c r="AQ47" s="189"/>
      <c r="AR47" s="90"/>
      <c r="AS47" s="90"/>
      <c r="AT47" s="183">
        <f t="shared" si="24"/>
        <v>0</v>
      </c>
      <c r="AU47" s="189"/>
      <c r="AV47" s="90"/>
      <c r="AW47" s="90"/>
      <c r="AX47" s="183">
        <f t="shared" si="25"/>
        <v>0</v>
      </c>
      <c r="AY47" s="189"/>
      <c r="AZ47" s="90"/>
      <c r="BA47" s="90"/>
      <c r="BB47" s="183">
        <f t="shared" si="26"/>
        <v>0</v>
      </c>
      <c r="BC47" s="189"/>
      <c r="BD47" s="90"/>
      <c r="BE47" s="90"/>
      <c r="BF47" s="183">
        <f t="shared" si="27"/>
        <v>0</v>
      </c>
      <c r="BG47" s="189"/>
      <c r="BH47" s="90"/>
      <c r="BI47" s="90"/>
      <c r="BJ47" s="183">
        <f t="shared" si="28"/>
        <v>0</v>
      </c>
      <c r="BK47" s="189"/>
      <c r="BL47" s="90"/>
      <c r="BM47" s="90"/>
      <c r="BN47" s="183">
        <f t="shared" si="29"/>
        <v>0</v>
      </c>
      <c r="BO47" s="189"/>
      <c r="BP47" s="90"/>
      <c r="BQ47" s="90"/>
      <c r="BR47" s="183">
        <f t="shared" si="30"/>
        <v>0</v>
      </c>
      <c r="BS47" s="189"/>
      <c r="BT47" s="90"/>
      <c r="BU47" s="90"/>
      <c r="BV47" s="183">
        <f t="shared" si="31"/>
        <v>0</v>
      </c>
      <c r="BW47" s="189"/>
      <c r="BX47" s="90"/>
      <c r="BY47" s="90"/>
      <c r="BZ47" s="183">
        <f t="shared" si="32"/>
        <v>0</v>
      </c>
      <c r="CA47" s="189"/>
      <c r="CB47" s="90"/>
      <c r="CC47" s="90"/>
      <c r="CD47" s="183">
        <f t="shared" si="33"/>
        <v>0</v>
      </c>
    </row>
    <row r="48" spans="2:82" x14ac:dyDescent="0.3">
      <c r="B48" s="53"/>
      <c r="C48" s="53" t="str">
        <f t="shared" si="0"/>
        <v>CPU_Reservatorio</v>
      </c>
      <c r="D48" s="278">
        <f t="shared" si="1"/>
        <v>0.2</v>
      </c>
      <c r="E48" s="278">
        <f t="shared" si="2"/>
        <v>0</v>
      </c>
      <c r="F48" s="1"/>
      <c r="G48" s="28" t="str">
        <f>IFERROR(VLOOKUP(F48,Tabela7[[RECURSO]:[CUSTO]],2,FALSE),"")</f>
        <v/>
      </c>
      <c r="H48" s="92"/>
      <c r="I48" s="90"/>
      <c r="J48" s="45">
        <f>IFERROR(VLOOKUP(F48,Tabela7[[RECURSO]:[CUSTO]],3,FALSE),0)</f>
        <v>0</v>
      </c>
      <c r="K48" s="45">
        <f>I48*J48*CPU_28[[#This Row],[Nº]]</f>
        <v>0</v>
      </c>
      <c r="AD48" s="144" t="str">
        <f t="shared" si="3"/>
        <v>Reservatorio</v>
      </c>
      <c r="AE48" s="188"/>
      <c r="AF48" s="180">
        <f t="shared" si="35"/>
        <v>0</v>
      </c>
      <c r="AG48" s="180">
        <f t="shared" si="17"/>
        <v>0</v>
      </c>
      <c r="AH48" s="181">
        <f t="shared" si="36"/>
        <v>0</v>
      </c>
      <c r="AI48" s="189"/>
      <c r="AJ48" s="90"/>
      <c r="AK48" s="90"/>
      <c r="AL48" s="183">
        <f t="shared" si="37"/>
        <v>0</v>
      </c>
      <c r="AM48" s="189"/>
      <c r="AN48" s="90"/>
      <c r="AO48" s="90"/>
      <c r="AP48" s="183">
        <f t="shared" si="23"/>
        <v>0</v>
      </c>
      <c r="AQ48" s="189"/>
      <c r="AR48" s="90"/>
      <c r="AS48" s="90"/>
      <c r="AT48" s="183">
        <f t="shared" si="24"/>
        <v>0</v>
      </c>
      <c r="AU48" s="189"/>
      <c r="AV48" s="90"/>
      <c r="AW48" s="90"/>
      <c r="AX48" s="183">
        <f t="shared" si="25"/>
        <v>0</v>
      </c>
      <c r="AY48" s="189"/>
      <c r="AZ48" s="90"/>
      <c r="BA48" s="90"/>
      <c r="BB48" s="183">
        <f t="shared" si="26"/>
        <v>0</v>
      </c>
      <c r="BC48" s="189"/>
      <c r="BD48" s="90"/>
      <c r="BE48" s="90"/>
      <c r="BF48" s="183">
        <f t="shared" si="27"/>
        <v>0</v>
      </c>
      <c r="BG48" s="189"/>
      <c r="BH48" s="90"/>
      <c r="BI48" s="90"/>
      <c r="BJ48" s="183">
        <f t="shared" si="28"/>
        <v>0</v>
      </c>
      <c r="BK48" s="189"/>
      <c r="BL48" s="90"/>
      <c r="BM48" s="90"/>
      <c r="BN48" s="183">
        <f t="shared" si="29"/>
        <v>0</v>
      </c>
      <c r="BO48" s="189"/>
      <c r="BP48" s="90"/>
      <c r="BQ48" s="90"/>
      <c r="BR48" s="183">
        <f t="shared" si="30"/>
        <v>0</v>
      </c>
      <c r="BS48" s="189"/>
      <c r="BT48" s="90"/>
      <c r="BU48" s="90"/>
      <c r="BV48" s="183">
        <f t="shared" si="31"/>
        <v>0</v>
      </c>
      <c r="BW48" s="189"/>
      <c r="BX48" s="90"/>
      <c r="BY48" s="90"/>
      <c r="BZ48" s="183">
        <f t="shared" si="32"/>
        <v>0</v>
      </c>
      <c r="CA48" s="189"/>
      <c r="CB48" s="90"/>
      <c r="CC48" s="90"/>
      <c r="CD48" s="183">
        <f t="shared" si="33"/>
        <v>0</v>
      </c>
    </row>
    <row r="49" spans="2:82" ht="15" thickBot="1" x14ac:dyDescent="0.35">
      <c r="B49" s="53"/>
      <c r="C49" s="53" t="str">
        <f t="shared" si="0"/>
        <v>CPU_Reservatorio</v>
      </c>
      <c r="D49" s="278">
        <f t="shared" si="1"/>
        <v>0.2</v>
      </c>
      <c r="E49" s="278">
        <f t="shared" si="2"/>
        <v>0</v>
      </c>
      <c r="F49" s="1"/>
      <c r="G49" s="28" t="str">
        <f>IFERROR(VLOOKUP(F49,Tabela7[[RECURSO]:[CUSTO]],2,FALSE),"")</f>
        <v/>
      </c>
      <c r="H49" s="92"/>
      <c r="I49" s="90"/>
      <c r="J49" s="45">
        <f>IFERROR(VLOOKUP(F49,Tabela7[[RECURSO]:[CUSTO]],3,FALSE),0)</f>
        <v>0</v>
      </c>
      <c r="K49" s="45">
        <f>I49*J49*CPU_28[[#This Row],[Nº]]</f>
        <v>0</v>
      </c>
      <c r="M49" s="83" t="s">
        <v>701</v>
      </c>
      <c r="N49" s="87" t="s">
        <v>702</v>
      </c>
      <c r="AD49" s="144" t="str">
        <f t="shared" si="3"/>
        <v>Reservatorio</v>
      </c>
      <c r="AE49" s="188"/>
      <c r="AF49" s="180">
        <f t="shared" si="35"/>
        <v>0</v>
      </c>
      <c r="AG49" s="180">
        <f t="shared" si="17"/>
        <v>0</v>
      </c>
      <c r="AH49" s="181">
        <f t="shared" si="36"/>
        <v>0</v>
      </c>
      <c r="AI49" s="189"/>
      <c r="AJ49" s="90"/>
      <c r="AK49" s="90"/>
      <c r="AL49" s="183">
        <f t="shared" si="37"/>
        <v>0</v>
      </c>
      <c r="AM49" s="189"/>
      <c r="AN49" s="90"/>
      <c r="AO49" s="90"/>
      <c r="AP49" s="183">
        <f t="shared" si="23"/>
        <v>0</v>
      </c>
      <c r="AQ49" s="189"/>
      <c r="AR49" s="90"/>
      <c r="AS49" s="90"/>
      <c r="AT49" s="183">
        <f t="shared" si="24"/>
        <v>0</v>
      </c>
      <c r="AU49" s="189"/>
      <c r="AV49" s="90"/>
      <c r="AW49" s="90"/>
      <c r="AX49" s="183">
        <f t="shared" si="25"/>
        <v>0</v>
      </c>
      <c r="AY49" s="189"/>
      <c r="AZ49" s="90"/>
      <c r="BA49" s="90"/>
      <c r="BB49" s="183">
        <f t="shared" si="26"/>
        <v>0</v>
      </c>
      <c r="BC49" s="189"/>
      <c r="BD49" s="90"/>
      <c r="BE49" s="90"/>
      <c r="BF49" s="183">
        <f t="shared" si="27"/>
        <v>0</v>
      </c>
      <c r="BG49" s="189"/>
      <c r="BH49" s="90"/>
      <c r="BI49" s="90"/>
      <c r="BJ49" s="183">
        <f t="shared" si="28"/>
        <v>0</v>
      </c>
      <c r="BK49" s="189"/>
      <c r="BL49" s="90"/>
      <c r="BM49" s="90"/>
      <c r="BN49" s="183">
        <f t="shared" si="29"/>
        <v>0</v>
      </c>
      <c r="BO49" s="189"/>
      <c r="BP49" s="90"/>
      <c r="BQ49" s="90"/>
      <c r="BR49" s="183">
        <f t="shared" si="30"/>
        <v>0</v>
      </c>
      <c r="BS49" s="189"/>
      <c r="BT49" s="90"/>
      <c r="BU49" s="90"/>
      <c r="BV49" s="183">
        <f t="shared" si="31"/>
        <v>0</v>
      </c>
      <c r="BW49" s="189"/>
      <c r="BX49" s="90"/>
      <c r="BY49" s="90"/>
      <c r="BZ49" s="183">
        <f t="shared" si="32"/>
        <v>0</v>
      </c>
      <c r="CA49" s="189"/>
      <c r="CB49" s="90"/>
      <c r="CC49" s="90"/>
      <c r="CD49" s="183">
        <f t="shared" si="33"/>
        <v>0</v>
      </c>
    </row>
    <row r="50" spans="2:82" x14ac:dyDescent="0.3">
      <c r="B50" s="52" t="s">
        <v>693</v>
      </c>
      <c r="C50" s="52" t="str">
        <f t="shared" si="0"/>
        <v>CPU_Reservatorio</v>
      </c>
      <c r="D50" s="277">
        <f t="shared" si="1"/>
        <v>0.2</v>
      </c>
      <c r="E50" s="277">
        <f t="shared" si="2"/>
        <v>0</v>
      </c>
      <c r="F50" s="37"/>
      <c r="G50" s="38"/>
      <c r="H50" s="38"/>
      <c r="I50" s="37"/>
      <c r="J50" s="40">
        <f>IFERROR(K50/$B$6,0)</f>
        <v>19559.039999999997</v>
      </c>
      <c r="K50" s="40">
        <f>SUM(K51:K62)</f>
        <v>3911.808</v>
      </c>
      <c r="M50" s="84" t="str">
        <f>"Consumo por "&amp;J3</f>
        <v>Consumo por UNID</v>
      </c>
      <c r="N50" s="89"/>
      <c r="O50" s="339" t="s">
        <v>771</v>
      </c>
      <c r="P50" s="340" t="s">
        <v>772</v>
      </c>
      <c r="Q50" s="340" t="s">
        <v>773</v>
      </c>
      <c r="R50" s="340" t="s">
        <v>774</v>
      </c>
      <c r="S50" s="340" t="s">
        <v>775</v>
      </c>
      <c r="T50" s="340" t="s">
        <v>776</v>
      </c>
      <c r="U50" s="340" t="s">
        <v>777</v>
      </c>
      <c r="V50" s="340" t="s">
        <v>778</v>
      </c>
      <c r="W50" s="341" t="s">
        <v>779</v>
      </c>
      <c r="AD50" s="144" t="str">
        <f t="shared" si="3"/>
        <v>Reservatorio</v>
      </c>
      <c r="AE50" s="190"/>
      <c r="AF50" s="191"/>
      <c r="AG50" s="40">
        <f>IFERROR(AH50/AF$3,0)</f>
        <v>0</v>
      </c>
      <c r="AH50" s="185">
        <f>SUM(AH51:AH62)</f>
        <v>0</v>
      </c>
      <c r="AI50" s="190"/>
      <c r="AJ50" s="37"/>
      <c r="AK50" s="40">
        <f>IFERROR(AL50/AJ$3,0)</f>
        <v>0</v>
      </c>
      <c r="AL50" s="185">
        <f>SUM(AL51:AL62)</f>
        <v>0</v>
      </c>
      <c r="AM50" s="190"/>
      <c r="AN50" s="37"/>
      <c r="AO50" s="40">
        <f>IFERROR(AP50/AN$3,0)</f>
        <v>0</v>
      </c>
      <c r="AP50" s="185">
        <f>SUM(AP51:AP62)</f>
        <v>0</v>
      </c>
      <c r="AQ50" s="190"/>
      <c r="AR50" s="37"/>
      <c r="AS50" s="40">
        <f>IFERROR(AT50/AR$3,0)</f>
        <v>0</v>
      </c>
      <c r="AT50" s="185">
        <f>SUM(AT51:AT62)</f>
        <v>0</v>
      </c>
      <c r="AU50" s="190"/>
      <c r="AV50" s="37"/>
      <c r="AW50" s="40">
        <f>IFERROR(AX50/AV$3,0)</f>
        <v>0</v>
      </c>
      <c r="AX50" s="185">
        <f>SUM(AX51:AX62)</f>
        <v>0</v>
      </c>
      <c r="AY50" s="190"/>
      <c r="AZ50" s="37"/>
      <c r="BA50" s="40">
        <f>IFERROR(BB50/AZ$3,0)</f>
        <v>0</v>
      </c>
      <c r="BB50" s="185">
        <f>SUM(BB51:BB62)</f>
        <v>0</v>
      </c>
      <c r="BC50" s="190"/>
      <c r="BD50" s="37"/>
      <c r="BE50" s="40">
        <f>IFERROR(BF50/BD$3,0)</f>
        <v>0</v>
      </c>
      <c r="BF50" s="185">
        <f>SUM(BF51:BF62)</f>
        <v>0</v>
      </c>
      <c r="BG50" s="190"/>
      <c r="BH50" s="37"/>
      <c r="BI50" s="40">
        <f>IFERROR(BJ50/BH$3,0)</f>
        <v>0</v>
      </c>
      <c r="BJ50" s="185">
        <f>SUM(BJ51:BJ62)</f>
        <v>0</v>
      </c>
      <c r="BK50" s="190"/>
      <c r="BL50" s="37"/>
      <c r="BM50" s="40">
        <f>IFERROR(BN50/BL$3,0)</f>
        <v>0</v>
      </c>
      <c r="BN50" s="185">
        <f>SUM(BN51:BN62)</f>
        <v>0</v>
      </c>
      <c r="BO50" s="190"/>
      <c r="BP50" s="37"/>
      <c r="BQ50" s="40">
        <f>IFERROR(BR50/BP$3,0)</f>
        <v>0</v>
      </c>
      <c r="BR50" s="185">
        <f>SUM(BR51:BR62)</f>
        <v>0</v>
      </c>
      <c r="BS50" s="190"/>
      <c r="BT50" s="37"/>
      <c r="BU50" s="40">
        <f>IFERROR(BV50/BT$3,0)</f>
        <v>0</v>
      </c>
      <c r="BV50" s="185">
        <f>SUM(BV51:BV62)</f>
        <v>0</v>
      </c>
      <c r="BW50" s="190"/>
      <c r="BX50" s="37"/>
      <c r="BY50" s="40">
        <f>IFERROR(BZ50/BX$3,0)</f>
        <v>0</v>
      </c>
      <c r="BZ50" s="185">
        <f>SUM(BZ51:BZ62)</f>
        <v>0</v>
      </c>
      <c r="CA50" s="190"/>
      <c r="CB50" s="37"/>
      <c r="CC50" s="40">
        <f>IFERROR(CD50/CB$3,0)</f>
        <v>0</v>
      </c>
      <c r="CD50" s="185">
        <f>SUM(CD51:CD62)</f>
        <v>0</v>
      </c>
    </row>
    <row r="51" spans="2:82" x14ac:dyDescent="0.3">
      <c r="B51" s="53"/>
      <c r="C51" s="53" t="str">
        <f t="shared" si="0"/>
        <v>CPU_Reservatorio</v>
      </c>
      <c r="D51" s="278">
        <f t="shared" si="1"/>
        <v>0.2</v>
      </c>
      <c r="E51" s="278">
        <f t="shared" si="2"/>
        <v>0</v>
      </c>
      <c r="F51" s="1" t="s">
        <v>781</v>
      </c>
      <c r="G51" s="28" t="str">
        <f>IFERROR(VLOOKUP(F51,Tabela7[[RECURSO]:[CUSTO]],2,FALSE),"")</f>
        <v>KG</v>
      </c>
      <c r="I51" s="90">
        <f>IFERROR(M51*$B$6,0)</f>
        <v>16</v>
      </c>
      <c r="J51" s="45">
        <f>IFERROR(VLOOKUP(F51,Tabela7[[RECURSO]:[CUSTO]],3,FALSE),0)</f>
        <v>8</v>
      </c>
      <c r="K51" s="45">
        <f>I51*J51</f>
        <v>128</v>
      </c>
      <c r="M51" s="85">
        <f t="shared" ref="M51:M52" si="38">SUM(O51:W51)/9</f>
        <v>80</v>
      </c>
      <c r="N51" s="88"/>
      <c r="O51" s="31">
        <v>80</v>
      </c>
      <c r="P51" s="1">
        <v>80</v>
      </c>
      <c r="Q51" s="1">
        <v>80</v>
      </c>
      <c r="R51" s="1">
        <v>80</v>
      </c>
      <c r="S51" s="1">
        <v>80</v>
      </c>
      <c r="T51" s="1">
        <v>80</v>
      </c>
      <c r="U51" s="1">
        <v>80</v>
      </c>
      <c r="V51" s="1">
        <v>80</v>
      </c>
      <c r="W51" s="342">
        <v>80</v>
      </c>
      <c r="AD51" s="144" t="str">
        <f t="shared" si="3"/>
        <v>Reservatorio</v>
      </c>
      <c r="AE51" s="192"/>
      <c r="AF51" s="180">
        <f t="shared" ref="AF51:AF62" si="39">AJ51+AN51+AR51+AV51+AZ51+BD51+BH51+BL51+BP51+BT51+BX51+CB51</f>
        <v>0</v>
      </c>
      <c r="AG51" s="180">
        <f t="shared" si="17"/>
        <v>0</v>
      </c>
      <c r="AH51" s="181">
        <f t="shared" ref="AH51:AH62" si="40">AL51+AP51+AT51+AX51+BB51+BF51+BJ51+BN51+BR51+BV51+BZ51+CD51</f>
        <v>0</v>
      </c>
      <c r="AI51" s="193"/>
      <c r="AJ51" s="90"/>
      <c r="AK51" s="90"/>
      <c r="AL51" s="183">
        <f t="shared" ref="AL51:AL62" si="41">AJ51*AK51</f>
        <v>0</v>
      </c>
      <c r="AM51" s="193"/>
      <c r="AN51" s="90"/>
      <c r="AO51" s="90"/>
      <c r="AP51" s="183">
        <f t="shared" si="23"/>
        <v>0</v>
      </c>
      <c r="AQ51" s="193"/>
      <c r="AR51" s="90"/>
      <c r="AS51" s="90"/>
      <c r="AT51" s="183">
        <f t="shared" si="24"/>
        <v>0</v>
      </c>
      <c r="AU51" s="193"/>
      <c r="AV51" s="90"/>
      <c r="AW51" s="90"/>
      <c r="AX51" s="183">
        <f t="shared" si="25"/>
        <v>0</v>
      </c>
      <c r="AY51" s="193"/>
      <c r="AZ51" s="90"/>
      <c r="BA51" s="90"/>
      <c r="BB51" s="183">
        <f t="shared" si="26"/>
        <v>0</v>
      </c>
      <c r="BC51" s="193"/>
      <c r="BD51" s="90"/>
      <c r="BE51" s="90"/>
      <c r="BF51" s="183">
        <f t="shared" si="27"/>
        <v>0</v>
      </c>
      <c r="BG51" s="193"/>
      <c r="BH51" s="90"/>
      <c r="BI51" s="90"/>
      <c r="BJ51" s="183">
        <f t="shared" si="28"/>
        <v>0</v>
      </c>
      <c r="BK51" s="193"/>
      <c r="BL51" s="90"/>
      <c r="BM51" s="90"/>
      <c r="BN51" s="183">
        <f t="shared" si="29"/>
        <v>0</v>
      </c>
      <c r="BO51" s="193"/>
      <c r="BP51" s="90"/>
      <c r="BQ51" s="90"/>
      <c r="BR51" s="183">
        <f t="shared" si="30"/>
        <v>0</v>
      </c>
      <c r="BS51" s="193"/>
      <c r="BT51" s="90"/>
      <c r="BU51" s="90"/>
      <c r="BV51" s="183">
        <f t="shared" si="31"/>
        <v>0</v>
      </c>
      <c r="BW51" s="193"/>
      <c r="BX51" s="90"/>
      <c r="BY51" s="90"/>
      <c r="BZ51" s="183">
        <f t="shared" si="32"/>
        <v>0</v>
      </c>
      <c r="CA51" s="193"/>
      <c r="CB51" s="90"/>
      <c r="CC51" s="90"/>
      <c r="CD51" s="183">
        <f t="shared" si="33"/>
        <v>0</v>
      </c>
    </row>
    <row r="52" spans="2:82" x14ac:dyDescent="0.3">
      <c r="B52" s="53"/>
      <c r="C52" s="53" t="str">
        <f t="shared" si="0"/>
        <v>CPU_Reservatorio</v>
      </c>
      <c r="D52" s="278">
        <f t="shared" si="1"/>
        <v>0.2</v>
      </c>
      <c r="E52" s="278">
        <f t="shared" si="2"/>
        <v>0</v>
      </c>
      <c r="F52" s="1" t="s">
        <v>783</v>
      </c>
      <c r="G52" s="28" t="str">
        <f>IFERROR(VLOOKUP(F52,Tabela7[[RECURSO]:[CUSTO]],2,FALSE),"")</f>
        <v>KG</v>
      </c>
      <c r="I52" s="90">
        <f t="shared" ref="I52:I62" si="42">IFERROR(M52*$B$6,0)</f>
        <v>0.32</v>
      </c>
      <c r="J52" s="45">
        <f>IFERROR(VLOOKUP(F52,Tabela7[[RECURSO]:[CUSTO]],3,FALSE),0)</f>
        <v>20</v>
      </c>
      <c r="K52" s="45">
        <f t="shared" ref="K52:K62" si="43">I52*J52</f>
        <v>6.4</v>
      </c>
      <c r="M52" s="85">
        <f t="shared" si="38"/>
        <v>1.5999999999999999</v>
      </c>
      <c r="N52" s="88"/>
      <c r="O52" s="31">
        <f>O51*0.02</f>
        <v>1.6</v>
      </c>
      <c r="P52" s="1">
        <f t="shared" ref="P52:W52" si="44">P51*0.02</f>
        <v>1.6</v>
      </c>
      <c r="Q52" s="1">
        <f t="shared" si="44"/>
        <v>1.6</v>
      </c>
      <c r="R52" s="1">
        <f t="shared" si="44"/>
        <v>1.6</v>
      </c>
      <c r="S52" s="1">
        <f t="shared" si="44"/>
        <v>1.6</v>
      </c>
      <c r="T52" s="1">
        <f t="shared" si="44"/>
        <v>1.6</v>
      </c>
      <c r="U52" s="1">
        <f t="shared" si="44"/>
        <v>1.6</v>
      </c>
      <c r="V52" s="1">
        <f t="shared" si="44"/>
        <v>1.6</v>
      </c>
      <c r="W52" s="342">
        <f t="shared" si="44"/>
        <v>1.6</v>
      </c>
      <c r="AD52" s="144" t="str">
        <f t="shared" si="3"/>
        <v>Reservatorio</v>
      </c>
      <c r="AE52" s="192"/>
      <c r="AF52" s="180">
        <f t="shared" si="39"/>
        <v>0</v>
      </c>
      <c r="AG52" s="180">
        <f t="shared" si="17"/>
        <v>0</v>
      </c>
      <c r="AH52" s="181">
        <f t="shared" si="40"/>
        <v>0</v>
      </c>
      <c r="AI52" s="193"/>
      <c r="AJ52" s="90"/>
      <c r="AK52" s="90"/>
      <c r="AL52" s="183">
        <f t="shared" si="41"/>
        <v>0</v>
      </c>
      <c r="AM52" s="193"/>
      <c r="AN52" s="90"/>
      <c r="AO52" s="90"/>
      <c r="AP52" s="183">
        <f t="shared" si="23"/>
        <v>0</v>
      </c>
      <c r="AQ52" s="193"/>
      <c r="AR52" s="90"/>
      <c r="AS52" s="90"/>
      <c r="AT52" s="183">
        <f t="shared" si="24"/>
        <v>0</v>
      </c>
      <c r="AU52" s="193"/>
      <c r="AV52" s="90"/>
      <c r="AW52" s="90"/>
      <c r="AX52" s="183">
        <f t="shared" si="25"/>
        <v>0</v>
      </c>
      <c r="AY52" s="193"/>
      <c r="AZ52" s="90"/>
      <c r="BA52" s="90"/>
      <c r="BB52" s="183">
        <f t="shared" si="26"/>
        <v>0</v>
      </c>
      <c r="BC52" s="193"/>
      <c r="BD52" s="90"/>
      <c r="BE52" s="90"/>
      <c r="BF52" s="183">
        <f t="shared" si="27"/>
        <v>0</v>
      </c>
      <c r="BG52" s="193"/>
      <c r="BH52" s="90"/>
      <c r="BI52" s="90"/>
      <c r="BJ52" s="183">
        <f t="shared" si="28"/>
        <v>0</v>
      </c>
      <c r="BK52" s="193"/>
      <c r="BL52" s="90"/>
      <c r="BM52" s="90"/>
      <c r="BN52" s="183">
        <f t="shared" si="29"/>
        <v>0</v>
      </c>
      <c r="BO52" s="193"/>
      <c r="BP52" s="90"/>
      <c r="BQ52" s="90"/>
      <c r="BR52" s="183">
        <f t="shared" si="30"/>
        <v>0</v>
      </c>
      <c r="BS52" s="193"/>
      <c r="BT52" s="90"/>
      <c r="BU52" s="90"/>
      <c r="BV52" s="183">
        <f t="shared" si="31"/>
        <v>0</v>
      </c>
      <c r="BW52" s="193"/>
      <c r="BX52" s="90"/>
      <c r="BY52" s="90"/>
      <c r="BZ52" s="183">
        <f t="shared" si="32"/>
        <v>0</v>
      </c>
      <c r="CA52" s="193"/>
      <c r="CB52" s="90"/>
      <c r="CC52" s="90"/>
      <c r="CD52" s="183">
        <f t="shared" si="33"/>
        <v>0</v>
      </c>
    </row>
    <row r="53" spans="2:82" x14ac:dyDescent="0.3">
      <c r="B53" s="53"/>
      <c r="C53" s="53" t="str">
        <f t="shared" si="0"/>
        <v>CPU_Reservatorio</v>
      </c>
      <c r="D53" s="278">
        <f t="shared" si="1"/>
        <v>0.2</v>
      </c>
      <c r="E53" s="278">
        <f t="shared" si="2"/>
        <v>0</v>
      </c>
      <c r="F53" s="1" t="s">
        <v>784</v>
      </c>
      <c r="G53" s="28" t="str">
        <f>IFERROR(VLOOKUP(F53,Tabela7[[RECURSO]:[CUSTO]],2,FALSE),"")</f>
        <v>M</v>
      </c>
      <c r="I53" s="90">
        <f t="shared" si="42"/>
        <v>2</v>
      </c>
      <c r="J53" s="45">
        <f>IFERROR(VLOOKUP(F53,Tabela7[[RECURSO]:[CUSTO]],3,FALSE),0)</f>
        <v>20</v>
      </c>
      <c r="K53" s="45">
        <f t="shared" si="43"/>
        <v>40</v>
      </c>
      <c r="M53" s="85">
        <f>SUM(O53:W53)/9</f>
        <v>10</v>
      </c>
      <c r="N53" s="88"/>
      <c r="O53" s="31">
        <f>3/0.3</f>
        <v>10</v>
      </c>
      <c r="P53" s="1">
        <f t="shared" ref="P53:W53" si="45">3/0.3</f>
        <v>10</v>
      </c>
      <c r="Q53" s="1">
        <f t="shared" si="45"/>
        <v>10</v>
      </c>
      <c r="R53" s="1">
        <f t="shared" si="45"/>
        <v>10</v>
      </c>
      <c r="S53" s="1">
        <f t="shared" si="45"/>
        <v>10</v>
      </c>
      <c r="T53" s="1">
        <f t="shared" si="45"/>
        <v>10</v>
      </c>
      <c r="U53" s="1">
        <f t="shared" si="45"/>
        <v>10</v>
      </c>
      <c r="V53" s="1">
        <f t="shared" si="45"/>
        <v>10</v>
      </c>
      <c r="W53" s="342">
        <f t="shared" si="45"/>
        <v>10</v>
      </c>
      <c r="AD53" s="144" t="str">
        <f t="shared" si="3"/>
        <v>Reservatorio</v>
      </c>
      <c r="AE53" s="192"/>
      <c r="AF53" s="180">
        <f t="shared" si="39"/>
        <v>0</v>
      </c>
      <c r="AG53" s="180">
        <f t="shared" si="17"/>
        <v>0</v>
      </c>
      <c r="AH53" s="181">
        <f t="shared" si="40"/>
        <v>0</v>
      </c>
      <c r="AI53" s="193"/>
      <c r="AJ53" s="90"/>
      <c r="AK53" s="90"/>
      <c r="AL53" s="183">
        <f t="shared" si="41"/>
        <v>0</v>
      </c>
      <c r="AM53" s="193"/>
      <c r="AN53" s="90"/>
      <c r="AO53" s="90"/>
      <c r="AP53" s="183">
        <f t="shared" si="23"/>
        <v>0</v>
      </c>
      <c r="AQ53" s="193"/>
      <c r="AR53" s="90"/>
      <c r="AS53" s="90"/>
      <c r="AT53" s="183">
        <f t="shared" si="24"/>
        <v>0</v>
      </c>
      <c r="AU53" s="193"/>
      <c r="AV53" s="90"/>
      <c r="AW53" s="90"/>
      <c r="AX53" s="183">
        <f t="shared" si="25"/>
        <v>0</v>
      </c>
      <c r="AY53" s="193"/>
      <c r="AZ53" s="90"/>
      <c r="BA53" s="90"/>
      <c r="BB53" s="183">
        <f t="shared" si="26"/>
        <v>0</v>
      </c>
      <c r="BC53" s="193"/>
      <c r="BD53" s="90"/>
      <c r="BE53" s="90"/>
      <c r="BF53" s="183">
        <f t="shared" si="27"/>
        <v>0</v>
      </c>
      <c r="BG53" s="193"/>
      <c r="BH53" s="90"/>
      <c r="BI53" s="90"/>
      <c r="BJ53" s="183">
        <f t="shared" si="28"/>
        <v>0</v>
      </c>
      <c r="BK53" s="193"/>
      <c r="BL53" s="90"/>
      <c r="BM53" s="90"/>
      <c r="BN53" s="183">
        <f t="shared" si="29"/>
        <v>0</v>
      </c>
      <c r="BO53" s="193"/>
      <c r="BP53" s="90"/>
      <c r="BQ53" s="90"/>
      <c r="BR53" s="183">
        <f t="shared" si="30"/>
        <v>0</v>
      </c>
      <c r="BS53" s="193"/>
      <c r="BT53" s="90"/>
      <c r="BU53" s="90"/>
      <c r="BV53" s="183">
        <f t="shared" si="31"/>
        <v>0</v>
      </c>
      <c r="BW53" s="193"/>
      <c r="BX53" s="90"/>
      <c r="BY53" s="90"/>
      <c r="BZ53" s="183">
        <f t="shared" si="32"/>
        <v>0</v>
      </c>
      <c r="CA53" s="193"/>
      <c r="CB53" s="90"/>
      <c r="CC53" s="90"/>
      <c r="CD53" s="183">
        <f t="shared" si="33"/>
        <v>0</v>
      </c>
    </row>
    <row r="54" spans="2:82" x14ac:dyDescent="0.3">
      <c r="B54" s="53"/>
      <c r="C54" s="53" t="str">
        <f t="shared" si="0"/>
        <v>CPU_Reservatorio</v>
      </c>
      <c r="D54" s="278">
        <f t="shared" si="1"/>
        <v>0.2</v>
      </c>
      <c r="E54" s="278">
        <f t="shared" si="2"/>
        <v>0</v>
      </c>
      <c r="F54" s="1" t="s">
        <v>813</v>
      </c>
      <c r="G54" s="28" t="str">
        <f>IFERROR(VLOOKUP(F54,Tabela7[[RECURSO]:[CUSTO]],2,FALSE),"")</f>
        <v>M3</v>
      </c>
      <c r="I54" s="90">
        <f t="shared" si="42"/>
        <v>0.18079999999999999</v>
      </c>
      <c r="J54" s="45">
        <f>IFERROR(VLOOKUP(F54,Tabela7[[RECURSO]:[CUSTO]],3,FALSE),0)</f>
        <v>180</v>
      </c>
      <c r="K54" s="45">
        <f>I54*J54</f>
        <v>32.543999999999997</v>
      </c>
      <c r="M54" s="85">
        <f t="shared" ref="M54:M57" si="46">SUM(O54:W54)/9</f>
        <v>0.90399999999999991</v>
      </c>
      <c r="N54" s="88"/>
      <c r="O54" s="31">
        <f>1.13*0.8</f>
        <v>0.90399999999999991</v>
      </c>
      <c r="P54" s="1">
        <f t="shared" ref="P54:W54" si="47">1.13*0.8</f>
        <v>0.90399999999999991</v>
      </c>
      <c r="Q54" s="1">
        <f t="shared" si="47"/>
        <v>0.90399999999999991</v>
      </c>
      <c r="R54" s="1">
        <f t="shared" si="47"/>
        <v>0.90399999999999991</v>
      </c>
      <c r="S54" s="1">
        <f t="shared" si="47"/>
        <v>0.90399999999999991</v>
      </c>
      <c r="T54" s="1">
        <f t="shared" si="47"/>
        <v>0.90399999999999991</v>
      </c>
      <c r="U54" s="1">
        <f t="shared" si="47"/>
        <v>0.90399999999999991</v>
      </c>
      <c r="V54" s="1">
        <f t="shared" si="47"/>
        <v>0.90399999999999991</v>
      </c>
      <c r="W54" s="342">
        <f t="shared" si="47"/>
        <v>0.90399999999999991</v>
      </c>
      <c r="AD54" s="144" t="str">
        <f>$B$3</f>
        <v>Reservatorio</v>
      </c>
      <c r="AE54" s="192"/>
      <c r="AF54" s="180">
        <f t="shared" si="39"/>
        <v>0</v>
      </c>
      <c r="AG54" s="180">
        <f t="shared" si="17"/>
        <v>0</v>
      </c>
      <c r="AH54" s="181">
        <f t="shared" si="40"/>
        <v>0</v>
      </c>
      <c r="AI54" s="193"/>
      <c r="AJ54" s="90"/>
      <c r="AK54" s="90"/>
      <c r="AL54" s="183">
        <f t="shared" si="41"/>
        <v>0</v>
      </c>
      <c r="AM54" s="193"/>
      <c r="AN54" s="90"/>
      <c r="AO54" s="90"/>
      <c r="AP54" s="183">
        <f t="shared" si="23"/>
        <v>0</v>
      </c>
      <c r="AQ54" s="193"/>
      <c r="AR54" s="90"/>
      <c r="AS54" s="90"/>
      <c r="AT54" s="183">
        <f t="shared" si="24"/>
        <v>0</v>
      </c>
      <c r="AU54" s="193"/>
      <c r="AV54" s="90"/>
      <c r="AW54" s="90"/>
      <c r="AX54" s="183">
        <f t="shared" si="25"/>
        <v>0</v>
      </c>
      <c r="AY54" s="193"/>
      <c r="AZ54" s="90"/>
      <c r="BA54" s="90"/>
      <c r="BB54" s="183">
        <f t="shared" si="26"/>
        <v>0</v>
      </c>
      <c r="BC54" s="193"/>
      <c r="BD54" s="90"/>
      <c r="BE54" s="90"/>
      <c r="BF54" s="183">
        <f t="shared" si="27"/>
        <v>0</v>
      </c>
      <c r="BG54" s="193"/>
      <c r="BH54" s="90"/>
      <c r="BI54" s="90"/>
      <c r="BJ54" s="183">
        <f t="shared" si="28"/>
        <v>0</v>
      </c>
      <c r="BK54" s="193"/>
      <c r="BL54" s="90"/>
      <c r="BM54" s="90"/>
      <c r="BN54" s="183">
        <f t="shared" si="29"/>
        <v>0</v>
      </c>
      <c r="BO54" s="193"/>
      <c r="BP54" s="90"/>
      <c r="BQ54" s="90"/>
      <c r="BR54" s="183">
        <f t="shared" si="30"/>
        <v>0</v>
      </c>
      <c r="BS54" s="193"/>
      <c r="BT54" s="90"/>
      <c r="BU54" s="90"/>
      <c r="BV54" s="183">
        <f t="shared" si="31"/>
        <v>0</v>
      </c>
      <c r="BW54" s="193"/>
      <c r="BX54" s="90"/>
      <c r="BY54" s="90"/>
      <c r="BZ54" s="183">
        <f t="shared" si="32"/>
        <v>0</v>
      </c>
      <c r="CA54" s="193"/>
      <c r="CB54" s="90"/>
      <c r="CC54" s="90"/>
      <c r="CD54" s="183">
        <f t="shared" si="33"/>
        <v>0</v>
      </c>
    </row>
    <row r="55" spans="2:82" x14ac:dyDescent="0.3">
      <c r="B55" s="53"/>
      <c r="C55" s="53" t="str">
        <f t="shared" si="0"/>
        <v>CPU_Reservatorio</v>
      </c>
      <c r="D55" s="278">
        <f t="shared" si="1"/>
        <v>0.2</v>
      </c>
      <c r="E55" s="278">
        <f t="shared" si="2"/>
        <v>0</v>
      </c>
      <c r="F55" s="1" t="s">
        <v>814</v>
      </c>
      <c r="G55" s="28" t="str">
        <f>IFERROR(VLOOKUP(F55,Tabela7[[RECURSO]:[CUSTO]],2,FALSE),"")</f>
        <v>KG</v>
      </c>
      <c r="I55" s="90">
        <f t="shared" si="42"/>
        <v>90.399999999999991</v>
      </c>
      <c r="J55" s="45">
        <f>IFERROR(VLOOKUP(F55,Tabela7[[RECURSO]:[CUSTO]],3,FALSE),0)</f>
        <v>0.8</v>
      </c>
      <c r="K55" s="45">
        <f t="shared" si="43"/>
        <v>72.319999999999993</v>
      </c>
      <c r="M55" s="85">
        <f t="shared" si="46"/>
        <v>451.99999999999994</v>
      </c>
      <c r="N55" s="88"/>
      <c r="O55" s="31">
        <f>1.13*400</f>
        <v>451.99999999999994</v>
      </c>
      <c r="P55" s="1">
        <f t="shared" ref="P55:W55" si="48">1.13*400</f>
        <v>451.99999999999994</v>
      </c>
      <c r="Q55" s="1">
        <f t="shared" si="48"/>
        <v>451.99999999999994</v>
      </c>
      <c r="R55" s="1">
        <f t="shared" si="48"/>
        <v>451.99999999999994</v>
      </c>
      <c r="S55" s="1">
        <f t="shared" si="48"/>
        <v>451.99999999999994</v>
      </c>
      <c r="T55" s="1">
        <f t="shared" si="48"/>
        <v>451.99999999999994</v>
      </c>
      <c r="U55" s="1">
        <f t="shared" si="48"/>
        <v>451.99999999999994</v>
      </c>
      <c r="V55" s="1">
        <f t="shared" si="48"/>
        <v>451.99999999999994</v>
      </c>
      <c r="W55" s="342">
        <f t="shared" si="48"/>
        <v>451.99999999999994</v>
      </c>
      <c r="AD55" s="144" t="str">
        <f t="shared" si="3"/>
        <v>Reservatorio</v>
      </c>
      <c r="AE55" s="192"/>
      <c r="AF55" s="180">
        <f t="shared" si="39"/>
        <v>0</v>
      </c>
      <c r="AG55" s="180">
        <f t="shared" si="17"/>
        <v>0</v>
      </c>
      <c r="AH55" s="181">
        <f t="shared" si="40"/>
        <v>0</v>
      </c>
      <c r="AI55" s="193"/>
      <c r="AJ55" s="90"/>
      <c r="AK55" s="90"/>
      <c r="AL55" s="183">
        <f t="shared" si="41"/>
        <v>0</v>
      </c>
      <c r="AM55" s="193"/>
      <c r="AN55" s="90"/>
      <c r="AO55" s="90"/>
      <c r="AP55" s="183">
        <f t="shared" si="23"/>
        <v>0</v>
      </c>
      <c r="AQ55" s="193"/>
      <c r="AR55" s="90"/>
      <c r="AS55" s="90"/>
      <c r="AT55" s="183">
        <f t="shared" si="24"/>
        <v>0</v>
      </c>
      <c r="AU55" s="193"/>
      <c r="AV55" s="90"/>
      <c r="AW55" s="90"/>
      <c r="AX55" s="183">
        <f t="shared" si="25"/>
        <v>0</v>
      </c>
      <c r="AY55" s="193"/>
      <c r="AZ55" s="90"/>
      <c r="BA55" s="90"/>
      <c r="BB55" s="183">
        <f t="shared" si="26"/>
        <v>0</v>
      </c>
      <c r="BC55" s="193"/>
      <c r="BD55" s="90"/>
      <c r="BE55" s="90"/>
      <c r="BF55" s="183">
        <f t="shared" si="27"/>
        <v>0</v>
      </c>
      <c r="BG55" s="193"/>
      <c r="BH55" s="90"/>
      <c r="BI55" s="90"/>
      <c r="BJ55" s="183">
        <f t="shared" si="28"/>
        <v>0</v>
      </c>
      <c r="BK55" s="193"/>
      <c r="BL55" s="90"/>
      <c r="BM55" s="90"/>
      <c r="BN55" s="183">
        <f t="shared" si="29"/>
        <v>0</v>
      </c>
      <c r="BO55" s="193"/>
      <c r="BP55" s="90"/>
      <c r="BQ55" s="90"/>
      <c r="BR55" s="183">
        <f t="shared" si="30"/>
        <v>0</v>
      </c>
      <c r="BS55" s="193"/>
      <c r="BT55" s="90"/>
      <c r="BU55" s="90"/>
      <c r="BV55" s="183">
        <f t="shared" si="31"/>
        <v>0</v>
      </c>
      <c r="BW55" s="193"/>
      <c r="BX55" s="90"/>
      <c r="BY55" s="90"/>
      <c r="BZ55" s="183">
        <f t="shared" si="32"/>
        <v>0</v>
      </c>
      <c r="CA55" s="193"/>
      <c r="CB55" s="90"/>
      <c r="CC55" s="90"/>
      <c r="CD55" s="183">
        <f t="shared" si="33"/>
        <v>0</v>
      </c>
    </row>
    <row r="56" spans="2:82" x14ac:dyDescent="0.3">
      <c r="B56" s="53"/>
      <c r="C56" s="53" t="str">
        <f t="shared" si="0"/>
        <v>CPU_Reservatorio</v>
      </c>
      <c r="D56" s="278">
        <f t="shared" si="1"/>
        <v>0.2</v>
      </c>
      <c r="E56" s="278">
        <f t="shared" si="2"/>
        <v>0</v>
      </c>
      <c r="F56" s="1" t="s">
        <v>799</v>
      </c>
      <c r="G56" s="28" t="str">
        <f>IFERROR(VLOOKUP(F56,Tabela7[[RECURSO]:[CUSTO]],2,FALSE),"")</f>
        <v>M3</v>
      </c>
      <c r="I56" s="90">
        <f t="shared" si="42"/>
        <v>0.18079999999999999</v>
      </c>
      <c r="J56" s="45">
        <f>IFERROR(VLOOKUP(F56,Tabela7[[RECURSO]:[CUSTO]],3,FALSE),0)</f>
        <v>180</v>
      </c>
      <c r="K56" s="45">
        <f t="shared" si="43"/>
        <v>32.543999999999997</v>
      </c>
      <c r="M56" s="85">
        <f t="shared" si="46"/>
        <v>0.90399999999999991</v>
      </c>
      <c r="N56" s="88"/>
      <c r="O56" s="31">
        <f t="shared" ref="O56:W56" si="49">1.13*0.8</f>
        <v>0.90399999999999991</v>
      </c>
      <c r="P56" s="1">
        <f t="shared" si="49"/>
        <v>0.90399999999999991</v>
      </c>
      <c r="Q56" s="1">
        <f t="shared" si="49"/>
        <v>0.90399999999999991</v>
      </c>
      <c r="R56" s="1">
        <f t="shared" si="49"/>
        <v>0.90399999999999991</v>
      </c>
      <c r="S56" s="1">
        <f t="shared" si="49"/>
        <v>0.90399999999999991</v>
      </c>
      <c r="T56" s="1">
        <f t="shared" si="49"/>
        <v>0.90399999999999991</v>
      </c>
      <c r="U56" s="1">
        <f t="shared" si="49"/>
        <v>0.90399999999999991</v>
      </c>
      <c r="V56" s="1">
        <f t="shared" si="49"/>
        <v>0.90399999999999991</v>
      </c>
      <c r="W56" s="342">
        <f t="shared" si="49"/>
        <v>0.90399999999999991</v>
      </c>
      <c r="AD56" s="144" t="str">
        <f t="shared" si="3"/>
        <v>Reservatorio</v>
      </c>
      <c r="AE56" s="192"/>
      <c r="AF56" s="180">
        <f t="shared" si="39"/>
        <v>0</v>
      </c>
      <c r="AG56" s="180">
        <f t="shared" si="17"/>
        <v>0</v>
      </c>
      <c r="AH56" s="181">
        <f t="shared" si="40"/>
        <v>0</v>
      </c>
      <c r="AI56" s="193"/>
      <c r="AJ56" s="90"/>
      <c r="AK56" s="90"/>
      <c r="AL56" s="183">
        <f t="shared" si="41"/>
        <v>0</v>
      </c>
      <c r="AM56" s="193"/>
      <c r="AN56" s="90"/>
      <c r="AO56" s="90"/>
      <c r="AP56" s="183">
        <f t="shared" si="23"/>
        <v>0</v>
      </c>
      <c r="AQ56" s="193"/>
      <c r="AR56" s="90"/>
      <c r="AS56" s="90"/>
      <c r="AT56" s="183">
        <f t="shared" si="24"/>
        <v>0</v>
      </c>
      <c r="AU56" s="193"/>
      <c r="AV56" s="90"/>
      <c r="AW56" s="90"/>
      <c r="AX56" s="183">
        <f t="shared" si="25"/>
        <v>0</v>
      </c>
      <c r="AY56" s="193"/>
      <c r="AZ56" s="90"/>
      <c r="BA56" s="90"/>
      <c r="BB56" s="183">
        <f t="shared" si="26"/>
        <v>0</v>
      </c>
      <c r="BC56" s="193"/>
      <c r="BD56" s="90"/>
      <c r="BE56" s="90"/>
      <c r="BF56" s="183">
        <f t="shared" si="27"/>
        <v>0</v>
      </c>
      <c r="BG56" s="193"/>
      <c r="BH56" s="90"/>
      <c r="BI56" s="90"/>
      <c r="BJ56" s="183">
        <f t="shared" si="28"/>
        <v>0</v>
      </c>
      <c r="BK56" s="193"/>
      <c r="BL56" s="90"/>
      <c r="BM56" s="90"/>
      <c r="BN56" s="183">
        <f t="shared" si="29"/>
        <v>0</v>
      </c>
      <c r="BO56" s="193"/>
      <c r="BP56" s="90"/>
      <c r="BQ56" s="90"/>
      <c r="BR56" s="183">
        <f t="shared" si="30"/>
        <v>0</v>
      </c>
      <c r="BS56" s="193"/>
      <c r="BT56" s="90"/>
      <c r="BU56" s="90"/>
      <c r="BV56" s="183">
        <f t="shared" si="31"/>
        <v>0</v>
      </c>
      <c r="BW56" s="193"/>
      <c r="BX56" s="90"/>
      <c r="BY56" s="90"/>
      <c r="BZ56" s="183">
        <f t="shared" si="32"/>
        <v>0</v>
      </c>
      <c r="CA56" s="193"/>
      <c r="CB56" s="90"/>
      <c r="CC56" s="90"/>
      <c r="CD56" s="183">
        <f t="shared" si="33"/>
        <v>0</v>
      </c>
    </row>
    <row r="57" spans="2:82" x14ac:dyDescent="0.3">
      <c r="B57" s="53"/>
      <c r="C57" s="53" t="str">
        <f t="shared" si="0"/>
        <v>CPU_Reservatorio</v>
      </c>
      <c r="D57" s="278">
        <f t="shared" si="1"/>
        <v>0.2</v>
      </c>
      <c r="E57" s="278">
        <f t="shared" si="2"/>
        <v>0</v>
      </c>
      <c r="F57" s="1" t="s">
        <v>824</v>
      </c>
      <c r="G57" s="28" t="str">
        <f>IFERROR(VLOOKUP(F57,Tabela7[[RECURSO]:[CUSTO]],2,FALSE),"")</f>
        <v>unid</v>
      </c>
      <c r="I57" s="90">
        <f t="shared" si="42"/>
        <v>0.2</v>
      </c>
      <c r="J57" s="45">
        <f>IFERROR(VLOOKUP(F57,Tabela7[[RECURSO]:[CUSTO]],3,FALSE),0)</f>
        <v>18000</v>
      </c>
      <c r="K57" s="45">
        <f t="shared" si="43"/>
        <v>3600</v>
      </c>
      <c r="M57" s="85">
        <f t="shared" si="46"/>
        <v>1</v>
      </c>
      <c r="N57" s="88"/>
      <c r="O57" s="31">
        <v>1</v>
      </c>
      <c r="P57" s="1">
        <v>1</v>
      </c>
      <c r="Q57" s="1">
        <v>1</v>
      </c>
      <c r="R57" s="1">
        <v>1</v>
      </c>
      <c r="S57" s="1">
        <v>1</v>
      </c>
      <c r="T57" s="1">
        <v>1</v>
      </c>
      <c r="U57" s="1">
        <v>1</v>
      </c>
      <c r="V57" s="1">
        <v>1</v>
      </c>
      <c r="W57" s="342">
        <v>1</v>
      </c>
      <c r="AD57" s="144" t="str">
        <f t="shared" si="3"/>
        <v>Reservatorio</v>
      </c>
      <c r="AE57" s="192"/>
      <c r="AF57" s="180">
        <f t="shared" si="39"/>
        <v>0</v>
      </c>
      <c r="AG57" s="180">
        <f t="shared" si="17"/>
        <v>0</v>
      </c>
      <c r="AH57" s="181">
        <f t="shared" si="40"/>
        <v>0</v>
      </c>
      <c r="AI57" s="193"/>
      <c r="AJ57" s="90"/>
      <c r="AK57" s="90"/>
      <c r="AL57" s="183">
        <f t="shared" si="41"/>
        <v>0</v>
      </c>
      <c r="AM57" s="193"/>
      <c r="AN57" s="90"/>
      <c r="AO57" s="90"/>
      <c r="AP57" s="183">
        <f t="shared" si="23"/>
        <v>0</v>
      </c>
      <c r="AQ57" s="193"/>
      <c r="AR57" s="90"/>
      <c r="AS57" s="90"/>
      <c r="AT57" s="183">
        <f t="shared" si="24"/>
        <v>0</v>
      </c>
      <c r="AU57" s="193"/>
      <c r="AV57" s="90"/>
      <c r="AW57" s="90"/>
      <c r="AX57" s="183">
        <f t="shared" si="25"/>
        <v>0</v>
      </c>
      <c r="AY57" s="193"/>
      <c r="AZ57" s="90"/>
      <c r="BA57" s="90"/>
      <c r="BB57" s="183">
        <f t="shared" si="26"/>
        <v>0</v>
      </c>
      <c r="BC57" s="193"/>
      <c r="BD57" s="90"/>
      <c r="BE57" s="90"/>
      <c r="BF57" s="183">
        <f t="shared" si="27"/>
        <v>0</v>
      </c>
      <c r="BG57" s="193"/>
      <c r="BH57" s="90"/>
      <c r="BI57" s="90"/>
      <c r="BJ57" s="183">
        <f t="shared" si="28"/>
        <v>0</v>
      </c>
      <c r="BK57" s="193"/>
      <c r="BL57" s="90"/>
      <c r="BM57" s="90"/>
      <c r="BN57" s="183">
        <f t="shared" si="29"/>
        <v>0</v>
      </c>
      <c r="BO57" s="193"/>
      <c r="BP57" s="90"/>
      <c r="BQ57" s="90"/>
      <c r="BR57" s="183">
        <f t="shared" si="30"/>
        <v>0</v>
      </c>
      <c r="BS57" s="193"/>
      <c r="BT57" s="90"/>
      <c r="BU57" s="90"/>
      <c r="BV57" s="183">
        <f t="shared" si="31"/>
        <v>0</v>
      </c>
      <c r="BW57" s="193"/>
      <c r="BX57" s="90"/>
      <c r="BY57" s="90"/>
      <c r="BZ57" s="183">
        <f t="shared" si="32"/>
        <v>0</v>
      </c>
      <c r="CA57" s="193"/>
      <c r="CB57" s="90"/>
      <c r="CC57" s="90"/>
      <c r="CD57" s="183">
        <f t="shared" si="33"/>
        <v>0</v>
      </c>
    </row>
    <row r="58" spans="2:82" x14ac:dyDescent="0.3">
      <c r="B58" s="53"/>
      <c r="C58" s="53" t="str">
        <f t="shared" si="0"/>
        <v>CPU_Reservatorio</v>
      </c>
      <c r="D58" s="278">
        <f t="shared" si="1"/>
        <v>0.2</v>
      </c>
      <c r="E58" s="278">
        <f t="shared" si="2"/>
        <v>0</v>
      </c>
      <c r="F58" s="1"/>
      <c r="G58" s="28" t="str">
        <f>IFERROR(VLOOKUP(F58,Tabela7[[RECURSO]:[CUSTO]],2,FALSE),"")</f>
        <v/>
      </c>
      <c r="I58" s="90">
        <f t="shared" si="42"/>
        <v>0</v>
      </c>
      <c r="J58" s="45">
        <f>IFERROR(VLOOKUP(F58,Tabela7[[RECURSO]:[CUSTO]],3,FALSE),0)</f>
        <v>0</v>
      </c>
      <c r="K58" s="45">
        <f t="shared" si="43"/>
        <v>0</v>
      </c>
      <c r="M58" s="85"/>
      <c r="N58" s="88"/>
      <c r="O58" s="31"/>
      <c r="P58" s="1"/>
      <c r="Q58" s="1"/>
      <c r="R58" s="1"/>
      <c r="S58" s="1"/>
      <c r="T58" s="1"/>
      <c r="U58" s="1"/>
      <c r="V58" s="1"/>
      <c r="W58" s="342"/>
      <c r="AD58" s="144" t="str">
        <f t="shared" si="3"/>
        <v>Reservatorio</v>
      </c>
      <c r="AE58" s="192"/>
      <c r="AF58" s="180">
        <f t="shared" si="39"/>
        <v>0</v>
      </c>
      <c r="AG58" s="180">
        <f t="shared" si="17"/>
        <v>0</v>
      </c>
      <c r="AH58" s="181">
        <f t="shared" si="40"/>
        <v>0</v>
      </c>
      <c r="AI58" s="193"/>
      <c r="AJ58" s="90"/>
      <c r="AK58" s="90"/>
      <c r="AL58" s="183">
        <f t="shared" si="41"/>
        <v>0</v>
      </c>
      <c r="AM58" s="193"/>
      <c r="AN58" s="90"/>
      <c r="AO58" s="90"/>
      <c r="AP58" s="183">
        <f t="shared" si="23"/>
        <v>0</v>
      </c>
      <c r="AQ58" s="193"/>
      <c r="AR58" s="90"/>
      <c r="AS58" s="90"/>
      <c r="AT58" s="183">
        <f t="shared" si="24"/>
        <v>0</v>
      </c>
      <c r="AU58" s="193"/>
      <c r="AV58" s="90"/>
      <c r="AW58" s="90"/>
      <c r="AX58" s="183">
        <f t="shared" si="25"/>
        <v>0</v>
      </c>
      <c r="AY58" s="193"/>
      <c r="AZ58" s="90"/>
      <c r="BA58" s="90"/>
      <c r="BB58" s="183">
        <f t="shared" si="26"/>
        <v>0</v>
      </c>
      <c r="BC58" s="193"/>
      <c r="BD58" s="90"/>
      <c r="BE58" s="90"/>
      <c r="BF58" s="183">
        <f t="shared" si="27"/>
        <v>0</v>
      </c>
      <c r="BG58" s="193"/>
      <c r="BH58" s="90"/>
      <c r="BI58" s="90"/>
      <c r="BJ58" s="183">
        <f t="shared" si="28"/>
        <v>0</v>
      </c>
      <c r="BK58" s="193"/>
      <c r="BL58" s="90"/>
      <c r="BM58" s="90"/>
      <c r="BN58" s="183">
        <f t="shared" si="29"/>
        <v>0</v>
      </c>
      <c r="BO58" s="193"/>
      <c r="BP58" s="90"/>
      <c r="BQ58" s="90"/>
      <c r="BR58" s="183">
        <f t="shared" si="30"/>
        <v>0</v>
      </c>
      <c r="BS58" s="193"/>
      <c r="BT58" s="90"/>
      <c r="BU58" s="90"/>
      <c r="BV58" s="183">
        <f t="shared" si="31"/>
        <v>0</v>
      </c>
      <c r="BW58" s="193"/>
      <c r="BX58" s="90"/>
      <c r="BY58" s="90"/>
      <c r="BZ58" s="183">
        <f t="shared" si="32"/>
        <v>0</v>
      </c>
      <c r="CA58" s="193"/>
      <c r="CB58" s="90"/>
      <c r="CC58" s="90"/>
      <c r="CD58" s="183">
        <f t="shared" si="33"/>
        <v>0</v>
      </c>
    </row>
    <row r="59" spans="2:82" x14ac:dyDescent="0.3">
      <c r="B59" s="53"/>
      <c r="C59" s="53" t="str">
        <f t="shared" si="0"/>
        <v>CPU_Reservatorio</v>
      </c>
      <c r="D59" s="278">
        <f t="shared" si="1"/>
        <v>0.2</v>
      </c>
      <c r="E59" s="278">
        <f t="shared" si="2"/>
        <v>0</v>
      </c>
      <c r="F59" s="1"/>
      <c r="G59" s="28" t="str">
        <f>IFERROR(VLOOKUP(F59,Tabela7[[RECURSO]:[CUSTO]],2,FALSE),"")</f>
        <v/>
      </c>
      <c r="I59" s="90">
        <f t="shared" si="42"/>
        <v>0</v>
      </c>
      <c r="J59" s="45">
        <f>IFERROR(VLOOKUP(F59,Tabela7[[RECURSO]:[CUSTO]],3,FALSE),0)</f>
        <v>0</v>
      </c>
      <c r="K59" s="45">
        <f t="shared" si="43"/>
        <v>0</v>
      </c>
      <c r="M59" s="85"/>
      <c r="N59" s="88"/>
      <c r="O59" s="31"/>
      <c r="P59" s="1"/>
      <c r="Q59" s="1"/>
      <c r="R59" s="1"/>
      <c r="S59" s="1"/>
      <c r="T59" s="1"/>
      <c r="U59" s="1"/>
      <c r="V59" s="1"/>
      <c r="W59" s="342"/>
      <c r="AD59" s="144" t="str">
        <f t="shared" si="3"/>
        <v>Reservatorio</v>
      </c>
      <c r="AE59" s="192"/>
      <c r="AF59" s="180">
        <f t="shared" si="39"/>
        <v>0</v>
      </c>
      <c r="AG59" s="180">
        <f t="shared" si="17"/>
        <v>0</v>
      </c>
      <c r="AH59" s="181">
        <f t="shared" si="40"/>
        <v>0</v>
      </c>
      <c r="AI59" s="193"/>
      <c r="AJ59" s="90"/>
      <c r="AK59" s="90"/>
      <c r="AL59" s="183">
        <f t="shared" si="41"/>
        <v>0</v>
      </c>
      <c r="AM59" s="193"/>
      <c r="AN59" s="90"/>
      <c r="AO59" s="90"/>
      <c r="AP59" s="183">
        <f t="shared" si="23"/>
        <v>0</v>
      </c>
      <c r="AQ59" s="193"/>
      <c r="AR59" s="90"/>
      <c r="AS59" s="90"/>
      <c r="AT59" s="183">
        <f t="shared" si="24"/>
        <v>0</v>
      </c>
      <c r="AU59" s="193"/>
      <c r="AV59" s="90"/>
      <c r="AW59" s="90"/>
      <c r="AX59" s="183">
        <f t="shared" si="25"/>
        <v>0</v>
      </c>
      <c r="AY59" s="193"/>
      <c r="AZ59" s="90"/>
      <c r="BA59" s="90"/>
      <c r="BB59" s="183">
        <f t="shared" si="26"/>
        <v>0</v>
      </c>
      <c r="BC59" s="193"/>
      <c r="BD59" s="90"/>
      <c r="BE59" s="90"/>
      <c r="BF59" s="183">
        <f t="shared" si="27"/>
        <v>0</v>
      </c>
      <c r="BG59" s="193"/>
      <c r="BH59" s="90"/>
      <c r="BI59" s="90"/>
      <c r="BJ59" s="183">
        <f t="shared" si="28"/>
        <v>0</v>
      </c>
      <c r="BK59" s="193"/>
      <c r="BL59" s="90"/>
      <c r="BM59" s="90"/>
      <c r="BN59" s="183">
        <f t="shared" si="29"/>
        <v>0</v>
      </c>
      <c r="BO59" s="193"/>
      <c r="BP59" s="90"/>
      <c r="BQ59" s="90"/>
      <c r="BR59" s="183">
        <f t="shared" si="30"/>
        <v>0</v>
      </c>
      <c r="BS59" s="193"/>
      <c r="BT59" s="90"/>
      <c r="BU59" s="90"/>
      <c r="BV59" s="183">
        <f t="shared" si="31"/>
        <v>0</v>
      </c>
      <c r="BW59" s="193"/>
      <c r="BX59" s="90"/>
      <c r="BY59" s="90"/>
      <c r="BZ59" s="183">
        <f t="shared" si="32"/>
        <v>0</v>
      </c>
      <c r="CA59" s="193"/>
      <c r="CB59" s="90"/>
      <c r="CC59" s="90"/>
      <c r="CD59" s="183">
        <f t="shared" si="33"/>
        <v>0</v>
      </c>
    </row>
    <row r="60" spans="2:82" x14ac:dyDescent="0.3">
      <c r="B60" s="53"/>
      <c r="C60" s="53" t="str">
        <f t="shared" si="0"/>
        <v>CPU_Reservatorio</v>
      </c>
      <c r="D60" s="278">
        <f t="shared" si="1"/>
        <v>0.2</v>
      </c>
      <c r="E60" s="278">
        <f t="shared" si="2"/>
        <v>0</v>
      </c>
      <c r="F60" s="1"/>
      <c r="G60" s="28" t="str">
        <f>IFERROR(VLOOKUP(F60,Tabela7[[RECURSO]:[CUSTO]],2,FALSE),"")</f>
        <v/>
      </c>
      <c r="I60" s="90">
        <f t="shared" si="42"/>
        <v>0</v>
      </c>
      <c r="J60" s="45">
        <f>IFERROR(VLOOKUP(F60,Tabela7[[RECURSO]:[CUSTO]],3,FALSE),0)</f>
        <v>0</v>
      </c>
      <c r="K60" s="45">
        <f t="shared" si="43"/>
        <v>0</v>
      </c>
      <c r="M60" s="85"/>
      <c r="N60" s="88"/>
      <c r="O60" s="31"/>
      <c r="P60" s="1"/>
      <c r="Q60" s="1"/>
      <c r="R60" s="1"/>
      <c r="S60" s="1"/>
      <c r="T60" s="1"/>
      <c r="U60" s="1"/>
      <c r="V60" s="1"/>
      <c r="W60" s="342"/>
      <c r="AD60" s="144" t="str">
        <f t="shared" si="3"/>
        <v>Reservatorio</v>
      </c>
      <c r="AE60" s="192"/>
      <c r="AF60" s="180">
        <f t="shared" si="39"/>
        <v>0</v>
      </c>
      <c r="AG60" s="180">
        <f t="shared" si="17"/>
        <v>0</v>
      </c>
      <c r="AH60" s="181">
        <f t="shared" si="40"/>
        <v>0</v>
      </c>
      <c r="AI60" s="193"/>
      <c r="AJ60" s="90"/>
      <c r="AK60" s="90"/>
      <c r="AL60" s="183">
        <f t="shared" si="41"/>
        <v>0</v>
      </c>
      <c r="AM60" s="193"/>
      <c r="AN60" s="90"/>
      <c r="AO60" s="90"/>
      <c r="AP60" s="183">
        <f t="shared" si="23"/>
        <v>0</v>
      </c>
      <c r="AQ60" s="193"/>
      <c r="AR60" s="90"/>
      <c r="AS60" s="90"/>
      <c r="AT60" s="183">
        <f t="shared" si="24"/>
        <v>0</v>
      </c>
      <c r="AU60" s="193"/>
      <c r="AV60" s="90"/>
      <c r="AW60" s="90"/>
      <c r="AX60" s="183">
        <f t="shared" si="25"/>
        <v>0</v>
      </c>
      <c r="AY60" s="193"/>
      <c r="AZ60" s="90"/>
      <c r="BA60" s="90"/>
      <c r="BB60" s="183">
        <f t="shared" si="26"/>
        <v>0</v>
      </c>
      <c r="BC60" s="193"/>
      <c r="BD60" s="90"/>
      <c r="BE60" s="90"/>
      <c r="BF60" s="183">
        <f t="shared" si="27"/>
        <v>0</v>
      </c>
      <c r="BG60" s="193"/>
      <c r="BH60" s="90"/>
      <c r="BI60" s="90"/>
      <c r="BJ60" s="183">
        <f t="shared" si="28"/>
        <v>0</v>
      </c>
      <c r="BK60" s="193"/>
      <c r="BL60" s="90"/>
      <c r="BM60" s="90"/>
      <c r="BN60" s="183">
        <f t="shared" si="29"/>
        <v>0</v>
      </c>
      <c r="BO60" s="193"/>
      <c r="BP60" s="90"/>
      <c r="BQ60" s="90"/>
      <c r="BR60" s="183">
        <f t="shared" si="30"/>
        <v>0</v>
      </c>
      <c r="BS60" s="193"/>
      <c r="BT60" s="90"/>
      <c r="BU60" s="90"/>
      <c r="BV60" s="183">
        <f t="shared" si="31"/>
        <v>0</v>
      </c>
      <c r="BW60" s="193"/>
      <c r="BX60" s="90"/>
      <c r="BY60" s="90"/>
      <c r="BZ60" s="183">
        <f t="shared" si="32"/>
        <v>0</v>
      </c>
      <c r="CA60" s="193"/>
      <c r="CB60" s="90"/>
      <c r="CC60" s="90"/>
      <c r="CD60" s="183">
        <f t="shared" si="33"/>
        <v>0</v>
      </c>
    </row>
    <row r="61" spans="2:82" x14ac:dyDescent="0.3">
      <c r="B61" s="53"/>
      <c r="C61" s="53" t="str">
        <f t="shared" si="0"/>
        <v>CPU_Reservatorio</v>
      </c>
      <c r="D61" s="278">
        <f t="shared" si="1"/>
        <v>0.2</v>
      </c>
      <c r="E61" s="278">
        <f t="shared" si="2"/>
        <v>0</v>
      </c>
      <c r="F61" s="1"/>
      <c r="G61" s="28" t="str">
        <f>IFERROR(VLOOKUP(F61,Tabela7[[RECURSO]:[CUSTO]],2,FALSE),"")</f>
        <v/>
      </c>
      <c r="I61" s="90">
        <f t="shared" si="42"/>
        <v>0</v>
      </c>
      <c r="J61" s="45">
        <f>IFERROR(VLOOKUP(F61,Tabela7[[RECURSO]:[CUSTO]],3,FALSE),0)</f>
        <v>0</v>
      </c>
      <c r="K61" s="45">
        <f t="shared" si="43"/>
        <v>0</v>
      </c>
      <c r="M61" s="85"/>
      <c r="N61" s="88"/>
      <c r="O61" s="31"/>
      <c r="P61" s="1"/>
      <c r="Q61" s="1"/>
      <c r="R61" s="1"/>
      <c r="S61" s="1"/>
      <c r="T61" s="1"/>
      <c r="U61" s="1"/>
      <c r="V61" s="1"/>
      <c r="W61" s="342"/>
      <c r="AD61" s="144" t="str">
        <f t="shared" si="3"/>
        <v>Reservatorio</v>
      </c>
      <c r="AE61" s="192"/>
      <c r="AF61" s="180">
        <f t="shared" si="39"/>
        <v>0</v>
      </c>
      <c r="AG61" s="180">
        <f t="shared" si="17"/>
        <v>0</v>
      </c>
      <c r="AH61" s="181">
        <f t="shared" si="40"/>
        <v>0</v>
      </c>
      <c r="AI61" s="193"/>
      <c r="AJ61" s="90"/>
      <c r="AK61" s="90"/>
      <c r="AL61" s="183">
        <f t="shared" si="41"/>
        <v>0</v>
      </c>
      <c r="AM61" s="193"/>
      <c r="AN61" s="90"/>
      <c r="AO61" s="90"/>
      <c r="AP61" s="183">
        <f t="shared" si="23"/>
        <v>0</v>
      </c>
      <c r="AQ61" s="193"/>
      <c r="AR61" s="90"/>
      <c r="AS61" s="90"/>
      <c r="AT61" s="183">
        <f t="shared" si="24"/>
        <v>0</v>
      </c>
      <c r="AU61" s="193"/>
      <c r="AV61" s="90"/>
      <c r="AW61" s="90"/>
      <c r="AX61" s="183">
        <f t="shared" si="25"/>
        <v>0</v>
      </c>
      <c r="AY61" s="193"/>
      <c r="AZ61" s="90"/>
      <c r="BA61" s="90"/>
      <c r="BB61" s="183">
        <f t="shared" si="26"/>
        <v>0</v>
      </c>
      <c r="BC61" s="193"/>
      <c r="BD61" s="90"/>
      <c r="BE61" s="90"/>
      <c r="BF61" s="183">
        <f t="shared" si="27"/>
        <v>0</v>
      </c>
      <c r="BG61" s="193"/>
      <c r="BH61" s="90"/>
      <c r="BI61" s="90"/>
      <c r="BJ61" s="183">
        <f t="shared" si="28"/>
        <v>0</v>
      </c>
      <c r="BK61" s="193"/>
      <c r="BL61" s="90"/>
      <c r="BM61" s="90"/>
      <c r="BN61" s="183">
        <f t="shared" si="29"/>
        <v>0</v>
      </c>
      <c r="BO61" s="193"/>
      <c r="BP61" s="90"/>
      <c r="BQ61" s="90"/>
      <c r="BR61" s="183">
        <f t="shared" si="30"/>
        <v>0</v>
      </c>
      <c r="BS61" s="193"/>
      <c r="BT61" s="90"/>
      <c r="BU61" s="90"/>
      <c r="BV61" s="183">
        <f t="shared" si="31"/>
        <v>0</v>
      </c>
      <c r="BW61" s="193"/>
      <c r="BX61" s="90"/>
      <c r="BY61" s="90"/>
      <c r="BZ61" s="183">
        <f t="shared" si="32"/>
        <v>0</v>
      </c>
      <c r="CA61" s="193"/>
      <c r="CB61" s="90"/>
      <c r="CC61" s="90"/>
      <c r="CD61" s="183">
        <f t="shared" si="33"/>
        <v>0</v>
      </c>
    </row>
    <row r="62" spans="2:82" ht="15" thickBot="1" x14ac:dyDescent="0.35">
      <c r="B62" s="53"/>
      <c r="C62" s="53" t="str">
        <f t="shared" si="0"/>
        <v>CPU_Reservatorio</v>
      </c>
      <c r="D62" s="278">
        <f t="shared" si="1"/>
        <v>0.2</v>
      </c>
      <c r="E62" s="278">
        <f t="shared" si="2"/>
        <v>0</v>
      </c>
      <c r="F62" s="1"/>
      <c r="G62" s="28" t="str">
        <f>IFERROR(VLOOKUP(F62,Tabela7[[RECURSO]:[CUSTO]],2,FALSE),"")</f>
        <v/>
      </c>
      <c r="I62" s="90">
        <f t="shared" si="42"/>
        <v>0</v>
      </c>
      <c r="J62" s="45">
        <f>IFERROR(VLOOKUP(F62,Tabela7[[RECURSO]:[CUSTO]],3,FALSE),0)</f>
        <v>0</v>
      </c>
      <c r="K62" s="45">
        <f t="shared" si="43"/>
        <v>0</v>
      </c>
      <c r="M62" s="86"/>
      <c r="N62" s="88"/>
      <c r="O62" s="51"/>
      <c r="P62" s="343"/>
      <c r="Q62" s="343"/>
      <c r="R62" s="343"/>
      <c r="S62" s="343"/>
      <c r="T62" s="343"/>
      <c r="U62" s="343"/>
      <c r="V62" s="343"/>
      <c r="W62" s="344"/>
      <c r="AD62" s="144" t="str">
        <f t="shared" si="3"/>
        <v>Reservatorio</v>
      </c>
      <c r="AE62" s="194"/>
      <c r="AF62" s="195">
        <f t="shared" si="39"/>
        <v>0</v>
      </c>
      <c r="AG62" s="195">
        <f t="shared" si="17"/>
        <v>0</v>
      </c>
      <c r="AH62" s="196">
        <f t="shared" si="40"/>
        <v>0</v>
      </c>
      <c r="AI62" s="197"/>
      <c r="AJ62" s="198"/>
      <c r="AK62" s="198"/>
      <c r="AL62" s="199">
        <f t="shared" si="41"/>
        <v>0</v>
      </c>
      <c r="AM62" s="197"/>
      <c r="AN62" s="198"/>
      <c r="AO62" s="198"/>
      <c r="AP62" s="199">
        <f t="shared" si="23"/>
        <v>0</v>
      </c>
      <c r="AQ62" s="197"/>
      <c r="AR62" s="198"/>
      <c r="AS62" s="198"/>
      <c r="AT62" s="199">
        <f t="shared" si="24"/>
        <v>0</v>
      </c>
      <c r="AU62" s="197"/>
      <c r="AV62" s="198"/>
      <c r="AW62" s="198"/>
      <c r="AX62" s="199">
        <f t="shared" si="25"/>
        <v>0</v>
      </c>
      <c r="AY62" s="197"/>
      <c r="AZ62" s="198"/>
      <c r="BA62" s="198"/>
      <c r="BB62" s="199">
        <f t="shared" si="26"/>
        <v>0</v>
      </c>
      <c r="BC62" s="197"/>
      <c r="BD62" s="198"/>
      <c r="BE62" s="198"/>
      <c r="BF62" s="199">
        <f t="shared" si="27"/>
        <v>0</v>
      </c>
      <c r="BG62" s="197"/>
      <c r="BH62" s="198"/>
      <c r="BI62" s="198"/>
      <c r="BJ62" s="199">
        <f t="shared" si="28"/>
        <v>0</v>
      </c>
      <c r="BK62" s="197"/>
      <c r="BL62" s="198"/>
      <c r="BM62" s="198"/>
      <c r="BN62" s="199">
        <f t="shared" si="29"/>
        <v>0</v>
      </c>
      <c r="BO62" s="197"/>
      <c r="BP62" s="198"/>
      <c r="BQ62" s="198"/>
      <c r="BR62" s="199">
        <f t="shared" si="30"/>
        <v>0</v>
      </c>
      <c r="BS62" s="197"/>
      <c r="BT62" s="198"/>
      <c r="BU62" s="198"/>
      <c r="BV62" s="199">
        <f t="shared" si="31"/>
        <v>0</v>
      </c>
      <c r="BW62" s="197"/>
      <c r="BX62" s="198"/>
      <c r="BY62" s="198"/>
      <c r="BZ62" s="199">
        <f t="shared" si="32"/>
        <v>0</v>
      </c>
      <c r="CA62" s="197"/>
      <c r="CB62" s="198"/>
      <c r="CC62" s="198"/>
      <c r="CD62" s="199">
        <f t="shared" si="33"/>
        <v>0</v>
      </c>
    </row>
  </sheetData>
  <conditionalFormatting sqref="K6:K7">
    <cfRule type="iconSet" priority="14">
      <iconSet>
        <cfvo type="percent" val="0"/>
        <cfvo type="num" val="0"/>
        <cfvo type="num" val="0.02"/>
      </iconSet>
    </cfRule>
  </conditionalFormatting>
  <conditionalFormatting sqref="AH6:AH7">
    <cfRule type="iconSet" priority="13">
      <iconSet>
        <cfvo type="percent" val="0"/>
        <cfvo type="num" val="0"/>
        <cfvo type="num" val="0.02"/>
      </iconSet>
    </cfRule>
  </conditionalFormatting>
  <conditionalFormatting sqref="AL6:AL7">
    <cfRule type="iconSet" priority="12">
      <iconSet>
        <cfvo type="percent" val="0"/>
        <cfvo type="num" val="0"/>
        <cfvo type="num" val="0.02"/>
      </iconSet>
    </cfRule>
  </conditionalFormatting>
  <conditionalFormatting sqref="AP6:AP7">
    <cfRule type="iconSet" priority="11">
      <iconSet>
        <cfvo type="percent" val="0"/>
        <cfvo type="num" val="0"/>
        <cfvo type="num" val="0.02"/>
      </iconSet>
    </cfRule>
  </conditionalFormatting>
  <conditionalFormatting sqref="AT6:AT7">
    <cfRule type="iconSet" priority="10">
      <iconSet>
        <cfvo type="percent" val="0"/>
        <cfvo type="num" val="0"/>
        <cfvo type="num" val="0.02"/>
      </iconSet>
    </cfRule>
  </conditionalFormatting>
  <conditionalFormatting sqref="AX6:AX7">
    <cfRule type="iconSet" priority="9">
      <iconSet>
        <cfvo type="percent" val="0"/>
        <cfvo type="num" val="0"/>
        <cfvo type="num" val="0.02"/>
      </iconSet>
    </cfRule>
  </conditionalFormatting>
  <conditionalFormatting sqref="BB6:BB7">
    <cfRule type="iconSet" priority="8">
      <iconSet>
        <cfvo type="percent" val="0"/>
        <cfvo type="num" val="0"/>
        <cfvo type="num" val="0.02"/>
      </iconSet>
    </cfRule>
  </conditionalFormatting>
  <conditionalFormatting sqref="BF6:BF7">
    <cfRule type="iconSet" priority="7">
      <iconSet>
        <cfvo type="percent" val="0"/>
        <cfvo type="num" val="0"/>
        <cfvo type="num" val="0.02"/>
      </iconSet>
    </cfRule>
  </conditionalFormatting>
  <conditionalFormatting sqref="BJ6:BJ7">
    <cfRule type="iconSet" priority="6">
      <iconSet>
        <cfvo type="percent" val="0"/>
        <cfvo type="num" val="0"/>
        <cfvo type="num" val="0.02"/>
      </iconSet>
    </cfRule>
  </conditionalFormatting>
  <conditionalFormatting sqref="BN6:BN7">
    <cfRule type="iconSet" priority="5">
      <iconSet>
        <cfvo type="percent" val="0"/>
        <cfvo type="num" val="0"/>
        <cfvo type="num" val="0.02"/>
      </iconSet>
    </cfRule>
  </conditionalFormatting>
  <conditionalFormatting sqref="BR6:BR7">
    <cfRule type="iconSet" priority="4">
      <iconSet>
        <cfvo type="percent" val="0"/>
        <cfvo type="num" val="0"/>
        <cfvo type="num" val="0.02"/>
      </iconSet>
    </cfRule>
  </conditionalFormatting>
  <conditionalFormatting sqref="BV6:BV7">
    <cfRule type="iconSet" priority="3">
      <iconSet>
        <cfvo type="percent" val="0"/>
        <cfvo type="num" val="0"/>
        <cfvo type="num" val="0.02"/>
      </iconSet>
    </cfRule>
  </conditionalFormatting>
  <conditionalFormatting sqref="BZ6:BZ7">
    <cfRule type="iconSet" priority="2">
      <iconSet>
        <cfvo type="percent" val="0"/>
        <cfvo type="num" val="0"/>
        <cfvo type="num" val="0.02"/>
      </iconSet>
    </cfRule>
  </conditionalFormatting>
  <conditionalFormatting sqref="CD6:CD7">
    <cfRule type="iconSet" priority="1">
      <iconSet>
        <cfvo type="percent" val="0"/>
        <cfvo type="num" val="0"/>
        <cfvo type="num" val="0.02"/>
      </iconSet>
    </cfRule>
  </conditionalFormatting>
  <dataValidations count="5">
    <dataValidation type="list" allowBlank="1" showInputMessage="1" showErrorMessage="1" sqref="F51:F62" xr:uid="{F7D77F99-5CDF-43D6-A391-F93AF6F2BEA0}">
      <formula1>INDIRECT($B$50)</formula1>
    </dataValidation>
    <dataValidation type="list" allowBlank="1" showInputMessage="1" showErrorMessage="1" sqref="F38:F49" xr:uid="{9326FF0E-FA90-4202-8BF5-2588DE31AFE5}">
      <formula1>INDIRECT($B$37)</formula1>
    </dataValidation>
    <dataValidation type="list" allowBlank="1" showInputMessage="1" showErrorMessage="1" sqref="F25:F36" xr:uid="{FFA50C63-6371-4CF5-97B1-2B3AAEBA7339}">
      <formula1>INDIRECT($B$24)</formula1>
    </dataValidation>
    <dataValidation type="list" allowBlank="1" showInputMessage="1" showErrorMessage="1" sqref="F12:F23" xr:uid="{E84DCB3E-CBCF-465B-A601-91FAC3611D28}">
      <formula1>INDIRECT($B$11)</formula1>
    </dataValidation>
    <dataValidation type="list" allowBlank="1" showInputMessage="1" showErrorMessage="1" sqref="B3:E3" xr:uid="{B195B57A-4FEE-4BD1-99EE-754C2CE6D5C1}">
      <formula1>INDIRECT($B$2)</formula1>
    </dataValidation>
  </dataValidations>
  <pageMargins left="0.51181102362204722" right="0.51181102362204722" top="0.19685039370078741" bottom="0.19685039370078741" header="0.31496062992125984" footer="0.31496062992125984"/>
  <pageSetup paperSize="9" scale="82" orientation="portrait" r:id="rId1"/>
  <colBreaks count="1" manualBreakCount="1">
    <brk id="11" max="1048575" man="1"/>
  </colBreaks>
  <drawing r:id="rId2"/>
  <legacyDrawing r:id="rId3"/>
  <tableParts count="2">
    <tablePart r:id="rId4"/>
    <tablePart r:id="rId5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663EF-D8D8-4B0F-9AAF-8DE473A9A277}">
  <sheetPr codeName="Plan22"/>
  <dimension ref="A1:CD66"/>
  <sheetViews>
    <sheetView showGridLines="0" zoomScaleNormal="100" workbookViewId="0">
      <pane xSplit="14" ySplit="10" topLeftCell="O20" activePane="bottomRight" state="frozen"/>
      <selection pane="topRight" activeCell="C28" activeCellId="1" sqref="E13 C28"/>
      <selection pane="bottomLeft" activeCell="C28" activeCellId="1" sqref="E13 C28"/>
      <selection pane="bottomRight" activeCell="K1" sqref="K1:K1048576"/>
    </sheetView>
  </sheetViews>
  <sheetFormatPr defaultRowHeight="14.4" x14ac:dyDescent="0.3"/>
  <cols>
    <col min="1" max="1" width="4.109375" customWidth="1"/>
    <col min="2" max="2" width="16.109375" customWidth="1"/>
    <col min="3" max="5" width="16.109375" hidden="1" customWidth="1"/>
    <col min="6" max="6" width="40.6640625" customWidth="1"/>
    <col min="7" max="7" width="10.6640625" style="28" customWidth="1"/>
    <col min="8" max="8" width="7.6640625" style="28" customWidth="1"/>
    <col min="9" max="10" width="10.6640625" customWidth="1"/>
    <col min="11" max="11" width="11.33203125" bestFit="1" customWidth="1"/>
    <col min="12" max="12" width="2.33203125" customWidth="1"/>
    <col min="13" max="14" width="12.6640625" customWidth="1"/>
    <col min="15" max="15" width="14" bestFit="1" customWidth="1"/>
    <col min="30" max="30" width="12.44140625" bestFit="1" customWidth="1"/>
    <col min="31" max="31" width="7.6640625" customWidth="1"/>
    <col min="32" max="32" width="9.33203125" bestFit="1" customWidth="1"/>
    <col min="33" max="34" width="10.6640625" customWidth="1"/>
    <col min="35" max="35" width="7.6640625" customWidth="1"/>
    <col min="36" max="36" width="9.33203125" customWidth="1"/>
    <col min="37" max="38" width="10.6640625" customWidth="1"/>
    <col min="40" max="40" width="9.33203125" customWidth="1"/>
    <col min="42" max="42" width="9.6640625" customWidth="1"/>
    <col min="44" max="44" width="9.33203125" customWidth="1"/>
    <col min="46" max="46" width="9.6640625" customWidth="1"/>
    <col min="48" max="48" width="9.33203125" customWidth="1"/>
    <col min="50" max="50" width="9.6640625" customWidth="1"/>
    <col min="52" max="52" width="9.33203125" customWidth="1"/>
    <col min="54" max="54" width="9.6640625" customWidth="1"/>
    <col min="56" max="56" width="9.33203125" customWidth="1"/>
    <col min="58" max="58" width="9.6640625" customWidth="1"/>
    <col min="60" max="60" width="9.33203125" customWidth="1"/>
    <col min="62" max="62" width="9.6640625" customWidth="1"/>
    <col min="64" max="64" width="9.33203125" customWidth="1"/>
    <col min="66" max="66" width="9.6640625" customWidth="1"/>
    <col min="68" max="68" width="9.33203125" customWidth="1"/>
    <col min="70" max="70" width="9.6640625" customWidth="1"/>
    <col min="72" max="72" width="10" customWidth="1"/>
    <col min="73" max="73" width="9.5546875" customWidth="1"/>
    <col min="74" max="74" width="10.44140625" customWidth="1"/>
    <col min="76" max="76" width="10" customWidth="1"/>
    <col min="77" max="77" width="9.5546875" customWidth="1"/>
    <col min="78" max="78" width="10.44140625" customWidth="1"/>
    <col min="80" max="80" width="10" customWidth="1"/>
    <col min="81" max="81" width="9.5546875" customWidth="1"/>
    <col min="82" max="82" width="10.44140625" customWidth="1"/>
  </cols>
  <sheetData>
    <row r="1" spans="1:82" ht="26.4" customHeight="1" thickBot="1" x14ac:dyDescent="0.35">
      <c r="AE1" s="163" t="s">
        <v>678</v>
      </c>
    </row>
    <row r="2" spans="1:82" x14ac:dyDescent="0.3">
      <c r="B2" s="64" t="s">
        <v>679</v>
      </c>
      <c r="C2" s="67"/>
      <c r="D2" s="67"/>
      <c r="E2" s="67"/>
      <c r="F2" s="65"/>
      <c r="G2" s="66"/>
      <c r="H2" s="66"/>
      <c r="I2" s="65"/>
      <c r="J2" s="67" t="s">
        <v>680</v>
      </c>
      <c r="K2" s="68" t="s">
        <v>681</v>
      </c>
      <c r="M2" s="227" t="s">
        <v>682</v>
      </c>
      <c r="N2" s="228" t="s">
        <v>683</v>
      </c>
      <c r="O2" s="234" t="s">
        <v>684</v>
      </c>
      <c r="AE2" s="164" t="s">
        <v>590</v>
      </c>
      <c r="AF2" s="165" t="s">
        <v>20</v>
      </c>
      <c r="AG2" s="67"/>
      <c r="AH2" s="68" t="s">
        <v>681</v>
      </c>
      <c r="AI2" s="166">
        <v>44927</v>
      </c>
      <c r="AJ2" s="165" t="s">
        <v>20</v>
      </c>
      <c r="AK2" s="67"/>
      <c r="AL2" s="68" t="s">
        <v>681</v>
      </c>
      <c r="AM2" s="166">
        <v>44958</v>
      </c>
      <c r="AN2" s="165" t="s">
        <v>20</v>
      </c>
      <c r="AO2" s="67"/>
      <c r="AP2" s="68" t="s">
        <v>681</v>
      </c>
      <c r="AQ2" s="166">
        <v>44986</v>
      </c>
      <c r="AR2" s="165" t="s">
        <v>20</v>
      </c>
      <c r="AS2" s="67"/>
      <c r="AT2" s="68" t="s">
        <v>681</v>
      </c>
      <c r="AU2" s="166">
        <v>45017</v>
      </c>
      <c r="AV2" s="165" t="s">
        <v>20</v>
      </c>
      <c r="AW2" s="67"/>
      <c r="AX2" s="68" t="s">
        <v>681</v>
      </c>
      <c r="AY2" s="166">
        <v>45047</v>
      </c>
      <c r="AZ2" s="165" t="s">
        <v>20</v>
      </c>
      <c r="BA2" s="67"/>
      <c r="BB2" s="68" t="s">
        <v>681</v>
      </c>
      <c r="BC2" s="166">
        <v>45078</v>
      </c>
      <c r="BD2" s="165" t="s">
        <v>20</v>
      </c>
      <c r="BE2" s="67"/>
      <c r="BF2" s="68" t="s">
        <v>681</v>
      </c>
      <c r="BG2" s="166">
        <v>45108</v>
      </c>
      <c r="BH2" s="165" t="s">
        <v>20</v>
      </c>
      <c r="BI2" s="67"/>
      <c r="BJ2" s="68" t="s">
        <v>681</v>
      </c>
      <c r="BK2" s="166">
        <v>45139</v>
      </c>
      <c r="BL2" s="165" t="s">
        <v>20</v>
      </c>
      <c r="BM2" s="67"/>
      <c r="BN2" s="68" t="s">
        <v>681</v>
      </c>
      <c r="BO2" s="166">
        <v>45170</v>
      </c>
      <c r="BP2" s="165" t="s">
        <v>20</v>
      </c>
      <c r="BQ2" s="67"/>
      <c r="BR2" s="68" t="s">
        <v>681</v>
      </c>
      <c r="BS2" s="166">
        <v>45200</v>
      </c>
      <c r="BT2" s="165" t="s">
        <v>20</v>
      </c>
      <c r="BU2" s="67"/>
      <c r="BV2" s="68" t="s">
        <v>681</v>
      </c>
      <c r="BW2" s="166">
        <v>45231</v>
      </c>
      <c r="BX2" s="165" t="s">
        <v>20</v>
      </c>
      <c r="BY2" s="67"/>
      <c r="BZ2" s="68" t="s">
        <v>681</v>
      </c>
      <c r="CA2" s="166">
        <v>45261</v>
      </c>
      <c r="CB2" s="165" t="s">
        <v>20</v>
      </c>
      <c r="CC2" s="67"/>
      <c r="CD2" s="68" t="s">
        <v>681</v>
      </c>
    </row>
    <row r="3" spans="1:82" x14ac:dyDescent="0.3">
      <c r="A3" s="42" t="str">
        <f>"CPU_"&amp;LEFT(SUBSTITUTE(SUBSTITUTE(B3," ",""),"-",""),20)</f>
        <v>CPU_CapaSAUS</v>
      </c>
      <c r="B3" s="31" t="s">
        <v>825</v>
      </c>
      <c r="C3" s="1"/>
      <c r="D3" s="1"/>
      <c r="E3" s="1"/>
      <c r="F3" s="73"/>
      <c r="G3" s="74"/>
      <c r="H3" s="74"/>
      <c r="I3" s="73"/>
      <c r="J3" s="74" t="str">
        <f>IFERROR(VLOOKUP(B3,Tabela1[[NOME SERVIÇO]:[UNID]],4,0),"")</f>
        <v>UNID</v>
      </c>
      <c r="K3" s="75">
        <f>IFERROR(J6/B6,0)</f>
        <v>177184.31614017586</v>
      </c>
      <c r="M3" s="229" t="s">
        <v>685</v>
      </c>
      <c r="N3" s="230">
        <f>K11</f>
        <v>6818.1818181818198</v>
      </c>
      <c r="O3" s="235">
        <f>IFERROR(N3/$N$7,0)</f>
        <v>0.19240364967708964</v>
      </c>
      <c r="AE3" s="167"/>
      <c r="AF3" s="168">
        <f>AJ3+AN3+AR3+AV3+AZ3+BD3+BH3+BL3+BP3+BT3+BX3+CB3</f>
        <v>0</v>
      </c>
      <c r="AG3" s="74"/>
      <c r="AH3" s="75">
        <f>IFERROR((AG6/AF3),0)</f>
        <v>0</v>
      </c>
      <c r="AI3" s="167"/>
      <c r="AJ3" s="168">
        <f>IFERROR(SUMPRODUCT(Plan_Orc!$I$4:$I$2002*Plan_Orc!$AB$4:$AB$2002*(Plan_Orc!$D$4:$D$2002=$B3)),0)</f>
        <v>0</v>
      </c>
      <c r="AK3" s="74"/>
      <c r="AL3" s="75">
        <f>IFERROR((AK6/AJ3),0)</f>
        <v>0</v>
      </c>
      <c r="AM3" s="167"/>
      <c r="AN3" s="168">
        <f>IFERROR(SUMPRODUCT(Plan_Orc!$I$4:$I$2002*Plan_Orc!$AC$4:$AC$2002*(Plan_Orc!$D$4:$D$2002=$B3)),0)</f>
        <v>0</v>
      </c>
      <c r="AO3" s="74"/>
      <c r="AP3" s="75">
        <f>IFERROR((AO6/AN3),0)</f>
        <v>0</v>
      </c>
      <c r="AQ3" s="167"/>
      <c r="AR3" s="168">
        <f>IFERROR(SUMPRODUCT(Plan_Orc!$I$4:$I$2002*Plan_Orc!$AD$4:$AD$2002*(Plan_Orc!$D$4:$D$2002=$B3)),0)</f>
        <v>0</v>
      </c>
      <c r="AS3" s="74"/>
      <c r="AT3" s="75">
        <f>IFERROR((AS6/AR3),0)</f>
        <v>0</v>
      </c>
      <c r="AU3" s="167"/>
      <c r="AV3" s="168">
        <f>IFERROR(SUMPRODUCT(Plan_Orc!$I$4:$I$2002*Plan_Orc!$AE$4:$AE$2002*(Plan_Orc!$D$4:$D$2002=$B3)),0)</f>
        <v>0</v>
      </c>
      <c r="AW3" s="74"/>
      <c r="AX3" s="75">
        <f>IFERROR((AW6/AV3),0)</f>
        <v>0</v>
      </c>
      <c r="AY3" s="167"/>
      <c r="AZ3" s="168">
        <f>IFERROR(SUMPRODUCT(Plan_Orc!$I$4:$I$2002*Plan_Orc!$AF$4:$AF$2002*(Plan_Orc!$D$4:$D$2002=$B3)),0)</f>
        <v>0</v>
      </c>
      <c r="BA3" s="74"/>
      <c r="BB3" s="75">
        <f>IFERROR((BA6/AZ3),0)</f>
        <v>0</v>
      </c>
      <c r="BC3" s="167"/>
      <c r="BD3" s="168">
        <f>IFERROR(SUMPRODUCT(Plan_Orc!$I$4:$I$2002*Plan_Orc!$AG$4:$AG$2002*(Plan_Orc!$D$4:$D$2002=$B3)),0)</f>
        <v>0</v>
      </c>
      <c r="BE3" s="74"/>
      <c r="BF3" s="75">
        <f>IFERROR((BE6/BD3),0)</f>
        <v>0</v>
      </c>
      <c r="BG3" s="167"/>
      <c r="BH3" s="168">
        <f>IFERROR(SUMPRODUCT(Plan_Orc!$I$4:$I$2002*Plan_Orc!$AH$4:$AH$2002*(Plan_Orc!$D$4:$D$2002=$B3)),0)</f>
        <v>0</v>
      </c>
      <c r="BI3" s="74"/>
      <c r="BJ3" s="75">
        <f>IFERROR((BI6/BH3),0)</f>
        <v>0</v>
      </c>
      <c r="BK3" s="167"/>
      <c r="BL3" s="168">
        <f>IFERROR(SUMPRODUCT(Plan_Orc!$I$4:$I$2002*Plan_Orc!$AI$4:$AI$2002*(Plan_Orc!$D$4:$D$2002=$B3)),0)</f>
        <v>0</v>
      </c>
      <c r="BM3" s="74"/>
      <c r="BN3" s="75">
        <f>IFERROR((BM6/BL3),0)</f>
        <v>0</v>
      </c>
      <c r="BO3" s="167"/>
      <c r="BP3" s="168">
        <f>IFERROR(SUMPRODUCT(Plan_Orc!$I$4:$I$2002*Plan_Orc!$AJ$4:$AJ$2002*(Plan_Orc!$D$4:$D$2002=$B3)),0)</f>
        <v>0</v>
      </c>
      <c r="BQ3" s="74"/>
      <c r="BR3" s="75">
        <f>IFERROR((BQ6/BP3),0)</f>
        <v>0</v>
      </c>
      <c r="BS3" s="167"/>
      <c r="BT3" s="168">
        <f>IFERROR(SUMPRODUCT(Plan_Orc!$I$4:$I$2002*Plan_Orc!$AK$4:$AK$2002*(Plan_Orc!$D$4:$D$2002=$B3)),0)</f>
        <v>0</v>
      </c>
      <c r="BU3" s="74"/>
      <c r="BV3" s="75">
        <f>IFERROR((BU6/BT3),0)</f>
        <v>0</v>
      </c>
      <c r="BW3" s="167"/>
      <c r="BX3" s="168">
        <f>IFERROR(SUMPRODUCT(Plan_Orc!$I$4:$I$2002*Plan_Orc!$AL$4:$AL$2002*(Plan_Orc!$D$4:$D$2002=$B3)),0)</f>
        <v>0</v>
      </c>
      <c r="BY3" s="74"/>
      <c r="BZ3" s="75">
        <f>IFERROR((BY6/BX3),0)</f>
        <v>0</v>
      </c>
      <c r="CA3" s="167"/>
      <c r="CB3" s="168">
        <f>IFERROR(SUMPRODUCT(Plan_Orc!$I$4:$I$2002*Plan_Orc!$AM$4:$AM$2002*(Plan_Orc!$D$4:$D$2002=$B3)),0)</f>
        <v>0</v>
      </c>
      <c r="CC3" s="74"/>
      <c r="CD3" s="75">
        <f>IFERROR((CC6/CB3),0)</f>
        <v>0</v>
      </c>
    </row>
    <row r="4" spans="1:82" x14ac:dyDescent="0.3">
      <c r="B4" s="32"/>
      <c r="K4" s="30"/>
      <c r="M4" s="229" t="s">
        <v>686</v>
      </c>
      <c r="N4" s="230">
        <f>+K24</f>
        <v>3054.5454545454545</v>
      </c>
      <c r="O4" s="235">
        <f>IFERROR(N4/$N$7,0)</f>
        <v>8.6196835055336138E-2</v>
      </c>
      <c r="AE4" s="169"/>
      <c r="AH4" s="30"/>
      <c r="AI4" s="169"/>
      <c r="AL4" s="30"/>
      <c r="AM4" s="169"/>
      <c r="AP4" s="30"/>
      <c r="AQ4" s="169"/>
      <c r="AT4" s="30"/>
      <c r="AU4" s="169"/>
      <c r="AX4" s="30"/>
      <c r="AY4" s="169"/>
      <c r="BB4" s="30"/>
      <c r="BC4" s="169"/>
      <c r="BF4" s="30"/>
      <c r="BG4" s="169"/>
      <c r="BJ4" s="30"/>
      <c r="BK4" s="169"/>
      <c r="BN4" s="30"/>
      <c r="BO4" s="169"/>
      <c r="BR4" s="30"/>
      <c r="BS4" s="169"/>
      <c r="BV4" s="30"/>
      <c r="BW4" s="169"/>
      <c r="BZ4" s="30"/>
      <c r="CA4" s="169"/>
      <c r="CD4" s="30"/>
    </row>
    <row r="5" spans="1:82" x14ac:dyDescent="0.3">
      <c r="B5" s="69" t="s">
        <v>687</v>
      </c>
      <c r="C5" s="72"/>
      <c r="D5" s="72"/>
      <c r="E5" s="72"/>
      <c r="F5" s="70" t="s">
        <v>688</v>
      </c>
      <c r="G5" s="70" t="s">
        <v>689</v>
      </c>
      <c r="H5" s="70" t="s">
        <v>690</v>
      </c>
      <c r="I5" s="70" t="s">
        <v>691</v>
      </c>
      <c r="J5" s="70" t="s">
        <v>683</v>
      </c>
      <c r="K5" s="71" t="s">
        <v>593</v>
      </c>
      <c r="M5" s="229" t="s">
        <v>692</v>
      </c>
      <c r="N5" s="230">
        <f>+K37</f>
        <v>3341.0992886412305</v>
      </c>
      <c r="O5" s="235">
        <f>IFERROR(N5/$N$7,0)</f>
        <v>9.4283155569988092E-2</v>
      </c>
      <c r="AE5" s="170"/>
      <c r="AF5" s="70" t="s">
        <v>691</v>
      </c>
      <c r="AG5" s="70" t="s">
        <v>683</v>
      </c>
      <c r="AH5" s="71" t="s">
        <v>593</v>
      </c>
      <c r="AI5" s="170"/>
      <c r="AJ5" s="70" t="s">
        <v>691</v>
      </c>
      <c r="AK5" s="70" t="s">
        <v>683</v>
      </c>
      <c r="AL5" s="71" t="s">
        <v>593</v>
      </c>
      <c r="AM5" s="170"/>
      <c r="AN5" s="70" t="s">
        <v>691</v>
      </c>
      <c r="AO5" s="70" t="s">
        <v>683</v>
      </c>
      <c r="AP5" s="71" t="s">
        <v>593</v>
      </c>
      <c r="AQ5" s="170"/>
      <c r="AR5" s="70" t="s">
        <v>691</v>
      </c>
      <c r="AS5" s="70" t="s">
        <v>683</v>
      </c>
      <c r="AT5" s="71" t="s">
        <v>593</v>
      </c>
      <c r="AU5" s="170"/>
      <c r="AV5" s="70" t="s">
        <v>691</v>
      </c>
      <c r="AW5" s="70" t="s">
        <v>683</v>
      </c>
      <c r="AX5" s="71" t="s">
        <v>593</v>
      </c>
      <c r="AY5" s="170"/>
      <c r="AZ5" s="70" t="s">
        <v>691</v>
      </c>
      <c r="BA5" s="70" t="s">
        <v>683</v>
      </c>
      <c r="BB5" s="71" t="s">
        <v>593</v>
      </c>
      <c r="BC5" s="170"/>
      <c r="BD5" s="70" t="s">
        <v>691</v>
      </c>
      <c r="BE5" s="70" t="s">
        <v>683</v>
      </c>
      <c r="BF5" s="71" t="s">
        <v>593</v>
      </c>
      <c r="BG5" s="170"/>
      <c r="BH5" s="70" t="s">
        <v>691</v>
      </c>
      <c r="BI5" s="70" t="s">
        <v>683</v>
      </c>
      <c r="BJ5" s="71" t="s">
        <v>593</v>
      </c>
      <c r="BK5" s="170"/>
      <c r="BL5" s="70" t="s">
        <v>691</v>
      </c>
      <c r="BM5" s="70" t="s">
        <v>683</v>
      </c>
      <c r="BN5" s="71" t="s">
        <v>593</v>
      </c>
      <c r="BO5" s="170"/>
      <c r="BP5" s="70" t="s">
        <v>691</v>
      </c>
      <c r="BQ5" s="70" t="s">
        <v>683</v>
      </c>
      <c r="BR5" s="71" t="s">
        <v>593</v>
      </c>
      <c r="BS5" s="170"/>
      <c r="BT5" s="70" t="s">
        <v>691</v>
      </c>
      <c r="BU5" s="70" t="s">
        <v>683</v>
      </c>
      <c r="BV5" s="71" t="s">
        <v>593</v>
      </c>
      <c r="BW5" s="170"/>
      <c r="BX5" s="70" t="s">
        <v>691</v>
      </c>
      <c r="BY5" s="70" t="s">
        <v>683</v>
      </c>
      <c r="BZ5" s="71" t="s">
        <v>593</v>
      </c>
      <c r="CA5" s="170"/>
      <c r="CB5" s="70" t="s">
        <v>691</v>
      </c>
      <c r="CC5" s="70" t="s">
        <v>683</v>
      </c>
      <c r="CD5" s="71" t="s">
        <v>593</v>
      </c>
    </row>
    <row r="6" spans="1:82" s="2" customFormat="1" ht="30" customHeight="1" x14ac:dyDescent="0.3">
      <c r="B6" s="345">
        <f>1/5</f>
        <v>0.2</v>
      </c>
      <c r="C6" s="275"/>
      <c r="D6" s="275"/>
      <c r="E6" s="275"/>
      <c r="F6" s="27" t="s">
        <v>826</v>
      </c>
      <c r="G6" s="35">
        <v>1</v>
      </c>
      <c r="H6" s="81" t="s">
        <v>347</v>
      </c>
      <c r="I6" s="55">
        <f>IFERROR(I7/B7*B6,0)</f>
        <v>0</v>
      </c>
      <c r="J6" s="55">
        <f>K11+K24+K37+K50</f>
        <v>35436.863228035174</v>
      </c>
      <c r="K6" s="56">
        <f>IFERROR((I6-J6)/I6-PARAMETROS!C19,0)</f>
        <v>0</v>
      </c>
      <c r="M6" s="229" t="s">
        <v>693</v>
      </c>
      <c r="N6" s="230">
        <f>+K50</f>
        <v>22223.036666666667</v>
      </c>
      <c r="O6" s="235">
        <f>IFERROR(N6/$N$7,0)</f>
        <v>0.62711635969758606</v>
      </c>
      <c r="AE6" s="171"/>
      <c r="AF6" s="55">
        <f>AJ6+AN6+AR6+AV6+AZ6+BD6+BH6+BL6+BP6+BT6+BX6+CB6</f>
        <v>0</v>
      </c>
      <c r="AG6" s="55">
        <f>AH11+AH24+AH37+AH50</f>
        <v>0</v>
      </c>
      <c r="AH6" s="56">
        <f>IFERROR((AF6-AG6)/AF6,0)</f>
        <v>0</v>
      </c>
      <c r="AI6" s="171"/>
      <c r="AJ6" s="55"/>
      <c r="AK6" s="55">
        <f>AL11+AL24+AL37+AL50</f>
        <v>0</v>
      </c>
      <c r="AL6" s="56">
        <f>IFERROR((AJ6-AK6)/AJ6,0)</f>
        <v>0</v>
      </c>
      <c r="AM6" s="171"/>
      <c r="AN6" s="55"/>
      <c r="AO6" s="55">
        <f>AP11+AP24+AP37+AP50</f>
        <v>0</v>
      </c>
      <c r="AP6" s="56">
        <f>IFERROR((AN6-AO6)/AN6,0)</f>
        <v>0</v>
      </c>
      <c r="AQ6" s="171"/>
      <c r="AR6" s="55"/>
      <c r="AS6" s="55">
        <f>AT11+AT24+AT37+AT50</f>
        <v>0</v>
      </c>
      <c r="AT6" s="56">
        <f>IFERROR((AR6-AS6)/AR6,0)</f>
        <v>0</v>
      </c>
      <c r="AU6" s="171"/>
      <c r="AV6" s="55"/>
      <c r="AW6" s="55">
        <f>AX11+AX24+AX37+AX50</f>
        <v>0</v>
      </c>
      <c r="AX6" s="56">
        <f>IFERROR((AV6-AW6)/AV6,0)</f>
        <v>0</v>
      </c>
      <c r="AY6" s="171"/>
      <c r="AZ6" s="55"/>
      <c r="BA6" s="55">
        <f>BB11+BB24+BB37+BB50</f>
        <v>0</v>
      </c>
      <c r="BB6" s="56">
        <f>IFERROR((AZ6-BA6)/AZ6,0)</f>
        <v>0</v>
      </c>
      <c r="BC6" s="171"/>
      <c r="BD6" s="55"/>
      <c r="BE6" s="55">
        <f>BF11+BF24+BF37+BF50</f>
        <v>0</v>
      </c>
      <c r="BF6" s="56">
        <f>IFERROR((BD6-BE6)/BD6,0)</f>
        <v>0</v>
      </c>
      <c r="BG6" s="171"/>
      <c r="BH6" s="55"/>
      <c r="BI6" s="55">
        <f>BJ11+BJ24+BJ37+BJ50</f>
        <v>0</v>
      </c>
      <c r="BJ6" s="56">
        <f>IFERROR((BH6-BI6)/BH6,0)</f>
        <v>0</v>
      </c>
      <c r="BK6" s="171"/>
      <c r="BL6" s="55"/>
      <c r="BM6" s="55">
        <f>BN11+BN24+BN37+BN50</f>
        <v>0</v>
      </c>
      <c r="BN6" s="56">
        <f>IFERROR((BL6-BM6)/BL6,0)</f>
        <v>0</v>
      </c>
      <c r="BO6" s="171"/>
      <c r="BP6" s="55"/>
      <c r="BQ6" s="55">
        <f>BR11+BR24+BR37+BR50</f>
        <v>0</v>
      </c>
      <c r="BR6" s="56">
        <f>IFERROR((BP6-BQ6)/BP6,0)</f>
        <v>0</v>
      </c>
      <c r="BS6" s="171"/>
      <c r="BT6" s="55"/>
      <c r="BU6" s="55">
        <f>BV11+BV24+BV37+BV50</f>
        <v>0</v>
      </c>
      <c r="BV6" s="56">
        <f>IFERROR((BT6-BU6)/BT6,0)</f>
        <v>0</v>
      </c>
      <c r="BW6" s="171"/>
      <c r="BX6" s="55"/>
      <c r="BY6" s="55">
        <f>BZ11+BZ24+BZ37+BZ50</f>
        <v>0</v>
      </c>
      <c r="BZ6" s="56">
        <f>IFERROR((BX6-BY6)/BX6,0)</f>
        <v>0</v>
      </c>
      <c r="CA6" s="171"/>
      <c r="CB6" s="55"/>
      <c r="CC6" s="55">
        <f>CD11+CD24+CD37+CD50</f>
        <v>0</v>
      </c>
      <c r="CD6" s="56">
        <f>IFERROR((CB6-CC6)/CB6,0)</f>
        <v>0</v>
      </c>
    </row>
    <row r="7" spans="1:82" s="2" customFormat="1" ht="30" customHeight="1" thickBot="1" x14ac:dyDescent="0.35">
      <c r="B7" s="34">
        <f>IFERROR(VLOOKUP(B3,Lucratividade!G4:N853,2,0),0)</f>
        <v>0</v>
      </c>
      <c r="C7" s="276"/>
      <c r="D7" s="276"/>
      <c r="E7" s="276"/>
      <c r="F7" s="50"/>
      <c r="G7" s="36">
        <f>IFERROR(B7/B6,0)</f>
        <v>0</v>
      </c>
      <c r="H7" s="82" t="s">
        <v>347</v>
      </c>
      <c r="I7" s="57">
        <f>IFERROR(VLOOKUP(B3,Lucratividade!G4:N132,6,0),0)</f>
        <v>0</v>
      </c>
      <c r="J7" s="58">
        <f>B7*K3</f>
        <v>0</v>
      </c>
      <c r="K7" s="59">
        <f>IFERROR((I7-J7)/I7-PARAMETROS!C19,0)</f>
        <v>0</v>
      </c>
      <c r="M7" s="231" t="s">
        <v>694</v>
      </c>
      <c r="N7" s="232">
        <f>SUM(N3:N6)</f>
        <v>35436.863228035174</v>
      </c>
      <c r="O7" s="236"/>
      <c r="AE7" s="172"/>
      <c r="AF7" s="57"/>
      <c r="AG7" s="58"/>
      <c r="AH7" s="59"/>
      <c r="AI7" s="172"/>
      <c r="AJ7" s="57"/>
      <c r="AK7" s="58"/>
      <c r="AL7" s="59"/>
      <c r="AM7" s="172"/>
      <c r="AN7" s="57"/>
      <c r="AO7" s="58"/>
      <c r="AP7" s="59"/>
      <c r="AQ7" s="172"/>
      <c r="AR7" s="57"/>
      <c r="AS7" s="58"/>
      <c r="AT7" s="59"/>
      <c r="AU7" s="172"/>
      <c r="AV7" s="57"/>
      <c r="AW7" s="58"/>
      <c r="AX7" s="59"/>
      <c r="AY7" s="172"/>
      <c r="AZ7" s="57"/>
      <c r="BA7" s="58"/>
      <c r="BB7" s="59"/>
      <c r="BC7" s="172"/>
      <c r="BD7" s="57"/>
      <c r="BE7" s="58"/>
      <c r="BF7" s="59"/>
      <c r="BG7" s="172"/>
      <c r="BH7" s="57"/>
      <c r="BI7" s="58"/>
      <c r="BJ7" s="59"/>
      <c r="BK7" s="172"/>
      <c r="BL7" s="57"/>
      <c r="BM7" s="58"/>
      <c r="BN7" s="59"/>
      <c r="BO7" s="172"/>
      <c r="BP7" s="57"/>
      <c r="BQ7" s="58"/>
      <c r="BR7" s="59"/>
      <c r="BS7" s="172"/>
      <c r="BT7" s="57"/>
      <c r="BU7" s="58"/>
      <c r="BV7" s="59"/>
      <c r="BW7" s="172"/>
      <c r="BX7" s="57"/>
      <c r="BY7" s="58"/>
      <c r="BZ7" s="59"/>
      <c r="CA7" s="172"/>
      <c r="CB7" s="57"/>
      <c r="CC7" s="58"/>
      <c r="CD7" s="59"/>
    </row>
    <row r="8" spans="1:82" ht="4.2" customHeight="1" x14ac:dyDescent="0.3">
      <c r="AE8" s="28"/>
      <c r="AI8" s="28"/>
      <c r="AM8" s="28"/>
      <c r="AQ8" s="28"/>
      <c r="AU8" s="28"/>
      <c r="AY8" s="28"/>
      <c r="BC8" s="28"/>
      <c r="BG8" s="28"/>
      <c r="BK8" s="28"/>
      <c r="BO8" s="28"/>
      <c r="BS8" s="28"/>
      <c r="BW8" s="28"/>
      <c r="CA8" s="28"/>
    </row>
    <row r="9" spans="1:82" ht="4.95" customHeight="1" thickBot="1" x14ac:dyDescent="0.35">
      <c r="AE9" s="28"/>
      <c r="AI9" s="28"/>
      <c r="AM9" s="28"/>
      <c r="AQ9" s="28"/>
      <c r="AU9" s="28"/>
      <c r="AY9" s="28"/>
      <c r="BC9" s="28"/>
      <c r="BG9" s="28"/>
      <c r="BK9" s="28"/>
      <c r="BO9" s="28"/>
      <c r="BS9" s="28"/>
      <c r="BW9" s="28"/>
      <c r="CA9" s="28"/>
    </row>
    <row r="10" spans="1:82" ht="15" thickBot="1" x14ac:dyDescent="0.35">
      <c r="B10" s="72" t="s">
        <v>695</v>
      </c>
      <c r="C10" s="72" t="s">
        <v>679</v>
      </c>
      <c r="D10" s="72" t="s">
        <v>696</v>
      </c>
      <c r="E10" s="72" t="s">
        <v>697</v>
      </c>
      <c r="F10" s="72" t="s">
        <v>17</v>
      </c>
      <c r="G10" s="70" t="s">
        <v>690</v>
      </c>
      <c r="H10" s="70" t="s">
        <v>698</v>
      </c>
      <c r="I10" s="72" t="s">
        <v>20</v>
      </c>
      <c r="J10" s="72" t="s">
        <v>699</v>
      </c>
      <c r="K10" s="72" t="s">
        <v>700</v>
      </c>
      <c r="M10" s="83" t="s">
        <v>701</v>
      </c>
      <c r="N10" s="87" t="s">
        <v>702</v>
      </c>
      <c r="AD10" s="173" t="s">
        <v>703</v>
      </c>
      <c r="AE10" s="170" t="s">
        <v>698</v>
      </c>
      <c r="AF10" s="70" t="s">
        <v>20</v>
      </c>
      <c r="AG10" s="70" t="s">
        <v>699</v>
      </c>
      <c r="AH10" s="70" t="s">
        <v>700</v>
      </c>
      <c r="AI10" s="173" t="s">
        <v>704</v>
      </c>
      <c r="AJ10" s="174" t="s">
        <v>705</v>
      </c>
      <c r="AK10" s="174" t="s">
        <v>706</v>
      </c>
      <c r="AL10" s="175" t="s">
        <v>707</v>
      </c>
      <c r="AM10" s="173" t="s">
        <v>708</v>
      </c>
      <c r="AN10" s="174" t="s">
        <v>709</v>
      </c>
      <c r="AO10" s="174" t="s">
        <v>710</v>
      </c>
      <c r="AP10" s="175" t="s">
        <v>711</v>
      </c>
      <c r="AQ10" s="173" t="s">
        <v>712</v>
      </c>
      <c r="AR10" s="174" t="s">
        <v>713</v>
      </c>
      <c r="AS10" s="174" t="s">
        <v>714</v>
      </c>
      <c r="AT10" s="175" t="s">
        <v>715</v>
      </c>
      <c r="AU10" s="173" t="s">
        <v>716</v>
      </c>
      <c r="AV10" s="174" t="s">
        <v>717</v>
      </c>
      <c r="AW10" s="174" t="s">
        <v>718</v>
      </c>
      <c r="AX10" s="175" t="s">
        <v>719</v>
      </c>
      <c r="AY10" s="173" t="s">
        <v>720</v>
      </c>
      <c r="AZ10" s="174" t="s">
        <v>721</v>
      </c>
      <c r="BA10" s="174" t="s">
        <v>722</v>
      </c>
      <c r="BB10" s="175" t="s">
        <v>723</v>
      </c>
      <c r="BC10" s="173" t="s">
        <v>724</v>
      </c>
      <c r="BD10" s="174" t="s">
        <v>725</v>
      </c>
      <c r="BE10" s="174" t="s">
        <v>726</v>
      </c>
      <c r="BF10" s="175" t="s">
        <v>727</v>
      </c>
      <c r="BG10" s="173" t="s">
        <v>728</v>
      </c>
      <c r="BH10" s="174" t="s">
        <v>729</v>
      </c>
      <c r="BI10" s="174" t="s">
        <v>730</v>
      </c>
      <c r="BJ10" s="175" t="s">
        <v>731</v>
      </c>
      <c r="BK10" s="173" t="s">
        <v>732</v>
      </c>
      <c r="BL10" s="174" t="s">
        <v>733</v>
      </c>
      <c r="BM10" s="174" t="s">
        <v>734</v>
      </c>
      <c r="BN10" s="175" t="s">
        <v>735</v>
      </c>
      <c r="BO10" s="173" t="s">
        <v>736</v>
      </c>
      <c r="BP10" s="174" t="s">
        <v>737</v>
      </c>
      <c r="BQ10" s="174" t="s">
        <v>738</v>
      </c>
      <c r="BR10" s="175" t="s">
        <v>739</v>
      </c>
      <c r="BS10" s="173" t="s">
        <v>740</v>
      </c>
      <c r="BT10" s="174" t="s">
        <v>741</v>
      </c>
      <c r="BU10" s="174" t="s">
        <v>742</v>
      </c>
      <c r="BV10" s="175" t="s">
        <v>743</v>
      </c>
      <c r="BW10" s="173" t="s">
        <v>744</v>
      </c>
      <c r="BX10" s="174" t="s">
        <v>745</v>
      </c>
      <c r="BY10" s="174" t="s">
        <v>746</v>
      </c>
      <c r="BZ10" s="175" t="s">
        <v>747</v>
      </c>
      <c r="CA10" s="173" t="s">
        <v>748</v>
      </c>
      <c r="CB10" s="174" t="s">
        <v>749</v>
      </c>
      <c r="CC10" s="174" t="s">
        <v>750</v>
      </c>
      <c r="CD10" s="174" t="s">
        <v>751</v>
      </c>
    </row>
    <row r="11" spans="1:82" x14ac:dyDescent="0.3">
      <c r="B11" s="52" t="s">
        <v>752</v>
      </c>
      <c r="C11" s="52" t="str">
        <f t="shared" ref="C11:C62" si="0">$A$3</f>
        <v>CPU_CapaSAUS</v>
      </c>
      <c r="D11" s="277">
        <f t="shared" ref="D11:D62" si="1">$B$6</f>
        <v>0.2</v>
      </c>
      <c r="E11" s="277">
        <f t="shared" ref="E11:E62" si="2">$B$7</f>
        <v>0</v>
      </c>
      <c r="F11" s="37"/>
      <c r="G11" s="38"/>
      <c r="H11" s="91"/>
      <c r="I11" s="40"/>
      <c r="J11" s="40">
        <f>IFERROR(K11/$B$6,0)</f>
        <v>34090.909090909096</v>
      </c>
      <c r="K11" s="40">
        <f>SUM(K12:K23)</f>
        <v>6818.1818181818198</v>
      </c>
      <c r="M11" s="294" t="s">
        <v>753</v>
      </c>
      <c r="N11" s="295" t="s">
        <v>754</v>
      </c>
      <c r="O11" s="296" t="s">
        <v>755</v>
      </c>
      <c r="AD11" s="144" t="str">
        <f>$B$3</f>
        <v>Capa SAUS</v>
      </c>
      <c r="AE11" s="176"/>
      <c r="AF11" s="177"/>
      <c r="AG11" s="177">
        <f>IFERROR(AH11/AF$3,0)</f>
        <v>0</v>
      </c>
      <c r="AH11" s="178">
        <f>SUM(AH12:AH23)</f>
        <v>0</v>
      </c>
      <c r="AI11" s="176"/>
      <c r="AJ11" s="177"/>
      <c r="AK11" s="177">
        <f>IFERROR(AL11/AJ$3,0)</f>
        <v>0</v>
      </c>
      <c r="AL11" s="178">
        <f>SUM(AL12:AL23)</f>
        <v>0</v>
      </c>
      <c r="AM11" s="176"/>
      <c r="AN11" s="177"/>
      <c r="AO11" s="177">
        <f>IFERROR(AP11/AN$3,0)</f>
        <v>0</v>
      </c>
      <c r="AP11" s="178">
        <f>SUM(AP12:AP23)</f>
        <v>0</v>
      </c>
      <c r="AQ11" s="176"/>
      <c r="AR11" s="177"/>
      <c r="AS11" s="177">
        <f>IFERROR(AT11/AR$3,0)</f>
        <v>0</v>
      </c>
      <c r="AT11" s="178">
        <f>SUM(AT12:AT23)</f>
        <v>0</v>
      </c>
      <c r="AU11" s="176"/>
      <c r="AV11" s="177"/>
      <c r="AW11" s="177">
        <f>IFERROR(AX11/AV$3,0)</f>
        <v>0</v>
      </c>
      <c r="AX11" s="178">
        <f>SUM(AX12:AX23)</f>
        <v>0</v>
      </c>
      <c r="AY11" s="176"/>
      <c r="AZ11" s="177"/>
      <c r="BA11" s="177">
        <f>IFERROR(BB11/AZ$3,0)</f>
        <v>0</v>
      </c>
      <c r="BB11" s="178">
        <f>SUM(BB12:BB23)</f>
        <v>0</v>
      </c>
      <c r="BC11" s="176"/>
      <c r="BD11" s="177"/>
      <c r="BE11" s="177">
        <f>IFERROR(BF11/BD$3,0)</f>
        <v>0</v>
      </c>
      <c r="BF11" s="178">
        <f>SUM(BF12:BF23)</f>
        <v>0</v>
      </c>
      <c r="BG11" s="176"/>
      <c r="BH11" s="177"/>
      <c r="BI11" s="177">
        <f>IFERROR(BJ11/BH$3,0)</f>
        <v>0</v>
      </c>
      <c r="BJ11" s="178">
        <f>SUM(BJ12:BJ23)</f>
        <v>0</v>
      </c>
      <c r="BK11" s="176"/>
      <c r="BL11" s="177"/>
      <c r="BM11" s="177">
        <f>IFERROR(BN11/BL$3,0)</f>
        <v>0</v>
      </c>
      <c r="BN11" s="178">
        <f>SUM(BN12:BN23)</f>
        <v>0</v>
      </c>
      <c r="BO11" s="176"/>
      <c r="BP11" s="177"/>
      <c r="BQ11" s="177">
        <f>IFERROR(BR11/BP$3,0)</f>
        <v>0</v>
      </c>
      <c r="BR11" s="178">
        <f>SUM(BR12:BR23)</f>
        <v>0</v>
      </c>
      <c r="BS11" s="176"/>
      <c r="BT11" s="177"/>
      <c r="BU11" s="177">
        <f>IFERROR(BV11/BT$3,0)</f>
        <v>0</v>
      </c>
      <c r="BV11" s="178">
        <f>SUM(BV12:BV23)</f>
        <v>0</v>
      </c>
      <c r="BW11" s="176"/>
      <c r="BX11" s="177"/>
      <c r="BY11" s="177">
        <f>IFERROR(BZ11/BX$3,0)</f>
        <v>0</v>
      </c>
      <c r="BZ11" s="178">
        <f>SUM(BZ12:BZ23)</f>
        <v>0</v>
      </c>
      <c r="CA11" s="176"/>
      <c r="CB11" s="177"/>
      <c r="CC11" s="177">
        <f>IFERROR(CD11/CB$3,0)</f>
        <v>0</v>
      </c>
      <c r="CD11" s="178">
        <f>SUM(CD12:CD23)</f>
        <v>0</v>
      </c>
    </row>
    <row r="12" spans="1:82" x14ac:dyDescent="0.3">
      <c r="B12" s="53"/>
      <c r="C12" s="53" t="str">
        <f t="shared" si="0"/>
        <v>CPU_CapaSAUS</v>
      </c>
      <c r="D12" s="278">
        <f t="shared" si="1"/>
        <v>0.2</v>
      </c>
      <c r="E12" s="278">
        <f t="shared" si="2"/>
        <v>0</v>
      </c>
      <c r="F12" s="46" t="s">
        <v>827</v>
      </c>
      <c r="G12" s="28" t="str">
        <f>IFERROR(VLOOKUP(F12,Tabela7[[RECURSO]:[CUSTO]],2,FALSE),"")</f>
        <v>H</v>
      </c>
      <c r="H12" s="92">
        <v>1</v>
      </c>
      <c r="I12" s="90">
        <f>200/22</f>
        <v>9.0909090909090917</v>
      </c>
      <c r="J12" s="45">
        <f>IFERROR(VLOOKUP(F12,Tabela7[[RECURSO]:[CUSTO]],3,FALSE),0)</f>
        <v>225</v>
      </c>
      <c r="K12" s="45">
        <f>I12*J12*CPU_26[[#This Row],[Nº]]</f>
        <v>2045.4545454545457</v>
      </c>
      <c r="M12" s="31">
        <v>22</v>
      </c>
      <c r="N12" s="297">
        <v>1</v>
      </c>
      <c r="O12" s="60">
        <f>IFERROR($B$6/(H12*I12*N12),0)</f>
        <v>2.1999999999999999E-2</v>
      </c>
      <c r="AD12" s="144" t="str">
        <f t="shared" ref="AD12:AD62" si="3">$B$3</f>
        <v>Capa SAUS</v>
      </c>
      <c r="AE12" s="179"/>
      <c r="AF12" s="180">
        <f>AJ12+AN12+AR12+AV12+AZ12+BD12+BH12+BL12+BP12+BT12+BX12+CB12</f>
        <v>0</v>
      </c>
      <c r="AG12" s="180">
        <f>IFERROR(AH12/AF12,0)</f>
        <v>0</v>
      </c>
      <c r="AH12" s="181">
        <f>AL12+AP12+AT12+AX12+BB12+BF12+BJ12+BN12+BR12+BV12+BZ12+CD12</f>
        <v>0</v>
      </c>
      <c r="AI12" s="182"/>
      <c r="AJ12" s="90"/>
      <c r="AK12" s="90"/>
      <c r="AL12" s="183">
        <f>AJ12*AK12</f>
        <v>0</v>
      </c>
      <c r="AM12" s="182"/>
      <c r="AN12" s="90"/>
      <c r="AO12" s="90"/>
      <c r="AP12" s="183">
        <f t="shared" ref="AP12:AP23" si="4">AN12*AO12</f>
        <v>0</v>
      </c>
      <c r="AQ12" s="182"/>
      <c r="AR12" s="90"/>
      <c r="AS12" s="90"/>
      <c r="AT12" s="183">
        <f t="shared" ref="AT12:AT23" si="5">AR12*AS12</f>
        <v>0</v>
      </c>
      <c r="AU12" s="182"/>
      <c r="AV12" s="90"/>
      <c r="AW12" s="90"/>
      <c r="AX12" s="183">
        <f t="shared" ref="AX12:AX23" si="6">AV12*AW12</f>
        <v>0</v>
      </c>
      <c r="AY12" s="182"/>
      <c r="AZ12" s="90"/>
      <c r="BA12" s="90"/>
      <c r="BB12" s="183">
        <f t="shared" ref="BB12:BB23" si="7">AZ12*BA12</f>
        <v>0</v>
      </c>
      <c r="BC12" s="182"/>
      <c r="BD12" s="90"/>
      <c r="BE12" s="90"/>
      <c r="BF12" s="183">
        <f t="shared" ref="BF12:BF23" si="8">BD12*BE12</f>
        <v>0</v>
      </c>
      <c r="BG12" s="182"/>
      <c r="BH12" s="90"/>
      <c r="BI12" s="90"/>
      <c r="BJ12" s="183">
        <f t="shared" ref="BJ12:BJ23" si="9">BH12*BI12</f>
        <v>0</v>
      </c>
      <c r="BK12" s="182"/>
      <c r="BL12" s="90"/>
      <c r="BM12" s="90"/>
      <c r="BN12" s="183">
        <f t="shared" ref="BN12:BN23" si="10">BL12*BM12</f>
        <v>0</v>
      </c>
      <c r="BO12" s="182"/>
      <c r="BP12" s="90"/>
      <c r="BQ12" s="90"/>
      <c r="BR12" s="183">
        <f t="shared" ref="BR12:BR23" si="11">BP12*BQ12</f>
        <v>0</v>
      </c>
      <c r="BS12" s="182"/>
      <c r="BT12" s="90"/>
      <c r="BU12" s="90"/>
      <c r="BV12" s="183">
        <f t="shared" ref="BV12:BV23" si="12">BT12*BU12</f>
        <v>0</v>
      </c>
      <c r="BW12" s="182"/>
      <c r="BX12" s="90"/>
      <c r="BY12" s="90"/>
      <c r="BZ12" s="183">
        <f t="shared" ref="BZ12:BZ23" si="13">BX12*BY12</f>
        <v>0</v>
      </c>
      <c r="CA12" s="182"/>
      <c r="CB12" s="90"/>
      <c r="CC12" s="90"/>
      <c r="CD12" s="183">
        <f t="shared" ref="CD12:CD23" si="14">CB12*CC12</f>
        <v>0</v>
      </c>
    </row>
    <row r="13" spans="1:82" x14ac:dyDescent="0.3">
      <c r="B13" s="53"/>
      <c r="C13" s="53" t="str">
        <f t="shared" si="0"/>
        <v>CPU_CapaSAUS</v>
      </c>
      <c r="D13" s="278">
        <f t="shared" si="1"/>
        <v>0.2</v>
      </c>
      <c r="E13" s="278">
        <f t="shared" si="2"/>
        <v>0</v>
      </c>
      <c r="F13" s="1" t="s">
        <v>828</v>
      </c>
      <c r="G13" s="28" t="str">
        <f>IFERROR(VLOOKUP(F13,Tabela7[[RECURSO]:[CUSTO]],2,FALSE),"")</f>
        <v>H</v>
      </c>
      <c r="H13" s="92">
        <v>1</v>
      </c>
      <c r="I13" s="90">
        <f>200/22</f>
        <v>9.0909090909090917</v>
      </c>
      <c r="J13" s="45">
        <f>IFERROR(VLOOKUP(F13,Tabela7[[RECURSO]:[CUSTO]],3,FALSE),0)</f>
        <v>95</v>
      </c>
      <c r="K13" s="45">
        <f>I13*J13*CPU_26[[#This Row],[Nº]]</f>
        <v>863.63636363636374</v>
      </c>
      <c r="M13" s="31">
        <v>14</v>
      </c>
      <c r="N13" s="297">
        <v>0.5</v>
      </c>
      <c r="O13" s="60">
        <f t="shared" ref="O13:O23" si="15">IFERROR($B$6/(H13*I13),0)</f>
        <v>2.1999999999999999E-2</v>
      </c>
      <c r="AD13" s="144" t="str">
        <f t="shared" si="3"/>
        <v>Capa SAUS</v>
      </c>
      <c r="AE13" s="179"/>
      <c r="AF13" s="180">
        <f t="shared" ref="AF13:AF23" si="16">AJ13+AN13+AR13+AV13+AZ13+BD13+BH13+BL13+BP13+BT13+BX13+CB13</f>
        <v>0</v>
      </c>
      <c r="AG13" s="180">
        <f t="shared" ref="AG13:AG62" si="17">IFERROR(AH13/AF13,0)</f>
        <v>0</v>
      </c>
      <c r="AH13" s="181">
        <f t="shared" ref="AH13:AH23" si="18">AL13+AP13+AT13+AX13+BB13+BF13+BJ13+BN13+BR13+BV13+BZ13+CD13</f>
        <v>0</v>
      </c>
      <c r="AI13" s="182"/>
      <c r="AJ13" s="90"/>
      <c r="AK13" s="90"/>
      <c r="AL13" s="183">
        <f t="shared" ref="AL13:AL23" si="19">AJ13*AK13</f>
        <v>0</v>
      </c>
      <c r="AM13" s="182"/>
      <c r="AN13" s="90"/>
      <c r="AO13" s="90"/>
      <c r="AP13" s="183">
        <f t="shared" si="4"/>
        <v>0</v>
      </c>
      <c r="AQ13" s="182"/>
      <c r="AR13" s="90"/>
      <c r="AS13" s="90"/>
      <c r="AT13" s="183">
        <f t="shared" si="5"/>
        <v>0</v>
      </c>
      <c r="AU13" s="182"/>
      <c r="AV13" s="90"/>
      <c r="AW13" s="90"/>
      <c r="AX13" s="183">
        <f t="shared" si="6"/>
        <v>0</v>
      </c>
      <c r="AY13" s="182"/>
      <c r="AZ13" s="90"/>
      <c r="BA13" s="90"/>
      <c r="BB13" s="183">
        <f t="shared" si="7"/>
        <v>0</v>
      </c>
      <c r="BC13" s="182"/>
      <c r="BD13" s="90"/>
      <c r="BE13" s="90"/>
      <c r="BF13" s="183">
        <f t="shared" si="8"/>
        <v>0</v>
      </c>
      <c r="BG13" s="182"/>
      <c r="BH13" s="90"/>
      <c r="BI13" s="90"/>
      <c r="BJ13" s="183">
        <f t="shared" si="9"/>
        <v>0</v>
      </c>
      <c r="BK13" s="182"/>
      <c r="BL13" s="90"/>
      <c r="BM13" s="90"/>
      <c r="BN13" s="183">
        <f t="shared" si="10"/>
        <v>0</v>
      </c>
      <c r="BO13" s="182"/>
      <c r="BP13" s="90"/>
      <c r="BQ13" s="90"/>
      <c r="BR13" s="183">
        <f t="shared" si="11"/>
        <v>0</v>
      </c>
      <c r="BS13" s="182"/>
      <c r="BT13" s="90"/>
      <c r="BU13" s="90"/>
      <c r="BV13" s="183">
        <f t="shared" si="12"/>
        <v>0</v>
      </c>
      <c r="BW13" s="182"/>
      <c r="BX13" s="90"/>
      <c r="BY13" s="90"/>
      <c r="BZ13" s="183">
        <f t="shared" si="13"/>
        <v>0</v>
      </c>
      <c r="CA13" s="182"/>
      <c r="CB13" s="90"/>
      <c r="CC13" s="90"/>
      <c r="CD13" s="183">
        <f t="shared" si="14"/>
        <v>0</v>
      </c>
    </row>
    <row r="14" spans="1:82" x14ac:dyDescent="0.3">
      <c r="B14" s="53"/>
      <c r="C14" s="53" t="str">
        <f t="shared" si="0"/>
        <v>CPU_CapaSAUS</v>
      </c>
      <c r="D14" s="278">
        <f t="shared" si="1"/>
        <v>0.2</v>
      </c>
      <c r="E14" s="278">
        <f t="shared" si="2"/>
        <v>0</v>
      </c>
      <c r="F14" s="1" t="s">
        <v>829</v>
      </c>
      <c r="G14" s="28" t="str">
        <f>IFERROR(VLOOKUP(F14,Tabela7[[RECURSO]:[CUSTO]],2,FALSE),"")</f>
        <v>H</v>
      </c>
      <c r="H14" s="92">
        <v>1</v>
      </c>
      <c r="I14" s="90">
        <f>200/22</f>
        <v>9.0909090909090917</v>
      </c>
      <c r="J14" s="45">
        <f>IFERROR(VLOOKUP(F14,Tabela7[[RECURSO]:[CUSTO]],3,FALSE),0)</f>
        <v>220</v>
      </c>
      <c r="K14" s="45">
        <f>I14*J14*CPU_26[[#This Row],[Nº]]</f>
        <v>2000.0000000000002</v>
      </c>
      <c r="M14" s="31">
        <v>10</v>
      </c>
      <c r="N14" s="297">
        <v>0.5</v>
      </c>
      <c r="O14" s="60">
        <f t="shared" si="15"/>
        <v>2.1999999999999999E-2</v>
      </c>
      <c r="AD14" s="144" t="str">
        <f t="shared" si="3"/>
        <v>Capa SAUS</v>
      </c>
      <c r="AE14" s="179"/>
      <c r="AF14" s="180">
        <f t="shared" si="16"/>
        <v>0</v>
      </c>
      <c r="AG14" s="180">
        <f t="shared" si="17"/>
        <v>0</v>
      </c>
      <c r="AH14" s="181">
        <f t="shared" si="18"/>
        <v>0</v>
      </c>
      <c r="AI14" s="182"/>
      <c r="AJ14" s="90"/>
      <c r="AK14" s="90"/>
      <c r="AL14" s="183">
        <f t="shared" si="19"/>
        <v>0</v>
      </c>
      <c r="AM14" s="182"/>
      <c r="AN14" s="90"/>
      <c r="AO14" s="90"/>
      <c r="AP14" s="183">
        <f t="shared" si="4"/>
        <v>0</v>
      </c>
      <c r="AQ14" s="182"/>
      <c r="AR14" s="90"/>
      <c r="AS14" s="90"/>
      <c r="AT14" s="183">
        <f t="shared" si="5"/>
        <v>0</v>
      </c>
      <c r="AU14" s="182"/>
      <c r="AV14" s="90"/>
      <c r="AW14" s="90"/>
      <c r="AX14" s="183">
        <f t="shared" si="6"/>
        <v>0</v>
      </c>
      <c r="AY14" s="182"/>
      <c r="AZ14" s="90"/>
      <c r="BA14" s="90"/>
      <c r="BB14" s="183">
        <f t="shared" si="7"/>
        <v>0</v>
      </c>
      <c r="BC14" s="182"/>
      <c r="BD14" s="90"/>
      <c r="BE14" s="90"/>
      <c r="BF14" s="183">
        <f t="shared" si="8"/>
        <v>0</v>
      </c>
      <c r="BG14" s="182"/>
      <c r="BH14" s="90"/>
      <c r="BI14" s="90"/>
      <c r="BJ14" s="183">
        <f t="shared" si="9"/>
        <v>0</v>
      </c>
      <c r="BK14" s="182"/>
      <c r="BL14" s="90"/>
      <c r="BM14" s="90"/>
      <c r="BN14" s="183">
        <f t="shared" si="10"/>
        <v>0</v>
      </c>
      <c r="BO14" s="182"/>
      <c r="BP14" s="90"/>
      <c r="BQ14" s="90"/>
      <c r="BR14" s="183">
        <f t="shared" si="11"/>
        <v>0</v>
      </c>
      <c r="BS14" s="182"/>
      <c r="BT14" s="90"/>
      <c r="BU14" s="90"/>
      <c r="BV14" s="183">
        <f t="shared" si="12"/>
        <v>0</v>
      </c>
      <c r="BW14" s="182"/>
      <c r="BX14" s="90"/>
      <c r="BY14" s="90"/>
      <c r="BZ14" s="183">
        <f t="shared" si="13"/>
        <v>0</v>
      </c>
      <c r="CA14" s="182"/>
      <c r="CB14" s="90"/>
      <c r="CC14" s="90"/>
      <c r="CD14" s="183">
        <f t="shared" si="14"/>
        <v>0</v>
      </c>
    </row>
    <row r="15" spans="1:82" x14ac:dyDescent="0.3">
      <c r="B15" s="153"/>
      <c r="C15" s="153" t="str">
        <f t="shared" si="0"/>
        <v>CPU_CapaSAUS</v>
      </c>
      <c r="D15" s="279">
        <f t="shared" si="1"/>
        <v>0.2</v>
      </c>
      <c r="E15" s="279">
        <f t="shared" si="2"/>
        <v>0</v>
      </c>
      <c r="F15" s="1" t="s">
        <v>830</v>
      </c>
      <c r="G15" s="28" t="str">
        <f>IFERROR(VLOOKUP(F15,Tabela7[[RECURSO]:[CUSTO]],2,FALSE),"")</f>
        <v>H</v>
      </c>
      <c r="H15" s="92">
        <v>1</v>
      </c>
      <c r="I15" s="90">
        <f>200/22</f>
        <v>9.0909090909090917</v>
      </c>
      <c r="J15" s="45">
        <f>IFERROR(VLOOKUP(F15,Tabela7[[RECURSO]:[CUSTO]],3,FALSE),0)</f>
        <v>115</v>
      </c>
      <c r="K15" s="45">
        <f>I15*J15*CPU_26[[#This Row],[Nº]]</f>
        <v>1045.4545454545455</v>
      </c>
      <c r="M15" s="31">
        <v>14</v>
      </c>
      <c r="N15" s="297">
        <v>0.5</v>
      </c>
      <c r="O15" s="60">
        <f t="shared" si="15"/>
        <v>2.1999999999999999E-2</v>
      </c>
      <c r="AD15" s="144" t="str">
        <f t="shared" si="3"/>
        <v>Capa SAUS</v>
      </c>
      <c r="AE15" s="179"/>
      <c r="AF15" s="180">
        <f t="shared" si="16"/>
        <v>0</v>
      </c>
      <c r="AG15" s="180">
        <f t="shared" si="17"/>
        <v>0</v>
      </c>
      <c r="AH15" s="181">
        <f t="shared" si="18"/>
        <v>0</v>
      </c>
      <c r="AI15" s="182"/>
      <c r="AJ15" s="90"/>
      <c r="AK15" s="90"/>
      <c r="AL15" s="183">
        <f t="shared" si="19"/>
        <v>0</v>
      </c>
      <c r="AM15" s="182"/>
      <c r="AN15" s="90"/>
      <c r="AO15" s="90"/>
      <c r="AP15" s="183">
        <f t="shared" si="4"/>
        <v>0</v>
      </c>
      <c r="AQ15" s="182"/>
      <c r="AR15" s="90"/>
      <c r="AS15" s="90"/>
      <c r="AT15" s="183">
        <f t="shared" si="5"/>
        <v>0</v>
      </c>
      <c r="AU15" s="182"/>
      <c r="AV15" s="90"/>
      <c r="AW15" s="90"/>
      <c r="AX15" s="183">
        <f t="shared" si="6"/>
        <v>0</v>
      </c>
      <c r="AY15" s="182"/>
      <c r="AZ15" s="90"/>
      <c r="BA15" s="90"/>
      <c r="BB15" s="183">
        <f t="shared" si="7"/>
        <v>0</v>
      </c>
      <c r="BC15" s="182"/>
      <c r="BD15" s="90"/>
      <c r="BE15" s="90"/>
      <c r="BF15" s="183">
        <f t="shared" si="8"/>
        <v>0</v>
      </c>
      <c r="BG15" s="182"/>
      <c r="BH15" s="90"/>
      <c r="BI15" s="90"/>
      <c r="BJ15" s="183">
        <f t="shared" si="9"/>
        <v>0</v>
      </c>
      <c r="BK15" s="182"/>
      <c r="BL15" s="90"/>
      <c r="BM15" s="90"/>
      <c r="BN15" s="183">
        <f t="shared" si="10"/>
        <v>0</v>
      </c>
      <c r="BO15" s="182"/>
      <c r="BP15" s="90"/>
      <c r="BQ15" s="90"/>
      <c r="BR15" s="183">
        <f t="shared" si="11"/>
        <v>0</v>
      </c>
      <c r="BS15" s="182"/>
      <c r="BT15" s="90"/>
      <c r="BU15" s="90"/>
      <c r="BV15" s="183">
        <f t="shared" si="12"/>
        <v>0</v>
      </c>
      <c r="BW15" s="182"/>
      <c r="BX15" s="90"/>
      <c r="BY15" s="90"/>
      <c r="BZ15" s="183">
        <f t="shared" si="13"/>
        <v>0</v>
      </c>
      <c r="CA15" s="182"/>
      <c r="CB15" s="90"/>
      <c r="CC15" s="90"/>
      <c r="CD15" s="183">
        <f t="shared" si="14"/>
        <v>0</v>
      </c>
    </row>
    <row r="16" spans="1:82" x14ac:dyDescent="0.3">
      <c r="B16" s="53"/>
      <c r="C16" s="53" t="str">
        <f t="shared" si="0"/>
        <v>CPU_CapaSAUS</v>
      </c>
      <c r="D16" s="278">
        <f t="shared" si="1"/>
        <v>0.2</v>
      </c>
      <c r="E16" s="278">
        <f t="shared" si="2"/>
        <v>0</v>
      </c>
      <c r="F16" s="1" t="s">
        <v>831</v>
      </c>
      <c r="G16" s="28" t="str">
        <f>IFERROR(VLOOKUP(F16,Tabela7[[RECURSO]:[CUSTO]],2,FALSE),"")</f>
        <v>H</v>
      </c>
      <c r="H16" s="92">
        <v>1</v>
      </c>
      <c r="I16" s="90">
        <f>200/22</f>
        <v>9.0909090909090917</v>
      </c>
      <c r="J16" s="45">
        <f>IFERROR(VLOOKUP(F16,Tabela7[[RECURSO]:[CUSTO]],3,FALSE),0)</f>
        <v>95</v>
      </c>
      <c r="K16" s="45">
        <f>I16*J16*CPU_26[[#This Row],[Nº]]</f>
        <v>863.63636363636374</v>
      </c>
      <c r="M16" s="31">
        <v>14</v>
      </c>
      <c r="N16" s="297">
        <v>0.5</v>
      </c>
      <c r="O16" s="60">
        <f t="shared" si="15"/>
        <v>2.1999999999999999E-2</v>
      </c>
      <c r="AD16" s="144" t="str">
        <f t="shared" si="3"/>
        <v>Capa SAUS</v>
      </c>
      <c r="AE16" s="179"/>
      <c r="AF16" s="180">
        <f t="shared" si="16"/>
        <v>0</v>
      </c>
      <c r="AG16" s="180">
        <f t="shared" si="17"/>
        <v>0</v>
      </c>
      <c r="AH16" s="181">
        <f t="shared" si="18"/>
        <v>0</v>
      </c>
      <c r="AI16" s="182"/>
      <c r="AJ16" s="90"/>
      <c r="AK16" s="90"/>
      <c r="AL16" s="183">
        <f t="shared" si="19"/>
        <v>0</v>
      </c>
      <c r="AM16" s="182"/>
      <c r="AN16" s="90"/>
      <c r="AO16" s="90"/>
      <c r="AP16" s="183">
        <f t="shared" si="4"/>
        <v>0</v>
      </c>
      <c r="AQ16" s="182"/>
      <c r="AR16" s="90"/>
      <c r="AS16" s="90"/>
      <c r="AT16" s="183">
        <f t="shared" si="5"/>
        <v>0</v>
      </c>
      <c r="AU16" s="182"/>
      <c r="AV16" s="90"/>
      <c r="AW16" s="90"/>
      <c r="AX16" s="183">
        <f t="shared" si="6"/>
        <v>0</v>
      </c>
      <c r="AY16" s="182"/>
      <c r="AZ16" s="90"/>
      <c r="BA16" s="90"/>
      <c r="BB16" s="183">
        <f t="shared" si="7"/>
        <v>0</v>
      </c>
      <c r="BC16" s="182"/>
      <c r="BD16" s="90"/>
      <c r="BE16" s="90"/>
      <c r="BF16" s="183">
        <f t="shared" si="8"/>
        <v>0</v>
      </c>
      <c r="BG16" s="182"/>
      <c r="BH16" s="90"/>
      <c r="BI16" s="90"/>
      <c r="BJ16" s="183">
        <f t="shared" si="9"/>
        <v>0</v>
      </c>
      <c r="BK16" s="182"/>
      <c r="BL16" s="90"/>
      <c r="BM16" s="90"/>
      <c r="BN16" s="183">
        <f t="shared" si="10"/>
        <v>0</v>
      </c>
      <c r="BO16" s="182"/>
      <c r="BP16" s="90"/>
      <c r="BQ16" s="90"/>
      <c r="BR16" s="183">
        <f t="shared" si="11"/>
        <v>0</v>
      </c>
      <c r="BS16" s="182"/>
      <c r="BT16" s="90"/>
      <c r="BU16" s="90"/>
      <c r="BV16" s="183">
        <f t="shared" si="12"/>
        <v>0</v>
      </c>
      <c r="BW16" s="182"/>
      <c r="BX16" s="90"/>
      <c r="BY16" s="90"/>
      <c r="BZ16" s="183">
        <f t="shared" si="13"/>
        <v>0</v>
      </c>
      <c r="CA16" s="182"/>
      <c r="CB16" s="90"/>
      <c r="CC16" s="90"/>
      <c r="CD16" s="183">
        <f t="shared" si="14"/>
        <v>0</v>
      </c>
    </row>
    <row r="17" spans="2:82" x14ac:dyDescent="0.3">
      <c r="B17" s="53"/>
      <c r="C17" s="53" t="str">
        <f t="shared" si="0"/>
        <v>CPU_CapaSAUS</v>
      </c>
      <c r="D17" s="278">
        <f t="shared" si="1"/>
        <v>0.2</v>
      </c>
      <c r="E17" s="278">
        <f t="shared" si="2"/>
        <v>0</v>
      </c>
      <c r="F17" s="1"/>
      <c r="G17" s="28" t="str">
        <f>IFERROR(VLOOKUP(F17,Tabela7[[RECURSO]:[CUSTO]],2,FALSE),"")</f>
        <v/>
      </c>
      <c r="H17" s="92"/>
      <c r="I17" s="90"/>
      <c r="J17" s="45">
        <f>IFERROR(VLOOKUP(F17,Tabela7[[RECURSO]:[CUSTO]],3,FALSE),0)</f>
        <v>0</v>
      </c>
      <c r="K17" s="45">
        <f>I17*J17*CPU_26[[#This Row],[Nº]]</f>
        <v>0</v>
      </c>
      <c r="M17" s="31"/>
      <c r="N17" s="297"/>
      <c r="O17" s="60">
        <f t="shared" si="15"/>
        <v>0</v>
      </c>
      <c r="AD17" s="144" t="str">
        <f t="shared" si="3"/>
        <v>Capa SAUS</v>
      </c>
      <c r="AE17" s="179"/>
      <c r="AF17" s="180">
        <f t="shared" si="16"/>
        <v>0</v>
      </c>
      <c r="AG17" s="180">
        <f t="shared" si="17"/>
        <v>0</v>
      </c>
      <c r="AH17" s="181">
        <f t="shared" si="18"/>
        <v>0</v>
      </c>
      <c r="AI17" s="182"/>
      <c r="AJ17" s="90"/>
      <c r="AK17" s="90"/>
      <c r="AL17" s="183">
        <f t="shared" si="19"/>
        <v>0</v>
      </c>
      <c r="AM17" s="182"/>
      <c r="AN17" s="90"/>
      <c r="AO17" s="90"/>
      <c r="AP17" s="183">
        <f t="shared" si="4"/>
        <v>0</v>
      </c>
      <c r="AQ17" s="182"/>
      <c r="AR17" s="90"/>
      <c r="AS17" s="90"/>
      <c r="AT17" s="183">
        <f t="shared" si="5"/>
        <v>0</v>
      </c>
      <c r="AU17" s="182"/>
      <c r="AV17" s="90"/>
      <c r="AW17" s="90"/>
      <c r="AX17" s="183">
        <f t="shared" si="6"/>
        <v>0</v>
      </c>
      <c r="AY17" s="182"/>
      <c r="AZ17" s="90"/>
      <c r="BA17" s="90"/>
      <c r="BB17" s="183">
        <f t="shared" si="7"/>
        <v>0</v>
      </c>
      <c r="BC17" s="182"/>
      <c r="BD17" s="90"/>
      <c r="BE17" s="90"/>
      <c r="BF17" s="183">
        <f t="shared" si="8"/>
        <v>0</v>
      </c>
      <c r="BG17" s="182"/>
      <c r="BH17" s="90"/>
      <c r="BI17" s="90"/>
      <c r="BJ17" s="183">
        <f t="shared" si="9"/>
        <v>0</v>
      </c>
      <c r="BK17" s="182"/>
      <c r="BL17" s="90"/>
      <c r="BM17" s="90"/>
      <c r="BN17" s="183">
        <f t="shared" si="10"/>
        <v>0</v>
      </c>
      <c r="BO17" s="182"/>
      <c r="BP17" s="90"/>
      <c r="BQ17" s="90"/>
      <c r="BR17" s="183">
        <f t="shared" si="11"/>
        <v>0</v>
      </c>
      <c r="BS17" s="182"/>
      <c r="BT17" s="90"/>
      <c r="BU17" s="90"/>
      <c r="BV17" s="183">
        <f t="shared" si="12"/>
        <v>0</v>
      </c>
      <c r="BW17" s="182"/>
      <c r="BX17" s="90"/>
      <c r="BY17" s="90"/>
      <c r="BZ17" s="183">
        <f t="shared" si="13"/>
        <v>0</v>
      </c>
      <c r="CA17" s="182"/>
      <c r="CB17" s="90"/>
      <c r="CC17" s="90"/>
      <c r="CD17" s="183">
        <f t="shared" si="14"/>
        <v>0</v>
      </c>
    </row>
    <row r="18" spans="2:82" x14ac:dyDescent="0.3">
      <c r="B18" s="53"/>
      <c r="C18" s="53" t="str">
        <f t="shared" si="0"/>
        <v>CPU_CapaSAUS</v>
      </c>
      <c r="D18" s="278">
        <f t="shared" si="1"/>
        <v>0.2</v>
      </c>
      <c r="E18" s="278">
        <f t="shared" si="2"/>
        <v>0</v>
      </c>
      <c r="F18" s="1"/>
      <c r="G18" s="28" t="str">
        <f>IFERROR(VLOOKUP(F18,Tabela7[[RECURSO]:[CUSTO]],2,FALSE),"")</f>
        <v/>
      </c>
      <c r="H18" s="92"/>
      <c r="I18" s="90"/>
      <c r="J18" s="45">
        <f>IFERROR(VLOOKUP(F18,Tabela7[[RECURSO]:[CUSTO]],3,FALSE),0)</f>
        <v>0</v>
      </c>
      <c r="K18" s="45">
        <f>I18*J18*CPU_26[[#This Row],[Nº]]</f>
        <v>0</v>
      </c>
      <c r="M18" s="31"/>
      <c r="N18" s="297"/>
      <c r="O18" s="60">
        <f t="shared" si="15"/>
        <v>0</v>
      </c>
      <c r="AD18" s="144" t="str">
        <f t="shared" si="3"/>
        <v>Capa SAUS</v>
      </c>
      <c r="AE18" s="179"/>
      <c r="AF18" s="180">
        <f t="shared" si="16"/>
        <v>0</v>
      </c>
      <c r="AG18" s="180">
        <f t="shared" si="17"/>
        <v>0</v>
      </c>
      <c r="AH18" s="181">
        <f t="shared" si="18"/>
        <v>0</v>
      </c>
      <c r="AI18" s="182"/>
      <c r="AJ18" s="90"/>
      <c r="AK18" s="90"/>
      <c r="AL18" s="183">
        <f t="shared" si="19"/>
        <v>0</v>
      </c>
      <c r="AM18" s="182"/>
      <c r="AN18" s="90"/>
      <c r="AO18" s="90"/>
      <c r="AP18" s="183">
        <f t="shared" si="4"/>
        <v>0</v>
      </c>
      <c r="AQ18" s="182"/>
      <c r="AR18" s="90"/>
      <c r="AS18" s="90"/>
      <c r="AT18" s="183">
        <f t="shared" si="5"/>
        <v>0</v>
      </c>
      <c r="AU18" s="182"/>
      <c r="AV18" s="90"/>
      <c r="AW18" s="90"/>
      <c r="AX18" s="183">
        <f t="shared" si="6"/>
        <v>0</v>
      </c>
      <c r="AY18" s="182"/>
      <c r="AZ18" s="90"/>
      <c r="BA18" s="90"/>
      <c r="BB18" s="183">
        <f t="shared" si="7"/>
        <v>0</v>
      </c>
      <c r="BC18" s="182"/>
      <c r="BD18" s="90"/>
      <c r="BE18" s="90"/>
      <c r="BF18" s="183">
        <f t="shared" si="8"/>
        <v>0</v>
      </c>
      <c r="BG18" s="182"/>
      <c r="BH18" s="90"/>
      <c r="BI18" s="90"/>
      <c r="BJ18" s="183">
        <f t="shared" si="9"/>
        <v>0</v>
      </c>
      <c r="BK18" s="182"/>
      <c r="BL18" s="90"/>
      <c r="BM18" s="90"/>
      <c r="BN18" s="183">
        <f t="shared" si="10"/>
        <v>0</v>
      </c>
      <c r="BO18" s="182"/>
      <c r="BP18" s="90"/>
      <c r="BQ18" s="90"/>
      <c r="BR18" s="183">
        <f t="shared" si="11"/>
        <v>0</v>
      </c>
      <c r="BS18" s="182"/>
      <c r="BT18" s="90"/>
      <c r="BU18" s="90"/>
      <c r="BV18" s="183">
        <f t="shared" si="12"/>
        <v>0</v>
      </c>
      <c r="BW18" s="182"/>
      <c r="BX18" s="90"/>
      <c r="BY18" s="90"/>
      <c r="BZ18" s="183">
        <f t="shared" si="13"/>
        <v>0</v>
      </c>
      <c r="CA18" s="182"/>
      <c r="CB18" s="90"/>
      <c r="CC18" s="90"/>
      <c r="CD18" s="183">
        <f t="shared" si="14"/>
        <v>0</v>
      </c>
    </row>
    <row r="19" spans="2:82" x14ac:dyDescent="0.3">
      <c r="B19" s="53"/>
      <c r="C19" s="53" t="str">
        <f t="shared" si="0"/>
        <v>CPU_CapaSAUS</v>
      </c>
      <c r="D19" s="278">
        <f t="shared" si="1"/>
        <v>0.2</v>
      </c>
      <c r="E19" s="278">
        <f t="shared" si="2"/>
        <v>0</v>
      </c>
      <c r="F19" s="1"/>
      <c r="G19" s="28" t="str">
        <f>IFERROR(VLOOKUP(F19,Tabela7[[RECURSO]:[CUSTO]],2,FALSE),"")</f>
        <v/>
      </c>
      <c r="H19" s="92"/>
      <c r="I19" s="90"/>
      <c r="J19" s="45">
        <f>IFERROR(VLOOKUP(F19,Tabela7[[RECURSO]:[CUSTO]],3,FALSE),0)</f>
        <v>0</v>
      </c>
      <c r="K19" s="45">
        <f>I19*J19*CPU_26[[#This Row],[Nº]]</f>
        <v>0</v>
      </c>
      <c r="M19" s="31"/>
      <c r="N19" s="297"/>
      <c r="O19" s="60">
        <f t="shared" si="15"/>
        <v>0</v>
      </c>
      <c r="AD19" s="144" t="str">
        <f t="shared" si="3"/>
        <v>Capa SAUS</v>
      </c>
      <c r="AE19" s="179"/>
      <c r="AF19" s="180">
        <f t="shared" si="16"/>
        <v>0</v>
      </c>
      <c r="AG19" s="180">
        <f t="shared" si="17"/>
        <v>0</v>
      </c>
      <c r="AH19" s="181">
        <f t="shared" si="18"/>
        <v>0</v>
      </c>
      <c r="AI19" s="182"/>
      <c r="AJ19" s="90"/>
      <c r="AK19" s="90"/>
      <c r="AL19" s="183">
        <f t="shared" si="19"/>
        <v>0</v>
      </c>
      <c r="AM19" s="182"/>
      <c r="AN19" s="90"/>
      <c r="AO19" s="90"/>
      <c r="AP19" s="183">
        <f t="shared" si="4"/>
        <v>0</v>
      </c>
      <c r="AQ19" s="182"/>
      <c r="AR19" s="90"/>
      <c r="AS19" s="90"/>
      <c r="AT19" s="183">
        <f t="shared" si="5"/>
        <v>0</v>
      </c>
      <c r="AU19" s="182"/>
      <c r="AV19" s="90"/>
      <c r="AW19" s="90"/>
      <c r="AX19" s="183">
        <f t="shared" si="6"/>
        <v>0</v>
      </c>
      <c r="AY19" s="182"/>
      <c r="AZ19" s="90"/>
      <c r="BA19" s="90"/>
      <c r="BB19" s="183">
        <f t="shared" si="7"/>
        <v>0</v>
      </c>
      <c r="BC19" s="182"/>
      <c r="BD19" s="90"/>
      <c r="BE19" s="90"/>
      <c r="BF19" s="183">
        <f t="shared" si="8"/>
        <v>0</v>
      </c>
      <c r="BG19" s="182"/>
      <c r="BH19" s="90"/>
      <c r="BI19" s="90"/>
      <c r="BJ19" s="183">
        <f t="shared" si="9"/>
        <v>0</v>
      </c>
      <c r="BK19" s="182"/>
      <c r="BL19" s="90"/>
      <c r="BM19" s="90"/>
      <c r="BN19" s="183">
        <f t="shared" si="10"/>
        <v>0</v>
      </c>
      <c r="BO19" s="182"/>
      <c r="BP19" s="90"/>
      <c r="BQ19" s="90"/>
      <c r="BR19" s="183">
        <f t="shared" si="11"/>
        <v>0</v>
      </c>
      <c r="BS19" s="182"/>
      <c r="BT19" s="90"/>
      <c r="BU19" s="90"/>
      <c r="BV19" s="183">
        <f t="shared" si="12"/>
        <v>0</v>
      </c>
      <c r="BW19" s="182"/>
      <c r="BX19" s="90"/>
      <c r="BY19" s="90"/>
      <c r="BZ19" s="183">
        <f t="shared" si="13"/>
        <v>0</v>
      </c>
      <c r="CA19" s="182"/>
      <c r="CB19" s="90"/>
      <c r="CC19" s="90"/>
      <c r="CD19" s="183">
        <f t="shared" si="14"/>
        <v>0</v>
      </c>
    </row>
    <row r="20" spans="2:82" x14ac:dyDescent="0.3">
      <c r="B20" s="53"/>
      <c r="C20" s="53" t="str">
        <f t="shared" si="0"/>
        <v>CPU_CapaSAUS</v>
      </c>
      <c r="D20" s="278">
        <f t="shared" si="1"/>
        <v>0.2</v>
      </c>
      <c r="E20" s="278">
        <f t="shared" si="2"/>
        <v>0</v>
      </c>
      <c r="F20" s="1"/>
      <c r="G20" s="28" t="str">
        <f>IFERROR(VLOOKUP(F20,Tabela7[[RECURSO]:[CUSTO]],2,FALSE),"")</f>
        <v/>
      </c>
      <c r="H20" s="92"/>
      <c r="I20" s="90"/>
      <c r="J20" s="45">
        <f>IFERROR(VLOOKUP(F20,Tabela7[[RECURSO]:[CUSTO]],3,FALSE),0)</f>
        <v>0</v>
      </c>
      <c r="K20" s="45">
        <f>I20*J20*CPU_26[[#This Row],[Nº]]</f>
        <v>0</v>
      </c>
      <c r="M20" s="31"/>
      <c r="N20" s="297"/>
      <c r="O20" s="60">
        <f t="shared" si="15"/>
        <v>0</v>
      </c>
      <c r="AD20" s="144" t="str">
        <f t="shared" si="3"/>
        <v>Capa SAUS</v>
      </c>
      <c r="AE20" s="179"/>
      <c r="AF20" s="180">
        <f t="shared" si="16"/>
        <v>0</v>
      </c>
      <c r="AG20" s="180">
        <f t="shared" si="17"/>
        <v>0</v>
      </c>
      <c r="AH20" s="181">
        <f t="shared" si="18"/>
        <v>0</v>
      </c>
      <c r="AI20" s="182"/>
      <c r="AJ20" s="90"/>
      <c r="AK20" s="90"/>
      <c r="AL20" s="183">
        <f t="shared" si="19"/>
        <v>0</v>
      </c>
      <c r="AM20" s="182"/>
      <c r="AN20" s="90"/>
      <c r="AO20" s="90"/>
      <c r="AP20" s="183">
        <f t="shared" si="4"/>
        <v>0</v>
      </c>
      <c r="AQ20" s="182"/>
      <c r="AR20" s="90"/>
      <c r="AS20" s="90"/>
      <c r="AT20" s="183">
        <f t="shared" si="5"/>
        <v>0</v>
      </c>
      <c r="AU20" s="182"/>
      <c r="AV20" s="90"/>
      <c r="AW20" s="90"/>
      <c r="AX20" s="183">
        <f t="shared" si="6"/>
        <v>0</v>
      </c>
      <c r="AY20" s="182"/>
      <c r="AZ20" s="90"/>
      <c r="BA20" s="90"/>
      <c r="BB20" s="183">
        <f t="shared" si="7"/>
        <v>0</v>
      </c>
      <c r="BC20" s="182"/>
      <c r="BD20" s="90"/>
      <c r="BE20" s="90"/>
      <c r="BF20" s="183">
        <f t="shared" si="8"/>
        <v>0</v>
      </c>
      <c r="BG20" s="182"/>
      <c r="BH20" s="90"/>
      <c r="BI20" s="90"/>
      <c r="BJ20" s="183">
        <f t="shared" si="9"/>
        <v>0</v>
      </c>
      <c r="BK20" s="182"/>
      <c r="BL20" s="90"/>
      <c r="BM20" s="90"/>
      <c r="BN20" s="183">
        <f t="shared" si="10"/>
        <v>0</v>
      </c>
      <c r="BO20" s="182"/>
      <c r="BP20" s="90"/>
      <c r="BQ20" s="90"/>
      <c r="BR20" s="183">
        <f t="shared" si="11"/>
        <v>0</v>
      </c>
      <c r="BS20" s="182"/>
      <c r="BT20" s="90"/>
      <c r="BU20" s="90"/>
      <c r="BV20" s="183">
        <f t="shared" si="12"/>
        <v>0</v>
      </c>
      <c r="BW20" s="182"/>
      <c r="BX20" s="90"/>
      <c r="BY20" s="90"/>
      <c r="BZ20" s="183">
        <f t="shared" si="13"/>
        <v>0</v>
      </c>
      <c r="CA20" s="182"/>
      <c r="CB20" s="90"/>
      <c r="CC20" s="90"/>
      <c r="CD20" s="183">
        <f t="shared" si="14"/>
        <v>0</v>
      </c>
    </row>
    <row r="21" spans="2:82" x14ac:dyDescent="0.3">
      <c r="B21" s="53"/>
      <c r="C21" s="53" t="str">
        <f t="shared" si="0"/>
        <v>CPU_CapaSAUS</v>
      </c>
      <c r="D21" s="278">
        <f t="shared" si="1"/>
        <v>0.2</v>
      </c>
      <c r="E21" s="278">
        <f t="shared" si="2"/>
        <v>0</v>
      </c>
      <c r="F21" s="1"/>
      <c r="G21" s="28" t="str">
        <f>IFERROR(VLOOKUP(F21,Tabela7[[RECURSO]:[CUSTO]],2,FALSE),"")</f>
        <v/>
      </c>
      <c r="H21" s="92"/>
      <c r="I21" s="90"/>
      <c r="J21" s="45">
        <f>IFERROR(VLOOKUP(F21,Tabela7[[RECURSO]:[CUSTO]],3,FALSE),0)</f>
        <v>0</v>
      </c>
      <c r="K21" s="45">
        <f>I21*J21*CPU_26[[#This Row],[Nº]]</f>
        <v>0</v>
      </c>
      <c r="M21" s="31"/>
      <c r="N21" s="297"/>
      <c r="O21" s="60">
        <f t="shared" si="15"/>
        <v>0</v>
      </c>
      <c r="AD21" s="144" t="str">
        <f t="shared" si="3"/>
        <v>Capa SAUS</v>
      </c>
      <c r="AE21" s="179"/>
      <c r="AF21" s="180">
        <f t="shared" si="16"/>
        <v>0</v>
      </c>
      <c r="AG21" s="180">
        <f t="shared" si="17"/>
        <v>0</v>
      </c>
      <c r="AH21" s="181">
        <f t="shared" si="18"/>
        <v>0</v>
      </c>
      <c r="AI21" s="182"/>
      <c r="AJ21" s="90"/>
      <c r="AK21" s="90"/>
      <c r="AL21" s="183">
        <f t="shared" si="19"/>
        <v>0</v>
      </c>
      <c r="AM21" s="182"/>
      <c r="AN21" s="90"/>
      <c r="AO21" s="90"/>
      <c r="AP21" s="183">
        <f t="shared" si="4"/>
        <v>0</v>
      </c>
      <c r="AQ21" s="182"/>
      <c r="AR21" s="90"/>
      <c r="AS21" s="90"/>
      <c r="AT21" s="183">
        <f t="shared" si="5"/>
        <v>0</v>
      </c>
      <c r="AU21" s="182"/>
      <c r="AV21" s="90"/>
      <c r="AW21" s="90"/>
      <c r="AX21" s="183">
        <f t="shared" si="6"/>
        <v>0</v>
      </c>
      <c r="AY21" s="182"/>
      <c r="AZ21" s="90"/>
      <c r="BA21" s="90"/>
      <c r="BB21" s="183">
        <f t="shared" si="7"/>
        <v>0</v>
      </c>
      <c r="BC21" s="182"/>
      <c r="BD21" s="90"/>
      <c r="BE21" s="90"/>
      <c r="BF21" s="183">
        <f t="shared" si="8"/>
        <v>0</v>
      </c>
      <c r="BG21" s="182"/>
      <c r="BH21" s="90"/>
      <c r="BI21" s="90"/>
      <c r="BJ21" s="183">
        <f t="shared" si="9"/>
        <v>0</v>
      </c>
      <c r="BK21" s="182"/>
      <c r="BL21" s="90"/>
      <c r="BM21" s="90"/>
      <c r="BN21" s="183">
        <f t="shared" si="10"/>
        <v>0</v>
      </c>
      <c r="BO21" s="182"/>
      <c r="BP21" s="90"/>
      <c r="BQ21" s="90"/>
      <c r="BR21" s="183">
        <f t="shared" si="11"/>
        <v>0</v>
      </c>
      <c r="BS21" s="182"/>
      <c r="BT21" s="90"/>
      <c r="BU21" s="90"/>
      <c r="BV21" s="183">
        <f t="shared" si="12"/>
        <v>0</v>
      </c>
      <c r="BW21" s="182"/>
      <c r="BX21" s="90"/>
      <c r="BY21" s="90"/>
      <c r="BZ21" s="183">
        <f t="shared" si="13"/>
        <v>0</v>
      </c>
      <c r="CA21" s="182"/>
      <c r="CB21" s="90"/>
      <c r="CC21" s="90"/>
      <c r="CD21" s="183">
        <f t="shared" si="14"/>
        <v>0</v>
      </c>
    </row>
    <row r="22" spans="2:82" x14ac:dyDescent="0.3">
      <c r="B22" s="53"/>
      <c r="C22" s="53" t="str">
        <f t="shared" si="0"/>
        <v>CPU_CapaSAUS</v>
      </c>
      <c r="D22" s="278">
        <f t="shared" si="1"/>
        <v>0.2</v>
      </c>
      <c r="E22" s="278">
        <f t="shared" si="2"/>
        <v>0</v>
      </c>
      <c r="F22" s="1"/>
      <c r="G22" s="28" t="str">
        <f>IFERROR(VLOOKUP(F22,Tabela7[[RECURSO]:[CUSTO]],2,FALSE),"")</f>
        <v/>
      </c>
      <c r="H22" s="92"/>
      <c r="I22" s="90"/>
      <c r="J22" s="45">
        <f>IFERROR(VLOOKUP(F22,Tabela7[[RECURSO]:[CUSTO]],3,FALSE),0)</f>
        <v>0</v>
      </c>
      <c r="K22" s="45">
        <f>I22*J22*CPU_26[[#This Row],[Nº]]</f>
        <v>0</v>
      </c>
      <c r="M22" s="31"/>
      <c r="N22" s="297"/>
      <c r="O22" s="60">
        <f t="shared" si="15"/>
        <v>0</v>
      </c>
      <c r="AD22" s="144" t="str">
        <f t="shared" si="3"/>
        <v>Capa SAUS</v>
      </c>
      <c r="AE22" s="179"/>
      <c r="AF22" s="180">
        <f t="shared" si="16"/>
        <v>0</v>
      </c>
      <c r="AG22" s="180">
        <f t="shared" si="17"/>
        <v>0</v>
      </c>
      <c r="AH22" s="181">
        <f t="shared" si="18"/>
        <v>0</v>
      </c>
      <c r="AI22" s="182"/>
      <c r="AJ22" s="90"/>
      <c r="AK22" s="90"/>
      <c r="AL22" s="183">
        <f t="shared" si="19"/>
        <v>0</v>
      </c>
      <c r="AM22" s="182"/>
      <c r="AN22" s="90"/>
      <c r="AO22" s="90"/>
      <c r="AP22" s="183">
        <f t="shared" si="4"/>
        <v>0</v>
      </c>
      <c r="AQ22" s="182"/>
      <c r="AR22" s="90"/>
      <c r="AS22" s="90"/>
      <c r="AT22" s="183">
        <f t="shared" si="5"/>
        <v>0</v>
      </c>
      <c r="AU22" s="182"/>
      <c r="AV22" s="90"/>
      <c r="AW22" s="90"/>
      <c r="AX22" s="183">
        <f t="shared" si="6"/>
        <v>0</v>
      </c>
      <c r="AY22" s="182"/>
      <c r="AZ22" s="90"/>
      <c r="BA22" s="90"/>
      <c r="BB22" s="183">
        <f t="shared" si="7"/>
        <v>0</v>
      </c>
      <c r="BC22" s="182"/>
      <c r="BD22" s="90"/>
      <c r="BE22" s="90"/>
      <c r="BF22" s="183">
        <f t="shared" si="8"/>
        <v>0</v>
      </c>
      <c r="BG22" s="182"/>
      <c r="BH22" s="90"/>
      <c r="BI22" s="90"/>
      <c r="BJ22" s="183">
        <f t="shared" si="9"/>
        <v>0</v>
      </c>
      <c r="BK22" s="182"/>
      <c r="BL22" s="90"/>
      <c r="BM22" s="90"/>
      <c r="BN22" s="183">
        <f t="shared" si="10"/>
        <v>0</v>
      </c>
      <c r="BO22" s="182"/>
      <c r="BP22" s="90"/>
      <c r="BQ22" s="90"/>
      <c r="BR22" s="183">
        <f t="shared" si="11"/>
        <v>0</v>
      </c>
      <c r="BS22" s="182"/>
      <c r="BT22" s="90"/>
      <c r="BU22" s="90"/>
      <c r="BV22" s="183">
        <f t="shared" si="12"/>
        <v>0</v>
      </c>
      <c r="BW22" s="182"/>
      <c r="BX22" s="90"/>
      <c r="BY22" s="90"/>
      <c r="BZ22" s="183">
        <f t="shared" si="13"/>
        <v>0</v>
      </c>
      <c r="CA22" s="182"/>
      <c r="CB22" s="90"/>
      <c r="CC22" s="90"/>
      <c r="CD22" s="183">
        <f t="shared" si="14"/>
        <v>0</v>
      </c>
    </row>
    <row r="23" spans="2:82" ht="15" thickBot="1" x14ac:dyDescent="0.35">
      <c r="B23" s="53"/>
      <c r="C23" s="53" t="str">
        <f t="shared" si="0"/>
        <v>CPU_CapaSAUS</v>
      </c>
      <c r="D23" s="278">
        <f t="shared" si="1"/>
        <v>0.2</v>
      </c>
      <c r="E23" s="278">
        <f t="shared" si="2"/>
        <v>0</v>
      </c>
      <c r="F23" s="1"/>
      <c r="G23" s="28" t="str">
        <f>IFERROR(VLOOKUP(F23,Tabela7[[RECURSO]:[CUSTO]],2,FALSE),"")</f>
        <v/>
      </c>
      <c r="H23" s="92"/>
      <c r="I23" s="90"/>
      <c r="J23" s="45">
        <f>IFERROR(VLOOKUP(F23,Tabela7[[RECURSO]:[CUSTO]],3,FALSE),0)</f>
        <v>0</v>
      </c>
      <c r="K23" s="45">
        <f>I23*J23*CPU_26[[#This Row],[Nº]]</f>
        <v>0</v>
      </c>
      <c r="M23" s="51"/>
      <c r="N23" s="298"/>
      <c r="O23" s="61">
        <f t="shared" si="15"/>
        <v>0</v>
      </c>
      <c r="AD23" s="144" t="str">
        <f t="shared" si="3"/>
        <v>Capa SAUS</v>
      </c>
      <c r="AE23" s="179"/>
      <c r="AF23" s="180">
        <f t="shared" si="16"/>
        <v>0</v>
      </c>
      <c r="AG23" s="180">
        <f t="shared" si="17"/>
        <v>0</v>
      </c>
      <c r="AH23" s="181">
        <f t="shared" si="18"/>
        <v>0</v>
      </c>
      <c r="AI23" s="182"/>
      <c r="AJ23" s="90"/>
      <c r="AK23" s="90"/>
      <c r="AL23" s="183">
        <f t="shared" si="19"/>
        <v>0</v>
      </c>
      <c r="AM23" s="182"/>
      <c r="AN23" s="90"/>
      <c r="AO23" s="90"/>
      <c r="AP23" s="183">
        <f t="shared" si="4"/>
        <v>0</v>
      </c>
      <c r="AQ23" s="182"/>
      <c r="AR23" s="90"/>
      <c r="AS23" s="90"/>
      <c r="AT23" s="183">
        <f t="shared" si="5"/>
        <v>0</v>
      </c>
      <c r="AU23" s="182"/>
      <c r="AV23" s="90"/>
      <c r="AW23" s="90"/>
      <c r="AX23" s="183">
        <f t="shared" si="6"/>
        <v>0</v>
      </c>
      <c r="AY23" s="182"/>
      <c r="AZ23" s="90"/>
      <c r="BA23" s="90"/>
      <c r="BB23" s="183">
        <f t="shared" si="7"/>
        <v>0</v>
      </c>
      <c r="BC23" s="182"/>
      <c r="BD23" s="90"/>
      <c r="BE23" s="90"/>
      <c r="BF23" s="183">
        <f t="shared" si="8"/>
        <v>0</v>
      </c>
      <c r="BG23" s="182"/>
      <c r="BH23" s="90"/>
      <c r="BI23" s="90"/>
      <c r="BJ23" s="183">
        <f t="shared" si="9"/>
        <v>0</v>
      </c>
      <c r="BK23" s="182"/>
      <c r="BL23" s="90"/>
      <c r="BM23" s="90"/>
      <c r="BN23" s="183">
        <f t="shared" si="10"/>
        <v>0</v>
      </c>
      <c r="BO23" s="182"/>
      <c r="BP23" s="90"/>
      <c r="BQ23" s="90"/>
      <c r="BR23" s="183">
        <f t="shared" si="11"/>
        <v>0</v>
      </c>
      <c r="BS23" s="182"/>
      <c r="BT23" s="90"/>
      <c r="BU23" s="90"/>
      <c r="BV23" s="183">
        <f t="shared" si="12"/>
        <v>0</v>
      </c>
      <c r="BW23" s="182"/>
      <c r="BX23" s="90"/>
      <c r="BY23" s="90"/>
      <c r="BZ23" s="183">
        <f t="shared" si="13"/>
        <v>0</v>
      </c>
      <c r="CA23" s="182"/>
      <c r="CB23" s="90"/>
      <c r="CC23" s="90"/>
      <c r="CD23" s="183">
        <f t="shared" si="14"/>
        <v>0</v>
      </c>
    </row>
    <row r="24" spans="2:82" x14ac:dyDescent="0.3">
      <c r="B24" s="52" t="s">
        <v>686</v>
      </c>
      <c r="C24" s="52" t="str">
        <f t="shared" si="0"/>
        <v>CPU_CapaSAUS</v>
      </c>
      <c r="D24" s="277">
        <f t="shared" si="1"/>
        <v>0.2</v>
      </c>
      <c r="E24" s="277">
        <f t="shared" si="2"/>
        <v>0</v>
      </c>
      <c r="F24" s="37"/>
      <c r="G24" s="38"/>
      <c r="H24" s="91"/>
      <c r="I24" s="40"/>
      <c r="J24" s="40">
        <f>IFERROR(K24/$B$6,0)</f>
        <v>15272.727272727272</v>
      </c>
      <c r="K24" s="40">
        <f>SUM(K25:K36)</f>
        <v>3054.5454545454545</v>
      </c>
      <c r="AD24" s="144" t="str">
        <f t="shared" si="3"/>
        <v>Capa SAUS</v>
      </c>
      <c r="AE24" s="184"/>
      <c r="AF24" s="40"/>
      <c r="AG24" s="40">
        <f>IFERROR(AH24/AF$3,0)</f>
        <v>0</v>
      </c>
      <c r="AH24" s="185">
        <f>SUM(AH25:AH36)</f>
        <v>0</v>
      </c>
      <c r="AI24" s="184"/>
      <c r="AJ24" s="40"/>
      <c r="AK24" s="40">
        <f>IFERROR(AL24/AJ$3,0)</f>
        <v>0</v>
      </c>
      <c r="AL24" s="185">
        <f>SUM(AL25:AL36)</f>
        <v>0</v>
      </c>
      <c r="AM24" s="184"/>
      <c r="AN24" s="40"/>
      <c r="AO24" s="40">
        <f>IFERROR(AP24/AN$3,0)</f>
        <v>0</v>
      </c>
      <c r="AP24" s="185">
        <f>SUM(AP25:AP36)</f>
        <v>0</v>
      </c>
      <c r="AQ24" s="184"/>
      <c r="AR24" s="40"/>
      <c r="AS24" s="40">
        <f>IFERROR(AT24/AR$3,0)</f>
        <v>0</v>
      </c>
      <c r="AT24" s="185">
        <f>SUM(AT25:AT36)</f>
        <v>0</v>
      </c>
      <c r="AU24" s="184"/>
      <c r="AV24" s="40"/>
      <c r="AW24" s="40">
        <f>IFERROR(AX24/AV$3,0)</f>
        <v>0</v>
      </c>
      <c r="AX24" s="185">
        <f>SUM(AX25:AX36)</f>
        <v>0</v>
      </c>
      <c r="AY24" s="184"/>
      <c r="AZ24" s="40"/>
      <c r="BA24" s="40">
        <f>IFERROR(BB24/AZ$3,0)</f>
        <v>0</v>
      </c>
      <c r="BB24" s="185">
        <f>SUM(BB25:BB36)</f>
        <v>0</v>
      </c>
      <c r="BC24" s="184"/>
      <c r="BD24" s="40"/>
      <c r="BE24" s="40">
        <f>IFERROR(BF24/BD$3,0)</f>
        <v>0</v>
      </c>
      <c r="BF24" s="185">
        <f>SUM(BF25:BF36)</f>
        <v>0</v>
      </c>
      <c r="BG24" s="184"/>
      <c r="BH24" s="40"/>
      <c r="BI24" s="40">
        <f>IFERROR(BJ24/BH$3,0)</f>
        <v>0</v>
      </c>
      <c r="BJ24" s="185">
        <f>SUM(BJ25:BJ36)</f>
        <v>0</v>
      </c>
      <c r="BK24" s="184"/>
      <c r="BL24" s="40"/>
      <c r="BM24" s="40">
        <f>IFERROR(BN24/BL$3,0)</f>
        <v>0</v>
      </c>
      <c r="BN24" s="185">
        <f>SUM(BN25:BN36)</f>
        <v>0</v>
      </c>
      <c r="BO24" s="184"/>
      <c r="BP24" s="40"/>
      <c r="BQ24" s="40">
        <f>IFERROR(BR24/BP$3,0)</f>
        <v>0</v>
      </c>
      <c r="BR24" s="185">
        <f>SUM(BR25:BR36)</f>
        <v>0</v>
      </c>
      <c r="BS24" s="184"/>
      <c r="BT24" s="40"/>
      <c r="BU24" s="40">
        <f>IFERROR(BV24/BT$3,0)</f>
        <v>0</v>
      </c>
      <c r="BV24" s="185">
        <f>SUM(BV25:BV36)</f>
        <v>0</v>
      </c>
      <c r="BW24" s="184"/>
      <c r="BX24" s="40"/>
      <c r="BY24" s="40">
        <f>IFERROR(BZ24/BX$3,0)</f>
        <v>0</v>
      </c>
      <c r="BZ24" s="185">
        <f>SUM(BZ25:BZ36)</f>
        <v>0</v>
      </c>
      <c r="CA24" s="184"/>
      <c r="CB24" s="40"/>
      <c r="CC24" s="40">
        <f>IFERROR(CD24/CB$3,0)</f>
        <v>0</v>
      </c>
      <c r="CD24" s="185">
        <f>SUM(CD25:CD36)</f>
        <v>0</v>
      </c>
    </row>
    <row r="25" spans="2:82" x14ac:dyDescent="0.3">
      <c r="B25" s="53"/>
      <c r="C25" s="53" t="str">
        <f t="shared" si="0"/>
        <v>CPU_CapaSAUS</v>
      </c>
      <c r="D25" s="278">
        <f t="shared" si="1"/>
        <v>0.2</v>
      </c>
      <c r="E25" s="278">
        <f t="shared" si="2"/>
        <v>0</v>
      </c>
      <c r="F25" s="1" t="s">
        <v>288</v>
      </c>
      <c r="G25" s="28" t="str">
        <f>IFERROR(VLOOKUP(F25,Tabela7[[RECURSO]:[CUSTO]],2,FALSE),"")</f>
        <v>L</v>
      </c>
      <c r="H25" s="93"/>
      <c r="I25" s="90">
        <f>IFERROR(SUMPRODUCT(I12:I23,M12:M23,H12:H23,N12:N23),0)</f>
        <v>436.36363636363637</v>
      </c>
      <c r="J25" s="45">
        <f>IFERROR(VLOOKUP(F25,Tabela7[[RECURSO]:[CUSTO]],3,FALSE),0)</f>
        <v>7</v>
      </c>
      <c r="K25" s="45">
        <f>I25*J25</f>
        <v>3054.5454545454545</v>
      </c>
      <c r="AD25" s="144" t="str">
        <f t="shared" si="3"/>
        <v>Capa SAUS</v>
      </c>
      <c r="AE25" s="179"/>
      <c r="AF25" s="180">
        <f t="shared" ref="AF25:AF36" si="20">AJ25+AN25+AR25+AV25+AZ25+BD25+BH25+BL25+BP25+BT25+BX25+CB25</f>
        <v>0</v>
      </c>
      <c r="AG25" s="180">
        <f t="shared" si="17"/>
        <v>0</v>
      </c>
      <c r="AH25" s="181">
        <f t="shared" ref="AH25:AH36" si="21">AL25+AP25+AT25+AX25+BB25+BF25+BJ25+BN25+BR25+BV25+BZ25+CD25</f>
        <v>0</v>
      </c>
      <c r="AI25" s="182"/>
      <c r="AJ25" s="90"/>
      <c r="AK25" s="90"/>
      <c r="AL25" s="183">
        <f t="shared" ref="AL25:AL36" si="22">AJ25*AK25</f>
        <v>0</v>
      </c>
      <c r="AM25" s="182"/>
      <c r="AN25" s="90"/>
      <c r="AO25" s="90"/>
      <c r="AP25" s="183">
        <f t="shared" ref="AP25:AP62" si="23">AN25*AO25</f>
        <v>0</v>
      </c>
      <c r="AQ25" s="182"/>
      <c r="AR25" s="90"/>
      <c r="AS25" s="90"/>
      <c r="AT25" s="183">
        <f t="shared" ref="AT25:AT62" si="24">AR25*AS25</f>
        <v>0</v>
      </c>
      <c r="AU25" s="182"/>
      <c r="AV25" s="90"/>
      <c r="AW25" s="90"/>
      <c r="AX25" s="183">
        <f t="shared" ref="AX25:AX62" si="25">AV25*AW25</f>
        <v>0</v>
      </c>
      <c r="AY25" s="182"/>
      <c r="AZ25" s="90"/>
      <c r="BA25" s="90"/>
      <c r="BB25" s="183">
        <f t="shared" ref="BB25:BB62" si="26">AZ25*BA25</f>
        <v>0</v>
      </c>
      <c r="BC25" s="182"/>
      <c r="BD25" s="90"/>
      <c r="BE25" s="90"/>
      <c r="BF25" s="183">
        <f t="shared" ref="BF25:BF62" si="27">BD25*BE25</f>
        <v>0</v>
      </c>
      <c r="BG25" s="182"/>
      <c r="BH25" s="90"/>
      <c r="BI25" s="90"/>
      <c r="BJ25" s="183">
        <f t="shared" ref="BJ25:BJ62" si="28">BH25*BI25</f>
        <v>0</v>
      </c>
      <c r="BK25" s="182"/>
      <c r="BL25" s="90"/>
      <c r="BM25" s="90"/>
      <c r="BN25" s="183">
        <f t="shared" ref="BN25:BN62" si="29">BL25*BM25</f>
        <v>0</v>
      </c>
      <c r="BO25" s="182"/>
      <c r="BP25" s="90"/>
      <c r="BQ25" s="90"/>
      <c r="BR25" s="183">
        <f t="shared" ref="BR25:BR62" si="30">BP25*BQ25</f>
        <v>0</v>
      </c>
      <c r="BS25" s="182"/>
      <c r="BT25" s="90"/>
      <c r="BU25" s="90"/>
      <c r="BV25" s="183">
        <f t="shared" ref="BV25:BV62" si="31">BT25*BU25</f>
        <v>0</v>
      </c>
      <c r="BW25" s="182"/>
      <c r="BX25" s="90"/>
      <c r="BY25" s="90"/>
      <c r="BZ25" s="183">
        <f t="shared" ref="BZ25:BZ62" si="32">BX25*BY25</f>
        <v>0</v>
      </c>
      <c r="CA25" s="182"/>
      <c r="CB25" s="90"/>
      <c r="CC25" s="90"/>
      <c r="CD25" s="183">
        <f t="shared" ref="CD25:CD62" si="33">CB25*CC25</f>
        <v>0</v>
      </c>
    </row>
    <row r="26" spans="2:82" x14ac:dyDescent="0.3">
      <c r="B26" s="53"/>
      <c r="C26" s="53" t="str">
        <f t="shared" si="0"/>
        <v>CPU_CapaSAUS</v>
      </c>
      <c r="D26" s="278">
        <f t="shared" si="1"/>
        <v>0.2</v>
      </c>
      <c r="E26" s="278">
        <f t="shared" si="2"/>
        <v>0</v>
      </c>
      <c r="F26" s="1"/>
      <c r="G26" s="28" t="str">
        <f>IFERROR(VLOOKUP(F26,Tabela7[[RECURSO]:[CUSTO]],2,FALSE),"")</f>
        <v/>
      </c>
      <c r="H26" s="93"/>
      <c r="I26" s="90"/>
      <c r="J26" s="45">
        <f>IFERROR(VLOOKUP(F26,Tabela7[[RECURSO]:[CUSTO]],3,FALSE),0)</f>
        <v>0</v>
      </c>
      <c r="K26" s="45">
        <f t="shared" ref="K26:K36" si="34">I26*J26</f>
        <v>0</v>
      </c>
      <c r="AD26" s="144" t="str">
        <f t="shared" si="3"/>
        <v>Capa SAUS</v>
      </c>
      <c r="AE26" s="179"/>
      <c r="AF26" s="180">
        <f t="shared" si="20"/>
        <v>0</v>
      </c>
      <c r="AG26" s="180">
        <f t="shared" si="17"/>
        <v>0</v>
      </c>
      <c r="AH26" s="181">
        <f t="shared" si="21"/>
        <v>0</v>
      </c>
      <c r="AI26" s="182"/>
      <c r="AJ26" s="90"/>
      <c r="AK26" s="90"/>
      <c r="AL26" s="183">
        <f t="shared" si="22"/>
        <v>0</v>
      </c>
      <c r="AM26" s="182"/>
      <c r="AN26" s="90"/>
      <c r="AO26" s="90"/>
      <c r="AP26" s="183">
        <f t="shared" si="23"/>
        <v>0</v>
      </c>
      <c r="AQ26" s="182"/>
      <c r="AR26" s="90"/>
      <c r="AS26" s="90"/>
      <c r="AT26" s="183">
        <f t="shared" si="24"/>
        <v>0</v>
      </c>
      <c r="AU26" s="182"/>
      <c r="AV26" s="90"/>
      <c r="AW26" s="90"/>
      <c r="AX26" s="183">
        <f t="shared" si="25"/>
        <v>0</v>
      </c>
      <c r="AY26" s="182"/>
      <c r="AZ26" s="90"/>
      <c r="BA26" s="90"/>
      <c r="BB26" s="183">
        <f t="shared" si="26"/>
        <v>0</v>
      </c>
      <c r="BC26" s="182"/>
      <c r="BD26" s="90"/>
      <c r="BE26" s="90"/>
      <c r="BF26" s="183">
        <f t="shared" si="27"/>
        <v>0</v>
      </c>
      <c r="BG26" s="182"/>
      <c r="BH26" s="90"/>
      <c r="BI26" s="90"/>
      <c r="BJ26" s="183">
        <f t="shared" si="28"/>
        <v>0</v>
      </c>
      <c r="BK26" s="182"/>
      <c r="BL26" s="90"/>
      <c r="BM26" s="90"/>
      <c r="BN26" s="183">
        <f t="shared" si="29"/>
        <v>0</v>
      </c>
      <c r="BO26" s="182"/>
      <c r="BP26" s="90"/>
      <c r="BQ26" s="90"/>
      <c r="BR26" s="183">
        <f t="shared" si="30"/>
        <v>0</v>
      </c>
      <c r="BS26" s="182"/>
      <c r="BT26" s="90"/>
      <c r="BU26" s="90"/>
      <c r="BV26" s="183">
        <f t="shared" si="31"/>
        <v>0</v>
      </c>
      <c r="BW26" s="182"/>
      <c r="BX26" s="90"/>
      <c r="BY26" s="90"/>
      <c r="BZ26" s="183">
        <f t="shared" si="32"/>
        <v>0</v>
      </c>
      <c r="CA26" s="182"/>
      <c r="CB26" s="90"/>
      <c r="CC26" s="90"/>
      <c r="CD26" s="183">
        <f t="shared" si="33"/>
        <v>0</v>
      </c>
    </row>
    <row r="27" spans="2:82" x14ac:dyDescent="0.3">
      <c r="B27" s="53"/>
      <c r="C27" s="53" t="str">
        <f t="shared" si="0"/>
        <v>CPU_CapaSAUS</v>
      </c>
      <c r="D27" s="278">
        <f t="shared" si="1"/>
        <v>0.2</v>
      </c>
      <c r="E27" s="278">
        <f t="shared" si="2"/>
        <v>0</v>
      </c>
      <c r="F27" s="1"/>
      <c r="G27" s="28" t="str">
        <f>IFERROR(VLOOKUP(F27,Tabela7[[RECURSO]:[CUSTO]],2,FALSE),"")</f>
        <v/>
      </c>
      <c r="H27" s="93"/>
      <c r="I27" s="90"/>
      <c r="J27" s="45">
        <f>IFERROR(VLOOKUP(F27,Tabela7[[RECURSO]:[CUSTO]],3,FALSE),0)</f>
        <v>0</v>
      </c>
      <c r="K27" s="45">
        <f t="shared" si="34"/>
        <v>0</v>
      </c>
      <c r="AD27" s="144" t="str">
        <f t="shared" si="3"/>
        <v>Capa SAUS</v>
      </c>
      <c r="AE27" s="179"/>
      <c r="AF27" s="180">
        <f t="shared" si="20"/>
        <v>0</v>
      </c>
      <c r="AG27" s="180">
        <f t="shared" si="17"/>
        <v>0</v>
      </c>
      <c r="AH27" s="181">
        <f t="shared" si="21"/>
        <v>0</v>
      </c>
      <c r="AI27" s="182"/>
      <c r="AJ27" s="90"/>
      <c r="AK27" s="90"/>
      <c r="AL27" s="183">
        <f t="shared" si="22"/>
        <v>0</v>
      </c>
      <c r="AM27" s="182"/>
      <c r="AN27" s="90"/>
      <c r="AO27" s="90"/>
      <c r="AP27" s="183">
        <f t="shared" si="23"/>
        <v>0</v>
      </c>
      <c r="AQ27" s="182"/>
      <c r="AR27" s="90"/>
      <c r="AS27" s="90"/>
      <c r="AT27" s="183">
        <f t="shared" si="24"/>
        <v>0</v>
      </c>
      <c r="AU27" s="182"/>
      <c r="AV27" s="90"/>
      <c r="AW27" s="90"/>
      <c r="AX27" s="183">
        <f t="shared" si="25"/>
        <v>0</v>
      </c>
      <c r="AY27" s="182"/>
      <c r="AZ27" s="90"/>
      <c r="BA27" s="90"/>
      <c r="BB27" s="183">
        <f t="shared" si="26"/>
        <v>0</v>
      </c>
      <c r="BC27" s="182"/>
      <c r="BD27" s="90"/>
      <c r="BE27" s="90"/>
      <c r="BF27" s="183">
        <f t="shared" si="27"/>
        <v>0</v>
      </c>
      <c r="BG27" s="182"/>
      <c r="BH27" s="90"/>
      <c r="BI27" s="90"/>
      <c r="BJ27" s="183">
        <f t="shared" si="28"/>
        <v>0</v>
      </c>
      <c r="BK27" s="182"/>
      <c r="BL27" s="90"/>
      <c r="BM27" s="90"/>
      <c r="BN27" s="183">
        <f t="shared" si="29"/>
        <v>0</v>
      </c>
      <c r="BO27" s="182"/>
      <c r="BP27" s="90"/>
      <c r="BQ27" s="90"/>
      <c r="BR27" s="183">
        <f t="shared" si="30"/>
        <v>0</v>
      </c>
      <c r="BS27" s="182"/>
      <c r="BT27" s="90"/>
      <c r="BU27" s="90"/>
      <c r="BV27" s="183">
        <f t="shared" si="31"/>
        <v>0</v>
      </c>
      <c r="BW27" s="182"/>
      <c r="BX27" s="90"/>
      <c r="BY27" s="90"/>
      <c r="BZ27" s="183">
        <f t="shared" si="32"/>
        <v>0</v>
      </c>
      <c r="CA27" s="182"/>
      <c r="CB27" s="90"/>
      <c r="CC27" s="90"/>
      <c r="CD27" s="183">
        <f t="shared" si="33"/>
        <v>0</v>
      </c>
    </row>
    <row r="28" spans="2:82" x14ac:dyDescent="0.3">
      <c r="B28" s="53"/>
      <c r="C28" s="53" t="str">
        <f t="shared" si="0"/>
        <v>CPU_CapaSAUS</v>
      </c>
      <c r="D28" s="278">
        <f t="shared" si="1"/>
        <v>0.2</v>
      </c>
      <c r="E28" s="278">
        <f t="shared" si="2"/>
        <v>0</v>
      </c>
      <c r="F28" s="1"/>
      <c r="G28" s="28" t="str">
        <f>IFERROR(VLOOKUP(F28,Tabela7[[RECURSO]:[CUSTO]],2,FALSE),"")</f>
        <v/>
      </c>
      <c r="H28" s="93"/>
      <c r="I28" s="90"/>
      <c r="J28" s="45">
        <f>IFERROR(VLOOKUP(F28,Tabela7[[RECURSO]:[CUSTO]],3,FALSE),0)</f>
        <v>0</v>
      </c>
      <c r="K28" s="45">
        <f t="shared" si="34"/>
        <v>0</v>
      </c>
      <c r="AD28" s="144" t="str">
        <f t="shared" si="3"/>
        <v>Capa SAUS</v>
      </c>
      <c r="AE28" s="179"/>
      <c r="AF28" s="180">
        <f t="shared" si="20"/>
        <v>0</v>
      </c>
      <c r="AG28" s="180">
        <f t="shared" si="17"/>
        <v>0</v>
      </c>
      <c r="AH28" s="181">
        <f t="shared" si="21"/>
        <v>0</v>
      </c>
      <c r="AI28" s="182"/>
      <c r="AJ28" s="90"/>
      <c r="AK28" s="90"/>
      <c r="AL28" s="183">
        <f t="shared" si="22"/>
        <v>0</v>
      </c>
      <c r="AM28" s="182"/>
      <c r="AN28" s="90"/>
      <c r="AO28" s="90"/>
      <c r="AP28" s="183">
        <f t="shared" si="23"/>
        <v>0</v>
      </c>
      <c r="AQ28" s="182"/>
      <c r="AR28" s="90"/>
      <c r="AS28" s="90"/>
      <c r="AT28" s="183">
        <f t="shared" si="24"/>
        <v>0</v>
      </c>
      <c r="AU28" s="182"/>
      <c r="AV28" s="90"/>
      <c r="AW28" s="90"/>
      <c r="AX28" s="183">
        <f t="shared" si="25"/>
        <v>0</v>
      </c>
      <c r="AY28" s="182"/>
      <c r="AZ28" s="90"/>
      <c r="BA28" s="90"/>
      <c r="BB28" s="183">
        <f t="shared" si="26"/>
        <v>0</v>
      </c>
      <c r="BC28" s="182"/>
      <c r="BD28" s="90"/>
      <c r="BE28" s="90"/>
      <c r="BF28" s="183">
        <f t="shared" si="27"/>
        <v>0</v>
      </c>
      <c r="BG28" s="182"/>
      <c r="BH28" s="90"/>
      <c r="BI28" s="90"/>
      <c r="BJ28" s="183">
        <f t="shared" si="28"/>
        <v>0</v>
      </c>
      <c r="BK28" s="182"/>
      <c r="BL28" s="90"/>
      <c r="BM28" s="90"/>
      <c r="BN28" s="183">
        <f t="shared" si="29"/>
        <v>0</v>
      </c>
      <c r="BO28" s="182"/>
      <c r="BP28" s="90"/>
      <c r="BQ28" s="90"/>
      <c r="BR28" s="183">
        <f t="shared" si="30"/>
        <v>0</v>
      </c>
      <c r="BS28" s="182"/>
      <c r="BT28" s="90"/>
      <c r="BU28" s="90"/>
      <c r="BV28" s="183">
        <f t="shared" si="31"/>
        <v>0</v>
      </c>
      <c r="BW28" s="182"/>
      <c r="BX28" s="90"/>
      <c r="BY28" s="90"/>
      <c r="BZ28" s="183">
        <f t="shared" si="32"/>
        <v>0</v>
      </c>
      <c r="CA28" s="182"/>
      <c r="CB28" s="90"/>
      <c r="CC28" s="90"/>
      <c r="CD28" s="183">
        <f t="shared" si="33"/>
        <v>0</v>
      </c>
    </row>
    <row r="29" spans="2:82" x14ac:dyDescent="0.3">
      <c r="B29" s="53"/>
      <c r="C29" s="53" t="str">
        <f t="shared" si="0"/>
        <v>CPU_CapaSAUS</v>
      </c>
      <c r="D29" s="278">
        <f t="shared" si="1"/>
        <v>0.2</v>
      </c>
      <c r="E29" s="278">
        <f t="shared" si="2"/>
        <v>0</v>
      </c>
      <c r="F29" s="1"/>
      <c r="G29" s="28" t="str">
        <f>IFERROR(VLOOKUP(F29,Tabela7[[RECURSO]:[CUSTO]],2,FALSE),"")</f>
        <v/>
      </c>
      <c r="H29" s="93"/>
      <c r="I29" s="90"/>
      <c r="J29" s="45">
        <f>IFERROR(VLOOKUP(F29,Tabela7[[RECURSO]:[CUSTO]],3,FALSE),0)</f>
        <v>0</v>
      </c>
      <c r="K29" s="45">
        <f t="shared" si="34"/>
        <v>0</v>
      </c>
      <c r="AD29" s="144" t="str">
        <f t="shared" si="3"/>
        <v>Capa SAUS</v>
      </c>
      <c r="AE29" s="179"/>
      <c r="AF29" s="180">
        <f t="shared" si="20"/>
        <v>0</v>
      </c>
      <c r="AG29" s="180">
        <f t="shared" si="17"/>
        <v>0</v>
      </c>
      <c r="AH29" s="181">
        <f t="shared" si="21"/>
        <v>0</v>
      </c>
      <c r="AI29" s="182"/>
      <c r="AJ29" s="90"/>
      <c r="AK29" s="90"/>
      <c r="AL29" s="183">
        <f t="shared" si="22"/>
        <v>0</v>
      </c>
      <c r="AM29" s="182"/>
      <c r="AN29" s="90"/>
      <c r="AO29" s="90"/>
      <c r="AP29" s="183">
        <f t="shared" si="23"/>
        <v>0</v>
      </c>
      <c r="AQ29" s="182"/>
      <c r="AR29" s="90"/>
      <c r="AS29" s="90"/>
      <c r="AT29" s="183">
        <f t="shared" si="24"/>
        <v>0</v>
      </c>
      <c r="AU29" s="182"/>
      <c r="AV29" s="90"/>
      <c r="AW29" s="90"/>
      <c r="AX29" s="183">
        <f t="shared" si="25"/>
        <v>0</v>
      </c>
      <c r="AY29" s="182"/>
      <c r="AZ29" s="90"/>
      <c r="BA29" s="90"/>
      <c r="BB29" s="183">
        <f t="shared" si="26"/>
        <v>0</v>
      </c>
      <c r="BC29" s="182"/>
      <c r="BD29" s="90"/>
      <c r="BE29" s="90"/>
      <c r="BF29" s="183">
        <f t="shared" si="27"/>
        <v>0</v>
      </c>
      <c r="BG29" s="182"/>
      <c r="BH29" s="90"/>
      <c r="BI29" s="90"/>
      <c r="BJ29" s="183">
        <f t="shared" si="28"/>
        <v>0</v>
      </c>
      <c r="BK29" s="182"/>
      <c r="BL29" s="90"/>
      <c r="BM29" s="90"/>
      <c r="BN29" s="183">
        <f t="shared" si="29"/>
        <v>0</v>
      </c>
      <c r="BO29" s="182"/>
      <c r="BP29" s="90"/>
      <c r="BQ29" s="90"/>
      <c r="BR29" s="183">
        <f t="shared" si="30"/>
        <v>0</v>
      </c>
      <c r="BS29" s="182"/>
      <c r="BT29" s="90"/>
      <c r="BU29" s="90"/>
      <c r="BV29" s="183">
        <f t="shared" si="31"/>
        <v>0</v>
      </c>
      <c r="BW29" s="182"/>
      <c r="BX29" s="90"/>
      <c r="BY29" s="90"/>
      <c r="BZ29" s="183">
        <f t="shared" si="32"/>
        <v>0</v>
      </c>
      <c r="CA29" s="182"/>
      <c r="CB29" s="90"/>
      <c r="CC29" s="90"/>
      <c r="CD29" s="183">
        <f t="shared" si="33"/>
        <v>0</v>
      </c>
    </row>
    <row r="30" spans="2:82" x14ac:dyDescent="0.3">
      <c r="B30" s="53"/>
      <c r="C30" s="53" t="str">
        <f t="shared" si="0"/>
        <v>CPU_CapaSAUS</v>
      </c>
      <c r="D30" s="278">
        <f t="shared" si="1"/>
        <v>0.2</v>
      </c>
      <c r="E30" s="278">
        <f t="shared" si="2"/>
        <v>0</v>
      </c>
      <c r="F30" s="1"/>
      <c r="G30" s="28" t="str">
        <f>IFERROR(VLOOKUP(F30,Tabela7[[RECURSO]:[CUSTO]],2,FALSE),"")</f>
        <v/>
      </c>
      <c r="H30" s="93"/>
      <c r="I30" s="90"/>
      <c r="J30" s="45">
        <f>IFERROR(VLOOKUP(F30,Tabela7[[RECURSO]:[CUSTO]],3,FALSE),0)</f>
        <v>0</v>
      </c>
      <c r="K30" s="45">
        <f t="shared" si="34"/>
        <v>0</v>
      </c>
      <c r="AD30" s="144" t="str">
        <f t="shared" si="3"/>
        <v>Capa SAUS</v>
      </c>
      <c r="AE30" s="179"/>
      <c r="AF30" s="180">
        <f t="shared" si="20"/>
        <v>0</v>
      </c>
      <c r="AG30" s="180">
        <f t="shared" si="17"/>
        <v>0</v>
      </c>
      <c r="AH30" s="181">
        <f t="shared" si="21"/>
        <v>0</v>
      </c>
      <c r="AI30" s="182"/>
      <c r="AJ30" s="90"/>
      <c r="AK30" s="90"/>
      <c r="AL30" s="183">
        <f t="shared" si="22"/>
        <v>0</v>
      </c>
      <c r="AM30" s="182"/>
      <c r="AN30" s="90"/>
      <c r="AO30" s="90"/>
      <c r="AP30" s="183">
        <f t="shared" si="23"/>
        <v>0</v>
      </c>
      <c r="AQ30" s="182"/>
      <c r="AR30" s="90"/>
      <c r="AS30" s="90"/>
      <c r="AT30" s="183">
        <f t="shared" si="24"/>
        <v>0</v>
      </c>
      <c r="AU30" s="182"/>
      <c r="AV30" s="90"/>
      <c r="AW30" s="90"/>
      <c r="AX30" s="183">
        <f t="shared" si="25"/>
        <v>0</v>
      </c>
      <c r="AY30" s="182"/>
      <c r="AZ30" s="90"/>
      <c r="BA30" s="90"/>
      <c r="BB30" s="183">
        <f t="shared" si="26"/>
        <v>0</v>
      </c>
      <c r="BC30" s="182"/>
      <c r="BD30" s="90"/>
      <c r="BE30" s="90"/>
      <c r="BF30" s="183">
        <f t="shared" si="27"/>
        <v>0</v>
      </c>
      <c r="BG30" s="182"/>
      <c r="BH30" s="90"/>
      <c r="BI30" s="90"/>
      <c r="BJ30" s="183">
        <f t="shared" si="28"/>
        <v>0</v>
      </c>
      <c r="BK30" s="182"/>
      <c r="BL30" s="90"/>
      <c r="BM30" s="90"/>
      <c r="BN30" s="183">
        <f t="shared" si="29"/>
        <v>0</v>
      </c>
      <c r="BO30" s="182"/>
      <c r="BP30" s="90"/>
      <c r="BQ30" s="90"/>
      <c r="BR30" s="183">
        <f t="shared" si="30"/>
        <v>0</v>
      </c>
      <c r="BS30" s="182"/>
      <c r="BT30" s="90"/>
      <c r="BU30" s="90"/>
      <c r="BV30" s="183">
        <f t="shared" si="31"/>
        <v>0</v>
      </c>
      <c r="BW30" s="182"/>
      <c r="BX30" s="90"/>
      <c r="BY30" s="90"/>
      <c r="BZ30" s="183">
        <f t="shared" si="32"/>
        <v>0</v>
      </c>
      <c r="CA30" s="182"/>
      <c r="CB30" s="90"/>
      <c r="CC30" s="90"/>
      <c r="CD30" s="183">
        <f t="shared" si="33"/>
        <v>0</v>
      </c>
    </row>
    <row r="31" spans="2:82" x14ac:dyDescent="0.3">
      <c r="B31" s="53"/>
      <c r="C31" s="53" t="str">
        <f t="shared" si="0"/>
        <v>CPU_CapaSAUS</v>
      </c>
      <c r="D31" s="278">
        <f t="shared" si="1"/>
        <v>0.2</v>
      </c>
      <c r="E31" s="278">
        <f t="shared" si="2"/>
        <v>0</v>
      </c>
      <c r="F31" s="1"/>
      <c r="G31" s="28" t="str">
        <f>IFERROR(VLOOKUP(F31,Tabela7[[RECURSO]:[CUSTO]],2,FALSE),"")</f>
        <v/>
      </c>
      <c r="H31" s="93"/>
      <c r="I31" s="90"/>
      <c r="J31" s="45">
        <f>IFERROR(VLOOKUP(F31,Tabela7[[RECURSO]:[CUSTO]],3,FALSE),0)</f>
        <v>0</v>
      </c>
      <c r="K31" s="45">
        <f t="shared" si="34"/>
        <v>0</v>
      </c>
      <c r="AD31" s="144" t="str">
        <f t="shared" si="3"/>
        <v>Capa SAUS</v>
      </c>
      <c r="AE31" s="179"/>
      <c r="AF31" s="180">
        <f t="shared" si="20"/>
        <v>0</v>
      </c>
      <c r="AG31" s="180">
        <f t="shared" si="17"/>
        <v>0</v>
      </c>
      <c r="AH31" s="181">
        <f t="shared" si="21"/>
        <v>0</v>
      </c>
      <c r="AI31" s="182"/>
      <c r="AJ31" s="90"/>
      <c r="AK31" s="90"/>
      <c r="AL31" s="183">
        <f t="shared" si="22"/>
        <v>0</v>
      </c>
      <c r="AM31" s="182"/>
      <c r="AN31" s="90"/>
      <c r="AO31" s="90"/>
      <c r="AP31" s="183">
        <f t="shared" si="23"/>
        <v>0</v>
      </c>
      <c r="AQ31" s="182"/>
      <c r="AR31" s="90"/>
      <c r="AS31" s="90"/>
      <c r="AT31" s="183">
        <f t="shared" si="24"/>
        <v>0</v>
      </c>
      <c r="AU31" s="182"/>
      <c r="AV31" s="90"/>
      <c r="AW31" s="90"/>
      <c r="AX31" s="183">
        <f t="shared" si="25"/>
        <v>0</v>
      </c>
      <c r="AY31" s="182"/>
      <c r="AZ31" s="90"/>
      <c r="BA31" s="90"/>
      <c r="BB31" s="183">
        <f t="shared" si="26"/>
        <v>0</v>
      </c>
      <c r="BC31" s="182"/>
      <c r="BD31" s="90"/>
      <c r="BE31" s="90"/>
      <c r="BF31" s="183">
        <f t="shared" si="27"/>
        <v>0</v>
      </c>
      <c r="BG31" s="182"/>
      <c r="BH31" s="90"/>
      <c r="BI31" s="90"/>
      <c r="BJ31" s="183">
        <f t="shared" si="28"/>
        <v>0</v>
      </c>
      <c r="BK31" s="182"/>
      <c r="BL31" s="90"/>
      <c r="BM31" s="90"/>
      <c r="BN31" s="183">
        <f t="shared" si="29"/>
        <v>0</v>
      </c>
      <c r="BO31" s="182"/>
      <c r="BP31" s="90"/>
      <c r="BQ31" s="90"/>
      <c r="BR31" s="183">
        <f t="shared" si="30"/>
        <v>0</v>
      </c>
      <c r="BS31" s="182"/>
      <c r="BT31" s="90"/>
      <c r="BU31" s="90"/>
      <c r="BV31" s="183">
        <f t="shared" si="31"/>
        <v>0</v>
      </c>
      <c r="BW31" s="182"/>
      <c r="BX31" s="90"/>
      <c r="BY31" s="90"/>
      <c r="BZ31" s="183">
        <f t="shared" si="32"/>
        <v>0</v>
      </c>
      <c r="CA31" s="182"/>
      <c r="CB31" s="90"/>
      <c r="CC31" s="90"/>
      <c r="CD31" s="183">
        <f t="shared" si="33"/>
        <v>0</v>
      </c>
    </row>
    <row r="32" spans="2:82" x14ac:dyDescent="0.3">
      <c r="B32" s="53"/>
      <c r="C32" s="53" t="str">
        <f t="shared" si="0"/>
        <v>CPU_CapaSAUS</v>
      </c>
      <c r="D32" s="278">
        <f t="shared" si="1"/>
        <v>0.2</v>
      </c>
      <c r="E32" s="278">
        <f t="shared" si="2"/>
        <v>0</v>
      </c>
      <c r="F32" s="1"/>
      <c r="G32" s="28" t="str">
        <f>IFERROR(VLOOKUP(F32,Tabela7[[RECURSO]:[CUSTO]],2,FALSE),"")</f>
        <v/>
      </c>
      <c r="H32" s="93"/>
      <c r="I32" s="90"/>
      <c r="J32" s="45">
        <f>IFERROR(VLOOKUP(F32,Tabela7[[RECURSO]:[CUSTO]],3,FALSE),0)</f>
        <v>0</v>
      </c>
      <c r="K32" s="45">
        <f t="shared" si="34"/>
        <v>0</v>
      </c>
      <c r="AD32" s="144" t="str">
        <f t="shared" si="3"/>
        <v>Capa SAUS</v>
      </c>
      <c r="AE32" s="179"/>
      <c r="AF32" s="180">
        <f t="shared" si="20"/>
        <v>0</v>
      </c>
      <c r="AG32" s="180">
        <f t="shared" si="17"/>
        <v>0</v>
      </c>
      <c r="AH32" s="181">
        <f t="shared" si="21"/>
        <v>0</v>
      </c>
      <c r="AI32" s="182"/>
      <c r="AJ32" s="90"/>
      <c r="AK32" s="90"/>
      <c r="AL32" s="183">
        <f t="shared" si="22"/>
        <v>0</v>
      </c>
      <c r="AM32" s="182"/>
      <c r="AN32" s="90"/>
      <c r="AO32" s="90"/>
      <c r="AP32" s="183">
        <f t="shared" si="23"/>
        <v>0</v>
      </c>
      <c r="AQ32" s="182"/>
      <c r="AR32" s="90"/>
      <c r="AS32" s="90"/>
      <c r="AT32" s="183">
        <f t="shared" si="24"/>
        <v>0</v>
      </c>
      <c r="AU32" s="182"/>
      <c r="AV32" s="90"/>
      <c r="AW32" s="90"/>
      <c r="AX32" s="183">
        <f t="shared" si="25"/>
        <v>0</v>
      </c>
      <c r="AY32" s="182"/>
      <c r="AZ32" s="90"/>
      <c r="BA32" s="90"/>
      <c r="BB32" s="183">
        <f t="shared" si="26"/>
        <v>0</v>
      </c>
      <c r="BC32" s="182"/>
      <c r="BD32" s="90"/>
      <c r="BE32" s="90"/>
      <c r="BF32" s="183">
        <f t="shared" si="27"/>
        <v>0</v>
      </c>
      <c r="BG32" s="182"/>
      <c r="BH32" s="90"/>
      <c r="BI32" s="90"/>
      <c r="BJ32" s="183">
        <f t="shared" si="28"/>
        <v>0</v>
      </c>
      <c r="BK32" s="182"/>
      <c r="BL32" s="90"/>
      <c r="BM32" s="90"/>
      <c r="BN32" s="183">
        <f t="shared" si="29"/>
        <v>0</v>
      </c>
      <c r="BO32" s="182"/>
      <c r="BP32" s="90"/>
      <c r="BQ32" s="90"/>
      <c r="BR32" s="183">
        <f t="shared" si="30"/>
        <v>0</v>
      </c>
      <c r="BS32" s="182"/>
      <c r="BT32" s="90"/>
      <c r="BU32" s="90"/>
      <c r="BV32" s="183">
        <f t="shared" si="31"/>
        <v>0</v>
      </c>
      <c r="BW32" s="182"/>
      <c r="BX32" s="90"/>
      <c r="BY32" s="90"/>
      <c r="BZ32" s="183">
        <f t="shared" si="32"/>
        <v>0</v>
      </c>
      <c r="CA32" s="182"/>
      <c r="CB32" s="90"/>
      <c r="CC32" s="90"/>
      <c r="CD32" s="183">
        <f t="shared" si="33"/>
        <v>0</v>
      </c>
    </row>
    <row r="33" spans="2:82" x14ac:dyDescent="0.3">
      <c r="B33" s="53"/>
      <c r="C33" s="53" t="str">
        <f t="shared" si="0"/>
        <v>CPU_CapaSAUS</v>
      </c>
      <c r="D33" s="278">
        <f t="shared" si="1"/>
        <v>0.2</v>
      </c>
      <c r="E33" s="278">
        <f t="shared" si="2"/>
        <v>0</v>
      </c>
      <c r="F33" s="1"/>
      <c r="G33" s="28" t="str">
        <f>IFERROR(VLOOKUP(F33,Tabela7[[RECURSO]:[CUSTO]],2,FALSE),"")</f>
        <v/>
      </c>
      <c r="H33" s="93"/>
      <c r="I33" s="90"/>
      <c r="J33" s="45">
        <f>IFERROR(VLOOKUP(F33,Tabela7[[RECURSO]:[CUSTO]],3,FALSE),0)</f>
        <v>0</v>
      </c>
      <c r="K33" s="45">
        <f t="shared" si="34"/>
        <v>0</v>
      </c>
      <c r="AD33" s="144" t="str">
        <f t="shared" si="3"/>
        <v>Capa SAUS</v>
      </c>
      <c r="AE33" s="179"/>
      <c r="AF33" s="180">
        <f t="shared" si="20"/>
        <v>0</v>
      </c>
      <c r="AG33" s="180">
        <f t="shared" si="17"/>
        <v>0</v>
      </c>
      <c r="AH33" s="181">
        <f t="shared" si="21"/>
        <v>0</v>
      </c>
      <c r="AI33" s="182"/>
      <c r="AJ33" s="90"/>
      <c r="AK33" s="90"/>
      <c r="AL33" s="183">
        <f t="shared" si="22"/>
        <v>0</v>
      </c>
      <c r="AM33" s="182"/>
      <c r="AN33" s="90"/>
      <c r="AO33" s="90"/>
      <c r="AP33" s="183">
        <f t="shared" si="23"/>
        <v>0</v>
      </c>
      <c r="AQ33" s="182"/>
      <c r="AR33" s="90"/>
      <c r="AS33" s="90"/>
      <c r="AT33" s="183">
        <f t="shared" si="24"/>
        <v>0</v>
      </c>
      <c r="AU33" s="182"/>
      <c r="AV33" s="90"/>
      <c r="AW33" s="90"/>
      <c r="AX33" s="183">
        <f t="shared" si="25"/>
        <v>0</v>
      </c>
      <c r="AY33" s="182"/>
      <c r="AZ33" s="90"/>
      <c r="BA33" s="90"/>
      <c r="BB33" s="183">
        <f t="shared" si="26"/>
        <v>0</v>
      </c>
      <c r="BC33" s="182"/>
      <c r="BD33" s="90"/>
      <c r="BE33" s="90"/>
      <c r="BF33" s="183">
        <f t="shared" si="27"/>
        <v>0</v>
      </c>
      <c r="BG33" s="182"/>
      <c r="BH33" s="90"/>
      <c r="BI33" s="90"/>
      <c r="BJ33" s="183">
        <f t="shared" si="28"/>
        <v>0</v>
      </c>
      <c r="BK33" s="182"/>
      <c r="BL33" s="90"/>
      <c r="BM33" s="90"/>
      <c r="BN33" s="183">
        <f t="shared" si="29"/>
        <v>0</v>
      </c>
      <c r="BO33" s="182"/>
      <c r="BP33" s="90"/>
      <c r="BQ33" s="90"/>
      <c r="BR33" s="183">
        <f t="shared" si="30"/>
        <v>0</v>
      </c>
      <c r="BS33" s="182"/>
      <c r="BT33" s="90"/>
      <c r="BU33" s="90"/>
      <c r="BV33" s="183">
        <f t="shared" si="31"/>
        <v>0</v>
      </c>
      <c r="BW33" s="182"/>
      <c r="BX33" s="90"/>
      <c r="BY33" s="90"/>
      <c r="BZ33" s="183">
        <f t="shared" si="32"/>
        <v>0</v>
      </c>
      <c r="CA33" s="182"/>
      <c r="CB33" s="90"/>
      <c r="CC33" s="90"/>
      <c r="CD33" s="183">
        <f t="shared" si="33"/>
        <v>0</v>
      </c>
    </row>
    <row r="34" spans="2:82" x14ac:dyDescent="0.3">
      <c r="B34" s="53"/>
      <c r="C34" s="53" t="str">
        <f t="shared" si="0"/>
        <v>CPU_CapaSAUS</v>
      </c>
      <c r="D34" s="278">
        <f t="shared" si="1"/>
        <v>0.2</v>
      </c>
      <c r="E34" s="278">
        <f t="shared" si="2"/>
        <v>0</v>
      </c>
      <c r="F34" s="1"/>
      <c r="G34" s="28" t="str">
        <f>IFERROR(VLOOKUP(F34,Tabela7[[RECURSO]:[CUSTO]],2,FALSE),"")</f>
        <v/>
      </c>
      <c r="H34" s="93"/>
      <c r="I34" s="90"/>
      <c r="J34" s="45">
        <f>IFERROR(VLOOKUP(F34,Tabela7[[RECURSO]:[CUSTO]],3,FALSE),0)</f>
        <v>0</v>
      </c>
      <c r="K34" s="45">
        <f t="shared" si="34"/>
        <v>0</v>
      </c>
      <c r="AD34" s="144" t="str">
        <f t="shared" si="3"/>
        <v>Capa SAUS</v>
      </c>
      <c r="AE34" s="179"/>
      <c r="AF34" s="180">
        <f t="shared" si="20"/>
        <v>0</v>
      </c>
      <c r="AG34" s="180">
        <f t="shared" si="17"/>
        <v>0</v>
      </c>
      <c r="AH34" s="181">
        <f t="shared" si="21"/>
        <v>0</v>
      </c>
      <c r="AI34" s="182"/>
      <c r="AJ34" s="90"/>
      <c r="AK34" s="90"/>
      <c r="AL34" s="183">
        <f t="shared" si="22"/>
        <v>0</v>
      </c>
      <c r="AM34" s="182"/>
      <c r="AN34" s="90"/>
      <c r="AO34" s="90"/>
      <c r="AP34" s="183">
        <f t="shared" si="23"/>
        <v>0</v>
      </c>
      <c r="AQ34" s="182"/>
      <c r="AR34" s="90"/>
      <c r="AS34" s="90"/>
      <c r="AT34" s="183">
        <f t="shared" si="24"/>
        <v>0</v>
      </c>
      <c r="AU34" s="182"/>
      <c r="AV34" s="90"/>
      <c r="AW34" s="90"/>
      <c r="AX34" s="183">
        <f t="shared" si="25"/>
        <v>0</v>
      </c>
      <c r="AY34" s="182"/>
      <c r="AZ34" s="90"/>
      <c r="BA34" s="90"/>
      <c r="BB34" s="183">
        <f t="shared" si="26"/>
        <v>0</v>
      </c>
      <c r="BC34" s="182"/>
      <c r="BD34" s="90"/>
      <c r="BE34" s="90"/>
      <c r="BF34" s="183">
        <f t="shared" si="27"/>
        <v>0</v>
      </c>
      <c r="BG34" s="182"/>
      <c r="BH34" s="90"/>
      <c r="BI34" s="90"/>
      <c r="BJ34" s="183">
        <f t="shared" si="28"/>
        <v>0</v>
      </c>
      <c r="BK34" s="182"/>
      <c r="BL34" s="90"/>
      <c r="BM34" s="90"/>
      <c r="BN34" s="183">
        <f t="shared" si="29"/>
        <v>0</v>
      </c>
      <c r="BO34" s="182"/>
      <c r="BP34" s="90"/>
      <c r="BQ34" s="90"/>
      <c r="BR34" s="183">
        <f t="shared" si="30"/>
        <v>0</v>
      </c>
      <c r="BS34" s="182"/>
      <c r="BT34" s="90"/>
      <c r="BU34" s="90"/>
      <c r="BV34" s="183">
        <f t="shared" si="31"/>
        <v>0</v>
      </c>
      <c r="BW34" s="182"/>
      <c r="BX34" s="90"/>
      <c r="BY34" s="90"/>
      <c r="BZ34" s="183">
        <f t="shared" si="32"/>
        <v>0</v>
      </c>
      <c r="CA34" s="182"/>
      <c r="CB34" s="90"/>
      <c r="CC34" s="90"/>
      <c r="CD34" s="183">
        <f t="shared" si="33"/>
        <v>0</v>
      </c>
    </row>
    <row r="35" spans="2:82" x14ac:dyDescent="0.3">
      <c r="B35" s="53"/>
      <c r="C35" s="53" t="str">
        <f t="shared" si="0"/>
        <v>CPU_CapaSAUS</v>
      </c>
      <c r="D35" s="278">
        <f t="shared" si="1"/>
        <v>0.2</v>
      </c>
      <c r="E35" s="278">
        <f t="shared" si="2"/>
        <v>0</v>
      </c>
      <c r="F35" s="1"/>
      <c r="G35" s="28" t="str">
        <f>IFERROR(VLOOKUP(F35,Tabela7[[RECURSO]:[CUSTO]],2,FALSE),"")</f>
        <v/>
      </c>
      <c r="H35" s="93"/>
      <c r="I35" s="90"/>
      <c r="J35" s="45">
        <f>IFERROR(VLOOKUP(F35,Tabela7[[RECURSO]:[CUSTO]],3,FALSE),0)</f>
        <v>0</v>
      </c>
      <c r="K35" s="45">
        <f t="shared" si="34"/>
        <v>0</v>
      </c>
      <c r="AD35" s="144" t="str">
        <f t="shared" si="3"/>
        <v>Capa SAUS</v>
      </c>
      <c r="AE35" s="179"/>
      <c r="AF35" s="180">
        <f t="shared" si="20"/>
        <v>0</v>
      </c>
      <c r="AG35" s="180">
        <f t="shared" si="17"/>
        <v>0</v>
      </c>
      <c r="AH35" s="181">
        <f t="shared" si="21"/>
        <v>0</v>
      </c>
      <c r="AI35" s="182"/>
      <c r="AJ35" s="90"/>
      <c r="AK35" s="90"/>
      <c r="AL35" s="183">
        <f t="shared" si="22"/>
        <v>0</v>
      </c>
      <c r="AM35" s="182"/>
      <c r="AN35" s="90"/>
      <c r="AO35" s="90"/>
      <c r="AP35" s="183">
        <f t="shared" si="23"/>
        <v>0</v>
      </c>
      <c r="AQ35" s="182"/>
      <c r="AR35" s="90"/>
      <c r="AS35" s="90"/>
      <c r="AT35" s="183">
        <f t="shared" si="24"/>
        <v>0</v>
      </c>
      <c r="AU35" s="182"/>
      <c r="AV35" s="90"/>
      <c r="AW35" s="90"/>
      <c r="AX35" s="183">
        <f t="shared" si="25"/>
        <v>0</v>
      </c>
      <c r="AY35" s="182"/>
      <c r="AZ35" s="90"/>
      <c r="BA35" s="90"/>
      <c r="BB35" s="183">
        <f t="shared" si="26"/>
        <v>0</v>
      </c>
      <c r="BC35" s="182"/>
      <c r="BD35" s="90"/>
      <c r="BE35" s="90"/>
      <c r="BF35" s="183">
        <f t="shared" si="27"/>
        <v>0</v>
      </c>
      <c r="BG35" s="182"/>
      <c r="BH35" s="90"/>
      <c r="BI35" s="90"/>
      <c r="BJ35" s="183">
        <f t="shared" si="28"/>
        <v>0</v>
      </c>
      <c r="BK35" s="182"/>
      <c r="BL35" s="90"/>
      <c r="BM35" s="90"/>
      <c r="BN35" s="183">
        <f t="shared" si="29"/>
        <v>0</v>
      </c>
      <c r="BO35" s="182"/>
      <c r="BP35" s="90"/>
      <c r="BQ35" s="90"/>
      <c r="BR35" s="183">
        <f t="shared" si="30"/>
        <v>0</v>
      </c>
      <c r="BS35" s="182"/>
      <c r="BT35" s="90"/>
      <c r="BU35" s="90"/>
      <c r="BV35" s="183">
        <f t="shared" si="31"/>
        <v>0</v>
      </c>
      <c r="BW35" s="182"/>
      <c r="BX35" s="90"/>
      <c r="BY35" s="90"/>
      <c r="BZ35" s="183">
        <f t="shared" si="32"/>
        <v>0</v>
      </c>
      <c r="CA35" s="182"/>
      <c r="CB35" s="90"/>
      <c r="CC35" s="90"/>
      <c r="CD35" s="183">
        <f t="shared" si="33"/>
        <v>0</v>
      </c>
    </row>
    <row r="36" spans="2:82" x14ac:dyDescent="0.3">
      <c r="B36" s="53"/>
      <c r="C36" s="53" t="str">
        <f t="shared" si="0"/>
        <v>CPU_CapaSAUS</v>
      </c>
      <c r="D36" s="278">
        <f t="shared" si="1"/>
        <v>0.2</v>
      </c>
      <c r="E36" s="278">
        <f t="shared" si="2"/>
        <v>0</v>
      </c>
      <c r="F36" s="1"/>
      <c r="G36" s="28" t="str">
        <f>IFERROR(VLOOKUP(F36,Tabela7[[RECURSO]:[CUSTO]],2,FALSE),"")</f>
        <v/>
      </c>
      <c r="H36" s="93"/>
      <c r="I36" s="90"/>
      <c r="J36" s="45">
        <f>IFERROR(VLOOKUP(F36,Tabela7[[RECURSO]:[CUSTO]],3,FALSE),0)</f>
        <v>0</v>
      </c>
      <c r="K36" s="45">
        <f t="shared" si="34"/>
        <v>0</v>
      </c>
      <c r="AD36" s="144" t="str">
        <f t="shared" si="3"/>
        <v>Capa SAUS</v>
      </c>
      <c r="AE36" s="179"/>
      <c r="AF36" s="180">
        <f t="shared" si="20"/>
        <v>0</v>
      </c>
      <c r="AG36" s="180">
        <f t="shared" si="17"/>
        <v>0</v>
      </c>
      <c r="AH36" s="181">
        <f t="shared" si="21"/>
        <v>0</v>
      </c>
      <c r="AI36" s="182"/>
      <c r="AJ36" s="90"/>
      <c r="AK36" s="90"/>
      <c r="AL36" s="183">
        <f t="shared" si="22"/>
        <v>0</v>
      </c>
      <c r="AM36" s="182"/>
      <c r="AN36" s="90"/>
      <c r="AO36" s="90"/>
      <c r="AP36" s="183">
        <f t="shared" si="23"/>
        <v>0</v>
      </c>
      <c r="AQ36" s="182"/>
      <c r="AR36" s="90"/>
      <c r="AS36" s="90"/>
      <c r="AT36" s="183">
        <f t="shared" si="24"/>
        <v>0</v>
      </c>
      <c r="AU36" s="182"/>
      <c r="AV36" s="90"/>
      <c r="AW36" s="90"/>
      <c r="AX36" s="183">
        <f t="shared" si="25"/>
        <v>0</v>
      </c>
      <c r="AY36" s="182"/>
      <c r="AZ36" s="90"/>
      <c r="BA36" s="90"/>
      <c r="BB36" s="183">
        <f t="shared" si="26"/>
        <v>0</v>
      </c>
      <c r="BC36" s="182"/>
      <c r="BD36" s="90"/>
      <c r="BE36" s="90"/>
      <c r="BF36" s="183">
        <f t="shared" si="27"/>
        <v>0</v>
      </c>
      <c r="BG36" s="182"/>
      <c r="BH36" s="90"/>
      <c r="BI36" s="90"/>
      <c r="BJ36" s="183">
        <f t="shared" si="28"/>
        <v>0</v>
      </c>
      <c r="BK36" s="182"/>
      <c r="BL36" s="90"/>
      <c r="BM36" s="90"/>
      <c r="BN36" s="183">
        <f t="shared" si="29"/>
        <v>0</v>
      </c>
      <c r="BO36" s="182"/>
      <c r="BP36" s="90"/>
      <c r="BQ36" s="90"/>
      <c r="BR36" s="183">
        <f t="shared" si="30"/>
        <v>0</v>
      </c>
      <c r="BS36" s="182"/>
      <c r="BT36" s="90"/>
      <c r="BU36" s="90"/>
      <c r="BV36" s="183">
        <f t="shared" si="31"/>
        <v>0</v>
      </c>
      <c r="BW36" s="182"/>
      <c r="BX36" s="90"/>
      <c r="BY36" s="90"/>
      <c r="BZ36" s="183">
        <f t="shared" si="32"/>
        <v>0</v>
      </c>
      <c r="CA36" s="182"/>
      <c r="CB36" s="90"/>
      <c r="CC36" s="90"/>
      <c r="CD36" s="183">
        <f t="shared" si="33"/>
        <v>0</v>
      </c>
    </row>
    <row r="37" spans="2:82" x14ac:dyDescent="0.3">
      <c r="B37" s="52" t="s">
        <v>692</v>
      </c>
      <c r="C37" s="52" t="str">
        <f t="shared" si="0"/>
        <v>CPU_CapaSAUS</v>
      </c>
      <c r="D37" s="277">
        <f t="shared" si="1"/>
        <v>0.2</v>
      </c>
      <c r="E37" s="277">
        <f t="shared" si="2"/>
        <v>0</v>
      </c>
      <c r="F37" s="37"/>
      <c r="G37" s="38"/>
      <c r="H37" s="91"/>
      <c r="I37" s="40"/>
      <c r="J37" s="40">
        <f>IFERROR(K37/$B$6,0)</f>
        <v>16705.49644320615</v>
      </c>
      <c r="K37" s="40">
        <f>SUM(K38:K49)</f>
        <v>3341.0992886412305</v>
      </c>
      <c r="N37" s="39"/>
      <c r="AD37" s="144" t="str">
        <f t="shared" si="3"/>
        <v>Capa SAUS</v>
      </c>
      <c r="AE37" s="184"/>
      <c r="AF37" s="40"/>
      <c r="AG37" s="40">
        <f>IFERROR(AH37/AF$3,0)</f>
        <v>0</v>
      </c>
      <c r="AH37" s="185">
        <f>SUM(AH38:AH49)</f>
        <v>0</v>
      </c>
      <c r="AI37" s="184"/>
      <c r="AJ37" s="40"/>
      <c r="AK37" s="40">
        <f>IFERROR(AL37/AJ$3,0)</f>
        <v>0</v>
      </c>
      <c r="AL37" s="185">
        <f>SUM(AL38:AL49)</f>
        <v>0</v>
      </c>
      <c r="AM37" s="184"/>
      <c r="AN37" s="40"/>
      <c r="AO37" s="40">
        <f>IFERROR(AP37/AN$3,0)</f>
        <v>0</v>
      </c>
      <c r="AP37" s="185">
        <f>SUM(AP38:AP49)</f>
        <v>0</v>
      </c>
      <c r="AQ37" s="184"/>
      <c r="AR37" s="40"/>
      <c r="AS37" s="40">
        <f>IFERROR(AT37/AR$3,0)</f>
        <v>0</v>
      </c>
      <c r="AT37" s="185">
        <f>SUM(AT38:AT49)</f>
        <v>0</v>
      </c>
      <c r="AU37" s="184"/>
      <c r="AV37" s="40"/>
      <c r="AW37" s="40">
        <f>IFERROR(AX37/AV$3,0)</f>
        <v>0</v>
      </c>
      <c r="AX37" s="185">
        <f>SUM(AX38:AX49)</f>
        <v>0</v>
      </c>
      <c r="AY37" s="184"/>
      <c r="AZ37" s="40"/>
      <c r="BA37" s="40">
        <f>IFERROR(BB37/AZ$3,0)</f>
        <v>0</v>
      </c>
      <c r="BB37" s="185">
        <f>SUM(BB38:BB49)</f>
        <v>0</v>
      </c>
      <c r="BC37" s="184"/>
      <c r="BD37" s="40"/>
      <c r="BE37" s="40">
        <f>IFERROR(BF37/BD$3,0)</f>
        <v>0</v>
      </c>
      <c r="BF37" s="185">
        <f>SUM(BF38:BF49)</f>
        <v>0</v>
      </c>
      <c r="BG37" s="184"/>
      <c r="BH37" s="40"/>
      <c r="BI37" s="40">
        <f>IFERROR(BJ37/BH$3,0)</f>
        <v>0</v>
      </c>
      <c r="BJ37" s="185">
        <f>SUM(BJ38:BJ49)</f>
        <v>0</v>
      </c>
      <c r="BK37" s="184"/>
      <c r="BL37" s="40"/>
      <c r="BM37" s="40">
        <f>IFERROR(BN37/BL$3,0)</f>
        <v>0</v>
      </c>
      <c r="BN37" s="185">
        <f>SUM(BN38:BN49)</f>
        <v>0</v>
      </c>
      <c r="BO37" s="184"/>
      <c r="BP37" s="40"/>
      <c r="BQ37" s="40">
        <f>IFERROR(BR37/BP$3,0)</f>
        <v>0</v>
      </c>
      <c r="BR37" s="185">
        <f>SUM(BR38:BR49)</f>
        <v>0</v>
      </c>
      <c r="BS37" s="184"/>
      <c r="BT37" s="40"/>
      <c r="BU37" s="40">
        <f>IFERROR(BV37/BT$3,0)</f>
        <v>0</v>
      </c>
      <c r="BV37" s="185">
        <f>SUM(BV38:BV49)</f>
        <v>0</v>
      </c>
      <c r="BW37" s="184"/>
      <c r="BX37" s="40"/>
      <c r="BY37" s="40">
        <f>IFERROR(BZ37/BX$3,0)</f>
        <v>0</v>
      </c>
      <c r="BZ37" s="185">
        <f>SUM(BZ38:BZ49)</f>
        <v>0</v>
      </c>
      <c r="CA37" s="184"/>
      <c r="CB37" s="40"/>
      <c r="CC37" s="40">
        <f>IFERROR(CD37/CB$3,0)</f>
        <v>0</v>
      </c>
      <c r="CD37" s="185">
        <f>SUM(CD38:CD49)</f>
        <v>0</v>
      </c>
    </row>
    <row r="38" spans="2:82" x14ac:dyDescent="0.3">
      <c r="B38" s="54"/>
      <c r="C38" s="54" t="str">
        <f t="shared" si="0"/>
        <v>CPU_CapaSAUS</v>
      </c>
      <c r="D38" s="280">
        <f t="shared" si="1"/>
        <v>0.2</v>
      </c>
      <c r="E38" s="280">
        <f t="shared" si="2"/>
        <v>0</v>
      </c>
      <c r="F38" s="1" t="s">
        <v>832</v>
      </c>
      <c r="G38" s="28" t="str">
        <f>IFERROR(VLOOKUP(F38,Tabela7[[RECURSO]:[CUSTO]],2,FALSE),"")</f>
        <v>H</v>
      </c>
      <c r="H38" s="92">
        <f>H12</f>
        <v>1</v>
      </c>
      <c r="I38" s="90">
        <v>10</v>
      </c>
      <c r="J38" s="45">
        <f>IFERROR(VLOOKUP(F38,Tabela7[[RECURSO]:[CUSTO]],3,FALSE),0)</f>
        <v>65.760687030367933</v>
      </c>
      <c r="K38" s="45">
        <f>I38*J38*CPU_26[[#This Row],[Nº]]</f>
        <v>657.60687030367933</v>
      </c>
      <c r="AD38" s="144" t="str">
        <f t="shared" si="3"/>
        <v>Capa SAUS</v>
      </c>
      <c r="AE38" s="186"/>
      <c r="AF38" s="180">
        <f t="shared" ref="AF38:AF49" si="35">AJ38+AN38+AR38+AV38+AZ38+BD38+BH38+BL38+BP38+BT38+BX38+CB38</f>
        <v>0</v>
      </c>
      <c r="AG38" s="180">
        <f t="shared" si="17"/>
        <v>0</v>
      </c>
      <c r="AH38" s="181">
        <f t="shared" ref="AH38:AH49" si="36">AL38+AP38+AT38+AX38+BB38+BF38+BJ38+BN38+BR38+BV38+BZ38+CD38</f>
        <v>0</v>
      </c>
      <c r="AI38" s="187"/>
      <c r="AJ38" s="90"/>
      <c r="AK38" s="90"/>
      <c r="AL38" s="183">
        <f t="shared" ref="AL38:AL49" si="37">AJ38*AK38</f>
        <v>0</v>
      </c>
      <c r="AM38" s="187"/>
      <c r="AN38" s="90"/>
      <c r="AO38" s="90"/>
      <c r="AP38" s="183">
        <f t="shared" si="23"/>
        <v>0</v>
      </c>
      <c r="AQ38" s="187"/>
      <c r="AR38" s="90"/>
      <c r="AS38" s="90"/>
      <c r="AT38" s="183">
        <f t="shared" si="24"/>
        <v>0</v>
      </c>
      <c r="AU38" s="187"/>
      <c r="AV38" s="90"/>
      <c r="AW38" s="90"/>
      <c r="AX38" s="183">
        <f t="shared" si="25"/>
        <v>0</v>
      </c>
      <c r="AY38" s="187"/>
      <c r="AZ38" s="90"/>
      <c r="BA38" s="90"/>
      <c r="BB38" s="183">
        <f t="shared" si="26"/>
        <v>0</v>
      </c>
      <c r="BC38" s="187"/>
      <c r="BD38" s="90"/>
      <c r="BE38" s="90"/>
      <c r="BF38" s="183">
        <f t="shared" si="27"/>
        <v>0</v>
      </c>
      <c r="BG38" s="187"/>
      <c r="BH38" s="90"/>
      <c r="BI38" s="90"/>
      <c r="BJ38" s="183">
        <f t="shared" si="28"/>
        <v>0</v>
      </c>
      <c r="BK38" s="187"/>
      <c r="BL38" s="90"/>
      <c r="BM38" s="90"/>
      <c r="BN38" s="183">
        <f t="shared" si="29"/>
        <v>0</v>
      </c>
      <c r="BO38" s="187"/>
      <c r="BP38" s="90"/>
      <c r="BQ38" s="90"/>
      <c r="BR38" s="183">
        <f t="shared" si="30"/>
        <v>0</v>
      </c>
      <c r="BS38" s="187"/>
      <c r="BT38" s="90"/>
      <c r="BU38" s="90"/>
      <c r="BV38" s="183">
        <f t="shared" si="31"/>
        <v>0</v>
      </c>
      <c r="BW38" s="187"/>
      <c r="BX38" s="90"/>
      <c r="BY38" s="90"/>
      <c r="BZ38" s="183">
        <f t="shared" si="32"/>
        <v>0</v>
      </c>
      <c r="CA38" s="187"/>
      <c r="CB38" s="90"/>
      <c r="CC38" s="90"/>
      <c r="CD38" s="183">
        <f t="shared" si="33"/>
        <v>0</v>
      </c>
    </row>
    <row r="39" spans="2:82" x14ac:dyDescent="0.3">
      <c r="B39" s="54"/>
      <c r="C39" s="54" t="str">
        <f t="shared" si="0"/>
        <v>CPU_CapaSAUS</v>
      </c>
      <c r="D39" s="280">
        <f t="shared" si="1"/>
        <v>0.2</v>
      </c>
      <c r="E39" s="280">
        <f t="shared" si="2"/>
        <v>0</v>
      </c>
      <c r="F39" s="1" t="s">
        <v>833</v>
      </c>
      <c r="G39" s="28" t="str">
        <f>IFERROR(VLOOKUP(F39,Tabela7[[RECURSO]:[CUSTO]],2,FALSE),"")</f>
        <v>H</v>
      </c>
      <c r="H39" s="92">
        <f>H13+H16</f>
        <v>2</v>
      </c>
      <c r="I39" s="90">
        <v>10</v>
      </c>
      <c r="J39" s="45">
        <f>IFERROR(VLOOKUP(F39,Tabela7[[RECURSO]:[CUSTO]],3,FALSE),0)</f>
        <v>35.57167850885731</v>
      </c>
      <c r="K39" s="45">
        <f>I39*J39*CPU_26[[#This Row],[Nº]]</f>
        <v>711.43357017714618</v>
      </c>
      <c r="AD39" s="144" t="str">
        <f t="shared" si="3"/>
        <v>Capa SAUS</v>
      </c>
      <c r="AE39" s="186"/>
      <c r="AF39" s="180">
        <f t="shared" si="35"/>
        <v>0</v>
      </c>
      <c r="AG39" s="180">
        <f t="shared" si="17"/>
        <v>0</v>
      </c>
      <c r="AH39" s="181">
        <f t="shared" si="36"/>
        <v>0</v>
      </c>
      <c r="AI39" s="187"/>
      <c r="AJ39" s="90"/>
      <c r="AK39" s="90"/>
      <c r="AL39" s="183">
        <f t="shared" si="37"/>
        <v>0</v>
      </c>
      <c r="AM39" s="187"/>
      <c r="AN39" s="90"/>
      <c r="AO39" s="90"/>
      <c r="AP39" s="183">
        <f t="shared" si="23"/>
        <v>0</v>
      </c>
      <c r="AQ39" s="187"/>
      <c r="AR39" s="90"/>
      <c r="AS39" s="90"/>
      <c r="AT39" s="183">
        <f t="shared" si="24"/>
        <v>0</v>
      </c>
      <c r="AU39" s="187"/>
      <c r="AV39" s="90"/>
      <c r="AW39" s="90"/>
      <c r="AX39" s="183">
        <f t="shared" si="25"/>
        <v>0</v>
      </c>
      <c r="AY39" s="187"/>
      <c r="AZ39" s="90"/>
      <c r="BA39" s="90"/>
      <c r="BB39" s="183">
        <f t="shared" si="26"/>
        <v>0</v>
      </c>
      <c r="BC39" s="187"/>
      <c r="BD39" s="90"/>
      <c r="BE39" s="90"/>
      <c r="BF39" s="183">
        <f t="shared" si="27"/>
        <v>0</v>
      </c>
      <c r="BG39" s="187"/>
      <c r="BH39" s="90"/>
      <c r="BI39" s="90"/>
      <c r="BJ39" s="183">
        <f t="shared" si="28"/>
        <v>0</v>
      </c>
      <c r="BK39" s="187"/>
      <c r="BL39" s="90"/>
      <c r="BM39" s="90"/>
      <c r="BN39" s="183">
        <f t="shared" si="29"/>
        <v>0</v>
      </c>
      <c r="BO39" s="187"/>
      <c r="BP39" s="90"/>
      <c r="BQ39" s="90"/>
      <c r="BR39" s="183">
        <f t="shared" si="30"/>
        <v>0</v>
      </c>
      <c r="BS39" s="187"/>
      <c r="BT39" s="90"/>
      <c r="BU39" s="90"/>
      <c r="BV39" s="183">
        <f t="shared" si="31"/>
        <v>0</v>
      </c>
      <c r="BW39" s="187"/>
      <c r="BX39" s="90"/>
      <c r="BY39" s="90"/>
      <c r="BZ39" s="183">
        <f t="shared" si="32"/>
        <v>0</v>
      </c>
      <c r="CA39" s="187"/>
      <c r="CB39" s="90"/>
      <c r="CC39" s="90"/>
      <c r="CD39" s="183">
        <f t="shared" si="33"/>
        <v>0</v>
      </c>
    </row>
    <row r="40" spans="2:82" x14ac:dyDescent="0.3">
      <c r="B40" s="54"/>
      <c r="C40" s="54" t="str">
        <f t="shared" si="0"/>
        <v>CPU_CapaSAUS</v>
      </c>
      <c r="D40" s="280">
        <f t="shared" si="1"/>
        <v>0.2</v>
      </c>
      <c r="E40" s="280">
        <f t="shared" si="2"/>
        <v>0</v>
      </c>
      <c r="F40" s="1" t="s">
        <v>834</v>
      </c>
      <c r="G40" s="28" t="str">
        <f>IFERROR(VLOOKUP(F40,Tabela7[[RECURSO]:[CUSTO]],2,FALSE),"")</f>
        <v>H</v>
      </c>
      <c r="H40" s="92">
        <f>H14</f>
        <v>1</v>
      </c>
      <c r="I40" s="90">
        <v>10</v>
      </c>
      <c r="J40" s="45">
        <f>IFERROR(VLOOKUP(F40,Tabela7[[RECURSO]:[CUSTO]],3,FALSE),0)</f>
        <v>56.927258905976259</v>
      </c>
      <c r="K40" s="45">
        <f>I40*J40*CPU_26[[#This Row],[Nº]]</f>
        <v>569.27258905976259</v>
      </c>
      <c r="AD40" s="144" t="str">
        <f t="shared" si="3"/>
        <v>Capa SAUS</v>
      </c>
      <c r="AE40" s="186"/>
      <c r="AF40" s="180">
        <f t="shared" si="35"/>
        <v>0</v>
      </c>
      <c r="AG40" s="180">
        <f t="shared" si="17"/>
        <v>0</v>
      </c>
      <c r="AH40" s="181">
        <f t="shared" si="36"/>
        <v>0</v>
      </c>
      <c r="AI40" s="187"/>
      <c r="AJ40" s="90"/>
      <c r="AK40" s="90"/>
      <c r="AL40" s="183">
        <f t="shared" si="37"/>
        <v>0</v>
      </c>
      <c r="AM40" s="187"/>
      <c r="AN40" s="90"/>
      <c r="AO40" s="90"/>
      <c r="AP40" s="183">
        <f t="shared" si="23"/>
        <v>0</v>
      </c>
      <c r="AQ40" s="187"/>
      <c r="AR40" s="90"/>
      <c r="AS40" s="90"/>
      <c r="AT40" s="183">
        <f t="shared" si="24"/>
        <v>0</v>
      </c>
      <c r="AU40" s="187"/>
      <c r="AV40" s="90"/>
      <c r="AW40" s="90"/>
      <c r="AX40" s="183">
        <f t="shared" si="25"/>
        <v>0</v>
      </c>
      <c r="AY40" s="187"/>
      <c r="AZ40" s="90"/>
      <c r="BA40" s="90"/>
      <c r="BB40" s="183">
        <f t="shared" si="26"/>
        <v>0</v>
      </c>
      <c r="BC40" s="187"/>
      <c r="BD40" s="90"/>
      <c r="BE40" s="90"/>
      <c r="BF40" s="183">
        <f t="shared" si="27"/>
        <v>0</v>
      </c>
      <c r="BG40" s="187"/>
      <c r="BH40" s="90"/>
      <c r="BI40" s="90"/>
      <c r="BJ40" s="183">
        <f t="shared" si="28"/>
        <v>0</v>
      </c>
      <c r="BK40" s="187"/>
      <c r="BL40" s="90"/>
      <c r="BM40" s="90"/>
      <c r="BN40" s="183">
        <f t="shared" si="29"/>
        <v>0</v>
      </c>
      <c r="BO40" s="187"/>
      <c r="BP40" s="90"/>
      <c r="BQ40" s="90"/>
      <c r="BR40" s="183">
        <f t="shared" si="30"/>
        <v>0</v>
      </c>
      <c r="BS40" s="187"/>
      <c r="BT40" s="90"/>
      <c r="BU40" s="90"/>
      <c r="BV40" s="183">
        <f t="shared" si="31"/>
        <v>0</v>
      </c>
      <c r="BW40" s="187"/>
      <c r="BX40" s="90"/>
      <c r="BY40" s="90"/>
      <c r="BZ40" s="183">
        <f t="shared" si="32"/>
        <v>0</v>
      </c>
      <c r="CA40" s="187"/>
      <c r="CB40" s="90"/>
      <c r="CC40" s="90"/>
      <c r="CD40" s="183">
        <f t="shared" si="33"/>
        <v>0</v>
      </c>
    </row>
    <row r="41" spans="2:82" x14ac:dyDescent="0.3">
      <c r="B41" s="54"/>
      <c r="C41" s="54" t="str">
        <f t="shared" si="0"/>
        <v>CPU_CapaSAUS</v>
      </c>
      <c r="D41" s="280">
        <f t="shared" si="1"/>
        <v>0.2</v>
      </c>
      <c r="E41" s="280">
        <f t="shared" si="2"/>
        <v>0</v>
      </c>
      <c r="F41" s="1" t="s">
        <v>835</v>
      </c>
      <c r="G41" s="28" t="str">
        <f>IFERROR(VLOOKUP(F41,Tabela7[[RECURSO]:[CUSTO]],2,FALSE),"")</f>
        <v>H</v>
      </c>
      <c r="H41" s="92">
        <f>H15</f>
        <v>1</v>
      </c>
      <c r="I41" s="90">
        <v>10</v>
      </c>
      <c r="J41" s="45">
        <f>IFERROR(VLOOKUP(F41,Tabela7[[RECURSO]:[CUSTO]],3,FALSE),0)</f>
        <v>33.958689507494654</v>
      </c>
      <c r="K41" s="45">
        <f>I41*J41*CPU_26[[#This Row],[Nº]]</f>
        <v>339.58689507494654</v>
      </c>
      <c r="AD41" s="144" t="str">
        <f t="shared" si="3"/>
        <v>Capa SAUS</v>
      </c>
      <c r="AE41" s="186"/>
      <c r="AF41" s="180">
        <f t="shared" si="35"/>
        <v>0</v>
      </c>
      <c r="AG41" s="180">
        <f t="shared" si="17"/>
        <v>0</v>
      </c>
      <c r="AH41" s="181">
        <f t="shared" si="36"/>
        <v>0</v>
      </c>
      <c r="AI41" s="187"/>
      <c r="AJ41" s="90"/>
      <c r="AK41" s="90"/>
      <c r="AL41" s="183">
        <f t="shared" si="37"/>
        <v>0</v>
      </c>
      <c r="AM41" s="187"/>
      <c r="AN41" s="90"/>
      <c r="AO41" s="90"/>
      <c r="AP41" s="183">
        <f t="shared" si="23"/>
        <v>0</v>
      </c>
      <c r="AQ41" s="187"/>
      <c r="AR41" s="90"/>
      <c r="AS41" s="90"/>
      <c r="AT41" s="183">
        <f t="shared" si="24"/>
        <v>0</v>
      </c>
      <c r="AU41" s="187"/>
      <c r="AV41" s="90"/>
      <c r="AW41" s="90"/>
      <c r="AX41" s="183">
        <f t="shared" si="25"/>
        <v>0</v>
      </c>
      <c r="AY41" s="187"/>
      <c r="AZ41" s="90"/>
      <c r="BA41" s="90"/>
      <c r="BB41" s="183">
        <f t="shared" si="26"/>
        <v>0</v>
      </c>
      <c r="BC41" s="187"/>
      <c r="BD41" s="90"/>
      <c r="BE41" s="90"/>
      <c r="BF41" s="183">
        <f t="shared" si="27"/>
        <v>0</v>
      </c>
      <c r="BG41" s="187"/>
      <c r="BH41" s="90"/>
      <c r="BI41" s="90"/>
      <c r="BJ41" s="183">
        <f t="shared" si="28"/>
        <v>0</v>
      </c>
      <c r="BK41" s="187"/>
      <c r="BL41" s="90"/>
      <c r="BM41" s="90"/>
      <c r="BN41" s="183">
        <f t="shared" si="29"/>
        <v>0</v>
      </c>
      <c r="BO41" s="187"/>
      <c r="BP41" s="90"/>
      <c r="BQ41" s="90"/>
      <c r="BR41" s="183">
        <f t="shared" si="30"/>
        <v>0</v>
      </c>
      <c r="BS41" s="187"/>
      <c r="BT41" s="90"/>
      <c r="BU41" s="90"/>
      <c r="BV41" s="183">
        <f t="shared" si="31"/>
        <v>0</v>
      </c>
      <c r="BW41" s="187"/>
      <c r="BX41" s="90"/>
      <c r="BY41" s="90"/>
      <c r="BZ41" s="183">
        <f t="shared" si="32"/>
        <v>0</v>
      </c>
      <c r="CA41" s="187"/>
      <c r="CB41" s="90"/>
      <c r="CC41" s="90"/>
      <c r="CD41" s="183">
        <f t="shared" si="33"/>
        <v>0</v>
      </c>
    </row>
    <row r="42" spans="2:82" x14ac:dyDescent="0.3">
      <c r="B42" s="54"/>
      <c r="C42" s="54" t="str">
        <f t="shared" si="0"/>
        <v>CPU_CapaSAUS</v>
      </c>
      <c r="D42" s="280">
        <f t="shared" si="1"/>
        <v>0.2</v>
      </c>
      <c r="E42" s="280">
        <f t="shared" si="2"/>
        <v>0</v>
      </c>
      <c r="F42" s="1" t="s">
        <v>361</v>
      </c>
      <c r="G42" s="28" t="str">
        <f>IFERROR(VLOOKUP(F42,Tabela7[[RECURSO]:[CUSTO]],2,FALSE),"")</f>
        <v>H</v>
      </c>
      <c r="H42" s="92">
        <v>4</v>
      </c>
      <c r="I42" s="90">
        <v>10</v>
      </c>
      <c r="J42" s="45">
        <f>IFERROR(VLOOKUP(F42,Tabela7[[RECURSO]:[CUSTO]],3,FALSE),0)</f>
        <v>26.579984100642395</v>
      </c>
      <c r="K42" s="45">
        <f>I42*J42*CPU_26[[#This Row],[Nº]]</f>
        <v>1063.1993640256958</v>
      </c>
      <c r="AD42" s="144" t="str">
        <f t="shared" si="3"/>
        <v>Capa SAUS</v>
      </c>
      <c r="AE42" s="186"/>
      <c r="AF42" s="180">
        <f t="shared" si="35"/>
        <v>0</v>
      </c>
      <c r="AG42" s="180">
        <f t="shared" si="17"/>
        <v>0</v>
      </c>
      <c r="AH42" s="181">
        <f t="shared" si="36"/>
        <v>0</v>
      </c>
      <c r="AI42" s="187"/>
      <c r="AJ42" s="90"/>
      <c r="AK42" s="90"/>
      <c r="AL42" s="183">
        <f t="shared" si="37"/>
        <v>0</v>
      </c>
      <c r="AM42" s="187"/>
      <c r="AN42" s="90"/>
      <c r="AO42" s="90"/>
      <c r="AP42" s="183">
        <f t="shared" si="23"/>
        <v>0</v>
      </c>
      <c r="AQ42" s="187"/>
      <c r="AR42" s="90"/>
      <c r="AS42" s="90"/>
      <c r="AT42" s="183">
        <f t="shared" si="24"/>
        <v>0</v>
      </c>
      <c r="AU42" s="187"/>
      <c r="AV42" s="90"/>
      <c r="AW42" s="90"/>
      <c r="AX42" s="183">
        <f t="shared" si="25"/>
        <v>0</v>
      </c>
      <c r="AY42" s="187"/>
      <c r="AZ42" s="90"/>
      <c r="BA42" s="90"/>
      <c r="BB42" s="183">
        <f t="shared" si="26"/>
        <v>0</v>
      </c>
      <c r="BC42" s="187"/>
      <c r="BD42" s="90"/>
      <c r="BE42" s="90"/>
      <c r="BF42" s="183">
        <f t="shared" si="27"/>
        <v>0</v>
      </c>
      <c r="BG42" s="187"/>
      <c r="BH42" s="90"/>
      <c r="BI42" s="90"/>
      <c r="BJ42" s="183">
        <f t="shared" si="28"/>
        <v>0</v>
      </c>
      <c r="BK42" s="187"/>
      <c r="BL42" s="90"/>
      <c r="BM42" s="90"/>
      <c r="BN42" s="183">
        <f t="shared" si="29"/>
        <v>0</v>
      </c>
      <c r="BO42" s="187"/>
      <c r="BP42" s="90"/>
      <c r="BQ42" s="90"/>
      <c r="BR42" s="183">
        <f t="shared" si="30"/>
        <v>0</v>
      </c>
      <c r="BS42" s="187"/>
      <c r="BT42" s="90"/>
      <c r="BU42" s="90"/>
      <c r="BV42" s="183">
        <f t="shared" si="31"/>
        <v>0</v>
      </c>
      <c r="BW42" s="187"/>
      <c r="BX42" s="90"/>
      <c r="BY42" s="90"/>
      <c r="BZ42" s="183">
        <f t="shared" si="32"/>
        <v>0</v>
      </c>
      <c r="CA42" s="187"/>
      <c r="CB42" s="90"/>
      <c r="CC42" s="90"/>
      <c r="CD42" s="183">
        <f t="shared" si="33"/>
        <v>0</v>
      </c>
    </row>
    <row r="43" spans="2:82" x14ac:dyDescent="0.3">
      <c r="B43" s="54"/>
      <c r="C43" s="54" t="str">
        <f t="shared" si="0"/>
        <v>CPU_CapaSAUS</v>
      </c>
      <c r="D43" s="280">
        <f t="shared" si="1"/>
        <v>0.2</v>
      </c>
      <c r="E43" s="280">
        <f t="shared" si="2"/>
        <v>0</v>
      </c>
      <c r="F43" s="1"/>
      <c r="G43" s="28" t="str">
        <f>IFERROR(VLOOKUP(F43,Tabela7[[RECURSO]:[CUSTO]],2,FALSE),"")</f>
        <v/>
      </c>
      <c r="H43" s="92"/>
      <c r="I43" s="90"/>
      <c r="J43" s="45">
        <f>IFERROR(VLOOKUP(F43,Tabela7[[RECURSO]:[CUSTO]],3,FALSE),0)</f>
        <v>0</v>
      </c>
      <c r="K43" s="45">
        <f>I43*J43*CPU_26[[#This Row],[Nº]]</f>
        <v>0</v>
      </c>
      <c r="AD43" s="144" t="str">
        <f t="shared" si="3"/>
        <v>Capa SAUS</v>
      </c>
      <c r="AE43" s="186"/>
      <c r="AF43" s="180">
        <f t="shared" si="35"/>
        <v>0</v>
      </c>
      <c r="AG43" s="180">
        <f t="shared" si="17"/>
        <v>0</v>
      </c>
      <c r="AH43" s="181">
        <f t="shared" si="36"/>
        <v>0</v>
      </c>
      <c r="AI43" s="187"/>
      <c r="AJ43" s="90"/>
      <c r="AK43" s="90"/>
      <c r="AL43" s="183">
        <f t="shared" si="37"/>
        <v>0</v>
      </c>
      <c r="AM43" s="187"/>
      <c r="AN43" s="90"/>
      <c r="AO43" s="90"/>
      <c r="AP43" s="183">
        <f t="shared" si="23"/>
        <v>0</v>
      </c>
      <c r="AQ43" s="187"/>
      <c r="AR43" s="90"/>
      <c r="AS43" s="90"/>
      <c r="AT43" s="183">
        <f t="shared" si="24"/>
        <v>0</v>
      </c>
      <c r="AU43" s="187"/>
      <c r="AV43" s="90"/>
      <c r="AW43" s="90"/>
      <c r="AX43" s="183">
        <f t="shared" si="25"/>
        <v>0</v>
      </c>
      <c r="AY43" s="187"/>
      <c r="AZ43" s="90"/>
      <c r="BA43" s="90"/>
      <c r="BB43" s="183">
        <f t="shared" si="26"/>
        <v>0</v>
      </c>
      <c r="BC43" s="187"/>
      <c r="BD43" s="90"/>
      <c r="BE43" s="90"/>
      <c r="BF43" s="183">
        <f t="shared" si="27"/>
        <v>0</v>
      </c>
      <c r="BG43" s="187"/>
      <c r="BH43" s="90"/>
      <c r="BI43" s="90"/>
      <c r="BJ43" s="183">
        <f t="shared" si="28"/>
        <v>0</v>
      </c>
      <c r="BK43" s="187"/>
      <c r="BL43" s="90"/>
      <c r="BM43" s="90"/>
      <c r="BN43" s="183">
        <f t="shared" si="29"/>
        <v>0</v>
      </c>
      <c r="BO43" s="187"/>
      <c r="BP43" s="90"/>
      <c r="BQ43" s="90"/>
      <c r="BR43" s="183">
        <f t="shared" si="30"/>
        <v>0</v>
      </c>
      <c r="BS43" s="187"/>
      <c r="BT43" s="90"/>
      <c r="BU43" s="90"/>
      <c r="BV43" s="183">
        <f t="shared" si="31"/>
        <v>0</v>
      </c>
      <c r="BW43" s="187"/>
      <c r="BX43" s="90"/>
      <c r="BY43" s="90"/>
      <c r="BZ43" s="183">
        <f t="shared" si="32"/>
        <v>0</v>
      </c>
      <c r="CA43" s="187"/>
      <c r="CB43" s="90"/>
      <c r="CC43" s="90"/>
      <c r="CD43" s="183">
        <f t="shared" si="33"/>
        <v>0</v>
      </c>
    </row>
    <row r="44" spans="2:82" x14ac:dyDescent="0.3">
      <c r="B44" s="54"/>
      <c r="C44" s="54" t="str">
        <f t="shared" si="0"/>
        <v>CPU_CapaSAUS</v>
      </c>
      <c r="D44" s="280">
        <f t="shared" si="1"/>
        <v>0.2</v>
      </c>
      <c r="E44" s="280">
        <f t="shared" si="2"/>
        <v>0</v>
      </c>
      <c r="F44" s="1"/>
      <c r="G44" s="28" t="str">
        <f>IFERROR(VLOOKUP(F44,Tabela7[[RECURSO]:[CUSTO]],2,FALSE),"")</f>
        <v/>
      </c>
      <c r="H44" s="92"/>
      <c r="I44" s="90"/>
      <c r="J44" s="45">
        <f>IFERROR(VLOOKUP(F44,Tabela7[[RECURSO]:[CUSTO]],3,FALSE),0)</f>
        <v>0</v>
      </c>
      <c r="K44" s="45">
        <f>I44*J44*CPU_26[[#This Row],[Nº]]</f>
        <v>0</v>
      </c>
      <c r="AD44" s="144" t="str">
        <f t="shared" si="3"/>
        <v>Capa SAUS</v>
      </c>
      <c r="AE44" s="186"/>
      <c r="AF44" s="180">
        <f t="shared" si="35"/>
        <v>0</v>
      </c>
      <c r="AG44" s="180">
        <f t="shared" si="17"/>
        <v>0</v>
      </c>
      <c r="AH44" s="181">
        <f t="shared" si="36"/>
        <v>0</v>
      </c>
      <c r="AI44" s="187"/>
      <c r="AJ44" s="90"/>
      <c r="AK44" s="90"/>
      <c r="AL44" s="183">
        <f t="shared" si="37"/>
        <v>0</v>
      </c>
      <c r="AM44" s="187"/>
      <c r="AN44" s="90"/>
      <c r="AO44" s="90"/>
      <c r="AP44" s="183">
        <f t="shared" si="23"/>
        <v>0</v>
      </c>
      <c r="AQ44" s="187"/>
      <c r="AR44" s="90"/>
      <c r="AS44" s="90"/>
      <c r="AT44" s="183">
        <f t="shared" si="24"/>
        <v>0</v>
      </c>
      <c r="AU44" s="187"/>
      <c r="AV44" s="90"/>
      <c r="AW44" s="90"/>
      <c r="AX44" s="183">
        <f t="shared" si="25"/>
        <v>0</v>
      </c>
      <c r="AY44" s="187"/>
      <c r="AZ44" s="90"/>
      <c r="BA44" s="90"/>
      <c r="BB44" s="183">
        <f t="shared" si="26"/>
        <v>0</v>
      </c>
      <c r="BC44" s="187"/>
      <c r="BD44" s="90"/>
      <c r="BE44" s="90"/>
      <c r="BF44" s="183">
        <f t="shared" si="27"/>
        <v>0</v>
      </c>
      <c r="BG44" s="187"/>
      <c r="BH44" s="90"/>
      <c r="BI44" s="90"/>
      <c r="BJ44" s="183">
        <f t="shared" si="28"/>
        <v>0</v>
      </c>
      <c r="BK44" s="187"/>
      <c r="BL44" s="90"/>
      <c r="BM44" s="90"/>
      <c r="BN44" s="183">
        <f t="shared" si="29"/>
        <v>0</v>
      </c>
      <c r="BO44" s="187"/>
      <c r="BP44" s="90"/>
      <c r="BQ44" s="90"/>
      <c r="BR44" s="183">
        <f t="shared" si="30"/>
        <v>0</v>
      </c>
      <c r="BS44" s="187"/>
      <c r="BT44" s="90"/>
      <c r="BU44" s="90"/>
      <c r="BV44" s="183">
        <f t="shared" si="31"/>
        <v>0</v>
      </c>
      <c r="BW44" s="187"/>
      <c r="BX44" s="90"/>
      <c r="BY44" s="90"/>
      <c r="BZ44" s="183">
        <f t="shared" si="32"/>
        <v>0</v>
      </c>
      <c r="CA44" s="187"/>
      <c r="CB44" s="90"/>
      <c r="CC44" s="90"/>
      <c r="CD44" s="183">
        <f t="shared" si="33"/>
        <v>0</v>
      </c>
    </row>
    <row r="45" spans="2:82" x14ac:dyDescent="0.3">
      <c r="B45" s="53"/>
      <c r="C45" s="53" t="str">
        <f t="shared" si="0"/>
        <v>CPU_CapaSAUS</v>
      </c>
      <c r="D45" s="278">
        <f t="shared" si="1"/>
        <v>0.2</v>
      </c>
      <c r="E45" s="278">
        <f t="shared" si="2"/>
        <v>0</v>
      </c>
      <c r="F45" s="1"/>
      <c r="G45" s="28" t="str">
        <f>IFERROR(VLOOKUP(F45,Tabela7[[RECURSO]:[CUSTO]],2,FALSE),"")</f>
        <v/>
      </c>
      <c r="H45" s="92"/>
      <c r="I45" s="90"/>
      <c r="J45" s="45">
        <f>IFERROR(VLOOKUP(F45,Tabela7[[RECURSO]:[CUSTO]],3,FALSE),0)</f>
        <v>0</v>
      </c>
      <c r="K45" s="45">
        <f>I45*J45*CPU_26[[#This Row],[Nº]]</f>
        <v>0</v>
      </c>
      <c r="R45">
        <f>19213*0.04*2.4</f>
        <v>1844.4479999999999</v>
      </c>
      <c r="S45">
        <f>R45/9</f>
        <v>204.93866666666665</v>
      </c>
      <c r="T45">
        <f>S45*1.5</f>
        <v>307.40799999999996</v>
      </c>
      <c r="AD45" s="144" t="str">
        <f t="shared" si="3"/>
        <v>Capa SAUS</v>
      </c>
      <c r="AE45" s="188"/>
      <c r="AF45" s="180">
        <f t="shared" si="35"/>
        <v>0</v>
      </c>
      <c r="AG45" s="180">
        <f t="shared" si="17"/>
        <v>0</v>
      </c>
      <c r="AH45" s="181">
        <f t="shared" si="36"/>
        <v>0</v>
      </c>
      <c r="AI45" s="189"/>
      <c r="AJ45" s="90"/>
      <c r="AK45" s="90"/>
      <c r="AL45" s="183">
        <f t="shared" si="37"/>
        <v>0</v>
      </c>
      <c r="AM45" s="189"/>
      <c r="AN45" s="90"/>
      <c r="AO45" s="90"/>
      <c r="AP45" s="183">
        <f t="shared" si="23"/>
        <v>0</v>
      </c>
      <c r="AQ45" s="189"/>
      <c r="AR45" s="90"/>
      <c r="AS45" s="90"/>
      <c r="AT45" s="183">
        <f t="shared" si="24"/>
        <v>0</v>
      </c>
      <c r="AU45" s="189"/>
      <c r="AV45" s="90"/>
      <c r="AW45" s="90"/>
      <c r="AX45" s="183">
        <f t="shared" si="25"/>
        <v>0</v>
      </c>
      <c r="AY45" s="189"/>
      <c r="AZ45" s="90"/>
      <c r="BA45" s="90"/>
      <c r="BB45" s="183">
        <f t="shared" si="26"/>
        <v>0</v>
      </c>
      <c r="BC45" s="189"/>
      <c r="BD45" s="90"/>
      <c r="BE45" s="90"/>
      <c r="BF45" s="183">
        <f t="shared" si="27"/>
        <v>0</v>
      </c>
      <c r="BG45" s="189"/>
      <c r="BH45" s="90"/>
      <c r="BI45" s="90"/>
      <c r="BJ45" s="183">
        <f t="shared" si="28"/>
        <v>0</v>
      </c>
      <c r="BK45" s="189"/>
      <c r="BL45" s="90"/>
      <c r="BM45" s="90"/>
      <c r="BN45" s="183">
        <f t="shared" si="29"/>
        <v>0</v>
      </c>
      <c r="BO45" s="189"/>
      <c r="BP45" s="90"/>
      <c r="BQ45" s="90"/>
      <c r="BR45" s="183">
        <f t="shared" si="30"/>
        <v>0</v>
      </c>
      <c r="BS45" s="189"/>
      <c r="BT45" s="90"/>
      <c r="BU45" s="90"/>
      <c r="BV45" s="183">
        <f t="shared" si="31"/>
        <v>0</v>
      </c>
      <c r="BW45" s="189"/>
      <c r="BX45" s="90"/>
      <c r="BY45" s="90"/>
      <c r="BZ45" s="183">
        <f t="shared" si="32"/>
        <v>0</v>
      </c>
      <c r="CA45" s="189"/>
      <c r="CB45" s="90"/>
      <c r="CC45" s="90"/>
      <c r="CD45" s="183">
        <f t="shared" si="33"/>
        <v>0</v>
      </c>
    </row>
    <row r="46" spans="2:82" x14ac:dyDescent="0.3">
      <c r="B46" s="53"/>
      <c r="C46" s="53" t="str">
        <f t="shared" si="0"/>
        <v>CPU_CapaSAUS</v>
      </c>
      <c r="D46" s="278">
        <f t="shared" si="1"/>
        <v>0.2</v>
      </c>
      <c r="E46" s="278">
        <f t="shared" si="2"/>
        <v>0</v>
      </c>
      <c r="F46" s="1"/>
      <c r="G46" s="28" t="str">
        <f>IFERROR(VLOOKUP(F46,Tabela7[[RECURSO]:[CUSTO]],2,FALSE),"")</f>
        <v/>
      </c>
      <c r="H46" s="92"/>
      <c r="I46" s="90"/>
      <c r="J46" s="45">
        <f>IFERROR(VLOOKUP(F46,Tabela7[[RECURSO]:[CUSTO]],3,FALSE),0)</f>
        <v>0</v>
      </c>
      <c r="K46" s="45">
        <f>I46*J46*CPU_26[[#This Row],[Nº]]</f>
        <v>0</v>
      </c>
      <c r="AD46" s="144" t="str">
        <f t="shared" si="3"/>
        <v>Capa SAUS</v>
      </c>
      <c r="AE46" s="188"/>
      <c r="AF46" s="180">
        <f t="shared" si="35"/>
        <v>0</v>
      </c>
      <c r="AG46" s="180">
        <f t="shared" si="17"/>
        <v>0</v>
      </c>
      <c r="AH46" s="181">
        <f t="shared" si="36"/>
        <v>0</v>
      </c>
      <c r="AI46" s="189"/>
      <c r="AJ46" s="90"/>
      <c r="AK46" s="90"/>
      <c r="AL46" s="183">
        <f t="shared" si="37"/>
        <v>0</v>
      </c>
      <c r="AM46" s="189"/>
      <c r="AN46" s="90"/>
      <c r="AO46" s="90"/>
      <c r="AP46" s="183">
        <f t="shared" si="23"/>
        <v>0</v>
      </c>
      <c r="AQ46" s="189"/>
      <c r="AR46" s="90"/>
      <c r="AS46" s="90"/>
      <c r="AT46" s="183">
        <f t="shared" si="24"/>
        <v>0</v>
      </c>
      <c r="AU46" s="189"/>
      <c r="AV46" s="90"/>
      <c r="AW46" s="90"/>
      <c r="AX46" s="183">
        <f t="shared" si="25"/>
        <v>0</v>
      </c>
      <c r="AY46" s="189"/>
      <c r="AZ46" s="90"/>
      <c r="BA46" s="90"/>
      <c r="BB46" s="183">
        <f t="shared" si="26"/>
        <v>0</v>
      </c>
      <c r="BC46" s="189"/>
      <c r="BD46" s="90"/>
      <c r="BE46" s="90"/>
      <c r="BF46" s="183">
        <f t="shared" si="27"/>
        <v>0</v>
      </c>
      <c r="BG46" s="189"/>
      <c r="BH46" s="90"/>
      <c r="BI46" s="90"/>
      <c r="BJ46" s="183">
        <f t="shared" si="28"/>
        <v>0</v>
      </c>
      <c r="BK46" s="189"/>
      <c r="BL46" s="90"/>
      <c r="BM46" s="90"/>
      <c r="BN46" s="183">
        <f t="shared" si="29"/>
        <v>0</v>
      </c>
      <c r="BO46" s="189"/>
      <c r="BP46" s="90"/>
      <c r="BQ46" s="90"/>
      <c r="BR46" s="183">
        <f t="shared" si="30"/>
        <v>0</v>
      </c>
      <c r="BS46" s="189"/>
      <c r="BT46" s="90"/>
      <c r="BU46" s="90"/>
      <c r="BV46" s="183">
        <f t="shared" si="31"/>
        <v>0</v>
      </c>
      <c r="BW46" s="189"/>
      <c r="BX46" s="90"/>
      <c r="BY46" s="90"/>
      <c r="BZ46" s="183">
        <f t="shared" si="32"/>
        <v>0</v>
      </c>
      <c r="CA46" s="189"/>
      <c r="CB46" s="90"/>
      <c r="CC46" s="90"/>
      <c r="CD46" s="183">
        <f t="shared" si="33"/>
        <v>0</v>
      </c>
    </row>
    <row r="47" spans="2:82" x14ac:dyDescent="0.3">
      <c r="B47" s="53"/>
      <c r="C47" s="53" t="str">
        <f t="shared" si="0"/>
        <v>CPU_CapaSAUS</v>
      </c>
      <c r="D47" s="278">
        <f t="shared" si="1"/>
        <v>0.2</v>
      </c>
      <c r="E47" s="278">
        <f t="shared" si="2"/>
        <v>0</v>
      </c>
      <c r="F47" s="1"/>
      <c r="G47" s="28" t="str">
        <f>IFERROR(VLOOKUP(F47,Tabela7[[RECURSO]:[CUSTO]],2,FALSE),"")</f>
        <v/>
      </c>
      <c r="H47" s="92"/>
      <c r="I47" s="90"/>
      <c r="J47" s="45">
        <f>IFERROR(VLOOKUP(F47,Tabela7[[RECURSO]:[CUSTO]],3,FALSE),0)</f>
        <v>0</v>
      </c>
      <c r="K47" s="45">
        <f>I47*J47*CPU_26[[#This Row],[Nº]]</f>
        <v>0</v>
      </c>
      <c r="AD47" s="144" t="str">
        <f t="shared" si="3"/>
        <v>Capa SAUS</v>
      </c>
      <c r="AE47" s="188"/>
      <c r="AF47" s="180">
        <f t="shared" si="35"/>
        <v>0</v>
      </c>
      <c r="AG47" s="180">
        <f t="shared" si="17"/>
        <v>0</v>
      </c>
      <c r="AH47" s="181">
        <f t="shared" si="36"/>
        <v>0</v>
      </c>
      <c r="AI47" s="189"/>
      <c r="AJ47" s="90"/>
      <c r="AK47" s="90"/>
      <c r="AL47" s="183">
        <f t="shared" si="37"/>
        <v>0</v>
      </c>
      <c r="AM47" s="189"/>
      <c r="AN47" s="90"/>
      <c r="AO47" s="90"/>
      <c r="AP47" s="183">
        <f t="shared" si="23"/>
        <v>0</v>
      </c>
      <c r="AQ47" s="189"/>
      <c r="AR47" s="90"/>
      <c r="AS47" s="90"/>
      <c r="AT47" s="183">
        <f t="shared" si="24"/>
        <v>0</v>
      </c>
      <c r="AU47" s="189"/>
      <c r="AV47" s="90"/>
      <c r="AW47" s="90"/>
      <c r="AX47" s="183">
        <f t="shared" si="25"/>
        <v>0</v>
      </c>
      <c r="AY47" s="189"/>
      <c r="AZ47" s="90"/>
      <c r="BA47" s="90"/>
      <c r="BB47" s="183">
        <f t="shared" si="26"/>
        <v>0</v>
      </c>
      <c r="BC47" s="189"/>
      <c r="BD47" s="90"/>
      <c r="BE47" s="90"/>
      <c r="BF47" s="183">
        <f t="shared" si="27"/>
        <v>0</v>
      </c>
      <c r="BG47" s="189"/>
      <c r="BH47" s="90"/>
      <c r="BI47" s="90"/>
      <c r="BJ47" s="183">
        <f t="shared" si="28"/>
        <v>0</v>
      </c>
      <c r="BK47" s="189"/>
      <c r="BL47" s="90"/>
      <c r="BM47" s="90"/>
      <c r="BN47" s="183">
        <f t="shared" si="29"/>
        <v>0</v>
      </c>
      <c r="BO47" s="189"/>
      <c r="BP47" s="90"/>
      <c r="BQ47" s="90"/>
      <c r="BR47" s="183">
        <f t="shared" si="30"/>
        <v>0</v>
      </c>
      <c r="BS47" s="189"/>
      <c r="BT47" s="90"/>
      <c r="BU47" s="90"/>
      <c r="BV47" s="183">
        <f t="shared" si="31"/>
        <v>0</v>
      </c>
      <c r="BW47" s="189"/>
      <c r="BX47" s="90"/>
      <c r="BY47" s="90"/>
      <c r="BZ47" s="183">
        <f t="shared" si="32"/>
        <v>0</v>
      </c>
      <c r="CA47" s="189"/>
      <c r="CB47" s="90"/>
      <c r="CC47" s="90"/>
      <c r="CD47" s="183">
        <f t="shared" si="33"/>
        <v>0</v>
      </c>
    </row>
    <row r="48" spans="2:82" x14ac:dyDescent="0.3">
      <c r="B48" s="53"/>
      <c r="C48" s="53" t="str">
        <f t="shared" si="0"/>
        <v>CPU_CapaSAUS</v>
      </c>
      <c r="D48" s="278">
        <f t="shared" si="1"/>
        <v>0.2</v>
      </c>
      <c r="E48" s="278">
        <f t="shared" si="2"/>
        <v>0</v>
      </c>
      <c r="F48" s="1"/>
      <c r="G48" s="28" t="str">
        <f>IFERROR(VLOOKUP(F48,Tabela7[[RECURSO]:[CUSTO]],2,FALSE),"")</f>
        <v/>
      </c>
      <c r="H48" s="92"/>
      <c r="I48" s="90"/>
      <c r="J48" s="45">
        <f>IFERROR(VLOOKUP(F48,Tabela7[[RECURSO]:[CUSTO]],3,FALSE),0)</f>
        <v>0</v>
      </c>
      <c r="K48" s="45">
        <f>I48*J48*CPU_26[[#This Row],[Nº]]</f>
        <v>0</v>
      </c>
      <c r="AD48" s="144" t="str">
        <f t="shared" si="3"/>
        <v>Capa SAUS</v>
      </c>
      <c r="AE48" s="188"/>
      <c r="AF48" s="180">
        <f t="shared" si="35"/>
        <v>0</v>
      </c>
      <c r="AG48" s="180">
        <f t="shared" si="17"/>
        <v>0</v>
      </c>
      <c r="AH48" s="181">
        <f t="shared" si="36"/>
        <v>0</v>
      </c>
      <c r="AI48" s="189"/>
      <c r="AJ48" s="90"/>
      <c r="AK48" s="90"/>
      <c r="AL48" s="183">
        <f t="shared" si="37"/>
        <v>0</v>
      </c>
      <c r="AM48" s="189"/>
      <c r="AN48" s="90"/>
      <c r="AO48" s="90"/>
      <c r="AP48" s="183">
        <f t="shared" si="23"/>
        <v>0</v>
      </c>
      <c r="AQ48" s="189"/>
      <c r="AR48" s="90"/>
      <c r="AS48" s="90"/>
      <c r="AT48" s="183">
        <f t="shared" si="24"/>
        <v>0</v>
      </c>
      <c r="AU48" s="189"/>
      <c r="AV48" s="90"/>
      <c r="AW48" s="90"/>
      <c r="AX48" s="183">
        <f t="shared" si="25"/>
        <v>0</v>
      </c>
      <c r="AY48" s="189"/>
      <c r="AZ48" s="90"/>
      <c r="BA48" s="90"/>
      <c r="BB48" s="183">
        <f t="shared" si="26"/>
        <v>0</v>
      </c>
      <c r="BC48" s="189"/>
      <c r="BD48" s="90"/>
      <c r="BE48" s="90"/>
      <c r="BF48" s="183">
        <f t="shared" si="27"/>
        <v>0</v>
      </c>
      <c r="BG48" s="189"/>
      <c r="BH48" s="90"/>
      <c r="BI48" s="90"/>
      <c r="BJ48" s="183">
        <f t="shared" si="28"/>
        <v>0</v>
      </c>
      <c r="BK48" s="189"/>
      <c r="BL48" s="90"/>
      <c r="BM48" s="90"/>
      <c r="BN48" s="183">
        <f t="shared" si="29"/>
        <v>0</v>
      </c>
      <c r="BO48" s="189"/>
      <c r="BP48" s="90"/>
      <c r="BQ48" s="90"/>
      <c r="BR48" s="183">
        <f t="shared" si="30"/>
        <v>0</v>
      </c>
      <c r="BS48" s="189"/>
      <c r="BT48" s="90"/>
      <c r="BU48" s="90"/>
      <c r="BV48" s="183">
        <f t="shared" si="31"/>
        <v>0</v>
      </c>
      <c r="BW48" s="189"/>
      <c r="BX48" s="90"/>
      <c r="BY48" s="90"/>
      <c r="BZ48" s="183">
        <f t="shared" si="32"/>
        <v>0</v>
      </c>
      <c r="CA48" s="189"/>
      <c r="CB48" s="90"/>
      <c r="CC48" s="90"/>
      <c r="CD48" s="183">
        <f t="shared" si="33"/>
        <v>0</v>
      </c>
    </row>
    <row r="49" spans="2:82" ht="15" thickBot="1" x14ac:dyDescent="0.35">
      <c r="B49" s="53"/>
      <c r="C49" s="53" t="str">
        <f t="shared" si="0"/>
        <v>CPU_CapaSAUS</v>
      </c>
      <c r="D49" s="278">
        <f t="shared" si="1"/>
        <v>0.2</v>
      </c>
      <c r="E49" s="278">
        <f t="shared" si="2"/>
        <v>0</v>
      </c>
      <c r="F49" s="1"/>
      <c r="G49" s="28" t="str">
        <f>IFERROR(VLOOKUP(F49,Tabela7[[RECURSO]:[CUSTO]],2,FALSE),"")</f>
        <v/>
      </c>
      <c r="H49" s="92"/>
      <c r="I49" s="90"/>
      <c r="J49" s="45">
        <f>IFERROR(VLOOKUP(F49,Tabela7[[RECURSO]:[CUSTO]],3,FALSE),0)</f>
        <v>0</v>
      </c>
      <c r="K49" s="45">
        <f>I49*J49*CPU_26[[#This Row],[Nº]]</f>
        <v>0</v>
      </c>
      <c r="M49" s="83" t="s">
        <v>701</v>
      </c>
      <c r="N49" s="87" t="s">
        <v>702</v>
      </c>
      <c r="AD49" s="144" t="str">
        <f t="shared" si="3"/>
        <v>Capa SAUS</v>
      </c>
      <c r="AE49" s="188"/>
      <c r="AF49" s="180">
        <f t="shared" si="35"/>
        <v>0</v>
      </c>
      <c r="AG49" s="180">
        <f t="shared" si="17"/>
        <v>0</v>
      </c>
      <c r="AH49" s="181">
        <f t="shared" si="36"/>
        <v>0</v>
      </c>
      <c r="AI49" s="189"/>
      <c r="AJ49" s="90"/>
      <c r="AK49" s="90"/>
      <c r="AL49" s="183">
        <f t="shared" si="37"/>
        <v>0</v>
      </c>
      <c r="AM49" s="189"/>
      <c r="AN49" s="90"/>
      <c r="AO49" s="90"/>
      <c r="AP49" s="183">
        <f t="shared" si="23"/>
        <v>0</v>
      </c>
      <c r="AQ49" s="189"/>
      <c r="AR49" s="90"/>
      <c r="AS49" s="90"/>
      <c r="AT49" s="183">
        <f t="shared" si="24"/>
        <v>0</v>
      </c>
      <c r="AU49" s="189"/>
      <c r="AV49" s="90"/>
      <c r="AW49" s="90"/>
      <c r="AX49" s="183">
        <f t="shared" si="25"/>
        <v>0</v>
      </c>
      <c r="AY49" s="189"/>
      <c r="AZ49" s="90"/>
      <c r="BA49" s="90"/>
      <c r="BB49" s="183">
        <f t="shared" si="26"/>
        <v>0</v>
      </c>
      <c r="BC49" s="189"/>
      <c r="BD49" s="90"/>
      <c r="BE49" s="90"/>
      <c r="BF49" s="183">
        <f t="shared" si="27"/>
        <v>0</v>
      </c>
      <c r="BG49" s="189"/>
      <c r="BH49" s="90"/>
      <c r="BI49" s="90"/>
      <c r="BJ49" s="183">
        <f t="shared" si="28"/>
        <v>0</v>
      </c>
      <c r="BK49" s="189"/>
      <c r="BL49" s="90"/>
      <c r="BM49" s="90"/>
      <c r="BN49" s="183">
        <f t="shared" si="29"/>
        <v>0</v>
      </c>
      <c r="BO49" s="189"/>
      <c r="BP49" s="90"/>
      <c r="BQ49" s="90"/>
      <c r="BR49" s="183">
        <f t="shared" si="30"/>
        <v>0</v>
      </c>
      <c r="BS49" s="189"/>
      <c r="BT49" s="90"/>
      <c r="BU49" s="90"/>
      <c r="BV49" s="183">
        <f t="shared" si="31"/>
        <v>0</v>
      </c>
      <c r="BW49" s="189"/>
      <c r="BX49" s="90"/>
      <c r="BY49" s="90"/>
      <c r="BZ49" s="183">
        <f t="shared" si="32"/>
        <v>0</v>
      </c>
      <c r="CA49" s="189"/>
      <c r="CB49" s="90"/>
      <c r="CC49" s="90"/>
      <c r="CD49" s="183">
        <f t="shared" si="33"/>
        <v>0</v>
      </c>
    </row>
    <row r="50" spans="2:82" x14ac:dyDescent="0.3">
      <c r="B50" s="52" t="s">
        <v>693</v>
      </c>
      <c r="C50" s="52" t="str">
        <f t="shared" si="0"/>
        <v>CPU_CapaSAUS</v>
      </c>
      <c r="D50" s="277">
        <f t="shared" si="1"/>
        <v>0.2</v>
      </c>
      <c r="E50" s="277">
        <f t="shared" si="2"/>
        <v>0</v>
      </c>
      <c r="F50" s="37"/>
      <c r="G50" s="38"/>
      <c r="H50" s="38"/>
      <c r="I50" s="37"/>
      <c r="J50" s="40">
        <f>IFERROR(K50/$B$6,0)</f>
        <v>111115.18333333333</v>
      </c>
      <c r="K50" s="40">
        <f>SUM(K51:K62)</f>
        <v>22223.036666666667</v>
      </c>
      <c r="M50" s="84" t="str">
        <f>"Consumo por "&amp;J3</f>
        <v>Consumo por UNID</v>
      </c>
      <c r="N50" s="89"/>
      <c r="O50" s="339" t="s">
        <v>771</v>
      </c>
      <c r="P50" s="340" t="s">
        <v>772</v>
      </c>
      <c r="Q50" s="340" t="s">
        <v>773</v>
      </c>
      <c r="R50" s="340" t="s">
        <v>774</v>
      </c>
      <c r="S50" s="340" t="s">
        <v>775</v>
      </c>
      <c r="T50" s="340" t="s">
        <v>776</v>
      </c>
      <c r="U50" s="340" t="s">
        <v>777</v>
      </c>
      <c r="V50" s="340" t="s">
        <v>778</v>
      </c>
      <c r="W50" s="341" t="s">
        <v>779</v>
      </c>
      <c r="AD50" s="144" t="str">
        <f t="shared" si="3"/>
        <v>Capa SAUS</v>
      </c>
      <c r="AE50" s="190"/>
      <c r="AF50" s="191"/>
      <c r="AG50" s="40">
        <f>IFERROR(AH50/AF$3,0)</f>
        <v>0</v>
      </c>
      <c r="AH50" s="185">
        <f>SUM(AH51:AH62)</f>
        <v>0</v>
      </c>
      <c r="AI50" s="190"/>
      <c r="AJ50" s="37"/>
      <c r="AK50" s="40">
        <f>IFERROR(AL50/AJ$3,0)</f>
        <v>0</v>
      </c>
      <c r="AL50" s="185">
        <f>SUM(AL51:AL62)</f>
        <v>0</v>
      </c>
      <c r="AM50" s="190"/>
      <c r="AN50" s="37"/>
      <c r="AO50" s="40">
        <f>IFERROR(AP50/AN$3,0)</f>
        <v>0</v>
      </c>
      <c r="AP50" s="185">
        <f>SUM(AP51:AP62)</f>
        <v>0</v>
      </c>
      <c r="AQ50" s="190"/>
      <c r="AR50" s="37"/>
      <c r="AS50" s="40">
        <f>IFERROR(AT50/AR$3,0)</f>
        <v>0</v>
      </c>
      <c r="AT50" s="185">
        <f>SUM(AT51:AT62)</f>
        <v>0</v>
      </c>
      <c r="AU50" s="190"/>
      <c r="AV50" s="37"/>
      <c r="AW50" s="40">
        <f>IFERROR(AX50/AV$3,0)</f>
        <v>0</v>
      </c>
      <c r="AX50" s="185">
        <f>SUM(AX51:AX62)</f>
        <v>0</v>
      </c>
      <c r="AY50" s="190"/>
      <c r="AZ50" s="37"/>
      <c r="BA50" s="40">
        <f>IFERROR(BB50/AZ$3,0)</f>
        <v>0</v>
      </c>
      <c r="BB50" s="185">
        <f>SUM(BB51:BB62)</f>
        <v>0</v>
      </c>
      <c r="BC50" s="190"/>
      <c r="BD50" s="37"/>
      <c r="BE50" s="40">
        <f>IFERROR(BF50/BD$3,0)</f>
        <v>0</v>
      </c>
      <c r="BF50" s="185">
        <f>SUM(BF51:BF62)</f>
        <v>0</v>
      </c>
      <c r="BG50" s="190"/>
      <c r="BH50" s="37"/>
      <c r="BI50" s="40">
        <f>IFERROR(BJ50/BH$3,0)</f>
        <v>0</v>
      </c>
      <c r="BJ50" s="185">
        <f>SUM(BJ51:BJ62)</f>
        <v>0</v>
      </c>
      <c r="BK50" s="190"/>
      <c r="BL50" s="37"/>
      <c r="BM50" s="40">
        <f>IFERROR(BN50/BL$3,0)</f>
        <v>0</v>
      </c>
      <c r="BN50" s="185">
        <f>SUM(BN51:BN62)</f>
        <v>0</v>
      </c>
      <c r="BO50" s="190"/>
      <c r="BP50" s="37"/>
      <c r="BQ50" s="40">
        <f>IFERROR(BR50/BP$3,0)</f>
        <v>0</v>
      </c>
      <c r="BR50" s="185">
        <f>SUM(BR51:BR62)</f>
        <v>0</v>
      </c>
      <c r="BS50" s="190"/>
      <c r="BT50" s="37"/>
      <c r="BU50" s="40">
        <f>IFERROR(BV50/BT$3,0)</f>
        <v>0</v>
      </c>
      <c r="BV50" s="185">
        <f>SUM(BV51:BV62)</f>
        <v>0</v>
      </c>
      <c r="BW50" s="190"/>
      <c r="BX50" s="37"/>
      <c r="BY50" s="40">
        <f>IFERROR(BZ50/BX$3,0)</f>
        <v>0</v>
      </c>
      <c r="BZ50" s="185">
        <f>SUM(BZ51:BZ62)</f>
        <v>0</v>
      </c>
      <c r="CA50" s="190"/>
      <c r="CB50" s="37"/>
      <c r="CC50" s="40">
        <f>IFERROR(CD50/CB$3,0)</f>
        <v>0</v>
      </c>
      <c r="CD50" s="185">
        <f>SUM(CD51:CD62)</f>
        <v>0</v>
      </c>
    </row>
    <row r="51" spans="2:82" x14ac:dyDescent="0.3">
      <c r="B51" s="53"/>
      <c r="C51" s="53" t="str">
        <f t="shared" si="0"/>
        <v>CPU_CapaSAUS</v>
      </c>
      <c r="D51" s="278">
        <f t="shared" si="1"/>
        <v>0.2</v>
      </c>
      <c r="E51" s="278">
        <f t="shared" si="2"/>
        <v>0</v>
      </c>
      <c r="F51" s="1" t="s">
        <v>836</v>
      </c>
      <c r="G51" s="28" t="str">
        <f>IFERROR(VLOOKUP(F51,Tabela7[[RECURSO]:[CUSTO]],2,FALSE),"")</f>
        <v>T</v>
      </c>
      <c r="I51" s="90">
        <f>IFERROR(M51*$B$6,0)</f>
        <v>40.987733333333331</v>
      </c>
      <c r="J51" s="45">
        <f>IFERROR(VLOOKUP(F51,Tabela7[[RECURSO]:[CUSTO]],3,FALSE),0)</f>
        <v>180</v>
      </c>
      <c r="K51" s="45">
        <f>I51*J51</f>
        <v>7377.7919999999995</v>
      </c>
      <c r="M51" s="347">
        <f>SUM(O51:W51)*0.04*2.4/9</f>
        <v>204.93866666666665</v>
      </c>
      <c r="N51" s="88"/>
      <c r="O51" s="31">
        <f>1480</f>
        <v>1480</v>
      </c>
      <c r="P51" s="1">
        <v>1480</v>
      </c>
      <c r="Q51" s="1">
        <v>2482</v>
      </c>
      <c r="R51" s="1">
        <v>3669</v>
      </c>
      <c r="S51" s="1">
        <v>2465</v>
      </c>
      <c r="T51" s="1">
        <v>1976</v>
      </c>
      <c r="U51" s="1">
        <v>1702</v>
      </c>
      <c r="V51" s="1">
        <v>2029</v>
      </c>
      <c r="W51" s="342">
        <v>1930</v>
      </c>
      <c r="AD51" s="144" t="str">
        <f t="shared" si="3"/>
        <v>Capa SAUS</v>
      </c>
      <c r="AE51" s="192"/>
      <c r="AF51" s="180">
        <f t="shared" ref="AF51:AF62" si="38">AJ51+AN51+AR51+AV51+AZ51+BD51+BH51+BL51+BP51+BT51+BX51+CB51</f>
        <v>0</v>
      </c>
      <c r="AG51" s="180">
        <f t="shared" si="17"/>
        <v>0</v>
      </c>
      <c r="AH51" s="181">
        <f t="shared" ref="AH51:AH62" si="39">AL51+AP51+AT51+AX51+BB51+BF51+BJ51+BN51+BR51+BV51+BZ51+CD51</f>
        <v>0</v>
      </c>
      <c r="AI51" s="193"/>
      <c r="AJ51" s="90"/>
      <c r="AK51" s="90"/>
      <c r="AL51" s="183">
        <f t="shared" ref="AL51:AL62" si="40">AJ51*AK51</f>
        <v>0</v>
      </c>
      <c r="AM51" s="193"/>
      <c r="AN51" s="90"/>
      <c r="AO51" s="90"/>
      <c r="AP51" s="183">
        <f t="shared" si="23"/>
        <v>0</v>
      </c>
      <c r="AQ51" s="193"/>
      <c r="AR51" s="90"/>
      <c r="AS51" s="90"/>
      <c r="AT51" s="183">
        <f t="shared" si="24"/>
        <v>0</v>
      </c>
      <c r="AU51" s="193"/>
      <c r="AV51" s="90"/>
      <c r="AW51" s="90"/>
      <c r="AX51" s="183">
        <f t="shared" si="25"/>
        <v>0</v>
      </c>
      <c r="AY51" s="193"/>
      <c r="AZ51" s="90"/>
      <c r="BA51" s="90"/>
      <c r="BB51" s="183">
        <f t="shared" si="26"/>
        <v>0</v>
      </c>
      <c r="BC51" s="193"/>
      <c r="BD51" s="90"/>
      <c r="BE51" s="90"/>
      <c r="BF51" s="183">
        <f t="shared" si="27"/>
        <v>0</v>
      </c>
      <c r="BG51" s="193"/>
      <c r="BH51" s="90"/>
      <c r="BI51" s="90"/>
      <c r="BJ51" s="183">
        <f t="shared" si="28"/>
        <v>0</v>
      </c>
      <c r="BK51" s="193"/>
      <c r="BL51" s="90"/>
      <c r="BM51" s="90"/>
      <c r="BN51" s="183">
        <f t="shared" si="29"/>
        <v>0</v>
      </c>
      <c r="BO51" s="193"/>
      <c r="BP51" s="90"/>
      <c r="BQ51" s="90"/>
      <c r="BR51" s="183">
        <f t="shared" si="30"/>
        <v>0</v>
      </c>
      <c r="BS51" s="193"/>
      <c r="BT51" s="90"/>
      <c r="BU51" s="90"/>
      <c r="BV51" s="183">
        <f t="shared" si="31"/>
        <v>0</v>
      </c>
      <c r="BW51" s="193"/>
      <c r="BX51" s="90"/>
      <c r="BY51" s="90"/>
      <c r="BZ51" s="183">
        <f t="shared" si="32"/>
        <v>0</v>
      </c>
      <c r="CA51" s="193"/>
      <c r="CB51" s="90"/>
      <c r="CC51" s="90"/>
      <c r="CD51" s="183">
        <f t="shared" si="33"/>
        <v>0</v>
      </c>
    </row>
    <row r="52" spans="2:82" x14ac:dyDescent="0.3">
      <c r="B52" s="53"/>
      <c r="C52" s="53" t="str">
        <f t="shared" si="0"/>
        <v>CPU_CapaSAUS</v>
      </c>
      <c r="D52" s="278">
        <f t="shared" si="1"/>
        <v>0.2</v>
      </c>
      <c r="E52" s="278">
        <f t="shared" si="2"/>
        <v>0</v>
      </c>
      <c r="F52" s="1" t="s">
        <v>837</v>
      </c>
      <c r="G52" s="28" t="str">
        <f>IFERROR(VLOOKUP(F52,Tabela7[[RECURSO]:[CUSTO]],2,FALSE),"")</f>
        <v>T</v>
      </c>
      <c r="I52" s="90">
        <f t="shared" ref="I52:I62" si="41">IFERROR(M52*$B$6,0)</f>
        <v>2.0493866666666669</v>
      </c>
      <c r="J52" s="45">
        <f>IFERROR(VLOOKUP(F52,Tabela7[[RECURSO]:[CUSTO]],3,FALSE),0)</f>
        <v>4950</v>
      </c>
      <c r="K52" s="45">
        <f t="shared" ref="K52:K62" si="42">I52*J52</f>
        <v>10144.464000000002</v>
      </c>
      <c r="M52" s="347">
        <f t="shared" ref="M52:M61" si="43">SUM(O52:W52)/9</f>
        <v>10.246933333333335</v>
      </c>
      <c r="N52" s="88"/>
      <c r="O52" s="31">
        <f>O51*2.4*0.04*0.05</f>
        <v>7.104000000000001</v>
      </c>
      <c r="P52" s="1">
        <f t="shared" ref="P52:W52" si="44">P51*2.4*0.04*0.05</f>
        <v>7.104000000000001</v>
      </c>
      <c r="Q52" s="1">
        <f t="shared" si="44"/>
        <v>11.913600000000002</v>
      </c>
      <c r="R52" s="1">
        <f t="shared" si="44"/>
        <v>17.611200000000004</v>
      </c>
      <c r="S52" s="1">
        <f t="shared" si="44"/>
        <v>11.832000000000001</v>
      </c>
      <c r="T52" s="1">
        <f t="shared" si="44"/>
        <v>9.4847999999999999</v>
      </c>
      <c r="U52" s="1">
        <f t="shared" si="44"/>
        <v>8.1696000000000009</v>
      </c>
      <c r="V52" s="1">
        <f t="shared" si="44"/>
        <v>9.7392000000000003</v>
      </c>
      <c r="W52" s="342">
        <f t="shared" si="44"/>
        <v>9.2640000000000011</v>
      </c>
      <c r="AD52" s="144" t="str">
        <f t="shared" si="3"/>
        <v>Capa SAUS</v>
      </c>
      <c r="AE52" s="192"/>
      <c r="AF52" s="180">
        <f t="shared" si="38"/>
        <v>0</v>
      </c>
      <c r="AG52" s="180">
        <f t="shared" si="17"/>
        <v>0</v>
      </c>
      <c r="AH52" s="181">
        <f t="shared" si="39"/>
        <v>0</v>
      </c>
      <c r="AI52" s="193"/>
      <c r="AJ52" s="90"/>
      <c r="AK52" s="90"/>
      <c r="AL52" s="183">
        <f t="shared" si="40"/>
        <v>0</v>
      </c>
      <c r="AM52" s="193"/>
      <c r="AN52" s="90"/>
      <c r="AO52" s="90"/>
      <c r="AP52" s="183">
        <f t="shared" si="23"/>
        <v>0</v>
      </c>
      <c r="AQ52" s="193"/>
      <c r="AR52" s="90"/>
      <c r="AS52" s="90"/>
      <c r="AT52" s="183">
        <f t="shared" si="24"/>
        <v>0</v>
      </c>
      <c r="AU52" s="193"/>
      <c r="AV52" s="90"/>
      <c r="AW52" s="90"/>
      <c r="AX52" s="183">
        <f t="shared" si="25"/>
        <v>0</v>
      </c>
      <c r="AY52" s="193"/>
      <c r="AZ52" s="90"/>
      <c r="BA52" s="90"/>
      <c r="BB52" s="183">
        <f t="shared" si="26"/>
        <v>0</v>
      </c>
      <c r="BC52" s="193"/>
      <c r="BD52" s="90"/>
      <c r="BE52" s="90"/>
      <c r="BF52" s="183">
        <f t="shared" si="27"/>
        <v>0</v>
      </c>
      <c r="BG52" s="193"/>
      <c r="BH52" s="90"/>
      <c r="BI52" s="90"/>
      <c r="BJ52" s="183">
        <f t="shared" si="28"/>
        <v>0</v>
      </c>
      <c r="BK52" s="193"/>
      <c r="BL52" s="90"/>
      <c r="BM52" s="90"/>
      <c r="BN52" s="183">
        <f t="shared" si="29"/>
        <v>0</v>
      </c>
      <c r="BO52" s="193"/>
      <c r="BP52" s="90"/>
      <c r="BQ52" s="90"/>
      <c r="BR52" s="183">
        <f t="shared" si="30"/>
        <v>0</v>
      </c>
      <c r="BS52" s="193"/>
      <c r="BT52" s="90"/>
      <c r="BU52" s="90"/>
      <c r="BV52" s="183">
        <f t="shared" si="31"/>
        <v>0</v>
      </c>
      <c r="BW52" s="193"/>
      <c r="BX52" s="90"/>
      <c r="BY52" s="90"/>
      <c r="BZ52" s="183">
        <f t="shared" si="32"/>
        <v>0</v>
      </c>
      <c r="CA52" s="193"/>
      <c r="CB52" s="90"/>
      <c r="CC52" s="90"/>
      <c r="CD52" s="183">
        <f t="shared" si="33"/>
        <v>0</v>
      </c>
    </row>
    <row r="53" spans="2:82" x14ac:dyDescent="0.3">
      <c r="B53" s="53"/>
      <c r="C53" s="53" t="str">
        <f t="shared" si="0"/>
        <v>CPU_CapaSAUS</v>
      </c>
      <c r="D53" s="278">
        <f t="shared" si="1"/>
        <v>0.2</v>
      </c>
      <c r="E53" s="278">
        <f t="shared" si="2"/>
        <v>0</v>
      </c>
      <c r="F53" s="1" t="s">
        <v>838</v>
      </c>
      <c r="G53" s="28" t="str">
        <f>IFERROR(VLOOKUP(F53,Tabela7[[RECURSO]:[CUSTO]],2,FALSE),"")</f>
        <v>T</v>
      </c>
      <c r="I53" s="90">
        <f t="shared" si="41"/>
        <v>0.42695555555555559</v>
      </c>
      <c r="J53" s="45">
        <f>IFERROR(VLOOKUP(F53,Tabela7[[RECURSO]:[CUSTO]],3,FALSE),0)</f>
        <v>3500</v>
      </c>
      <c r="K53" s="45">
        <f t="shared" si="42"/>
        <v>1494.3444444444447</v>
      </c>
      <c r="M53" s="347">
        <f t="shared" si="43"/>
        <v>2.1347777777777779</v>
      </c>
      <c r="N53" s="88"/>
      <c r="O53" s="31">
        <f>O51*0.001</f>
        <v>1.48</v>
      </c>
      <c r="P53" s="1">
        <f t="shared" ref="P53:W53" si="45">P51*0.001</f>
        <v>1.48</v>
      </c>
      <c r="Q53" s="1">
        <f t="shared" si="45"/>
        <v>2.4820000000000002</v>
      </c>
      <c r="R53" s="1">
        <f t="shared" si="45"/>
        <v>3.669</v>
      </c>
      <c r="S53" s="1">
        <f t="shared" si="45"/>
        <v>2.4649999999999999</v>
      </c>
      <c r="T53" s="1">
        <f t="shared" si="45"/>
        <v>1.976</v>
      </c>
      <c r="U53" s="1">
        <f t="shared" si="45"/>
        <v>1.702</v>
      </c>
      <c r="V53" s="1">
        <f t="shared" si="45"/>
        <v>2.0289999999999999</v>
      </c>
      <c r="W53" s="342">
        <f t="shared" si="45"/>
        <v>1.93</v>
      </c>
      <c r="AD53" s="144" t="str">
        <f t="shared" si="3"/>
        <v>Capa SAUS</v>
      </c>
      <c r="AE53" s="192"/>
      <c r="AF53" s="180">
        <f t="shared" si="38"/>
        <v>0</v>
      </c>
      <c r="AG53" s="180">
        <f t="shared" si="17"/>
        <v>0</v>
      </c>
      <c r="AH53" s="181">
        <f t="shared" si="39"/>
        <v>0</v>
      </c>
      <c r="AI53" s="193"/>
      <c r="AJ53" s="90"/>
      <c r="AK53" s="90"/>
      <c r="AL53" s="183">
        <f t="shared" si="40"/>
        <v>0</v>
      </c>
      <c r="AM53" s="193"/>
      <c r="AN53" s="90"/>
      <c r="AO53" s="90"/>
      <c r="AP53" s="183">
        <f t="shared" si="23"/>
        <v>0</v>
      </c>
      <c r="AQ53" s="193"/>
      <c r="AR53" s="90"/>
      <c r="AS53" s="90"/>
      <c r="AT53" s="183">
        <f t="shared" si="24"/>
        <v>0</v>
      </c>
      <c r="AU53" s="193"/>
      <c r="AV53" s="90"/>
      <c r="AW53" s="90"/>
      <c r="AX53" s="183">
        <f t="shared" si="25"/>
        <v>0</v>
      </c>
      <c r="AY53" s="193"/>
      <c r="AZ53" s="90"/>
      <c r="BA53" s="90"/>
      <c r="BB53" s="183">
        <f t="shared" si="26"/>
        <v>0</v>
      </c>
      <c r="BC53" s="193"/>
      <c r="BD53" s="90"/>
      <c r="BE53" s="90"/>
      <c r="BF53" s="183">
        <f t="shared" si="27"/>
        <v>0</v>
      </c>
      <c r="BG53" s="193"/>
      <c r="BH53" s="90"/>
      <c r="BI53" s="90"/>
      <c r="BJ53" s="183">
        <f t="shared" si="28"/>
        <v>0</v>
      </c>
      <c r="BK53" s="193"/>
      <c r="BL53" s="90"/>
      <c r="BM53" s="90"/>
      <c r="BN53" s="183">
        <f t="shared" si="29"/>
        <v>0</v>
      </c>
      <c r="BO53" s="193"/>
      <c r="BP53" s="90"/>
      <c r="BQ53" s="90"/>
      <c r="BR53" s="183">
        <f t="shared" si="30"/>
        <v>0</v>
      </c>
      <c r="BS53" s="193"/>
      <c r="BT53" s="90"/>
      <c r="BU53" s="90"/>
      <c r="BV53" s="183">
        <f t="shared" si="31"/>
        <v>0</v>
      </c>
      <c r="BW53" s="193"/>
      <c r="BX53" s="90"/>
      <c r="BY53" s="90"/>
      <c r="BZ53" s="183">
        <f t="shared" si="32"/>
        <v>0</v>
      </c>
      <c r="CA53" s="193"/>
      <c r="CB53" s="90"/>
      <c r="CC53" s="90"/>
      <c r="CD53" s="183">
        <f t="shared" si="33"/>
        <v>0</v>
      </c>
    </row>
    <row r="54" spans="2:82" x14ac:dyDescent="0.3">
      <c r="B54" s="53"/>
      <c r="C54" s="53" t="str">
        <f t="shared" si="0"/>
        <v>CPU_CapaSAUS</v>
      </c>
      <c r="D54" s="278">
        <f t="shared" si="1"/>
        <v>0.2</v>
      </c>
      <c r="E54" s="278">
        <f t="shared" si="2"/>
        <v>0</v>
      </c>
      <c r="F54" s="1" t="s">
        <v>839</v>
      </c>
      <c r="G54" s="28" t="str">
        <f>IFERROR(VLOOKUP(F54,Tabela7[[RECURSO]:[CUSTO]],2,FALSE),"")</f>
        <v>T</v>
      </c>
      <c r="I54" s="90">
        <f t="shared" si="41"/>
        <v>0.21347777777777779</v>
      </c>
      <c r="J54" s="45">
        <f>IFERROR(VLOOKUP(F54,Tabela7[[RECURSO]:[CUSTO]],3,FALSE),0)</f>
        <v>3500</v>
      </c>
      <c r="K54" s="45">
        <f>I54*J54</f>
        <v>747.17222222222233</v>
      </c>
      <c r="M54" s="347">
        <f t="shared" si="43"/>
        <v>1.0673888888888889</v>
      </c>
      <c r="N54" s="88"/>
      <c r="O54" s="31">
        <f>O51*0.0005</f>
        <v>0.74</v>
      </c>
      <c r="P54" s="1">
        <f t="shared" ref="P54:W54" si="46">P51*0.0005</f>
        <v>0.74</v>
      </c>
      <c r="Q54" s="1">
        <f t="shared" si="46"/>
        <v>1.2410000000000001</v>
      </c>
      <c r="R54" s="1">
        <f t="shared" si="46"/>
        <v>1.8345</v>
      </c>
      <c r="S54" s="1">
        <f t="shared" si="46"/>
        <v>1.2324999999999999</v>
      </c>
      <c r="T54" s="1">
        <f t="shared" si="46"/>
        <v>0.98799999999999999</v>
      </c>
      <c r="U54" s="1">
        <f t="shared" si="46"/>
        <v>0.85099999999999998</v>
      </c>
      <c r="V54" s="1">
        <f t="shared" si="46"/>
        <v>1.0145</v>
      </c>
      <c r="W54" s="342">
        <f t="shared" si="46"/>
        <v>0.96499999999999997</v>
      </c>
      <c r="AD54" s="144" t="str">
        <f>$B$3</f>
        <v>Capa SAUS</v>
      </c>
      <c r="AE54" s="192"/>
      <c r="AF54" s="180">
        <f t="shared" si="38"/>
        <v>0</v>
      </c>
      <c r="AG54" s="180">
        <f t="shared" si="17"/>
        <v>0</v>
      </c>
      <c r="AH54" s="181">
        <f t="shared" si="39"/>
        <v>0</v>
      </c>
      <c r="AI54" s="193"/>
      <c r="AJ54" s="90"/>
      <c r="AK54" s="90"/>
      <c r="AL54" s="183">
        <f t="shared" si="40"/>
        <v>0</v>
      </c>
      <c r="AM54" s="193"/>
      <c r="AN54" s="90"/>
      <c r="AO54" s="90"/>
      <c r="AP54" s="183">
        <f t="shared" si="23"/>
        <v>0</v>
      </c>
      <c r="AQ54" s="193"/>
      <c r="AR54" s="90"/>
      <c r="AS54" s="90"/>
      <c r="AT54" s="183">
        <f t="shared" si="24"/>
        <v>0</v>
      </c>
      <c r="AU54" s="193"/>
      <c r="AV54" s="90"/>
      <c r="AW54" s="90"/>
      <c r="AX54" s="183">
        <f t="shared" si="25"/>
        <v>0</v>
      </c>
      <c r="AY54" s="193"/>
      <c r="AZ54" s="90"/>
      <c r="BA54" s="90"/>
      <c r="BB54" s="183">
        <f t="shared" si="26"/>
        <v>0</v>
      </c>
      <c r="BC54" s="193"/>
      <c r="BD54" s="90"/>
      <c r="BE54" s="90"/>
      <c r="BF54" s="183">
        <f t="shared" si="27"/>
        <v>0</v>
      </c>
      <c r="BG54" s="193"/>
      <c r="BH54" s="90"/>
      <c r="BI54" s="90"/>
      <c r="BJ54" s="183">
        <f t="shared" si="28"/>
        <v>0</v>
      </c>
      <c r="BK54" s="193"/>
      <c r="BL54" s="90"/>
      <c r="BM54" s="90"/>
      <c r="BN54" s="183">
        <f t="shared" si="29"/>
        <v>0</v>
      </c>
      <c r="BO54" s="193"/>
      <c r="BP54" s="90"/>
      <c r="BQ54" s="90"/>
      <c r="BR54" s="183">
        <f t="shared" si="30"/>
        <v>0</v>
      </c>
      <c r="BS54" s="193"/>
      <c r="BT54" s="90"/>
      <c r="BU54" s="90"/>
      <c r="BV54" s="183">
        <f t="shared" si="31"/>
        <v>0</v>
      </c>
      <c r="BW54" s="193"/>
      <c r="BX54" s="90"/>
      <c r="BY54" s="90"/>
      <c r="BZ54" s="183">
        <f t="shared" si="32"/>
        <v>0</v>
      </c>
      <c r="CA54" s="193"/>
      <c r="CB54" s="90"/>
      <c r="CC54" s="90"/>
      <c r="CD54" s="183">
        <f t="shared" si="33"/>
        <v>0</v>
      </c>
    </row>
    <row r="55" spans="2:82" x14ac:dyDescent="0.3">
      <c r="B55" s="53"/>
      <c r="C55" s="53" t="str">
        <f t="shared" si="0"/>
        <v>CPU_CapaSAUS</v>
      </c>
      <c r="D55" s="278">
        <f t="shared" si="1"/>
        <v>0.2</v>
      </c>
      <c r="E55" s="278">
        <f t="shared" si="2"/>
        <v>0</v>
      </c>
      <c r="F55" s="1" t="s">
        <v>782</v>
      </c>
      <c r="G55" s="28" t="str">
        <f>IFERROR(VLOOKUP(F55,Tabela7[[RECURSO]:[CUSTO]],2,FALSE),"")</f>
        <v>M3</v>
      </c>
      <c r="I55" s="90">
        <f t="shared" si="41"/>
        <v>0</v>
      </c>
      <c r="J55" s="45">
        <f>IFERROR(VLOOKUP(F55,Tabela7[[RECURSO]:[CUSTO]],3,FALSE),0)</f>
        <v>600</v>
      </c>
      <c r="K55" s="45">
        <f t="shared" si="42"/>
        <v>0</v>
      </c>
      <c r="M55" s="347"/>
      <c r="N55" s="88"/>
      <c r="O55" s="31">
        <v>21.9</v>
      </c>
      <c r="P55" s="1">
        <v>21.9</v>
      </c>
      <c r="Q55" s="1">
        <v>21.9</v>
      </c>
      <c r="R55" s="1">
        <v>21.9</v>
      </c>
      <c r="S55" s="1">
        <v>22.56</v>
      </c>
      <c r="T55" s="1">
        <v>21.9</v>
      </c>
      <c r="U55" s="1">
        <v>21.9</v>
      </c>
      <c r="V55" s="1">
        <v>21.9</v>
      </c>
      <c r="W55" s="342">
        <v>21.9</v>
      </c>
      <c r="AD55" s="144" t="str">
        <f t="shared" si="3"/>
        <v>Capa SAUS</v>
      </c>
      <c r="AE55" s="192"/>
      <c r="AF55" s="180">
        <f t="shared" si="38"/>
        <v>0</v>
      </c>
      <c r="AG55" s="180">
        <f t="shared" si="17"/>
        <v>0</v>
      </c>
      <c r="AH55" s="181">
        <f t="shared" si="39"/>
        <v>0</v>
      </c>
      <c r="AI55" s="193"/>
      <c r="AJ55" s="90"/>
      <c r="AK55" s="90"/>
      <c r="AL55" s="183">
        <f t="shared" si="40"/>
        <v>0</v>
      </c>
      <c r="AM55" s="193"/>
      <c r="AN55" s="90"/>
      <c r="AO55" s="90"/>
      <c r="AP55" s="183">
        <f t="shared" si="23"/>
        <v>0</v>
      </c>
      <c r="AQ55" s="193"/>
      <c r="AR55" s="90"/>
      <c r="AS55" s="90"/>
      <c r="AT55" s="183">
        <f t="shared" si="24"/>
        <v>0</v>
      </c>
      <c r="AU55" s="193"/>
      <c r="AV55" s="90"/>
      <c r="AW55" s="90"/>
      <c r="AX55" s="183">
        <f t="shared" si="25"/>
        <v>0</v>
      </c>
      <c r="AY55" s="193"/>
      <c r="AZ55" s="90"/>
      <c r="BA55" s="90"/>
      <c r="BB55" s="183">
        <f t="shared" si="26"/>
        <v>0</v>
      </c>
      <c r="BC55" s="193"/>
      <c r="BD55" s="90"/>
      <c r="BE55" s="90"/>
      <c r="BF55" s="183">
        <f t="shared" si="27"/>
        <v>0</v>
      </c>
      <c r="BG55" s="193"/>
      <c r="BH55" s="90"/>
      <c r="BI55" s="90"/>
      <c r="BJ55" s="183">
        <f t="shared" si="28"/>
        <v>0</v>
      </c>
      <c r="BK55" s="193"/>
      <c r="BL55" s="90"/>
      <c r="BM55" s="90"/>
      <c r="BN55" s="183">
        <f t="shared" si="29"/>
        <v>0</v>
      </c>
      <c r="BO55" s="193"/>
      <c r="BP55" s="90"/>
      <c r="BQ55" s="90"/>
      <c r="BR55" s="183">
        <f t="shared" si="30"/>
        <v>0</v>
      </c>
      <c r="BS55" s="193"/>
      <c r="BT55" s="90"/>
      <c r="BU55" s="90"/>
      <c r="BV55" s="183">
        <f t="shared" si="31"/>
        <v>0</v>
      </c>
      <c r="BW55" s="193"/>
      <c r="BX55" s="90"/>
      <c r="BY55" s="90"/>
      <c r="BZ55" s="183">
        <f t="shared" si="32"/>
        <v>0</v>
      </c>
      <c r="CA55" s="193"/>
      <c r="CB55" s="90"/>
      <c r="CC55" s="90"/>
      <c r="CD55" s="183">
        <f t="shared" si="33"/>
        <v>0</v>
      </c>
    </row>
    <row r="56" spans="2:82" x14ac:dyDescent="0.3">
      <c r="B56" s="53"/>
      <c r="C56" s="53" t="str">
        <f t="shared" si="0"/>
        <v>CPU_CapaSAUS</v>
      </c>
      <c r="D56" s="278">
        <f t="shared" si="1"/>
        <v>0.2</v>
      </c>
      <c r="E56" s="278">
        <f t="shared" si="2"/>
        <v>0</v>
      </c>
      <c r="F56" s="1" t="s">
        <v>796</v>
      </c>
      <c r="G56" s="28" t="str">
        <f>IFERROR(VLOOKUP(F56,Tabela7[[RECURSO]:[CUSTO]],2,FALSE),"")</f>
        <v>KG</v>
      </c>
      <c r="I56" s="90">
        <f t="shared" si="41"/>
        <v>0</v>
      </c>
      <c r="J56" s="45">
        <f>IFERROR(VLOOKUP(F56,Tabela7[[RECURSO]:[CUSTO]],3,FALSE),0)</f>
        <v>7.7813852813852806</v>
      </c>
      <c r="K56" s="45">
        <f t="shared" si="42"/>
        <v>0</v>
      </c>
      <c r="M56" s="347"/>
      <c r="N56" s="88"/>
      <c r="O56" s="31">
        <v>401.5</v>
      </c>
      <c r="P56" s="1">
        <v>401.5</v>
      </c>
      <c r="Q56" s="1">
        <v>401.5</v>
      </c>
      <c r="R56" s="1">
        <v>401.5</v>
      </c>
      <c r="S56" s="1">
        <v>413.6</v>
      </c>
      <c r="T56" s="1">
        <v>401.5</v>
      </c>
      <c r="U56" s="1">
        <v>401.5</v>
      </c>
      <c r="V56" s="1">
        <v>401.5</v>
      </c>
      <c r="W56" s="342">
        <v>401.5</v>
      </c>
      <c r="AD56" s="144" t="str">
        <f t="shared" si="3"/>
        <v>Capa SAUS</v>
      </c>
      <c r="AE56" s="192"/>
      <c r="AF56" s="180">
        <f t="shared" si="38"/>
        <v>0</v>
      </c>
      <c r="AG56" s="180">
        <f t="shared" si="17"/>
        <v>0</v>
      </c>
      <c r="AH56" s="181">
        <f t="shared" si="39"/>
        <v>0</v>
      </c>
      <c r="AI56" s="193"/>
      <c r="AJ56" s="90"/>
      <c r="AK56" s="90"/>
      <c r="AL56" s="183">
        <f t="shared" si="40"/>
        <v>0</v>
      </c>
      <c r="AM56" s="193"/>
      <c r="AN56" s="90"/>
      <c r="AO56" s="90"/>
      <c r="AP56" s="183">
        <f t="shared" si="23"/>
        <v>0</v>
      </c>
      <c r="AQ56" s="193"/>
      <c r="AR56" s="90"/>
      <c r="AS56" s="90"/>
      <c r="AT56" s="183">
        <f t="shared" si="24"/>
        <v>0</v>
      </c>
      <c r="AU56" s="193"/>
      <c r="AV56" s="90"/>
      <c r="AW56" s="90"/>
      <c r="AX56" s="183">
        <f t="shared" si="25"/>
        <v>0</v>
      </c>
      <c r="AY56" s="193"/>
      <c r="AZ56" s="90"/>
      <c r="BA56" s="90"/>
      <c r="BB56" s="183">
        <f t="shared" si="26"/>
        <v>0</v>
      </c>
      <c r="BC56" s="193"/>
      <c r="BD56" s="90"/>
      <c r="BE56" s="90"/>
      <c r="BF56" s="183">
        <f t="shared" si="27"/>
        <v>0</v>
      </c>
      <c r="BG56" s="193"/>
      <c r="BH56" s="90"/>
      <c r="BI56" s="90"/>
      <c r="BJ56" s="183">
        <f t="shared" si="28"/>
        <v>0</v>
      </c>
      <c r="BK56" s="193"/>
      <c r="BL56" s="90"/>
      <c r="BM56" s="90"/>
      <c r="BN56" s="183">
        <f t="shared" si="29"/>
        <v>0</v>
      </c>
      <c r="BO56" s="193"/>
      <c r="BP56" s="90"/>
      <c r="BQ56" s="90"/>
      <c r="BR56" s="183">
        <f t="shared" si="30"/>
        <v>0</v>
      </c>
      <c r="BS56" s="193"/>
      <c r="BT56" s="90"/>
      <c r="BU56" s="90"/>
      <c r="BV56" s="183">
        <f t="shared" si="31"/>
        <v>0</v>
      </c>
      <c r="BW56" s="193"/>
      <c r="BX56" s="90"/>
      <c r="BY56" s="90"/>
      <c r="BZ56" s="183">
        <f t="shared" si="32"/>
        <v>0</v>
      </c>
      <c r="CA56" s="193"/>
      <c r="CB56" s="90"/>
      <c r="CC56" s="90"/>
      <c r="CD56" s="183">
        <f t="shared" si="33"/>
        <v>0</v>
      </c>
    </row>
    <row r="57" spans="2:82" x14ac:dyDescent="0.3">
      <c r="B57" s="53"/>
      <c r="C57" s="53" t="str">
        <f t="shared" si="0"/>
        <v>CPU_CapaSAUS</v>
      </c>
      <c r="D57" s="278">
        <f t="shared" si="1"/>
        <v>0.2</v>
      </c>
      <c r="E57" s="278">
        <f t="shared" si="2"/>
        <v>0</v>
      </c>
      <c r="F57" s="1" t="s">
        <v>797</v>
      </c>
      <c r="G57" s="28" t="str">
        <f>IFERROR(VLOOKUP(F57,Tabela7[[RECURSO]:[CUSTO]],2,FALSE),"")</f>
        <v>M2</v>
      </c>
      <c r="I57" s="90">
        <f t="shared" si="41"/>
        <v>0</v>
      </c>
      <c r="J57" s="45">
        <f>IFERROR(VLOOKUP(F57,Tabela7[[RECURSO]:[CUSTO]],3,FALSE),0)</f>
        <v>2.835</v>
      </c>
      <c r="K57" s="45">
        <f t="shared" si="42"/>
        <v>0</v>
      </c>
      <c r="M57" s="347"/>
      <c r="N57" s="88"/>
      <c r="O57" s="31">
        <v>182.5</v>
      </c>
      <c r="P57" s="1">
        <v>182.5</v>
      </c>
      <c r="Q57" s="1">
        <v>182.5</v>
      </c>
      <c r="R57" s="1">
        <v>182.5</v>
      </c>
      <c r="S57" s="1">
        <v>182.5</v>
      </c>
      <c r="T57" s="1">
        <v>182.5</v>
      </c>
      <c r="U57" s="1">
        <v>182.5</v>
      </c>
      <c r="V57" s="1">
        <v>182.5</v>
      </c>
      <c r="W57" s="342">
        <v>182.5</v>
      </c>
      <c r="AD57" s="144" t="str">
        <f t="shared" si="3"/>
        <v>Capa SAUS</v>
      </c>
      <c r="AE57" s="192"/>
      <c r="AF57" s="180">
        <f t="shared" si="38"/>
        <v>0</v>
      </c>
      <c r="AG57" s="180">
        <f t="shared" si="17"/>
        <v>0</v>
      </c>
      <c r="AH57" s="181">
        <f t="shared" si="39"/>
        <v>0</v>
      </c>
      <c r="AI57" s="193"/>
      <c r="AJ57" s="90"/>
      <c r="AK57" s="90"/>
      <c r="AL57" s="183">
        <f t="shared" si="40"/>
        <v>0</v>
      </c>
      <c r="AM57" s="193"/>
      <c r="AN57" s="90"/>
      <c r="AO57" s="90"/>
      <c r="AP57" s="183">
        <f t="shared" si="23"/>
        <v>0</v>
      </c>
      <c r="AQ57" s="193"/>
      <c r="AR57" s="90"/>
      <c r="AS57" s="90"/>
      <c r="AT57" s="183">
        <f t="shared" si="24"/>
        <v>0</v>
      </c>
      <c r="AU57" s="193"/>
      <c r="AV57" s="90"/>
      <c r="AW57" s="90"/>
      <c r="AX57" s="183">
        <f t="shared" si="25"/>
        <v>0</v>
      </c>
      <c r="AY57" s="193"/>
      <c r="AZ57" s="90"/>
      <c r="BA57" s="90"/>
      <c r="BB57" s="183">
        <f t="shared" si="26"/>
        <v>0</v>
      </c>
      <c r="BC57" s="193"/>
      <c r="BD57" s="90"/>
      <c r="BE57" s="90"/>
      <c r="BF57" s="183">
        <f t="shared" si="27"/>
        <v>0</v>
      </c>
      <c r="BG57" s="193"/>
      <c r="BH57" s="90"/>
      <c r="BI57" s="90"/>
      <c r="BJ57" s="183">
        <f t="shared" si="28"/>
        <v>0</v>
      </c>
      <c r="BK57" s="193"/>
      <c r="BL57" s="90"/>
      <c r="BM57" s="90"/>
      <c r="BN57" s="183">
        <f t="shared" si="29"/>
        <v>0</v>
      </c>
      <c r="BO57" s="193"/>
      <c r="BP57" s="90"/>
      <c r="BQ57" s="90"/>
      <c r="BR57" s="183">
        <f t="shared" si="30"/>
        <v>0</v>
      </c>
      <c r="BS57" s="193"/>
      <c r="BT57" s="90"/>
      <c r="BU57" s="90"/>
      <c r="BV57" s="183">
        <f t="shared" si="31"/>
        <v>0</v>
      </c>
      <c r="BW57" s="193"/>
      <c r="BX57" s="90"/>
      <c r="BY57" s="90"/>
      <c r="BZ57" s="183">
        <f t="shared" si="32"/>
        <v>0</v>
      </c>
      <c r="CA57" s="193"/>
      <c r="CB57" s="90"/>
      <c r="CC57" s="90"/>
      <c r="CD57" s="183">
        <f t="shared" si="33"/>
        <v>0</v>
      </c>
    </row>
    <row r="58" spans="2:82" x14ac:dyDescent="0.3">
      <c r="B58" s="53"/>
      <c r="C58" s="53" t="str">
        <f t="shared" si="0"/>
        <v>CPU_CapaSAUS</v>
      </c>
      <c r="D58" s="278">
        <f t="shared" si="1"/>
        <v>0.2</v>
      </c>
      <c r="E58" s="278">
        <f t="shared" si="2"/>
        <v>0</v>
      </c>
      <c r="F58" s="1" t="s">
        <v>798</v>
      </c>
      <c r="G58" s="28" t="str">
        <f>IFERROR(VLOOKUP(F58,Tabela7[[RECURSO]:[CUSTO]],2,FALSE),"")</f>
        <v>M</v>
      </c>
      <c r="I58" s="90">
        <f t="shared" si="41"/>
        <v>0</v>
      </c>
      <c r="J58" s="45">
        <f>IFERROR(VLOOKUP(F58,Tabela7[[RECURSO]:[CUSTO]],3,FALSE),0)</f>
        <v>135</v>
      </c>
      <c r="K58" s="45">
        <f t="shared" si="42"/>
        <v>0</v>
      </c>
      <c r="M58" s="347"/>
      <c r="N58" s="88"/>
      <c r="O58" s="31">
        <v>16.5</v>
      </c>
      <c r="P58" s="1">
        <v>16.5</v>
      </c>
      <c r="Q58" s="1">
        <v>16.5</v>
      </c>
      <c r="R58" s="1">
        <v>16.5</v>
      </c>
      <c r="S58" s="1">
        <v>16.5</v>
      </c>
      <c r="T58" s="1">
        <v>16.5</v>
      </c>
      <c r="U58" s="1">
        <v>16.5</v>
      </c>
      <c r="V58" s="1">
        <v>16.5</v>
      </c>
      <c r="W58" s="342">
        <v>16.5</v>
      </c>
      <c r="AD58" s="144" t="str">
        <f t="shared" si="3"/>
        <v>Capa SAUS</v>
      </c>
      <c r="AE58" s="192"/>
      <c r="AF58" s="180">
        <f t="shared" si="38"/>
        <v>0</v>
      </c>
      <c r="AG58" s="180">
        <f t="shared" si="17"/>
        <v>0</v>
      </c>
      <c r="AH58" s="181">
        <f t="shared" si="39"/>
        <v>0</v>
      </c>
      <c r="AI58" s="193"/>
      <c r="AJ58" s="90"/>
      <c r="AK58" s="90"/>
      <c r="AL58" s="183">
        <f t="shared" si="40"/>
        <v>0</v>
      </c>
      <c r="AM58" s="193"/>
      <c r="AN58" s="90"/>
      <c r="AO58" s="90"/>
      <c r="AP58" s="183">
        <f t="shared" si="23"/>
        <v>0</v>
      </c>
      <c r="AQ58" s="193"/>
      <c r="AR58" s="90"/>
      <c r="AS58" s="90"/>
      <c r="AT58" s="183">
        <f t="shared" si="24"/>
        <v>0</v>
      </c>
      <c r="AU58" s="193"/>
      <c r="AV58" s="90"/>
      <c r="AW58" s="90"/>
      <c r="AX58" s="183">
        <f t="shared" si="25"/>
        <v>0</v>
      </c>
      <c r="AY58" s="193"/>
      <c r="AZ58" s="90"/>
      <c r="BA58" s="90"/>
      <c r="BB58" s="183">
        <f t="shared" si="26"/>
        <v>0</v>
      </c>
      <c r="BC58" s="193"/>
      <c r="BD58" s="90"/>
      <c r="BE58" s="90"/>
      <c r="BF58" s="183">
        <f t="shared" si="27"/>
        <v>0</v>
      </c>
      <c r="BG58" s="193"/>
      <c r="BH58" s="90"/>
      <c r="BI58" s="90"/>
      <c r="BJ58" s="183">
        <f t="shared" si="28"/>
        <v>0</v>
      </c>
      <c r="BK58" s="193"/>
      <c r="BL58" s="90"/>
      <c r="BM58" s="90"/>
      <c r="BN58" s="183">
        <f t="shared" si="29"/>
        <v>0</v>
      </c>
      <c r="BO58" s="193"/>
      <c r="BP58" s="90"/>
      <c r="BQ58" s="90"/>
      <c r="BR58" s="183">
        <f t="shared" si="30"/>
        <v>0</v>
      </c>
      <c r="BS58" s="193"/>
      <c r="BT58" s="90"/>
      <c r="BU58" s="90"/>
      <c r="BV58" s="183">
        <f t="shared" si="31"/>
        <v>0</v>
      </c>
      <c r="BW58" s="193"/>
      <c r="BX58" s="90"/>
      <c r="BY58" s="90"/>
      <c r="BZ58" s="183">
        <f t="shared" si="32"/>
        <v>0</v>
      </c>
      <c r="CA58" s="193"/>
      <c r="CB58" s="90"/>
      <c r="CC58" s="90"/>
      <c r="CD58" s="183">
        <f t="shared" si="33"/>
        <v>0</v>
      </c>
    </row>
    <row r="59" spans="2:82" x14ac:dyDescent="0.3">
      <c r="B59" s="53"/>
      <c r="C59" s="53" t="str">
        <f t="shared" si="0"/>
        <v>CPU_CapaSAUS</v>
      </c>
      <c r="D59" s="278">
        <f t="shared" si="1"/>
        <v>0.2</v>
      </c>
      <c r="E59" s="278">
        <f t="shared" si="2"/>
        <v>0</v>
      </c>
      <c r="F59" s="1" t="s">
        <v>799</v>
      </c>
      <c r="G59" s="28" t="str">
        <f>IFERROR(VLOOKUP(F59,Tabela7[[RECURSO]:[CUSTO]],2,FALSE),"")</f>
        <v>M3</v>
      </c>
      <c r="I59" s="90">
        <f t="shared" si="41"/>
        <v>0</v>
      </c>
      <c r="J59" s="45">
        <f>IFERROR(VLOOKUP(F59,Tabela7[[RECURSO]:[CUSTO]],3,FALSE),0)</f>
        <v>180</v>
      </c>
      <c r="K59" s="45">
        <f t="shared" si="42"/>
        <v>0</v>
      </c>
      <c r="M59" s="347"/>
      <c r="N59" s="88"/>
      <c r="O59" s="31">
        <v>9.1300000000000008</v>
      </c>
      <c r="P59" s="1">
        <v>9.1300000000000008</v>
      </c>
      <c r="Q59" s="1">
        <v>9.1300000000000008</v>
      </c>
      <c r="R59" s="1">
        <v>9.1300000000000008</v>
      </c>
      <c r="S59" s="1">
        <v>9.4</v>
      </c>
      <c r="T59" s="1">
        <v>9.1300000000000008</v>
      </c>
      <c r="U59" s="1">
        <v>9.1300000000000008</v>
      </c>
      <c r="V59" s="1">
        <v>9.1300000000000008</v>
      </c>
      <c r="W59" s="342">
        <v>9.1300000000000008</v>
      </c>
      <c r="AD59" s="144" t="str">
        <f t="shared" si="3"/>
        <v>Capa SAUS</v>
      </c>
      <c r="AE59" s="192"/>
      <c r="AF59" s="180">
        <f t="shared" si="38"/>
        <v>0</v>
      </c>
      <c r="AG59" s="180">
        <f t="shared" si="17"/>
        <v>0</v>
      </c>
      <c r="AH59" s="181">
        <f t="shared" si="39"/>
        <v>0</v>
      </c>
      <c r="AI59" s="193"/>
      <c r="AJ59" s="90"/>
      <c r="AK59" s="90"/>
      <c r="AL59" s="183">
        <f t="shared" si="40"/>
        <v>0</v>
      </c>
      <c r="AM59" s="193"/>
      <c r="AN59" s="90"/>
      <c r="AO59" s="90"/>
      <c r="AP59" s="183">
        <f t="shared" si="23"/>
        <v>0</v>
      </c>
      <c r="AQ59" s="193"/>
      <c r="AR59" s="90"/>
      <c r="AS59" s="90"/>
      <c r="AT59" s="183">
        <f t="shared" si="24"/>
        <v>0</v>
      </c>
      <c r="AU59" s="193"/>
      <c r="AV59" s="90"/>
      <c r="AW59" s="90"/>
      <c r="AX59" s="183">
        <f t="shared" si="25"/>
        <v>0</v>
      </c>
      <c r="AY59" s="193"/>
      <c r="AZ59" s="90"/>
      <c r="BA59" s="90"/>
      <c r="BB59" s="183">
        <f t="shared" si="26"/>
        <v>0</v>
      </c>
      <c r="BC59" s="193"/>
      <c r="BD59" s="90"/>
      <c r="BE59" s="90"/>
      <c r="BF59" s="183">
        <f t="shared" si="27"/>
        <v>0</v>
      </c>
      <c r="BG59" s="193"/>
      <c r="BH59" s="90"/>
      <c r="BI59" s="90"/>
      <c r="BJ59" s="183">
        <f t="shared" si="28"/>
        <v>0</v>
      </c>
      <c r="BK59" s="193"/>
      <c r="BL59" s="90"/>
      <c r="BM59" s="90"/>
      <c r="BN59" s="183">
        <f t="shared" si="29"/>
        <v>0</v>
      </c>
      <c r="BO59" s="193"/>
      <c r="BP59" s="90"/>
      <c r="BQ59" s="90"/>
      <c r="BR59" s="183">
        <f t="shared" si="30"/>
        <v>0</v>
      </c>
      <c r="BS59" s="193"/>
      <c r="BT59" s="90"/>
      <c r="BU59" s="90"/>
      <c r="BV59" s="183">
        <f t="shared" si="31"/>
        <v>0</v>
      </c>
      <c r="BW59" s="193"/>
      <c r="BX59" s="90"/>
      <c r="BY59" s="90"/>
      <c r="BZ59" s="183">
        <f t="shared" si="32"/>
        <v>0</v>
      </c>
      <c r="CA59" s="193"/>
      <c r="CB59" s="90"/>
      <c r="CC59" s="90"/>
      <c r="CD59" s="183">
        <f t="shared" si="33"/>
        <v>0</v>
      </c>
    </row>
    <row r="60" spans="2:82" x14ac:dyDescent="0.3">
      <c r="B60" s="53"/>
      <c r="C60" s="53" t="str">
        <f t="shared" si="0"/>
        <v>CPU_CapaSAUS</v>
      </c>
      <c r="D60" s="278">
        <f t="shared" si="1"/>
        <v>0.2</v>
      </c>
      <c r="E60" s="278">
        <f t="shared" si="2"/>
        <v>0</v>
      </c>
      <c r="F60" s="1" t="s">
        <v>800</v>
      </c>
      <c r="G60" s="28" t="str">
        <f>IFERROR(VLOOKUP(F60,Tabela7[[RECURSO]:[CUSTO]],2,FALSE),"")</f>
        <v>M</v>
      </c>
      <c r="I60" s="90">
        <f t="shared" si="41"/>
        <v>0</v>
      </c>
      <c r="J60" s="45">
        <f>IFERROR(VLOOKUP(F60,Tabela7[[RECURSO]:[CUSTO]],3,FALSE),0)</f>
        <v>8.1666666666666661</v>
      </c>
      <c r="K60" s="45">
        <f t="shared" si="42"/>
        <v>0</v>
      </c>
      <c r="M60" s="347"/>
      <c r="N60" s="88"/>
      <c r="O60" s="31">
        <v>6</v>
      </c>
      <c r="P60" s="1">
        <v>6</v>
      </c>
      <c r="Q60" s="1">
        <v>6</v>
      </c>
      <c r="R60" s="1">
        <v>6</v>
      </c>
      <c r="S60" s="1">
        <v>6</v>
      </c>
      <c r="T60" s="1">
        <v>6</v>
      </c>
      <c r="U60" s="1">
        <v>6</v>
      </c>
      <c r="V60" s="1">
        <v>6</v>
      </c>
      <c r="W60" s="342">
        <v>6</v>
      </c>
      <c r="AD60" s="144" t="str">
        <f t="shared" si="3"/>
        <v>Capa SAUS</v>
      </c>
      <c r="AE60" s="192"/>
      <c r="AF60" s="180">
        <f t="shared" si="38"/>
        <v>0</v>
      </c>
      <c r="AG60" s="180">
        <f t="shared" si="17"/>
        <v>0</v>
      </c>
      <c r="AH60" s="181">
        <f t="shared" si="39"/>
        <v>0</v>
      </c>
      <c r="AI60" s="193"/>
      <c r="AJ60" s="90"/>
      <c r="AK60" s="90"/>
      <c r="AL60" s="183">
        <f t="shared" si="40"/>
        <v>0</v>
      </c>
      <c r="AM60" s="193"/>
      <c r="AN60" s="90"/>
      <c r="AO60" s="90"/>
      <c r="AP60" s="183">
        <f t="shared" si="23"/>
        <v>0</v>
      </c>
      <c r="AQ60" s="193"/>
      <c r="AR60" s="90"/>
      <c r="AS60" s="90"/>
      <c r="AT60" s="183">
        <f t="shared" si="24"/>
        <v>0</v>
      </c>
      <c r="AU60" s="193"/>
      <c r="AV60" s="90"/>
      <c r="AW60" s="90"/>
      <c r="AX60" s="183">
        <f t="shared" si="25"/>
        <v>0</v>
      </c>
      <c r="AY60" s="193"/>
      <c r="AZ60" s="90"/>
      <c r="BA60" s="90"/>
      <c r="BB60" s="183">
        <f t="shared" si="26"/>
        <v>0</v>
      </c>
      <c r="BC60" s="193"/>
      <c r="BD60" s="90"/>
      <c r="BE60" s="90"/>
      <c r="BF60" s="183">
        <f t="shared" si="27"/>
        <v>0</v>
      </c>
      <c r="BG60" s="193"/>
      <c r="BH60" s="90"/>
      <c r="BI60" s="90"/>
      <c r="BJ60" s="183">
        <f t="shared" si="28"/>
        <v>0</v>
      </c>
      <c r="BK60" s="193"/>
      <c r="BL60" s="90"/>
      <c r="BM60" s="90"/>
      <c r="BN60" s="183">
        <f t="shared" si="29"/>
        <v>0</v>
      </c>
      <c r="BO60" s="193"/>
      <c r="BP60" s="90"/>
      <c r="BQ60" s="90"/>
      <c r="BR60" s="183">
        <f t="shared" si="30"/>
        <v>0</v>
      </c>
      <c r="BS60" s="193"/>
      <c r="BT60" s="90"/>
      <c r="BU60" s="90"/>
      <c r="BV60" s="183">
        <f t="shared" si="31"/>
        <v>0</v>
      </c>
      <c r="BW60" s="193"/>
      <c r="BX60" s="90"/>
      <c r="BY60" s="90"/>
      <c r="BZ60" s="183">
        <f t="shared" si="32"/>
        <v>0</v>
      </c>
      <c r="CA60" s="193"/>
      <c r="CB60" s="90"/>
      <c r="CC60" s="90"/>
      <c r="CD60" s="183">
        <f t="shared" si="33"/>
        <v>0</v>
      </c>
    </row>
    <row r="61" spans="2:82" x14ac:dyDescent="0.3">
      <c r="B61" s="53"/>
      <c r="C61" s="53" t="str">
        <f t="shared" si="0"/>
        <v>CPU_CapaSAUS</v>
      </c>
      <c r="D61" s="278">
        <f t="shared" si="1"/>
        <v>0.2</v>
      </c>
      <c r="E61" s="278">
        <f t="shared" si="2"/>
        <v>0</v>
      </c>
      <c r="F61" s="1" t="s">
        <v>765</v>
      </c>
      <c r="G61" s="28" t="str">
        <f>IFERROR(VLOOKUP(F61,Tabela7[[RECURSO]:[CUSTO]],2,FALSE),"")</f>
        <v>TXKM</v>
      </c>
      <c r="I61" s="90">
        <f t="shared" si="41"/>
        <v>2049.3866666666668</v>
      </c>
      <c r="J61" s="45">
        <f>IFERROR(VLOOKUP(F61,Tabela7[[RECURSO]:[CUSTO]],3,FALSE),0)</f>
        <v>1.2</v>
      </c>
      <c r="K61" s="45">
        <f t="shared" si="42"/>
        <v>2459.2640000000001</v>
      </c>
      <c r="M61" s="347">
        <f t="shared" si="43"/>
        <v>10246.933333333334</v>
      </c>
      <c r="N61" s="88"/>
      <c r="O61" s="31">
        <f>O51*0.04*2.4*50</f>
        <v>7104.0000000000009</v>
      </c>
      <c r="P61" s="1">
        <f t="shared" ref="P61:W61" si="47">P51*0.04*2.4*50</f>
        <v>7104.0000000000009</v>
      </c>
      <c r="Q61" s="1">
        <f t="shared" si="47"/>
        <v>11913.6</v>
      </c>
      <c r="R61" s="1">
        <f t="shared" si="47"/>
        <v>17611.2</v>
      </c>
      <c r="S61" s="1">
        <f t="shared" si="47"/>
        <v>11832</v>
      </c>
      <c r="T61" s="1">
        <f t="shared" si="47"/>
        <v>9484.7999999999993</v>
      </c>
      <c r="U61" s="1">
        <f t="shared" si="47"/>
        <v>8169.5999999999995</v>
      </c>
      <c r="V61" s="1">
        <f t="shared" si="47"/>
        <v>9739.1999999999989</v>
      </c>
      <c r="W61" s="342">
        <f t="shared" si="47"/>
        <v>9264</v>
      </c>
      <c r="AD61" s="144" t="str">
        <f t="shared" si="3"/>
        <v>Capa SAUS</v>
      </c>
      <c r="AE61" s="192"/>
      <c r="AF61" s="180">
        <f t="shared" si="38"/>
        <v>0</v>
      </c>
      <c r="AG61" s="180">
        <f t="shared" si="17"/>
        <v>0</v>
      </c>
      <c r="AH61" s="181">
        <f t="shared" si="39"/>
        <v>0</v>
      </c>
      <c r="AI61" s="193"/>
      <c r="AJ61" s="90"/>
      <c r="AK61" s="90"/>
      <c r="AL61" s="183">
        <f t="shared" si="40"/>
        <v>0</v>
      </c>
      <c r="AM61" s="193"/>
      <c r="AN61" s="90"/>
      <c r="AO61" s="90"/>
      <c r="AP61" s="183">
        <f t="shared" si="23"/>
        <v>0</v>
      </c>
      <c r="AQ61" s="193"/>
      <c r="AR61" s="90"/>
      <c r="AS61" s="90"/>
      <c r="AT61" s="183">
        <f t="shared" si="24"/>
        <v>0</v>
      </c>
      <c r="AU61" s="193"/>
      <c r="AV61" s="90"/>
      <c r="AW61" s="90"/>
      <c r="AX61" s="183">
        <f t="shared" si="25"/>
        <v>0</v>
      </c>
      <c r="AY61" s="193"/>
      <c r="AZ61" s="90"/>
      <c r="BA61" s="90"/>
      <c r="BB61" s="183">
        <f t="shared" si="26"/>
        <v>0</v>
      </c>
      <c r="BC61" s="193"/>
      <c r="BD61" s="90"/>
      <c r="BE61" s="90"/>
      <c r="BF61" s="183">
        <f t="shared" si="27"/>
        <v>0</v>
      </c>
      <c r="BG61" s="193"/>
      <c r="BH61" s="90"/>
      <c r="BI61" s="90"/>
      <c r="BJ61" s="183">
        <f t="shared" si="28"/>
        <v>0</v>
      </c>
      <c r="BK61" s="193"/>
      <c r="BL61" s="90"/>
      <c r="BM61" s="90"/>
      <c r="BN61" s="183">
        <f t="shared" si="29"/>
        <v>0</v>
      </c>
      <c r="BO61" s="193"/>
      <c r="BP61" s="90"/>
      <c r="BQ61" s="90"/>
      <c r="BR61" s="183">
        <f t="shared" si="30"/>
        <v>0</v>
      </c>
      <c r="BS61" s="193"/>
      <c r="BT61" s="90"/>
      <c r="BU61" s="90"/>
      <c r="BV61" s="183">
        <f t="shared" si="31"/>
        <v>0</v>
      </c>
      <c r="BW61" s="193"/>
      <c r="BX61" s="90"/>
      <c r="BY61" s="90"/>
      <c r="BZ61" s="183">
        <f t="shared" si="32"/>
        <v>0</v>
      </c>
      <c r="CA61" s="193"/>
      <c r="CB61" s="90"/>
      <c r="CC61" s="90"/>
      <c r="CD61" s="183">
        <f t="shared" si="33"/>
        <v>0</v>
      </c>
    </row>
    <row r="62" spans="2:82" ht="15" thickBot="1" x14ac:dyDescent="0.35">
      <c r="B62" s="53"/>
      <c r="C62" s="53" t="str">
        <f t="shared" si="0"/>
        <v>CPU_CapaSAUS</v>
      </c>
      <c r="D62" s="278">
        <f t="shared" si="1"/>
        <v>0.2</v>
      </c>
      <c r="E62" s="278">
        <f t="shared" si="2"/>
        <v>0</v>
      </c>
      <c r="F62" s="1" t="s">
        <v>801</v>
      </c>
      <c r="G62" s="28" t="str">
        <f>IFERROR(VLOOKUP(F62,Tabela7[[RECURSO]:[CUSTO]],2,FALSE),"")</f>
        <v>M2</v>
      </c>
      <c r="I62" s="90">
        <f t="shared" si="41"/>
        <v>0</v>
      </c>
      <c r="J62" s="45">
        <f>IFERROR(VLOOKUP(F62,Tabela7[[RECURSO]:[CUSTO]],3,FALSE),0)</f>
        <v>50</v>
      </c>
      <c r="K62" s="45">
        <f t="shared" si="42"/>
        <v>0</v>
      </c>
      <c r="M62" s="348"/>
      <c r="N62" s="88"/>
      <c r="O62" s="51">
        <v>182.5</v>
      </c>
      <c r="P62" s="343">
        <v>182.5</v>
      </c>
      <c r="Q62" s="343">
        <v>182.5</v>
      </c>
      <c r="R62" s="343">
        <v>182.5</v>
      </c>
      <c r="S62" s="343">
        <v>182.5</v>
      </c>
      <c r="T62" s="343">
        <v>182.5</v>
      </c>
      <c r="U62" s="343">
        <v>182.5</v>
      </c>
      <c r="V62" s="343">
        <v>182.5</v>
      </c>
      <c r="W62" s="344">
        <v>182.5</v>
      </c>
      <c r="AD62" s="144" t="str">
        <f t="shared" si="3"/>
        <v>Capa SAUS</v>
      </c>
      <c r="AE62" s="194"/>
      <c r="AF62" s="195">
        <f t="shared" si="38"/>
        <v>0</v>
      </c>
      <c r="AG62" s="195">
        <f t="shared" si="17"/>
        <v>0</v>
      </c>
      <c r="AH62" s="196">
        <f t="shared" si="39"/>
        <v>0</v>
      </c>
      <c r="AI62" s="197"/>
      <c r="AJ62" s="198"/>
      <c r="AK62" s="198"/>
      <c r="AL62" s="199">
        <f t="shared" si="40"/>
        <v>0</v>
      </c>
      <c r="AM62" s="197"/>
      <c r="AN62" s="198"/>
      <c r="AO62" s="198"/>
      <c r="AP62" s="199">
        <f t="shared" si="23"/>
        <v>0</v>
      </c>
      <c r="AQ62" s="197"/>
      <c r="AR62" s="198"/>
      <c r="AS62" s="198"/>
      <c r="AT62" s="199">
        <f t="shared" si="24"/>
        <v>0</v>
      </c>
      <c r="AU62" s="197"/>
      <c r="AV62" s="198"/>
      <c r="AW62" s="198"/>
      <c r="AX62" s="199">
        <f t="shared" si="25"/>
        <v>0</v>
      </c>
      <c r="AY62" s="197"/>
      <c r="AZ62" s="198"/>
      <c r="BA62" s="198"/>
      <c r="BB62" s="199">
        <f t="shared" si="26"/>
        <v>0</v>
      </c>
      <c r="BC62" s="197"/>
      <c r="BD62" s="198"/>
      <c r="BE62" s="198"/>
      <c r="BF62" s="199">
        <f t="shared" si="27"/>
        <v>0</v>
      </c>
      <c r="BG62" s="197"/>
      <c r="BH62" s="198"/>
      <c r="BI62" s="198"/>
      <c r="BJ62" s="199">
        <f t="shared" si="28"/>
        <v>0</v>
      </c>
      <c r="BK62" s="197"/>
      <c r="BL62" s="198"/>
      <c r="BM62" s="198"/>
      <c r="BN62" s="199">
        <f t="shared" si="29"/>
        <v>0</v>
      </c>
      <c r="BO62" s="197"/>
      <c r="BP62" s="198"/>
      <c r="BQ62" s="198"/>
      <c r="BR62" s="199">
        <f t="shared" si="30"/>
        <v>0</v>
      </c>
      <c r="BS62" s="197"/>
      <c r="BT62" s="198"/>
      <c r="BU62" s="198"/>
      <c r="BV62" s="199">
        <f t="shared" si="31"/>
        <v>0</v>
      </c>
      <c r="BW62" s="197"/>
      <c r="BX62" s="198"/>
      <c r="BY62" s="198"/>
      <c r="BZ62" s="199">
        <f t="shared" si="32"/>
        <v>0</v>
      </c>
      <c r="CA62" s="197"/>
      <c r="CB62" s="198"/>
      <c r="CC62" s="198"/>
      <c r="CD62" s="199">
        <f t="shared" si="33"/>
        <v>0</v>
      </c>
    </row>
    <row r="66" spans="15:15" x14ac:dyDescent="0.3">
      <c r="O66">
        <f>150*0.05*2.4</f>
        <v>18</v>
      </c>
    </row>
  </sheetData>
  <phoneticPr fontId="58" type="noConversion"/>
  <conditionalFormatting sqref="K6:K7">
    <cfRule type="iconSet" priority="14">
      <iconSet>
        <cfvo type="percent" val="0"/>
        <cfvo type="num" val="0"/>
        <cfvo type="num" val="0.02"/>
      </iconSet>
    </cfRule>
  </conditionalFormatting>
  <conditionalFormatting sqref="AH6:AH7">
    <cfRule type="iconSet" priority="13">
      <iconSet>
        <cfvo type="percent" val="0"/>
        <cfvo type="num" val="0"/>
        <cfvo type="num" val="0.02"/>
      </iconSet>
    </cfRule>
  </conditionalFormatting>
  <conditionalFormatting sqref="AL6:AL7">
    <cfRule type="iconSet" priority="12">
      <iconSet>
        <cfvo type="percent" val="0"/>
        <cfvo type="num" val="0"/>
        <cfvo type="num" val="0.02"/>
      </iconSet>
    </cfRule>
  </conditionalFormatting>
  <conditionalFormatting sqref="AP6:AP7">
    <cfRule type="iconSet" priority="11">
      <iconSet>
        <cfvo type="percent" val="0"/>
        <cfvo type="num" val="0"/>
        <cfvo type="num" val="0.02"/>
      </iconSet>
    </cfRule>
  </conditionalFormatting>
  <conditionalFormatting sqref="AT6:AT7">
    <cfRule type="iconSet" priority="10">
      <iconSet>
        <cfvo type="percent" val="0"/>
        <cfvo type="num" val="0"/>
        <cfvo type="num" val="0.02"/>
      </iconSet>
    </cfRule>
  </conditionalFormatting>
  <conditionalFormatting sqref="AX6:AX7">
    <cfRule type="iconSet" priority="9">
      <iconSet>
        <cfvo type="percent" val="0"/>
        <cfvo type="num" val="0"/>
        <cfvo type="num" val="0.02"/>
      </iconSet>
    </cfRule>
  </conditionalFormatting>
  <conditionalFormatting sqref="BB6:BB7">
    <cfRule type="iconSet" priority="8">
      <iconSet>
        <cfvo type="percent" val="0"/>
        <cfvo type="num" val="0"/>
        <cfvo type="num" val="0.02"/>
      </iconSet>
    </cfRule>
  </conditionalFormatting>
  <conditionalFormatting sqref="BF6:BF7">
    <cfRule type="iconSet" priority="7">
      <iconSet>
        <cfvo type="percent" val="0"/>
        <cfvo type="num" val="0"/>
        <cfvo type="num" val="0.02"/>
      </iconSet>
    </cfRule>
  </conditionalFormatting>
  <conditionalFormatting sqref="BJ6:BJ7">
    <cfRule type="iconSet" priority="6">
      <iconSet>
        <cfvo type="percent" val="0"/>
        <cfvo type="num" val="0"/>
        <cfvo type="num" val="0.02"/>
      </iconSet>
    </cfRule>
  </conditionalFormatting>
  <conditionalFormatting sqref="BN6:BN7">
    <cfRule type="iconSet" priority="5">
      <iconSet>
        <cfvo type="percent" val="0"/>
        <cfvo type="num" val="0"/>
        <cfvo type="num" val="0.02"/>
      </iconSet>
    </cfRule>
  </conditionalFormatting>
  <conditionalFormatting sqref="BR6:BR7">
    <cfRule type="iconSet" priority="4">
      <iconSet>
        <cfvo type="percent" val="0"/>
        <cfvo type="num" val="0"/>
        <cfvo type="num" val="0.02"/>
      </iconSet>
    </cfRule>
  </conditionalFormatting>
  <conditionalFormatting sqref="BV6:BV7">
    <cfRule type="iconSet" priority="3">
      <iconSet>
        <cfvo type="percent" val="0"/>
        <cfvo type="num" val="0"/>
        <cfvo type="num" val="0.02"/>
      </iconSet>
    </cfRule>
  </conditionalFormatting>
  <conditionalFormatting sqref="BZ6:BZ7">
    <cfRule type="iconSet" priority="2">
      <iconSet>
        <cfvo type="percent" val="0"/>
        <cfvo type="num" val="0"/>
        <cfvo type="num" val="0.02"/>
      </iconSet>
    </cfRule>
  </conditionalFormatting>
  <conditionalFormatting sqref="CD6:CD7">
    <cfRule type="iconSet" priority="1">
      <iconSet>
        <cfvo type="percent" val="0"/>
        <cfvo type="num" val="0"/>
        <cfvo type="num" val="0.02"/>
      </iconSet>
    </cfRule>
  </conditionalFormatting>
  <dataValidations count="5">
    <dataValidation type="list" allowBlank="1" showInputMessage="1" showErrorMessage="1" sqref="F51:F62" xr:uid="{E38AC31A-76A2-4F04-88CA-D95D12E09B5B}">
      <formula1>INDIRECT($B$50)</formula1>
    </dataValidation>
    <dataValidation type="list" allowBlank="1" showInputMessage="1" showErrorMessage="1" sqref="F38:F49" xr:uid="{7A024CB9-F373-47E5-B48E-AC0327570119}">
      <formula1>INDIRECT($B$37)</formula1>
    </dataValidation>
    <dataValidation type="list" allowBlank="1" showInputMessage="1" showErrorMessage="1" sqref="F25:F36" xr:uid="{87FFFFB6-8496-4B0D-B273-01BBCF8A6E58}">
      <formula1>INDIRECT($B$24)</formula1>
    </dataValidation>
    <dataValidation type="list" allowBlank="1" showInputMessage="1" showErrorMessage="1" sqref="F12:F23" xr:uid="{CCB5B353-FC48-4CF0-BB32-C593469745F1}">
      <formula1>INDIRECT($B$11)</formula1>
    </dataValidation>
    <dataValidation type="list" allowBlank="1" showInputMessage="1" showErrorMessage="1" sqref="B3:E3" xr:uid="{C68BE966-D23E-4F2F-B265-DAAB0C8964A0}">
      <formula1>INDIRECT($B$2)</formula1>
    </dataValidation>
  </dataValidations>
  <pageMargins left="0.51181102362204722" right="0.51181102362204722" top="0.19685039370078741" bottom="0.19685039370078741" header="0.31496062992125984" footer="0.31496062992125984"/>
  <pageSetup paperSize="9" scale="82" orientation="portrait" r:id="rId1"/>
  <colBreaks count="1" manualBreakCount="1">
    <brk id="11" max="1048575" man="1"/>
  </colBreaks>
  <drawing r:id="rId2"/>
  <legacyDrawing r:id="rId3"/>
  <tableParts count="2">
    <tablePart r:id="rId4"/>
    <tablePart r:id="rId5"/>
  </tablePart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38374-50B0-4105-BD3E-81CD815D4AE2}">
  <sheetPr codeName="Plan21"/>
  <dimension ref="A1:CD62"/>
  <sheetViews>
    <sheetView showGridLines="0" zoomScaleNormal="100" workbookViewId="0">
      <pane xSplit="14" ySplit="10" topLeftCell="O37" activePane="bottomRight" state="frozen"/>
      <selection pane="topRight" activeCell="C28" activeCellId="1" sqref="E13 C28"/>
      <selection pane="bottomLeft" activeCell="C28" activeCellId="1" sqref="E13 C28"/>
      <selection pane="bottomRight" activeCell="B3" sqref="B3"/>
    </sheetView>
  </sheetViews>
  <sheetFormatPr defaultRowHeight="14.4" x14ac:dyDescent="0.3"/>
  <cols>
    <col min="1" max="1" width="4.109375" customWidth="1"/>
    <col min="2" max="2" width="16.109375" customWidth="1"/>
    <col min="3" max="5" width="16.109375" hidden="1" customWidth="1"/>
    <col min="6" max="6" width="40.6640625" customWidth="1"/>
    <col min="7" max="7" width="10.6640625" style="28" customWidth="1"/>
    <col min="8" max="8" width="7.6640625" style="28" customWidth="1"/>
    <col min="9" max="11" width="10.6640625" customWidth="1"/>
    <col min="12" max="12" width="2.33203125" customWidth="1"/>
    <col min="13" max="14" width="12.6640625" customWidth="1"/>
    <col min="15" max="15" width="14" bestFit="1" customWidth="1"/>
    <col min="30" max="30" width="12.44140625" bestFit="1" customWidth="1"/>
    <col min="31" max="31" width="7.6640625" customWidth="1"/>
    <col min="32" max="32" width="9.33203125" bestFit="1" customWidth="1"/>
    <col min="33" max="34" width="10.6640625" customWidth="1"/>
    <col min="35" max="35" width="7.6640625" customWidth="1"/>
    <col min="36" max="36" width="9.33203125" customWidth="1"/>
    <col min="37" max="38" width="10.6640625" customWidth="1"/>
    <col min="40" max="40" width="9.33203125" customWidth="1"/>
    <col min="42" max="42" width="9.6640625" customWidth="1"/>
    <col min="44" max="44" width="9.33203125" customWidth="1"/>
    <col min="46" max="46" width="9.6640625" customWidth="1"/>
    <col min="48" max="48" width="9.33203125" customWidth="1"/>
    <col min="50" max="50" width="9.6640625" customWidth="1"/>
    <col min="52" max="52" width="9.33203125" customWidth="1"/>
    <col min="54" max="54" width="9.6640625" customWidth="1"/>
    <col min="56" max="56" width="9.33203125" customWidth="1"/>
    <col min="58" max="58" width="9.6640625" customWidth="1"/>
    <col min="60" max="60" width="9.33203125" customWidth="1"/>
    <col min="62" max="62" width="9.6640625" customWidth="1"/>
    <col min="64" max="64" width="9.33203125" customWidth="1"/>
    <col min="66" max="66" width="9.6640625" customWidth="1"/>
    <col min="68" max="68" width="9.33203125" customWidth="1"/>
    <col min="70" max="70" width="9.6640625" customWidth="1"/>
    <col min="72" max="72" width="10" customWidth="1"/>
    <col min="73" max="73" width="9.5546875" customWidth="1"/>
    <col min="74" max="74" width="10.44140625" customWidth="1"/>
    <col min="76" max="76" width="10" customWidth="1"/>
    <col min="77" max="77" width="9.5546875" customWidth="1"/>
    <col min="78" max="78" width="10.44140625" customWidth="1"/>
    <col min="80" max="80" width="10" customWidth="1"/>
    <col min="81" max="81" width="9.5546875" customWidth="1"/>
    <col min="82" max="82" width="10.44140625" customWidth="1"/>
  </cols>
  <sheetData>
    <row r="1" spans="1:82" ht="26.4" customHeight="1" thickBot="1" x14ac:dyDescent="0.35">
      <c r="AE1" s="163" t="s">
        <v>678</v>
      </c>
    </row>
    <row r="2" spans="1:82" x14ac:dyDescent="0.3">
      <c r="B2" s="64" t="s">
        <v>679</v>
      </c>
      <c r="C2" s="67"/>
      <c r="D2" s="67"/>
      <c r="E2" s="67"/>
      <c r="F2" s="65"/>
      <c r="G2" s="66"/>
      <c r="H2" s="66"/>
      <c r="I2" s="65"/>
      <c r="J2" s="67" t="s">
        <v>680</v>
      </c>
      <c r="K2" s="68" t="s">
        <v>681</v>
      </c>
      <c r="M2" s="227" t="s">
        <v>682</v>
      </c>
      <c r="N2" s="228" t="s">
        <v>683</v>
      </c>
      <c r="O2" s="234" t="s">
        <v>684</v>
      </c>
      <c r="AE2" s="164" t="s">
        <v>590</v>
      </c>
      <c r="AF2" s="165" t="s">
        <v>20</v>
      </c>
      <c r="AG2" s="67"/>
      <c r="AH2" s="68" t="s">
        <v>681</v>
      </c>
      <c r="AI2" s="166">
        <v>44927</v>
      </c>
      <c r="AJ2" s="165" t="s">
        <v>20</v>
      </c>
      <c r="AK2" s="67"/>
      <c r="AL2" s="68" t="s">
        <v>681</v>
      </c>
      <c r="AM2" s="166">
        <v>44958</v>
      </c>
      <c r="AN2" s="165" t="s">
        <v>20</v>
      </c>
      <c r="AO2" s="67"/>
      <c r="AP2" s="68" t="s">
        <v>681</v>
      </c>
      <c r="AQ2" s="166">
        <v>44986</v>
      </c>
      <c r="AR2" s="165" t="s">
        <v>20</v>
      </c>
      <c r="AS2" s="67"/>
      <c r="AT2" s="68" t="s">
        <v>681</v>
      </c>
      <c r="AU2" s="166">
        <v>45017</v>
      </c>
      <c r="AV2" s="165" t="s">
        <v>20</v>
      </c>
      <c r="AW2" s="67"/>
      <c r="AX2" s="68" t="s">
        <v>681</v>
      </c>
      <c r="AY2" s="166">
        <v>45047</v>
      </c>
      <c r="AZ2" s="165" t="s">
        <v>20</v>
      </c>
      <c r="BA2" s="67"/>
      <c r="BB2" s="68" t="s">
        <v>681</v>
      </c>
      <c r="BC2" s="166">
        <v>45078</v>
      </c>
      <c r="BD2" s="165" t="s">
        <v>20</v>
      </c>
      <c r="BE2" s="67"/>
      <c r="BF2" s="68" t="s">
        <v>681</v>
      </c>
      <c r="BG2" s="166">
        <v>45108</v>
      </c>
      <c r="BH2" s="165" t="s">
        <v>20</v>
      </c>
      <c r="BI2" s="67"/>
      <c r="BJ2" s="68" t="s">
        <v>681</v>
      </c>
      <c r="BK2" s="166">
        <v>45139</v>
      </c>
      <c r="BL2" s="165" t="s">
        <v>20</v>
      </c>
      <c r="BM2" s="67"/>
      <c r="BN2" s="68" t="s">
        <v>681</v>
      </c>
      <c r="BO2" s="166">
        <v>45170</v>
      </c>
      <c r="BP2" s="165" t="s">
        <v>20</v>
      </c>
      <c r="BQ2" s="67"/>
      <c r="BR2" s="68" t="s">
        <v>681</v>
      </c>
      <c r="BS2" s="166">
        <v>45200</v>
      </c>
      <c r="BT2" s="165" t="s">
        <v>20</v>
      </c>
      <c r="BU2" s="67"/>
      <c r="BV2" s="68" t="s">
        <v>681</v>
      </c>
      <c r="BW2" s="166">
        <v>45231</v>
      </c>
      <c r="BX2" s="165" t="s">
        <v>20</v>
      </c>
      <c r="BY2" s="67"/>
      <c r="BZ2" s="68" t="s">
        <v>681</v>
      </c>
      <c r="CA2" s="166">
        <v>45261</v>
      </c>
      <c r="CB2" s="165" t="s">
        <v>20</v>
      </c>
      <c r="CC2" s="67"/>
      <c r="CD2" s="68" t="s">
        <v>681</v>
      </c>
    </row>
    <row r="3" spans="1:82" x14ac:dyDescent="0.3">
      <c r="A3" s="42" t="str">
        <f>"CPU_"&amp;LEFT(SUBSTITUTE(SUBSTITUTE(B3," ",""),"-",""),20)</f>
        <v>CPU_TachaRefletiva</v>
      </c>
      <c r="B3" s="31" t="s">
        <v>840</v>
      </c>
      <c r="C3" s="1"/>
      <c r="D3" s="1"/>
      <c r="E3" s="1"/>
      <c r="F3" s="73"/>
      <c r="G3" s="74"/>
      <c r="H3" s="74"/>
      <c r="I3" s="73"/>
      <c r="J3" s="74" t="str">
        <f>IFERROR(VLOOKUP(B3,Tabela1[[NOME SERVIÇO]:[UNID]],4,0),"")</f>
        <v>UNID</v>
      </c>
      <c r="K3" s="75">
        <f>IFERROR(J6/B6,0)</f>
        <v>18.5</v>
      </c>
      <c r="M3" s="229" t="s">
        <v>685</v>
      </c>
      <c r="N3" s="230">
        <f>K11</f>
        <v>0</v>
      </c>
      <c r="O3" s="235">
        <f>IFERROR(N3/$N$7,0)</f>
        <v>0</v>
      </c>
      <c r="AE3" s="167"/>
      <c r="AF3" s="168">
        <f>AJ3+AN3+AR3+AV3+AZ3+BD3+BH3+BL3+BP3+BT3+BX3+CB3</f>
        <v>0</v>
      </c>
      <c r="AG3" s="74"/>
      <c r="AH3" s="75">
        <f>IFERROR((AG6/AF3),0)</f>
        <v>0</v>
      </c>
      <c r="AI3" s="167"/>
      <c r="AJ3" s="168">
        <f>IFERROR(SUMPRODUCT(Plan_Orc!$I$4:$I$2002*Plan_Orc!$AB$4:$AB$2002*(Plan_Orc!$D$4:$D$2002=$B3)),0)</f>
        <v>0</v>
      </c>
      <c r="AK3" s="74"/>
      <c r="AL3" s="75">
        <f>IFERROR((AK6/AJ3),0)</f>
        <v>0</v>
      </c>
      <c r="AM3" s="167"/>
      <c r="AN3" s="168">
        <f>IFERROR(SUMPRODUCT(Plan_Orc!$I$4:$I$2002*Plan_Orc!$AC$4:$AC$2002*(Plan_Orc!$D$4:$D$2002=$B3)),0)</f>
        <v>0</v>
      </c>
      <c r="AO3" s="74"/>
      <c r="AP3" s="75">
        <f>IFERROR((AO6/AN3),0)</f>
        <v>0</v>
      </c>
      <c r="AQ3" s="167"/>
      <c r="AR3" s="168">
        <f>IFERROR(SUMPRODUCT(Plan_Orc!$I$4:$I$2002*Plan_Orc!$AD$4:$AD$2002*(Plan_Orc!$D$4:$D$2002=$B3)),0)</f>
        <v>0</v>
      </c>
      <c r="AS3" s="74"/>
      <c r="AT3" s="75">
        <f>IFERROR((AS6/AR3),0)</f>
        <v>0</v>
      </c>
      <c r="AU3" s="167"/>
      <c r="AV3" s="168">
        <f>IFERROR(SUMPRODUCT(Plan_Orc!$I$4:$I$2002*Plan_Orc!$AE$4:$AE$2002*(Plan_Orc!$D$4:$D$2002=$B3)),0)</f>
        <v>0</v>
      </c>
      <c r="AW3" s="74"/>
      <c r="AX3" s="75">
        <f>IFERROR((AW6/AV3),0)</f>
        <v>0</v>
      </c>
      <c r="AY3" s="167"/>
      <c r="AZ3" s="168">
        <f>IFERROR(SUMPRODUCT(Plan_Orc!$I$4:$I$2002*Plan_Orc!$AF$4:$AF$2002*(Plan_Orc!$D$4:$D$2002=$B3)),0)</f>
        <v>0</v>
      </c>
      <c r="BA3" s="74"/>
      <c r="BB3" s="75">
        <f>IFERROR((BA6/AZ3),0)</f>
        <v>0</v>
      </c>
      <c r="BC3" s="167"/>
      <c r="BD3" s="168">
        <f>IFERROR(SUMPRODUCT(Plan_Orc!$I$4:$I$2002*Plan_Orc!$AG$4:$AG$2002*(Plan_Orc!$D$4:$D$2002=$B3)),0)</f>
        <v>0</v>
      </c>
      <c r="BE3" s="74"/>
      <c r="BF3" s="75">
        <f>IFERROR((BE6/BD3),0)</f>
        <v>0</v>
      </c>
      <c r="BG3" s="167"/>
      <c r="BH3" s="168">
        <f>IFERROR(SUMPRODUCT(Plan_Orc!$I$4:$I$2002*Plan_Orc!$AH$4:$AH$2002*(Plan_Orc!$D$4:$D$2002=$B3)),0)</f>
        <v>0</v>
      </c>
      <c r="BI3" s="74"/>
      <c r="BJ3" s="75">
        <f>IFERROR((BI6/BH3),0)</f>
        <v>0</v>
      </c>
      <c r="BK3" s="167"/>
      <c r="BL3" s="168">
        <f>IFERROR(SUMPRODUCT(Plan_Orc!$I$4:$I$2002*Plan_Orc!$AI$4:$AI$2002*(Plan_Orc!$D$4:$D$2002=$B3)),0)</f>
        <v>0</v>
      </c>
      <c r="BM3" s="74"/>
      <c r="BN3" s="75">
        <f>IFERROR((BM6/BL3),0)</f>
        <v>0</v>
      </c>
      <c r="BO3" s="167"/>
      <c r="BP3" s="168">
        <f>IFERROR(SUMPRODUCT(Plan_Orc!$I$4:$I$2002*Plan_Orc!$AJ$4:$AJ$2002*(Plan_Orc!$D$4:$D$2002=$B3)),0)</f>
        <v>0</v>
      </c>
      <c r="BQ3" s="74"/>
      <c r="BR3" s="75">
        <f>IFERROR((BQ6/BP3),0)</f>
        <v>0</v>
      </c>
      <c r="BS3" s="167"/>
      <c r="BT3" s="168">
        <f>IFERROR(SUMPRODUCT(Plan_Orc!$I$4:$I$2002*Plan_Orc!$AK$4:$AK$2002*(Plan_Orc!$D$4:$D$2002=$B3)),0)</f>
        <v>0</v>
      </c>
      <c r="BU3" s="74"/>
      <c r="BV3" s="75">
        <f>IFERROR((BU6/BT3),0)</f>
        <v>0</v>
      </c>
      <c r="BW3" s="167"/>
      <c r="BX3" s="168">
        <f>IFERROR(SUMPRODUCT(Plan_Orc!$I$4:$I$2002*Plan_Orc!$AL$4:$AL$2002*(Plan_Orc!$D$4:$D$2002=$B3)),0)</f>
        <v>0</v>
      </c>
      <c r="BY3" s="74"/>
      <c r="BZ3" s="75">
        <f>IFERROR((BY6/BX3),0)</f>
        <v>0</v>
      </c>
      <c r="CA3" s="167"/>
      <c r="CB3" s="168">
        <f>IFERROR(SUMPRODUCT(Plan_Orc!$I$4:$I$2002*Plan_Orc!$AM$4:$AM$2002*(Plan_Orc!$D$4:$D$2002=$B3)),0)</f>
        <v>0</v>
      </c>
      <c r="CC3" s="74"/>
      <c r="CD3" s="75">
        <f>IFERROR((CC6/CB3),0)</f>
        <v>0</v>
      </c>
    </row>
    <row r="4" spans="1:82" x14ac:dyDescent="0.3">
      <c r="B4" s="32"/>
      <c r="K4" s="30"/>
      <c r="M4" s="229" t="s">
        <v>686</v>
      </c>
      <c r="N4" s="230">
        <f>+K24</f>
        <v>0</v>
      </c>
      <c r="O4" s="235">
        <f>IFERROR(N4/$N$7,0)</f>
        <v>0</v>
      </c>
      <c r="AE4" s="169"/>
      <c r="AH4" s="30"/>
      <c r="AI4" s="169"/>
      <c r="AL4" s="30"/>
      <c r="AM4" s="169"/>
      <c r="AP4" s="30"/>
      <c r="AQ4" s="169"/>
      <c r="AT4" s="30"/>
      <c r="AU4" s="169"/>
      <c r="AX4" s="30"/>
      <c r="AY4" s="169"/>
      <c r="BB4" s="30"/>
      <c r="BC4" s="169"/>
      <c r="BF4" s="30"/>
      <c r="BG4" s="169"/>
      <c r="BJ4" s="30"/>
      <c r="BK4" s="169"/>
      <c r="BN4" s="30"/>
      <c r="BO4" s="169"/>
      <c r="BR4" s="30"/>
      <c r="BS4" s="169"/>
      <c r="BV4" s="30"/>
      <c r="BW4" s="169"/>
      <c r="BZ4" s="30"/>
      <c r="CA4" s="169"/>
      <c r="CD4" s="30"/>
    </row>
    <row r="5" spans="1:82" x14ac:dyDescent="0.3">
      <c r="B5" s="69" t="s">
        <v>687</v>
      </c>
      <c r="C5" s="72"/>
      <c r="D5" s="72"/>
      <c r="E5" s="72"/>
      <c r="F5" s="70" t="s">
        <v>688</v>
      </c>
      <c r="G5" s="70" t="s">
        <v>689</v>
      </c>
      <c r="H5" s="70" t="s">
        <v>690</v>
      </c>
      <c r="I5" s="70" t="s">
        <v>691</v>
      </c>
      <c r="J5" s="70" t="s">
        <v>683</v>
      </c>
      <c r="K5" s="71" t="s">
        <v>593</v>
      </c>
      <c r="M5" s="229" t="s">
        <v>692</v>
      </c>
      <c r="N5" s="230">
        <f>+K37</f>
        <v>0</v>
      </c>
      <c r="O5" s="235">
        <f>IFERROR(N5/$N$7,0)</f>
        <v>0</v>
      </c>
      <c r="AE5" s="170"/>
      <c r="AF5" s="70" t="s">
        <v>691</v>
      </c>
      <c r="AG5" s="70" t="s">
        <v>683</v>
      </c>
      <c r="AH5" s="71" t="s">
        <v>593</v>
      </c>
      <c r="AI5" s="170"/>
      <c r="AJ5" s="70" t="s">
        <v>691</v>
      </c>
      <c r="AK5" s="70" t="s">
        <v>683</v>
      </c>
      <c r="AL5" s="71" t="s">
        <v>593</v>
      </c>
      <c r="AM5" s="170"/>
      <c r="AN5" s="70" t="s">
        <v>691</v>
      </c>
      <c r="AO5" s="70" t="s">
        <v>683</v>
      </c>
      <c r="AP5" s="71" t="s">
        <v>593</v>
      </c>
      <c r="AQ5" s="170"/>
      <c r="AR5" s="70" t="s">
        <v>691</v>
      </c>
      <c r="AS5" s="70" t="s">
        <v>683</v>
      </c>
      <c r="AT5" s="71" t="s">
        <v>593</v>
      </c>
      <c r="AU5" s="170"/>
      <c r="AV5" s="70" t="s">
        <v>691</v>
      </c>
      <c r="AW5" s="70" t="s">
        <v>683</v>
      </c>
      <c r="AX5" s="71" t="s">
        <v>593</v>
      </c>
      <c r="AY5" s="170"/>
      <c r="AZ5" s="70" t="s">
        <v>691</v>
      </c>
      <c r="BA5" s="70" t="s">
        <v>683</v>
      </c>
      <c r="BB5" s="71" t="s">
        <v>593</v>
      </c>
      <c r="BC5" s="170"/>
      <c r="BD5" s="70" t="s">
        <v>691</v>
      </c>
      <c r="BE5" s="70" t="s">
        <v>683</v>
      </c>
      <c r="BF5" s="71" t="s">
        <v>593</v>
      </c>
      <c r="BG5" s="170"/>
      <c r="BH5" s="70" t="s">
        <v>691</v>
      </c>
      <c r="BI5" s="70" t="s">
        <v>683</v>
      </c>
      <c r="BJ5" s="71" t="s">
        <v>593</v>
      </c>
      <c r="BK5" s="170"/>
      <c r="BL5" s="70" t="s">
        <v>691</v>
      </c>
      <c r="BM5" s="70" t="s">
        <v>683</v>
      </c>
      <c r="BN5" s="71" t="s">
        <v>593</v>
      </c>
      <c r="BO5" s="170"/>
      <c r="BP5" s="70" t="s">
        <v>691</v>
      </c>
      <c r="BQ5" s="70" t="s">
        <v>683</v>
      </c>
      <c r="BR5" s="71" t="s">
        <v>593</v>
      </c>
      <c r="BS5" s="170"/>
      <c r="BT5" s="70" t="s">
        <v>691</v>
      </c>
      <c r="BU5" s="70" t="s">
        <v>683</v>
      </c>
      <c r="BV5" s="71" t="s">
        <v>593</v>
      </c>
      <c r="BW5" s="170"/>
      <c r="BX5" s="70" t="s">
        <v>691</v>
      </c>
      <c r="BY5" s="70" t="s">
        <v>683</v>
      </c>
      <c r="BZ5" s="71" t="s">
        <v>593</v>
      </c>
      <c r="CA5" s="170"/>
      <c r="CB5" s="70" t="s">
        <v>691</v>
      </c>
      <c r="CC5" s="70" t="s">
        <v>683</v>
      </c>
      <c r="CD5" s="71" t="s">
        <v>593</v>
      </c>
    </row>
    <row r="6" spans="1:82" s="2" customFormat="1" ht="30" customHeight="1" x14ac:dyDescent="0.3">
      <c r="B6" s="33">
        <f>B7/100</f>
        <v>942.5</v>
      </c>
      <c r="C6" s="275"/>
      <c r="D6" s="275"/>
      <c r="E6" s="275"/>
      <c r="F6" s="27"/>
      <c r="G6" s="35">
        <v>1</v>
      </c>
      <c r="H6" s="81" t="s">
        <v>347</v>
      </c>
      <c r="I6" s="55">
        <f>IFERROR(I7/B7*B6,0)</f>
        <v>24495.574999999997</v>
      </c>
      <c r="J6" s="55">
        <f>K11+K24+K37+K50</f>
        <v>17436.25</v>
      </c>
      <c r="K6" s="56">
        <f>IFERROR((I6-J6)/I6-PARAMETROS!C19,0)</f>
        <v>0.13738776452481713</v>
      </c>
      <c r="M6" s="229" t="s">
        <v>693</v>
      </c>
      <c r="N6" s="230">
        <f>+K50</f>
        <v>17436.25</v>
      </c>
      <c r="O6" s="235">
        <f>IFERROR(N6/$N$7,0)</f>
        <v>1</v>
      </c>
      <c r="AE6" s="171"/>
      <c r="AF6" s="55">
        <f>AJ6+AN6+AR6+AV6+AZ6+BD6+BH6+BL6+BP6+BT6+BX6+CB6</f>
        <v>0</v>
      </c>
      <c r="AG6" s="55">
        <f>AH11+AH24+AH37+AH50</f>
        <v>0</v>
      </c>
      <c r="AH6" s="56">
        <f>IFERROR((AF6-AG6)/AF6,0)</f>
        <v>0</v>
      </c>
      <c r="AI6" s="171"/>
      <c r="AJ6" s="55"/>
      <c r="AK6" s="55">
        <f>AL11+AL24+AL37+AL50</f>
        <v>0</v>
      </c>
      <c r="AL6" s="56">
        <f>IFERROR((AJ6-AK6)/AJ6,0)</f>
        <v>0</v>
      </c>
      <c r="AM6" s="171"/>
      <c r="AN6" s="55"/>
      <c r="AO6" s="55">
        <f>AP11+AP24+AP37+AP50</f>
        <v>0</v>
      </c>
      <c r="AP6" s="56">
        <f>IFERROR((AN6-AO6)/AN6,0)</f>
        <v>0</v>
      </c>
      <c r="AQ6" s="171"/>
      <c r="AR6" s="55"/>
      <c r="AS6" s="55">
        <f>AT11+AT24+AT37+AT50</f>
        <v>0</v>
      </c>
      <c r="AT6" s="56">
        <f>IFERROR((AR6-AS6)/AR6,0)</f>
        <v>0</v>
      </c>
      <c r="AU6" s="171"/>
      <c r="AV6" s="55"/>
      <c r="AW6" s="55">
        <f>AX11+AX24+AX37+AX50</f>
        <v>0</v>
      </c>
      <c r="AX6" s="56">
        <f>IFERROR((AV6-AW6)/AV6,0)</f>
        <v>0</v>
      </c>
      <c r="AY6" s="171"/>
      <c r="AZ6" s="55"/>
      <c r="BA6" s="55">
        <f>BB11+BB24+BB37+BB50</f>
        <v>0</v>
      </c>
      <c r="BB6" s="56">
        <f>IFERROR((AZ6-BA6)/AZ6,0)</f>
        <v>0</v>
      </c>
      <c r="BC6" s="171"/>
      <c r="BD6" s="55"/>
      <c r="BE6" s="55">
        <f>BF11+BF24+BF37+BF50</f>
        <v>0</v>
      </c>
      <c r="BF6" s="56">
        <f>IFERROR((BD6-BE6)/BD6,0)</f>
        <v>0</v>
      </c>
      <c r="BG6" s="171"/>
      <c r="BH6" s="55"/>
      <c r="BI6" s="55">
        <f>BJ11+BJ24+BJ37+BJ50</f>
        <v>0</v>
      </c>
      <c r="BJ6" s="56">
        <f>IFERROR((BH6-BI6)/BH6,0)</f>
        <v>0</v>
      </c>
      <c r="BK6" s="171"/>
      <c r="BL6" s="55"/>
      <c r="BM6" s="55">
        <f>BN11+BN24+BN37+BN50</f>
        <v>0</v>
      </c>
      <c r="BN6" s="56">
        <f>IFERROR((BL6-BM6)/BL6,0)</f>
        <v>0</v>
      </c>
      <c r="BO6" s="171"/>
      <c r="BP6" s="55"/>
      <c r="BQ6" s="55">
        <f>BR11+BR24+BR37+BR50</f>
        <v>0</v>
      </c>
      <c r="BR6" s="56">
        <f>IFERROR((BP6-BQ6)/BP6,0)</f>
        <v>0</v>
      </c>
      <c r="BS6" s="171"/>
      <c r="BT6" s="55"/>
      <c r="BU6" s="55">
        <f>BV11+BV24+BV37+BV50</f>
        <v>0</v>
      </c>
      <c r="BV6" s="56">
        <f>IFERROR((BT6-BU6)/BT6,0)</f>
        <v>0</v>
      </c>
      <c r="BW6" s="171"/>
      <c r="BX6" s="55"/>
      <c r="BY6" s="55">
        <f>BZ11+BZ24+BZ37+BZ50</f>
        <v>0</v>
      </c>
      <c r="BZ6" s="56">
        <f>IFERROR((BX6-BY6)/BX6,0)</f>
        <v>0</v>
      </c>
      <c r="CA6" s="171"/>
      <c r="CB6" s="55"/>
      <c r="CC6" s="55">
        <f>CD11+CD24+CD37+CD50</f>
        <v>0</v>
      </c>
      <c r="CD6" s="56">
        <f>IFERROR((CB6-CC6)/CB6,0)</f>
        <v>0</v>
      </c>
    </row>
    <row r="7" spans="1:82" s="2" customFormat="1" ht="30" customHeight="1" thickBot="1" x14ac:dyDescent="0.35">
      <c r="B7" s="34">
        <f>IFERROR(VLOOKUP(B3,Lucratividade!G4:N853,2,0),0)</f>
        <v>94250</v>
      </c>
      <c r="C7" s="276"/>
      <c r="D7" s="276"/>
      <c r="E7" s="276"/>
      <c r="F7" s="50"/>
      <c r="G7" s="36">
        <f>IFERROR(B7/B6,0)</f>
        <v>100</v>
      </c>
      <c r="H7" s="82" t="s">
        <v>347</v>
      </c>
      <c r="I7" s="57">
        <f>IFERROR(VLOOKUP(B3,Lucratividade!G4:N132,6,0),0)</f>
        <v>2449557.5</v>
      </c>
      <c r="J7" s="58">
        <f>B7*K3</f>
        <v>1743625</v>
      </c>
      <c r="K7" s="59">
        <f>IFERROR((I7-J7)/I7-PARAMETROS!C19,0)</f>
        <v>0.13738776452481724</v>
      </c>
      <c r="M7" s="231" t="s">
        <v>694</v>
      </c>
      <c r="N7" s="232">
        <f>SUM(N3:N6)</f>
        <v>17436.25</v>
      </c>
      <c r="O7" s="236"/>
      <c r="AE7" s="172"/>
      <c r="AF7" s="57"/>
      <c r="AG7" s="58"/>
      <c r="AH7" s="59"/>
      <c r="AI7" s="172"/>
      <c r="AJ7" s="57"/>
      <c r="AK7" s="58"/>
      <c r="AL7" s="59"/>
      <c r="AM7" s="172"/>
      <c r="AN7" s="57"/>
      <c r="AO7" s="58"/>
      <c r="AP7" s="59"/>
      <c r="AQ7" s="172"/>
      <c r="AR7" s="57"/>
      <c r="AS7" s="58"/>
      <c r="AT7" s="59"/>
      <c r="AU7" s="172"/>
      <c r="AV7" s="57"/>
      <c r="AW7" s="58"/>
      <c r="AX7" s="59"/>
      <c r="AY7" s="172"/>
      <c r="AZ7" s="57"/>
      <c r="BA7" s="58"/>
      <c r="BB7" s="59"/>
      <c r="BC7" s="172"/>
      <c r="BD7" s="57"/>
      <c r="BE7" s="58"/>
      <c r="BF7" s="59"/>
      <c r="BG7" s="172"/>
      <c r="BH7" s="57"/>
      <c r="BI7" s="58"/>
      <c r="BJ7" s="59"/>
      <c r="BK7" s="172"/>
      <c r="BL7" s="57"/>
      <c r="BM7" s="58"/>
      <c r="BN7" s="59"/>
      <c r="BO7" s="172"/>
      <c r="BP7" s="57"/>
      <c r="BQ7" s="58"/>
      <c r="BR7" s="59"/>
      <c r="BS7" s="172"/>
      <c r="BT7" s="57"/>
      <c r="BU7" s="58"/>
      <c r="BV7" s="59"/>
      <c r="BW7" s="172"/>
      <c r="BX7" s="57"/>
      <c r="BY7" s="58"/>
      <c r="BZ7" s="59"/>
      <c r="CA7" s="172"/>
      <c r="CB7" s="57"/>
      <c r="CC7" s="58"/>
      <c r="CD7" s="59"/>
    </row>
    <row r="8" spans="1:82" ht="4.2" customHeight="1" x14ac:dyDescent="0.3">
      <c r="AE8" s="28"/>
      <c r="AI8" s="28"/>
      <c r="AM8" s="28"/>
      <c r="AQ8" s="28"/>
      <c r="AU8" s="28"/>
      <c r="AY8" s="28"/>
      <c r="BC8" s="28"/>
      <c r="BG8" s="28"/>
      <c r="BK8" s="28"/>
      <c r="BO8" s="28"/>
      <c r="BS8" s="28"/>
      <c r="BW8" s="28"/>
      <c r="CA8" s="28"/>
    </row>
    <row r="9" spans="1:82" ht="4.95" customHeight="1" thickBot="1" x14ac:dyDescent="0.35">
      <c r="AE9" s="28"/>
      <c r="AI9" s="28"/>
      <c r="AM9" s="28"/>
      <c r="AQ9" s="28"/>
      <c r="AU9" s="28"/>
      <c r="AY9" s="28"/>
      <c r="BC9" s="28"/>
      <c r="BG9" s="28"/>
      <c r="BK9" s="28"/>
      <c r="BO9" s="28"/>
      <c r="BS9" s="28"/>
      <c r="BW9" s="28"/>
      <c r="CA9" s="28"/>
    </row>
    <row r="10" spans="1:82" ht="15" thickBot="1" x14ac:dyDescent="0.35">
      <c r="B10" s="72" t="s">
        <v>695</v>
      </c>
      <c r="C10" s="72" t="s">
        <v>679</v>
      </c>
      <c r="D10" s="72" t="s">
        <v>696</v>
      </c>
      <c r="E10" s="72" t="s">
        <v>697</v>
      </c>
      <c r="F10" s="72" t="s">
        <v>17</v>
      </c>
      <c r="G10" s="70" t="s">
        <v>690</v>
      </c>
      <c r="H10" s="70" t="s">
        <v>698</v>
      </c>
      <c r="I10" s="72" t="s">
        <v>20</v>
      </c>
      <c r="J10" s="72" t="s">
        <v>699</v>
      </c>
      <c r="K10" s="72" t="s">
        <v>700</v>
      </c>
      <c r="M10" s="83" t="s">
        <v>701</v>
      </c>
      <c r="N10" s="87" t="s">
        <v>702</v>
      </c>
      <c r="AD10" s="173" t="s">
        <v>703</v>
      </c>
      <c r="AE10" s="170" t="s">
        <v>698</v>
      </c>
      <c r="AF10" s="70" t="s">
        <v>20</v>
      </c>
      <c r="AG10" s="70" t="s">
        <v>699</v>
      </c>
      <c r="AH10" s="70" t="s">
        <v>700</v>
      </c>
      <c r="AI10" s="173" t="s">
        <v>704</v>
      </c>
      <c r="AJ10" s="174" t="s">
        <v>705</v>
      </c>
      <c r="AK10" s="174" t="s">
        <v>706</v>
      </c>
      <c r="AL10" s="175" t="s">
        <v>707</v>
      </c>
      <c r="AM10" s="173" t="s">
        <v>708</v>
      </c>
      <c r="AN10" s="174" t="s">
        <v>709</v>
      </c>
      <c r="AO10" s="174" t="s">
        <v>710</v>
      </c>
      <c r="AP10" s="175" t="s">
        <v>711</v>
      </c>
      <c r="AQ10" s="173" t="s">
        <v>712</v>
      </c>
      <c r="AR10" s="174" t="s">
        <v>713</v>
      </c>
      <c r="AS10" s="174" t="s">
        <v>714</v>
      </c>
      <c r="AT10" s="175" t="s">
        <v>715</v>
      </c>
      <c r="AU10" s="173" t="s">
        <v>716</v>
      </c>
      <c r="AV10" s="174" t="s">
        <v>717</v>
      </c>
      <c r="AW10" s="174" t="s">
        <v>718</v>
      </c>
      <c r="AX10" s="175" t="s">
        <v>719</v>
      </c>
      <c r="AY10" s="173" t="s">
        <v>720</v>
      </c>
      <c r="AZ10" s="174" t="s">
        <v>721</v>
      </c>
      <c r="BA10" s="174" t="s">
        <v>722</v>
      </c>
      <c r="BB10" s="175" t="s">
        <v>723</v>
      </c>
      <c r="BC10" s="173" t="s">
        <v>724</v>
      </c>
      <c r="BD10" s="174" t="s">
        <v>725</v>
      </c>
      <c r="BE10" s="174" t="s">
        <v>726</v>
      </c>
      <c r="BF10" s="175" t="s">
        <v>727</v>
      </c>
      <c r="BG10" s="173" t="s">
        <v>728</v>
      </c>
      <c r="BH10" s="174" t="s">
        <v>729</v>
      </c>
      <c r="BI10" s="174" t="s">
        <v>730</v>
      </c>
      <c r="BJ10" s="175" t="s">
        <v>731</v>
      </c>
      <c r="BK10" s="173" t="s">
        <v>732</v>
      </c>
      <c r="BL10" s="174" t="s">
        <v>733</v>
      </c>
      <c r="BM10" s="174" t="s">
        <v>734</v>
      </c>
      <c r="BN10" s="175" t="s">
        <v>735</v>
      </c>
      <c r="BO10" s="173" t="s">
        <v>736</v>
      </c>
      <c r="BP10" s="174" t="s">
        <v>737</v>
      </c>
      <c r="BQ10" s="174" t="s">
        <v>738</v>
      </c>
      <c r="BR10" s="175" t="s">
        <v>739</v>
      </c>
      <c r="BS10" s="173" t="s">
        <v>740</v>
      </c>
      <c r="BT10" s="174" t="s">
        <v>741</v>
      </c>
      <c r="BU10" s="174" t="s">
        <v>742</v>
      </c>
      <c r="BV10" s="175" t="s">
        <v>743</v>
      </c>
      <c r="BW10" s="173" t="s">
        <v>744</v>
      </c>
      <c r="BX10" s="174" t="s">
        <v>745</v>
      </c>
      <c r="BY10" s="174" t="s">
        <v>746</v>
      </c>
      <c r="BZ10" s="175" t="s">
        <v>747</v>
      </c>
      <c r="CA10" s="173" t="s">
        <v>748</v>
      </c>
      <c r="CB10" s="174" t="s">
        <v>749</v>
      </c>
      <c r="CC10" s="174" t="s">
        <v>750</v>
      </c>
      <c r="CD10" s="174" t="s">
        <v>751</v>
      </c>
    </row>
    <row r="11" spans="1:82" x14ac:dyDescent="0.3">
      <c r="B11" s="52" t="s">
        <v>752</v>
      </c>
      <c r="C11" s="52" t="str">
        <f t="shared" ref="C11:C62" si="0">$A$3</f>
        <v>CPU_TachaRefletiva</v>
      </c>
      <c r="D11" s="277">
        <f t="shared" ref="D11:D62" si="1">$B$6</f>
        <v>942.5</v>
      </c>
      <c r="E11" s="277">
        <f t="shared" ref="E11:E62" si="2">$B$7</f>
        <v>94250</v>
      </c>
      <c r="F11" s="37"/>
      <c r="G11" s="38"/>
      <c r="H11" s="91"/>
      <c r="I11" s="40"/>
      <c r="J11" s="40">
        <f>IFERROR(K11/$B$6,0)</f>
        <v>0</v>
      </c>
      <c r="K11" s="40">
        <f>SUM(K12:K23)</f>
        <v>0</v>
      </c>
      <c r="M11" s="294" t="s">
        <v>753</v>
      </c>
      <c r="N11" s="295" t="s">
        <v>754</v>
      </c>
      <c r="O11" s="296" t="s">
        <v>755</v>
      </c>
      <c r="AD11" s="144" t="str">
        <f>$B$3</f>
        <v>Tacha Refletiva</v>
      </c>
      <c r="AE11" s="176"/>
      <c r="AF11" s="177"/>
      <c r="AG11" s="177">
        <f>IFERROR(AH11/AF$3,0)</f>
        <v>0</v>
      </c>
      <c r="AH11" s="178">
        <f>SUM(AH12:AH23)</f>
        <v>0</v>
      </c>
      <c r="AI11" s="176"/>
      <c r="AJ11" s="177"/>
      <c r="AK11" s="177">
        <f>IFERROR(AL11/AJ$3,0)</f>
        <v>0</v>
      </c>
      <c r="AL11" s="178">
        <f>SUM(AL12:AL23)</f>
        <v>0</v>
      </c>
      <c r="AM11" s="176"/>
      <c r="AN11" s="177"/>
      <c r="AO11" s="177">
        <f>IFERROR(AP11/AN$3,0)</f>
        <v>0</v>
      </c>
      <c r="AP11" s="178">
        <f>SUM(AP12:AP23)</f>
        <v>0</v>
      </c>
      <c r="AQ11" s="176"/>
      <c r="AR11" s="177"/>
      <c r="AS11" s="177">
        <f>IFERROR(AT11/AR$3,0)</f>
        <v>0</v>
      </c>
      <c r="AT11" s="178">
        <f>SUM(AT12:AT23)</f>
        <v>0</v>
      </c>
      <c r="AU11" s="176"/>
      <c r="AV11" s="177"/>
      <c r="AW11" s="177">
        <f>IFERROR(AX11/AV$3,0)</f>
        <v>0</v>
      </c>
      <c r="AX11" s="178">
        <f>SUM(AX12:AX23)</f>
        <v>0</v>
      </c>
      <c r="AY11" s="176"/>
      <c r="AZ11" s="177"/>
      <c r="BA11" s="177">
        <f>IFERROR(BB11/AZ$3,0)</f>
        <v>0</v>
      </c>
      <c r="BB11" s="178">
        <f>SUM(BB12:BB23)</f>
        <v>0</v>
      </c>
      <c r="BC11" s="176"/>
      <c r="BD11" s="177"/>
      <c r="BE11" s="177">
        <f>IFERROR(BF11/BD$3,0)</f>
        <v>0</v>
      </c>
      <c r="BF11" s="178">
        <f>SUM(BF12:BF23)</f>
        <v>0</v>
      </c>
      <c r="BG11" s="176"/>
      <c r="BH11" s="177"/>
      <c r="BI11" s="177">
        <f>IFERROR(BJ11/BH$3,0)</f>
        <v>0</v>
      </c>
      <c r="BJ11" s="178">
        <f>SUM(BJ12:BJ23)</f>
        <v>0</v>
      </c>
      <c r="BK11" s="176"/>
      <c r="BL11" s="177"/>
      <c r="BM11" s="177">
        <f>IFERROR(BN11/BL$3,0)</f>
        <v>0</v>
      </c>
      <c r="BN11" s="178">
        <f>SUM(BN12:BN23)</f>
        <v>0</v>
      </c>
      <c r="BO11" s="176"/>
      <c r="BP11" s="177"/>
      <c r="BQ11" s="177">
        <f>IFERROR(BR11/BP$3,0)</f>
        <v>0</v>
      </c>
      <c r="BR11" s="178">
        <f>SUM(BR12:BR23)</f>
        <v>0</v>
      </c>
      <c r="BS11" s="176"/>
      <c r="BT11" s="177"/>
      <c r="BU11" s="177">
        <f>IFERROR(BV11/BT$3,0)</f>
        <v>0</v>
      </c>
      <c r="BV11" s="178">
        <f>SUM(BV12:BV23)</f>
        <v>0</v>
      </c>
      <c r="BW11" s="176"/>
      <c r="BX11" s="177"/>
      <c r="BY11" s="177">
        <f>IFERROR(BZ11/BX$3,0)</f>
        <v>0</v>
      </c>
      <c r="BZ11" s="178">
        <f>SUM(BZ12:BZ23)</f>
        <v>0</v>
      </c>
      <c r="CA11" s="176"/>
      <c r="CB11" s="177"/>
      <c r="CC11" s="177">
        <f>IFERROR(CD11/CB$3,0)</f>
        <v>0</v>
      </c>
      <c r="CD11" s="178">
        <f>SUM(CD12:CD23)</f>
        <v>0</v>
      </c>
    </row>
    <row r="12" spans="1:82" x14ac:dyDescent="0.3">
      <c r="B12" s="53"/>
      <c r="C12" s="53" t="str">
        <f t="shared" si="0"/>
        <v>CPU_TachaRefletiva</v>
      </c>
      <c r="D12" s="278">
        <f t="shared" si="1"/>
        <v>942.5</v>
      </c>
      <c r="E12" s="278">
        <f t="shared" si="2"/>
        <v>94250</v>
      </c>
      <c r="F12" s="46"/>
      <c r="G12" s="28" t="str">
        <f>IFERROR(VLOOKUP(F12,Tabela7[[RECURSO]:[CUSTO]],2,FALSE),"")</f>
        <v/>
      </c>
      <c r="H12" s="92"/>
      <c r="I12" s="90"/>
      <c r="J12" s="45">
        <f>IFERROR(VLOOKUP(F12,Tabela7[[RECURSO]:[CUSTO]],3,FALSE),0)</f>
        <v>0</v>
      </c>
      <c r="K12" s="45">
        <f>I12*J12*CPU_24[[#This Row],[Nº]]</f>
        <v>0</v>
      </c>
      <c r="M12" s="31"/>
      <c r="N12" s="297"/>
      <c r="O12" s="60">
        <f>IFERROR($B$6/(H12*I12*N12),0)</f>
        <v>0</v>
      </c>
      <c r="AD12" s="144" t="str">
        <f t="shared" ref="AD12:AD62" si="3">$B$3</f>
        <v>Tacha Refletiva</v>
      </c>
      <c r="AE12" s="179"/>
      <c r="AF12" s="180">
        <f>AJ12+AN12+AR12+AV12+AZ12+BD12+BH12+BL12+BP12+BT12+BX12+CB12</f>
        <v>0</v>
      </c>
      <c r="AG12" s="180">
        <f>IFERROR(AH12/AF12,0)</f>
        <v>0</v>
      </c>
      <c r="AH12" s="181">
        <f>AL12+AP12+AT12+AX12+BB12+BF12+BJ12+BN12+BR12+BV12+BZ12+CD12</f>
        <v>0</v>
      </c>
      <c r="AI12" s="182"/>
      <c r="AJ12" s="90"/>
      <c r="AK12" s="90"/>
      <c r="AL12" s="183">
        <f>AJ12*AK12</f>
        <v>0</v>
      </c>
      <c r="AM12" s="182"/>
      <c r="AN12" s="90"/>
      <c r="AO12" s="90"/>
      <c r="AP12" s="183">
        <f t="shared" ref="AP12:AP23" si="4">AN12*AO12</f>
        <v>0</v>
      </c>
      <c r="AQ12" s="182"/>
      <c r="AR12" s="90"/>
      <c r="AS12" s="90"/>
      <c r="AT12" s="183">
        <f t="shared" ref="AT12:AT23" si="5">AR12*AS12</f>
        <v>0</v>
      </c>
      <c r="AU12" s="182"/>
      <c r="AV12" s="90"/>
      <c r="AW12" s="90"/>
      <c r="AX12" s="183">
        <f t="shared" ref="AX12:AX23" si="6">AV12*AW12</f>
        <v>0</v>
      </c>
      <c r="AY12" s="182"/>
      <c r="AZ12" s="90"/>
      <c r="BA12" s="90"/>
      <c r="BB12" s="183">
        <f t="shared" ref="BB12:BB23" si="7">AZ12*BA12</f>
        <v>0</v>
      </c>
      <c r="BC12" s="182"/>
      <c r="BD12" s="90"/>
      <c r="BE12" s="90"/>
      <c r="BF12" s="183">
        <f t="shared" ref="BF12:BF23" si="8">BD12*BE12</f>
        <v>0</v>
      </c>
      <c r="BG12" s="182"/>
      <c r="BH12" s="90"/>
      <c r="BI12" s="90"/>
      <c r="BJ12" s="183">
        <f t="shared" ref="BJ12:BJ23" si="9">BH12*BI12</f>
        <v>0</v>
      </c>
      <c r="BK12" s="182"/>
      <c r="BL12" s="90"/>
      <c r="BM12" s="90"/>
      <c r="BN12" s="183">
        <f t="shared" ref="BN12:BN23" si="10">BL12*BM12</f>
        <v>0</v>
      </c>
      <c r="BO12" s="182"/>
      <c r="BP12" s="90"/>
      <c r="BQ12" s="90"/>
      <c r="BR12" s="183">
        <f t="shared" ref="BR12:BR23" si="11">BP12*BQ12</f>
        <v>0</v>
      </c>
      <c r="BS12" s="182"/>
      <c r="BT12" s="90"/>
      <c r="BU12" s="90"/>
      <c r="BV12" s="183">
        <f t="shared" ref="BV12:BV23" si="12">BT12*BU12</f>
        <v>0</v>
      </c>
      <c r="BW12" s="182"/>
      <c r="BX12" s="90"/>
      <c r="BY12" s="90"/>
      <c r="BZ12" s="183">
        <f t="shared" ref="BZ12:BZ23" si="13">BX12*BY12</f>
        <v>0</v>
      </c>
      <c r="CA12" s="182"/>
      <c r="CB12" s="90"/>
      <c r="CC12" s="90"/>
      <c r="CD12" s="183">
        <f t="shared" ref="CD12:CD23" si="14">CB12*CC12</f>
        <v>0</v>
      </c>
    </row>
    <row r="13" spans="1:82" x14ac:dyDescent="0.3">
      <c r="B13" s="53"/>
      <c r="C13" s="53" t="str">
        <f t="shared" si="0"/>
        <v>CPU_TachaRefletiva</v>
      </c>
      <c r="D13" s="278">
        <f t="shared" si="1"/>
        <v>942.5</v>
      </c>
      <c r="E13" s="278">
        <f t="shared" si="2"/>
        <v>94250</v>
      </c>
      <c r="F13" s="1"/>
      <c r="G13" s="28" t="str">
        <f>IFERROR(VLOOKUP(F13,Tabela7[[RECURSO]:[CUSTO]],2,FALSE),"")</f>
        <v/>
      </c>
      <c r="H13" s="92"/>
      <c r="I13" s="90"/>
      <c r="J13" s="45">
        <f>IFERROR(VLOOKUP(F13,Tabela7[[RECURSO]:[CUSTO]],3,FALSE),0)</f>
        <v>0</v>
      </c>
      <c r="K13" s="45">
        <f>I13*J13*CPU_24[[#This Row],[Nº]]</f>
        <v>0</v>
      </c>
      <c r="M13" s="31"/>
      <c r="N13" s="297"/>
      <c r="O13" s="60">
        <f t="shared" ref="O13:O23" si="15">IFERROR($B$6/(H13*I13),0)</f>
        <v>0</v>
      </c>
      <c r="AD13" s="144" t="str">
        <f t="shared" si="3"/>
        <v>Tacha Refletiva</v>
      </c>
      <c r="AE13" s="179"/>
      <c r="AF13" s="180">
        <f t="shared" ref="AF13:AF23" si="16">AJ13+AN13+AR13+AV13+AZ13+BD13+BH13+BL13+BP13+BT13+BX13+CB13</f>
        <v>0</v>
      </c>
      <c r="AG13" s="180">
        <f t="shared" ref="AG13:AG62" si="17">IFERROR(AH13/AF13,0)</f>
        <v>0</v>
      </c>
      <c r="AH13" s="181">
        <f t="shared" ref="AH13:AH23" si="18">AL13+AP13+AT13+AX13+BB13+BF13+BJ13+BN13+BR13+BV13+BZ13+CD13</f>
        <v>0</v>
      </c>
      <c r="AI13" s="182"/>
      <c r="AJ13" s="90"/>
      <c r="AK13" s="90"/>
      <c r="AL13" s="183">
        <f t="shared" ref="AL13:AL23" si="19">AJ13*AK13</f>
        <v>0</v>
      </c>
      <c r="AM13" s="182"/>
      <c r="AN13" s="90"/>
      <c r="AO13" s="90"/>
      <c r="AP13" s="183">
        <f t="shared" si="4"/>
        <v>0</v>
      </c>
      <c r="AQ13" s="182"/>
      <c r="AR13" s="90"/>
      <c r="AS13" s="90"/>
      <c r="AT13" s="183">
        <f t="shared" si="5"/>
        <v>0</v>
      </c>
      <c r="AU13" s="182"/>
      <c r="AV13" s="90"/>
      <c r="AW13" s="90"/>
      <c r="AX13" s="183">
        <f t="shared" si="6"/>
        <v>0</v>
      </c>
      <c r="AY13" s="182"/>
      <c r="AZ13" s="90"/>
      <c r="BA13" s="90"/>
      <c r="BB13" s="183">
        <f t="shared" si="7"/>
        <v>0</v>
      </c>
      <c r="BC13" s="182"/>
      <c r="BD13" s="90"/>
      <c r="BE13" s="90"/>
      <c r="BF13" s="183">
        <f t="shared" si="8"/>
        <v>0</v>
      </c>
      <c r="BG13" s="182"/>
      <c r="BH13" s="90"/>
      <c r="BI13" s="90"/>
      <c r="BJ13" s="183">
        <f t="shared" si="9"/>
        <v>0</v>
      </c>
      <c r="BK13" s="182"/>
      <c r="BL13" s="90"/>
      <c r="BM13" s="90"/>
      <c r="BN13" s="183">
        <f t="shared" si="10"/>
        <v>0</v>
      </c>
      <c r="BO13" s="182"/>
      <c r="BP13" s="90"/>
      <c r="BQ13" s="90"/>
      <c r="BR13" s="183">
        <f t="shared" si="11"/>
        <v>0</v>
      </c>
      <c r="BS13" s="182"/>
      <c r="BT13" s="90"/>
      <c r="BU13" s="90"/>
      <c r="BV13" s="183">
        <f t="shared" si="12"/>
        <v>0</v>
      </c>
      <c r="BW13" s="182"/>
      <c r="BX13" s="90"/>
      <c r="BY13" s="90"/>
      <c r="BZ13" s="183">
        <f t="shared" si="13"/>
        <v>0</v>
      </c>
      <c r="CA13" s="182"/>
      <c r="CB13" s="90"/>
      <c r="CC13" s="90"/>
      <c r="CD13" s="183">
        <f t="shared" si="14"/>
        <v>0</v>
      </c>
    </row>
    <row r="14" spans="1:82" x14ac:dyDescent="0.3">
      <c r="B14" s="53"/>
      <c r="C14" s="53" t="str">
        <f t="shared" si="0"/>
        <v>CPU_TachaRefletiva</v>
      </c>
      <c r="D14" s="278">
        <f t="shared" si="1"/>
        <v>942.5</v>
      </c>
      <c r="E14" s="278">
        <f t="shared" si="2"/>
        <v>94250</v>
      </c>
      <c r="F14" s="1"/>
      <c r="G14" s="28" t="str">
        <f>IFERROR(VLOOKUP(F14,Tabela7[[RECURSO]:[CUSTO]],2,FALSE),"")</f>
        <v/>
      </c>
      <c r="H14" s="92"/>
      <c r="I14" s="90"/>
      <c r="J14" s="45">
        <f>IFERROR(VLOOKUP(F14,Tabela7[[RECURSO]:[CUSTO]],3,FALSE),0)</f>
        <v>0</v>
      </c>
      <c r="K14" s="45">
        <f>I14*J14*CPU_24[[#This Row],[Nº]]</f>
        <v>0</v>
      </c>
      <c r="M14" s="31"/>
      <c r="N14" s="297"/>
      <c r="O14" s="60">
        <f t="shared" si="15"/>
        <v>0</v>
      </c>
      <c r="AD14" s="144" t="str">
        <f t="shared" si="3"/>
        <v>Tacha Refletiva</v>
      </c>
      <c r="AE14" s="179"/>
      <c r="AF14" s="180">
        <f t="shared" si="16"/>
        <v>0</v>
      </c>
      <c r="AG14" s="180">
        <f t="shared" si="17"/>
        <v>0</v>
      </c>
      <c r="AH14" s="181">
        <f t="shared" si="18"/>
        <v>0</v>
      </c>
      <c r="AI14" s="182"/>
      <c r="AJ14" s="90"/>
      <c r="AK14" s="90"/>
      <c r="AL14" s="183">
        <f t="shared" si="19"/>
        <v>0</v>
      </c>
      <c r="AM14" s="182"/>
      <c r="AN14" s="90"/>
      <c r="AO14" s="90"/>
      <c r="AP14" s="183">
        <f t="shared" si="4"/>
        <v>0</v>
      </c>
      <c r="AQ14" s="182"/>
      <c r="AR14" s="90"/>
      <c r="AS14" s="90"/>
      <c r="AT14" s="183">
        <f t="shared" si="5"/>
        <v>0</v>
      </c>
      <c r="AU14" s="182"/>
      <c r="AV14" s="90"/>
      <c r="AW14" s="90"/>
      <c r="AX14" s="183">
        <f t="shared" si="6"/>
        <v>0</v>
      </c>
      <c r="AY14" s="182"/>
      <c r="AZ14" s="90"/>
      <c r="BA14" s="90"/>
      <c r="BB14" s="183">
        <f t="shared" si="7"/>
        <v>0</v>
      </c>
      <c r="BC14" s="182"/>
      <c r="BD14" s="90"/>
      <c r="BE14" s="90"/>
      <c r="BF14" s="183">
        <f t="shared" si="8"/>
        <v>0</v>
      </c>
      <c r="BG14" s="182"/>
      <c r="BH14" s="90"/>
      <c r="BI14" s="90"/>
      <c r="BJ14" s="183">
        <f t="shared" si="9"/>
        <v>0</v>
      </c>
      <c r="BK14" s="182"/>
      <c r="BL14" s="90"/>
      <c r="BM14" s="90"/>
      <c r="BN14" s="183">
        <f t="shared" si="10"/>
        <v>0</v>
      </c>
      <c r="BO14" s="182"/>
      <c r="BP14" s="90"/>
      <c r="BQ14" s="90"/>
      <c r="BR14" s="183">
        <f t="shared" si="11"/>
        <v>0</v>
      </c>
      <c r="BS14" s="182"/>
      <c r="BT14" s="90"/>
      <c r="BU14" s="90"/>
      <c r="BV14" s="183">
        <f t="shared" si="12"/>
        <v>0</v>
      </c>
      <c r="BW14" s="182"/>
      <c r="BX14" s="90"/>
      <c r="BY14" s="90"/>
      <c r="BZ14" s="183">
        <f t="shared" si="13"/>
        <v>0</v>
      </c>
      <c r="CA14" s="182"/>
      <c r="CB14" s="90"/>
      <c r="CC14" s="90"/>
      <c r="CD14" s="183">
        <f t="shared" si="14"/>
        <v>0</v>
      </c>
    </row>
    <row r="15" spans="1:82" x14ac:dyDescent="0.3">
      <c r="B15" s="153"/>
      <c r="C15" s="153" t="str">
        <f t="shared" si="0"/>
        <v>CPU_TachaRefletiva</v>
      </c>
      <c r="D15" s="279">
        <f t="shared" si="1"/>
        <v>942.5</v>
      </c>
      <c r="E15" s="279">
        <f t="shared" si="2"/>
        <v>94250</v>
      </c>
      <c r="F15" s="1"/>
      <c r="G15" s="28" t="str">
        <f>IFERROR(VLOOKUP(F15,Tabela7[[RECURSO]:[CUSTO]],2,FALSE),"")</f>
        <v/>
      </c>
      <c r="H15" s="92"/>
      <c r="I15" s="90"/>
      <c r="J15" s="45">
        <f>IFERROR(VLOOKUP(F15,Tabela7[[RECURSO]:[CUSTO]],3,FALSE),0)</f>
        <v>0</v>
      </c>
      <c r="K15" s="45">
        <f>I15*J15*CPU_24[[#This Row],[Nº]]</f>
        <v>0</v>
      </c>
      <c r="M15" s="31"/>
      <c r="N15" s="297"/>
      <c r="O15" s="60">
        <f t="shared" si="15"/>
        <v>0</v>
      </c>
      <c r="AD15" s="144" t="str">
        <f t="shared" si="3"/>
        <v>Tacha Refletiva</v>
      </c>
      <c r="AE15" s="179"/>
      <c r="AF15" s="180">
        <f t="shared" si="16"/>
        <v>0</v>
      </c>
      <c r="AG15" s="180">
        <f t="shared" si="17"/>
        <v>0</v>
      </c>
      <c r="AH15" s="181">
        <f t="shared" si="18"/>
        <v>0</v>
      </c>
      <c r="AI15" s="182"/>
      <c r="AJ15" s="90"/>
      <c r="AK15" s="90"/>
      <c r="AL15" s="183">
        <f t="shared" si="19"/>
        <v>0</v>
      </c>
      <c r="AM15" s="182"/>
      <c r="AN15" s="90"/>
      <c r="AO15" s="90"/>
      <c r="AP15" s="183">
        <f t="shared" si="4"/>
        <v>0</v>
      </c>
      <c r="AQ15" s="182"/>
      <c r="AR15" s="90"/>
      <c r="AS15" s="90"/>
      <c r="AT15" s="183">
        <f t="shared" si="5"/>
        <v>0</v>
      </c>
      <c r="AU15" s="182"/>
      <c r="AV15" s="90"/>
      <c r="AW15" s="90"/>
      <c r="AX15" s="183">
        <f t="shared" si="6"/>
        <v>0</v>
      </c>
      <c r="AY15" s="182"/>
      <c r="AZ15" s="90"/>
      <c r="BA15" s="90"/>
      <c r="BB15" s="183">
        <f t="shared" si="7"/>
        <v>0</v>
      </c>
      <c r="BC15" s="182"/>
      <c r="BD15" s="90"/>
      <c r="BE15" s="90"/>
      <c r="BF15" s="183">
        <f t="shared" si="8"/>
        <v>0</v>
      </c>
      <c r="BG15" s="182"/>
      <c r="BH15" s="90"/>
      <c r="BI15" s="90"/>
      <c r="BJ15" s="183">
        <f t="shared" si="9"/>
        <v>0</v>
      </c>
      <c r="BK15" s="182"/>
      <c r="BL15" s="90"/>
      <c r="BM15" s="90"/>
      <c r="BN15" s="183">
        <f t="shared" si="10"/>
        <v>0</v>
      </c>
      <c r="BO15" s="182"/>
      <c r="BP15" s="90"/>
      <c r="BQ15" s="90"/>
      <c r="BR15" s="183">
        <f t="shared" si="11"/>
        <v>0</v>
      </c>
      <c r="BS15" s="182"/>
      <c r="BT15" s="90"/>
      <c r="BU15" s="90"/>
      <c r="BV15" s="183">
        <f t="shared" si="12"/>
        <v>0</v>
      </c>
      <c r="BW15" s="182"/>
      <c r="BX15" s="90"/>
      <c r="BY15" s="90"/>
      <c r="BZ15" s="183">
        <f t="shared" si="13"/>
        <v>0</v>
      </c>
      <c r="CA15" s="182"/>
      <c r="CB15" s="90"/>
      <c r="CC15" s="90"/>
      <c r="CD15" s="183">
        <f t="shared" si="14"/>
        <v>0</v>
      </c>
    </row>
    <row r="16" spans="1:82" x14ac:dyDescent="0.3">
      <c r="B16" s="53"/>
      <c r="C16" s="53" t="str">
        <f t="shared" si="0"/>
        <v>CPU_TachaRefletiva</v>
      </c>
      <c r="D16" s="278">
        <f t="shared" si="1"/>
        <v>942.5</v>
      </c>
      <c r="E16" s="278">
        <f t="shared" si="2"/>
        <v>94250</v>
      </c>
      <c r="F16" s="1"/>
      <c r="G16" s="28" t="str">
        <f>IFERROR(VLOOKUP(F16,Tabela7[[RECURSO]:[CUSTO]],2,FALSE),"")</f>
        <v/>
      </c>
      <c r="H16" s="92"/>
      <c r="I16" s="90"/>
      <c r="J16" s="45">
        <f>IFERROR(VLOOKUP(F16,Tabela7[[RECURSO]:[CUSTO]],3,FALSE),0)</f>
        <v>0</v>
      </c>
      <c r="K16" s="45">
        <f>I16*J16*CPU_24[[#This Row],[Nº]]</f>
        <v>0</v>
      </c>
      <c r="M16" s="31"/>
      <c r="N16" s="297"/>
      <c r="O16" s="60">
        <f t="shared" si="15"/>
        <v>0</v>
      </c>
      <c r="AD16" s="144" t="str">
        <f t="shared" si="3"/>
        <v>Tacha Refletiva</v>
      </c>
      <c r="AE16" s="179"/>
      <c r="AF16" s="180">
        <f t="shared" si="16"/>
        <v>0</v>
      </c>
      <c r="AG16" s="180">
        <f t="shared" si="17"/>
        <v>0</v>
      </c>
      <c r="AH16" s="181">
        <f t="shared" si="18"/>
        <v>0</v>
      </c>
      <c r="AI16" s="182"/>
      <c r="AJ16" s="90"/>
      <c r="AK16" s="90"/>
      <c r="AL16" s="183">
        <f t="shared" si="19"/>
        <v>0</v>
      </c>
      <c r="AM16" s="182"/>
      <c r="AN16" s="90"/>
      <c r="AO16" s="90"/>
      <c r="AP16" s="183">
        <f t="shared" si="4"/>
        <v>0</v>
      </c>
      <c r="AQ16" s="182"/>
      <c r="AR16" s="90"/>
      <c r="AS16" s="90"/>
      <c r="AT16" s="183">
        <f t="shared" si="5"/>
        <v>0</v>
      </c>
      <c r="AU16" s="182"/>
      <c r="AV16" s="90"/>
      <c r="AW16" s="90"/>
      <c r="AX16" s="183">
        <f t="shared" si="6"/>
        <v>0</v>
      </c>
      <c r="AY16" s="182"/>
      <c r="AZ16" s="90"/>
      <c r="BA16" s="90"/>
      <c r="BB16" s="183">
        <f t="shared" si="7"/>
        <v>0</v>
      </c>
      <c r="BC16" s="182"/>
      <c r="BD16" s="90"/>
      <c r="BE16" s="90"/>
      <c r="BF16" s="183">
        <f t="shared" si="8"/>
        <v>0</v>
      </c>
      <c r="BG16" s="182"/>
      <c r="BH16" s="90"/>
      <c r="BI16" s="90"/>
      <c r="BJ16" s="183">
        <f t="shared" si="9"/>
        <v>0</v>
      </c>
      <c r="BK16" s="182"/>
      <c r="BL16" s="90"/>
      <c r="BM16" s="90"/>
      <c r="BN16" s="183">
        <f t="shared" si="10"/>
        <v>0</v>
      </c>
      <c r="BO16" s="182"/>
      <c r="BP16" s="90"/>
      <c r="BQ16" s="90"/>
      <c r="BR16" s="183">
        <f t="shared" si="11"/>
        <v>0</v>
      </c>
      <c r="BS16" s="182"/>
      <c r="BT16" s="90"/>
      <c r="BU16" s="90"/>
      <c r="BV16" s="183">
        <f t="shared" si="12"/>
        <v>0</v>
      </c>
      <c r="BW16" s="182"/>
      <c r="BX16" s="90"/>
      <c r="BY16" s="90"/>
      <c r="BZ16" s="183">
        <f t="shared" si="13"/>
        <v>0</v>
      </c>
      <c r="CA16" s="182"/>
      <c r="CB16" s="90"/>
      <c r="CC16" s="90"/>
      <c r="CD16" s="183">
        <f t="shared" si="14"/>
        <v>0</v>
      </c>
    </row>
    <row r="17" spans="2:82" x14ac:dyDescent="0.3">
      <c r="B17" s="53"/>
      <c r="C17" s="53" t="str">
        <f t="shared" si="0"/>
        <v>CPU_TachaRefletiva</v>
      </c>
      <c r="D17" s="278">
        <f t="shared" si="1"/>
        <v>942.5</v>
      </c>
      <c r="E17" s="278">
        <f t="shared" si="2"/>
        <v>94250</v>
      </c>
      <c r="F17" s="1"/>
      <c r="G17" s="28" t="str">
        <f>IFERROR(VLOOKUP(F17,Tabela7[[RECURSO]:[CUSTO]],2,FALSE),"")</f>
        <v/>
      </c>
      <c r="H17" s="92"/>
      <c r="I17" s="90"/>
      <c r="J17" s="45">
        <f>IFERROR(VLOOKUP(F17,Tabela7[[RECURSO]:[CUSTO]],3,FALSE),0)</f>
        <v>0</v>
      </c>
      <c r="K17" s="45">
        <f>I17*J17*CPU_24[[#This Row],[Nº]]</f>
        <v>0</v>
      </c>
      <c r="M17" s="31"/>
      <c r="N17" s="297"/>
      <c r="O17" s="60">
        <f t="shared" si="15"/>
        <v>0</v>
      </c>
      <c r="AD17" s="144" t="str">
        <f t="shared" si="3"/>
        <v>Tacha Refletiva</v>
      </c>
      <c r="AE17" s="179"/>
      <c r="AF17" s="180">
        <f t="shared" si="16"/>
        <v>0</v>
      </c>
      <c r="AG17" s="180">
        <f t="shared" si="17"/>
        <v>0</v>
      </c>
      <c r="AH17" s="181">
        <f t="shared" si="18"/>
        <v>0</v>
      </c>
      <c r="AI17" s="182"/>
      <c r="AJ17" s="90"/>
      <c r="AK17" s="90"/>
      <c r="AL17" s="183">
        <f t="shared" si="19"/>
        <v>0</v>
      </c>
      <c r="AM17" s="182"/>
      <c r="AN17" s="90"/>
      <c r="AO17" s="90"/>
      <c r="AP17" s="183">
        <f t="shared" si="4"/>
        <v>0</v>
      </c>
      <c r="AQ17" s="182"/>
      <c r="AR17" s="90"/>
      <c r="AS17" s="90"/>
      <c r="AT17" s="183">
        <f t="shared" si="5"/>
        <v>0</v>
      </c>
      <c r="AU17" s="182"/>
      <c r="AV17" s="90"/>
      <c r="AW17" s="90"/>
      <c r="AX17" s="183">
        <f t="shared" si="6"/>
        <v>0</v>
      </c>
      <c r="AY17" s="182"/>
      <c r="AZ17" s="90"/>
      <c r="BA17" s="90"/>
      <c r="BB17" s="183">
        <f t="shared" si="7"/>
        <v>0</v>
      </c>
      <c r="BC17" s="182"/>
      <c r="BD17" s="90"/>
      <c r="BE17" s="90"/>
      <c r="BF17" s="183">
        <f t="shared" si="8"/>
        <v>0</v>
      </c>
      <c r="BG17" s="182"/>
      <c r="BH17" s="90"/>
      <c r="BI17" s="90"/>
      <c r="BJ17" s="183">
        <f t="shared" si="9"/>
        <v>0</v>
      </c>
      <c r="BK17" s="182"/>
      <c r="BL17" s="90"/>
      <c r="BM17" s="90"/>
      <c r="BN17" s="183">
        <f t="shared" si="10"/>
        <v>0</v>
      </c>
      <c r="BO17" s="182"/>
      <c r="BP17" s="90"/>
      <c r="BQ17" s="90"/>
      <c r="BR17" s="183">
        <f t="shared" si="11"/>
        <v>0</v>
      </c>
      <c r="BS17" s="182"/>
      <c r="BT17" s="90"/>
      <c r="BU17" s="90"/>
      <c r="BV17" s="183">
        <f t="shared" si="12"/>
        <v>0</v>
      </c>
      <c r="BW17" s="182"/>
      <c r="BX17" s="90"/>
      <c r="BY17" s="90"/>
      <c r="BZ17" s="183">
        <f t="shared" si="13"/>
        <v>0</v>
      </c>
      <c r="CA17" s="182"/>
      <c r="CB17" s="90"/>
      <c r="CC17" s="90"/>
      <c r="CD17" s="183">
        <f t="shared" si="14"/>
        <v>0</v>
      </c>
    </row>
    <row r="18" spans="2:82" x14ac:dyDescent="0.3">
      <c r="B18" s="53"/>
      <c r="C18" s="53" t="str">
        <f t="shared" si="0"/>
        <v>CPU_TachaRefletiva</v>
      </c>
      <c r="D18" s="278">
        <f t="shared" si="1"/>
        <v>942.5</v>
      </c>
      <c r="E18" s="278">
        <f t="shared" si="2"/>
        <v>94250</v>
      </c>
      <c r="F18" s="1"/>
      <c r="G18" s="28" t="str">
        <f>IFERROR(VLOOKUP(F18,Tabela7[[RECURSO]:[CUSTO]],2,FALSE),"")</f>
        <v/>
      </c>
      <c r="H18" s="92"/>
      <c r="I18" s="90"/>
      <c r="J18" s="45">
        <f>IFERROR(VLOOKUP(F18,Tabela7[[RECURSO]:[CUSTO]],3,FALSE),0)</f>
        <v>0</v>
      </c>
      <c r="K18" s="45">
        <f>I18*J18*CPU_24[[#This Row],[Nº]]</f>
        <v>0</v>
      </c>
      <c r="M18" s="31"/>
      <c r="N18" s="297"/>
      <c r="O18" s="60">
        <f t="shared" si="15"/>
        <v>0</v>
      </c>
      <c r="AD18" s="144" t="str">
        <f t="shared" si="3"/>
        <v>Tacha Refletiva</v>
      </c>
      <c r="AE18" s="179"/>
      <c r="AF18" s="180">
        <f t="shared" si="16"/>
        <v>0</v>
      </c>
      <c r="AG18" s="180">
        <f t="shared" si="17"/>
        <v>0</v>
      </c>
      <c r="AH18" s="181">
        <f t="shared" si="18"/>
        <v>0</v>
      </c>
      <c r="AI18" s="182"/>
      <c r="AJ18" s="90"/>
      <c r="AK18" s="90"/>
      <c r="AL18" s="183">
        <f t="shared" si="19"/>
        <v>0</v>
      </c>
      <c r="AM18" s="182"/>
      <c r="AN18" s="90"/>
      <c r="AO18" s="90"/>
      <c r="AP18" s="183">
        <f t="shared" si="4"/>
        <v>0</v>
      </c>
      <c r="AQ18" s="182"/>
      <c r="AR18" s="90"/>
      <c r="AS18" s="90"/>
      <c r="AT18" s="183">
        <f t="shared" si="5"/>
        <v>0</v>
      </c>
      <c r="AU18" s="182"/>
      <c r="AV18" s="90"/>
      <c r="AW18" s="90"/>
      <c r="AX18" s="183">
        <f t="shared" si="6"/>
        <v>0</v>
      </c>
      <c r="AY18" s="182"/>
      <c r="AZ18" s="90"/>
      <c r="BA18" s="90"/>
      <c r="BB18" s="183">
        <f t="shared" si="7"/>
        <v>0</v>
      </c>
      <c r="BC18" s="182"/>
      <c r="BD18" s="90"/>
      <c r="BE18" s="90"/>
      <c r="BF18" s="183">
        <f t="shared" si="8"/>
        <v>0</v>
      </c>
      <c r="BG18" s="182"/>
      <c r="BH18" s="90"/>
      <c r="BI18" s="90"/>
      <c r="BJ18" s="183">
        <f t="shared" si="9"/>
        <v>0</v>
      </c>
      <c r="BK18" s="182"/>
      <c r="BL18" s="90"/>
      <c r="BM18" s="90"/>
      <c r="BN18" s="183">
        <f t="shared" si="10"/>
        <v>0</v>
      </c>
      <c r="BO18" s="182"/>
      <c r="BP18" s="90"/>
      <c r="BQ18" s="90"/>
      <c r="BR18" s="183">
        <f t="shared" si="11"/>
        <v>0</v>
      </c>
      <c r="BS18" s="182"/>
      <c r="BT18" s="90"/>
      <c r="BU18" s="90"/>
      <c r="BV18" s="183">
        <f t="shared" si="12"/>
        <v>0</v>
      </c>
      <c r="BW18" s="182"/>
      <c r="BX18" s="90"/>
      <c r="BY18" s="90"/>
      <c r="BZ18" s="183">
        <f t="shared" si="13"/>
        <v>0</v>
      </c>
      <c r="CA18" s="182"/>
      <c r="CB18" s="90"/>
      <c r="CC18" s="90"/>
      <c r="CD18" s="183">
        <f t="shared" si="14"/>
        <v>0</v>
      </c>
    </row>
    <row r="19" spans="2:82" x14ac:dyDescent="0.3">
      <c r="B19" s="53"/>
      <c r="C19" s="53" t="str">
        <f t="shared" si="0"/>
        <v>CPU_TachaRefletiva</v>
      </c>
      <c r="D19" s="278">
        <f t="shared" si="1"/>
        <v>942.5</v>
      </c>
      <c r="E19" s="278">
        <f t="shared" si="2"/>
        <v>94250</v>
      </c>
      <c r="F19" s="1"/>
      <c r="G19" s="28" t="str">
        <f>IFERROR(VLOOKUP(F19,Tabela7[[RECURSO]:[CUSTO]],2,FALSE),"")</f>
        <v/>
      </c>
      <c r="H19" s="92"/>
      <c r="I19" s="90"/>
      <c r="J19" s="45">
        <f>IFERROR(VLOOKUP(F19,Tabela7[[RECURSO]:[CUSTO]],3,FALSE),0)</f>
        <v>0</v>
      </c>
      <c r="K19" s="45">
        <f>I19*J19*CPU_24[[#This Row],[Nº]]</f>
        <v>0</v>
      </c>
      <c r="M19" s="31"/>
      <c r="N19" s="297"/>
      <c r="O19" s="60">
        <f t="shared" si="15"/>
        <v>0</v>
      </c>
      <c r="AD19" s="144" t="str">
        <f t="shared" si="3"/>
        <v>Tacha Refletiva</v>
      </c>
      <c r="AE19" s="179"/>
      <c r="AF19" s="180">
        <f t="shared" si="16"/>
        <v>0</v>
      </c>
      <c r="AG19" s="180">
        <f t="shared" si="17"/>
        <v>0</v>
      </c>
      <c r="AH19" s="181">
        <f t="shared" si="18"/>
        <v>0</v>
      </c>
      <c r="AI19" s="182"/>
      <c r="AJ19" s="90"/>
      <c r="AK19" s="90"/>
      <c r="AL19" s="183">
        <f t="shared" si="19"/>
        <v>0</v>
      </c>
      <c r="AM19" s="182"/>
      <c r="AN19" s="90"/>
      <c r="AO19" s="90"/>
      <c r="AP19" s="183">
        <f t="shared" si="4"/>
        <v>0</v>
      </c>
      <c r="AQ19" s="182"/>
      <c r="AR19" s="90"/>
      <c r="AS19" s="90"/>
      <c r="AT19" s="183">
        <f t="shared" si="5"/>
        <v>0</v>
      </c>
      <c r="AU19" s="182"/>
      <c r="AV19" s="90"/>
      <c r="AW19" s="90"/>
      <c r="AX19" s="183">
        <f t="shared" si="6"/>
        <v>0</v>
      </c>
      <c r="AY19" s="182"/>
      <c r="AZ19" s="90"/>
      <c r="BA19" s="90"/>
      <c r="BB19" s="183">
        <f t="shared" si="7"/>
        <v>0</v>
      </c>
      <c r="BC19" s="182"/>
      <c r="BD19" s="90"/>
      <c r="BE19" s="90"/>
      <c r="BF19" s="183">
        <f t="shared" si="8"/>
        <v>0</v>
      </c>
      <c r="BG19" s="182"/>
      <c r="BH19" s="90"/>
      <c r="BI19" s="90"/>
      <c r="BJ19" s="183">
        <f t="shared" si="9"/>
        <v>0</v>
      </c>
      <c r="BK19" s="182"/>
      <c r="BL19" s="90"/>
      <c r="BM19" s="90"/>
      <c r="BN19" s="183">
        <f t="shared" si="10"/>
        <v>0</v>
      </c>
      <c r="BO19" s="182"/>
      <c r="BP19" s="90"/>
      <c r="BQ19" s="90"/>
      <c r="BR19" s="183">
        <f t="shared" si="11"/>
        <v>0</v>
      </c>
      <c r="BS19" s="182"/>
      <c r="BT19" s="90"/>
      <c r="BU19" s="90"/>
      <c r="BV19" s="183">
        <f t="shared" si="12"/>
        <v>0</v>
      </c>
      <c r="BW19" s="182"/>
      <c r="BX19" s="90"/>
      <c r="BY19" s="90"/>
      <c r="BZ19" s="183">
        <f t="shared" si="13"/>
        <v>0</v>
      </c>
      <c r="CA19" s="182"/>
      <c r="CB19" s="90"/>
      <c r="CC19" s="90"/>
      <c r="CD19" s="183">
        <f t="shared" si="14"/>
        <v>0</v>
      </c>
    </row>
    <row r="20" spans="2:82" x14ac:dyDescent="0.3">
      <c r="B20" s="53"/>
      <c r="C20" s="53" t="str">
        <f t="shared" si="0"/>
        <v>CPU_TachaRefletiva</v>
      </c>
      <c r="D20" s="278">
        <f t="shared" si="1"/>
        <v>942.5</v>
      </c>
      <c r="E20" s="278">
        <f t="shared" si="2"/>
        <v>94250</v>
      </c>
      <c r="F20" s="1"/>
      <c r="G20" s="28" t="str">
        <f>IFERROR(VLOOKUP(F20,Tabela7[[RECURSO]:[CUSTO]],2,FALSE),"")</f>
        <v/>
      </c>
      <c r="H20" s="92"/>
      <c r="I20" s="90"/>
      <c r="J20" s="45">
        <f>IFERROR(VLOOKUP(F20,Tabela7[[RECURSO]:[CUSTO]],3,FALSE),0)</f>
        <v>0</v>
      </c>
      <c r="K20" s="45">
        <f>I20*J20*CPU_24[[#This Row],[Nº]]</f>
        <v>0</v>
      </c>
      <c r="M20" s="31"/>
      <c r="N20" s="297"/>
      <c r="O20" s="60">
        <f t="shared" si="15"/>
        <v>0</v>
      </c>
      <c r="AD20" s="144" t="str">
        <f t="shared" si="3"/>
        <v>Tacha Refletiva</v>
      </c>
      <c r="AE20" s="179"/>
      <c r="AF20" s="180">
        <f t="shared" si="16"/>
        <v>0</v>
      </c>
      <c r="AG20" s="180">
        <f t="shared" si="17"/>
        <v>0</v>
      </c>
      <c r="AH20" s="181">
        <f t="shared" si="18"/>
        <v>0</v>
      </c>
      <c r="AI20" s="182"/>
      <c r="AJ20" s="90"/>
      <c r="AK20" s="90"/>
      <c r="AL20" s="183">
        <f t="shared" si="19"/>
        <v>0</v>
      </c>
      <c r="AM20" s="182"/>
      <c r="AN20" s="90"/>
      <c r="AO20" s="90"/>
      <c r="AP20" s="183">
        <f t="shared" si="4"/>
        <v>0</v>
      </c>
      <c r="AQ20" s="182"/>
      <c r="AR20" s="90"/>
      <c r="AS20" s="90"/>
      <c r="AT20" s="183">
        <f t="shared" si="5"/>
        <v>0</v>
      </c>
      <c r="AU20" s="182"/>
      <c r="AV20" s="90"/>
      <c r="AW20" s="90"/>
      <c r="AX20" s="183">
        <f t="shared" si="6"/>
        <v>0</v>
      </c>
      <c r="AY20" s="182"/>
      <c r="AZ20" s="90"/>
      <c r="BA20" s="90"/>
      <c r="BB20" s="183">
        <f t="shared" si="7"/>
        <v>0</v>
      </c>
      <c r="BC20" s="182"/>
      <c r="BD20" s="90"/>
      <c r="BE20" s="90"/>
      <c r="BF20" s="183">
        <f t="shared" si="8"/>
        <v>0</v>
      </c>
      <c r="BG20" s="182"/>
      <c r="BH20" s="90"/>
      <c r="BI20" s="90"/>
      <c r="BJ20" s="183">
        <f t="shared" si="9"/>
        <v>0</v>
      </c>
      <c r="BK20" s="182"/>
      <c r="BL20" s="90"/>
      <c r="BM20" s="90"/>
      <c r="BN20" s="183">
        <f t="shared" si="10"/>
        <v>0</v>
      </c>
      <c r="BO20" s="182"/>
      <c r="BP20" s="90"/>
      <c r="BQ20" s="90"/>
      <c r="BR20" s="183">
        <f t="shared" si="11"/>
        <v>0</v>
      </c>
      <c r="BS20" s="182"/>
      <c r="BT20" s="90"/>
      <c r="BU20" s="90"/>
      <c r="BV20" s="183">
        <f t="shared" si="12"/>
        <v>0</v>
      </c>
      <c r="BW20" s="182"/>
      <c r="BX20" s="90"/>
      <c r="BY20" s="90"/>
      <c r="BZ20" s="183">
        <f t="shared" si="13"/>
        <v>0</v>
      </c>
      <c r="CA20" s="182"/>
      <c r="CB20" s="90"/>
      <c r="CC20" s="90"/>
      <c r="CD20" s="183">
        <f t="shared" si="14"/>
        <v>0</v>
      </c>
    </row>
    <row r="21" spans="2:82" x14ac:dyDescent="0.3">
      <c r="B21" s="53"/>
      <c r="C21" s="53" t="str">
        <f t="shared" si="0"/>
        <v>CPU_TachaRefletiva</v>
      </c>
      <c r="D21" s="278">
        <f t="shared" si="1"/>
        <v>942.5</v>
      </c>
      <c r="E21" s="278">
        <f t="shared" si="2"/>
        <v>94250</v>
      </c>
      <c r="F21" s="1"/>
      <c r="G21" s="28" t="str">
        <f>IFERROR(VLOOKUP(F21,Tabela7[[RECURSO]:[CUSTO]],2,FALSE),"")</f>
        <v/>
      </c>
      <c r="H21" s="92"/>
      <c r="I21" s="90"/>
      <c r="J21" s="45">
        <f>IFERROR(VLOOKUP(F21,Tabela7[[RECURSO]:[CUSTO]],3,FALSE),0)</f>
        <v>0</v>
      </c>
      <c r="K21" s="45">
        <f>I21*J21*CPU_24[[#This Row],[Nº]]</f>
        <v>0</v>
      </c>
      <c r="M21" s="31"/>
      <c r="N21" s="297"/>
      <c r="O21" s="60">
        <f t="shared" si="15"/>
        <v>0</v>
      </c>
      <c r="AD21" s="144" t="str">
        <f t="shared" si="3"/>
        <v>Tacha Refletiva</v>
      </c>
      <c r="AE21" s="179"/>
      <c r="AF21" s="180">
        <f t="shared" si="16"/>
        <v>0</v>
      </c>
      <c r="AG21" s="180">
        <f t="shared" si="17"/>
        <v>0</v>
      </c>
      <c r="AH21" s="181">
        <f t="shared" si="18"/>
        <v>0</v>
      </c>
      <c r="AI21" s="182"/>
      <c r="AJ21" s="90"/>
      <c r="AK21" s="90"/>
      <c r="AL21" s="183">
        <f t="shared" si="19"/>
        <v>0</v>
      </c>
      <c r="AM21" s="182"/>
      <c r="AN21" s="90"/>
      <c r="AO21" s="90"/>
      <c r="AP21" s="183">
        <f t="shared" si="4"/>
        <v>0</v>
      </c>
      <c r="AQ21" s="182"/>
      <c r="AR21" s="90"/>
      <c r="AS21" s="90"/>
      <c r="AT21" s="183">
        <f t="shared" si="5"/>
        <v>0</v>
      </c>
      <c r="AU21" s="182"/>
      <c r="AV21" s="90"/>
      <c r="AW21" s="90"/>
      <c r="AX21" s="183">
        <f t="shared" si="6"/>
        <v>0</v>
      </c>
      <c r="AY21" s="182"/>
      <c r="AZ21" s="90"/>
      <c r="BA21" s="90"/>
      <c r="BB21" s="183">
        <f t="shared" si="7"/>
        <v>0</v>
      </c>
      <c r="BC21" s="182"/>
      <c r="BD21" s="90"/>
      <c r="BE21" s="90"/>
      <c r="BF21" s="183">
        <f t="shared" si="8"/>
        <v>0</v>
      </c>
      <c r="BG21" s="182"/>
      <c r="BH21" s="90"/>
      <c r="BI21" s="90"/>
      <c r="BJ21" s="183">
        <f t="shared" si="9"/>
        <v>0</v>
      </c>
      <c r="BK21" s="182"/>
      <c r="BL21" s="90"/>
      <c r="BM21" s="90"/>
      <c r="BN21" s="183">
        <f t="shared" si="10"/>
        <v>0</v>
      </c>
      <c r="BO21" s="182"/>
      <c r="BP21" s="90"/>
      <c r="BQ21" s="90"/>
      <c r="BR21" s="183">
        <f t="shared" si="11"/>
        <v>0</v>
      </c>
      <c r="BS21" s="182"/>
      <c r="BT21" s="90"/>
      <c r="BU21" s="90"/>
      <c r="BV21" s="183">
        <f t="shared" si="12"/>
        <v>0</v>
      </c>
      <c r="BW21" s="182"/>
      <c r="BX21" s="90"/>
      <c r="BY21" s="90"/>
      <c r="BZ21" s="183">
        <f t="shared" si="13"/>
        <v>0</v>
      </c>
      <c r="CA21" s="182"/>
      <c r="CB21" s="90"/>
      <c r="CC21" s="90"/>
      <c r="CD21" s="183">
        <f t="shared" si="14"/>
        <v>0</v>
      </c>
    </row>
    <row r="22" spans="2:82" x14ac:dyDescent="0.3">
      <c r="B22" s="53"/>
      <c r="C22" s="53" t="str">
        <f t="shared" si="0"/>
        <v>CPU_TachaRefletiva</v>
      </c>
      <c r="D22" s="278">
        <f t="shared" si="1"/>
        <v>942.5</v>
      </c>
      <c r="E22" s="278">
        <f t="shared" si="2"/>
        <v>94250</v>
      </c>
      <c r="F22" s="1"/>
      <c r="G22" s="28" t="str">
        <f>IFERROR(VLOOKUP(F22,Tabela7[[RECURSO]:[CUSTO]],2,FALSE),"")</f>
        <v/>
      </c>
      <c r="H22" s="92"/>
      <c r="I22" s="90"/>
      <c r="J22" s="45">
        <f>IFERROR(VLOOKUP(F22,Tabela7[[RECURSO]:[CUSTO]],3,FALSE),0)</f>
        <v>0</v>
      </c>
      <c r="K22" s="45">
        <f>I22*J22*CPU_24[[#This Row],[Nº]]</f>
        <v>0</v>
      </c>
      <c r="M22" s="31"/>
      <c r="N22" s="297"/>
      <c r="O22" s="60">
        <f t="shared" si="15"/>
        <v>0</v>
      </c>
      <c r="AD22" s="144" t="str">
        <f t="shared" si="3"/>
        <v>Tacha Refletiva</v>
      </c>
      <c r="AE22" s="179"/>
      <c r="AF22" s="180">
        <f t="shared" si="16"/>
        <v>0</v>
      </c>
      <c r="AG22" s="180">
        <f t="shared" si="17"/>
        <v>0</v>
      </c>
      <c r="AH22" s="181">
        <f t="shared" si="18"/>
        <v>0</v>
      </c>
      <c r="AI22" s="182"/>
      <c r="AJ22" s="90"/>
      <c r="AK22" s="90"/>
      <c r="AL22" s="183">
        <f t="shared" si="19"/>
        <v>0</v>
      </c>
      <c r="AM22" s="182"/>
      <c r="AN22" s="90"/>
      <c r="AO22" s="90"/>
      <c r="AP22" s="183">
        <f t="shared" si="4"/>
        <v>0</v>
      </c>
      <c r="AQ22" s="182"/>
      <c r="AR22" s="90"/>
      <c r="AS22" s="90"/>
      <c r="AT22" s="183">
        <f t="shared" si="5"/>
        <v>0</v>
      </c>
      <c r="AU22" s="182"/>
      <c r="AV22" s="90"/>
      <c r="AW22" s="90"/>
      <c r="AX22" s="183">
        <f t="shared" si="6"/>
        <v>0</v>
      </c>
      <c r="AY22" s="182"/>
      <c r="AZ22" s="90"/>
      <c r="BA22" s="90"/>
      <c r="BB22" s="183">
        <f t="shared" si="7"/>
        <v>0</v>
      </c>
      <c r="BC22" s="182"/>
      <c r="BD22" s="90"/>
      <c r="BE22" s="90"/>
      <c r="BF22" s="183">
        <f t="shared" si="8"/>
        <v>0</v>
      </c>
      <c r="BG22" s="182"/>
      <c r="BH22" s="90"/>
      <c r="BI22" s="90"/>
      <c r="BJ22" s="183">
        <f t="shared" si="9"/>
        <v>0</v>
      </c>
      <c r="BK22" s="182"/>
      <c r="BL22" s="90"/>
      <c r="BM22" s="90"/>
      <c r="BN22" s="183">
        <f t="shared" si="10"/>
        <v>0</v>
      </c>
      <c r="BO22" s="182"/>
      <c r="BP22" s="90"/>
      <c r="BQ22" s="90"/>
      <c r="BR22" s="183">
        <f t="shared" si="11"/>
        <v>0</v>
      </c>
      <c r="BS22" s="182"/>
      <c r="BT22" s="90"/>
      <c r="BU22" s="90"/>
      <c r="BV22" s="183">
        <f t="shared" si="12"/>
        <v>0</v>
      </c>
      <c r="BW22" s="182"/>
      <c r="BX22" s="90"/>
      <c r="BY22" s="90"/>
      <c r="BZ22" s="183">
        <f t="shared" si="13"/>
        <v>0</v>
      </c>
      <c r="CA22" s="182"/>
      <c r="CB22" s="90"/>
      <c r="CC22" s="90"/>
      <c r="CD22" s="183">
        <f t="shared" si="14"/>
        <v>0</v>
      </c>
    </row>
    <row r="23" spans="2:82" ht="15" thickBot="1" x14ac:dyDescent="0.35">
      <c r="B23" s="53"/>
      <c r="C23" s="53" t="str">
        <f t="shared" si="0"/>
        <v>CPU_TachaRefletiva</v>
      </c>
      <c r="D23" s="278">
        <f t="shared" si="1"/>
        <v>942.5</v>
      </c>
      <c r="E23" s="278">
        <f t="shared" si="2"/>
        <v>94250</v>
      </c>
      <c r="F23" s="1"/>
      <c r="G23" s="28" t="str">
        <f>IFERROR(VLOOKUP(F23,Tabela7[[RECURSO]:[CUSTO]],2,FALSE),"")</f>
        <v/>
      </c>
      <c r="H23" s="92"/>
      <c r="I23" s="90"/>
      <c r="J23" s="45">
        <f>IFERROR(VLOOKUP(F23,Tabela7[[RECURSO]:[CUSTO]],3,FALSE),0)</f>
        <v>0</v>
      </c>
      <c r="K23" s="45">
        <f>I23*J23*CPU_24[[#This Row],[Nº]]</f>
        <v>0</v>
      </c>
      <c r="M23" s="51"/>
      <c r="N23" s="298"/>
      <c r="O23" s="61">
        <f t="shared" si="15"/>
        <v>0</v>
      </c>
      <c r="AD23" s="144" t="str">
        <f t="shared" si="3"/>
        <v>Tacha Refletiva</v>
      </c>
      <c r="AE23" s="179"/>
      <c r="AF23" s="180">
        <f t="shared" si="16"/>
        <v>0</v>
      </c>
      <c r="AG23" s="180">
        <f t="shared" si="17"/>
        <v>0</v>
      </c>
      <c r="AH23" s="181">
        <f t="shared" si="18"/>
        <v>0</v>
      </c>
      <c r="AI23" s="182"/>
      <c r="AJ23" s="90"/>
      <c r="AK23" s="90"/>
      <c r="AL23" s="183">
        <f t="shared" si="19"/>
        <v>0</v>
      </c>
      <c r="AM23" s="182"/>
      <c r="AN23" s="90"/>
      <c r="AO23" s="90"/>
      <c r="AP23" s="183">
        <f t="shared" si="4"/>
        <v>0</v>
      </c>
      <c r="AQ23" s="182"/>
      <c r="AR23" s="90"/>
      <c r="AS23" s="90"/>
      <c r="AT23" s="183">
        <f t="shared" si="5"/>
        <v>0</v>
      </c>
      <c r="AU23" s="182"/>
      <c r="AV23" s="90"/>
      <c r="AW23" s="90"/>
      <c r="AX23" s="183">
        <f t="shared" si="6"/>
        <v>0</v>
      </c>
      <c r="AY23" s="182"/>
      <c r="AZ23" s="90"/>
      <c r="BA23" s="90"/>
      <c r="BB23" s="183">
        <f t="shared" si="7"/>
        <v>0</v>
      </c>
      <c r="BC23" s="182"/>
      <c r="BD23" s="90"/>
      <c r="BE23" s="90"/>
      <c r="BF23" s="183">
        <f t="shared" si="8"/>
        <v>0</v>
      </c>
      <c r="BG23" s="182"/>
      <c r="BH23" s="90"/>
      <c r="BI23" s="90"/>
      <c r="BJ23" s="183">
        <f t="shared" si="9"/>
        <v>0</v>
      </c>
      <c r="BK23" s="182"/>
      <c r="BL23" s="90"/>
      <c r="BM23" s="90"/>
      <c r="BN23" s="183">
        <f t="shared" si="10"/>
        <v>0</v>
      </c>
      <c r="BO23" s="182"/>
      <c r="BP23" s="90"/>
      <c r="BQ23" s="90"/>
      <c r="BR23" s="183">
        <f t="shared" si="11"/>
        <v>0</v>
      </c>
      <c r="BS23" s="182"/>
      <c r="BT23" s="90"/>
      <c r="BU23" s="90"/>
      <c r="BV23" s="183">
        <f t="shared" si="12"/>
        <v>0</v>
      </c>
      <c r="BW23" s="182"/>
      <c r="BX23" s="90"/>
      <c r="BY23" s="90"/>
      <c r="BZ23" s="183">
        <f t="shared" si="13"/>
        <v>0</v>
      </c>
      <c r="CA23" s="182"/>
      <c r="CB23" s="90"/>
      <c r="CC23" s="90"/>
      <c r="CD23" s="183">
        <f t="shared" si="14"/>
        <v>0</v>
      </c>
    </row>
    <row r="24" spans="2:82" x14ac:dyDescent="0.3">
      <c r="B24" s="52" t="s">
        <v>686</v>
      </c>
      <c r="C24" s="52" t="str">
        <f t="shared" si="0"/>
        <v>CPU_TachaRefletiva</v>
      </c>
      <c r="D24" s="277">
        <f t="shared" si="1"/>
        <v>942.5</v>
      </c>
      <c r="E24" s="277">
        <f t="shared" si="2"/>
        <v>94250</v>
      </c>
      <c r="F24" s="37"/>
      <c r="G24" s="38"/>
      <c r="H24" s="91"/>
      <c r="I24" s="40"/>
      <c r="J24" s="40">
        <f>IFERROR(K24/$B$6,0)</f>
        <v>0</v>
      </c>
      <c r="K24" s="40">
        <f>SUM(K25:K36)</f>
        <v>0</v>
      </c>
      <c r="AD24" s="144" t="str">
        <f t="shared" si="3"/>
        <v>Tacha Refletiva</v>
      </c>
      <c r="AE24" s="184"/>
      <c r="AF24" s="40"/>
      <c r="AG24" s="40">
        <f>IFERROR(AH24/AF$3,0)</f>
        <v>0</v>
      </c>
      <c r="AH24" s="185">
        <f>SUM(AH25:AH36)</f>
        <v>0</v>
      </c>
      <c r="AI24" s="184"/>
      <c r="AJ24" s="40"/>
      <c r="AK24" s="40">
        <f>IFERROR(AL24/AJ$3,0)</f>
        <v>0</v>
      </c>
      <c r="AL24" s="185">
        <f>SUM(AL25:AL36)</f>
        <v>0</v>
      </c>
      <c r="AM24" s="184"/>
      <c r="AN24" s="40"/>
      <c r="AO24" s="40">
        <f>IFERROR(AP24/AN$3,0)</f>
        <v>0</v>
      </c>
      <c r="AP24" s="185">
        <f>SUM(AP25:AP36)</f>
        <v>0</v>
      </c>
      <c r="AQ24" s="184"/>
      <c r="AR24" s="40"/>
      <c r="AS24" s="40">
        <f>IFERROR(AT24/AR$3,0)</f>
        <v>0</v>
      </c>
      <c r="AT24" s="185">
        <f>SUM(AT25:AT36)</f>
        <v>0</v>
      </c>
      <c r="AU24" s="184"/>
      <c r="AV24" s="40"/>
      <c r="AW24" s="40">
        <f>IFERROR(AX24/AV$3,0)</f>
        <v>0</v>
      </c>
      <c r="AX24" s="185">
        <f>SUM(AX25:AX36)</f>
        <v>0</v>
      </c>
      <c r="AY24" s="184"/>
      <c r="AZ24" s="40"/>
      <c r="BA24" s="40">
        <f>IFERROR(BB24/AZ$3,0)</f>
        <v>0</v>
      </c>
      <c r="BB24" s="185">
        <f>SUM(BB25:BB36)</f>
        <v>0</v>
      </c>
      <c r="BC24" s="184"/>
      <c r="BD24" s="40"/>
      <c r="BE24" s="40">
        <f>IFERROR(BF24/BD$3,0)</f>
        <v>0</v>
      </c>
      <c r="BF24" s="185">
        <f>SUM(BF25:BF36)</f>
        <v>0</v>
      </c>
      <c r="BG24" s="184"/>
      <c r="BH24" s="40"/>
      <c r="BI24" s="40">
        <f>IFERROR(BJ24/BH$3,0)</f>
        <v>0</v>
      </c>
      <c r="BJ24" s="185">
        <f>SUM(BJ25:BJ36)</f>
        <v>0</v>
      </c>
      <c r="BK24" s="184"/>
      <c r="BL24" s="40"/>
      <c r="BM24" s="40">
        <f>IFERROR(BN24/BL$3,0)</f>
        <v>0</v>
      </c>
      <c r="BN24" s="185">
        <f>SUM(BN25:BN36)</f>
        <v>0</v>
      </c>
      <c r="BO24" s="184"/>
      <c r="BP24" s="40"/>
      <c r="BQ24" s="40">
        <f>IFERROR(BR24/BP$3,0)</f>
        <v>0</v>
      </c>
      <c r="BR24" s="185">
        <f>SUM(BR25:BR36)</f>
        <v>0</v>
      </c>
      <c r="BS24" s="184"/>
      <c r="BT24" s="40"/>
      <c r="BU24" s="40">
        <f>IFERROR(BV24/BT$3,0)</f>
        <v>0</v>
      </c>
      <c r="BV24" s="185">
        <f>SUM(BV25:BV36)</f>
        <v>0</v>
      </c>
      <c r="BW24" s="184"/>
      <c r="BX24" s="40"/>
      <c r="BY24" s="40">
        <f>IFERROR(BZ24/BX$3,0)</f>
        <v>0</v>
      </c>
      <c r="BZ24" s="185">
        <f>SUM(BZ25:BZ36)</f>
        <v>0</v>
      </c>
      <c r="CA24" s="184"/>
      <c r="CB24" s="40"/>
      <c r="CC24" s="40">
        <f>IFERROR(CD24/CB$3,0)</f>
        <v>0</v>
      </c>
      <c r="CD24" s="185">
        <f>SUM(CD25:CD36)</f>
        <v>0</v>
      </c>
    </row>
    <row r="25" spans="2:82" x14ac:dyDescent="0.3">
      <c r="B25" s="53"/>
      <c r="C25" s="53" t="str">
        <f t="shared" si="0"/>
        <v>CPU_TachaRefletiva</v>
      </c>
      <c r="D25" s="278">
        <f t="shared" si="1"/>
        <v>942.5</v>
      </c>
      <c r="E25" s="278">
        <f t="shared" si="2"/>
        <v>94250</v>
      </c>
      <c r="F25" s="1"/>
      <c r="G25" s="28" t="str">
        <f>IFERROR(VLOOKUP(F25,Tabela7[[RECURSO]:[CUSTO]],2,FALSE),"")</f>
        <v/>
      </c>
      <c r="H25" s="93"/>
      <c r="I25" s="90">
        <f>IFERROR(SUMPRODUCT(I12:I23,M12:M23,H12:H23,N12:N23),0)</f>
        <v>0</v>
      </c>
      <c r="J25" s="45">
        <f>IFERROR(VLOOKUP(F25,Tabela7[[RECURSO]:[CUSTO]],3,FALSE),0)</f>
        <v>0</v>
      </c>
      <c r="K25" s="45">
        <f>I25*J25</f>
        <v>0</v>
      </c>
      <c r="AD25" s="144" t="str">
        <f t="shared" si="3"/>
        <v>Tacha Refletiva</v>
      </c>
      <c r="AE25" s="179"/>
      <c r="AF25" s="180">
        <f t="shared" ref="AF25:AF36" si="20">AJ25+AN25+AR25+AV25+AZ25+BD25+BH25+BL25+BP25+BT25+BX25+CB25</f>
        <v>0</v>
      </c>
      <c r="AG25" s="180">
        <f t="shared" si="17"/>
        <v>0</v>
      </c>
      <c r="AH25" s="181">
        <f t="shared" ref="AH25:AH36" si="21">AL25+AP25+AT25+AX25+BB25+BF25+BJ25+BN25+BR25+BV25+BZ25+CD25</f>
        <v>0</v>
      </c>
      <c r="AI25" s="182"/>
      <c r="AJ25" s="90"/>
      <c r="AK25" s="90"/>
      <c r="AL25" s="183">
        <f t="shared" ref="AL25:AL36" si="22">AJ25*AK25</f>
        <v>0</v>
      </c>
      <c r="AM25" s="182"/>
      <c r="AN25" s="90"/>
      <c r="AO25" s="90"/>
      <c r="AP25" s="183">
        <f t="shared" ref="AP25:AP62" si="23">AN25*AO25</f>
        <v>0</v>
      </c>
      <c r="AQ25" s="182"/>
      <c r="AR25" s="90"/>
      <c r="AS25" s="90"/>
      <c r="AT25" s="183">
        <f t="shared" ref="AT25:AT62" si="24">AR25*AS25</f>
        <v>0</v>
      </c>
      <c r="AU25" s="182"/>
      <c r="AV25" s="90"/>
      <c r="AW25" s="90"/>
      <c r="AX25" s="183">
        <f t="shared" ref="AX25:AX62" si="25">AV25*AW25</f>
        <v>0</v>
      </c>
      <c r="AY25" s="182"/>
      <c r="AZ25" s="90"/>
      <c r="BA25" s="90"/>
      <c r="BB25" s="183">
        <f t="shared" ref="BB25:BB62" si="26">AZ25*BA25</f>
        <v>0</v>
      </c>
      <c r="BC25" s="182"/>
      <c r="BD25" s="90"/>
      <c r="BE25" s="90"/>
      <c r="BF25" s="183">
        <f t="shared" ref="BF25:BF62" si="27">BD25*BE25</f>
        <v>0</v>
      </c>
      <c r="BG25" s="182"/>
      <c r="BH25" s="90"/>
      <c r="BI25" s="90"/>
      <c r="BJ25" s="183">
        <f t="shared" ref="BJ25:BJ62" si="28">BH25*BI25</f>
        <v>0</v>
      </c>
      <c r="BK25" s="182"/>
      <c r="BL25" s="90"/>
      <c r="BM25" s="90"/>
      <c r="BN25" s="183">
        <f t="shared" ref="BN25:BN62" si="29">BL25*BM25</f>
        <v>0</v>
      </c>
      <c r="BO25" s="182"/>
      <c r="BP25" s="90"/>
      <c r="BQ25" s="90"/>
      <c r="BR25" s="183">
        <f t="shared" ref="BR25:BR62" si="30">BP25*BQ25</f>
        <v>0</v>
      </c>
      <c r="BS25" s="182"/>
      <c r="BT25" s="90"/>
      <c r="BU25" s="90"/>
      <c r="BV25" s="183">
        <f t="shared" ref="BV25:BV62" si="31">BT25*BU25</f>
        <v>0</v>
      </c>
      <c r="BW25" s="182"/>
      <c r="BX25" s="90"/>
      <c r="BY25" s="90"/>
      <c r="BZ25" s="183">
        <f t="shared" ref="BZ25:BZ62" si="32">BX25*BY25</f>
        <v>0</v>
      </c>
      <c r="CA25" s="182"/>
      <c r="CB25" s="90"/>
      <c r="CC25" s="90"/>
      <c r="CD25" s="183">
        <f t="shared" ref="CD25:CD62" si="33">CB25*CC25</f>
        <v>0</v>
      </c>
    </row>
    <row r="26" spans="2:82" x14ac:dyDescent="0.3">
      <c r="B26" s="53"/>
      <c r="C26" s="53" t="str">
        <f t="shared" si="0"/>
        <v>CPU_TachaRefletiva</v>
      </c>
      <c r="D26" s="278">
        <f t="shared" si="1"/>
        <v>942.5</v>
      </c>
      <c r="E26" s="278">
        <f t="shared" si="2"/>
        <v>94250</v>
      </c>
      <c r="F26" s="1"/>
      <c r="G26" s="28" t="str">
        <f>IFERROR(VLOOKUP(F26,Tabela7[[RECURSO]:[CUSTO]],2,FALSE),"")</f>
        <v/>
      </c>
      <c r="H26" s="93"/>
      <c r="I26" s="90"/>
      <c r="J26" s="45">
        <f>IFERROR(VLOOKUP(F26,Tabela7[[RECURSO]:[CUSTO]],3,FALSE),0)</f>
        <v>0</v>
      </c>
      <c r="K26" s="45">
        <f t="shared" ref="K26:K36" si="34">I26*J26</f>
        <v>0</v>
      </c>
      <c r="AD26" s="144" t="str">
        <f t="shared" si="3"/>
        <v>Tacha Refletiva</v>
      </c>
      <c r="AE26" s="179"/>
      <c r="AF26" s="180">
        <f t="shared" si="20"/>
        <v>0</v>
      </c>
      <c r="AG26" s="180">
        <f t="shared" si="17"/>
        <v>0</v>
      </c>
      <c r="AH26" s="181">
        <f t="shared" si="21"/>
        <v>0</v>
      </c>
      <c r="AI26" s="182"/>
      <c r="AJ26" s="90"/>
      <c r="AK26" s="90"/>
      <c r="AL26" s="183">
        <f t="shared" si="22"/>
        <v>0</v>
      </c>
      <c r="AM26" s="182"/>
      <c r="AN26" s="90"/>
      <c r="AO26" s="90"/>
      <c r="AP26" s="183">
        <f t="shared" si="23"/>
        <v>0</v>
      </c>
      <c r="AQ26" s="182"/>
      <c r="AR26" s="90"/>
      <c r="AS26" s="90"/>
      <c r="AT26" s="183">
        <f t="shared" si="24"/>
        <v>0</v>
      </c>
      <c r="AU26" s="182"/>
      <c r="AV26" s="90"/>
      <c r="AW26" s="90"/>
      <c r="AX26" s="183">
        <f t="shared" si="25"/>
        <v>0</v>
      </c>
      <c r="AY26" s="182"/>
      <c r="AZ26" s="90"/>
      <c r="BA26" s="90"/>
      <c r="BB26" s="183">
        <f t="shared" si="26"/>
        <v>0</v>
      </c>
      <c r="BC26" s="182"/>
      <c r="BD26" s="90"/>
      <c r="BE26" s="90"/>
      <c r="BF26" s="183">
        <f t="shared" si="27"/>
        <v>0</v>
      </c>
      <c r="BG26" s="182"/>
      <c r="BH26" s="90"/>
      <c r="BI26" s="90"/>
      <c r="BJ26" s="183">
        <f t="shared" si="28"/>
        <v>0</v>
      </c>
      <c r="BK26" s="182"/>
      <c r="BL26" s="90"/>
      <c r="BM26" s="90"/>
      <c r="BN26" s="183">
        <f t="shared" si="29"/>
        <v>0</v>
      </c>
      <c r="BO26" s="182"/>
      <c r="BP26" s="90"/>
      <c r="BQ26" s="90"/>
      <c r="BR26" s="183">
        <f t="shared" si="30"/>
        <v>0</v>
      </c>
      <c r="BS26" s="182"/>
      <c r="BT26" s="90"/>
      <c r="BU26" s="90"/>
      <c r="BV26" s="183">
        <f t="shared" si="31"/>
        <v>0</v>
      </c>
      <c r="BW26" s="182"/>
      <c r="BX26" s="90"/>
      <c r="BY26" s="90"/>
      <c r="BZ26" s="183">
        <f t="shared" si="32"/>
        <v>0</v>
      </c>
      <c r="CA26" s="182"/>
      <c r="CB26" s="90"/>
      <c r="CC26" s="90"/>
      <c r="CD26" s="183">
        <f t="shared" si="33"/>
        <v>0</v>
      </c>
    </row>
    <row r="27" spans="2:82" x14ac:dyDescent="0.3">
      <c r="B27" s="53"/>
      <c r="C27" s="53" t="str">
        <f t="shared" si="0"/>
        <v>CPU_TachaRefletiva</v>
      </c>
      <c r="D27" s="278">
        <f t="shared" si="1"/>
        <v>942.5</v>
      </c>
      <c r="E27" s="278">
        <f t="shared" si="2"/>
        <v>94250</v>
      </c>
      <c r="F27" s="1"/>
      <c r="G27" s="28" t="str">
        <f>IFERROR(VLOOKUP(F27,Tabela7[[RECURSO]:[CUSTO]],2,FALSE),"")</f>
        <v/>
      </c>
      <c r="H27" s="93"/>
      <c r="I27" s="90"/>
      <c r="J27" s="45">
        <f>IFERROR(VLOOKUP(F27,Tabela7[[RECURSO]:[CUSTO]],3,FALSE),0)</f>
        <v>0</v>
      </c>
      <c r="K27" s="45">
        <f t="shared" si="34"/>
        <v>0</v>
      </c>
      <c r="AD27" s="144" t="str">
        <f t="shared" si="3"/>
        <v>Tacha Refletiva</v>
      </c>
      <c r="AE27" s="179"/>
      <c r="AF27" s="180">
        <f t="shared" si="20"/>
        <v>0</v>
      </c>
      <c r="AG27" s="180">
        <f t="shared" si="17"/>
        <v>0</v>
      </c>
      <c r="AH27" s="181">
        <f t="shared" si="21"/>
        <v>0</v>
      </c>
      <c r="AI27" s="182"/>
      <c r="AJ27" s="90"/>
      <c r="AK27" s="90"/>
      <c r="AL27" s="183">
        <f t="shared" si="22"/>
        <v>0</v>
      </c>
      <c r="AM27" s="182"/>
      <c r="AN27" s="90"/>
      <c r="AO27" s="90"/>
      <c r="AP27" s="183">
        <f t="shared" si="23"/>
        <v>0</v>
      </c>
      <c r="AQ27" s="182"/>
      <c r="AR27" s="90"/>
      <c r="AS27" s="90"/>
      <c r="AT27" s="183">
        <f t="shared" si="24"/>
        <v>0</v>
      </c>
      <c r="AU27" s="182"/>
      <c r="AV27" s="90"/>
      <c r="AW27" s="90"/>
      <c r="AX27" s="183">
        <f t="shared" si="25"/>
        <v>0</v>
      </c>
      <c r="AY27" s="182"/>
      <c r="AZ27" s="90"/>
      <c r="BA27" s="90"/>
      <c r="BB27" s="183">
        <f t="shared" si="26"/>
        <v>0</v>
      </c>
      <c r="BC27" s="182"/>
      <c r="BD27" s="90"/>
      <c r="BE27" s="90"/>
      <c r="BF27" s="183">
        <f t="shared" si="27"/>
        <v>0</v>
      </c>
      <c r="BG27" s="182"/>
      <c r="BH27" s="90"/>
      <c r="BI27" s="90"/>
      <c r="BJ27" s="183">
        <f t="shared" si="28"/>
        <v>0</v>
      </c>
      <c r="BK27" s="182"/>
      <c r="BL27" s="90"/>
      <c r="BM27" s="90"/>
      <c r="BN27" s="183">
        <f t="shared" si="29"/>
        <v>0</v>
      </c>
      <c r="BO27" s="182"/>
      <c r="BP27" s="90"/>
      <c r="BQ27" s="90"/>
      <c r="BR27" s="183">
        <f t="shared" si="30"/>
        <v>0</v>
      </c>
      <c r="BS27" s="182"/>
      <c r="BT27" s="90"/>
      <c r="BU27" s="90"/>
      <c r="BV27" s="183">
        <f t="shared" si="31"/>
        <v>0</v>
      </c>
      <c r="BW27" s="182"/>
      <c r="BX27" s="90"/>
      <c r="BY27" s="90"/>
      <c r="BZ27" s="183">
        <f t="shared" si="32"/>
        <v>0</v>
      </c>
      <c r="CA27" s="182"/>
      <c r="CB27" s="90"/>
      <c r="CC27" s="90"/>
      <c r="CD27" s="183">
        <f t="shared" si="33"/>
        <v>0</v>
      </c>
    </row>
    <row r="28" spans="2:82" x14ac:dyDescent="0.3">
      <c r="B28" s="53"/>
      <c r="C28" s="53" t="str">
        <f t="shared" si="0"/>
        <v>CPU_TachaRefletiva</v>
      </c>
      <c r="D28" s="278">
        <f t="shared" si="1"/>
        <v>942.5</v>
      </c>
      <c r="E28" s="278">
        <f t="shared" si="2"/>
        <v>94250</v>
      </c>
      <c r="F28" s="1"/>
      <c r="G28" s="28" t="str">
        <f>IFERROR(VLOOKUP(F28,Tabela7[[RECURSO]:[CUSTO]],2,FALSE),"")</f>
        <v/>
      </c>
      <c r="H28" s="93"/>
      <c r="I28" s="90"/>
      <c r="J28" s="45">
        <f>IFERROR(VLOOKUP(F28,Tabela7[[RECURSO]:[CUSTO]],3,FALSE),0)</f>
        <v>0</v>
      </c>
      <c r="K28" s="45">
        <f t="shared" si="34"/>
        <v>0</v>
      </c>
      <c r="AD28" s="144" t="str">
        <f t="shared" si="3"/>
        <v>Tacha Refletiva</v>
      </c>
      <c r="AE28" s="179"/>
      <c r="AF28" s="180">
        <f t="shared" si="20"/>
        <v>0</v>
      </c>
      <c r="AG28" s="180">
        <f t="shared" si="17"/>
        <v>0</v>
      </c>
      <c r="AH28" s="181">
        <f t="shared" si="21"/>
        <v>0</v>
      </c>
      <c r="AI28" s="182"/>
      <c r="AJ28" s="90"/>
      <c r="AK28" s="90"/>
      <c r="AL28" s="183">
        <f t="shared" si="22"/>
        <v>0</v>
      </c>
      <c r="AM28" s="182"/>
      <c r="AN28" s="90"/>
      <c r="AO28" s="90"/>
      <c r="AP28" s="183">
        <f t="shared" si="23"/>
        <v>0</v>
      </c>
      <c r="AQ28" s="182"/>
      <c r="AR28" s="90"/>
      <c r="AS28" s="90"/>
      <c r="AT28" s="183">
        <f t="shared" si="24"/>
        <v>0</v>
      </c>
      <c r="AU28" s="182"/>
      <c r="AV28" s="90"/>
      <c r="AW28" s="90"/>
      <c r="AX28" s="183">
        <f t="shared" si="25"/>
        <v>0</v>
      </c>
      <c r="AY28" s="182"/>
      <c r="AZ28" s="90"/>
      <c r="BA28" s="90"/>
      <c r="BB28" s="183">
        <f t="shared" si="26"/>
        <v>0</v>
      </c>
      <c r="BC28" s="182"/>
      <c r="BD28" s="90"/>
      <c r="BE28" s="90"/>
      <c r="BF28" s="183">
        <f t="shared" si="27"/>
        <v>0</v>
      </c>
      <c r="BG28" s="182"/>
      <c r="BH28" s="90"/>
      <c r="BI28" s="90"/>
      <c r="BJ28" s="183">
        <f t="shared" si="28"/>
        <v>0</v>
      </c>
      <c r="BK28" s="182"/>
      <c r="BL28" s="90"/>
      <c r="BM28" s="90"/>
      <c r="BN28" s="183">
        <f t="shared" si="29"/>
        <v>0</v>
      </c>
      <c r="BO28" s="182"/>
      <c r="BP28" s="90"/>
      <c r="BQ28" s="90"/>
      <c r="BR28" s="183">
        <f t="shared" si="30"/>
        <v>0</v>
      </c>
      <c r="BS28" s="182"/>
      <c r="BT28" s="90"/>
      <c r="BU28" s="90"/>
      <c r="BV28" s="183">
        <f t="shared" si="31"/>
        <v>0</v>
      </c>
      <c r="BW28" s="182"/>
      <c r="BX28" s="90"/>
      <c r="BY28" s="90"/>
      <c r="BZ28" s="183">
        <f t="shared" si="32"/>
        <v>0</v>
      </c>
      <c r="CA28" s="182"/>
      <c r="CB28" s="90"/>
      <c r="CC28" s="90"/>
      <c r="CD28" s="183">
        <f t="shared" si="33"/>
        <v>0</v>
      </c>
    </row>
    <row r="29" spans="2:82" x14ac:dyDescent="0.3">
      <c r="B29" s="53"/>
      <c r="C29" s="53" t="str">
        <f t="shared" si="0"/>
        <v>CPU_TachaRefletiva</v>
      </c>
      <c r="D29" s="278">
        <f t="shared" si="1"/>
        <v>942.5</v>
      </c>
      <c r="E29" s="278">
        <f t="shared" si="2"/>
        <v>94250</v>
      </c>
      <c r="F29" s="1"/>
      <c r="G29" s="28" t="str">
        <f>IFERROR(VLOOKUP(F29,Tabela7[[RECURSO]:[CUSTO]],2,FALSE),"")</f>
        <v/>
      </c>
      <c r="H29" s="93"/>
      <c r="I29" s="90"/>
      <c r="J29" s="45">
        <f>IFERROR(VLOOKUP(F29,Tabela7[[RECURSO]:[CUSTO]],3,FALSE),0)</f>
        <v>0</v>
      </c>
      <c r="K29" s="45">
        <f t="shared" si="34"/>
        <v>0</v>
      </c>
      <c r="AD29" s="144" t="str">
        <f t="shared" si="3"/>
        <v>Tacha Refletiva</v>
      </c>
      <c r="AE29" s="179"/>
      <c r="AF29" s="180">
        <f t="shared" si="20"/>
        <v>0</v>
      </c>
      <c r="AG29" s="180">
        <f t="shared" si="17"/>
        <v>0</v>
      </c>
      <c r="AH29" s="181">
        <f t="shared" si="21"/>
        <v>0</v>
      </c>
      <c r="AI29" s="182"/>
      <c r="AJ29" s="90"/>
      <c r="AK29" s="90"/>
      <c r="AL29" s="183">
        <f t="shared" si="22"/>
        <v>0</v>
      </c>
      <c r="AM29" s="182"/>
      <c r="AN29" s="90"/>
      <c r="AO29" s="90"/>
      <c r="AP29" s="183">
        <f t="shared" si="23"/>
        <v>0</v>
      </c>
      <c r="AQ29" s="182"/>
      <c r="AR29" s="90"/>
      <c r="AS29" s="90"/>
      <c r="AT29" s="183">
        <f t="shared" si="24"/>
        <v>0</v>
      </c>
      <c r="AU29" s="182"/>
      <c r="AV29" s="90"/>
      <c r="AW29" s="90"/>
      <c r="AX29" s="183">
        <f t="shared" si="25"/>
        <v>0</v>
      </c>
      <c r="AY29" s="182"/>
      <c r="AZ29" s="90"/>
      <c r="BA29" s="90"/>
      <c r="BB29" s="183">
        <f t="shared" si="26"/>
        <v>0</v>
      </c>
      <c r="BC29" s="182"/>
      <c r="BD29" s="90"/>
      <c r="BE29" s="90"/>
      <c r="BF29" s="183">
        <f t="shared" si="27"/>
        <v>0</v>
      </c>
      <c r="BG29" s="182"/>
      <c r="BH29" s="90"/>
      <c r="BI29" s="90"/>
      <c r="BJ29" s="183">
        <f t="shared" si="28"/>
        <v>0</v>
      </c>
      <c r="BK29" s="182"/>
      <c r="BL29" s="90"/>
      <c r="BM29" s="90"/>
      <c r="BN29" s="183">
        <f t="shared" si="29"/>
        <v>0</v>
      </c>
      <c r="BO29" s="182"/>
      <c r="BP29" s="90"/>
      <c r="BQ29" s="90"/>
      <c r="BR29" s="183">
        <f t="shared" si="30"/>
        <v>0</v>
      </c>
      <c r="BS29" s="182"/>
      <c r="BT29" s="90"/>
      <c r="BU29" s="90"/>
      <c r="BV29" s="183">
        <f t="shared" si="31"/>
        <v>0</v>
      </c>
      <c r="BW29" s="182"/>
      <c r="BX29" s="90"/>
      <c r="BY29" s="90"/>
      <c r="BZ29" s="183">
        <f t="shared" si="32"/>
        <v>0</v>
      </c>
      <c r="CA29" s="182"/>
      <c r="CB29" s="90"/>
      <c r="CC29" s="90"/>
      <c r="CD29" s="183">
        <f t="shared" si="33"/>
        <v>0</v>
      </c>
    </row>
    <row r="30" spans="2:82" x14ac:dyDescent="0.3">
      <c r="B30" s="53"/>
      <c r="C30" s="53" t="str">
        <f t="shared" si="0"/>
        <v>CPU_TachaRefletiva</v>
      </c>
      <c r="D30" s="278">
        <f t="shared" si="1"/>
        <v>942.5</v>
      </c>
      <c r="E30" s="278">
        <f t="shared" si="2"/>
        <v>94250</v>
      </c>
      <c r="F30" s="1"/>
      <c r="G30" s="28" t="str">
        <f>IFERROR(VLOOKUP(F30,Tabela7[[RECURSO]:[CUSTO]],2,FALSE),"")</f>
        <v/>
      </c>
      <c r="H30" s="93"/>
      <c r="I30" s="90"/>
      <c r="J30" s="45">
        <f>IFERROR(VLOOKUP(F30,Tabela7[[RECURSO]:[CUSTO]],3,FALSE),0)</f>
        <v>0</v>
      </c>
      <c r="K30" s="45">
        <f t="shared" si="34"/>
        <v>0</v>
      </c>
      <c r="AD30" s="144" t="str">
        <f t="shared" si="3"/>
        <v>Tacha Refletiva</v>
      </c>
      <c r="AE30" s="179"/>
      <c r="AF30" s="180">
        <f t="shared" si="20"/>
        <v>0</v>
      </c>
      <c r="AG30" s="180">
        <f t="shared" si="17"/>
        <v>0</v>
      </c>
      <c r="AH30" s="181">
        <f t="shared" si="21"/>
        <v>0</v>
      </c>
      <c r="AI30" s="182"/>
      <c r="AJ30" s="90"/>
      <c r="AK30" s="90"/>
      <c r="AL30" s="183">
        <f t="shared" si="22"/>
        <v>0</v>
      </c>
      <c r="AM30" s="182"/>
      <c r="AN30" s="90"/>
      <c r="AO30" s="90"/>
      <c r="AP30" s="183">
        <f t="shared" si="23"/>
        <v>0</v>
      </c>
      <c r="AQ30" s="182"/>
      <c r="AR30" s="90"/>
      <c r="AS30" s="90"/>
      <c r="AT30" s="183">
        <f t="shared" si="24"/>
        <v>0</v>
      </c>
      <c r="AU30" s="182"/>
      <c r="AV30" s="90"/>
      <c r="AW30" s="90"/>
      <c r="AX30" s="183">
        <f t="shared" si="25"/>
        <v>0</v>
      </c>
      <c r="AY30" s="182"/>
      <c r="AZ30" s="90"/>
      <c r="BA30" s="90"/>
      <c r="BB30" s="183">
        <f t="shared" si="26"/>
        <v>0</v>
      </c>
      <c r="BC30" s="182"/>
      <c r="BD30" s="90"/>
      <c r="BE30" s="90"/>
      <c r="BF30" s="183">
        <f t="shared" si="27"/>
        <v>0</v>
      </c>
      <c r="BG30" s="182"/>
      <c r="BH30" s="90"/>
      <c r="BI30" s="90"/>
      <c r="BJ30" s="183">
        <f t="shared" si="28"/>
        <v>0</v>
      </c>
      <c r="BK30" s="182"/>
      <c r="BL30" s="90"/>
      <c r="BM30" s="90"/>
      <c r="BN30" s="183">
        <f t="shared" si="29"/>
        <v>0</v>
      </c>
      <c r="BO30" s="182"/>
      <c r="BP30" s="90"/>
      <c r="BQ30" s="90"/>
      <c r="BR30" s="183">
        <f t="shared" si="30"/>
        <v>0</v>
      </c>
      <c r="BS30" s="182"/>
      <c r="BT30" s="90"/>
      <c r="BU30" s="90"/>
      <c r="BV30" s="183">
        <f t="shared" si="31"/>
        <v>0</v>
      </c>
      <c r="BW30" s="182"/>
      <c r="BX30" s="90"/>
      <c r="BY30" s="90"/>
      <c r="BZ30" s="183">
        <f t="shared" si="32"/>
        <v>0</v>
      </c>
      <c r="CA30" s="182"/>
      <c r="CB30" s="90"/>
      <c r="CC30" s="90"/>
      <c r="CD30" s="183">
        <f t="shared" si="33"/>
        <v>0</v>
      </c>
    </row>
    <row r="31" spans="2:82" x14ac:dyDescent="0.3">
      <c r="B31" s="53"/>
      <c r="C31" s="53" t="str">
        <f t="shared" si="0"/>
        <v>CPU_TachaRefletiva</v>
      </c>
      <c r="D31" s="278">
        <f t="shared" si="1"/>
        <v>942.5</v>
      </c>
      <c r="E31" s="278">
        <f t="shared" si="2"/>
        <v>94250</v>
      </c>
      <c r="F31" s="1"/>
      <c r="G31" s="28" t="str">
        <f>IFERROR(VLOOKUP(F31,Tabela7[[RECURSO]:[CUSTO]],2,FALSE),"")</f>
        <v/>
      </c>
      <c r="H31" s="93"/>
      <c r="I31" s="90"/>
      <c r="J31" s="45">
        <f>IFERROR(VLOOKUP(F31,Tabela7[[RECURSO]:[CUSTO]],3,FALSE),0)</f>
        <v>0</v>
      </c>
      <c r="K31" s="45">
        <f t="shared" si="34"/>
        <v>0</v>
      </c>
      <c r="AD31" s="144" t="str">
        <f t="shared" si="3"/>
        <v>Tacha Refletiva</v>
      </c>
      <c r="AE31" s="179"/>
      <c r="AF31" s="180">
        <f t="shared" si="20"/>
        <v>0</v>
      </c>
      <c r="AG31" s="180">
        <f t="shared" si="17"/>
        <v>0</v>
      </c>
      <c r="AH31" s="181">
        <f t="shared" si="21"/>
        <v>0</v>
      </c>
      <c r="AI31" s="182"/>
      <c r="AJ31" s="90"/>
      <c r="AK31" s="90"/>
      <c r="AL31" s="183">
        <f t="shared" si="22"/>
        <v>0</v>
      </c>
      <c r="AM31" s="182"/>
      <c r="AN31" s="90"/>
      <c r="AO31" s="90"/>
      <c r="AP31" s="183">
        <f t="shared" si="23"/>
        <v>0</v>
      </c>
      <c r="AQ31" s="182"/>
      <c r="AR31" s="90"/>
      <c r="AS31" s="90"/>
      <c r="AT31" s="183">
        <f t="shared" si="24"/>
        <v>0</v>
      </c>
      <c r="AU31" s="182"/>
      <c r="AV31" s="90"/>
      <c r="AW31" s="90"/>
      <c r="AX31" s="183">
        <f t="shared" si="25"/>
        <v>0</v>
      </c>
      <c r="AY31" s="182"/>
      <c r="AZ31" s="90"/>
      <c r="BA31" s="90"/>
      <c r="BB31" s="183">
        <f t="shared" si="26"/>
        <v>0</v>
      </c>
      <c r="BC31" s="182"/>
      <c r="BD31" s="90"/>
      <c r="BE31" s="90"/>
      <c r="BF31" s="183">
        <f t="shared" si="27"/>
        <v>0</v>
      </c>
      <c r="BG31" s="182"/>
      <c r="BH31" s="90"/>
      <c r="BI31" s="90"/>
      <c r="BJ31" s="183">
        <f t="shared" si="28"/>
        <v>0</v>
      </c>
      <c r="BK31" s="182"/>
      <c r="BL31" s="90"/>
      <c r="BM31" s="90"/>
      <c r="BN31" s="183">
        <f t="shared" si="29"/>
        <v>0</v>
      </c>
      <c r="BO31" s="182"/>
      <c r="BP31" s="90"/>
      <c r="BQ31" s="90"/>
      <c r="BR31" s="183">
        <f t="shared" si="30"/>
        <v>0</v>
      </c>
      <c r="BS31" s="182"/>
      <c r="BT31" s="90"/>
      <c r="BU31" s="90"/>
      <c r="BV31" s="183">
        <f t="shared" si="31"/>
        <v>0</v>
      </c>
      <c r="BW31" s="182"/>
      <c r="BX31" s="90"/>
      <c r="BY31" s="90"/>
      <c r="BZ31" s="183">
        <f t="shared" si="32"/>
        <v>0</v>
      </c>
      <c r="CA31" s="182"/>
      <c r="CB31" s="90"/>
      <c r="CC31" s="90"/>
      <c r="CD31" s="183">
        <f t="shared" si="33"/>
        <v>0</v>
      </c>
    </row>
    <row r="32" spans="2:82" x14ac:dyDescent="0.3">
      <c r="B32" s="53"/>
      <c r="C32" s="53" t="str">
        <f t="shared" si="0"/>
        <v>CPU_TachaRefletiva</v>
      </c>
      <c r="D32" s="278">
        <f t="shared" si="1"/>
        <v>942.5</v>
      </c>
      <c r="E32" s="278">
        <f t="shared" si="2"/>
        <v>94250</v>
      </c>
      <c r="F32" s="1"/>
      <c r="G32" s="28" t="str">
        <f>IFERROR(VLOOKUP(F32,Tabela7[[RECURSO]:[CUSTO]],2,FALSE),"")</f>
        <v/>
      </c>
      <c r="H32" s="93"/>
      <c r="I32" s="90"/>
      <c r="J32" s="45">
        <f>IFERROR(VLOOKUP(F32,Tabela7[[RECURSO]:[CUSTO]],3,FALSE),0)</f>
        <v>0</v>
      </c>
      <c r="K32" s="45">
        <f t="shared" si="34"/>
        <v>0</v>
      </c>
      <c r="AD32" s="144" t="str">
        <f t="shared" si="3"/>
        <v>Tacha Refletiva</v>
      </c>
      <c r="AE32" s="179"/>
      <c r="AF32" s="180">
        <f t="shared" si="20"/>
        <v>0</v>
      </c>
      <c r="AG32" s="180">
        <f t="shared" si="17"/>
        <v>0</v>
      </c>
      <c r="AH32" s="181">
        <f t="shared" si="21"/>
        <v>0</v>
      </c>
      <c r="AI32" s="182"/>
      <c r="AJ32" s="90"/>
      <c r="AK32" s="90"/>
      <c r="AL32" s="183">
        <f t="shared" si="22"/>
        <v>0</v>
      </c>
      <c r="AM32" s="182"/>
      <c r="AN32" s="90"/>
      <c r="AO32" s="90"/>
      <c r="AP32" s="183">
        <f t="shared" si="23"/>
        <v>0</v>
      </c>
      <c r="AQ32" s="182"/>
      <c r="AR32" s="90"/>
      <c r="AS32" s="90"/>
      <c r="AT32" s="183">
        <f t="shared" si="24"/>
        <v>0</v>
      </c>
      <c r="AU32" s="182"/>
      <c r="AV32" s="90"/>
      <c r="AW32" s="90"/>
      <c r="AX32" s="183">
        <f t="shared" si="25"/>
        <v>0</v>
      </c>
      <c r="AY32" s="182"/>
      <c r="AZ32" s="90"/>
      <c r="BA32" s="90"/>
      <c r="BB32" s="183">
        <f t="shared" si="26"/>
        <v>0</v>
      </c>
      <c r="BC32" s="182"/>
      <c r="BD32" s="90"/>
      <c r="BE32" s="90"/>
      <c r="BF32" s="183">
        <f t="shared" si="27"/>
        <v>0</v>
      </c>
      <c r="BG32" s="182"/>
      <c r="BH32" s="90"/>
      <c r="BI32" s="90"/>
      <c r="BJ32" s="183">
        <f t="shared" si="28"/>
        <v>0</v>
      </c>
      <c r="BK32" s="182"/>
      <c r="BL32" s="90"/>
      <c r="BM32" s="90"/>
      <c r="BN32" s="183">
        <f t="shared" si="29"/>
        <v>0</v>
      </c>
      <c r="BO32" s="182"/>
      <c r="BP32" s="90"/>
      <c r="BQ32" s="90"/>
      <c r="BR32" s="183">
        <f t="shared" si="30"/>
        <v>0</v>
      </c>
      <c r="BS32" s="182"/>
      <c r="BT32" s="90"/>
      <c r="BU32" s="90"/>
      <c r="BV32" s="183">
        <f t="shared" si="31"/>
        <v>0</v>
      </c>
      <c r="BW32" s="182"/>
      <c r="BX32" s="90"/>
      <c r="BY32" s="90"/>
      <c r="BZ32" s="183">
        <f t="shared" si="32"/>
        <v>0</v>
      </c>
      <c r="CA32" s="182"/>
      <c r="CB32" s="90"/>
      <c r="CC32" s="90"/>
      <c r="CD32" s="183">
        <f t="shared" si="33"/>
        <v>0</v>
      </c>
    </row>
    <row r="33" spans="2:82" x14ac:dyDescent="0.3">
      <c r="B33" s="53"/>
      <c r="C33" s="53" t="str">
        <f t="shared" si="0"/>
        <v>CPU_TachaRefletiva</v>
      </c>
      <c r="D33" s="278">
        <f t="shared" si="1"/>
        <v>942.5</v>
      </c>
      <c r="E33" s="278">
        <f t="shared" si="2"/>
        <v>94250</v>
      </c>
      <c r="F33" s="1"/>
      <c r="G33" s="28" t="str">
        <f>IFERROR(VLOOKUP(F33,Tabela7[[RECURSO]:[CUSTO]],2,FALSE),"")</f>
        <v/>
      </c>
      <c r="H33" s="93"/>
      <c r="I33" s="90"/>
      <c r="J33" s="45">
        <f>IFERROR(VLOOKUP(F33,Tabela7[[RECURSO]:[CUSTO]],3,FALSE),0)</f>
        <v>0</v>
      </c>
      <c r="K33" s="45">
        <f t="shared" si="34"/>
        <v>0</v>
      </c>
      <c r="AD33" s="144" t="str">
        <f t="shared" si="3"/>
        <v>Tacha Refletiva</v>
      </c>
      <c r="AE33" s="179"/>
      <c r="AF33" s="180">
        <f t="shared" si="20"/>
        <v>0</v>
      </c>
      <c r="AG33" s="180">
        <f t="shared" si="17"/>
        <v>0</v>
      </c>
      <c r="AH33" s="181">
        <f t="shared" si="21"/>
        <v>0</v>
      </c>
      <c r="AI33" s="182"/>
      <c r="AJ33" s="90"/>
      <c r="AK33" s="90"/>
      <c r="AL33" s="183">
        <f t="shared" si="22"/>
        <v>0</v>
      </c>
      <c r="AM33" s="182"/>
      <c r="AN33" s="90"/>
      <c r="AO33" s="90"/>
      <c r="AP33" s="183">
        <f t="shared" si="23"/>
        <v>0</v>
      </c>
      <c r="AQ33" s="182"/>
      <c r="AR33" s="90"/>
      <c r="AS33" s="90"/>
      <c r="AT33" s="183">
        <f t="shared" si="24"/>
        <v>0</v>
      </c>
      <c r="AU33" s="182"/>
      <c r="AV33" s="90"/>
      <c r="AW33" s="90"/>
      <c r="AX33" s="183">
        <f t="shared" si="25"/>
        <v>0</v>
      </c>
      <c r="AY33" s="182"/>
      <c r="AZ33" s="90"/>
      <c r="BA33" s="90"/>
      <c r="BB33" s="183">
        <f t="shared" si="26"/>
        <v>0</v>
      </c>
      <c r="BC33" s="182"/>
      <c r="BD33" s="90"/>
      <c r="BE33" s="90"/>
      <c r="BF33" s="183">
        <f t="shared" si="27"/>
        <v>0</v>
      </c>
      <c r="BG33" s="182"/>
      <c r="BH33" s="90"/>
      <c r="BI33" s="90"/>
      <c r="BJ33" s="183">
        <f t="shared" si="28"/>
        <v>0</v>
      </c>
      <c r="BK33" s="182"/>
      <c r="BL33" s="90"/>
      <c r="BM33" s="90"/>
      <c r="BN33" s="183">
        <f t="shared" si="29"/>
        <v>0</v>
      </c>
      <c r="BO33" s="182"/>
      <c r="BP33" s="90"/>
      <c r="BQ33" s="90"/>
      <c r="BR33" s="183">
        <f t="shared" si="30"/>
        <v>0</v>
      </c>
      <c r="BS33" s="182"/>
      <c r="BT33" s="90"/>
      <c r="BU33" s="90"/>
      <c r="BV33" s="183">
        <f t="shared" si="31"/>
        <v>0</v>
      </c>
      <c r="BW33" s="182"/>
      <c r="BX33" s="90"/>
      <c r="BY33" s="90"/>
      <c r="BZ33" s="183">
        <f t="shared" si="32"/>
        <v>0</v>
      </c>
      <c r="CA33" s="182"/>
      <c r="CB33" s="90"/>
      <c r="CC33" s="90"/>
      <c r="CD33" s="183">
        <f t="shared" si="33"/>
        <v>0</v>
      </c>
    </row>
    <row r="34" spans="2:82" x14ac:dyDescent="0.3">
      <c r="B34" s="53"/>
      <c r="C34" s="53" t="str">
        <f t="shared" si="0"/>
        <v>CPU_TachaRefletiva</v>
      </c>
      <c r="D34" s="278">
        <f t="shared" si="1"/>
        <v>942.5</v>
      </c>
      <c r="E34" s="278">
        <f t="shared" si="2"/>
        <v>94250</v>
      </c>
      <c r="F34" s="1"/>
      <c r="G34" s="28" t="str">
        <f>IFERROR(VLOOKUP(F34,Tabela7[[RECURSO]:[CUSTO]],2,FALSE),"")</f>
        <v/>
      </c>
      <c r="H34" s="93"/>
      <c r="I34" s="90"/>
      <c r="J34" s="45">
        <f>IFERROR(VLOOKUP(F34,Tabela7[[RECURSO]:[CUSTO]],3,FALSE),0)</f>
        <v>0</v>
      </c>
      <c r="K34" s="45">
        <f t="shared" si="34"/>
        <v>0</v>
      </c>
      <c r="AD34" s="144" t="str">
        <f t="shared" si="3"/>
        <v>Tacha Refletiva</v>
      </c>
      <c r="AE34" s="179"/>
      <c r="AF34" s="180">
        <f t="shared" si="20"/>
        <v>0</v>
      </c>
      <c r="AG34" s="180">
        <f t="shared" si="17"/>
        <v>0</v>
      </c>
      <c r="AH34" s="181">
        <f t="shared" si="21"/>
        <v>0</v>
      </c>
      <c r="AI34" s="182"/>
      <c r="AJ34" s="90"/>
      <c r="AK34" s="90"/>
      <c r="AL34" s="183">
        <f t="shared" si="22"/>
        <v>0</v>
      </c>
      <c r="AM34" s="182"/>
      <c r="AN34" s="90"/>
      <c r="AO34" s="90"/>
      <c r="AP34" s="183">
        <f t="shared" si="23"/>
        <v>0</v>
      </c>
      <c r="AQ34" s="182"/>
      <c r="AR34" s="90"/>
      <c r="AS34" s="90"/>
      <c r="AT34" s="183">
        <f t="shared" si="24"/>
        <v>0</v>
      </c>
      <c r="AU34" s="182"/>
      <c r="AV34" s="90"/>
      <c r="AW34" s="90"/>
      <c r="AX34" s="183">
        <f t="shared" si="25"/>
        <v>0</v>
      </c>
      <c r="AY34" s="182"/>
      <c r="AZ34" s="90"/>
      <c r="BA34" s="90"/>
      <c r="BB34" s="183">
        <f t="shared" si="26"/>
        <v>0</v>
      </c>
      <c r="BC34" s="182"/>
      <c r="BD34" s="90"/>
      <c r="BE34" s="90"/>
      <c r="BF34" s="183">
        <f t="shared" si="27"/>
        <v>0</v>
      </c>
      <c r="BG34" s="182"/>
      <c r="BH34" s="90"/>
      <c r="BI34" s="90"/>
      <c r="BJ34" s="183">
        <f t="shared" si="28"/>
        <v>0</v>
      </c>
      <c r="BK34" s="182"/>
      <c r="BL34" s="90"/>
      <c r="BM34" s="90"/>
      <c r="BN34" s="183">
        <f t="shared" si="29"/>
        <v>0</v>
      </c>
      <c r="BO34" s="182"/>
      <c r="BP34" s="90"/>
      <c r="BQ34" s="90"/>
      <c r="BR34" s="183">
        <f t="shared" si="30"/>
        <v>0</v>
      </c>
      <c r="BS34" s="182"/>
      <c r="BT34" s="90"/>
      <c r="BU34" s="90"/>
      <c r="BV34" s="183">
        <f t="shared" si="31"/>
        <v>0</v>
      </c>
      <c r="BW34" s="182"/>
      <c r="BX34" s="90"/>
      <c r="BY34" s="90"/>
      <c r="BZ34" s="183">
        <f t="shared" si="32"/>
        <v>0</v>
      </c>
      <c r="CA34" s="182"/>
      <c r="CB34" s="90"/>
      <c r="CC34" s="90"/>
      <c r="CD34" s="183">
        <f t="shared" si="33"/>
        <v>0</v>
      </c>
    </row>
    <row r="35" spans="2:82" x14ac:dyDescent="0.3">
      <c r="B35" s="53"/>
      <c r="C35" s="53" t="str">
        <f t="shared" si="0"/>
        <v>CPU_TachaRefletiva</v>
      </c>
      <c r="D35" s="278">
        <f t="shared" si="1"/>
        <v>942.5</v>
      </c>
      <c r="E35" s="278">
        <f t="shared" si="2"/>
        <v>94250</v>
      </c>
      <c r="F35" s="1"/>
      <c r="G35" s="28" t="str">
        <f>IFERROR(VLOOKUP(F35,Tabela7[[RECURSO]:[CUSTO]],2,FALSE),"")</f>
        <v/>
      </c>
      <c r="H35" s="93"/>
      <c r="I35" s="90"/>
      <c r="J35" s="45">
        <f>IFERROR(VLOOKUP(F35,Tabela7[[RECURSO]:[CUSTO]],3,FALSE),0)</f>
        <v>0</v>
      </c>
      <c r="K35" s="45">
        <f t="shared" si="34"/>
        <v>0</v>
      </c>
      <c r="AD35" s="144" t="str">
        <f t="shared" si="3"/>
        <v>Tacha Refletiva</v>
      </c>
      <c r="AE35" s="179"/>
      <c r="AF35" s="180">
        <f t="shared" si="20"/>
        <v>0</v>
      </c>
      <c r="AG35" s="180">
        <f t="shared" si="17"/>
        <v>0</v>
      </c>
      <c r="AH35" s="181">
        <f t="shared" si="21"/>
        <v>0</v>
      </c>
      <c r="AI35" s="182"/>
      <c r="AJ35" s="90"/>
      <c r="AK35" s="90"/>
      <c r="AL35" s="183">
        <f t="shared" si="22"/>
        <v>0</v>
      </c>
      <c r="AM35" s="182"/>
      <c r="AN35" s="90"/>
      <c r="AO35" s="90"/>
      <c r="AP35" s="183">
        <f t="shared" si="23"/>
        <v>0</v>
      </c>
      <c r="AQ35" s="182"/>
      <c r="AR35" s="90"/>
      <c r="AS35" s="90"/>
      <c r="AT35" s="183">
        <f t="shared" si="24"/>
        <v>0</v>
      </c>
      <c r="AU35" s="182"/>
      <c r="AV35" s="90"/>
      <c r="AW35" s="90"/>
      <c r="AX35" s="183">
        <f t="shared" si="25"/>
        <v>0</v>
      </c>
      <c r="AY35" s="182"/>
      <c r="AZ35" s="90"/>
      <c r="BA35" s="90"/>
      <c r="BB35" s="183">
        <f t="shared" si="26"/>
        <v>0</v>
      </c>
      <c r="BC35" s="182"/>
      <c r="BD35" s="90"/>
      <c r="BE35" s="90"/>
      <c r="BF35" s="183">
        <f t="shared" si="27"/>
        <v>0</v>
      </c>
      <c r="BG35" s="182"/>
      <c r="BH35" s="90"/>
      <c r="BI35" s="90"/>
      <c r="BJ35" s="183">
        <f t="shared" si="28"/>
        <v>0</v>
      </c>
      <c r="BK35" s="182"/>
      <c r="BL35" s="90"/>
      <c r="BM35" s="90"/>
      <c r="BN35" s="183">
        <f t="shared" si="29"/>
        <v>0</v>
      </c>
      <c r="BO35" s="182"/>
      <c r="BP35" s="90"/>
      <c r="BQ35" s="90"/>
      <c r="BR35" s="183">
        <f t="shared" si="30"/>
        <v>0</v>
      </c>
      <c r="BS35" s="182"/>
      <c r="BT35" s="90"/>
      <c r="BU35" s="90"/>
      <c r="BV35" s="183">
        <f t="shared" si="31"/>
        <v>0</v>
      </c>
      <c r="BW35" s="182"/>
      <c r="BX35" s="90"/>
      <c r="BY35" s="90"/>
      <c r="BZ35" s="183">
        <f t="shared" si="32"/>
        <v>0</v>
      </c>
      <c r="CA35" s="182"/>
      <c r="CB35" s="90"/>
      <c r="CC35" s="90"/>
      <c r="CD35" s="183">
        <f t="shared" si="33"/>
        <v>0</v>
      </c>
    </row>
    <row r="36" spans="2:82" x14ac:dyDescent="0.3">
      <c r="B36" s="53"/>
      <c r="C36" s="53" t="str">
        <f t="shared" si="0"/>
        <v>CPU_TachaRefletiva</v>
      </c>
      <c r="D36" s="278">
        <f t="shared" si="1"/>
        <v>942.5</v>
      </c>
      <c r="E36" s="278">
        <f t="shared" si="2"/>
        <v>94250</v>
      </c>
      <c r="F36" s="1"/>
      <c r="G36" s="28" t="str">
        <f>IFERROR(VLOOKUP(F36,Tabela7[[RECURSO]:[CUSTO]],2,FALSE),"")</f>
        <v/>
      </c>
      <c r="H36" s="93"/>
      <c r="I36" s="90"/>
      <c r="J36" s="45">
        <f>IFERROR(VLOOKUP(F36,Tabela7[[RECURSO]:[CUSTO]],3,FALSE),0)</f>
        <v>0</v>
      </c>
      <c r="K36" s="45">
        <f t="shared" si="34"/>
        <v>0</v>
      </c>
      <c r="AD36" s="144" t="str">
        <f t="shared" si="3"/>
        <v>Tacha Refletiva</v>
      </c>
      <c r="AE36" s="179"/>
      <c r="AF36" s="180">
        <f t="shared" si="20"/>
        <v>0</v>
      </c>
      <c r="AG36" s="180">
        <f t="shared" si="17"/>
        <v>0</v>
      </c>
      <c r="AH36" s="181">
        <f t="shared" si="21"/>
        <v>0</v>
      </c>
      <c r="AI36" s="182"/>
      <c r="AJ36" s="90"/>
      <c r="AK36" s="90"/>
      <c r="AL36" s="183">
        <f t="shared" si="22"/>
        <v>0</v>
      </c>
      <c r="AM36" s="182"/>
      <c r="AN36" s="90"/>
      <c r="AO36" s="90"/>
      <c r="AP36" s="183">
        <f t="shared" si="23"/>
        <v>0</v>
      </c>
      <c r="AQ36" s="182"/>
      <c r="AR36" s="90"/>
      <c r="AS36" s="90"/>
      <c r="AT36" s="183">
        <f t="shared" si="24"/>
        <v>0</v>
      </c>
      <c r="AU36" s="182"/>
      <c r="AV36" s="90"/>
      <c r="AW36" s="90"/>
      <c r="AX36" s="183">
        <f t="shared" si="25"/>
        <v>0</v>
      </c>
      <c r="AY36" s="182"/>
      <c r="AZ36" s="90"/>
      <c r="BA36" s="90"/>
      <c r="BB36" s="183">
        <f t="shared" si="26"/>
        <v>0</v>
      </c>
      <c r="BC36" s="182"/>
      <c r="BD36" s="90"/>
      <c r="BE36" s="90"/>
      <c r="BF36" s="183">
        <f t="shared" si="27"/>
        <v>0</v>
      </c>
      <c r="BG36" s="182"/>
      <c r="BH36" s="90"/>
      <c r="BI36" s="90"/>
      <c r="BJ36" s="183">
        <f t="shared" si="28"/>
        <v>0</v>
      </c>
      <c r="BK36" s="182"/>
      <c r="BL36" s="90"/>
      <c r="BM36" s="90"/>
      <c r="BN36" s="183">
        <f t="shared" si="29"/>
        <v>0</v>
      </c>
      <c r="BO36" s="182"/>
      <c r="BP36" s="90"/>
      <c r="BQ36" s="90"/>
      <c r="BR36" s="183">
        <f t="shared" si="30"/>
        <v>0</v>
      </c>
      <c r="BS36" s="182"/>
      <c r="BT36" s="90"/>
      <c r="BU36" s="90"/>
      <c r="BV36" s="183">
        <f t="shared" si="31"/>
        <v>0</v>
      </c>
      <c r="BW36" s="182"/>
      <c r="BX36" s="90"/>
      <c r="BY36" s="90"/>
      <c r="BZ36" s="183">
        <f t="shared" si="32"/>
        <v>0</v>
      </c>
      <c r="CA36" s="182"/>
      <c r="CB36" s="90"/>
      <c r="CC36" s="90"/>
      <c r="CD36" s="183">
        <f t="shared" si="33"/>
        <v>0</v>
      </c>
    </row>
    <row r="37" spans="2:82" x14ac:dyDescent="0.3">
      <c r="B37" s="52" t="s">
        <v>692</v>
      </c>
      <c r="C37" s="52" t="str">
        <f t="shared" si="0"/>
        <v>CPU_TachaRefletiva</v>
      </c>
      <c r="D37" s="277">
        <f t="shared" si="1"/>
        <v>942.5</v>
      </c>
      <c r="E37" s="277">
        <f t="shared" si="2"/>
        <v>94250</v>
      </c>
      <c r="F37" s="37"/>
      <c r="G37" s="38"/>
      <c r="H37" s="91"/>
      <c r="I37" s="40"/>
      <c r="J37" s="40">
        <f>IFERROR(K37/$B$6,0)</f>
        <v>0</v>
      </c>
      <c r="K37" s="40">
        <f>SUM(K38:K49)</f>
        <v>0</v>
      </c>
      <c r="N37" s="39"/>
      <c r="AD37" s="144" t="str">
        <f t="shared" si="3"/>
        <v>Tacha Refletiva</v>
      </c>
      <c r="AE37" s="184"/>
      <c r="AF37" s="40"/>
      <c r="AG37" s="40">
        <f>IFERROR(AH37/AF$3,0)</f>
        <v>0</v>
      </c>
      <c r="AH37" s="185">
        <f>SUM(AH38:AH49)</f>
        <v>0</v>
      </c>
      <c r="AI37" s="184"/>
      <c r="AJ37" s="40"/>
      <c r="AK37" s="40">
        <f>IFERROR(AL37/AJ$3,0)</f>
        <v>0</v>
      </c>
      <c r="AL37" s="185">
        <f>SUM(AL38:AL49)</f>
        <v>0</v>
      </c>
      <c r="AM37" s="184"/>
      <c r="AN37" s="40"/>
      <c r="AO37" s="40">
        <f>IFERROR(AP37/AN$3,0)</f>
        <v>0</v>
      </c>
      <c r="AP37" s="185">
        <f>SUM(AP38:AP49)</f>
        <v>0</v>
      </c>
      <c r="AQ37" s="184"/>
      <c r="AR37" s="40"/>
      <c r="AS37" s="40">
        <f>IFERROR(AT37/AR$3,0)</f>
        <v>0</v>
      </c>
      <c r="AT37" s="185">
        <f>SUM(AT38:AT49)</f>
        <v>0</v>
      </c>
      <c r="AU37" s="184"/>
      <c r="AV37" s="40"/>
      <c r="AW37" s="40">
        <f>IFERROR(AX37/AV$3,0)</f>
        <v>0</v>
      </c>
      <c r="AX37" s="185">
        <f>SUM(AX38:AX49)</f>
        <v>0</v>
      </c>
      <c r="AY37" s="184"/>
      <c r="AZ37" s="40"/>
      <c r="BA37" s="40">
        <f>IFERROR(BB37/AZ$3,0)</f>
        <v>0</v>
      </c>
      <c r="BB37" s="185">
        <f>SUM(BB38:BB49)</f>
        <v>0</v>
      </c>
      <c r="BC37" s="184"/>
      <c r="BD37" s="40"/>
      <c r="BE37" s="40">
        <f>IFERROR(BF37/BD$3,0)</f>
        <v>0</v>
      </c>
      <c r="BF37" s="185">
        <f>SUM(BF38:BF49)</f>
        <v>0</v>
      </c>
      <c r="BG37" s="184"/>
      <c r="BH37" s="40"/>
      <c r="BI37" s="40">
        <f>IFERROR(BJ37/BH$3,0)</f>
        <v>0</v>
      </c>
      <c r="BJ37" s="185">
        <f>SUM(BJ38:BJ49)</f>
        <v>0</v>
      </c>
      <c r="BK37" s="184"/>
      <c r="BL37" s="40"/>
      <c r="BM37" s="40">
        <f>IFERROR(BN37/BL$3,0)</f>
        <v>0</v>
      </c>
      <c r="BN37" s="185">
        <f>SUM(BN38:BN49)</f>
        <v>0</v>
      </c>
      <c r="BO37" s="184"/>
      <c r="BP37" s="40"/>
      <c r="BQ37" s="40">
        <f>IFERROR(BR37/BP$3,0)</f>
        <v>0</v>
      </c>
      <c r="BR37" s="185">
        <f>SUM(BR38:BR49)</f>
        <v>0</v>
      </c>
      <c r="BS37" s="184"/>
      <c r="BT37" s="40"/>
      <c r="BU37" s="40">
        <f>IFERROR(BV37/BT$3,0)</f>
        <v>0</v>
      </c>
      <c r="BV37" s="185">
        <f>SUM(BV38:BV49)</f>
        <v>0</v>
      </c>
      <c r="BW37" s="184"/>
      <c r="BX37" s="40"/>
      <c r="BY37" s="40">
        <f>IFERROR(BZ37/BX$3,0)</f>
        <v>0</v>
      </c>
      <c r="BZ37" s="185">
        <f>SUM(BZ38:BZ49)</f>
        <v>0</v>
      </c>
      <c r="CA37" s="184"/>
      <c r="CB37" s="40"/>
      <c r="CC37" s="40">
        <f>IFERROR(CD37/CB$3,0)</f>
        <v>0</v>
      </c>
      <c r="CD37" s="185">
        <f>SUM(CD38:CD49)</f>
        <v>0</v>
      </c>
    </row>
    <row r="38" spans="2:82" x14ac:dyDescent="0.3">
      <c r="B38" s="54"/>
      <c r="C38" s="54" t="str">
        <f t="shared" si="0"/>
        <v>CPU_TachaRefletiva</v>
      </c>
      <c r="D38" s="280">
        <f t="shared" si="1"/>
        <v>942.5</v>
      </c>
      <c r="E38" s="280">
        <f t="shared" si="2"/>
        <v>94250</v>
      </c>
      <c r="F38" s="1"/>
      <c r="G38" s="28" t="str">
        <f>IFERROR(VLOOKUP(F38,Tabela7[[RECURSO]:[CUSTO]],2,FALSE),"")</f>
        <v/>
      </c>
      <c r="H38" s="92"/>
      <c r="I38" s="90"/>
      <c r="J38" s="45">
        <f>IFERROR(VLOOKUP(F38,Tabela7[[RECURSO]:[CUSTO]],3,FALSE),0)</f>
        <v>0</v>
      </c>
      <c r="K38" s="45">
        <f>I38*J38*CPU_24[[#This Row],[Nº]]</f>
        <v>0</v>
      </c>
      <c r="AD38" s="144" t="str">
        <f t="shared" si="3"/>
        <v>Tacha Refletiva</v>
      </c>
      <c r="AE38" s="186"/>
      <c r="AF38" s="180">
        <f t="shared" ref="AF38:AF49" si="35">AJ38+AN38+AR38+AV38+AZ38+BD38+BH38+BL38+BP38+BT38+BX38+CB38</f>
        <v>0</v>
      </c>
      <c r="AG38" s="180">
        <f t="shared" si="17"/>
        <v>0</v>
      </c>
      <c r="AH38" s="181">
        <f t="shared" ref="AH38:AH49" si="36">AL38+AP38+AT38+AX38+BB38+BF38+BJ38+BN38+BR38+BV38+BZ38+CD38</f>
        <v>0</v>
      </c>
      <c r="AI38" s="187"/>
      <c r="AJ38" s="90"/>
      <c r="AK38" s="90"/>
      <c r="AL38" s="183">
        <f t="shared" ref="AL38:AL49" si="37">AJ38*AK38</f>
        <v>0</v>
      </c>
      <c r="AM38" s="187"/>
      <c r="AN38" s="90"/>
      <c r="AO38" s="90"/>
      <c r="AP38" s="183">
        <f t="shared" si="23"/>
        <v>0</v>
      </c>
      <c r="AQ38" s="187"/>
      <c r="AR38" s="90"/>
      <c r="AS38" s="90"/>
      <c r="AT38" s="183">
        <f t="shared" si="24"/>
        <v>0</v>
      </c>
      <c r="AU38" s="187"/>
      <c r="AV38" s="90"/>
      <c r="AW38" s="90"/>
      <c r="AX38" s="183">
        <f t="shared" si="25"/>
        <v>0</v>
      </c>
      <c r="AY38" s="187"/>
      <c r="AZ38" s="90"/>
      <c r="BA38" s="90"/>
      <c r="BB38" s="183">
        <f t="shared" si="26"/>
        <v>0</v>
      </c>
      <c r="BC38" s="187"/>
      <c r="BD38" s="90"/>
      <c r="BE38" s="90"/>
      <c r="BF38" s="183">
        <f t="shared" si="27"/>
        <v>0</v>
      </c>
      <c r="BG38" s="187"/>
      <c r="BH38" s="90"/>
      <c r="BI38" s="90"/>
      <c r="BJ38" s="183">
        <f t="shared" si="28"/>
        <v>0</v>
      </c>
      <c r="BK38" s="187"/>
      <c r="BL38" s="90"/>
      <c r="BM38" s="90"/>
      <c r="BN38" s="183">
        <f t="shared" si="29"/>
        <v>0</v>
      </c>
      <c r="BO38" s="187"/>
      <c r="BP38" s="90"/>
      <c r="BQ38" s="90"/>
      <c r="BR38" s="183">
        <f t="shared" si="30"/>
        <v>0</v>
      </c>
      <c r="BS38" s="187"/>
      <c r="BT38" s="90"/>
      <c r="BU38" s="90"/>
      <c r="BV38" s="183">
        <f t="shared" si="31"/>
        <v>0</v>
      </c>
      <c r="BW38" s="187"/>
      <c r="BX38" s="90"/>
      <c r="BY38" s="90"/>
      <c r="BZ38" s="183">
        <f t="shared" si="32"/>
        <v>0</v>
      </c>
      <c r="CA38" s="187"/>
      <c r="CB38" s="90"/>
      <c r="CC38" s="90"/>
      <c r="CD38" s="183">
        <f t="shared" si="33"/>
        <v>0</v>
      </c>
    </row>
    <row r="39" spans="2:82" x14ac:dyDescent="0.3">
      <c r="B39" s="54"/>
      <c r="C39" s="54" t="str">
        <f t="shared" si="0"/>
        <v>CPU_TachaRefletiva</v>
      </c>
      <c r="D39" s="280">
        <f t="shared" si="1"/>
        <v>942.5</v>
      </c>
      <c r="E39" s="280">
        <f t="shared" si="2"/>
        <v>94250</v>
      </c>
      <c r="F39" s="1"/>
      <c r="G39" s="28" t="str">
        <f>IFERROR(VLOOKUP(F39,Tabela7[[RECURSO]:[CUSTO]],2,FALSE),"")</f>
        <v/>
      </c>
      <c r="H39" s="92"/>
      <c r="I39" s="90"/>
      <c r="J39" s="45">
        <f>IFERROR(VLOOKUP(F39,Tabela7[[RECURSO]:[CUSTO]],3,FALSE),0)</f>
        <v>0</v>
      </c>
      <c r="K39" s="45">
        <f>I39*J39*CPU_24[[#This Row],[Nº]]</f>
        <v>0</v>
      </c>
      <c r="AD39" s="144" t="str">
        <f t="shared" si="3"/>
        <v>Tacha Refletiva</v>
      </c>
      <c r="AE39" s="186"/>
      <c r="AF39" s="180">
        <f t="shared" si="35"/>
        <v>0</v>
      </c>
      <c r="AG39" s="180">
        <f t="shared" si="17"/>
        <v>0</v>
      </c>
      <c r="AH39" s="181">
        <f t="shared" si="36"/>
        <v>0</v>
      </c>
      <c r="AI39" s="187"/>
      <c r="AJ39" s="90"/>
      <c r="AK39" s="90"/>
      <c r="AL39" s="183">
        <f t="shared" si="37"/>
        <v>0</v>
      </c>
      <c r="AM39" s="187"/>
      <c r="AN39" s="90"/>
      <c r="AO39" s="90"/>
      <c r="AP39" s="183">
        <f t="shared" si="23"/>
        <v>0</v>
      </c>
      <c r="AQ39" s="187"/>
      <c r="AR39" s="90"/>
      <c r="AS39" s="90"/>
      <c r="AT39" s="183">
        <f t="shared" si="24"/>
        <v>0</v>
      </c>
      <c r="AU39" s="187"/>
      <c r="AV39" s="90"/>
      <c r="AW39" s="90"/>
      <c r="AX39" s="183">
        <f t="shared" si="25"/>
        <v>0</v>
      </c>
      <c r="AY39" s="187"/>
      <c r="AZ39" s="90"/>
      <c r="BA39" s="90"/>
      <c r="BB39" s="183">
        <f t="shared" si="26"/>
        <v>0</v>
      </c>
      <c r="BC39" s="187"/>
      <c r="BD39" s="90"/>
      <c r="BE39" s="90"/>
      <c r="BF39" s="183">
        <f t="shared" si="27"/>
        <v>0</v>
      </c>
      <c r="BG39" s="187"/>
      <c r="BH39" s="90"/>
      <c r="BI39" s="90"/>
      <c r="BJ39" s="183">
        <f t="shared" si="28"/>
        <v>0</v>
      </c>
      <c r="BK39" s="187"/>
      <c r="BL39" s="90"/>
      <c r="BM39" s="90"/>
      <c r="BN39" s="183">
        <f t="shared" si="29"/>
        <v>0</v>
      </c>
      <c r="BO39" s="187"/>
      <c r="BP39" s="90"/>
      <c r="BQ39" s="90"/>
      <c r="BR39" s="183">
        <f t="shared" si="30"/>
        <v>0</v>
      </c>
      <c r="BS39" s="187"/>
      <c r="BT39" s="90"/>
      <c r="BU39" s="90"/>
      <c r="BV39" s="183">
        <f t="shared" si="31"/>
        <v>0</v>
      </c>
      <c r="BW39" s="187"/>
      <c r="BX39" s="90"/>
      <c r="BY39" s="90"/>
      <c r="BZ39" s="183">
        <f t="shared" si="32"/>
        <v>0</v>
      </c>
      <c r="CA39" s="187"/>
      <c r="CB39" s="90"/>
      <c r="CC39" s="90"/>
      <c r="CD39" s="183">
        <f t="shared" si="33"/>
        <v>0</v>
      </c>
    </row>
    <row r="40" spans="2:82" x14ac:dyDescent="0.3">
      <c r="B40" s="54"/>
      <c r="C40" s="54" t="str">
        <f t="shared" si="0"/>
        <v>CPU_TachaRefletiva</v>
      </c>
      <c r="D40" s="280">
        <f t="shared" si="1"/>
        <v>942.5</v>
      </c>
      <c r="E40" s="280">
        <f t="shared" si="2"/>
        <v>94250</v>
      </c>
      <c r="F40" s="1"/>
      <c r="G40" s="28" t="str">
        <f>IFERROR(VLOOKUP(F40,Tabela7[[RECURSO]:[CUSTO]],2,FALSE),"")</f>
        <v/>
      </c>
      <c r="H40" s="92"/>
      <c r="I40" s="90"/>
      <c r="J40" s="45">
        <f>IFERROR(VLOOKUP(F40,Tabela7[[RECURSO]:[CUSTO]],3,FALSE),0)</f>
        <v>0</v>
      </c>
      <c r="K40" s="45">
        <f>I40*J40*CPU_24[[#This Row],[Nº]]</f>
        <v>0</v>
      </c>
      <c r="AD40" s="144" t="str">
        <f t="shared" si="3"/>
        <v>Tacha Refletiva</v>
      </c>
      <c r="AE40" s="186"/>
      <c r="AF40" s="180">
        <f t="shared" si="35"/>
        <v>0</v>
      </c>
      <c r="AG40" s="180">
        <f t="shared" si="17"/>
        <v>0</v>
      </c>
      <c r="AH40" s="181">
        <f t="shared" si="36"/>
        <v>0</v>
      </c>
      <c r="AI40" s="187"/>
      <c r="AJ40" s="90"/>
      <c r="AK40" s="90"/>
      <c r="AL40" s="183">
        <f t="shared" si="37"/>
        <v>0</v>
      </c>
      <c r="AM40" s="187"/>
      <c r="AN40" s="90"/>
      <c r="AO40" s="90"/>
      <c r="AP40" s="183">
        <f t="shared" si="23"/>
        <v>0</v>
      </c>
      <c r="AQ40" s="187"/>
      <c r="AR40" s="90"/>
      <c r="AS40" s="90"/>
      <c r="AT40" s="183">
        <f t="shared" si="24"/>
        <v>0</v>
      </c>
      <c r="AU40" s="187"/>
      <c r="AV40" s="90"/>
      <c r="AW40" s="90"/>
      <c r="AX40" s="183">
        <f t="shared" si="25"/>
        <v>0</v>
      </c>
      <c r="AY40" s="187"/>
      <c r="AZ40" s="90"/>
      <c r="BA40" s="90"/>
      <c r="BB40" s="183">
        <f t="shared" si="26"/>
        <v>0</v>
      </c>
      <c r="BC40" s="187"/>
      <c r="BD40" s="90"/>
      <c r="BE40" s="90"/>
      <c r="BF40" s="183">
        <f t="shared" si="27"/>
        <v>0</v>
      </c>
      <c r="BG40" s="187"/>
      <c r="BH40" s="90"/>
      <c r="BI40" s="90"/>
      <c r="BJ40" s="183">
        <f t="shared" si="28"/>
        <v>0</v>
      </c>
      <c r="BK40" s="187"/>
      <c r="BL40" s="90"/>
      <c r="BM40" s="90"/>
      <c r="BN40" s="183">
        <f t="shared" si="29"/>
        <v>0</v>
      </c>
      <c r="BO40" s="187"/>
      <c r="BP40" s="90"/>
      <c r="BQ40" s="90"/>
      <c r="BR40" s="183">
        <f t="shared" si="30"/>
        <v>0</v>
      </c>
      <c r="BS40" s="187"/>
      <c r="BT40" s="90"/>
      <c r="BU40" s="90"/>
      <c r="BV40" s="183">
        <f t="shared" si="31"/>
        <v>0</v>
      </c>
      <c r="BW40" s="187"/>
      <c r="BX40" s="90"/>
      <c r="BY40" s="90"/>
      <c r="BZ40" s="183">
        <f t="shared" si="32"/>
        <v>0</v>
      </c>
      <c r="CA40" s="187"/>
      <c r="CB40" s="90"/>
      <c r="CC40" s="90"/>
      <c r="CD40" s="183">
        <f t="shared" si="33"/>
        <v>0</v>
      </c>
    </row>
    <row r="41" spans="2:82" x14ac:dyDescent="0.3">
      <c r="B41" s="54"/>
      <c r="C41" s="54" t="str">
        <f t="shared" si="0"/>
        <v>CPU_TachaRefletiva</v>
      </c>
      <c r="D41" s="280">
        <f t="shared" si="1"/>
        <v>942.5</v>
      </c>
      <c r="E41" s="280">
        <f t="shared" si="2"/>
        <v>94250</v>
      </c>
      <c r="F41" s="1"/>
      <c r="G41" s="28" t="str">
        <f>IFERROR(VLOOKUP(F41,Tabela7[[RECURSO]:[CUSTO]],2,FALSE),"")</f>
        <v/>
      </c>
      <c r="H41" s="92"/>
      <c r="I41" s="90"/>
      <c r="J41" s="45">
        <f>IFERROR(VLOOKUP(F41,Tabela7[[RECURSO]:[CUSTO]],3,FALSE),0)</f>
        <v>0</v>
      </c>
      <c r="K41" s="45">
        <f>I41*J41*CPU_24[[#This Row],[Nº]]</f>
        <v>0</v>
      </c>
      <c r="AD41" s="144" t="str">
        <f t="shared" si="3"/>
        <v>Tacha Refletiva</v>
      </c>
      <c r="AE41" s="186"/>
      <c r="AF41" s="180">
        <f t="shared" si="35"/>
        <v>0</v>
      </c>
      <c r="AG41" s="180">
        <f t="shared" si="17"/>
        <v>0</v>
      </c>
      <c r="AH41" s="181">
        <f t="shared" si="36"/>
        <v>0</v>
      </c>
      <c r="AI41" s="187"/>
      <c r="AJ41" s="90"/>
      <c r="AK41" s="90"/>
      <c r="AL41" s="183">
        <f t="shared" si="37"/>
        <v>0</v>
      </c>
      <c r="AM41" s="187"/>
      <c r="AN41" s="90"/>
      <c r="AO41" s="90"/>
      <c r="AP41" s="183">
        <f t="shared" si="23"/>
        <v>0</v>
      </c>
      <c r="AQ41" s="187"/>
      <c r="AR41" s="90"/>
      <c r="AS41" s="90"/>
      <c r="AT41" s="183">
        <f t="shared" si="24"/>
        <v>0</v>
      </c>
      <c r="AU41" s="187"/>
      <c r="AV41" s="90"/>
      <c r="AW41" s="90"/>
      <c r="AX41" s="183">
        <f t="shared" si="25"/>
        <v>0</v>
      </c>
      <c r="AY41" s="187"/>
      <c r="AZ41" s="90"/>
      <c r="BA41" s="90"/>
      <c r="BB41" s="183">
        <f t="shared" si="26"/>
        <v>0</v>
      </c>
      <c r="BC41" s="187"/>
      <c r="BD41" s="90"/>
      <c r="BE41" s="90"/>
      <c r="BF41" s="183">
        <f t="shared" si="27"/>
        <v>0</v>
      </c>
      <c r="BG41" s="187"/>
      <c r="BH41" s="90"/>
      <c r="BI41" s="90"/>
      <c r="BJ41" s="183">
        <f t="shared" si="28"/>
        <v>0</v>
      </c>
      <c r="BK41" s="187"/>
      <c r="BL41" s="90"/>
      <c r="BM41" s="90"/>
      <c r="BN41" s="183">
        <f t="shared" si="29"/>
        <v>0</v>
      </c>
      <c r="BO41" s="187"/>
      <c r="BP41" s="90"/>
      <c r="BQ41" s="90"/>
      <c r="BR41" s="183">
        <f t="shared" si="30"/>
        <v>0</v>
      </c>
      <c r="BS41" s="187"/>
      <c r="BT41" s="90"/>
      <c r="BU41" s="90"/>
      <c r="BV41" s="183">
        <f t="shared" si="31"/>
        <v>0</v>
      </c>
      <c r="BW41" s="187"/>
      <c r="BX41" s="90"/>
      <c r="BY41" s="90"/>
      <c r="BZ41" s="183">
        <f t="shared" si="32"/>
        <v>0</v>
      </c>
      <c r="CA41" s="187"/>
      <c r="CB41" s="90"/>
      <c r="CC41" s="90"/>
      <c r="CD41" s="183">
        <f t="shared" si="33"/>
        <v>0</v>
      </c>
    </row>
    <row r="42" spans="2:82" x14ac:dyDescent="0.3">
      <c r="B42" s="54"/>
      <c r="C42" s="54" t="str">
        <f t="shared" si="0"/>
        <v>CPU_TachaRefletiva</v>
      </c>
      <c r="D42" s="280">
        <f t="shared" si="1"/>
        <v>942.5</v>
      </c>
      <c r="E42" s="280">
        <f t="shared" si="2"/>
        <v>94250</v>
      </c>
      <c r="F42" s="1"/>
      <c r="G42" s="28" t="str">
        <f>IFERROR(VLOOKUP(F42,Tabela7[[RECURSO]:[CUSTO]],2,FALSE),"")</f>
        <v/>
      </c>
      <c r="H42" s="92"/>
      <c r="I42" s="90"/>
      <c r="J42" s="45">
        <f>IFERROR(VLOOKUP(F42,Tabela7[[RECURSO]:[CUSTO]],3,FALSE),0)</f>
        <v>0</v>
      </c>
      <c r="K42" s="45">
        <f>I42*J42*CPU_24[[#This Row],[Nº]]</f>
        <v>0</v>
      </c>
      <c r="AD42" s="144" t="str">
        <f t="shared" si="3"/>
        <v>Tacha Refletiva</v>
      </c>
      <c r="AE42" s="186"/>
      <c r="AF42" s="180">
        <f t="shared" si="35"/>
        <v>0</v>
      </c>
      <c r="AG42" s="180">
        <f t="shared" si="17"/>
        <v>0</v>
      </c>
      <c r="AH42" s="181">
        <f t="shared" si="36"/>
        <v>0</v>
      </c>
      <c r="AI42" s="187"/>
      <c r="AJ42" s="90"/>
      <c r="AK42" s="90"/>
      <c r="AL42" s="183">
        <f t="shared" si="37"/>
        <v>0</v>
      </c>
      <c r="AM42" s="187"/>
      <c r="AN42" s="90"/>
      <c r="AO42" s="90"/>
      <c r="AP42" s="183">
        <f t="shared" si="23"/>
        <v>0</v>
      </c>
      <c r="AQ42" s="187"/>
      <c r="AR42" s="90"/>
      <c r="AS42" s="90"/>
      <c r="AT42" s="183">
        <f t="shared" si="24"/>
        <v>0</v>
      </c>
      <c r="AU42" s="187"/>
      <c r="AV42" s="90"/>
      <c r="AW42" s="90"/>
      <c r="AX42" s="183">
        <f t="shared" si="25"/>
        <v>0</v>
      </c>
      <c r="AY42" s="187"/>
      <c r="AZ42" s="90"/>
      <c r="BA42" s="90"/>
      <c r="BB42" s="183">
        <f t="shared" si="26"/>
        <v>0</v>
      </c>
      <c r="BC42" s="187"/>
      <c r="BD42" s="90"/>
      <c r="BE42" s="90"/>
      <c r="BF42" s="183">
        <f t="shared" si="27"/>
        <v>0</v>
      </c>
      <c r="BG42" s="187"/>
      <c r="BH42" s="90"/>
      <c r="BI42" s="90"/>
      <c r="BJ42" s="183">
        <f t="shared" si="28"/>
        <v>0</v>
      </c>
      <c r="BK42" s="187"/>
      <c r="BL42" s="90"/>
      <c r="BM42" s="90"/>
      <c r="BN42" s="183">
        <f t="shared" si="29"/>
        <v>0</v>
      </c>
      <c r="BO42" s="187"/>
      <c r="BP42" s="90"/>
      <c r="BQ42" s="90"/>
      <c r="BR42" s="183">
        <f t="shared" si="30"/>
        <v>0</v>
      </c>
      <c r="BS42" s="187"/>
      <c r="BT42" s="90"/>
      <c r="BU42" s="90"/>
      <c r="BV42" s="183">
        <f t="shared" si="31"/>
        <v>0</v>
      </c>
      <c r="BW42" s="187"/>
      <c r="BX42" s="90"/>
      <c r="BY42" s="90"/>
      <c r="BZ42" s="183">
        <f t="shared" si="32"/>
        <v>0</v>
      </c>
      <c r="CA42" s="187"/>
      <c r="CB42" s="90"/>
      <c r="CC42" s="90"/>
      <c r="CD42" s="183">
        <f t="shared" si="33"/>
        <v>0</v>
      </c>
    </row>
    <row r="43" spans="2:82" x14ac:dyDescent="0.3">
      <c r="B43" s="54"/>
      <c r="C43" s="54" t="str">
        <f t="shared" si="0"/>
        <v>CPU_TachaRefletiva</v>
      </c>
      <c r="D43" s="280">
        <f t="shared" si="1"/>
        <v>942.5</v>
      </c>
      <c r="E43" s="280">
        <f t="shared" si="2"/>
        <v>94250</v>
      </c>
      <c r="F43" s="1"/>
      <c r="G43" s="28" t="str">
        <f>IFERROR(VLOOKUP(F43,Tabela7[[RECURSO]:[CUSTO]],2,FALSE),"")</f>
        <v/>
      </c>
      <c r="H43" s="92"/>
      <c r="I43" s="90"/>
      <c r="J43" s="45">
        <f>IFERROR(VLOOKUP(F43,Tabela7[[RECURSO]:[CUSTO]],3,FALSE),0)</f>
        <v>0</v>
      </c>
      <c r="K43" s="45">
        <f>I43*J43*CPU_24[[#This Row],[Nº]]</f>
        <v>0</v>
      </c>
      <c r="AD43" s="144" t="str">
        <f t="shared" si="3"/>
        <v>Tacha Refletiva</v>
      </c>
      <c r="AE43" s="186"/>
      <c r="AF43" s="180">
        <f t="shared" si="35"/>
        <v>0</v>
      </c>
      <c r="AG43" s="180">
        <f t="shared" si="17"/>
        <v>0</v>
      </c>
      <c r="AH43" s="181">
        <f t="shared" si="36"/>
        <v>0</v>
      </c>
      <c r="AI43" s="187"/>
      <c r="AJ43" s="90"/>
      <c r="AK43" s="90"/>
      <c r="AL43" s="183">
        <f t="shared" si="37"/>
        <v>0</v>
      </c>
      <c r="AM43" s="187"/>
      <c r="AN43" s="90"/>
      <c r="AO43" s="90"/>
      <c r="AP43" s="183">
        <f t="shared" si="23"/>
        <v>0</v>
      </c>
      <c r="AQ43" s="187"/>
      <c r="AR43" s="90"/>
      <c r="AS43" s="90"/>
      <c r="AT43" s="183">
        <f t="shared" si="24"/>
        <v>0</v>
      </c>
      <c r="AU43" s="187"/>
      <c r="AV43" s="90"/>
      <c r="AW43" s="90"/>
      <c r="AX43" s="183">
        <f t="shared" si="25"/>
        <v>0</v>
      </c>
      <c r="AY43" s="187"/>
      <c r="AZ43" s="90"/>
      <c r="BA43" s="90"/>
      <c r="BB43" s="183">
        <f t="shared" si="26"/>
        <v>0</v>
      </c>
      <c r="BC43" s="187"/>
      <c r="BD43" s="90"/>
      <c r="BE43" s="90"/>
      <c r="BF43" s="183">
        <f t="shared" si="27"/>
        <v>0</v>
      </c>
      <c r="BG43" s="187"/>
      <c r="BH43" s="90"/>
      <c r="BI43" s="90"/>
      <c r="BJ43" s="183">
        <f t="shared" si="28"/>
        <v>0</v>
      </c>
      <c r="BK43" s="187"/>
      <c r="BL43" s="90"/>
      <c r="BM43" s="90"/>
      <c r="BN43" s="183">
        <f t="shared" si="29"/>
        <v>0</v>
      </c>
      <c r="BO43" s="187"/>
      <c r="BP43" s="90"/>
      <c r="BQ43" s="90"/>
      <c r="BR43" s="183">
        <f t="shared" si="30"/>
        <v>0</v>
      </c>
      <c r="BS43" s="187"/>
      <c r="BT43" s="90"/>
      <c r="BU43" s="90"/>
      <c r="BV43" s="183">
        <f t="shared" si="31"/>
        <v>0</v>
      </c>
      <c r="BW43" s="187"/>
      <c r="BX43" s="90"/>
      <c r="BY43" s="90"/>
      <c r="BZ43" s="183">
        <f t="shared" si="32"/>
        <v>0</v>
      </c>
      <c r="CA43" s="187"/>
      <c r="CB43" s="90"/>
      <c r="CC43" s="90"/>
      <c r="CD43" s="183">
        <f t="shared" si="33"/>
        <v>0</v>
      </c>
    </row>
    <row r="44" spans="2:82" x14ac:dyDescent="0.3">
      <c r="B44" s="54"/>
      <c r="C44" s="54" t="str">
        <f t="shared" si="0"/>
        <v>CPU_TachaRefletiva</v>
      </c>
      <c r="D44" s="280">
        <f t="shared" si="1"/>
        <v>942.5</v>
      </c>
      <c r="E44" s="280">
        <f t="shared" si="2"/>
        <v>94250</v>
      </c>
      <c r="F44" s="1"/>
      <c r="G44" s="28" t="str">
        <f>IFERROR(VLOOKUP(F44,Tabela7[[RECURSO]:[CUSTO]],2,FALSE),"")</f>
        <v/>
      </c>
      <c r="H44" s="92"/>
      <c r="I44" s="90"/>
      <c r="J44" s="45">
        <f>IFERROR(VLOOKUP(F44,Tabela7[[RECURSO]:[CUSTO]],3,FALSE),0)</f>
        <v>0</v>
      </c>
      <c r="K44" s="45">
        <f>I44*J44*CPU_24[[#This Row],[Nº]]</f>
        <v>0</v>
      </c>
      <c r="AD44" s="144" t="str">
        <f t="shared" si="3"/>
        <v>Tacha Refletiva</v>
      </c>
      <c r="AE44" s="186"/>
      <c r="AF44" s="180">
        <f t="shared" si="35"/>
        <v>0</v>
      </c>
      <c r="AG44" s="180">
        <f t="shared" si="17"/>
        <v>0</v>
      </c>
      <c r="AH44" s="181">
        <f t="shared" si="36"/>
        <v>0</v>
      </c>
      <c r="AI44" s="187"/>
      <c r="AJ44" s="90"/>
      <c r="AK44" s="90"/>
      <c r="AL44" s="183">
        <f t="shared" si="37"/>
        <v>0</v>
      </c>
      <c r="AM44" s="187"/>
      <c r="AN44" s="90"/>
      <c r="AO44" s="90"/>
      <c r="AP44" s="183">
        <f t="shared" si="23"/>
        <v>0</v>
      </c>
      <c r="AQ44" s="187"/>
      <c r="AR44" s="90"/>
      <c r="AS44" s="90"/>
      <c r="AT44" s="183">
        <f t="shared" si="24"/>
        <v>0</v>
      </c>
      <c r="AU44" s="187"/>
      <c r="AV44" s="90"/>
      <c r="AW44" s="90"/>
      <c r="AX44" s="183">
        <f t="shared" si="25"/>
        <v>0</v>
      </c>
      <c r="AY44" s="187"/>
      <c r="AZ44" s="90"/>
      <c r="BA44" s="90"/>
      <c r="BB44" s="183">
        <f t="shared" si="26"/>
        <v>0</v>
      </c>
      <c r="BC44" s="187"/>
      <c r="BD44" s="90"/>
      <c r="BE44" s="90"/>
      <c r="BF44" s="183">
        <f t="shared" si="27"/>
        <v>0</v>
      </c>
      <c r="BG44" s="187"/>
      <c r="BH44" s="90"/>
      <c r="BI44" s="90"/>
      <c r="BJ44" s="183">
        <f t="shared" si="28"/>
        <v>0</v>
      </c>
      <c r="BK44" s="187"/>
      <c r="BL44" s="90"/>
      <c r="BM44" s="90"/>
      <c r="BN44" s="183">
        <f t="shared" si="29"/>
        <v>0</v>
      </c>
      <c r="BO44" s="187"/>
      <c r="BP44" s="90"/>
      <c r="BQ44" s="90"/>
      <c r="BR44" s="183">
        <f t="shared" si="30"/>
        <v>0</v>
      </c>
      <c r="BS44" s="187"/>
      <c r="BT44" s="90"/>
      <c r="BU44" s="90"/>
      <c r="BV44" s="183">
        <f t="shared" si="31"/>
        <v>0</v>
      </c>
      <c r="BW44" s="187"/>
      <c r="BX44" s="90"/>
      <c r="BY44" s="90"/>
      <c r="BZ44" s="183">
        <f t="shared" si="32"/>
        <v>0</v>
      </c>
      <c r="CA44" s="187"/>
      <c r="CB44" s="90"/>
      <c r="CC44" s="90"/>
      <c r="CD44" s="183">
        <f t="shared" si="33"/>
        <v>0</v>
      </c>
    </row>
    <row r="45" spans="2:82" x14ac:dyDescent="0.3">
      <c r="B45" s="53"/>
      <c r="C45" s="53" t="str">
        <f t="shared" si="0"/>
        <v>CPU_TachaRefletiva</v>
      </c>
      <c r="D45" s="278">
        <f t="shared" si="1"/>
        <v>942.5</v>
      </c>
      <c r="E45" s="278">
        <f t="shared" si="2"/>
        <v>94250</v>
      </c>
      <c r="F45" s="1"/>
      <c r="G45" s="28" t="str">
        <f>IFERROR(VLOOKUP(F45,Tabela7[[RECURSO]:[CUSTO]],2,FALSE),"")</f>
        <v/>
      </c>
      <c r="H45" s="92"/>
      <c r="I45" s="90"/>
      <c r="J45" s="45">
        <f>IFERROR(VLOOKUP(F45,Tabela7[[RECURSO]:[CUSTO]],3,FALSE),0)</f>
        <v>0</v>
      </c>
      <c r="K45" s="45">
        <f>I45*J45*CPU_24[[#This Row],[Nº]]</f>
        <v>0</v>
      </c>
      <c r="AD45" s="144" t="str">
        <f t="shared" si="3"/>
        <v>Tacha Refletiva</v>
      </c>
      <c r="AE45" s="188"/>
      <c r="AF45" s="180">
        <f t="shared" si="35"/>
        <v>0</v>
      </c>
      <c r="AG45" s="180">
        <f t="shared" si="17"/>
        <v>0</v>
      </c>
      <c r="AH45" s="181">
        <f t="shared" si="36"/>
        <v>0</v>
      </c>
      <c r="AI45" s="189"/>
      <c r="AJ45" s="90"/>
      <c r="AK45" s="90"/>
      <c r="AL45" s="183">
        <f t="shared" si="37"/>
        <v>0</v>
      </c>
      <c r="AM45" s="189"/>
      <c r="AN45" s="90"/>
      <c r="AO45" s="90"/>
      <c r="AP45" s="183">
        <f t="shared" si="23"/>
        <v>0</v>
      </c>
      <c r="AQ45" s="189"/>
      <c r="AR45" s="90"/>
      <c r="AS45" s="90"/>
      <c r="AT45" s="183">
        <f t="shared" si="24"/>
        <v>0</v>
      </c>
      <c r="AU45" s="189"/>
      <c r="AV45" s="90"/>
      <c r="AW45" s="90"/>
      <c r="AX45" s="183">
        <f t="shared" si="25"/>
        <v>0</v>
      </c>
      <c r="AY45" s="189"/>
      <c r="AZ45" s="90"/>
      <c r="BA45" s="90"/>
      <c r="BB45" s="183">
        <f t="shared" si="26"/>
        <v>0</v>
      </c>
      <c r="BC45" s="189"/>
      <c r="BD45" s="90"/>
      <c r="BE45" s="90"/>
      <c r="BF45" s="183">
        <f t="shared" si="27"/>
        <v>0</v>
      </c>
      <c r="BG45" s="189"/>
      <c r="BH45" s="90"/>
      <c r="BI45" s="90"/>
      <c r="BJ45" s="183">
        <f t="shared" si="28"/>
        <v>0</v>
      </c>
      <c r="BK45" s="189"/>
      <c r="BL45" s="90"/>
      <c r="BM45" s="90"/>
      <c r="BN45" s="183">
        <f t="shared" si="29"/>
        <v>0</v>
      </c>
      <c r="BO45" s="189"/>
      <c r="BP45" s="90"/>
      <c r="BQ45" s="90"/>
      <c r="BR45" s="183">
        <f t="shared" si="30"/>
        <v>0</v>
      </c>
      <c r="BS45" s="189"/>
      <c r="BT45" s="90"/>
      <c r="BU45" s="90"/>
      <c r="BV45" s="183">
        <f t="shared" si="31"/>
        <v>0</v>
      </c>
      <c r="BW45" s="189"/>
      <c r="BX45" s="90"/>
      <c r="BY45" s="90"/>
      <c r="BZ45" s="183">
        <f t="shared" si="32"/>
        <v>0</v>
      </c>
      <c r="CA45" s="189"/>
      <c r="CB45" s="90"/>
      <c r="CC45" s="90"/>
      <c r="CD45" s="183">
        <f t="shared" si="33"/>
        <v>0</v>
      </c>
    </row>
    <row r="46" spans="2:82" x14ac:dyDescent="0.3">
      <c r="B46" s="53"/>
      <c r="C46" s="53" t="str">
        <f t="shared" si="0"/>
        <v>CPU_TachaRefletiva</v>
      </c>
      <c r="D46" s="278">
        <f t="shared" si="1"/>
        <v>942.5</v>
      </c>
      <c r="E46" s="278">
        <f t="shared" si="2"/>
        <v>94250</v>
      </c>
      <c r="F46" s="1"/>
      <c r="G46" s="28" t="str">
        <f>IFERROR(VLOOKUP(F46,Tabela7[[RECURSO]:[CUSTO]],2,FALSE),"")</f>
        <v/>
      </c>
      <c r="H46" s="92"/>
      <c r="I46" s="90"/>
      <c r="J46" s="45">
        <f>IFERROR(VLOOKUP(F46,Tabela7[[RECURSO]:[CUSTO]],3,FALSE),0)</f>
        <v>0</v>
      </c>
      <c r="K46" s="45">
        <f>I46*J46*CPU_24[[#This Row],[Nº]]</f>
        <v>0</v>
      </c>
      <c r="AD46" s="144" t="str">
        <f t="shared" si="3"/>
        <v>Tacha Refletiva</v>
      </c>
      <c r="AE46" s="188"/>
      <c r="AF46" s="180">
        <f t="shared" si="35"/>
        <v>0</v>
      </c>
      <c r="AG46" s="180">
        <f t="shared" si="17"/>
        <v>0</v>
      </c>
      <c r="AH46" s="181">
        <f t="shared" si="36"/>
        <v>0</v>
      </c>
      <c r="AI46" s="189"/>
      <c r="AJ46" s="90"/>
      <c r="AK46" s="90"/>
      <c r="AL46" s="183">
        <f t="shared" si="37"/>
        <v>0</v>
      </c>
      <c r="AM46" s="189"/>
      <c r="AN46" s="90"/>
      <c r="AO46" s="90"/>
      <c r="AP46" s="183">
        <f t="shared" si="23"/>
        <v>0</v>
      </c>
      <c r="AQ46" s="189"/>
      <c r="AR46" s="90"/>
      <c r="AS46" s="90"/>
      <c r="AT46" s="183">
        <f t="shared" si="24"/>
        <v>0</v>
      </c>
      <c r="AU46" s="189"/>
      <c r="AV46" s="90"/>
      <c r="AW46" s="90"/>
      <c r="AX46" s="183">
        <f t="shared" si="25"/>
        <v>0</v>
      </c>
      <c r="AY46" s="189"/>
      <c r="AZ46" s="90"/>
      <c r="BA46" s="90"/>
      <c r="BB46" s="183">
        <f t="shared" si="26"/>
        <v>0</v>
      </c>
      <c r="BC46" s="189"/>
      <c r="BD46" s="90"/>
      <c r="BE46" s="90"/>
      <c r="BF46" s="183">
        <f t="shared" si="27"/>
        <v>0</v>
      </c>
      <c r="BG46" s="189"/>
      <c r="BH46" s="90"/>
      <c r="BI46" s="90"/>
      <c r="BJ46" s="183">
        <f t="shared" si="28"/>
        <v>0</v>
      </c>
      <c r="BK46" s="189"/>
      <c r="BL46" s="90"/>
      <c r="BM46" s="90"/>
      <c r="BN46" s="183">
        <f t="shared" si="29"/>
        <v>0</v>
      </c>
      <c r="BO46" s="189"/>
      <c r="BP46" s="90"/>
      <c r="BQ46" s="90"/>
      <c r="BR46" s="183">
        <f t="shared" si="30"/>
        <v>0</v>
      </c>
      <c r="BS46" s="189"/>
      <c r="BT46" s="90"/>
      <c r="BU46" s="90"/>
      <c r="BV46" s="183">
        <f t="shared" si="31"/>
        <v>0</v>
      </c>
      <c r="BW46" s="189"/>
      <c r="BX46" s="90"/>
      <c r="BY46" s="90"/>
      <c r="BZ46" s="183">
        <f t="shared" si="32"/>
        <v>0</v>
      </c>
      <c r="CA46" s="189"/>
      <c r="CB46" s="90"/>
      <c r="CC46" s="90"/>
      <c r="CD46" s="183">
        <f t="shared" si="33"/>
        <v>0</v>
      </c>
    </row>
    <row r="47" spans="2:82" x14ac:dyDescent="0.3">
      <c r="B47" s="53"/>
      <c r="C47" s="53" t="str">
        <f t="shared" si="0"/>
        <v>CPU_TachaRefletiva</v>
      </c>
      <c r="D47" s="278">
        <f t="shared" si="1"/>
        <v>942.5</v>
      </c>
      <c r="E47" s="278">
        <f t="shared" si="2"/>
        <v>94250</v>
      </c>
      <c r="F47" s="1"/>
      <c r="G47" s="28" t="str">
        <f>IFERROR(VLOOKUP(F47,Tabela7[[RECURSO]:[CUSTO]],2,FALSE),"")</f>
        <v/>
      </c>
      <c r="H47" s="92"/>
      <c r="I47" s="90"/>
      <c r="J47" s="45">
        <f>IFERROR(VLOOKUP(F47,Tabela7[[RECURSO]:[CUSTO]],3,FALSE),0)</f>
        <v>0</v>
      </c>
      <c r="K47" s="45">
        <f>I47*J47*CPU_24[[#This Row],[Nº]]</f>
        <v>0</v>
      </c>
      <c r="AD47" s="144" t="str">
        <f t="shared" si="3"/>
        <v>Tacha Refletiva</v>
      </c>
      <c r="AE47" s="188"/>
      <c r="AF47" s="180">
        <f t="shared" si="35"/>
        <v>0</v>
      </c>
      <c r="AG47" s="180">
        <f t="shared" si="17"/>
        <v>0</v>
      </c>
      <c r="AH47" s="181">
        <f t="shared" si="36"/>
        <v>0</v>
      </c>
      <c r="AI47" s="189"/>
      <c r="AJ47" s="90"/>
      <c r="AK47" s="90"/>
      <c r="AL47" s="183">
        <f t="shared" si="37"/>
        <v>0</v>
      </c>
      <c r="AM47" s="189"/>
      <c r="AN47" s="90"/>
      <c r="AO47" s="90"/>
      <c r="AP47" s="183">
        <f t="shared" si="23"/>
        <v>0</v>
      </c>
      <c r="AQ47" s="189"/>
      <c r="AR47" s="90"/>
      <c r="AS47" s="90"/>
      <c r="AT47" s="183">
        <f t="shared" si="24"/>
        <v>0</v>
      </c>
      <c r="AU47" s="189"/>
      <c r="AV47" s="90"/>
      <c r="AW47" s="90"/>
      <c r="AX47" s="183">
        <f t="shared" si="25"/>
        <v>0</v>
      </c>
      <c r="AY47" s="189"/>
      <c r="AZ47" s="90"/>
      <c r="BA47" s="90"/>
      <c r="BB47" s="183">
        <f t="shared" si="26"/>
        <v>0</v>
      </c>
      <c r="BC47" s="189"/>
      <c r="BD47" s="90"/>
      <c r="BE47" s="90"/>
      <c r="BF47" s="183">
        <f t="shared" si="27"/>
        <v>0</v>
      </c>
      <c r="BG47" s="189"/>
      <c r="BH47" s="90"/>
      <c r="BI47" s="90"/>
      <c r="BJ47" s="183">
        <f t="shared" si="28"/>
        <v>0</v>
      </c>
      <c r="BK47" s="189"/>
      <c r="BL47" s="90"/>
      <c r="BM47" s="90"/>
      <c r="BN47" s="183">
        <f t="shared" si="29"/>
        <v>0</v>
      </c>
      <c r="BO47" s="189"/>
      <c r="BP47" s="90"/>
      <c r="BQ47" s="90"/>
      <c r="BR47" s="183">
        <f t="shared" si="30"/>
        <v>0</v>
      </c>
      <c r="BS47" s="189"/>
      <c r="BT47" s="90"/>
      <c r="BU47" s="90"/>
      <c r="BV47" s="183">
        <f t="shared" si="31"/>
        <v>0</v>
      </c>
      <c r="BW47" s="189"/>
      <c r="BX47" s="90"/>
      <c r="BY47" s="90"/>
      <c r="BZ47" s="183">
        <f t="shared" si="32"/>
        <v>0</v>
      </c>
      <c r="CA47" s="189"/>
      <c r="CB47" s="90"/>
      <c r="CC47" s="90"/>
      <c r="CD47" s="183">
        <f t="shared" si="33"/>
        <v>0</v>
      </c>
    </row>
    <row r="48" spans="2:82" x14ac:dyDescent="0.3">
      <c r="B48" s="53"/>
      <c r="C48" s="53" t="str">
        <f t="shared" si="0"/>
        <v>CPU_TachaRefletiva</v>
      </c>
      <c r="D48" s="278">
        <f t="shared" si="1"/>
        <v>942.5</v>
      </c>
      <c r="E48" s="278">
        <f t="shared" si="2"/>
        <v>94250</v>
      </c>
      <c r="F48" s="1"/>
      <c r="G48" s="28" t="str">
        <f>IFERROR(VLOOKUP(F48,Tabela7[[RECURSO]:[CUSTO]],2,FALSE),"")</f>
        <v/>
      </c>
      <c r="H48" s="92"/>
      <c r="I48" s="90"/>
      <c r="J48" s="45">
        <f>IFERROR(VLOOKUP(F48,Tabela7[[RECURSO]:[CUSTO]],3,FALSE),0)</f>
        <v>0</v>
      </c>
      <c r="K48" s="45">
        <f>I48*J48*CPU_24[[#This Row],[Nº]]</f>
        <v>0</v>
      </c>
      <c r="AD48" s="144" t="str">
        <f t="shared" si="3"/>
        <v>Tacha Refletiva</v>
      </c>
      <c r="AE48" s="188"/>
      <c r="AF48" s="180">
        <f t="shared" si="35"/>
        <v>0</v>
      </c>
      <c r="AG48" s="180">
        <f t="shared" si="17"/>
        <v>0</v>
      </c>
      <c r="AH48" s="181">
        <f t="shared" si="36"/>
        <v>0</v>
      </c>
      <c r="AI48" s="189"/>
      <c r="AJ48" s="90"/>
      <c r="AK48" s="90"/>
      <c r="AL48" s="183">
        <f t="shared" si="37"/>
        <v>0</v>
      </c>
      <c r="AM48" s="189"/>
      <c r="AN48" s="90"/>
      <c r="AO48" s="90"/>
      <c r="AP48" s="183">
        <f t="shared" si="23"/>
        <v>0</v>
      </c>
      <c r="AQ48" s="189"/>
      <c r="AR48" s="90"/>
      <c r="AS48" s="90"/>
      <c r="AT48" s="183">
        <f t="shared" si="24"/>
        <v>0</v>
      </c>
      <c r="AU48" s="189"/>
      <c r="AV48" s="90"/>
      <c r="AW48" s="90"/>
      <c r="AX48" s="183">
        <f t="shared" si="25"/>
        <v>0</v>
      </c>
      <c r="AY48" s="189"/>
      <c r="AZ48" s="90"/>
      <c r="BA48" s="90"/>
      <c r="BB48" s="183">
        <f t="shared" si="26"/>
        <v>0</v>
      </c>
      <c r="BC48" s="189"/>
      <c r="BD48" s="90"/>
      <c r="BE48" s="90"/>
      <c r="BF48" s="183">
        <f t="shared" si="27"/>
        <v>0</v>
      </c>
      <c r="BG48" s="189"/>
      <c r="BH48" s="90"/>
      <c r="BI48" s="90"/>
      <c r="BJ48" s="183">
        <f t="shared" si="28"/>
        <v>0</v>
      </c>
      <c r="BK48" s="189"/>
      <c r="BL48" s="90"/>
      <c r="BM48" s="90"/>
      <c r="BN48" s="183">
        <f t="shared" si="29"/>
        <v>0</v>
      </c>
      <c r="BO48" s="189"/>
      <c r="BP48" s="90"/>
      <c r="BQ48" s="90"/>
      <c r="BR48" s="183">
        <f t="shared" si="30"/>
        <v>0</v>
      </c>
      <c r="BS48" s="189"/>
      <c r="BT48" s="90"/>
      <c r="BU48" s="90"/>
      <c r="BV48" s="183">
        <f t="shared" si="31"/>
        <v>0</v>
      </c>
      <c r="BW48" s="189"/>
      <c r="BX48" s="90"/>
      <c r="BY48" s="90"/>
      <c r="BZ48" s="183">
        <f t="shared" si="32"/>
        <v>0</v>
      </c>
      <c r="CA48" s="189"/>
      <c r="CB48" s="90"/>
      <c r="CC48" s="90"/>
      <c r="CD48" s="183">
        <f t="shared" si="33"/>
        <v>0</v>
      </c>
    </row>
    <row r="49" spans="2:82" ht="15" thickBot="1" x14ac:dyDescent="0.35">
      <c r="B49" s="53"/>
      <c r="C49" s="53" t="str">
        <f t="shared" si="0"/>
        <v>CPU_TachaRefletiva</v>
      </c>
      <c r="D49" s="278">
        <f t="shared" si="1"/>
        <v>942.5</v>
      </c>
      <c r="E49" s="278">
        <f t="shared" si="2"/>
        <v>94250</v>
      </c>
      <c r="F49" s="1"/>
      <c r="G49" s="28" t="str">
        <f>IFERROR(VLOOKUP(F49,Tabela7[[RECURSO]:[CUSTO]],2,FALSE),"")</f>
        <v/>
      </c>
      <c r="H49" s="92"/>
      <c r="I49" s="90"/>
      <c r="J49" s="45">
        <f>IFERROR(VLOOKUP(F49,Tabela7[[RECURSO]:[CUSTO]],3,FALSE),0)</f>
        <v>0</v>
      </c>
      <c r="K49" s="45">
        <f>I49*J49*CPU_24[[#This Row],[Nº]]</f>
        <v>0</v>
      </c>
      <c r="M49" s="83" t="s">
        <v>701</v>
      </c>
      <c r="N49" s="87" t="s">
        <v>702</v>
      </c>
      <c r="AD49" s="144" t="str">
        <f t="shared" si="3"/>
        <v>Tacha Refletiva</v>
      </c>
      <c r="AE49" s="188"/>
      <c r="AF49" s="180">
        <f t="shared" si="35"/>
        <v>0</v>
      </c>
      <c r="AG49" s="180">
        <f t="shared" si="17"/>
        <v>0</v>
      </c>
      <c r="AH49" s="181">
        <f t="shared" si="36"/>
        <v>0</v>
      </c>
      <c r="AI49" s="189"/>
      <c r="AJ49" s="90"/>
      <c r="AK49" s="90"/>
      <c r="AL49" s="183">
        <f t="shared" si="37"/>
        <v>0</v>
      </c>
      <c r="AM49" s="189"/>
      <c r="AN49" s="90"/>
      <c r="AO49" s="90"/>
      <c r="AP49" s="183">
        <f t="shared" si="23"/>
        <v>0</v>
      </c>
      <c r="AQ49" s="189"/>
      <c r="AR49" s="90"/>
      <c r="AS49" s="90"/>
      <c r="AT49" s="183">
        <f t="shared" si="24"/>
        <v>0</v>
      </c>
      <c r="AU49" s="189"/>
      <c r="AV49" s="90"/>
      <c r="AW49" s="90"/>
      <c r="AX49" s="183">
        <f t="shared" si="25"/>
        <v>0</v>
      </c>
      <c r="AY49" s="189"/>
      <c r="AZ49" s="90"/>
      <c r="BA49" s="90"/>
      <c r="BB49" s="183">
        <f t="shared" si="26"/>
        <v>0</v>
      </c>
      <c r="BC49" s="189"/>
      <c r="BD49" s="90"/>
      <c r="BE49" s="90"/>
      <c r="BF49" s="183">
        <f t="shared" si="27"/>
        <v>0</v>
      </c>
      <c r="BG49" s="189"/>
      <c r="BH49" s="90"/>
      <c r="BI49" s="90"/>
      <c r="BJ49" s="183">
        <f t="shared" si="28"/>
        <v>0</v>
      </c>
      <c r="BK49" s="189"/>
      <c r="BL49" s="90"/>
      <c r="BM49" s="90"/>
      <c r="BN49" s="183">
        <f t="shared" si="29"/>
        <v>0</v>
      </c>
      <c r="BO49" s="189"/>
      <c r="BP49" s="90"/>
      <c r="BQ49" s="90"/>
      <c r="BR49" s="183">
        <f t="shared" si="30"/>
        <v>0</v>
      </c>
      <c r="BS49" s="189"/>
      <c r="BT49" s="90"/>
      <c r="BU49" s="90"/>
      <c r="BV49" s="183">
        <f t="shared" si="31"/>
        <v>0</v>
      </c>
      <c r="BW49" s="189"/>
      <c r="BX49" s="90"/>
      <c r="BY49" s="90"/>
      <c r="BZ49" s="183">
        <f t="shared" si="32"/>
        <v>0</v>
      </c>
      <c r="CA49" s="189"/>
      <c r="CB49" s="90"/>
      <c r="CC49" s="90"/>
      <c r="CD49" s="183">
        <f t="shared" si="33"/>
        <v>0</v>
      </c>
    </row>
    <row r="50" spans="2:82" x14ac:dyDescent="0.3">
      <c r="B50" s="52" t="s">
        <v>693</v>
      </c>
      <c r="C50" s="52" t="str">
        <f t="shared" si="0"/>
        <v>CPU_TachaRefletiva</v>
      </c>
      <c r="D50" s="277">
        <f t="shared" si="1"/>
        <v>942.5</v>
      </c>
      <c r="E50" s="277">
        <f t="shared" si="2"/>
        <v>94250</v>
      </c>
      <c r="F50" s="37"/>
      <c r="G50" s="38"/>
      <c r="H50" s="38"/>
      <c r="I50" s="37"/>
      <c r="J50" s="40">
        <f>IFERROR(K50/$B$6,0)</f>
        <v>18.5</v>
      </c>
      <c r="K50" s="40">
        <f>SUM(K51:K62)</f>
        <v>17436.25</v>
      </c>
      <c r="M50" s="84" t="str">
        <f>"Consumo por "&amp;J3</f>
        <v>Consumo por UNID</v>
      </c>
      <c r="N50" s="89"/>
      <c r="AD50" s="144" t="str">
        <f t="shared" si="3"/>
        <v>Tacha Refletiva</v>
      </c>
      <c r="AE50" s="190"/>
      <c r="AF50" s="191"/>
      <c r="AG50" s="40">
        <f>IFERROR(AH50/AF$3,0)</f>
        <v>0</v>
      </c>
      <c r="AH50" s="185">
        <f>SUM(AH51:AH62)</f>
        <v>0</v>
      </c>
      <c r="AI50" s="190"/>
      <c r="AJ50" s="37"/>
      <c r="AK50" s="40">
        <f>IFERROR(AL50/AJ$3,0)</f>
        <v>0</v>
      </c>
      <c r="AL50" s="185">
        <f>SUM(AL51:AL62)</f>
        <v>0</v>
      </c>
      <c r="AM50" s="190"/>
      <c r="AN50" s="37"/>
      <c r="AO50" s="40">
        <f>IFERROR(AP50/AN$3,0)</f>
        <v>0</v>
      </c>
      <c r="AP50" s="185">
        <f>SUM(AP51:AP62)</f>
        <v>0</v>
      </c>
      <c r="AQ50" s="190"/>
      <c r="AR50" s="37"/>
      <c r="AS50" s="40">
        <f>IFERROR(AT50/AR$3,0)</f>
        <v>0</v>
      </c>
      <c r="AT50" s="185">
        <f>SUM(AT51:AT62)</f>
        <v>0</v>
      </c>
      <c r="AU50" s="190"/>
      <c r="AV50" s="37"/>
      <c r="AW50" s="40">
        <f>IFERROR(AX50/AV$3,0)</f>
        <v>0</v>
      </c>
      <c r="AX50" s="185">
        <f>SUM(AX51:AX62)</f>
        <v>0</v>
      </c>
      <c r="AY50" s="190"/>
      <c r="AZ50" s="37"/>
      <c r="BA50" s="40">
        <f>IFERROR(BB50/AZ$3,0)</f>
        <v>0</v>
      </c>
      <c r="BB50" s="185">
        <f>SUM(BB51:BB62)</f>
        <v>0</v>
      </c>
      <c r="BC50" s="190"/>
      <c r="BD50" s="37"/>
      <c r="BE50" s="40">
        <f>IFERROR(BF50/BD$3,0)</f>
        <v>0</v>
      </c>
      <c r="BF50" s="185">
        <f>SUM(BF51:BF62)</f>
        <v>0</v>
      </c>
      <c r="BG50" s="190"/>
      <c r="BH50" s="37"/>
      <c r="BI50" s="40">
        <f>IFERROR(BJ50/BH$3,0)</f>
        <v>0</v>
      </c>
      <c r="BJ50" s="185">
        <f>SUM(BJ51:BJ62)</f>
        <v>0</v>
      </c>
      <c r="BK50" s="190"/>
      <c r="BL50" s="37"/>
      <c r="BM50" s="40">
        <f>IFERROR(BN50/BL$3,0)</f>
        <v>0</v>
      </c>
      <c r="BN50" s="185">
        <f>SUM(BN51:BN62)</f>
        <v>0</v>
      </c>
      <c r="BO50" s="190"/>
      <c r="BP50" s="37"/>
      <c r="BQ50" s="40">
        <f>IFERROR(BR50/BP$3,0)</f>
        <v>0</v>
      </c>
      <c r="BR50" s="185">
        <f>SUM(BR51:BR62)</f>
        <v>0</v>
      </c>
      <c r="BS50" s="190"/>
      <c r="BT50" s="37"/>
      <c r="BU50" s="40">
        <f>IFERROR(BV50/BT$3,0)</f>
        <v>0</v>
      </c>
      <c r="BV50" s="185">
        <f>SUM(BV51:BV62)</f>
        <v>0</v>
      </c>
      <c r="BW50" s="190"/>
      <c r="BX50" s="37"/>
      <c r="BY50" s="40">
        <f>IFERROR(BZ50/BX$3,0)</f>
        <v>0</v>
      </c>
      <c r="BZ50" s="185">
        <f>SUM(BZ51:BZ62)</f>
        <v>0</v>
      </c>
      <c r="CA50" s="190"/>
      <c r="CB50" s="37"/>
      <c r="CC50" s="40">
        <f>IFERROR(CD50/CB$3,0)</f>
        <v>0</v>
      </c>
      <c r="CD50" s="185">
        <f>SUM(CD51:CD62)</f>
        <v>0</v>
      </c>
    </row>
    <row r="51" spans="2:82" x14ac:dyDescent="0.3">
      <c r="B51" s="53"/>
      <c r="C51" s="53" t="str">
        <f t="shared" si="0"/>
        <v>CPU_TachaRefletiva</v>
      </c>
      <c r="D51" s="278">
        <f t="shared" si="1"/>
        <v>942.5</v>
      </c>
      <c r="E51" s="278">
        <f t="shared" si="2"/>
        <v>94250</v>
      </c>
      <c r="F51" s="1" t="s">
        <v>841</v>
      </c>
      <c r="G51" s="28" t="str">
        <f>IFERROR(VLOOKUP(F51,Tabela7[[RECURSO]:[CUSTO]],2,FALSE),"")</f>
        <v>unid</v>
      </c>
      <c r="I51" s="90">
        <f>IFERROR(M51*$B$6,0)</f>
        <v>942.5</v>
      </c>
      <c r="J51" s="45">
        <f>IFERROR(VLOOKUP(F51,Tabela7[[RECURSO]:[CUSTO]],3,FALSE),0)</f>
        <v>18.5</v>
      </c>
      <c r="K51" s="45">
        <f>I51*J51</f>
        <v>17436.25</v>
      </c>
      <c r="M51" s="85">
        <v>1</v>
      </c>
      <c r="N51" s="88"/>
      <c r="AD51" s="144" t="str">
        <f t="shared" si="3"/>
        <v>Tacha Refletiva</v>
      </c>
      <c r="AE51" s="192"/>
      <c r="AF51" s="180">
        <f t="shared" ref="AF51:AF62" si="38">AJ51+AN51+AR51+AV51+AZ51+BD51+BH51+BL51+BP51+BT51+BX51+CB51</f>
        <v>0</v>
      </c>
      <c r="AG51" s="180">
        <f t="shared" si="17"/>
        <v>0</v>
      </c>
      <c r="AH51" s="181">
        <f t="shared" ref="AH51:AH62" si="39">AL51+AP51+AT51+AX51+BB51+BF51+BJ51+BN51+BR51+BV51+BZ51+CD51</f>
        <v>0</v>
      </c>
      <c r="AI51" s="193"/>
      <c r="AJ51" s="90"/>
      <c r="AK51" s="90"/>
      <c r="AL51" s="183">
        <f t="shared" ref="AL51:AL62" si="40">AJ51*AK51</f>
        <v>0</v>
      </c>
      <c r="AM51" s="193"/>
      <c r="AN51" s="90"/>
      <c r="AO51" s="90"/>
      <c r="AP51" s="183">
        <f t="shared" si="23"/>
        <v>0</v>
      </c>
      <c r="AQ51" s="193"/>
      <c r="AR51" s="90"/>
      <c r="AS51" s="90"/>
      <c r="AT51" s="183">
        <f t="shared" si="24"/>
        <v>0</v>
      </c>
      <c r="AU51" s="193"/>
      <c r="AV51" s="90"/>
      <c r="AW51" s="90"/>
      <c r="AX51" s="183">
        <f t="shared" si="25"/>
        <v>0</v>
      </c>
      <c r="AY51" s="193"/>
      <c r="AZ51" s="90"/>
      <c r="BA51" s="90"/>
      <c r="BB51" s="183">
        <f t="shared" si="26"/>
        <v>0</v>
      </c>
      <c r="BC51" s="193"/>
      <c r="BD51" s="90"/>
      <c r="BE51" s="90"/>
      <c r="BF51" s="183">
        <f t="shared" si="27"/>
        <v>0</v>
      </c>
      <c r="BG51" s="193"/>
      <c r="BH51" s="90"/>
      <c r="BI51" s="90"/>
      <c r="BJ51" s="183">
        <f t="shared" si="28"/>
        <v>0</v>
      </c>
      <c r="BK51" s="193"/>
      <c r="BL51" s="90"/>
      <c r="BM51" s="90"/>
      <c r="BN51" s="183">
        <f t="shared" si="29"/>
        <v>0</v>
      </c>
      <c r="BO51" s="193"/>
      <c r="BP51" s="90"/>
      <c r="BQ51" s="90"/>
      <c r="BR51" s="183">
        <f t="shared" si="30"/>
        <v>0</v>
      </c>
      <c r="BS51" s="193"/>
      <c r="BT51" s="90"/>
      <c r="BU51" s="90"/>
      <c r="BV51" s="183">
        <f t="shared" si="31"/>
        <v>0</v>
      </c>
      <c r="BW51" s="193"/>
      <c r="BX51" s="90"/>
      <c r="BY51" s="90"/>
      <c r="BZ51" s="183">
        <f t="shared" si="32"/>
        <v>0</v>
      </c>
      <c r="CA51" s="193"/>
      <c r="CB51" s="90"/>
      <c r="CC51" s="90"/>
      <c r="CD51" s="183">
        <f t="shared" si="33"/>
        <v>0</v>
      </c>
    </row>
    <row r="52" spans="2:82" x14ac:dyDescent="0.3">
      <c r="B52" s="53"/>
      <c r="C52" s="53" t="str">
        <f t="shared" si="0"/>
        <v>CPU_TachaRefletiva</v>
      </c>
      <c r="D52" s="278">
        <f t="shared" si="1"/>
        <v>942.5</v>
      </c>
      <c r="E52" s="278">
        <f t="shared" si="2"/>
        <v>94250</v>
      </c>
      <c r="F52" s="1"/>
      <c r="G52" s="28" t="str">
        <f>IFERROR(VLOOKUP(F52,Tabela7[[RECURSO]:[CUSTO]],2,FALSE),"")</f>
        <v/>
      </c>
      <c r="I52" s="90">
        <f t="shared" ref="I52:I62" si="41">IFERROR(M52*$B$6,0)</f>
        <v>0</v>
      </c>
      <c r="J52" s="45">
        <f>IFERROR(VLOOKUP(F52,Tabela7[[RECURSO]:[CUSTO]],3,FALSE),0)</f>
        <v>0</v>
      </c>
      <c r="K52" s="45">
        <f t="shared" ref="K52:K62" si="42">I52*J52</f>
        <v>0</v>
      </c>
      <c r="M52" s="85"/>
      <c r="N52" s="88"/>
      <c r="AD52" s="144" t="str">
        <f t="shared" si="3"/>
        <v>Tacha Refletiva</v>
      </c>
      <c r="AE52" s="192"/>
      <c r="AF52" s="180">
        <f t="shared" si="38"/>
        <v>0</v>
      </c>
      <c r="AG52" s="180">
        <f t="shared" si="17"/>
        <v>0</v>
      </c>
      <c r="AH52" s="181">
        <f t="shared" si="39"/>
        <v>0</v>
      </c>
      <c r="AI52" s="193"/>
      <c r="AJ52" s="90"/>
      <c r="AK52" s="90"/>
      <c r="AL52" s="183">
        <f t="shared" si="40"/>
        <v>0</v>
      </c>
      <c r="AM52" s="193"/>
      <c r="AN52" s="90"/>
      <c r="AO52" s="90"/>
      <c r="AP52" s="183">
        <f t="shared" si="23"/>
        <v>0</v>
      </c>
      <c r="AQ52" s="193"/>
      <c r="AR52" s="90"/>
      <c r="AS52" s="90"/>
      <c r="AT52" s="183">
        <f t="shared" si="24"/>
        <v>0</v>
      </c>
      <c r="AU52" s="193"/>
      <c r="AV52" s="90"/>
      <c r="AW52" s="90"/>
      <c r="AX52" s="183">
        <f t="shared" si="25"/>
        <v>0</v>
      </c>
      <c r="AY52" s="193"/>
      <c r="AZ52" s="90"/>
      <c r="BA52" s="90"/>
      <c r="BB52" s="183">
        <f t="shared" si="26"/>
        <v>0</v>
      </c>
      <c r="BC52" s="193"/>
      <c r="BD52" s="90"/>
      <c r="BE52" s="90"/>
      <c r="BF52" s="183">
        <f t="shared" si="27"/>
        <v>0</v>
      </c>
      <c r="BG52" s="193"/>
      <c r="BH52" s="90"/>
      <c r="BI52" s="90"/>
      <c r="BJ52" s="183">
        <f t="shared" si="28"/>
        <v>0</v>
      </c>
      <c r="BK52" s="193"/>
      <c r="BL52" s="90"/>
      <c r="BM52" s="90"/>
      <c r="BN52" s="183">
        <f t="shared" si="29"/>
        <v>0</v>
      </c>
      <c r="BO52" s="193"/>
      <c r="BP52" s="90"/>
      <c r="BQ52" s="90"/>
      <c r="BR52" s="183">
        <f t="shared" si="30"/>
        <v>0</v>
      </c>
      <c r="BS52" s="193"/>
      <c r="BT52" s="90"/>
      <c r="BU52" s="90"/>
      <c r="BV52" s="183">
        <f t="shared" si="31"/>
        <v>0</v>
      </c>
      <c r="BW52" s="193"/>
      <c r="BX52" s="90"/>
      <c r="BY52" s="90"/>
      <c r="BZ52" s="183">
        <f t="shared" si="32"/>
        <v>0</v>
      </c>
      <c r="CA52" s="193"/>
      <c r="CB52" s="90"/>
      <c r="CC52" s="90"/>
      <c r="CD52" s="183">
        <f t="shared" si="33"/>
        <v>0</v>
      </c>
    </row>
    <row r="53" spans="2:82" x14ac:dyDescent="0.3">
      <c r="B53" s="53"/>
      <c r="C53" s="53" t="str">
        <f t="shared" si="0"/>
        <v>CPU_TachaRefletiva</v>
      </c>
      <c r="D53" s="278">
        <f t="shared" si="1"/>
        <v>942.5</v>
      </c>
      <c r="E53" s="278">
        <f t="shared" si="2"/>
        <v>94250</v>
      </c>
      <c r="F53" s="1"/>
      <c r="G53" s="28" t="str">
        <f>IFERROR(VLOOKUP(F53,Tabela7[[RECURSO]:[CUSTO]],2,FALSE),"")</f>
        <v/>
      </c>
      <c r="I53" s="90">
        <f t="shared" si="41"/>
        <v>0</v>
      </c>
      <c r="J53" s="45">
        <f>IFERROR(VLOOKUP(F53,Tabela7[[RECURSO]:[CUSTO]],3,FALSE),0)</f>
        <v>0</v>
      </c>
      <c r="K53" s="45">
        <f t="shared" si="42"/>
        <v>0</v>
      </c>
      <c r="M53" s="85"/>
      <c r="N53" s="88"/>
      <c r="AD53" s="144" t="str">
        <f t="shared" si="3"/>
        <v>Tacha Refletiva</v>
      </c>
      <c r="AE53" s="192"/>
      <c r="AF53" s="180">
        <f t="shared" si="38"/>
        <v>0</v>
      </c>
      <c r="AG53" s="180">
        <f t="shared" si="17"/>
        <v>0</v>
      </c>
      <c r="AH53" s="181">
        <f t="shared" si="39"/>
        <v>0</v>
      </c>
      <c r="AI53" s="193"/>
      <c r="AJ53" s="90"/>
      <c r="AK53" s="90"/>
      <c r="AL53" s="183">
        <f t="shared" si="40"/>
        <v>0</v>
      </c>
      <c r="AM53" s="193"/>
      <c r="AN53" s="90"/>
      <c r="AO53" s="90"/>
      <c r="AP53" s="183">
        <f t="shared" si="23"/>
        <v>0</v>
      </c>
      <c r="AQ53" s="193"/>
      <c r="AR53" s="90"/>
      <c r="AS53" s="90"/>
      <c r="AT53" s="183">
        <f t="shared" si="24"/>
        <v>0</v>
      </c>
      <c r="AU53" s="193"/>
      <c r="AV53" s="90"/>
      <c r="AW53" s="90"/>
      <c r="AX53" s="183">
        <f t="shared" si="25"/>
        <v>0</v>
      </c>
      <c r="AY53" s="193"/>
      <c r="AZ53" s="90"/>
      <c r="BA53" s="90"/>
      <c r="BB53" s="183">
        <f t="shared" si="26"/>
        <v>0</v>
      </c>
      <c r="BC53" s="193"/>
      <c r="BD53" s="90"/>
      <c r="BE53" s="90"/>
      <c r="BF53" s="183">
        <f t="shared" si="27"/>
        <v>0</v>
      </c>
      <c r="BG53" s="193"/>
      <c r="BH53" s="90"/>
      <c r="BI53" s="90"/>
      <c r="BJ53" s="183">
        <f t="shared" si="28"/>
        <v>0</v>
      </c>
      <c r="BK53" s="193"/>
      <c r="BL53" s="90"/>
      <c r="BM53" s="90"/>
      <c r="BN53" s="183">
        <f t="shared" si="29"/>
        <v>0</v>
      </c>
      <c r="BO53" s="193"/>
      <c r="BP53" s="90"/>
      <c r="BQ53" s="90"/>
      <c r="BR53" s="183">
        <f t="shared" si="30"/>
        <v>0</v>
      </c>
      <c r="BS53" s="193"/>
      <c r="BT53" s="90"/>
      <c r="BU53" s="90"/>
      <c r="BV53" s="183">
        <f t="shared" si="31"/>
        <v>0</v>
      </c>
      <c r="BW53" s="193"/>
      <c r="BX53" s="90"/>
      <c r="BY53" s="90"/>
      <c r="BZ53" s="183">
        <f t="shared" si="32"/>
        <v>0</v>
      </c>
      <c r="CA53" s="193"/>
      <c r="CB53" s="90"/>
      <c r="CC53" s="90"/>
      <c r="CD53" s="183">
        <f t="shared" si="33"/>
        <v>0</v>
      </c>
    </row>
    <row r="54" spans="2:82" x14ac:dyDescent="0.3">
      <c r="B54" s="53"/>
      <c r="C54" s="53" t="str">
        <f t="shared" si="0"/>
        <v>CPU_TachaRefletiva</v>
      </c>
      <c r="D54" s="278">
        <f t="shared" si="1"/>
        <v>942.5</v>
      </c>
      <c r="E54" s="278">
        <f t="shared" si="2"/>
        <v>94250</v>
      </c>
      <c r="F54" s="1"/>
      <c r="G54" s="28" t="str">
        <f>IFERROR(VLOOKUP(F54,Tabela7[[RECURSO]:[CUSTO]],2,FALSE),"")</f>
        <v/>
      </c>
      <c r="I54" s="90">
        <f t="shared" si="41"/>
        <v>0</v>
      </c>
      <c r="J54" s="45">
        <f>IFERROR(VLOOKUP(F54,Tabela7[[RECURSO]:[CUSTO]],3,FALSE),0)</f>
        <v>0</v>
      </c>
      <c r="K54" s="45">
        <f>I54*J54</f>
        <v>0</v>
      </c>
      <c r="M54" s="85"/>
      <c r="N54" s="88"/>
      <c r="AD54" s="144" t="str">
        <f>$B$3</f>
        <v>Tacha Refletiva</v>
      </c>
      <c r="AE54" s="192"/>
      <c r="AF54" s="180">
        <f t="shared" si="38"/>
        <v>0</v>
      </c>
      <c r="AG54" s="180">
        <f t="shared" si="17"/>
        <v>0</v>
      </c>
      <c r="AH54" s="181">
        <f t="shared" si="39"/>
        <v>0</v>
      </c>
      <c r="AI54" s="193"/>
      <c r="AJ54" s="90"/>
      <c r="AK54" s="90"/>
      <c r="AL54" s="183">
        <f t="shared" si="40"/>
        <v>0</v>
      </c>
      <c r="AM54" s="193"/>
      <c r="AN54" s="90"/>
      <c r="AO54" s="90"/>
      <c r="AP54" s="183">
        <f t="shared" si="23"/>
        <v>0</v>
      </c>
      <c r="AQ54" s="193"/>
      <c r="AR54" s="90"/>
      <c r="AS54" s="90"/>
      <c r="AT54" s="183">
        <f t="shared" si="24"/>
        <v>0</v>
      </c>
      <c r="AU54" s="193"/>
      <c r="AV54" s="90"/>
      <c r="AW54" s="90"/>
      <c r="AX54" s="183">
        <f t="shared" si="25"/>
        <v>0</v>
      </c>
      <c r="AY54" s="193"/>
      <c r="AZ54" s="90"/>
      <c r="BA54" s="90"/>
      <c r="BB54" s="183">
        <f t="shared" si="26"/>
        <v>0</v>
      </c>
      <c r="BC54" s="193"/>
      <c r="BD54" s="90"/>
      <c r="BE54" s="90"/>
      <c r="BF54" s="183">
        <f t="shared" si="27"/>
        <v>0</v>
      </c>
      <c r="BG54" s="193"/>
      <c r="BH54" s="90"/>
      <c r="BI54" s="90"/>
      <c r="BJ54" s="183">
        <f t="shared" si="28"/>
        <v>0</v>
      </c>
      <c r="BK54" s="193"/>
      <c r="BL54" s="90"/>
      <c r="BM54" s="90"/>
      <c r="BN54" s="183">
        <f t="shared" si="29"/>
        <v>0</v>
      </c>
      <c r="BO54" s="193"/>
      <c r="BP54" s="90"/>
      <c r="BQ54" s="90"/>
      <c r="BR54" s="183">
        <f t="shared" si="30"/>
        <v>0</v>
      </c>
      <c r="BS54" s="193"/>
      <c r="BT54" s="90"/>
      <c r="BU54" s="90"/>
      <c r="BV54" s="183">
        <f t="shared" si="31"/>
        <v>0</v>
      </c>
      <c r="BW54" s="193"/>
      <c r="BX54" s="90"/>
      <c r="BY54" s="90"/>
      <c r="BZ54" s="183">
        <f t="shared" si="32"/>
        <v>0</v>
      </c>
      <c r="CA54" s="193"/>
      <c r="CB54" s="90"/>
      <c r="CC54" s="90"/>
      <c r="CD54" s="183">
        <f t="shared" si="33"/>
        <v>0</v>
      </c>
    </row>
    <row r="55" spans="2:82" x14ac:dyDescent="0.3">
      <c r="B55" s="53"/>
      <c r="C55" s="53" t="str">
        <f t="shared" si="0"/>
        <v>CPU_TachaRefletiva</v>
      </c>
      <c r="D55" s="278">
        <f t="shared" si="1"/>
        <v>942.5</v>
      </c>
      <c r="E55" s="278">
        <f t="shared" si="2"/>
        <v>94250</v>
      </c>
      <c r="F55" s="1"/>
      <c r="G55" s="28" t="str">
        <f>IFERROR(VLOOKUP(F55,Tabela7[[RECURSO]:[CUSTO]],2,FALSE),"")</f>
        <v/>
      </c>
      <c r="I55" s="90">
        <f t="shared" si="41"/>
        <v>0</v>
      </c>
      <c r="J55" s="45">
        <f>IFERROR(VLOOKUP(F55,Tabela7[[RECURSO]:[CUSTO]],3,FALSE),0)</f>
        <v>0</v>
      </c>
      <c r="K55" s="45">
        <f t="shared" si="42"/>
        <v>0</v>
      </c>
      <c r="M55" s="85"/>
      <c r="N55" s="88"/>
      <c r="AD55" s="144" t="str">
        <f t="shared" si="3"/>
        <v>Tacha Refletiva</v>
      </c>
      <c r="AE55" s="192"/>
      <c r="AF55" s="180">
        <f t="shared" si="38"/>
        <v>0</v>
      </c>
      <c r="AG55" s="180">
        <f t="shared" si="17"/>
        <v>0</v>
      </c>
      <c r="AH55" s="181">
        <f t="shared" si="39"/>
        <v>0</v>
      </c>
      <c r="AI55" s="193"/>
      <c r="AJ55" s="90"/>
      <c r="AK55" s="90"/>
      <c r="AL55" s="183">
        <f t="shared" si="40"/>
        <v>0</v>
      </c>
      <c r="AM55" s="193"/>
      <c r="AN55" s="90"/>
      <c r="AO55" s="90"/>
      <c r="AP55" s="183">
        <f t="shared" si="23"/>
        <v>0</v>
      </c>
      <c r="AQ55" s="193"/>
      <c r="AR55" s="90"/>
      <c r="AS55" s="90"/>
      <c r="AT55" s="183">
        <f t="shared" si="24"/>
        <v>0</v>
      </c>
      <c r="AU55" s="193"/>
      <c r="AV55" s="90"/>
      <c r="AW55" s="90"/>
      <c r="AX55" s="183">
        <f t="shared" si="25"/>
        <v>0</v>
      </c>
      <c r="AY55" s="193"/>
      <c r="AZ55" s="90"/>
      <c r="BA55" s="90"/>
      <c r="BB55" s="183">
        <f t="shared" si="26"/>
        <v>0</v>
      </c>
      <c r="BC55" s="193"/>
      <c r="BD55" s="90"/>
      <c r="BE55" s="90"/>
      <c r="BF55" s="183">
        <f t="shared" si="27"/>
        <v>0</v>
      </c>
      <c r="BG55" s="193"/>
      <c r="BH55" s="90"/>
      <c r="BI55" s="90"/>
      <c r="BJ55" s="183">
        <f t="shared" si="28"/>
        <v>0</v>
      </c>
      <c r="BK55" s="193"/>
      <c r="BL55" s="90"/>
      <c r="BM55" s="90"/>
      <c r="BN55" s="183">
        <f t="shared" si="29"/>
        <v>0</v>
      </c>
      <c r="BO55" s="193"/>
      <c r="BP55" s="90"/>
      <c r="BQ55" s="90"/>
      <c r="BR55" s="183">
        <f t="shared" si="30"/>
        <v>0</v>
      </c>
      <c r="BS55" s="193"/>
      <c r="BT55" s="90"/>
      <c r="BU55" s="90"/>
      <c r="BV55" s="183">
        <f t="shared" si="31"/>
        <v>0</v>
      </c>
      <c r="BW55" s="193"/>
      <c r="BX55" s="90"/>
      <c r="BY55" s="90"/>
      <c r="BZ55" s="183">
        <f t="shared" si="32"/>
        <v>0</v>
      </c>
      <c r="CA55" s="193"/>
      <c r="CB55" s="90"/>
      <c r="CC55" s="90"/>
      <c r="CD55" s="183">
        <f t="shared" si="33"/>
        <v>0</v>
      </c>
    </row>
    <row r="56" spans="2:82" x14ac:dyDescent="0.3">
      <c r="B56" s="53"/>
      <c r="C56" s="53" t="str">
        <f t="shared" si="0"/>
        <v>CPU_TachaRefletiva</v>
      </c>
      <c r="D56" s="278">
        <f t="shared" si="1"/>
        <v>942.5</v>
      </c>
      <c r="E56" s="278">
        <f t="shared" si="2"/>
        <v>94250</v>
      </c>
      <c r="F56" s="1"/>
      <c r="G56" s="28" t="str">
        <f>IFERROR(VLOOKUP(F56,Tabela7[[RECURSO]:[CUSTO]],2,FALSE),"")</f>
        <v/>
      </c>
      <c r="I56" s="90">
        <f t="shared" si="41"/>
        <v>0</v>
      </c>
      <c r="J56" s="45">
        <f>IFERROR(VLOOKUP(F56,Tabela7[[RECURSO]:[CUSTO]],3,FALSE),0)</f>
        <v>0</v>
      </c>
      <c r="K56" s="45">
        <f t="shared" si="42"/>
        <v>0</v>
      </c>
      <c r="M56" s="85"/>
      <c r="N56" s="88"/>
      <c r="AD56" s="144" t="str">
        <f t="shared" si="3"/>
        <v>Tacha Refletiva</v>
      </c>
      <c r="AE56" s="192"/>
      <c r="AF56" s="180">
        <f t="shared" si="38"/>
        <v>0</v>
      </c>
      <c r="AG56" s="180">
        <f t="shared" si="17"/>
        <v>0</v>
      </c>
      <c r="AH56" s="181">
        <f t="shared" si="39"/>
        <v>0</v>
      </c>
      <c r="AI56" s="193"/>
      <c r="AJ56" s="90"/>
      <c r="AK56" s="90"/>
      <c r="AL56" s="183">
        <f t="shared" si="40"/>
        <v>0</v>
      </c>
      <c r="AM56" s="193"/>
      <c r="AN56" s="90"/>
      <c r="AO56" s="90"/>
      <c r="AP56" s="183">
        <f t="shared" si="23"/>
        <v>0</v>
      </c>
      <c r="AQ56" s="193"/>
      <c r="AR56" s="90"/>
      <c r="AS56" s="90"/>
      <c r="AT56" s="183">
        <f t="shared" si="24"/>
        <v>0</v>
      </c>
      <c r="AU56" s="193"/>
      <c r="AV56" s="90"/>
      <c r="AW56" s="90"/>
      <c r="AX56" s="183">
        <f t="shared" si="25"/>
        <v>0</v>
      </c>
      <c r="AY56" s="193"/>
      <c r="AZ56" s="90"/>
      <c r="BA56" s="90"/>
      <c r="BB56" s="183">
        <f t="shared" si="26"/>
        <v>0</v>
      </c>
      <c r="BC56" s="193"/>
      <c r="BD56" s="90"/>
      <c r="BE56" s="90"/>
      <c r="BF56" s="183">
        <f t="shared" si="27"/>
        <v>0</v>
      </c>
      <c r="BG56" s="193"/>
      <c r="BH56" s="90"/>
      <c r="BI56" s="90"/>
      <c r="BJ56" s="183">
        <f t="shared" si="28"/>
        <v>0</v>
      </c>
      <c r="BK56" s="193"/>
      <c r="BL56" s="90"/>
      <c r="BM56" s="90"/>
      <c r="BN56" s="183">
        <f t="shared" si="29"/>
        <v>0</v>
      </c>
      <c r="BO56" s="193"/>
      <c r="BP56" s="90"/>
      <c r="BQ56" s="90"/>
      <c r="BR56" s="183">
        <f t="shared" si="30"/>
        <v>0</v>
      </c>
      <c r="BS56" s="193"/>
      <c r="BT56" s="90"/>
      <c r="BU56" s="90"/>
      <c r="BV56" s="183">
        <f t="shared" si="31"/>
        <v>0</v>
      </c>
      <c r="BW56" s="193"/>
      <c r="BX56" s="90"/>
      <c r="BY56" s="90"/>
      <c r="BZ56" s="183">
        <f t="shared" si="32"/>
        <v>0</v>
      </c>
      <c r="CA56" s="193"/>
      <c r="CB56" s="90"/>
      <c r="CC56" s="90"/>
      <c r="CD56" s="183">
        <f t="shared" si="33"/>
        <v>0</v>
      </c>
    </row>
    <row r="57" spans="2:82" x14ac:dyDescent="0.3">
      <c r="B57" s="53"/>
      <c r="C57" s="53" t="str">
        <f t="shared" si="0"/>
        <v>CPU_TachaRefletiva</v>
      </c>
      <c r="D57" s="278">
        <f t="shared" si="1"/>
        <v>942.5</v>
      </c>
      <c r="E57" s="278">
        <f t="shared" si="2"/>
        <v>94250</v>
      </c>
      <c r="F57" s="1"/>
      <c r="G57" s="28" t="str">
        <f>IFERROR(VLOOKUP(F57,Tabela7[[RECURSO]:[CUSTO]],2,FALSE),"")</f>
        <v/>
      </c>
      <c r="I57" s="90">
        <f t="shared" si="41"/>
        <v>0</v>
      </c>
      <c r="J57" s="45">
        <f>IFERROR(VLOOKUP(F57,Tabela7[[RECURSO]:[CUSTO]],3,FALSE),0)</f>
        <v>0</v>
      </c>
      <c r="K57" s="45">
        <f t="shared" si="42"/>
        <v>0</v>
      </c>
      <c r="M57" s="85"/>
      <c r="N57" s="88"/>
      <c r="AD57" s="144" t="str">
        <f t="shared" si="3"/>
        <v>Tacha Refletiva</v>
      </c>
      <c r="AE57" s="192"/>
      <c r="AF57" s="180">
        <f t="shared" si="38"/>
        <v>0</v>
      </c>
      <c r="AG57" s="180">
        <f t="shared" si="17"/>
        <v>0</v>
      </c>
      <c r="AH57" s="181">
        <f t="shared" si="39"/>
        <v>0</v>
      </c>
      <c r="AI57" s="193"/>
      <c r="AJ57" s="90"/>
      <c r="AK57" s="90"/>
      <c r="AL57" s="183">
        <f t="shared" si="40"/>
        <v>0</v>
      </c>
      <c r="AM57" s="193"/>
      <c r="AN57" s="90"/>
      <c r="AO57" s="90"/>
      <c r="AP57" s="183">
        <f t="shared" si="23"/>
        <v>0</v>
      </c>
      <c r="AQ57" s="193"/>
      <c r="AR57" s="90"/>
      <c r="AS57" s="90"/>
      <c r="AT57" s="183">
        <f t="shared" si="24"/>
        <v>0</v>
      </c>
      <c r="AU57" s="193"/>
      <c r="AV57" s="90"/>
      <c r="AW57" s="90"/>
      <c r="AX57" s="183">
        <f t="shared" si="25"/>
        <v>0</v>
      </c>
      <c r="AY57" s="193"/>
      <c r="AZ57" s="90"/>
      <c r="BA57" s="90"/>
      <c r="BB57" s="183">
        <f t="shared" si="26"/>
        <v>0</v>
      </c>
      <c r="BC57" s="193"/>
      <c r="BD57" s="90"/>
      <c r="BE57" s="90"/>
      <c r="BF57" s="183">
        <f t="shared" si="27"/>
        <v>0</v>
      </c>
      <c r="BG57" s="193"/>
      <c r="BH57" s="90"/>
      <c r="BI57" s="90"/>
      <c r="BJ57" s="183">
        <f t="shared" si="28"/>
        <v>0</v>
      </c>
      <c r="BK57" s="193"/>
      <c r="BL57" s="90"/>
      <c r="BM57" s="90"/>
      <c r="BN57" s="183">
        <f t="shared" si="29"/>
        <v>0</v>
      </c>
      <c r="BO57" s="193"/>
      <c r="BP57" s="90"/>
      <c r="BQ57" s="90"/>
      <c r="BR57" s="183">
        <f t="shared" si="30"/>
        <v>0</v>
      </c>
      <c r="BS57" s="193"/>
      <c r="BT57" s="90"/>
      <c r="BU57" s="90"/>
      <c r="BV57" s="183">
        <f t="shared" si="31"/>
        <v>0</v>
      </c>
      <c r="BW57" s="193"/>
      <c r="BX57" s="90"/>
      <c r="BY57" s="90"/>
      <c r="BZ57" s="183">
        <f t="shared" si="32"/>
        <v>0</v>
      </c>
      <c r="CA57" s="193"/>
      <c r="CB57" s="90"/>
      <c r="CC57" s="90"/>
      <c r="CD57" s="183">
        <f t="shared" si="33"/>
        <v>0</v>
      </c>
    </row>
    <row r="58" spans="2:82" x14ac:dyDescent="0.3">
      <c r="B58" s="53"/>
      <c r="C58" s="53" t="str">
        <f t="shared" si="0"/>
        <v>CPU_TachaRefletiva</v>
      </c>
      <c r="D58" s="278">
        <f t="shared" si="1"/>
        <v>942.5</v>
      </c>
      <c r="E58" s="278">
        <f t="shared" si="2"/>
        <v>94250</v>
      </c>
      <c r="F58" s="1"/>
      <c r="G58" s="28" t="str">
        <f>IFERROR(VLOOKUP(F58,Tabela7[[RECURSO]:[CUSTO]],2,FALSE),"")</f>
        <v/>
      </c>
      <c r="I58" s="90">
        <f t="shared" si="41"/>
        <v>0</v>
      </c>
      <c r="J58" s="45">
        <f>IFERROR(VLOOKUP(F58,Tabela7[[RECURSO]:[CUSTO]],3,FALSE),0)</f>
        <v>0</v>
      </c>
      <c r="K58" s="45">
        <f t="shared" si="42"/>
        <v>0</v>
      </c>
      <c r="M58" s="85"/>
      <c r="N58" s="88"/>
      <c r="AD58" s="144" t="str">
        <f t="shared" si="3"/>
        <v>Tacha Refletiva</v>
      </c>
      <c r="AE58" s="192"/>
      <c r="AF58" s="180">
        <f t="shared" si="38"/>
        <v>0</v>
      </c>
      <c r="AG58" s="180">
        <f t="shared" si="17"/>
        <v>0</v>
      </c>
      <c r="AH58" s="181">
        <f t="shared" si="39"/>
        <v>0</v>
      </c>
      <c r="AI58" s="193"/>
      <c r="AJ58" s="90"/>
      <c r="AK58" s="90"/>
      <c r="AL58" s="183">
        <f t="shared" si="40"/>
        <v>0</v>
      </c>
      <c r="AM58" s="193"/>
      <c r="AN58" s="90"/>
      <c r="AO58" s="90"/>
      <c r="AP58" s="183">
        <f t="shared" si="23"/>
        <v>0</v>
      </c>
      <c r="AQ58" s="193"/>
      <c r="AR58" s="90"/>
      <c r="AS58" s="90"/>
      <c r="AT58" s="183">
        <f t="shared" si="24"/>
        <v>0</v>
      </c>
      <c r="AU58" s="193"/>
      <c r="AV58" s="90"/>
      <c r="AW58" s="90"/>
      <c r="AX58" s="183">
        <f t="shared" si="25"/>
        <v>0</v>
      </c>
      <c r="AY58" s="193"/>
      <c r="AZ58" s="90"/>
      <c r="BA58" s="90"/>
      <c r="BB58" s="183">
        <f t="shared" si="26"/>
        <v>0</v>
      </c>
      <c r="BC58" s="193"/>
      <c r="BD58" s="90"/>
      <c r="BE58" s="90"/>
      <c r="BF58" s="183">
        <f t="shared" si="27"/>
        <v>0</v>
      </c>
      <c r="BG58" s="193"/>
      <c r="BH58" s="90"/>
      <c r="BI58" s="90"/>
      <c r="BJ58" s="183">
        <f t="shared" si="28"/>
        <v>0</v>
      </c>
      <c r="BK58" s="193"/>
      <c r="BL58" s="90"/>
      <c r="BM58" s="90"/>
      <c r="BN58" s="183">
        <f t="shared" si="29"/>
        <v>0</v>
      </c>
      <c r="BO58" s="193"/>
      <c r="BP58" s="90"/>
      <c r="BQ58" s="90"/>
      <c r="BR58" s="183">
        <f t="shared" si="30"/>
        <v>0</v>
      </c>
      <c r="BS58" s="193"/>
      <c r="BT58" s="90"/>
      <c r="BU58" s="90"/>
      <c r="BV58" s="183">
        <f t="shared" si="31"/>
        <v>0</v>
      </c>
      <c r="BW58" s="193"/>
      <c r="BX58" s="90"/>
      <c r="BY58" s="90"/>
      <c r="BZ58" s="183">
        <f t="shared" si="32"/>
        <v>0</v>
      </c>
      <c r="CA58" s="193"/>
      <c r="CB58" s="90"/>
      <c r="CC58" s="90"/>
      <c r="CD58" s="183">
        <f t="shared" si="33"/>
        <v>0</v>
      </c>
    </row>
    <row r="59" spans="2:82" x14ac:dyDescent="0.3">
      <c r="B59" s="53"/>
      <c r="C59" s="53" t="str">
        <f t="shared" si="0"/>
        <v>CPU_TachaRefletiva</v>
      </c>
      <c r="D59" s="278">
        <f t="shared" si="1"/>
        <v>942.5</v>
      </c>
      <c r="E59" s="278">
        <f t="shared" si="2"/>
        <v>94250</v>
      </c>
      <c r="F59" s="1"/>
      <c r="G59" s="28" t="str">
        <f>IFERROR(VLOOKUP(F59,Tabela7[[RECURSO]:[CUSTO]],2,FALSE),"")</f>
        <v/>
      </c>
      <c r="I59" s="90">
        <f t="shared" si="41"/>
        <v>0</v>
      </c>
      <c r="J59" s="45">
        <f>IFERROR(VLOOKUP(F59,Tabela7[[RECURSO]:[CUSTO]],3,FALSE),0)</f>
        <v>0</v>
      </c>
      <c r="K59" s="45">
        <f t="shared" si="42"/>
        <v>0</v>
      </c>
      <c r="M59" s="85"/>
      <c r="N59" s="88"/>
      <c r="AD59" s="144" t="str">
        <f t="shared" si="3"/>
        <v>Tacha Refletiva</v>
      </c>
      <c r="AE59" s="192"/>
      <c r="AF59" s="180">
        <f t="shared" si="38"/>
        <v>0</v>
      </c>
      <c r="AG59" s="180">
        <f t="shared" si="17"/>
        <v>0</v>
      </c>
      <c r="AH59" s="181">
        <f t="shared" si="39"/>
        <v>0</v>
      </c>
      <c r="AI59" s="193"/>
      <c r="AJ59" s="90"/>
      <c r="AK59" s="90"/>
      <c r="AL59" s="183">
        <f t="shared" si="40"/>
        <v>0</v>
      </c>
      <c r="AM59" s="193"/>
      <c r="AN59" s="90"/>
      <c r="AO59" s="90"/>
      <c r="AP59" s="183">
        <f t="shared" si="23"/>
        <v>0</v>
      </c>
      <c r="AQ59" s="193"/>
      <c r="AR59" s="90"/>
      <c r="AS59" s="90"/>
      <c r="AT59" s="183">
        <f t="shared" si="24"/>
        <v>0</v>
      </c>
      <c r="AU59" s="193"/>
      <c r="AV59" s="90"/>
      <c r="AW59" s="90"/>
      <c r="AX59" s="183">
        <f t="shared" si="25"/>
        <v>0</v>
      </c>
      <c r="AY59" s="193"/>
      <c r="AZ59" s="90"/>
      <c r="BA59" s="90"/>
      <c r="BB59" s="183">
        <f t="shared" si="26"/>
        <v>0</v>
      </c>
      <c r="BC59" s="193"/>
      <c r="BD59" s="90"/>
      <c r="BE59" s="90"/>
      <c r="BF59" s="183">
        <f t="shared" si="27"/>
        <v>0</v>
      </c>
      <c r="BG59" s="193"/>
      <c r="BH59" s="90"/>
      <c r="BI59" s="90"/>
      <c r="BJ59" s="183">
        <f t="shared" si="28"/>
        <v>0</v>
      </c>
      <c r="BK59" s="193"/>
      <c r="BL59" s="90"/>
      <c r="BM59" s="90"/>
      <c r="BN59" s="183">
        <f t="shared" si="29"/>
        <v>0</v>
      </c>
      <c r="BO59" s="193"/>
      <c r="BP59" s="90"/>
      <c r="BQ59" s="90"/>
      <c r="BR59" s="183">
        <f t="shared" si="30"/>
        <v>0</v>
      </c>
      <c r="BS59" s="193"/>
      <c r="BT59" s="90"/>
      <c r="BU59" s="90"/>
      <c r="BV59" s="183">
        <f t="shared" si="31"/>
        <v>0</v>
      </c>
      <c r="BW59" s="193"/>
      <c r="BX59" s="90"/>
      <c r="BY59" s="90"/>
      <c r="BZ59" s="183">
        <f t="shared" si="32"/>
        <v>0</v>
      </c>
      <c r="CA59" s="193"/>
      <c r="CB59" s="90"/>
      <c r="CC59" s="90"/>
      <c r="CD59" s="183">
        <f t="shared" si="33"/>
        <v>0</v>
      </c>
    </row>
    <row r="60" spans="2:82" x14ac:dyDescent="0.3">
      <c r="B60" s="53"/>
      <c r="C60" s="53" t="str">
        <f t="shared" si="0"/>
        <v>CPU_TachaRefletiva</v>
      </c>
      <c r="D60" s="278">
        <f t="shared" si="1"/>
        <v>942.5</v>
      </c>
      <c r="E60" s="278">
        <f t="shared" si="2"/>
        <v>94250</v>
      </c>
      <c r="F60" s="1"/>
      <c r="G60" s="28" t="str">
        <f>IFERROR(VLOOKUP(F60,Tabela7[[RECURSO]:[CUSTO]],2,FALSE),"")</f>
        <v/>
      </c>
      <c r="I60" s="90">
        <f t="shared" si="41"/>
        <v>0</v>
      </c>
      <c r="J60" s="45">
        <f>IFERROR(VLOOKUP(F60,Tabela7[[RECURSO]:[CUSTO]],3,FALSE),0)</f>
        <v>0</v>
      </c>
      <c r="K60" s="45">
        <f t="shared" si="42"/>
        <v>0</v>
      </c>
      <c r="M60" s="85"/>
      <c r="N60" s="88"/>
      <c r="AD60" s="144" t="str">
        <f t="shared" si="3"/>
        <v>Tacha Refletiva</v>
      </c>
      <c r="AE60" s="192"/>
      <c r="AF60" s="180">
        <f t="shared" si="38"/>
        <v>0</v>
      </c>
      <c r="AG60" s="180">
        <f t="shared" si="17"/>
        <v>0</v>
      </c>
      <c r="AH60" s="181">
        <f t="shared" si="39"/>
        <v>0</v>
      </c>
      <c r="AI60" s="193"/>
      <c r="AJ60" s="90"/>
      <c r="AK60" s="90"/>
      <c r="AL60" s="183">
        <f t="shared" si="40"/>
        <v>0</v>
      </c>
      <c r="AM60" s="193"/>
      <c r="AN60" s="90"/>
      <c r="AO60" s="90"/>
      <c r="AP60" s="183">
        <f t="shared" si="23"/>
        <v>0</v>
      </c>
      <c r="AQ60" s="193"/>
      <c r="AR60" s="90"/>
      <c r="AS60" s="90"/>
      <c r="AT60" s="183">
        <f t="shared" si="24"/>
        <v>0</v>
      </c>
      <c r="AU60" s="193"/>
      <c r="AV60" s="90"/>
      <c r="AW60" s="90"/>
      <c r="AX60" s="183">
        <f t="shared" si="25"/>
        <v>0</v>
      </c>
      <c r="AY60" s="193"/>
      <c r="AZ60" s="90"/>
      <c r="BA60" s="90"/>
      <c r="BB60" s="183">
        <f t="shared" si="26"/>
        <v>0</v>
      </c>
      <c r="BC60" s="193"/>
      <c r="BD60" s="90"/>
      <c r="BE60" s="90"/>
      <c r="BF60" s="183">
        <f t="shared" si="27"/>
        <v>0</v>
      </c>
      <c r="BG60" s="193"/>
      <c r="BH60" s="90"/>
      <c r="BI60" s="90"/>
      <c r="BJ60" s="183">
        <f t="shared" si="28"/>
        <v>0</v>
      </c>
      <c r="BK60" s="193"/>
      <c r="BL60" s="90"/>
      <c r="BM60" s="90"/>
      <c r="BN60" s="183">
        <f t="shared" si="29"/>
        <v>0</v>
      </c>
      <c r="BO60" s="193"/>
      <c r="BP60" s="90"/>
      <c r="BQ60" s="90"/>
      <c r="BR60" s="183">
        <f t="shared" si="30"/>
        <v>0</v>
      </c>
      <c r="BS60" s="193"/>
      <c r="BT60" s="90"/>
      <c r="BU60" s="90"/>
      <c r="BV60" s="183">
        <f t="shared" si="31"/>
        <v>0</v>
      </c>
      <c r="BW60" s="193"/>
      <c r="BX60" s="90"/>
      <c r="BY60" s="90"/>
      <c r="BZ60" s="183">
        <f t="shared" si="32"/>
        <v>0</v>
      </c>
      <c r="CA60" s="193"/>
      <c r="CB60" s="90"/>
      <c r="CC60" s="90"/>
      <c r="CD60" s="183">
        <f t="shared" si="33"/>
        <v>0</v>
      </c>
    </row>
    <row r="61" spans="2:82" x14ac:dyDescent="0.3">
      <c r="B61" s="53"/>
      <c r="C61" s="53" t="str">
        <f t="shared" si="0"/>
        <v>CPU_TachaRefletiva</v>
      </c>
      <c r="D61" s="278">
        <f t="shared" si="1"/>
        <v>942.5</v>
      </c>
      <c r="E61" s="278">
        <f t="shared" si="2"/>
        <v>94250</v>
      </c>
      <c r="F61" s="1"/>
      <c r="G61" s="28" t="str">
        <f>IFERROR(VLOOKUP(F61,Tabela7[[RECURSO]:[CUSTO]],2,FALSE),"")</f>
        <v/>
      </c>
      <c r="I61" s="90">
        <f t="shared" si="41"/>
        <v>0</v>
      </c>
      <c r="J61" s="45">
        <f>IFERROR(VLOOKUP(F61,Tabela7[[RECURSO]:[CUSTO]],3,FALSE),0)</f>
        <v>0</v>
      </c>
      <c r="K61" s="45">
        <f t="shared" si="42"/>
        <v>0</v>
      </c>
      <c r="M61" s="85"/>
      <c r="N61" s="88"/>
      <c r="AD61" s="144" t="str">
        <f t="shared" si="3"/>
        <v>Tacha Refletiva</v>
      </c>
      <c r="AE61" s="192"/>
      <c r="AF61" s="180">
        <f t="shared" si="38"/>
        <v>0</v>
      </c>
      <c r="AG61" s="180">
        <f t="shared" si="17"/>
        <v>0</v>
      </c>
      <c r="AH61" s="181">
        <f t="shared" si="39"/>
        <v>0</v>
      </c>
      <c r="AI61" s="193"/>
      <c r="AJ61" s="90"/>
      <c r="AK61" s="90"/>
      <c r="AL61" s="183">
        <f t="shared" si="40"/>
        <v>0</v>
      </c>
      <c r="AM61" s="193"/>
      <c r="AN61" s="90"/>
      <c r="AO61" s="90"/>
      <c r="AP61" s="183">
        <f t="shared" si="23"/>
        <v>0</v>
      </c>
      <c r="AQ61" s="193"/>
      <c r="AR61" s="90"/>
      <c r="AS61" s="90"/>
      <c r="AT61" s="183">
        <f t="shared" si="24"/>
        <v>0</v>
      </c>
      <c r="AU61" s="193"/>
      <c r="AV61" s="90"/>
      <c r="AW61" s="90"/>
      <c r="AX61" s="183">
        <f t="shared" si="25"/>
        <v>0</v>
      </c>
      <c r="AY61" s="193"/>
      <c r="AZ61" s="90"/>
      <c r="BA61" s="90"/>
      <c r="BB61" s="183">
        <f t="shared" si="26"/>
        <v>0</v>
      </c>
      <c r="BC61" s="193"/>
      <c r="BD61" s="90"/>
      <c r="BE61" s="90"/>
      <c r="BF61" s="183">
        <f t="shared" si="27"/>
        <v>0</v>
      </c>
      <c r="BG61" s="193"/>
      <c r="BH61" s="90"/>
      <c r="BI61" s="90"/>
      <c r="BJ61" s="183">
        <f t="shared" si="28"/>
        <v>0</v>
      </c>
      <c r="BK61" s="193"/>
      <c r="BL61" s="90"/>
      <c r="BM61" s="90"/>
      <c r="BN61" s="183">
        <f t="shared" si="29"/>
        <v>0</v>
      </c>
      <c r="BO61" s="193"/>
      <c r="BP61" s="90"/>
      <c r="BQ61" s="90"/>
      <c r="BR61" s="183">
        <f t="shared" si="30"/>
        <v>0</v>
      </c>
      <c r="BS61" s="193"/>
      <c r="BT61" s="90"/>
      <c r="BU61" s="90"/>
      <c r="BV61" s="183">
        <f t="shared" si="31"/>
        <v>0</v>
      </c>
      <c r="BW61" s="193"/>
      <c r="BX61" s="90"/>
      <c r="BY61" s="90"/>
      <c r="BZ61" s="183">
        <f t="shared" si="32"/>
        <v>0</v>
      </c>
      <c r="CA61" s="193"/>
      <c r="CB61" s="90"/>
      <c r="CC61" s="90"/>
      <c r="CD61" s="183">
        <f t="shared" si="33"/>
        <v>0</v>
      </c>
    </row>
    <row r="62" spans="2:82" ht="15" thickBot="1" x14ac:dyDescent="0.35">
      <c r="B62" s="53"/>
      <c r="C62" s="53" t="str">
        <f t="shared" si="0"/>
        <v>CPU_TachaRefletiva</v>
      </c>
      <c r="D62" s="278">
        <f t="shared" si="1"/>
        <v>942.5</v>
      </c>
      <c r="E62" s="278">
        <f t="shared" si="2"/>
        <v>94250</v>
      </c>
      <c r="F62" s="1"/>
      <c r="G62" s="28" t="str">
        <f>IFERROR(VLOOKUP(F62,Tabela7[[RECURSO]:[CUSTO]],2,FALSE),"")</f>
        <v/>
      </c>
      <c r="I62" s="90">
        <f t="shared" si="41"/>
        <v>0</v>
      </c>
      <c r="J62" s="45">
        <f>IFERROR(VLOOKUP(F62,Tabela7[[RECURSO]:[CUSTO]],3,FALSE),0)</f>
        <v>0</v>
      </c>
      <c r="K62" s="45">
        <f t="shared" si="42"/>
        <v>0</v>
      </c>
      <c r="M62" s="86"/>
      <c r="N62" s="88"/>
      <c r="AD62" s="144" t="str">
        <f t="shared" si="3"/>
        <v>Tacha Refletiva</v>
      </c>
      <c r="AE62" s="194"/>
      <c r="AF62" s="195">
        <f t="shared" si="38"/>
        <v>0</v>
      </c>
      <c r="AG62" s="195">
        <f t="shared" si="17"/>
        <v>0</v>
      </c>
      <c r="AH62" s="196">
        <f t="shared" si="39"/>
        <v>0</v>
      </c>
      <c r="AI62" s="197"/>
      <c r="AJ62" s="198"/>
      <c r="AK62" s="198"/>
      <c r="AL62" s="199">
        <f t="shared" si="40"/>
        <v>0</v>
      </c>
      <c r="AM62" s="197"/>
      <c r="AN62" s="198"/>
      <c r="AO62" s="198"/>
      <c r="AP62" s="199">
        <f t="shared" si="23"/>
        <v>0</v>
      </c>
      <c r="AQ62" s="197"/>
      <c r="AR62" s="198"/>
      <c r="AS62" s="198"/>
      <c r="AT62" s="199">
        <f t="shared" si="24"/>
        <v>0</v>
      </c>
      <c r="AU62" s="197"/>
      <c r="AV62" s="198"/>
      <c r="AW62" s="198"/>
      <c r="AX62" s="199">
        <f t="shared" si="25"/>
        <v>0</v>
      </c>
      <c r="AY62" s="197"/>
      <c r="AZ62" s="198"/>
      <c r="BA62" s="198"/>
      <c r="BB62" s="199">
        <f t="shared" si="26"/>
        <v>0</v>
      </c>
      <c r="BC62" s="197"/>
      <c r="BD62" s="198"/>
      <c r="BE62" s="198"/>
      <c r="BF62" s="199">
        <f t="shared" si="27"/>
        <v>0</v>
      </c>
      <c r="BG62" s="197"/>
      <c r="BH62" s="198"/>
      <c r="BI62" s="198"/>
      <c r="BJ62" s="199">
        <f t="shared" si="28"/>
        <v>0</v>
      </c>
      <c r="BK62" s="197"/>
      <c r="BL62" s="198"/>
      <c r="BM62" s="198"/>
      <c r="BN62" s="199">
        <f t="shared" si="29"/>
        <v>0</v>
      </c>
      <c r="BO62" s="197"/>
      <c r="BP62" s="198"/>
      <c r="BQ62" s="198"/>
      <c r="BR62" s="199">
        <f t="shared" si="30"/>
        <v>0</v>
      </c>
      <c r="BS62" s="197"/>
      <c r="BT62" s="198"/>
      <c r="BU62" s="198"/>
      <c r="BV62" s="199">
        <f t="shared" si="31"/>
        <v>0</v>
      </c>
      <c r="BW62" s="197"/>
      <c r="BX62" s="198"/>
      <c r="BY62" s="198"/>
      <c r="BZ62" s="199">
        <f t="shared" si="32"/>
        <v>0</v>
      </c>
      <c r="CA62" s="197"/>
      <c r="CB62" s="198"/>
      <c r="CC62" s="198"/>
      <c r="CD62" s="199">
        <f t="shared" si="33"/>
        <v>0</v>
      </c>
    </row>
  </sheetData>
  <conditionalFormatting sqref="K6:K7">
    <cfRule type="iconSet" priority="14">
      <iconSet>
        <cfvo type="percent" val="0"/>
        <cfvo type="num" val="0"/>
        <cfvo type="num" val="0.02"/>
      </iconSet>
    </cfRule>
  </conditionalFormatting>
  <conditionalFormatting sqref="AH6:AH7">
    <cfRule type="iconSet" priority="13">
      <iconSet>
        <cfvo type="percent" val="0"/>
        <cfvo type="num" val="0"/>
        <cfvo type="num" val="0.02"/>
      </iconSet>
    </cfRule>
  </conditionalFormatting>
  <conditionalFormatting sqref="AL6:AL7">
    <cfRule type="iconSet" priority="12">
      <iconSet>
        <cfvo type="percent" val="0"/>
        <cfvo type="num" val="0"/>
        <cfvo type="num" val="0.02"/>
      </iconSet>
    </cfRule>
  </conditionalFormatting>
  <conditionalFormatting sqref="AP6:AP7">
    <cfRule type="iconSet" priority="11">
      <iconSet>
        <cfvo type="percent" val="0"/>
        <cfvo type="num" val="0"/>
        <cfvo type="num" val="0.02"/>
      </iconSet>
    </cfRule>
  </conditionalFormatting>
  <conditionalFormatting sqref="AT6:AT7">
    <cfRule type="iconSet" priority="10">
      <iconSet>
        <cfvo type="percent" val="0"/>
        <cfvo type="num" val="0"/>
        <cfvo type="num" val="0.02"/>
      </iconSet>
    </cfRule>
  </conditionalFormatting>
  <conditionalFormatting sqref="AX6:AX7">
    <cfRule type="iconSet" priority="9">
      <iconSet>
        <cfvo type="percent" val="0"/>
        <cfvo type="num" val="0"/>
        <cfvo type="num" val="0.02"/>
      </iconSet>
    </cfRule>
  </conditionalFormatting>
  <conditionalFormatting sqref="BB6:BB7">
    <cfRule type="iconSet" priority="8">
      <iconSet>
        <cfvo type="percent" val="0"/>
        <cfvo type="num" val="0"/>
        <cfvo type="num" val="0.02"/>
      </iconSet>
    </cfRule>
  </conditionalFormatting>
  <conditionalFormatting sqref="BF6:BF7">
    <cfRule type="iconSet" priority="7">
      <iconSet>
        <cfvo type="percent" val="0"/>
        <cfvo type="num" val="0"/>
        <cfvo type="num" val="0.02"/>
      </iconSet>
    </cfRule>
  </conditionalFormatting>
  <conditionalFormatting sqref="BJ6:BJ7">
    <cfRule type="iconSet" priority="6">
      <iconSet>
        <cfvo type="percent" val="0"/>
        <cfvo type="num" val="0"/>
        <cfvo type="num" val="0.02"/>
      </iconSet>
    </cfRule>
  </conditionalFormatting>
  <conditionalFormatting sqref="BN6:BN7">
    <cfRule type="iconSet" priority="5">
      <iconSet>
        <cfvo type="percent" val="0"/>
        <cfvo type="num" val="0"/>
        <cfvo type="num" val="0.02"/>
      </iconSet>
    </cfRule>
  </conditionalFormatting>
  <conditionalFormatting sqref="BR6:BR7">
    <cfRule type="iconSet" priority="4">
      <iconSet>
        <cfvo type="percent" val="0"/>
        <cfvo type="num" val="0"/>
        <cfvo type="num" val="0.02"/>
      </iconSet>
    </cfRule>
  </conditionalFormatting>
  <conditionalFormatting sqref="BV6:BV7">
    <cfRule type="iconSet" priority="3">
      <iconSet>
        <cfvo type="percent" val="0"/>
        <cfvo type="num" val="0"/>
        <cfvo type="num" val="0.02"/>
      </iconSet>
    </cfRule>
  </conditionalFormatting>
  <conditionalFormatting sqref="BZ6:BZ7">
    <cfRule type="iconSet" priority="2">
      <iconSet>
        <cfvo type="percent" val="0"/>
        <cfvo type="num" val="0"/>
        <cfvo type="num" val="0.02"/>
      </iconSet>
    </cfRule>
  </conditionalFormatting>
  <conditionalFormatting sqref="CD6:CD7">
    <cfRule type="iconSet" priority="1">
      <iconSet>
        <cfvo type="percent" val="0"/>
        <cfvo type="num" val="0"/>
        <cfvo type="num" val="0.02"/>
      </iconSet>
    </cfRule>
  </conditionalFormatting>
  <dataValidations count="5">
    <dataValidation type="list" allowBlank="1" showInputMessage="1" showErrorMessage="1" sqref="F51:F62" xr:uid="{5F6758FE-6FD4-469D-B5A4-E2643EF0C198}">
      <formula1>INDIRECT($B$50)</formula1>
    </dataValidation>
    <dataValidation type="list" allowBlank="1" showInputMessage="1" showErrorMessage="1" sqref="F38:F49" xr:uid="{3FFD5073-C139-4992-91E1-F2108878B93E}">
      <formula1>INDIRECT($B$37)</formula1>
    </dataValidation>
    <dataValidation type="list" allowBlank="1" showInputMessage="1" showErrorMessage="1" sqref="F25:F36" xr:uid="{C4352AB3-36EC-47D1-8F46-9F94C7E70A6E}">
      <formula1>INDIRECT($B$24)</formula1>
    </dataValidation>
    <dataValidation type="list" allowBlank="1" showInputMessage="1" showErrorMessage="1" sqref="F12:F23" xr:uid="{8CBB5922-3A5F-4980-8E17-BAA86245C64A}">
      <formula1>INDIRECT($B$11)</formula1>
    </dataValidation>
    <dataValidation type="list" allowBlank="1" showInputMessage="1" showErrorMessage="1" sqref="B3:E3" xr:uid="{295DC772-EA96-4F52-BED2-E647040F734A}">
      <formula1>INDIRECT($B$2)</formula1>
    </dataValidation>
  </dataValidations>
  <pageMargins left="0.51181102362204722" right="0.51181102362204722" top="0.19685039370078741" bottom="0.19685039370078741" header="0.31496062992125984" footer="0.31496062992125984"/>
  <pageSetup paperSize="9" scale="82" orientation="portrait" r:id="rId1"/>
  <colBreaks count="1" manualBreakCount="1">
    <brk id="11" max="1048575" man="1"/>
  </colBreaks>
  <drawing r:id="rId2"/>
  <legacyDrawing r:id="rId3"/>
  <tableParts count="2">
    <tablePart r:id="rId4"/>
    <tablePart r:id="rId5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BCDFF-B5D8-4E5C-A02D-DDE27AB4D6A3}">
  <sheetPr codeName="Plan17"/>
  <dimension ref="A1:CD62"/>
  <sheetViews>
    <sheetView showGridLines="0" zoomScale="85" zoomScaleNormal="85" workbookViewId="0">
      <pane xSplit="14" ySplit="10" topLeftCell="O14" activePane="bottomRight" state="frozen"/>
      <selection pane="topRight" activeCell="C28" activeCellId="1" sqref="E13 C28"/>
      <selection pane="bottomLeft" activeCell="C28" activeCellId="1" sqref="E13 C28"/>
      <selection pane="bottomRight" activeCell="K24" activeCellId="1" sqref="K11 K24"/>
    </sheetView>
  </sheetViews>
  <sheetFormatPr defaultRowHeight="14.4" x14ac:dyDescent="0.3"/>
  <cols>
    <col min="1" max="1" width="4.109375" customWidth="1"/>
    <col min="2" max="2" width="16.109375" customWidth="1"/>
    <col min="3" max="5" width="16.109375" hidden="1" customWidth="1"/>
    <col min="6" max="6" width="40.6640625" customWidth="1"/>
    <col min="7" max="7" width="10.6640625" style="28" customWidth="1"/>
    <col min="8" max="8" width="7.6640625" style="28" customWidth="1"/>
    <col min="9" max="11" width="10.6640625" customWidth="1"/>
    <col min="12" max="12" width="2.33203125" customWidth="1"/>
    <col min="13" max="13" width="17.33203125" bestFit="1" customWidth="1"/>
    <col min="14" max="14" width="12.6640625" customWidth="1"/>
    <col min="15" max="15" width="14" bestFit="1" customWidth="1"/>
    <col min="18" max="18" width="11.33203125" bestFit="1" customWidth="1"/>
    <col min="30" max="30" width="12.44140625" bestFit="1" customWidth="1"/>
    <col min="31" max="31" width="7.6640625" customWidth="1"/>
    <col min="32" max="32" width="9.33203125" bestFit="1" customWidth="1"/>
    <col min="33" max="34" width="10.6640625" customWidth="1"/>
    <col min="35" max="35" width="7.6640625" customWidth="1"/>
    <col min="36" max="36" width="9.33203125" customWidth="1"/>
    <col min="37" max="38" width="10.6640625" customWidth="1"/>
    <col min="40" max="40" width="9.33203125" customWidth="1"/>
    <col min="42" max="42" width="9.6640625" customWidth="1"/>
    <col min="44" max="44" width="9.33203125" customWidth="1"/>
    <col min="46" max="46" width="9.6640625" customWidth="1"/>
    <col min="48" max="48" width="9.33203125" customWidth="1"/>
    <col min="50" max="50" width="9.6640625" customWidth="1"/>
    <col min="52" max="52" width="9.33203125" customWidth="1"/>
    <col min="54" max="54" width="9.6640625" customWidth="1"/>
    <col min="56" max="56" width="9.33203125" customWidth="1"/>
    <col min="58" max="58" width="9.6640625" customWidth="1"/>
    <col min="60" max="60" width="9.33203125" customWidth="1"/>
    <col min="62" max="62" width="9.6640625" customWidth="1"/>
    <col min="64" max="64" width="9.33203125" customWidth="1"/>
    <col min="66" max="66" width="9.6640625" customWidth="1"/>
    <col min="68" max="68" width="9.33203125" customWidth="1"/>
    <col min="70" max="70" width="9.6640625" customWidth="1"/>
    <col min="72" max="72" width="10" customWidth="1"/>
    <col min="73" max="73" width="9.5546875" customWidth="1"/>
    <col min="74" max="74" width="10.44140625" customWidth="1"/>
    <col min="76" max="76" width="10" customWidth="1"/>
    <col min="77" max="77" width="9.5546875" customWidth="1"/>
    <col min="78" max="78" width="10.44140625" customWidth="1"/>
    <col min="80" max="80" width="10" customWidth="1"/>
    <col min="81" max="81" width="9.5546875" customWidth="1"/>
    <col min="82" max="82" width="10.44140625" customWidth="1"/>
  </cols>
  <sheetData>
    <row r="1" spans="1:82" ht="26.4" customHeight="1" thickBot="1" x14ac:dyDescent="0.35">
      <c r="AE1" s="163" t="s">
        <v>678</v>
      </c>
    </row>
    <row r="2" spans="1:82" x14ac:dyDescent="0.3">
      <c r="B2" s="64" t="s">
        <v>679</v>
      </c>
      <c r="C2" s="67"/>
      <c r="D2" s="67"/>
      <c r="E2" s="67"/>
      <c r="F2" s="65"/>
      <c r="G2" s="66"/>
      <c r="H2" s="66"/>
      <c r="I2" s="65"/>
      <c r="J2" s="67" t="s">
        <v>680</v>
      </c>
      <c r="K2" s="68" t="s">
        <v>681</v>
      </c>
      <c r="M2" s="227" t="s">
        <v>682</v>
      </c>
      <c r="N2" s="228" t="s">
        <v>683</v>
      </c>
      <c r="O2" s="234" t="s">
        <v>684</v>
      </c>
      <c r="AE2" s="164" t="s">
        <v>590</v>
      </c>
      <c r="AF2" s="165" t="s">
        <v>20</v>
      </c>
      <c r="AG2" s="67"/>
      <c r="AH2" s="68" t="s">
        <v>681</v>
      </c>
      <c r="AI2" s="166">
        <v>44927</v>
      </c>
      <c r="AJ2" s="165" t="s">
        <v>20</v>
      </c>
      <c r="AK2" s="67"/>
      <c r="AL2" s="68" t="s">
        <v>681</v>
      </c>
      <c r="AM2" s="166">
        <v>44958</v>
      </c>
      <c r="AN2" s="165" t="s">
        <v>20</v>
      </c>
      <c r="AO2" s="67"/>
      <c r="AP2" s="68" t="s">
        <v>681</v>
      </c>
      <c r="AQ2" s="166">
        <v>44986</v>
      </c>
      <c r="AR2" s="165" t="s">
        <v>20</v>
      </c>
      <c r="AS2" s="67"/>
      <c r="AT2" s="68" t="s">
        <v>681</v>
      </c>
      <c r="AU2" s="166">
        <v>45017</v>
      </c>
      <c r="AV2" s="165" t="s">
        <v>20</v>
      </c>
      <c r="AW2" s="67"/>
      <c r="AX2" s="68" t="s">
        <v>681</v>
      </c>
      <c r="AY2" s="166">
        <v>45047</v>
      </c>
      <c r="AZ2" s="165" t="s">
        <v>20</v>
      </c>
      <c r="BA2" s="67"/>
      <c r="BB2" s="68" t="s">
        <v>681</v>
      </c>
      <c r="BC2" s="166">
        <v>45078</v>
      </c>
      <c r="BD2" s="165" t="s">
        <v>20</v>
      </c>
      <c r="BE2" s="67"/>
      <c r="BF2" s="68" t="s">
        <v>681</v>
      </c>
      <c r="BG2" s="166">
        <v>45108</v>
      </c>
      <c r="BH2" s="165" t="s">
        <v>20</v>
      </c>
      <c r="BI2" s="67"/>
      <c r="BJ2" s="68" t="s">
        <v>681</v>
      </c>
      <c r="BK2" s="166">
        <v>45139</v>
      </c>
      <c r="BL2" s="165" t="s">
        <v>20</v>
      </c>
      <c r="BM2" s="67"/>
      <c r="BN2" s="68" t="s">
        <v>681</v>
      </c>
      <c r="BO2" s="166">
        <v>45170</v>
      </c>
      <c r="BP2" s="165" t="s">
        <v>20</v>
      </c>
      <c r="BQ2" s="67"/>
      <c r="BR2" s="68" t="s">
        <v>681</v>
      </c>
      <c r="BS2" s="166">
        <v>45200</v>
      </c>
      <c r="BT2" s="165" t="s">
        <v>20</v>
      </c>
      <c r="BU2" s="67"/>
      <c r="BV2" s="68" t="s">
        <v>681</v>
      </c>
      <c r="BW2" s="166">
        <v>45231</v>
      </c>
      <c r="BX2" s="165" t="s">
        <v>20</v>
      </c>
      <c r="BY2" s="67"/>
      <c r="BZ2" s="68" t="s">
        <v>681</v>
      </c>
      <c r="CA2" s="166">
        <v>45261</v>
      </c>
      <c r="CB2" s="165" t="s">
        <v>20</v>
      </c>
      <c r="CC2" s="67"/>
      <c r="CD2" s="68" t="s">
        <v>681</v>
      </c>
    </row>
    <row r="3" spans="1:82" x14ac:dyDescent="0.3">
      <c r="A3" s="42" t="str">
        <f>"CPU_"&amp;LEFT(SUBSTITUTE(SUBSTITUTE(B3," ",""),"-",""),20)</f>
        <v>CPU_MicroRevestimento</v>
      </c>
      <c r="B3" s="31" t="s">
        <v>842</v>
      </c>
      <c r="C3" s="1"/>
      <c r="D3" s="1"/>
      <c r="E3" s="1"/>
      <c r="F3" s="73"/>
      <c r="G3" s="74"/>
      <c r="H3" s="74"/>
      <c r="I3" s="73"/>
      <c r="J3" s="74" t="str">
        <f>IFERROR(VLOOKUP(B3,Tabela1[[NOME SERVIÇO]:[UNID]],4,0),"")</f>
        <v>M²</v>
      </c>
      <c r="K3" s="75">
        <f>IFERROR(J6/B6,0)</f>
        <v>1.8363972622274674</v>
      </c>
      <c r="M3" s="229" t="s">
        <v>685</v>
      </c>
      <c r="N3" s="230">
        <f>K11</f>
        <v>6737.363636363636</v>
      </c>
      <c r="O3" s="235">
        <f>IFERROR(N3/$N$7,0)</f>
        <v>0.45859927580372212</v>
      </c>
      <c r="AE3" s="167"/>
      <c r="AF3" s="168">
        <f>AJ3+AN3+AR3+AV3+AZ3+BD3+BH3+BL3+BP3+BT3+BX3+CB3</f>
        <v>0</v>
      </c>
      <c r="AG3" s="74"/>
      <c r="AH3" s="75">
        <f>IFERROR((AG6/AF3),0)</f>
        <v>0</v>
      </c>
      <c r="AI3" s="167"/>
      <c r="AJ3" s="168">
        <f>IFERROR(SUMPRODUCT(Plan_Orc!$I$4:$I$2002*Plan_Orc!$AB$4:$AB$2002*(Plan_Orc!$D$4:$D$2002=$B3)),0)</f>
        <v>0</v>
      </c>
      <c r="AK3" s="74"/>
      <c r="AL3" s="75">
        <f>IFERROR((AK6/AJ3),0)</f>
        <v>0</v>
      </c>
      <c r="AM3" s="167"/>
      <c r="AN3" s="168">
        <f>IFERROR(SUMPRODUCT(Plan_Orc!$I$4:$I$2002*Plan_Orc!$AC$4:$AC$2002*(Plan_Orc!$D$4:$D$2002=$B3)),0)</f>
        <v>0</v>
      </c>
      <c r="AO3" s="74"/>
      <c r="AP3" s="75">
        <f>IFERROR((AO6/AN3),0)</f>
        <v>0</v>
      </c>
      <c r="AQ3" s="167"/>
      <c r="AR3" s="168">
        <f>IFERROR(SUMPRODUCT(Plan_Orc!$I$4:$I$2002*Plan_Orc!$AD$4:$AD$2002*(Plan_Orc!$D$4:$D$2002=$B3)),0)</f>
        <v>0</v>
      </c>
      <c r="AS3" s="74"/>
      <c r="AT3" s="75">
        <f>IFERROR((AS6/AR3),0)</f>
        <v>0</v>
      </c>
      <c r="AU3" s="167"/>
      <c r="AV3" s="168">
        <f>IFERROR(SUMPRODUCT(Plan_Orc!$I$4:$I$2002*Plan_Orc!$AE$4:$AE$2002*(Plan_Orc!$D$4:$D$2002=$B3)),0)</f>
        <v>0</v>
      </c>
      <c r="AW3" s="74"/>
      <c r="AX3" s="75">
        <f>IFERROR((AW6/AV3),0)</f>
        <v>0</v>
      </c>
      <c r="AY3" s="167"/>
      <c r="AZ3" s="168">
        <f>IFERROR(SUMPRODUCT(Plan_Orc!$I$4:$I$2002*Plan_Orc!$AF$4:$AF$2002*(Plan_Orc!$D$4:$D$2002=$B3)),0)</f>
        <v>0</v>
      </c>
      <c r="BA3" s="74"/>
      <c r="BB3" s="75">
        <f>IFERROR((BA6/AZ3),0)</f>
        <v>0</v>
      </c>
      <c r="BC3" s="167"/>
      <c r="BD3" s="168">
        <f>IFERROR(SUMPRODUCT(Plan_Orc!$I$4:$I$2002*Plan_Orc!$AG$4:$AG$2002*(Plan_Orc!$D$4:$D$2002=$B3)),0)</f>
        <v>0</v>
      </c>
      <c r="BE3" s="74"/>
      <c r="BF3" s="75">
        <f>IFERROR((BE6/BD3),0)</f>
        <v>0</v>
      </c>
      <c r="BG3" s="167"/>
      <c r="BH3" s="168">
        <f>IFERROR(SUMPRODUCT(Plan_Orc!$I$4:$I$2002*Plan_Orc!$AH$4:$AH$2002*(Plan_Orc!$D$4:$D$2002=$B3)),0)</f>
        <v>0</v>
      </c>
      <c r="BI3" s="74"/>
      <c r="BJ3" s="75">
        <f>IFERROR((BI6/BH3),0)</f>
        <v>0</v>
      </c>
      <c r="BK3" s="167"/>
      <c r="BL3" s="168">
        <f>IFERROR(SUMPRODUCT(Plan_Orc!$I$4:$I$2002*Plan_Orc!$AI$4:$AI$2002*(Plan_Orc!$D$4:$D$2002=$B3)),0)</f>
        <v>0</v>
      </c>
      <c r="BM3" s="74"/>
      <c r="BN3" s="75">
        <f>IFERROR((BM6/BL3),0)</f>
        <v>0</v>
      </c>
      <c r="BO3" s="167"/>
      <c r="BP3" s="168">
        <f>IFERROR(SUMPRODUCT(Plan_Orc!$I$4:$I$2002*Plan_Orc!$AJ$4:$AJ$2002*(Plan_Orc!$D$4:$D$2002=$B3)),0)</f>
        <v>0</v>
      </c>
      <c r="BQ3" s="74"/>
      <c r="BR3" s="75">
        <f>IFERROR((BQ6/BP3),0)</f>
        <v>0</v>
      </c>
      <c r="BS3" s="167"/>
      <c r="BT3" s="168">
        <f>IFERROR(SUMPRODUCT(Plan_Orc!$I$4:$I$2002*Plan_Orc!$AK$4:$AK$2002*(Plan_Orc!$D$4:$D$2002=$B3)),0)</f>
        <v>0</v>
      </c>
      <c r="BU3" s="74"/>
      <c r="BV3" s="75">
        <f>IFERROR((BU6/BT3),0)</f>
        <v>0</v>
      </c>
      <c r="BW3" s="167"/>
      <c r="BX3" s="168">
        <f>IFERROR(SUMPRODUCT(Plan_Orc!$I$4:$I$2002*Plan_Orc!$AL$4:$AL$2002*(Plan_Orc!$D$4:$D$2002=$B3)),0)</f>
        <v>0</v>
      </c>
      <c r="BY3" s="74"/>
      <c r="BZ3" s="75">
        <f>IFERROR((BY6/BX3),0)</f>
        <v>0</v>
      </c>
      <c r="CA3" s="167"/>
      <c r="CB3" s="168">
        <f>IFERROR(SUMPRODUCT(Plan_Orc!$I$4:$I$2002*Plan_Orc!$AM$4:$AM$2002*(Plan_Orc!$D$4:$D$2002=$B3)),0)</f>
        <v>0</v>
      </c>
      <c r="CC3" s="74"/>
      <c r="CD3" s="75">
        <f>IFERROR((CC6/CB3),0)</f>
        <v>0</v>
      </c>
    </row>
    <row r="4" spans="1:82" x14ac:dyDescent="0.3">
      <c r="B4" s="32"/>
      <c r="K4" s="30"/>
      <c r="M4" s="229" t="s">
        <v>686</v>
      </c>
      <c r="N4" s="230">
        <f>+K24</f>
        <v>2405.4545454545446</v>
      </c>
      <c r="O4" s="235">
        <f>IFERROR(N4/$N$7,0)</f>
        <v>0.16373462559898644</v>
      </c>
      <c r="Q4" t="s">
        <v>843</v>
      </c>
      <c r="R4" s="29">
        <v>360000</v>
      </c>
      <c r="S4" t="s">
        <v>844</v>
      </c>
      <c r="AE4" s="169"/>
      <c r="AH4" s="30"/>
      <c r="AI4" s="169"/>
      <c r="AL4" s="30"/>
      <c r="AM4" s="169"/>
      <c r="AP4" s="30"/>
      <c r="AQ4" s="169"/>
      <c r="AT4" s="30"/>
      <c r="AU4" s="169"/>
      <c r="AX4" s="30"/>
      <c r="AY4" s="169"/>
      <c r="BB4" s="30"/>
      <c r="BC4" s="169"/>
      <c r="BF4" s="30"/>
      <c r="BG4" s="169"/>
      <c r="BJ4" s="30"/>
      <c r="BK4" s="169"/>
      <c r="BN4" s="30"/>
      <c r="BO4" s="169"/>
      <c r="BR4" s="30"/>
      <c r="BS4" s="169"/>
      <c r="BV4" s="30"/>
      <c r="BW4" s="169"/>
      <c r="BZ4" s="30"/>
      <c r="CA4" s="169"/>
      <c r="CD4" s="30"/>
    </row>
    <row r="5" spans="1:82" x14ac:dyDescent="0.3">
      <c r="B5" s="69" t="s">
        <v>687</v>
      </c>
      <c r="C5" s="72"/>
      <c r="D5" s="72"/>
      <c r="E5" s="72"/>
      <c r="F5" s="70" t="s">
        <v>688</v>
      </c>
      <c r="G5" s="70" t="s">
        <v>689</v>
      </c>
      <c r="H5" s="70" t="s">
        <v>690</v>
      </c>
      <c r="I5" s="70" t="s">
        <v>691</v>
      </c>
      <c r="J5" s="70" t="s">
        <v>683</v>
      </c>
      <c r="K5" s="71" t="s">
        <v>593</v>
      </c>
      <c r="M5" s="229" t="s">
        <v>692</v>
      </c>
      <c r="N5" s="230">
        <f>+K37</f>
        <v>5548.3599160015574</v>
      </c>
      <c r="O5" s="235">
        <f>IFERROR(N5/$N$7,0)</f>
        <v>0.37766609859729139</v>
      </c>
      <c r="R5">
        <v>3</v>
      </c>
      <c r="S5" t="s">
        <v>845</v>
      </c>
      <c r="AE5" s="170"/>
      <c r="AF5" s="70" t="s">
        <v>691</v>
      </c>
      <c r="AG5" s="70" t="s">
        <v>683</v>
      </c>
      <c r="AH5" s="71" t="s">
        <v>593</v>
      </c>
      <c r="AI5" s="170"/>
      <c r="AJ5" s="70" t="s">
        <v>691</v>
      </c>
      <c r="AK5" s="70" t="s">
        <v>683</v>
      </c>
      <c r="AL5" s="71" t="s">
        <v>593</v>
      </c>
      <c r="AM5" s="170"/>
      <c r="AN5" s="70" t="s">
        <v>691</v>
      </c>
      <c r="AO5" s="70" t="s">
        <v>683</v>
      </c>
      <c r="AP5" s="71" t="s">
        <v>593</v>
      </c>
      <c r="AQ5" s="170"/>
      <c r="AR5" s="70" t="s">
        <v>691</v>
      </c>
      <c r="AS5" s="70" t="s">
        <v>683</v>
      </c>
      <c r="AT5" s="71" t="s">
        <v>593</v>
      </c>
      <c r="AU5" s="170"/>
      <c r="AV5" s="70" t="s">
        <v>691</v>
      </c>
      <c r="AW5" s="70" t="s">
        <v>683</v>
      </c>
      <c r="AX5" s="71" t="s">
        <v>593</v>
      </c>
      <c r="AY5" s="170"/>
      <c r="AZ5" s="70" t="s">
        <v>691</v>
      </c>
      <c r="BA5" s="70" t="s">
        <v>683</v>
      </c>
      <c r="BB5" s="71" t="s">
        <v>593</v>
      </c>
      <c r="BC5" s="170"/>
      <c r="BD5" s="70" t="s">
        <v>691</v>
      </c>
      <c r="BE5" s="70" t="s">
        <v>683</v>
      </c>
      <c r="BF5" s="71" t="s">
        <v>593</v>
      </c>
      <c r="BG5" s="170"/>
      <c r="BH5" s="70" t="s">
        <v>691</v>
      </c>
      <c r="BI5" s="70" t="s">
        <v>683</v>
      </c>
      <c r="BJ5" s="71" t="s">
        <v>593</v>
      </c>
      <c r="BK5" s="170"/>
      <c r="BL5" s="70" t="s">
        <v>691</v>
      </c>
      <c r="BM5" s="70" t="s">
        <v>683</v>
      </c>
      <c r="BN5" s="71" t="s">
        <v>593</v>
      </c>
      <c r="BO5" s="170"/>
      <c r="BP5" s="70" t="s">
        <v>691</v>
      </c>
      <c r="BQ5" s="70" t="s">
        <v>683</v>
      </c>
      <c r="BR5" s="71" t="s">
        <v>593</v>
      </c>
      <c r="BS5" s="170"/>
      <c r="BT5" s="70" t="s">
        <v>691</v>
      </c>
      <c r="BU5" s="70" t="s">
        <v>683</v>
      </c>
      <c r="BV5" s="71" t="s">
        <v>593</v>
      </c>
      <c r="BW5" s="170"/>
      <c r="BX5" s="70" t="s">
        <v>691</v>
      </c>
      <c r="BY5" s="70" t="s">
        <v>683</v>
      </c>
      <c r="BZ5" s="71" t="s">
        <v>593</v>
      </c>
      <c r="CA5" s="170"/>
      <c r="CB5" s="70" t="s">
        <v>691</v>
      </c>
      <c r="CC5" s="70" t="s">
        <v>683</v>
      </c>
      <c r="CD5" s="71" t="s">
        <v>593</v>
      </c>
    </row>
    <row r="6" spans="1:82" s="2" customFormat="1" ht="30" customHeight="1" x14ac:dyDescent="0.3">
      <c r="B6" s="33">
        <v>8000</v>
      </c>
      <c r="C6" s="275"/>
      <c r="D6" s="275"/>
      <c r="E6" s="275"/>
      <c r="F6" s="27"/>
      <c r="G6" s="35">
        <v>1</v>
      </c>
      <c r="H6" s="81" t="s">
        <v>347</v>
      </c>
      <c r="I6" s="55">
        <f>IFERROR(I7/B7*B6,0)</f>
        <v>20420</v>
      </c>
      <c r="J6" s="55">
        <f>K11+K24+K37+K50</f>
        <v>14691.178097819738</v>
      </c>
      <c r="K6" s="56">
        <f>IFERROR((I6-J6)/I6-PARAMETROS!C19,0)</f>
        <v>0.12974955446524297</v>
      </c>
      <c r="M6" s="229" t="s">
        <v>693</v>
      </c>
      <c r="N6" s="230">
        <f>+K50</f>
        <v>0</v>
      </c>
      <c r="O6" s="235">
        <f>IFERROR(N6/$N$7,0)</f>
        <v>0</v>
      </c>
      <c r="R6" s="2">
        <f>R4/R5/20</f>
        <v>6000</v>
      </c>
      <c r="S6" s="2" t="s">
        <v>844</v>
      </c>
      <c r="T6" s="2" t="s">
        <v>846</v>
      </c>
      <c r="AE6" s="171"/>
      <c r="AF6" s="55">
        <f>AJ6+AN6+AR6+AV6+AZ6+BD6+BH6+BL6+BP6+BT6+BX6+CB6</f>
        <v>0</v>
      </c>
      <c r="AG6" s="55">
        <f>AH11+AH24+AH37+AH50</f>
        <v>0</v>
      </c>
      <c r="AH6" s="56">
        <f>IFERROR((AF6-AG6)/AF6,0)</f>
        <v>0</v>
      </c>
      <c r="AI6" s="171"/>
      <c r="AJ6" s="55"/>
      <c r="AK6" s="55">
        <f>AL11+AL24+AL37+AL50</f>
        <v>0</v>
      </c>
      <c r="AL6" s="56">
        <f>IFERROR((AJ6-AK6)/AJ6,0)</f>
        <v>0</v>
      </c>
      <c r="AM6" s="171"/>
      <c r="AN6" s="55"/>
      <c r="AO6" s="55">
        <f>AP11+AP24+AP37+AP50</f>
        <v>0</v>
      </c>
      <c r="AP6" s="56">
        <f>IFERROR((AN6-AO6)/AN6,0)</f>
        <v>0</v>
      </c>
      <c r="AQ6" s="171"/>
      <c r="AR6" s="55"/>
      <c r="AS6" s="55">
        <f>AT11+AT24+AT37+AT50</f>
        <v>0</v>
      </c>
      <c r="AT6" s="56">
        <f>IFERROR((AR6-AS6)/AR6,0)</f>
        <v>0</v>
      </c>
      <c r="AU6" s="171"/>
      <c r="AV6" s="55"/>
      <c r="AW6" s="55">
        <f>AX11+AX24+AX37+AX50</f>
        <v>0</v>
      </c>
      <c r="AX6" s="56">
        <f>IFERROR((AV6-AW6)/AV6,0)</f>
        <v>0</v>
      </c>
      <c r="AY6" s="171"/>
      <c r="AZ6" s="55"/>
      <c r="BA6" s="55">
        <f>BB11+BB24+BB37+BB50</f>
        <v>0</v>
      </c>
      <c r="BB6" s="56">
        <f>IFERROR((AZ6-BA6)/AZ6,0)</f>
        <v>0</v>
      </c>
      <c r="BC6" s="171"/>
      <c r="BD6" s="55"/>
      <c r="BE6" s="55">
        <f>BF11+BF24+BF37+BF50</f>
        <v>0</v>
      </c>
      <c r="BF6" s="56">
        <f>IFERROR((BD6-BE6)/BD6,0)</f>
        <v>0</v>
      </c>
      <c r="BG6" s="171"/>
      <c r="BH6" s="55"/>
      <c r="BI6" s="55">
        <f>BJ11+BJ24+BJ37+BJ50</f>
        <v>0</v>
      </c>
      <c r="BJ6" s="56">
        <f>IFERROR((BH6-BI6)/BH6,0)</f>
        <v>0</v>
      </c>
      <c r="BK6" s="171"/>
      <c r="BL6" s="55"/>
      <c r="BM6" s="55">
        <f>BN11+BN24+BN37+BN50</f>
        <v>0</v>
      </c>
      <c r="BN6" s="56">
        <f>IFERROR((BL6-BM6)/BL6,0)</f>
        <v>0</v>
      </c>
      <c r="BO6" s="171"/>
      <c r="BP6" s="55"/>
      <c r="BQ6" s="55">
        <f>BR11+BR24+BR37+BR50</f>
        <v>0</v>
      </c>
      <c r="BR6" s="56">
        <f>IFERROR((BP6-BQ6)/BP6,0)</f>
        <v>0</v>
      </c>
      <c r="BS6" s="171"/>
      <c r="BT6" s="55"/>
      <c r="BU6" s="55">
        <f>BV11+BV24+BV37+BV50</f>
        <v>0</v>
      </c>
      <c r="BV6" s="56">
        <f>IFERROR((BT6-BU6)/BT6,0)</f>
        <v>0</v>
      </c>
      <c r="BW6" s="171"/>
      <c r="BX6" s="55"/>
      <c r="BY6" s="55">
        <f>BZ11+BZ24+BZ37+BZ50</f>
        <v>0</v>
      </c>
      <c r="BZ6" s="56">
        <f>IFERROR((BX6-BY6)/BX6,0)</f>
        <v>0</v>
      </c>
      <c r="CA6" s="171"/>
      <c r="CB6" s="55"/>
      <c r="CC6" s="55">
        <f>CD11+CD24+CD37+CD50</f>
        <v>0</v>
      </c>
      <c r="CD6" s="56">
        <f>IFERROR((CB6-CC6)/CB6,0)</f>
        <v>0</v>
      </c>
    </row>
    <row r="7" spans="1:82" s="2" customFormat="1" ht="30" customHeight="1" thickBot="1" x14ac:dyDescent="0.35">
      <c r="B7" s="34">
        <f>IFERROR(VLOOKUP(B3,Lucratividade!G4:N853,2,0),0)</f>
        <v>453600</v>
      </c>
      <c r="C7" s="276"/>
      <c r="D7" s="276"/>
      <c r="E7" s="276"/>
      <c r="F7" s="50"/>
      <c r="G7" s="36">
        <f>IFERROR(B7/B6,0)</f>
        <v>56.7</v>
      </c>
      <c r="H7" s="82" t="s">
        <v>347</v>
      </c>
      <c r="I7" s="57">
        <f>IFERROR(VLOOKUP(B3,Lucratividade!G4:N132,6,0),0)</f>
        <v>1157814</v>
      </c>
      <c r="J7" s="58">
        <f>B7*K3</f>
        <v>832989.79814637918</v>
      </c>
      <c r="K7" s="59">
        <f>IFERROR((I7-J7)/I7-PARAMETROS!C19,0)</f>
        <v>0.12974955446524297</v>
      </c>
      <c r="M7" s="231" t="s">
        <v>694</v>
      </c>
      <c r="N7" s="232">
        <f>SUM(N3:N6)</f>
        <v>14691.178097819738</v>
      </c>
      <c r="O7" s="236"/>
      <c r="R7" s="314"/>
      <c r="AE7" s="172"/>
      <c r="AF7" s="57"/>
      <c r="AG7" s="58"/>
      <c r="AH7" s="59"/>
      <c r="AI7" s="172"/>
      <c r="AJ7" s="57"/>
      <c r="AK7" s="58"/>
      <c r="AL7" s="59"/>
      <c r="AM7" s="172"/>
      <c r="AN7" s="57"/>
      <c r="AO7" s="58"/>
      <c r="AP7" s="59"/>
      <c r="AQ7" s="172"/>
      <c r="AR7" s="57"/>
      <c r="AS7" s="58"/>
      <c r="AT7" s="59"/>
      <c r="AU7" s="172"/>
      <c r="AV7" s="57"/>
      <c r="AW7" s="58"/>
      <c r="AX7" s="59"/>
      <c r="AY7" s="172"/>
      <c r="AZ7" s="57"/>
      <c r="BA7" s="58"/>
      <c r="BB7" s="59"/>
      <c r="BC7" s="172"/>
      <c r="BD7" s="57"/>
      <c r="BE7" s="58"/>
      <c r="BF7" s="59"/>
      <c r="BG7" s="172"/>
      <c r="BH7" s="57"/>
      <c r="BI7" s="58"/>
      <c r="BJ7" s="59"/>
      <c r="BK7" s="172"/>
      <c r="BL7" s="57"/>
      <c r="BM7" s="58"/>
      <c r="BN7" s="59"/>
      <c r="BO7" s="172"/>
      <c r="BP7" s="57"/>
      <c r="BQ7" s="58"/>
      <c r="BR7" s="59"/>
      <c r="BS7" s="172"/>
      <c r="BT7" s="57"/>
      <c r="BU7" s="58"/>
      <c r="BV7" s="59"/>
      <c r="BW7" s="172"/>
      <c r="BX7" s="57"/>
      <c r="BY7" s="58"/>
      <c r="BZ7" s="59"/>
      <c r="CA7" s="172"/>
      <c r="CB7" s="57"/>
      <c r="CC7" s="58"/>
      <c r="CD7" s="59"/>
    </row>
    <row r="8" spans="1:82" ht="4.2" customHeight="1" x14ac:dyDescent="0.3">
      <c r="AE8" s="28"/>
      <c r="AI8" s="28"/>
      <c r="AM8" s="28"/>
      <c r="AQ8" s="28"/>
      <c r="AU8" s="28"/>
      <c r="AY8" s="28"/>
      <c r="BC8" s="28"/>
      <c r="BG8" s="28"/>
      <c r="BK8" s="28"/>
      <c r="BO8" s="28"/>
      <c r="BS8" s="28"/>
      <c r="BW8" s="28"/>
      <c r="CA8" s="28"/>
    </row>
    <row r="9" spans="1:82" ht="4.95" customHeight="1" thickBot="1" x14ac:dyDescent="0.35">
      <c r="AE9" s="28"/>
      <c r="AI9" s="28"/>
      <c r="AM9" s="28"/>
      <c r="AQ9" s="28"/>
      <c r="AU9" s="28"/>
      <c r="AY9" s="28"/>
      <c r="BC9" s="28"/>
      <c r="BG9" s="28"/>
      <c r="BK9" s="28"/>
      <c r="BO9" s="28"/>
      <c r="BS9" s="28"/>
      <c r="BW9" s="28"/>
      <c r="CA9" s="28"/>
    </row>
    <row r="10" spans="1:82" ht="15" thickBot="1" x14ac:dyDescent="0.35">
      <c r="B10" s="72" t="s">
        <v>695</v>
      </c>
      <c r="C10" s="72" t="s">
        <v>679</v>
      </c>
      <c r="D10" s="72" t="s">
        <v>696</v>
      </c>
      <c r="E10" s="72" t="s">
        <v>697</v>
      </c>
      <c r="F10" s="72" t="s">
        <v>17</v>
      </c>
      <c r="G10" s="70" t="s">
        <v>690</v>
      </c>
      <c r="H10" s="70" t="s">
        <v>698</v>
      </c>
      <c r="I10" s="72" t="s">
        <v>20</v>
      </c>
      <c r="J10" s="72" t="s">
        <v>699</v>
      </c>
      <c r="K10" s="72" t="s">
        <v>700</v>
      </c>
      <c r="M10" s="83" t="s">
        <v>701</v>
      </c>
      <c r="N10" s="87" t="s">
        <v>702</v>
      </c>
      <c r="AD10" s="173" t="s">
        <v>703</v>
      </c>
      <c r="AE10" s="170" t="s">
        <v>698</v>
      </c>
      <c r="AF10" s="70" t="s">
        <v>20</v>
      </c>
      <c r="AG10" s="70" t="s">
        <v>699</v>
      </c>
      <c r="AH10" s="70" t="s">
        <v>700</v>
      </c>
      <c r="AI10" s="173" t="s">
        <v>704</v>
      </c>
      <c r="AJ10" s="174" t="s">
        <v>705</v>
      </c>
      <c r="AK10" s="174" t="s">
        <v>706</v>
      </c>
      <c r="AL10" s="175" t="s">
        <v>707</v>
      </c>
      <c r="AM10" s="173" t="s">
        <v>708</v>
      </c>
      <c r="AN10" s="174" t="s">
        <v>709</v>
      </c>
      <c r="AO10" s="174" t="s">
        <v>710</v>
      </c>
      <c r="AP10" s="175" t="s">
        <v>711</v>
      </c>
      <c r="AQ10" s="173" t="s">
        <v>712</v>
      </c>
      <c r="AR10" s="174" t="s">
        <v>713</v>
      </c>
      <c r="AS10" s="174" t="s">
        <v>714</v>
      </c>
      <c r="AT10" s="175" t="s">
        <v>715</v>
      </c>
      <c r="AU10" s="173" t="s">
        <v>716</v>
      </c>
      <c r="AV10" s="174" t="s">
        <v>717</v>
      </c>
      <c r="AW10" s="174" t="s">
        <v>718</v>
      </c>
      <c r="AX10" s="175" t="s">
        <v>719</v>
      </c>
      <c r="AY10" s="173" t="s">
        <v>720</v>
      </c>
      <c r="AZ10" s="174" t="s">
        <v>721</v>
      </c>
      <c r="BA10" s="174" t="s">
        <v>722</v>
      </c>
      <c r="BB10" s="175" t="s">
        <v>723</v>
      </c>
      <c r="BC10" s="173" t="s">
        <v>724</v>
      </c>
      <c r="BD10" s="174" t="s">
        <v>725</v>
      </c>
      <c r="BE10" s="174" t="s">
        <v>726</v>
      </c>
      <c r="BF10" s="175" t="s">
        <v>727</v>
      </c>
      <c r="BG10" s="173" t="s">
        <v>728</v>
      </c>
      <c r="BH10" s="174" t="s">
        <v>729</v>
      </c>
      <c r="BI10" s="174" t="s">
        <v>730</v>
      </c>
      <c r="BJ10" s="175" t="s">
        <v>731</v>
      </c>
      <c r="BK10" s="173" t="s">
        <v>732</v>
      </c>
      <c r="BL10" s="174" t="s">
        <v>733</v>
      </c>
      <c r="BM10" s="174" t="s">
        <v>734</v>
      </c>
      <c r="BN10" s="175" t="s">
        <v>735</v>
      </c>
      <c r="BO10" s="173" t="s">
        <v>736</v>
      </c>
      <c r="BP10" s="174" t="s">
        <v>737</v>
      </c>
      <c r="BQ10" s="174" t="s">
        <v>738</v>
      </c>
      <c r="BR10" s="175" t="s">
        <v>739</v>
      </c>
      <c r="BS10" s="173" t="s">
        <v>740</v>
      </c>
      <c r="BT10" s="174" t="s">
        <v>741</v>
      </c>
      <c r="BU10" s="174" t="s">
        <v>742</v>
      </c>
      <c r="BV10" s="175" t="s">
        <v>743</v>
      </c>
      <c r="BW10" s="173" t="s">
        <v>744</v>
      </c>
      <c r="BX10" s="174" t="s">
        <v>745</v>
      </c>
      <c r="BY10" s="174" t="s">
        <v>746</v>
      </c>
      <c r="BZ10" s="175" t="s">
        <v>747</v>
      </c>
      <c r="CA10" s="173" t="s">
        <v>748</v>
      </c>
      <c r="CB10" s="174" t="s">
        <v>749</v>
      </c>
      <c r="CC10" s="174" t="s">
        <v>750</v>
      </c>
      <c r="CD10" s="174" t="s">
        <v>751</v>
      </c>
    </row>
    <row r="11" spans="1:82" x14ac:dyDescent="0.3">
      <c r="B11" s="52" t="s">
        <v>752</v>
      </c>
      <c r="C11" s="52" t="str">
        <f t="shared" ref="C11:C62" si="0">$A$3</f>
        <v>CPU_MicroRevestimento</v>
      </c>
      <c r="D11" s="277">
        <f t="shared" ref="D11:D62" si="1">$B$6</f>
        <v>8000</v>
      </c>
      <c r="E11" s="277">
        <f t="shared" ref="E11:E62" si="2">$B$7</f>
        <v>453600</v>
      </c>
      <c r="F11" s="37"/>
      <c r="G11" s="38"/>
      <c r="H11" s="91"/>
      <c r="I11" s="40"/>
      <c r="J11" s="40">
        <f>IFERROR(K11/$B$6,0)</f>
        <v>0.84217045454545447</v>
      </c>
      <c r="K11" s="40">
        <f>SUM(K12:K23)</f>
        <v>6737.363636363636</v>
      </c>
      <c r="M11" s="294" t="s">
        <v>753</v>
      </c>
      <c r="N11" s="295" t="s">
        <v>754</v>
      </c>
      <c r="O11" s="296" t="s">
        <v>755</v>
      </c>
      <c r="AD11" s="144" t="str">
        <f>$B$3</f>
        <v>Micro Revestimento</v>
      </c>
      <c r="AE11" s="176"/>
      <c r="AF11" s="177"/>
      <c r="AG11" s="177">
        <f>IFERROR(AH11/AF$3,0)</f>
        <v>0</v>
      </c>
      <c r="AH11" s="178">
        <f>SUM(AH12:AH23)</f>
        <v>0</v>
      </c>
      <c r="AI11" s="176"/>
      <c r="AJ11" s="177"/>
      <c r="AK11" s="177">
        <f>IFERROR(AL11/AJ$3,0)</f>
        <v>0</v>
      </c>
      <c r="AL11" s="178">
        <f>SUM(AL12:AL23)</f>
        <v>0</v>
      </c>
      <c r="AM11" s="176"/>
      <c r="AN11" s="177"/>
      <c r="AO11" s="177">
        <f>IFERROR(AP11/AN$3,0)</f>
        <v>0</v>
      </c>
      <c r="AP11" s="178">
        <f>SUM(AP12:AP23)</f>
        <v>0</v>
      </c>
      <c r="AQ11" s="176"/>
      <c r="AR11" s="177"/>
      <c r="AS11" s="177">
        <f>IFERROR(AT11/AR$3,0)</f>
        <v>0</v>
      </c>
      <c r="AT11" s="178">
        <f>SUM(AT12:AT23)</f>
        <v>0</v>
      </c>
      <c r="AU11" s="176"/>
      <c r="AV11" s="177"/>
      <c r="AW11" s="177">
        <f>IFERROR(AX11/AV$3,0)</f>
        <v>0</v>
      </c>
      <c r="AX11" s="178">
        <f>SUM(AX12:AX23)</f>
        <v>0</v>
      </c>
      <c r="AY11" s="176"/>
      <c r="AZ11" s="177"/>
      <c r="BA11" s="177">
        <f>IFERROR(BB11/AZ$3,0)</f>
        <v>0</v>
      </c>
      <c r="BB11" s="178">
        <f>SUM(BB12:BB23)</f>
        <v>0</v>
      </c>
      <c r="BC11" s="176"/>
      <c r="BD11" s="177"/>
      <c r="BE11" s="177">
        <f>IFERROR(BF11/BD$3,0)</f>
        <v>0</v>
      </c>
      <c r="BF11" s="178">
        <f>SUM(BF12:BF23)</f>
        <v>0</v>
      </c>
      <c r="BG11" s="176"/>
      <c r="BH11" s="177"/>
      <c r="BI11" s="177">
        <f>IFERROR(BJ11/BH$3,0)</f>
        <v>0</v>
      </c>
      <c r="BJ11" s="178">
        <f>SUM(BJ12:BJ23)</f>
        <v>0</v>
      </c>
      <c r="BK11" s="176"/>
      <c r="BL11" s="177"/>
      <c r="BM11" s="177">
        <f>IFERROR(BN11/BL$3,0)</f>
        <v>0</v>
      </c>
      <c r="BN11" s="178">
        <f>SUM(BN12:BN23)</f>
        <v>0</v>
      </c>
      <c r="BO11" s="176"/>
      <c r="BP11" s="177"/>
      <c r="BQ11" s="177">
        <f>IFERROR(BR11/BP$3,0)</f>
        <v>0</v>
      </c>
      <c r="BR11" s="178">
        <f>SUM(BR12:BR23)</f>
        <v>0</v>
      </c>
      <c r="BS11" s="176"/>
      <c r="BT11" s="177"/>
      <c r="BU11" s="177">
        <f>IFERROR(BV11/BT$3,0)</f>
        <v>0</v>
      </c>
      <c r="BV11" s="178">
        <f>SUM(BV12:BV23)</f>
        <v>0</v>
      </c>
      <c r="BW11" s="176"/>
      <c r="BX11" s="177"/>
      <c r="BY11" s="177">
        <f>IFERROR(BZ11/BX$3,0)</f>
        <v>0</v>
      </c>
      <c r="BZ11" s="178">
        <f>SUM(BZ12:BZ23)</f>
        <v>0</v>
      </c>
      <c r="CA11" s="176"/>
      <c r="CB11" s="177"/>
      <c r="CC11" s="177">
        <f>IFERROR(CD11/CB$3,0)</f>
        <v>0</v>
      </c>
      <c r="CD11" s="178">
        <f>SUM(CD12:CD23)</f>
        <v>0</v>
      </c>
    </row>
    <row r="12" spans="1:82" x14ac:dyDescent="0.3">
      <c r="B12" s="53"/>
      <c r="C12" s="53" t="str">
        <f t="shared" si="0"/>
        <v>CPU_MicroRevestimento</v>
      </c>
      <c r="D12" s="278">
        <f t="shared" si="1"/>
        <v>8000</v>
      </c>
      <c r="E12" s="278">
        <f t="shared" si="2"/>
        <v>453600</v>
      </c>
      <c r="F12" s="46" t="s">
        <v>847</v>
      </c>
      <c r="G12" s="28" t="str">
        <f>IFERROR(VLOOKUP(F12,Tabela7[[RECURSO]:[CUSTO]],2,FALSE),"")</f>
        <v>DIA</v>
      </c>
      <c r="H12" s="92">
        <v>3</v>
      </c>
      <c r="I12" s="90">
        <f>30/22</f>
        <v>1.3636363636363635</v>
      </c>
      <c r="J12" s="45">
        <f>IFERROR(VLOOKUP(F12,Tabela7[[RECURSO]:[CUSTO]],3,FALSE),0)</f>
        <v>1200</v>
      </c>
      <c r="K12" s="45">
        <f>I12*J12*CPU_16[[#This Row],[Nº]]</f>
        <v>4909.090909090909</v>
      </c>
      <c r="M12" s="31">
        <f>100*2/2</f>
        <v>100</v>
      </c>
      <c r="N12" s="297">
        <v>0.6</v>
      </c>
      <c r="O12" s="60">
        <f>IFERROR($B$6/(H12*I12*N12),0)</f>
        <v>3259.2592592592591</v>
      </c>
      <c r="AD12" s="144" t="str">
        <f t="shared" ref="AD12:AD62" si="3">$B$3</f>
        <v>Micro Revestimento</v>
      </c>
      <c r="AE12" s="179"/>
      <c r="AF12" s="180">
        <f>AJ12+AN12+AR12+AV12+AZ12+BD12+BH12+BL12+BP12+BT12+BX12+CB12</f>
        <v>0</v>
      </c>
      <c r="AG12" s="180">
        <f>IFERROR(AH12/AF12,0)</f>
        <v>0</v>
      </c>
      <c r="AH12" s="181">
        <f>AL12+AP12+AT12+AX12+BB12+BF12+BJ12+BN12+BR12+BV12+BZ12+CD12</f>
        <v>0</v>
      </c>
      <c r="AI12" s="182"/>
      <c r="AJ12" s="90"/>
      <c r="AK12" s="90"/>
      <c r="AL12" s="183">
        <f>AJ12*AK12</f>
        <v>0</v>
      </c>
      <c r="AM12" s="182"/>
      <c r="AN12" s="90"/>
      <c r="AO12" s="90"/>
      <c r="AP12" s="183">
        <f t="shared" ref="AP12:AP23" si="4">AN12*AO12</f>
        <v>0</v>
      </c>
      <c r="AQ12" s="182"/>
      <c r="AR12" s="90"/>
      <c r="AS12" s="90"/>
      <c r="AT12" s="183">
        <f t="shared" ref="AT12:AT23" si="5">AR12*AS12</f>
        <v>0</v>
      </c>
      <c r="AU12" s="182"/>
      <c r="AV12" s="90"/>
      <c r="AW12" s="90"/>
      <c r="AX12" s="183">
        <f t="shared" ref="AX12:AX23" si="6">AV12*AW12</f>
        <v>0</v>
      </c>
      <c r="AY12" s="182"/>
      <c r="AZ12" s="90"/>
      <c r="BA12" s="90"/>
      <c r="BB12" s="183">
        <f t="shared" ref="BB12:BB23" si="7">AZ12*BA12</f>
        <v>0</v>
      </c>
      <c r="BC12" s="182"/>
      <c r="BD12" s="90"/>
      <c r="BE12" s="90"/>
      <c r="BF12" s="183">
        <f t="shared" ref="BF12:BF23" si="8">BD12*BE12</f>
        <v>0</v>
      </c>
      <c r="BG12" s="182"/>
      <c r="BH12" s="90"/>
      <c r="BI12" s="90"/>
      <c r="BJ12" s="183">
        <f t="shared" ref="BJ12:BJ23" si="9">BH12*BI12</f>
        <v>0</v>
      </c>
      <c r="BK12" s="182"/>
      <c r="BL12" s="90"/>
      <c r="BM12" s="90"/>
      <c r="BN12" s="183">
        <f t="shared" ref="BN12:BN23" si="10">BL12*BM12</f>
        <v>0</v>
      </c>
      <c r="BO12" s="182"/>
      <c r="BP12" s="90"/>
      <c r="BQ12" s="90"/>
      <c r="BR12" s="183">
        <f t="shared" ref="BR12:BR23" si="11">BP12*BQ12</f>
        <v>0</v>
      </c>
      <c r="BS12" s="182"/>
      <c r="BT12" s="90"/>
      <c r="BU12" s="90"/>
      <c r="BV12" s="183">
        <f t="shared" ref="BV12:BV23" si="12">BT12*BU12</f>
        <v>0</v>
      </c>
      <c r="BW12" s="182"/>
      <c r="BX12" s="90"/>
      <c r="BY12" s="90"/>
      <c r="BZ12" s="183">
        <f t="shared" ref="BZ12:BZ23" si="13">BX12*BY12</f>
        <v>0</v>
      </c>
      <c r="CA12" s="182"/>
      <c r="CB12" s="90"/>
      <c r="CC12" s="90"/>
      <c r="CD12" s="183">
        <f t="shared" ref="CD12:CD23" si="14">CB12*CC12</f>
        <v>0</v>
      </c>
    </row>
    <row r="13" spans="1:82" x14ac:dyDescent="0.3">
      <c r="B13" s="53"/>
      <c r="C13" s="53" t="str">
        <f t="shared" si="0"/>
        <v>CPU_MicroRevestimento</v>
      </c>
      <c r="D13" s="278">
        <f t="shared" si="1"/>
        <v>8000</v>
      </c>
      <c r="E13" s="278">
        <f t="shared" si="2"/>
        <v>453600</v>
      </c>
      <c r="F13" s="1" t="s">
        <v>848</v>
      </c>
      <c r="G13" s="28" t="str">
        <f>IFERROR(VLOOKUP(F13,Tabela7[[RECURSO]:[CUSTO]],2,FALSE),"")</f>
        <v>H</v>
      </c>
      <c r="H13" s="92">
        <v>1</v>
      </c>
      <c r="I13" s="90">
        <f>200/22</f>
        <v>9.0909090909090917</v>
      </c>
      <c r="J13" s="45">
        <f>IFERROR(VLOOKUP(F13,Tabela7[[RECURSO]:[CUSTO]],3,FALSE),0)</f>
        <v>90</v>
      </c>
      <c r="K13" s="45">
        <f>I13*J13*CPU_16[[#This Row],[Nº]]</f>
        <v>818.18181818181824</v>
      </c>
      <c r="M13" s="31">
        <v>12</v>
      </c>
      <c r="N13" s="297">
        <v>0.6</v>
      </c>
      <c r="O13" s="60">
        <f t="shared" ref="O13:O23" si="15">IFERROR($B$6/(H13*I13),0)</f>
        <v>879.99999999999989</v>
      </c>
      <c r="AD13" s="144" t="str">
        <f t="shared" si="3"/>
        <v>Micro Revestimento</v>
      </c>
      <c r="AE13" s="179"/>
      <c r="AF13" s="180">
        <f t="shared" ref="AF13:AF23" si="16">AJ13+AN13+AR13+AV13+AZ13+BD13+BH13+BL13+BP13+BT13+BX13+CB13</f>
        <v>0</v>
      </c>
      <c r="AG13" s="180">
        <f t="shared" ref="AG13:AG62" si="17">IFERROR(AH13/AF13,0)</f>
        <v>0</v>
      </c>
      <c r="AH13" s="181">
        <f t="shared" ref="AH13:AH23" si="18">AL13+AP13+AT13+AX13+BB13+BF13+BJ13+BN13+BR13+BV13+BZ13+CD13</f>
        <v>0</v>
      </c>
      <c r="AI13" s="182"/>
      <c r="AJ13" s="90"/>
      <c r="AK13" s="90"/>
      <c r="AL13" s="183">
        <f t="shared" ref="AL13:AL23" si="19">AJ13*AK13</f>
        <v>0</v>
      </c>
      <c r="AM13" s="182"/>
      <c r="AN13" s="90"/>
      <c r="AO13" s="90"/>
      <c r="AP13" s="183">
        <f t="shared" si="4"/>
        <v>0</v>
      </c>
      <c r="AQ13" s="182"/>
      <c r="AR13" s="90"/>
      <c r="AS13" s="90"/>
      <c r="AT13" s="183">
        <f t="shared" si="5"/>
        <v>0</v>
      </c>
      <c r="AU13" s="182"/>
      <c r="AV13" s="90"/>
      <c r="AW13" s="90"/>
      <c r="AX13" s="183">
        <f t="shared" si="6"/>
        <v>0</v>
      </c>
      <c r="AY13" s="182"/>
      <c r="AZ13" s="90"/>
      <c r="BA13" s="90"/>
      <c r="BB13" s="183">
        <f t="shared" si="7"/>
        <v>0</v>
      </c>
      <c r="BC13" s="182"/>
      <c r="BD13" s="90"/>
      <c r="BE13" s="90"/>
      <c r="BF13" s="183">
        <f t="shared" si="8"/>
        <v>0</v>
      </c>
      <c r="BG13" s="182"/>
      <c r="BH13" s="90"/>
      <c r="BI13" s="90"/>
      <c r="BJ13" s="183">
        <f t="shared" si="9"/>
        <v>0</v>
      </c>
      <c r="BK13" s="182"/>
      <c r="BL13" s="90"/>
      <c r="BM13" s="90"/>
      <c r="BN13" s="183">
        <f t="shared" si="10"/>
        <v>0</v>
      </c>
      <c r="BO13" s="182"/>
      <c r="BP13" s="90"/>
      <c r="BQ13" s="90"/>
      <c r="BR13" s="183">
        <f t="shared" si="11"/>
        <v>0</v>
      </c>
      <c r="BS13" s="182"/>
      <c r="BT13" s="90"/>
      <c r="BU13" s="90"/>
      <c r="BV13" s="183">
        <f t="shared" si="12"/>
        <v>0</v>
      </c>
      <c r="BW13" s="182"/>
      <c r="BX13" s="90"/>
      <c r="BY13" s="90"/>
      <c r="BZ13" s="183">
        <f t="shared" si="13"/>
        <v>0</v>
      </c>
      <c r="CA13" s="182"/>
      <c r="CB13" s="90"/>
      <c r="CC13" s="90"/>
      <c r="CD13" s="183">
        <f t="shared" si="14"/>
        <v>0</v>
      </c>
    </row>
    <row r="14" spans="1:82" x14ac:dyDescent="0.3">
      <c r="B14" s="53"/>
      <c r="C14" s="53" t="str">
        <f t="shared" si="0"/>
        <v>CPU_MicroRevestimento</v>
      </c>
      <c r="D14" s="278">
        <f t="shared" si="1"/>
        <v>8000</v>
      </c>
      <c r="E14" s="278">
        <f t="shared" si="2"/>
        <v>453600</v>
      </c>
      <c r="F14" s="1" t="s">
        <v>849</v>
      </c>
      <c r="G14" s="28" t="str">
        <f>IFERROR(VLOOKUP(F14,Tabela7[[RECURSO]:[CUSTO]],2,FALSE),"")</f>
        <v>DIA</v>
      </c>
      <c r="H14" s="92">
        <v>1</v>
      </c>
      <c r="I14" s="90">
        <f>30/22</f>
        <v>1.3636363636363635</v>
      </c>
      <c r="J14" s="45">
        <f>IFERROR(VLOOKUP(F14,Tabela7[[RECURSO]:[CUSTO]],3,FALSE),0)</f>
        <v>740.73333333333335</v>
      </c>
      <c r="K14" s="45">
        <f>I14*J14*CPU_16[[#This Row],[Nº]]</f>
        <v>1010.090909090909</v>
      </c>
      <c r="M14" s="31">
        <v>40</v>
      </c>
      <c r="N14" s="297">
        <v>0.6</v>
      </c>
      <c r="O14" s="60">
        <f t="shared" si="15"/>
        <v>5866.666666666667</v>
      </c>
      <c r="AD14" s="144" t="str">
        <f t="shared" si="3"/>
        <v>Micro Revestimento</v>
      </c>
      <c r="AE14" s="179"/>
      <c r="AF14" s="180">
        <f t="shared" si="16"/>
        <v>0</v>
      </c>
      <c r="AG14" s="180">
        <f t="shared" si="17"/>
        <v>0</v>
      </c>
      <c r="AH14" s="181">
        <f t="shared" si="18"/>
        <v>0</v>
      </c>
      <c r="AI14" s="182"/>
      <c r="AJ14" s="90"/>
      <c r="AK14" s="90"/>
      <c r="AL14" s="183">
        <f t="shared" si="19"/>
        <v>0</v>
      </c>
      <c r="AM14" s="182"/>
      <c r="AN14" s="90"/>
      <c r="AO14" s="90"/>
      <c r="AP14" s="183">
        <f t="shared" si="4"/>
        <v>0</v>
      </c>
      <c r="AQ14" s="182"/>
      <c r="AR14" s="90"/>
      <c r="AS14" s="90"/>
      <c r="AT14" s="183">
        <f t="shared" si="5"/>
        <v>0</v>
      </c>
      <c r="AU14" s="182"/>
      <c r="AV14" s="90"/>
      <c r="AW14" s="90"/>
      <c r="AX14" s="183">
        <f t="shared" si="6"/>
        <v>0</v>
      </c>
      <c r="AY14" s="182"/>
      <c r="AZ14" s="90"/>
      <c r="BA14" s="90"/>
      <c r="BB14" s="183">
        <f t="shared" si="7"/>
        <v>0</v>
      </c>
      <c r="BC14" s="182"/>
      <c r="BD14" s="90"/>
      <c r="BE14" s="90"/>
      <c r="BF14" s="183">
        <f t="shared" si="8"/>
        <v>0</v>
      </c>
      <c r="BG14" s="182"/>
      <c r="BH14" s="90"/>
      <c r="BI14" s="90"/>
      <c r="BJ14" s="183">
        <f t="shared" si="9"/>
        <v>0</v>
      </c>
      <c r="BK14" s="182"/>
      <c r="BL14" s="90"/>
      <c r="BM14" s="90"/>
      <c r="BN14" s="183">
        <f t="shared" si="10"/>
        <v>0</v>
      </c>
      <c r="BO14" s="182"/>
      <c r="BP14" s="90"/>
      <c r="BQ14" s="90"/>
      <c r="BR14" s="183">
        <f t="shared" si="11"/>
        <v>0</v>
      </c>
      <c r="BS14" s="182"/>
      <c r="BT14" s="90"/>
      <c r="BU14" s="90"/>
      <c r="BV14" s="183">
        <f t="shared" si="12"/>
        <v>0</v>
      </c>
      <c r="BW14" s="182"/>
      <c r="BX14" s="90"/>
      <c r="BY14" s="90"/>
      <c r="BZ14" s="183">
        <f t="shared" si="13"/>
        <v>0</v>
      </c>
      <c r="CA14" s="182"/>
      <c r="CB14" s="90"/>
      <c r="CC14" s="90"/>
      <c r="CD14" s="183">
        <f t="shared" si="14"/>
        <v>0</v>
      </c>
    </row>
    <row r="15" spans="1:82" x14ac:dyDescent="0.3">
      <c r="B15" s="153"/>
      <c r="C15" s="153" t="str">
        <f t="shared" si="0"/>
        <v>CPU_MicroRevestimento</v>
      </c>
      <c r="D15" s="279">
        <f t="shared" si="1"/>
        <v>8000</v>
      </c>
      <c r="E15" s="279">
        <f t="shared" si="2"/>
        <v>453600</v>
      </c>
      <c r="F15" s="1"/>
      <c r="G15" s="28" t="str">
        <f>IFERROR(VLOOKUP(F15,Tabela7[[RECURSO]:[CUSTO]],2,FALSE),"")</f>
        <v/>
      </c>
      <c r="H15" s="92"/>
      <c r="I15" s="90"/>
      <c r="J15" s="45">
        <f>IFERROR(VLOOKUP(F15,Tabela7[[RECURSO]:[CUSTO]],3,FALSE),0)</f>
        <v>0</v>
      </c>
      <c r="K15" s="45">
        <f>I15*J15*CPU_16[[#This Row],[Nº]]</f>
        <v>0</v>
      </c>
      <c r="M15" s="31"/>
      <c r="N15" s="297"/>
      <c r="O15" s="60">
        <f t="shared" si="15"/>
        <v>0</v>
      </c>
      <c r="AD15" s="144" t="str">
        <f t="shared" si="3"/>
        <v>Micro Revestimento</v>
      </c>
      <c r="AE15" s="179"/>
      <c r="AF15" s="180">
        <f t="shared" si="16"/>
        <v>0</v>
      </c>
      <c r="AG15" s="180">
        <f t="shared" si="17"/>
        <v>0</v>
      </c>
      <c r="AH15" s="181">
        <f t="shared" si="18"/>
        <v>0</v>
      </c>
      <c r="AI15" s="182"/>
      <c r="AJ15" s="90"/>
      <c r="AK15" s="90"/>
      <c r="AL15" s="183">
        <f t="shared" si="19"/>
        <v>0</v>
      </c>
      <c r="AM15" s="182"/>
      <c r="AN15" s="90"/>
      <c r="AO15" s="90"/>
      <c r="AP15" s="183">
        <f t="shared" si="4"/>
        <v>0</v>
      </c>
      <c r="AQ15" s="182"/>
      <c r="AR15" s="90"/>
      <c r="AS15" s="90"/>
      <c r="AT15" s="183">
        <f t="shared" si="5"/>
        <v>0</v>
      </c>
      <c r="AU15" s="182"/>
      <c r="AV15" s="90"/>
      <c r="AW15" s="90"/>
      <c r="AX15" s="183">
        <f t="shared" si="6"/>
        <v>0</v>
      </c>
      <c r="AY15" s="182"/>
      <c r="AZ15" s="90"/>
      <c r="BA15" s="90"/>
      <c r="BB15" s="183">
        <f t="shared" si="7"/>
        <v>0</v>
      </c>
      <c r="BC15" s="182"/>
      <c r="BD15" s="90"/>
      <c r="BE15" s="90"/>
      <c r="BF15" s="183">
        <f t="shared" si="8"/>
        <v>0</v>
      </c>
      <c r="BG15" s="182"/>
      <c r="BH15" s="90"/>
      <c r="BI15" s="90"/>
      <c r="BJ15" s="183">
        <f t="shared" si="9"/>
        <v>0</v>
      </c>
      <c r="BK15" s="182"/>
      <c r="BL15" s="90"/>
      <c r="BM15" s="90"/>
      <c r="BN15" s="183">
        <f t="shared" si="10"/>
        <v>0</v>
      </c>
      <c r="BO15" s="182"/>
      <c r="BP15" s="90"/>
      <c r="BQ15" s="90"/>
      <c r="BR15" s="183">
        <f t="shared" si="11"/>
        <v>0</v>
      </c>
      <c r="BS15" s="182"/>
      <c r="BT15" s="90"/>
      <c r="BU15" s="90"/>
      <c r="BV15" s="183">
        <f t="shared" si="12"/>
        <v>0</v>
      </c>
      <c r="BW15" s="182"/>
      <c r="BX15" s="90"/>
      <c r="BY15" s="90"/>
      <c r="BZ15" s="183">
        <f t="shared" si="13"/>
        <v>0</v>
      </c>
      <c r="CA15" s="182"/>
      <c r="CB15" s="90"/>
      <c r="CC15" s="90"/>
      <c r="CD15" s="183">
        <f t="shared" si="14"/>
        <v>0</v>
      </c>
    </row>
    <row r="16" spans="1:82" x14ac:dyDescent="0.3">
      <c r="B16" s="53"/>
      <c r="C16" s="53" t="str">
        <f t="shared" si="0"/>
        <v>CPU_MicroRevestimento</v>
      </c>
      <c r="D16" s="278">
        <f t="shared" si="1"/>
        <v>8000</v>
      </c>
      <c r="E16" s="278">
        <f t="shared" si="2"/>
        <v>453600</v>
      </c>
      <c r="F16" s="1"/>
      <c r="G16" s="28" t="str">
        <f>IFERROR(VLOOKUP(F16,Tabela7[[RECURSO]:[CUSTO]],2,FALSE),"")</f>
        <v/>
      </c>
      <c r="H16" s="92"/>
      <c r="I16" s="90"/>
      <c r="J16" s="45">
        <f>IFERROR(VLOOKUP(F16,Tabela7[[RECURSO]:[CUSTO]],3,FALSE),0)</f>
        <v>0</v>
      </c>
      <c r="K16" s="45">
        <f>I16*J16*CPU_16[[#This Row],[Nº]]</f>
        <v>0</v>
      </c>
      <c r="M16" s="31"/>
      <c r="N16" s="297"/>
      <c r="O16" s="60">
        <f t="shared" si="15"/>
        <v>0</v>
      </c>
      <c r="AD16" s="144" t="str">
        <f t="shared" si="3"/>
        <v>Micro Revestimento</v>
      </c>
      <c r="AE16" s="179"/>
      <c r="AF16" s="180">
        <f t="shared" si="16"/>
        <v>0</v>
      </c>
      <c r="AG16" s="180">
        <f t="shared" si="17"/>
        <v>0</v>
      </c>
      <c r="AH16" s="181">
        <f t="shared" si="18"/>
        <v>0</v>
      </c>
      <c r="AI16" s="182"/>
      <c r="AJ16" s="90"/>
      <c r="AK16" s="90"/>
      <c r="AL16" s="183">
        <f t="shared" si="19"/>
        <v>0</v>
      </c>
      <c r="AM16" s="182"/>
      <c r="AN16" s="90"/>
      <c r="AO16" s="90"/>
      <c r="AP16" s="183">
        <f t="shared" si="4"/>
        <v>0</v>
      </c>
      <c r="AQ16" s="182"/>
      <c r="AR16" s="90"/>
      <c r="AS16" s="90"/>
      <c r="AT16" s="183">
        <f t="shared" si="5"/>
        <v>0</v>
      </c>
      <c r="AU16" s="182"/>
      <c r="AV16" s="90"/>
      <c r="AW16" s="90"/>
      <c r="AX16" s="183">
        <f t="shared" si="6"/>
        <v>0</v>
      </c>
      <c r="AY16" s="182"/>
      <c r="AZ16" s="90"/>
      <c r="BA16" s="90"/>
      <c r="BB16" s="183">
        <f t="shared" si="7"/>
        <v>0</v>
      </c>
      <c r="BC16" s="182"/>
      <c r="BD16" s="90"/>
      <c r="BE16" s="90"/>
      <c r="BF16" s="183">
        <f t="shared" si="8"/>
        <v>0</v>
      </c>
      <c r="BG16" s="182"/>
      <c r="BH16" s="90"/>
      <c r="BI16" s="90"/>
      <c r="BJ16" s="183">
        <f t="shared" si="9"/>
        <v>0</v>
      </c>
      <c r="BK16" s="182"/>
      <c r="BL16" s="90"/>
      <c r="BM16" s="90"/>
      <c r="BN16" s="183">
        <f t="shared" si="10"/>
        <v>0</v>
      </c>
      <c r="BO16" s="182"/>
      <c r="BP16" s="90"/>
      <c r="BQ16" s="90"/>
      <c r="BR16" s="183">
        <f t="shared" si="11"/>
        <v>0</v>
      </c>
      <c r="BS16" s="182"/>
      <c r="BT16" s="90"/>
      <c r="BU16" s="90"/>
      <c r="BV16" s="183">
        <f t="shared" si="12"/>
        <v>0</v>
      </c>
      <c r="BW16" s="182"/>
      <c r="BX16" s="90"/>
      <c r="BY16" s="90"/>
      <c r="BZ16" s="183">
        <f t="shared" si="13"/>
        <v>0</v>
      </c>
      <c r="CA16" s="182"/>
      <c r="CB16" s="90"/>
      <c r="CC16" s="90"/>
      <c r="CD16" s="183">
        <f t="shared" si="14"/>
        <v>0</v>
      </c>
    </row>
    <row r="17" spans="2:82" x14ac:dyDescent="0.3">
      <c r="B17" s="53"/>
      <c r="C17" s="53" t="str">
        <f t="shared" si="0"/>
        <v>CPU_MicroRevestimento</v>
      </c>
      <c r="D17" s="278">
        <f t="shared" si="1"/>
        <v>8000</v>
      </c>
      <c r="E17" s="278">
        <f t="shared" si="2"/>
        <v>453600</v>
      </c>
      <c r="F17" s="1"/>
      <c r="G17" s="28" t="str">
        <f>IFERROR(VLOOKUP(F17,Tabela7[[RECURSO]:[CUSTO]],2,FALSE),"")</f>
        <v/>
      </c>
      <c r="H17" s="92"/>
      <c r="I17" s="90"/>
      <c r="J17" s="45">
        <f>IFERROR(VLOOKUP(F17,Tabela7[[RECURSO]:[CUSTO]],3,FALSE),0)</f>
        <v>0</v>
      </c>
      <c r="K17" s="45">
        <f>I17*J17*CPU_16[[#This Row],[Nº]]</f>
        <v>0</v>
      </c>
      <c r="M17" s="31"/>
      <c r="N17" s="297"/>
      <c r="O17" s="60">
        <f t="shared" si="15"/>
        <v>0</v>
      </c>
      <c r="AD17" s="144" t="str">
        <f t="shared" si="3"/>
        <v>Micro Revestimento</v>
      </c>
      <c r="AE17" s="179"/>
      <c r="AF17" s="180">
        <f t="shared" si="16"/>
        <v>0</v>
      </c>
      <c r="AG17" s="180">
        <f t="shared" si="17"/>
        <v>0</v>
      </c>
      <c r="AH17" s="181">
        <f t="shared" si="18"/>
        <v>0</v>
      </c>
      <c r="AI17" s="182"/>
      <c r="AJ17" s="90"/>
      <c r="AK17" s="90"/>
      <c r="AL17" s="183">
        <f t="shared" si="19"/>
        <v>0</v>
      </c>
      <c r="AM17" s="182"/>
      <c r="AN17" s="90"/>
      <c r="AO17" s="90"/>
      <c r="AP17" s="183">
        <f t="shared" si="4"/>
        <v>0</v>
      </c>
      <c r="AQ17" s="182"/>
      <c r="AR17" s="90"/>
      <c r="AS17" s="90"/>
      <c r="AT17" s="183">
        <f t="shared" si="5"/>
        <v>0</v>
      </c>
      <c r="AU17" s="182"/>
      <c r="AV17" s="90"/>
      <c r="AW17" s="90"/>
      <c r="AX17" s="183">
        <f t="shared" si="6"/>
        <v>0</v>
      </c>
      <c r="AY17" s="182"/>
      <c r="AZ17" s="90"/>
      <c r="BA17" s="90"/>
      <c r="BB17" s="183">
        <f t="shared" si="7"/>
        <v>0</v>
      </c>
      <c r="BC17" s="182"/>
      <c r="BD17" s="90"/>
      <c r="BE17" s="90"/>
      <c r="BF17" s="183">
        <f t="shared" si="8"/>
        <v>0</v>
      </c>
      <c r="BG17" s="182"/>
      <c r="BH17" s="90"/>
      <c r="BI17" s="90"/>
      <c r="BJ17" s="183">
        <f t="shared" si="9"/>
        <v>0</v>
      </c>
      <c r="BK17" s="182"/>
      <c r="BL17" s="90"/>
      <c r="BM17" s="90"/>
      <c r="BN17" s="183">
        <f t="shared" si="10"/>
        <v>0</v>
      </c>
      <c r="BO17" s="182"/>
      <c r="BP17" s="90"/>
      <c r="BQ17" s="90"/>
      <c r="BR17" s="183">
        <f t="shared" si="11"/>
        <v>0</v>
      </c>
      <c r="BS17" s="182"/>
      <c r="BT17" s="90"/>
      <c r="BU17" s="90"/>
      <c r="BV17" s="183">
        <f t="shared" si="12"/>
        <v>0</v>
      </c>
      <c r="BW17" s="182"/>
      <c r="BX17" s="90"/>
      <c r="BY17" s="90"/>
      <c r="BZ17" s="183">
        <f t="shared" si="13"/>
        <v>0</v>
      </c>
      <c r="CA17" s="182"/>
      <c r="CB17" s="90"/>
      <c r="CC17" s="90"/>
      <c r="CD17" s="183">
        <f t="shared" si="14"/>
        <v>0</v>
      </c>
    </row>
    <row r="18" spans="2:82" x14ac:dyDescent="0.3">
      <c r="B18" s="53"/>
      <c r="C18" s="53" t="str">
        <f t="shared" si="0"/>
        <v>CPU_MicroRevestimento</v>
      </c>
      <c r="D18" s="278">
        <f t="shared" si="1"/>
        <v>8000</v>
      </c>
      <c r="E18" s="278">
        <f t="shared" si="2"/>
        <v>453600</v>
      </c>
      <c r="F18" s="1"/>
      <c r="G18" s="28" t="str">
        <f>IFERROR(VLOOKUP(F18,Tabela7[[RECURSO]:[CUSTO]],2,FALSE),"")</f>
        <v/>
      </c>
      <c r="H18" s="92"/>
      <c r="I18" s="90"/>
      <c r="J18" s="45">
        <f>IFERROR(VLOOKUP(F18,Tabela7[[RECURSO]:[CUSTO]],3,FALSE),0)</f>
        <v>0</v>
      </c>
      <c r="K18" s="45">
        <f>I18*J18*CPU_16[[#This Row],[Nº]]</f>
        <v>0</v>
      </c>
      <c r="M18" s="31"/>
      <c r="N18" s="297"/>
      <c r="O18" s="60">
        <f t="shared" si="15"/>
        <v>0</v>
      </c>
      <c r="AD18" s="144" t="str">
        <f t="shared" si="3"/>
        <v>Micro Revestimento</v>
      </c>
      <c r="AE18" s="179"/>
      <c r="AF18" s="180">
        <f t="shared" si="16"/>
        <v>0</v>
      </c>
      <c r="AG18" s="180">
        <f t="shared" si="17"/>
        <v>0</v>
      </c>
      <c r="AH18" s="181">
        <f t="shared" si="18"/>
        <v>0</v>
      </c>
      <c r="AI18" s="182"/>
      <c r="AJ18" s="90"/>
      <c r="AK18" s="90"/>
      <c r="AL18" s="183">
        <f t="shared" si="19"/>
        <v>0</v>
      </c>
      <c r="AM18" s="182"/>
      <c r="AN18" s="90"/>
      <c r="AO18" s="90"/>
      <c r="AP18" s="183">
        <f t="shared" si="4"/>
        <v>0</v>
      </c>
      <c r="AQ18" s="182"/>
      <c r="AR18" s="90"/>
      <c r="AS18" s="90"/>
      <c r="AT18" s="183">
        <f t="shared" si="5"/>
        <v>0</v>
      </c>
      <c r="AU18" s="182"/>
      <c r="AV18" s="90"/>
      <c r="AW18" s="90"/>
      <c r="AX18" s="183">
        <f t="shared" si="6"/>
        <v>0</v>
      </c>
      <c r="AY18" s="182"/>
      <c r="AZ18" s="90"/>
      <c r="BA18" s="90"/>
      <c r="BB18" s="183">
        <f t="shared" si="7"/>
        <v>0</v>
      </c>
      <c r="BC18" s="182"/>
      <c r="BD18" s="90"/>
      <c r="BE18" s="90"/>
      <c r="BF18" s="183">
        <f t="shared" si="8"/>
        <v>0</v>
      </c>
      <c r="BG18" s="182"/>
      <c r="BH18" s="90"/>
      <c r="BI18" s="90"/>
      <c r="BJ18" s="183">
        <f t="shared" si="9"/>
        <v>0</v>
      </c>
      <c r="BK18" s="182"/>
      <c r="BL18" s="90"/>
      <c r="BM18" s="90"/>
      <c r="BN18" s="183">
        <f t="shared" si="10"/>
        <v>0</v>
      </c>
      <c r="BO18" s="182"/>
      <c r="BP18" s="90"/>
      <c r="BQ18" s="90"/>
      <c r="BR18" s="183">
        <f t="shared" si="11"/>
        <v>0</v>
      </c>
      <c r="BS18" s="182"/>
      <c r="BT18" s="90"/>
      <c r="BU18" s="90"/>
      <c r="BV18" s="183">
        <f t="shared" si="12"/>
        <v>0</v>
      </c>
      <c r="BW18" s="182"/>
      <c r="BX18" s="90"/>
      <c r="BY18" s="90"/>
      <c r="BZ18" s="183">
        <f t="shared" si="13"/>
        <v>0</v>
      </c>
      <c r="CA18" s="182"/>
      <c r="CB18" s="90"/>
      <c r="CC18" s="90"/>
      <c r="CD18" s="183">
        <f t="shared" si="14"/>
        <v>0</v>
      </c>
    </row>
    <row r="19" spans="2:82" x14ac:dyDescent="0.3">
      <c r="B19" s="53"/>
      <c r="C19" s="53" t="str">
        <f t="shared" si="0"/>
        <v>CPU_MicroRevestimento</v>
      </c>
      <c r="D19" s="278">
        <f t="shared" si="1"/>
        <v>8000</v>
      </c>
      <c r="E19" s="278">
        <f t="shared" si="2"/>
        <v>453600</v>
      </c>
      <c r="F19" s="1"/>
      <c r="G19" s="28" t="str">
        <f>IFERROR(VLOOKUP(F19,Tabela7[[RECURSO]:[CUSTO]],2,FALSE),"")</f>
        <v/>
      </c>
      <c r="H19" s="92"/>
      <c r="I19" s="90"/>
      <c r="J19" s="45">
        <f>IFERROR(VLOOKUP(F19,Tabela7[[RECURSO]:[CUSTO]],3,FALSE),0)</f>
        <v>0</v>
      </c>
      <c r="K19" s="45">
        <f>I19*J19*CPU_16[[#This Row],[Nº]]</f>
        <v>0</v>
      </c>
      <c r="M19" s="31"/>
      <c r="N19" s="297"/>
      <c r="O19" s="60">
        <f t="shared" si="15"/>
        <v>0</v>
      </c>
      <c r="AD19" s="144" t="str">
        <f t="shared" si="3"/>
        <v>Micro Revestimento</v>
      </c>
      <c r="AE19" s="179"/>
      <c r="AF19" s="180">
        <f t="shared" si="16"/>
        <v>0</v>
      </c>
      <c r="AG19" s="180">
        <f t="shared" si="17"/>
        <v>0</v>
      </c>
      <c r="AH19" s="181">
        <f t="shared" si="18"/>
        <v>0</v>
      </c>
      <c r="AI19" s="182"/>
      <c r="AJ19" s="90"/>
      <c r="AK19" s="90"/>
      <c r="AL19" s="183">
        <f t="shared" si="19"/>
        <v>0</v>
      </c>
      <c r="AM19" s="182"/>
      <c r="AN19" s="90"/>
      <c r="AO19" s="90"/>
      <c r="AP19" s="183">
        <f t="shared" si="4"/>
        <v>0</v>
      </c>
      <c r="AQ19" s="182"/>
      <c r="AR19" s="90"/>
      <c r="AS19" s="90"/>
      <c r="AT19" s="183">
        <f t="shared" si="5"/>
        <v>0</v>
      </c>
      <c r="AU19" s="182"/>
      <c r="AV19" s="90"/>
      <c r="AW19" s="90"/>
      <c r="AX19" s="183">
        <f t="shared" si="6"/>
        <v>0</v>
      </c>
      <c r="AY19" s="182"/>
      <c r="AZ19" s="90"/>
      <c r="BA19" s="90"/>
      <c r="BB19" s="183">
        <f t="shared" si="7"/>
        <v>0</v>
      </c>
      <c r="BC19" s="182"/>
      <c r="BD19" s="90"/>
      <c r="BE19" s="90"/>
      <c r="BF19" s="183">
        <f t="shared" si="8"/>
        <v>0</v>
      </c>
      <c r="BG19" s="182"/>
      <c r="BH19" s="90"/>
      <c r="BI19" s="90"/>
      <c r="BJ19" s="183">
        <f t="shared" si="9"/>
        <v>0</v>
      </c>
      <c r="BK19" s="182"/>
      <c r="BL19" s="90"/>
      <c r="BM19" s="90"/>
      <c r="BN19" s="183">
        <f t="shared" si="10"/>
        <v>0</v>
      </c>
      <c r="BO19" s="182"/>
      <c r="BP19" s="90"/>
      <c r="BQ19" s="90"/>
      <c r="BR19" s="183">
        <f t="shared" si="11"/>
        <v>0</v>
      </c>
      <c r="BS19" s="182"/>
      <c r="BT19" s="90"/>
      <c r="BU19" s="90"/>
      <c r="BV19" s="183">
        <f t="shared" si="12"/>
        <v>0</v>
      </c>
      <c r="BW19" s="182"/>
      <c r="BX19" s="90"/>
      <c r="BY19" s="90"/>
      <c r="BZ19" s="183">
        <f t="shared" si="13"/>
        <v>0</v>
      </c>
      <c r="CA19" s="182"/>
      <c r="CB19" s="90"/>
      <c r="CC19" s="90"/>
      <c r="CD19" s="183">
        <f t="shared" si="14"/>
        <v>0</v>
      </c>
    </row>
    <row r="20" spans="2:82" x14ac:dyDescent="0.3">
      <c r="B20" s="53"/>
      <c r="C20" s="53" t="str">
        <f t="shared" si="0"/>
        <v>CPU_MicroRevestimento</v>
      </c>
      <c r="D20" s="278">
        <f t="shared" si="1"/>
        <v>8000</v>
      </c>
      <c r="E20" s="278">
        <f t="shared" si="2"/>
        <v>453600</v>
      </c>
      <c r="F20" s="1"/>
      <c r="G20" s="28" t="str">
        <f>IFERROR(VLOOKUP(F20,Tabela7[[RECURSO]:[CUSTO]],2,FALSE),"")</f>
        <v/>
      </c>
      <c r="H20" s="92"/>
      <c r="I20" s="90"/>
      <c r="J20" s="45">
        <f>IFERROR(VLOOKUP(F20,Tabela7[[RECURSO]:[CUSTO]],3,FALSE),0)</f>
        <v>0</v>
      </c>
      <c r="K20" s="45">
        <f>I20*J20*CPU_16[[#This Row],[Nº]]</f>
        <v>0</v>
      </c>
      <c r="M20" s="31"/>
      <c r="N20" s="297"/>
      <c r="O20" s="60">
        <f t="shared" si="15"/>
        <v>0</v>
      </c>
      <c r="AD20" s="144" t="str">
        <f t="shared" si="3"/>
        <v>Micro Revestimento</v>
      </c>
      <c r="AE20" s="179"/>
      <c r="AF20" s="180">
        <f t="shared" si="16"/>
        <v>0</v>
      </c>
      <c r="AG20" s="180">
        <f t="shared" si="17"/>
        <v>0</v>
      </c>
      <c r="AH20" s="181">
        <f t="shared" si="18"/>
        <v>0</v>
      </c>
      <c r="AI20" s="182"/>
      <c r="AJ20" s="90"/>
      <c r="AK20" s="90"/>
      <c r="AL20" s="183">
        <f t="shared" si="19"/>
        <v>0</v>
      </c>
      <c r="AM20" s="182"/>
      <c r="AN20" s="90"/>
      <c r="AO20" s="90"/>
      <c r="AP20" s="183">
        <f t="shared" si="4"/>
        <v>0</v>
      </c>
      <c r="AQ20" s="182"/>
      <c r="AR20" s="90"/>
      <c r="AS20" s="90"/>
      <c r="AT20" s="183">
        <f t="shared" si="5"/>
        <v>0</v>
      </c>
      <c r="AU20" s="182"/>
      <c r="AV20" s="90"/>
      <c r="AW20" s="90"/>
      <c r="AX20" s="183">
        <f t="shared" si="6"/>
        <v>0</v>
      </c>
      <c r="AY20" s="182"/>
      <c r="AZ20" s="90"/>
      <c r="BA20" s="90"/>
      <c r="BB20" s="183">
        <f t="shared" si="7"/>
        <v>0</v>
      </c>
      <c r="BC20" s="182"/>
      <c r="BD20" s="90"/>
      <c r="BE20" s="90"/>
      <c r="BF20" s="183">
        <f t="shared" si="8"/>
        <v>0</v>
      </c>
      <c r="BG20" s="182"/>
      <c r="BH20" s="90"/>
      <c r="BI20" s="90"/>
      <c r="BJ20" s="183">
        <f t="shared" si="9"/>
        <v>0</v>
      </c>
      <c r="BK20" s="182"/>
      <c r="BL20" s="90"/>
      <c r="BM20" s="90"/>
      <c r="BN20" s="183">
        <f t="shared" si="10"/>
        <v>0</v>
      </c>
      <c r="BO20" s="182"/>
      <c r="BP20" s="90"/>
      <c r="BQ20" s="90"/>
      <c r="BR20" s="183">
        <f t="shared" si="11"/>
        <v>0</v>
      </c>
      <c r="BS20" s="182"/>
      <c r="BT20" s="90"/>
      <c r="BU20" s="90"/>
      <c r="BV20" s="183">
        <f t="shared" si="12"/>
        <v>0</v>
      </c>
      <c r="BW20" s="182"/>
      <c r="BX20" s="90"/>
      <c r="BY20" s="90"/>
      <c r="BZ20" s="183">
        <f t="shared" si="13"/>
        <v>0</v>
      </c>
      <c r="CA20" s="182"/>
      <c r="CB20" s="90"/>
      <c r="CC20" s="90"/>
      <c r="CD20" s="183">
        <f t="shared" si="14"/>
        <v>0</v>
      </c>
    </row>
    <row r="21" spans="2:82" x14ac:dyDescent="0.3">
      <c r="B21" s="53"/>
      <c r="C21" s="53" t="str">
        <f t="shared" si="0"/>
        <v>CPU_MicroRevestimento</v>
      </c>
      <c r="D21" s="278">
        <f t="shared" si="1"/>
        <v>8000</v>
      </c>
      <c r="E21" s="278">
        <f t="shared" si="2"/>
        <v>453600</v>
      </c>
      <c r="F21" s="1"/>
      <c r="G21" s="28" t="str">
        <f>IFERROR(VLOOKUP(F21,Tabela7[[RECURSO]:[CUSTO]],2,FALSE),"")</f>
        <v/>
      </c>
      <c r="H21" s="92"/>
      <c r="I21" s="90"/>
      <c r="J21" s="45">
        <f>IFERROR(VLOOKUP(F21,Tabela7[[RECURSO]:[CUSTO]],3,FALSE),0)</f>
        <v>0</v>
      </c>
      <c r="K21" s="45">
        <f>I21*J21*CPU_16[[#This Row],[Nº]]</f>
        <v>0</v>
      </c>
      <c r="M21" s="31"/>
      <c r="N21" s="297"/>
      <c r="O21" s="60">
        <f t="shared" si="15"/>
        <v>0</v>
      </c>
      <c r="AD21" s="144" t="str">
        <f t="shared" si="3"/>
        <v>Micro Revestimento</v>
      </c>
      <c r="AE21" s="179"/>
      <c r="AF21" s="180">
        <f t="shared" si="16"/>
        <v>0</v>
      </c>
      <c r="AG21" s="180">
        <f t="shared" si="17"/>
        <v>0</v>
      </c>
      <c r="AH21" s="181">
        <f t="shared" si="18"/>
        <v>0</v>
      </c>
      <c r="AI21" s="182"/>
      <c r="AJ21" s="90"/>
      <c r="AK21" s="90"/>
      <c r="AL21" s="183">
        <f t="shared" si="19"/>
        <v>0</v>
      </c>
      <c r="AM21" s="182"/>
      <c r="AN21" s="90"/>
      <c r="AO21" s="90"/>
      <c r="AP21" s="183">
        <f t="shared" si="4"/>
        <v>0</v>
      </c>
      <c r="AQ21" s="182"/>
      <c r="AR21" s="90"/>
      <c r="AS21" s="90"/>
      <c r="AT21" s="183">
        <f t="shared" si="5"/>
        <v>0</v>
      </c>
      <c r="AU21" s="182"/>
      <c r="AV21" s="90"/>
      <c r="AW21" s="90"/>
      <c r="AX21" s="183">
        <f t="shared" si="6"/>
        <v>0</v>
      </c>
      <c r="AY21" s="182"/>
      <c r="AZ21" s="90"/>
      <c r="BA21" s="90"/>
      <c r="BB21" s="183">
        <f t="shared" si="7"/>
        <v>0</v>
      </c>
      <c r="BC21" s="182"/>
      <c r="BD21" s="90"/>
      <c r="BE21" s="90"/>
      <c r="BF21" s="183">
        <f t="shared" si="8"/>
        <v>0</v>
      </c>
      <c r="BG21" s="182"/>
      <c r="BH21" s="90"/>
      <c r="BI21" s="90"/>
      <c r="BJ21" s="183">
        <f t="shared" si="9"/>
        <v>0</v>
      </c>
      <c r="BK21" s="182"/>
      <c r="BL21" s="90"/>
      <c r="BM21" s="90"/>
      <c r="BN21" s="183">
        <f t="shared" si="10"/>
        <v>0</v>
      </c>
      <c r="BO21" s="182"/>
      <c r="BP21" s="90"/>
      <c r="BQ21" s="90"/>
      <c r="BR21" s="183">
        <f t="shared" si="11"/>
        <v>0</v>
      </c>
      <c r="BS21" s="182"/>
      <c r="BT21" s="90"/>
      <c r="BU21" s="90"/>
      <c r="BV21" s="183">
        <f t="shared" si="12"/>
        <v>0</v>
      </c>
      <c r="BW21" s="182"/>
      <c r="BX21" s="90"/>
      <c r="BY21" s="90"/>
      <c r="BZ21" s="183">
        <f t="shared" si="13"/>
        <v>0</v>
      </c>
      <c r="CA21" s="182"/>
      <c r="CB21" s="90"/>
      <c r="CC21" s="90"/>
      <c r="CD21" s="183">
        <f t="shared" si="14"/>
        <v>0</v>
      </c>
    </row>
    <row r="22" spans="2:82" x14ac:dyDescent="0.3">
      <c r="B22" s="53"/>
      <c r="C22" s="53" t="str">
        <f t="shared" si="0"/>
        <v>CPU_MicroRevestimento</v>
      </c>
      <c r="D22" s="278">
        <f t="shared" si="1"/>
        <v>8000</v>
      </c>
      <c r="E22" s="278">
        <f t="shared" si="2"/>
        <v>453600</v>
      </c>
      <c r="F22" s="1"/>
      <c r="G22" s="28" t="str">
        <f>IFERROR(VLOOKUP(F22,Tabela7[[RECURSO]:[CUSTO]],2,FALSE),"")</f>
        <v/>
      </c>
      <c r="H22" s="92"/>
      <c r="I22" s="90"/>
      <c r="J22" s="45">
        <f>IFERROR(VLOOKUP(F22,Tabela7[[RECURSO]:[CUSTO]],3,FALSE),0)</f>
        <v>0</v>
      </c>
      <c r="K22" s="45">
        <f>I22*J22*CPU_16[[#This Row],[Nº]]</f>
        <v>0</v>
      </c>
      <c r="M22" s="31"/>
      <c r="N22" s="297"/>
      <c r="O22" s="60">
        <f t="shared" si="15"/>
        <v>0</v>
      </c>
      <c r="AD22" s="144" t="str">
        <f t="shared" si="3"/>
        <v>Micro Revestimento</v>
      </c>
      <c r="AE22" s="179"/>
      <c r="AF22" s="180">
        <f t="shared" si="16"/>
        <v>0</v>
      </c>
      <c r="AG22" s="180">
        <f t="shared" si="17"/>
        <v>0</v>
      </c>
      <c r="AH22" s="181">
        <f t="shared" si="18"/>
        <v>0</v>
      </c>
      <c r="AI22" s="182"/>
      <c r="AJ22" s="90"/>
      <c r="AK22" s="90"/>
      <c r="AL22" s="183">
        <f t="shared" si="19"/>
        <v>0</v>
      </c>
      <c r="AM22" s="182"/>
      <c r="AN22" s="90"/>
      <c r="AO22" s="90"/>
      <c r="AP22" s="183">
        <f t="shared" si="4"/>
        <v>0</v>
      </c>
      <c r="AQ22" s="182"/>
      <c r="AR22" s="90"/>
      <c r="AS22" s="90"/>
      <c r="AT22" s="183">
        <f t="shared" si="5"/>
        <v>0</v>
      </c>
      <c r="AU22" s="182"/>
      <c r="AV22" s="90"/>
      <c r="AW22" s="90"/>
      <c r="AX22" s="183">
        <f t="shared" si="6"/>
        <v>0</v>
      </c>
      <c r="AY22" s="182"/>
      <c r="AZ22" s="90"/>
      <c r="BA22" s="90"/>
      <c r="BB22" s="183">
        <f t="shared" si="7"/>
        <v>0</v>
      </c>
      <c r="BC22" s="182"/>
      <c r="BD22" s="90"/>
      <c r="BE22" s="90"/>
      <c r="BF22" s="183">
        <f t="shared" si="8"/>
        <v>0</v>
      </c>
      <c r="BG22" s="182"/>
      <c r="BH22" s="90"/>
      <c r="BI22" s="90"/>
      <c r="BJ22" s="183">
        <f t="shared" si="9"/>
        <v>0</v>
      </c>
      <c r="BK22" s="182"/>
      <c r="BL22" s="90"/>
      <c r="BM22" s="90"/>
      <c r="BN22" s="183">
        <f t="shared" si="10"/>
        <v>0</v>
      </c>
      <c r="BO22" s="182"/>
      <c r="BP22" s="90"/>
      <c r="BQ22" s="90"/>
      <c r="BR22" s="183">
        <f t="shared" si="11"/>
        <v>0</v>
      </c>
      <c r="BS22" s="182"/>
      <c r="BT22" s="90"/>
      <c r="BU22" s="90"/>
      <c r="BV22" s="183">
        <f t="shared" si="12"/>
        <v>0</v>
      </c>
      <c r="BW22" s="182"/>
      <c r="BX22" s="90"/>
      <c r="BY22" s="90"/>
      <c r="BZ22" s="183">
        <f t="shared" si="13"/>
        <v>0</v>
      </c>
      <c r="CA22" s="182"/>
      <c r="CB22" s="90"/>
      <c r="CC22" s="90"/>
      <c r="CD22" s="183">
        <f t="shared" si="14"/>
        <v>0</v>
      </c>
    </row>
    <row r="23" spans="2:82" ht="15" thickBot="1" x14ac:dyDescent="0.35">
      <c r="B23" s="53"/>
      <c r="C23" s="53" t="str">
        <f t="shared" si="0"/>
        <v>CPU_MicroRevestimento</v>
      </c>
      <c r="D23" s="278">
        <f t="shared" si="1"/>
        <v>8000</v>
      </c>
      <c r="E23" s="278">
        <f t="shared" si="2"/>
        <v>453600</v>
      </c>
      <c r="F23" s="1"/>
      <c r="G23" s="28" t="str">
        <f>IFERROR(VLOOKUP(F23,Tabela7[[RECURSO]:[CUSTO]],2,FALSE),"")</f>
        <v/>
      </c>
      <c r="H23" s="92"/>
      <c r="I23" s="90"/>
      <c r="J23" s="45">
        <f>IFERROR(VLOOKUP(F23,Tabela7[[RECURSO]:[CUSTO]],3,FALSE),0)</f>
        <v>0</v>
      </c>
      <c r="K23" s="45">
        <f>I23*J23*CPU_16[[#This Row],[Nº]]</f>
        <v>0</v>
      </c>
      <c r="M23" s="51"/>
      <c r="N23" s="298"/>
      <c r="O23" s="61">
        <f t="shared" si="15"/>
        <v>0</v>
      </c>
      <c r="AD23" s="144" t="str">
        <f t="shared" si="3"/>
        <v>Micro Revestimento</v>
      </c>
      <c r="AE23" s="179"/>
      <c r="AF23" s="180">
        <f t="shared" si="16"/>
        <v>0</v>
      </c>
      <c r="AG23" s="180">
        <f t="shared" si="17"/>
        <v>0</v>
      </c>
      <c r="AH23" s="181">
        <f t="shared" si="18"/>
        <v>0</v>
      </c>
      <c r="AI23" s="182"/>
      <c r="AJ23" s="90"/>
      <c r="AK23" s="90"/>
      <c r="AL23" s="183">
        <f t="shared" si="19"/>
        <v>0</v>
      </c>
      <c r="AM23" s="182"/>
      <c r="AN23" s="90"/>
      <c r="AO23" s="90"/>
      <c r="AP23" s="183">
        <f t="shared" si="4"/>
        <v>0</v>
      </c>
      <c r="AQ23" s="182"/>
      <c r="AR23" s="90"/>
      <c r="AS23" s="90"/>
      <c r="AT23" s="183">
        <f t="shared" si="5"/>
        <v>0</v>
      </c>
      <c r="AU23" s="182"/>
      <c r="AV23" s="90"/>
      <c r="AW23" s="90"/>
      <c r="AX23" s="183">
        <f t="shared" si="6"/>
        <v>0</v>
      </c>
      <c r="AY23" s="182"/>
      <c r="AZ23" s="90"/>
      <c r="BA23" s="90"/>
      <c r="BB23" s="183">
        <f t="shared" si="7"/>
        <v>0</v>
      </c>
      <c r="BC23" s="182"/>
      <c r="BD23" s="90"/>
      <c r="BE23" s="90"/>
      <c r="BF23" s="183">
        <f t="shared" si="8"/>
        <v>0</v>
      </c>
      <c r="BG23" s="182"/>
      <c r="BH23" s="90"/>
      <c r="BI23" s="90"/>
      <c r="BJ23" s="183">
        <f t="shared" si="9"/>
        <v>0</v>
      </c>
      <c r="BK23" s="182"/>
      <c r="BL23" s="90"/>
      <c r="BM23" s="90"/>
      <c r="BN23" s="183">
        <f t="shared" si="10"/>
        <v>0</v>
      </c>
      <c r="BO23" s="182"/>
      <c r="BP23" s="90"/>
      <c r="BQ23" s="90"/>
      <c r="BR23" s="183">
        <f t="shared" si="11"/>
        <v>0</v>
      </c>
      <c r="BS23" s="182"/>
      <c r="BT23" s="90"/>
      <c r="BU23" s="90"/>
      <c r="BV23" s="183">
        <f t="shared" si="12"/>
        <v>0</v>
      </c>
      <c r="BW23" s="182"/>
      <c r="BX23" s="90"/>
      <c r="BY23" s="90"/>
      <c r="BZ23" s="183">
        <f t="shared" si="13"/>
        <v>0</v>
      </c>
      <c r="CA23" s="182"/>
      <c r="CB23" s="90"/>
      <c r="CC23" s="90"/>
      <c r="CD23" s="183">
        <f t="shared" si="14"/>
        <v>0</v>
      </c>
    </row>
    <row r="24" spans="2:82" x14ac:dyDescent="0.3">
      <c r="B24" s="52" t="s">
        <v>686</v>
      </c>
      <c r="C24" s="52" t="str">
        <f t="shared" si="0"/>
        <v>CPU_MicroRevestimento</v>
      </c>
      <c r="D24" s="277">
        <f t="shared" si="1"/>
        <v>8000</v>
      </c>
      <c r="E24" s="277">
        <f t="shared" si="2"/>
        <v>453600</v>
      </c>
      <c r="F24" s="37"/>
      <c r="G24" s="38"/>
      <c r="H24" s="91"/>
      <c r="I24" s="40"/>
      <c r="J24" s="40">
        <f>IFERROR(K24/$B$6,0)</f>
        <v>0.30068181818181805</v>
      </c>
      <c r="K24" s="40">
        <f>SUM(K25:K36)</f>
        <v>2405.4545454545446</v>
      </c>
      <c r="AD24" s="144" t="str">
        <f t="shared" si="3"/>
        <v>Micro Revestimento</v>
      </c>
      <c r="AE24" s="184"/>
      <c r="AF24" s="40"/>
      <c r="AG24" s="40">
        <f>IFERROR(AH24/AF$3,0)</f>
        <v>0</v>
      </c>
      <c r="AH24" s="185">
        <f>SUM(AH25:AH36)</f>
        <v>0</v>
      </c>
      <c r="AI24" s="184"/>
      <c r="AJ24" s="40"/>
      <c r="AK24" s="40">
        <f>IFERROR(AL24/AJ$3,0)</f>
        <v>0</v>
      </c>
      <c r="AL24" s="185">
        <f>SUM(AL25:AL36)</f>
        <v>0</v>
      </c>
      <c r="AM24" s="184"/>
      <c r="AN24" s="40"/>
      <c r="AO24" s="40">
        <f>IFERROR(AP24/AN$3,0)</f>
        <v>0</v>
      </c>
      <c r="AP24" s="185">
        <f>SUM(AP25:AP36)</f>
        <v>0</v>
      </c>
      <c r="AQ24" s="184"/>
      <c r="AR24" s="40"/>
      <c r="AS24" s="40">
        <f>IFERROR(AT24/AR$3,0)</f>
        <v>0</v>
      </c>
      <c r="AT24" s="185">
        <f>SUM(AT25:AT36)</f>
        <v>0</v>
      </c>
      <c r="AU24" s="184"/>
      <c r="AV24" s="40"/>
      <c r="AW24" s="40">
        <f>IFERROR(AX24/AV$3,0)</f>
        <v>0</v>
      </c>
      <c r="AX24" s="185">
        <f>SUM(AX25:AX36)</f>
        <v>0</v>
      </c>
      <c r="AY24" s="184"/>
      <c r="AZ24" s="40"/>
      <c r="BA24" s="40">
        <f>IFERROR(BB24/AZ$3,0)</f>
        <v>0</v>
      </c>
      <c r="BB24" s="185">
        <f>SUM(BB25:BB36)</f>
        <v>0</v>
      </c>
      <c r="BC24" s="184"/>
      <c r="BD24" s="40"/>
      <c r="BE24" s="40">
        <f>IFERROR(BF24/BD$3,0)</f>
        <v>0</v>
      </c>
      <c r="BF24" s="185">
        <f>SUM(BF25:BF36)</f>
        <v>0</v>
      </c>
      <c r="BG24" s="184"/>
      <c r="BH24" s="40"/>
      <c r="BI24" s="40">
        <f>IFERROR(BJ24/BH$3,0)</f>
        <v>0</v>
      </c>
      <c r="BJ24" s="185">
        <f>SUM(BJ25:BJ36)</f>
        <v>0</v>
      </c>
      <c r="BK24" s="184"/>
      <c r="BL24" s="40"/>
      <c r="BM24" s="40">
        <f>IFERROR(BN24/BL$3,0)</f>
        <v>0</v>
      </c>
      <c r="BN24" s="185">
        <f>SUM(BN25:BN36)</f>
        <v>0</v>
      </c>
      <c r="BO24" s="184"/>
      <c r="BP24" s="40"/>
      <c r="BQ24" s="40">
        <f>IFERROR(BR24/BP$3,0)</f>
        <v>0</v>
      </c>
      <c r="BR24" s="185">
        <f>SUM(BR25:BR36)</f>
        <v>0</v>
      </c>
      <c r="BS24" s="184"/>
      <c r="BT24" s="40"/>
      <c r="BU24" s="40">
        <f>IFERROR(BV24/BT$3,0)</f>
        <v>0</v>
      </c>
      <c r="BV24" s="185">
        <f>SUM(BV25:BV36)</f>
        <v>0</v>
      </c>
      <c r="BW24" s="184"/>
      <c r="BX24" s="40"/>
      <c r="BY24" s="40">
        <f>IFERROR(BZ24/BX$3,0)</f>
        <v>0</v>
      </c>
      <c r="BZ24" s="185">
        <f>SUM(BZ25:BZ36)</f>
        <v>0</v>
      </c>
      <c r="CA24" s="184"/>
      <c r="CB24" s="40"/>
      <c r="CC24" s="40">
        <f>IFERROR(CD24/CB$3,0)</f>
        <v>0</v>
      </c>
      <c r="CD24" s="185">
        <f>SUM(CD25:CD36)</f>
        <v>0</v>
      </c>
    </row>
    <row r="25" spans="2:82" x14ac:dyDescent="0.3">
      <c r="B25" s="53"/>
      <c r="C25" s="53" t="str">
        <f t="shared" si="0"/>
        <v>CPU_MicroRevestimento</v>
      </c>
      <c r="D25" s="278">
        <f t="shared" si="1"/>
        <v>8000</v>
      </c>
      <c r="E25" s="278">
        <f t="shared" si="2"/>
        <v>453600</v>
      </c>
      <c r="F25" s="1" t="s">
        <v>288</v>
      </c>
      <c r="G25" s="28" t="str">
        <f>IFERROR(VLOOKUP(F25,Tabela7[[RECURSO]:[CUSTO]],2,FALSE),"")</f>
        <v>L</v>
      </c>
      <c r="H25" s="93"/>
      <c r="I25" s="90">
        <f>IFERROR(SUMPRODUCT(I12:I23,M12:M23,H12:H23,N12:N23),0)</f>
        <v>343.63636363636351</v>
      </c>
      <c r="J25" s="45">
        <f>IFERROR(VLOOKUP(F25,Tabela7[[RECURSO]:[CUSTO]],3,FALSE),0)</f>
        <v>7</v>
      </c>
      <c r="K25" s="45">
        <f>I25*J25</f>
        <v>2405.4545454545446</v>
      </c>
      <c r="AD25" s="144" t="str">
        <f t="shared" si="3"/>
        <v>Micro Revestimento</v>
      </c>
      <c r="AE25" s="179"/>
      <c r="AF25" s="180">
        <f t="shared" ref="AF25:AF36" si="20">AJ25+AN25+AR25+AV25+AZ25+BD25+BH25+BL25+BP25+BT25+BX25+CB25</f>
        <v>0</v>
      </c>
      <c r="AG25" s="180">
        <f t="shared" si="17"/>
        <v>0</v>
      </c>
      <c r="AH25" s="181">
        <f t="shared" ref="AH25:AH36" si="21">AL25+AP25+AT25+AX25+BB25+BF25+BJ25+BN25+BR25+BV25+BZ25+CD25</f>
        <v>0</v>
      </c>
      <c r="AI25" s="182"/>
      <c r="AJ25" s="90"/>
      <c r="AK25" s="90"/>
      <c r="AL25" s="183">
        <f t="shared" ref="AL25:AL36" si="22">AJ25*AK25</f>
        <v>0</v>
      </c>
      <c r="AM25" s="182"/>
      <c r="AN25" s="90"/>
      <c r="AO25" s="90"/>
      <c r="AP25" s="183">
        <f t="shared" ref="AP25:AP62" si="23">AN25*AO25</f>
        <v>0</v>
      </c>
      <c r="AQ25" s="182"/>
      <c r="AR25" s="90"/>
      <c r="AS25" s="90"/>
      <c r="AT25" s="183">
        <f t="shared" ref="AT25:AT62" si="24">AR25*AS25</f>
        <v>0</v>
      </c>
      <c r="AU25" s="182"/>
      <c r="AV25" s="90"/>
      <c r="AW25" s="90"/>
      <c r="AX25" s="183">
        <f t="shared" ref="AX25:AX62" si="25">AV25*AW25</f>
        <v>0</v>
      </c>
      <c r="AY25" s="182"/>
      <c r="AZ25" s="90"/>
      <c r="BA25" s="90"/>
      <c r="BB25" s="183">
        <f t="shared" ref="BB25:BB62" si="26">AZ25*BA25</f>
        <v>0</v>
      </c>
      <c r="BC25" s="182"/>
      <c r="BD25" s="90"/>
      <c r="BE25" s="90"/>
      <c r="BF25" s="183">
        <f t="shared" ref="BF25:BF62" si="27">BD25*BE25</f>
        <v>0</v>
      </c>
      <c r="BG25" s="182"/>
      <c r="BH25" s="90"/>
      <c r="BI25" s="90"/>
      <c r="BJ25" s="183">
        <f t="shared" ref="BJ25:BJ62" si="28">BH25*BI25</f>
        <v>0</v>
      </c>
      <c r="BK25" s="182"/>
      <c r="BL25" s="90"/>
      <c r="BM25" s="90"/>
      <c r="BN25" s="183">
        <f t="shared" ref="BN25:BN62" si="29">BL25*BM25</f>
        <v>0</v>
      </c>
      <c r="BO25" s="182"/>
      <c r="BP25" s="90"/>
      <c r="BQ25" s="90"/>
      <c r="BR25" s="183">
        <f t="shared" ref="BR25:BR62" si="30">BP25*BQ25</f>
        <v>0</v>
      </c>
      <c r="BS25" s="182"/>
      <c r="BT25" s="90"/>
      <c r="BU25" s="90"/>
      <c r="BV25" s="183">
        <f t="shared" ref="BV25:BV62" si="31">BT25*BU25</f>
        <v>0</v>
      </c>
      <c r="BW25" s="182"/>
      <c r="BX25" s="90"/>
      <c r="BY25" s="90"/>
      <c r="BZ25" s="183">
        <f t="shared" ref="BZ25:BZ62" si="32">BX25*BY25</f>
        <v>0</v>
      </c>
      <c r="CA25" s="182"/>
      <c r="CB25" s="90"/>
      <c r="CC25" s="90"/>
      <c r="CD25" s="183">
        <f t="shared" ref="CD25:CD62" si="33">CB25*CC25</f>
        <v>0</v>
      </c>
    </row>
    <row r="26" spans="2:82" x14ac:dyDescent="0.3">
      <c r="B26" s="53"/>
      <c r="C26" s="53" t="str">
        <f t="shared" si="0"/>
        <v>CPU_MicroRevestimento</v>
      </c>
      <c r="D26" s="278">
        <f t="shared" si="1"/>
        <v>8000</v>
      </c>
      <c r="E26" s="278">
        <f t="shared" si="2"/>
        <v>453600</v>
      </c>
      <c r="F26" s="1"/>
      <c r="G26" s="28" t="str">
        <f>IFERROR(VLOOKUP(F26,Tabela7[[RECURSO]:[CUSTO]],2,FALSE),"")</f>
        <v/>
      </c>
      <c r="H26" s="93"/>
      <c r="I26" s="90"/>
      <c r="J26" s="45">
        <f>IFERROR(VLOOKUP(F26,Tabela7[[RECURSO]:[CUSTO]],3,FALSE),0)</f>
        <v>0</v>
      </c>
      <c r="K26" s="45">
        <f t="shared" ref="K26:K36" si="34">I26*J26</f>
        <v>0</v>
      </c>
      <c r="AD26" s="144" t="str">
        <f t="shared" si="3"/>
        <v>Micro Revestimento</v>
      </c>
      <c r="AE26" s="179"/>
      <c r="AF26" s="180">
        <f t="shared" si="20"/>
        <v>0</v>
      </c>
      <c r="AG26" s="180">
        <f t="shared" si="17"/>
        <v>0</v>
      </c>
      <c r="AH26" s="181">
        <f t="shared" si="21"/>
        <v>0</v>
      </c>
      <c r="AI26" s="182"/>
      <c r="AJ26" s="90"/>
      <c r="AK26" s="90"/>
      <c r="AL26" s="183">
        <f t="shared" si="22"/>
        <v>0</v>
      </c>
      <c r="AM26" s="182"/>
      <c r="AN26" s="90"/>
      <c r="AO26" s="90"/>
      <c r="AP26" s="183">
        <f t="shared" si="23"/>
        <v>0</v>
      </c>
      <c r="AQ26" s="182"/>
      <c r="AR26" s="90"/>
      <c r="AS26" s="90"/>
      <c r="AT26" s="183">
        <f t="shared" si="24"/>
        <v>0</v>
      </c>
      <c r="AU26" s="182"/>
      <c r="AV26" s="90"/>
      <c r="AW26" s="90"/>
      <c r="AX26" s="183">
        <f t="shared" si="25"/>
        <v>0</v>
      </c>
      <c r="AY26" s="182"/>
      <c r="AZ26" s="90"/>
      <c r="BA26" s="90"/>
      <c r="BB26" s="183">
        <f t="shared" si="26"/>
        <v>0</v>
      </c>
      <c r="BC26" s="182"/>
      <c r="BD26" s="90"/>
      <c r="BE26" s="90"/>
      <c r="BF26" s="183">
        <f t="shared" si="27"/>
        <v>0</v>
      </c>
      <c r="BG26" s="182"/>
      <c r="BH26" s="90"/>
      <c r="BI26" s="90"/>
      <c r="BJ26" s="183">
        <f t="shared" si="28"/>
        <v>0</v>
      </c>
      <c r="BK26" s="182"/>
      <c r="BL26" s="90"/>
      <c r="BM26" s="90"/>
      <c r="BN26" s="183">
        <f t="shared" si="29"/>
        <v>0</v>
      </c>
      <c r="BO26" s="182"/>
      <c r="BP26" s="90"/>
      <c r="BQ26" s="90"/>
      <c r="BR26" s="183">
        <f t="shared" si="30"/>
        <v>0</v>
      </c>
      <c r="BS26" s="182"/>
      <c r="BT26" s="90"/>
      <c r="BU26" s="90"/>
      <c r="BV26" s="183">
        <f t="shared" si="31"/>
        <v>0</v>
      </c>
      <c r="BW26" s="182"/>
      <c r="BX26" s="90"/>
      <c r="BY26" s="90"/>
      <c r="BZ26" s="183">
        <f t="shared" si="32"/>
        <v>0</v>
      </c>
      <c r="CA26" s="182"/>
      <c r="CB26" s="90"/>
      <c r="CC26" s="90"/>
      <c r="CD26" s="183">
        <f t="shared" si="33"/>
        <v>0</v>
      </c>
    </row>
    <row r="27" spans="2:82" x14ac:dyDescent="0.3">
      <c r="B27" s="53"/>
      <c r="C27" s="53" t="str">
        <f t="shared" si="0"/>
        <v>CPU_MicroRevestimento</v>
      </c>
      <c r="D27" s="278">
        <f t="shared" si="1"/>
        <v>8000</v>
      </c>
      <c r="E27" s="278">
        <f t="shared" si="2"/>
        <v>453600</v>
      </c>
      <c r="F27" s="1"/>
      <c r="G27" s="28" t="str">
        <f>IFERROR(VLOOKUP(F27,Tabela7[[RECURSO]:[CUSTO]],2,FALSE),"")</f>
        <v/>
      </c>
      <c r="H27" s="93"/>
      <c r="I27" s="90"/>
      <c r="J27" s="45">
        <f>IFERROR(VLOOKUP(F27,Tabela7[[RECURSO]:[CUSTO]],3,FALSE),0)</f>
        <v>0</v>
      </c>
      <c r="K27" s="45">
        <f t="shared" si="34"/>
        <v>0</v>
      </c>
      <c r="AD27" s="144" t="str">
        <f t="shared" si="3"/>
        <v>Micro Revestimento</v>
      </c>
      <c r="AE27" s="179"/>
      <c r="AF27" s="180">
        <f t="shared" si="20"/>
        <v>0</v>
      </c>
      <c r="AG27" s="180">
        <f t="shared" si="17"/>
        <v>0</v>
      </c>
      <c r="AH27" s="181">
        <f t="shared" si="21"/>
        <v>0</v>
      </c>
      <c r="AI27" s="182"/>
      <c r="AJ27" s="90"/>
      <c r="AK27" s="90"/>
      <c r="AL27" s="183">
        <f t="shared" si="22"/>
        <v>0</v>
      </c>
      <c r="AM27" s="182"/>
      <c r="AN27" s="90"/>
      <c r="AO27" s="90"/>
      <c r="AP27" s="183">
        <f t="shared" si="23"/>
        <v>0</v>
      </c>
      <c r="AQ27" s="182"/>
      <c r="AR27" s="90"/>
      <c r="AS27" s="90"/>
      <c r="AT27" s="183">
        <f t="shared" si="24"/>
        <v>0</v>
      </c>
      <c r="AU27" s="182"/>
      <c r="AV27" s="90"/>
      <c r="AW27" s="90"/>
      <c r="AX27" s="183">
        <f t="shared" si="25"/>
        <v>0</v>
      </c>
      <c r="AY27" s="182"/>
      <c r="AZ27" s="90"/>
      <c r="BA27" s="90"/>
      <c r="BB27" s="183">
        <f t="shared" si="26"/>
        <v>0</v>
      </c>
      <c r="BC27" s="182"/>
      <c r="BD27" s="90"/>
      <c r="BE27" s="90"/>
      <c r="BF27" s="183">
        <f t="shared" si="27"/>
        <v>0</v>
      </c>
      <c r="BG27" s="182"/>
      <c r="BH27" s="90"/>
      <c r="BI27" s="90"/>
      <c r="BJ27" s="183">
        <f t="shared" si="28"/>
        <v>0</v>
      </c>
      <c r="BK27" s="182"/>
      <c r="BL27" s="90"/>
      <c r="BM27" s="90"/>
      <c r="BN27" s="183">
        <f t="shared" si="29"/>
        <v>0</v>
      </c>
      <c r="BO27" s="182"/>
      <c r="BP27" s="90"/>
      <c r="BQ27" s="90"/>
      <c r="BR27" s="183">
        <f t="shared" si="30"/>
        <v>0</v>
      </c>
      <c r="BS27" s="182"/>
      <c r="BT27" s="90"/>
      <c r="BU27" s="90"/>
      <c r="BV27" s="183">
        <f t="shared" si="31"/>
        <v>0</v>
      </c>
      <c r="BW27" s="182"/>
      <c r="BX27" s="90"/>
      <c r="BY27" s="90"/>
      <c r="BZ27" s="183">
        <f t="shared" si="32"/>
        <v>0</v>
      </c>
      <c r="CA27" s="182"/>
      <c r="CB27" s="90"/>
      <c r="CC27" s="90"/>
      <c r="CD27" s="183">
        <f t="shared" si="33"/>
        <v>0</v>
      </c>
    </row>
    <row r="28" spans="2:82" x14ac:dyDescent="0.3">
      <c r="B28" s="53"/>
      <c r="C28" s="53" t="str">
        <f t="shared" si="0"/>
        <v>CPU_MicroRevestimento</v>
      </c>
      <c r="D28" s="278">
        <f t="shared" si="1"/>
        <v>8000</v>
      </c>
      <c r="E28" s="278">
        <f t="shared" si="2"/>
        <v>453600</v>
      </c>
      <c r="F28" s="1"/>
      <c r="G28" s="28" t="str">
        <f>IFERROR(VLOOKUP(F28,Tabela7[[RECURSO]:[CUSTO]],2,FALSE),"")</f>
        <v/>
      </c>
      <c r="H28" s="93"/>
      <c r="I28" s="90"/>
      <c r="J28" s="45">
        <f>IFERROR(VLOOKUP(F28,Tabela7[[RECURSO]:[CUSTO]],3,FALSE),0)</f>
        <v>0</v>
      </c>
      <c r="K28" s="45">
        <f t="shared" si="34"/>
        <v>0</v>
      </c>
      <c r="AD28" s="144" t="str">
        <f t="shared" si="3"/>
        <v>Micro Revestimento</v>
      </c>
      <c r="AE28" s="179"/>
      <c r="AF28" s="180">
        <f t="shared" si="20"/>
        <v>0</v>
      </c>
      <c r="AG28" s="180">
        <f t="shared" si="17"/>
        <v>0</v>
      </c>
      <c r="AH28" s="181">
        <f t="shared" si="21"/>
        <v>0</v>
      </c>
      <c r="AI28" s="182"/>
      <c r="AJ28" s="90"/>
      <c r="AK28" s="90"/>
      <c r="AL28" s="183">
        <f t="shared" si="22"/>
        <v>0</v>
      </c>
      <c r="AM28" s="182"/>
      <c r="AN28" s="90"/>
      <c r="AO28" s="90"/>
      <c r="AP28" s="183">
        <f t="shared" si="23"/>
        <v>0</v>
      </c>
      <c r="AQ28" s="182"/>
      <c r="AR28" s="90"/>
      <c r="AS28" s="90"/>
      <c r="AT28" s="183">
        <f t="shared" si="24"/>
        <v>0</v>
      </c>
      <c r="AU28" s="182"/>
      <c r="AV28" s="90"/>
      <c r="AW28" s="90"/>
      <c r="AX28" s="183">
        <f t="shared" si="25"/>
        <v>0</v>
      </c>
      <c r="AY28" s="182"/>
      <c r="AZ28" s="90"/>
      <c r="BA28" s="90"/>
      <c r="BB28" s="183">
        <f t="shared" si="26"/>
        <v>0</v>
      </c>
      <c r="BC28" s="182"/>
      <c r="BD28" s="90"/>
      <c r="BE28" s="90"/>
      <c r="BF28" s="183">
        <f t="shared" si="27"/>
        <v>0</v>
      </c>
      <c r="BG28" s="182"/>
      <c r="BH28" s="90"/>
      <c r="BI28" s="90"/>
      <c r="BJ28" s="183">
        <f t="shared" si="28"/>
        <v>0</v>
      </c>
      <c r="BK28" s="182"/>
      <c r="BL28" s="90"/>
      <c r="BM28" s="90"/>
      <c r="BN28" s="183">
        <f t="shared" si="29"/>
        <v>0</v>
      </c>
      <c r="BO28" s="182"/>
      <c r="BP28" s="90"/>
      <c r="BQ28" s="90"/>
      <c r="BR28" s="183">
        <f t="shared" si="30"/>
        <v>0</v>
      </c>
      <c r="BS28" s="182"/>
      <c r="BT28" s="90"/>
      <c r="BU28" s="90"/>
      <c r="BV28" s="183">
        <f t="shared" si="31"/>
        <v>0</v>
      </c>
      <c r="BW28" s="182"/>
      <c r="BX28" s="90"/>
      <c r="BY28" s="90"/>
      <c r="BZ28" s="183">
        <f t="shared" si="32"/>
        <v>0</v>
      </c>
      <c r="CA28" s="182"/>
      <c r="CB28" s="90"/>
      <c r="CC28" s="90"/>
      <c r="CD28" s="183">
        <f t="shared" si="33"/>
        <v>0</v>
      </c>
    </row>
    <row r="29" spans="2:82" x14ac:dyDescent="0.3">
      <c r="B29" s="53"/>
      <c r="C29" s="53" t="str">
        <f t="shared" si="0"/>
        <v>CPU_MicroRevestimento</v>
      </c>
      <c r="D29" s="278">
        <f t="shared" si="1"/>
        <v>8000</v>
      </c>
      <c r="E29" s="278">
        <f t="shared" si="2"/>
        <v>453600</v>
      </c>
      <c r="F29" s="1"/>
      <c r="G29" s="28" t="str">
        <f>IFERROR(VLOOKUP(F29,Tabela7[[RECURSO]:[CUSTO]],2,FALSE),"")</f>
        <v/>
      </c>
      <c r="H29" s="93"/>
      <c r="I29" s="90"/>
      <c r="J29" s="45">
        <f>IFERROR(VLOOKUP(F29,Tabela7[[RECURSO]:[CUSTO]],3,FALSE),0)</f>
        <v>0</v>
      </c>
      <c r="K29" s="45">
        <f t="shared" si="34"/>
        <v>0</v>
      </c>
      <c r="AD29" s="144" t="str">
        <f t="shared" si="3"/>
        <v>Micro Revestimento</v>
      </c>
      <c r="AE29" s="179"/>
      <c r="AF29" s="180">
        <f t="shared" si="20"/>
        <v>0</v>
      </c>
      <c r="AG29" s="180">
        <f t="shared" si="17"/>
        <v>0</v>
      </c>
      <c r="AH29" s="181">
        <f t="shared" si="21"/>
        <v>0</v>
      </c>
      <c r="AI29" s="182"/>
      <c r="AJ29" s="90"/>
      <c r="AK29" s="90"/>
      <c r="AL29" s="183">
        <f t="shared" si="22"/>
        <v>0</v>
      </c>
      <c r="AM29" s="182"/>
      <c r="AN29" s="90"/>
      <c r="AO29" s="90"/>
      <c r="AP29" s="183">
        <f t="shared" si="23"/>
        <v>0</v>
      </c>
      <c r="AQ29" s="182"/>
      <c r="AR29" s="90"/>
      <c r="AS29" s="90"/>
      <c r="AT29" s="183">
        <f t="shared" si="24"/>
        <v>0</v>
      </c>
      <c r="AU29" s="182"/>
      <c r="AV29" s="90"/>
      <c r="AW29" s="90"/>
      <c r="AX29" s="183">
        <f t="shared" si="25"/>
        <v>0</v>
      </c>
      <c r="AY29" s="182"/>
      <c r="AZ29" s="90"/>
      <c r="BA29" s="90"/>
      <c r="BB29" s="183">
        <f t="shared" si="26"/>
        <v>0</v>
      </c>
      <c r="BC29" s="182"/>
      <c r="BD29" s="90"/>
      <c r="BE29" s="90"/>
      <c r="BF29" s="183">
        <f t="shared" si="27"/>
        <v>0</v>
      </c>
      <c r="BG29" s="182"/>
      <c r="BH29" s="90"/>
      <c r="BI29" s="90"/>
      <c r="BJ29" s="183">
        <f t="shared" si="28"/>
        <v>0</v>
      </c>
      <c r="BK29" s="182"/>
      <c r="BL29" s="90"/>
      <c r="BM29" s="90"/>
      <c r="BN29" s="183">
        <f t="shared" si="29"/>
        <v>0</v>
      </c>
      <c r="BO29" s="182"/>
      <c r="BP29" s="90"/>
      <c r="BQ29" s="90"/>
      <c r="BR29" s="183">
        <f t="shared" si="30"/>
        <v>0</v>
      </c>
      <c r="BS29" s="182"/>
      <c r="BT29" s="90"/>
      <c r="BU29" s="90"/>
      <c r="BV29" s="183">
        <f t="shared" si="31"/>
        <v>0</v>
      </c>
      <c r="BW29" s="182"/>
      <c r="BX29" s="90"/>
      <c r="BY29" s="90"/>
      <c r="BZ29" s="183">
        <f t="shared" si="32"/>
        <v>0</v>
      </c>
      <c r="CA29" s="182"/>
      <c r="CB29" s="90"/>
      <c r="CC29" s="90"/>
      <c r="CD29" s="183">
        <f t="shared" si="33"/>
        <v>0</v>
      </c>
    </row>
    <row r="30" spans="2:82" x14ac:dyDescent="0.3">
      <c r="B30" s="53"/>
      <c r="C30" s="53" t="str">
        <f t="shared" si="0"/>
        <v>CPU_MicroRevestimento</v>
      </c>
      <c r="D30" s="278">
        <f t="shared" si="1"/>
        <v>8000</v>
      </c>
      <c r="E30" s="278">
        <f t="shared" si="2"/>
        <v>453600</v>
      </c>
      <c r="F30" s="1"/>
      <c r="G30" s="28" t="str">
        <f>IFERROR(VLOOKUP(F30,Tabela7[[RECURSO]:[CUSTO]],2,FALSE),"")</f>
        <v/>
      </c>
      <c r="H30" s="93"/>
      <c r="I30" s="90"/>
      <c r="J30" s="45">
        <f>IFERROR(VLOOKUP(F30,Tabela7[[RECURSO]:[CUSTO]],3,FALSE),0)</f>
        <v>0</v>
      </c>
      <c r="K30" s="45">
        <f t="shared" si="34"/>
        <v>0</v>
      </c>
      <c r="N30">
        <f>H12*I12</f>
        <v>4.0909090909090908</v>
      </c>
      <c r="AD30" s="144" t="str">
        <f t="shared" si="3"/>
        <v>Micro Revestimento</v>
      </c>
      <c r="AE30" s="179"/>
      <c r="AF30" s="180">
        <f t="shared" si="20"/>
        <v>0</v>
      </c>
      <c r="AG30" s="180">
        <f t="shared" si="17"/>
        <v>0</v>
      </c>
      <c r="AH30" s="181">
        <f t="shared" si="21"/>
        <v>0</v>
      </c>
      <c r="AI30" s="182"/>
      <c r="AJ30" s="90"/>
      <c r="AK30" s="90"/>
      <c r="AL30" s="183">
        <f t="shared" si="22"/>
        <v>0</v>
      </c>
      <c r="AM30" s="182"/>
      <c r="AN30" s="90"/>
      <c r="AO30" s="90"/>
      <c r="AP30" s="183">
        <f t="shared" si="23"/>
        <v>0</v>
      </c>
      <c r="AQ30" s="182"/>
      <c r="AR30" s="90"/>
      <c r="AS30" s="90"/>
      <c r="AT30" s="183">
        <f t="shared" si="24"/>
        <v>0</v>
      </c>
      <c r="AU30" s="182"/>
      <c r="AV30" s="90"/>
      <c r="AW30" s="90"/>
      <c r="AX30" s="183">
        <f t="shared" si="25"/>
        <v>0</v>
      </c>
      <c r="AY30" s="182"/>
      <c r="AZ30" s="90"/>
      <c r="BA30" s="90"/>
      <c r="BB30" s="183">
        <f t="shared" si="26"/>
        <v>0</v>
      </c>
      <c r="BC30" s="182"/>
      <c r="BD30" s="90"/>
      <c r="BE30" s="90"/>
      <c r="BF30" s="183">
        <f t="shared" si="27"/>
        <v>0</v>
      </c>
      <c r="BG30" s="182"/>
      <c r="BH30" s="90"/>
      <c r="BI30" s="90"/>
      <c r="BJ30" s="183">
        <f t="shared" si="28"/>
        <v>0</v>
      </c>
      <c r="BK30" s="182"/>
      <c r="BL30" s="90"/>
      <c r="BM30" s="90"/>
      <c r="BN30" s="183">
        <f t="shared" si="29"/>
        <v>0</v>
      </c>
      <c r="BO30" s="182"/>
      <c r="BP30" s="90"/>
      <c r="BQ30" s="90"/>
      <c r="BR30" s="183">
        <f t="shared" si="30"/>
        <v>0</v>
      </c>
      <c r="BS30" s="182"/>
      <c r="BT30" s="90"/>
      <c r="BU30" s="90"/>
      <c r="BV30" s="183">
        <f t="shared" si="31"/>
        <v>0</v>
      </c>
      <c r="BW30" s="182"/>
      <c r="BX30" s="90"/>
      <c r="BY30" s="90"/>
      <c r="BZ30" s="183">
        <f t="shared" si="32"/>
        <v>0</v>
      </c>
      <c r="CA30" s="182"/>
      <c r="CB30" s="90"/>
      <c r="CC30" s="90"/>
      <c r="CD30" s="183">
        <f t="shared" si="33"/>
        <v>0</v>
      </c>
    </row>
    <row r="31" spans="2:82" x14ac:dyDescent="0.3">
      <c r="B31" s="53"/>
      <c r="C31" s="53" t="str">
        <f t="shared" si="0"/>
        <v>CPU_MicroRevestimento</v>
      </c>
      <c r="D31" s="278">
        <f t="shared" si="1"/>
        <v>8000</v>
      </c>
      <c r="E31" s="278">
        <f t="shared" si="2"/>
        <v>453600</v>
      </c>
      <c r="F31" s="1"/>
      <c r="G31" s="28" t="str">
        <f>IFERROR(VLOOKUP(F31,Tabela7[[RECURSO]:[CUSTO]],2,FALSE),"")</f>
        <v/>
      </c>
      <c r="H31" s="93"/>
      <c r="I31" s="90"/>
      <c r="J31" s="45">
        <f>IFERROR(VLOOKUP(F31,Tabela7[[RECURSO]:[CUSTO]],3,FALSE),0)</f>
        <v>0</v>
      </c>
      <c r="K31" s="45">
        <f t="shared" si="34"/>
        <v>0</v>
      </c>
      <c r="AD31" s="144" t="str">
        <f t="shared" si="3"/>
        <v>Micro Revestimento</v>
      </c>
      <c r="AE31" s="179"/>
      <c r="AF31" s="180">
        <f t="shared" si="20"/>
        <v>0</v>
      </c>
      <c r="AG31" s="180">
        <f t="shared" si="17"/>
        <v>0</v>
      </c>
      <c r="AH31" s="181">
        <f t="shared" si="21"/>
        <v>0</v>
      </c>
      <c r="AI31" s="182"/>
      <c r="AJ31" s="90"/>
      <c r="AK31" s="90"/>
      <c r="AL31" s="183">
        <f t="shared" si="22"/>
        <v>0</v>
      </c>
      <c r="AM31" s="182"/>
      <c r="AN31" s="90"/>
      <c r="AO31" s="90"/>
      <c r="AP31" s="183">
        <f t="shared" si="23"/>
        <v>0</v>
      </c>
      <c r="AQ31" s="182"/>
      <c r="AR31" s="90"/>
      <c r="AS31" s="90"/>
      <c r="AT31" s="183">
        <f t="shared" si="24"/>
        <v>0</v>
      </c>
      <c r="AU31" s="182"/>
      <c r="AV31" s="90"/>
      <c r="AW31" s="90"/>
      <c r="AX31" s="183">
        <f t="shared" si="25"/>
        <v>0</v>
      </c>
      <c r="AY31" s="182"/>
      <c r="AZ31" s="90"/>
      <c r="BA31" s="90"/>
      <c r="BB31" s="183">
        <f t="shared" si="26"/>
        <v>0</v>
      </c>
      <c r="BC31" s="182"/>
      <c r="BD31" s="90"/>
      <c r="BE31" s="90"/>
      <c r="BF31" s="183">
        <f t="shared" si="27"/>
        <v>0</v>
      </c>
      <c r="BG31" s="182"/>
      <c r="BH31" s="90"/>
      <c r="BI31" s="90"/>
      <c r="BJ31" s="183">
        <f t="shared" si="28"/>
        <v>0</v>
      </c>
      <c r="BK31" s="182"/>
      <c r="BL31" s="90"/>
      <c r="BM31" s="90"/>
      <c r="BN31" s="183">
        <f t="shared" si="29"/>
        <v>0</v>
      </c>
      <c r="BO31" s="182"/>
      <c r="BP31" s="90"/>
      <c r="BQ31" s="90"/>
      <c r="BR31" s="183">
        <f t="shared" si="30"/>
        <v>0</v>
      </c>
      <c r="BS31" s="182"/>
      <c r="BT31" s="90"/>
      <c r="BU31" s="90"/>
      <c r="BV31" s="183">
        <f t="shared" si="31"/>
        <v>0</v>
      </c>
      <c r="BW31" s="182"/>
      <c r="BX31" s="90"/>
      <c r="BY31" s="90"/>
      <c r="BZ31" s="183">
        <f t="shared" si="32"/>
        <v>0</v>
      </c>
      <c r="CA31" s="182"/>
      <c r="CB31" s="90"/>
      <c r="CC31" s="90"/>
      <c r="CD31" s="183">
        <f t="shared" si="33"/>
        <v>0</v>
      </c>
    </row>
    <row r="32" spans="2:82" x14ac:dyDescent="0.3">
      <c r="B32" s="53"/>
      <c r="C32" s="53" t="str">
        <f t="shared" si="0"/>
        <v>CPU_MicroRevestimento</v>
      </c>
      <c r="D32" s="278">
        <f t="shared" si="1"/>
        <v>8000</v>
      </c>
      <c r="E32" s="278">
        <f t="shared" si="2"/>
        <v>453600</v>
      </c>
      <c r="F32" s="1"/>
      <c r="G32" s="28" t="str">
        <f>IFERROR(VLOOKUP(F32,Tabela7[[RECURSO]:[CUSTO]],2,FALSE),"")</f>
        <v/>
      </c>
      <c r="H32" s="93"/>
      <c r="I32" s="90"/>
      <c r="J32" s="45">
        <f>IFERROR(VLOOKUP(F32,Tabela7[[RECURSO]:[CUSTO]],3,FALSE),0)</f>
        <v>0</v>
      </c>
      <c r="K32" s="45">
        <f t="shared" si="34"/>
        <v>0</v>
      </c>
      <c r="AD32" s="144" t="str">
        <f t="shared" si="3"/>
        <v>Micro Revestimento</v>
      </c>
      <c r="AE32" s="179"/>
      <c r="AF32" s="180">
        <f t="shared" si="20"/>
        <v>0</v>
      </c>
      <c r="AG32" s="180">
        <f t="shared" si="17"/>
        <v>0</v>
      </c>
      <c r="AH32" s="181">
        <f t="shared" si="21"/>
        <v>0</v>
      </c>
      <c r="AI32" s="182"/>
      <c r="AJ32" s="90"/>
      <c r="AK32" s="90"/>
      <c r="AL32" s="183">
        <f t="shared" si="22"/>
        <v>0</v>
      </c>
      <c r="AM32" s="182"/>
      <c r="AN32" s="90"/>
      <c r="AO32" s="90"/>
      <c r="AP32" s="183">
        <f t="shared" si="23"/>
        <v>0</v>
      </c>
      <c r="AQ32" s="182"/>
      <c r="AR32" s="90"/>
      <c r="AS32" s="90"/>
      <c r="AT32" s="183">
        <f t="shared" si="24"/>
        <v>0</v>
      </c>
      <c r="AU32" s="182"/>
      <c r="AV32" s="90"/>
      <c r="AW32" s="90"/>
      <c r="AX32" s="183">
        <f t="shared" si="25"/>
        <v>0</v>
      </c>
      <c r="AY32" s="182"/>
      <c r="AZ32" s="90"/>
      <c r="BA32" s="90"/>
      <c r="BB32" s="183">
        <f t="shared" si="26"/>
        <v>0</v>
      </c>
      <c r="BC32" s="182"/>
      <c r="BD32" s="90"/>
      <c r="BE32" s="90"/>
      <c r="BF32" s="183">
        <f t="shared" si="27"/>
        <v>0</v>
      </c>
      <c r="BG32" s="182"/>
      <c r="BH32" s="90"/>
      <c r="BI32" s="90"/>
      <c r="BJ32" s="183">
        <f t="shared" si="28"/>
        <v>0</v>
      </c>
      <c r="BK32" s="182"/>
      <c r="BL32" s="90"/>
      <c r="BM32" s="90"/>
      <c r="BN32" s="183">
        <f t="shared" si="29"/>
        <v>0</v>
      </c>
      <c r="BO32" s="182"/>
      <c r="BP32" s="90"/>
      <c r="BQ32" s="90"/>
      <c r="BR32" s="183">
        <f t="shared" si="30"/>
        <v>0</v>
      </c>
      <c r="BS32" s="182"/>
      <c r="BT32" s="90"/>
      <c r="BU32" s="90"/>
      <c r="BV32" s="183">
        <f t="shared" si="31"/>
        <v>0</v>
      </c>
      <c r="BW32" s="182"/>
      <c r="BX32" s="90"/>
      <c r="BY32" s="90"/>
      <c r="BZ32" s="183">
        <f t="shared" si="32"/>
        <v>0</v>
      </c>
      <c r="CA32" s="182"/>
      <c r="CB32" s="90"/>
      <c r="CC32" s="90"/>
      <c r="CD32" s="183">
        <f t="shared" si="33"/>
        <v>0</v>
      </c>
    </row>
    <row r="33" spans="2:82" x14ac:dyDescent="0.3">
      <c r="B33" s="53"/>
      <c r="C33" s="53" t="str">
        <f t="shared" si="0"/>
        <v>CPU_MicroRevestimento</v>
      </c>
      <c r="D33" s="278">
        <f t="shared" si="1"/>
        <v>8000</v>
      </c>
      <c r="E33" s="278">
        <f t="shared" si="2"/>
        <v>453600</v>
      </c>
      <c r="F33" s="1"/>
      <c r="G33" s="28" t="str">
        <f>IFERROR(VLOOKUP(F33,Tabela7[[RECURSO]:[CUSTO]],2,FALSE),"")</f>
        <v/>
      </c>
      <c r="H33" s="93"/>
      <c r="I33" s="90"/>
      <c r="J33" s="45">
        <f>IFERROR(VLOOKUP(F33,Tabela7[[RECURSO]:[CUSTO]],3,FALSE),0)</f>
        <v>0</v>
      </c>
      <c r="K33" s="45">
        <f t="shared" si="34"/>
        <v>0</v>
      </c>
      <c r="AD33" s="144" t="str">
        <f t="shared" si="3"/>
        <v>Micro Revestimento</v>
      </c>
      <c r="AE33" s="179"/>
      <c r="AF33" s="180">
        <f t="shared" si="20"/>
        <v>0</v>
      </c>
      <c r="AG33" s="180">
        <f t="shared" si="17"/>
        <v>0</v>
      </c>
      <c r="AH33" s="181">
        <f t="shared" si="21"/>
        <v>0</v>
      </c>
      <c r="AI33" s="182"/>
      <c r="AJ33" s="90"/>
      <c r="AK33" s="90"/>
      <c r="AL33" s="183">
        <f t="shared" si="22"/>
        <v>0</v>
      </c>
      <c r="AM33" s="182"/>
      <c r="AN33" s="90"/>
      <c r="AO33" s="90"/>
      <c r="AP33" s="183">
        <f t="shared" si="23"/>
        <v>0</v>
      </c>
      <c r="AQ33" s="182"/>
      <c r="AR33" s="90"/>
      <c r="AS33" s="90"/>
      <c r="AT33" s="183">
        <f t="shared" si="24"/>
        <v>0</v>
      </c>
      <c r="AU33" s="182"/>
      <c r="AV33" s="90"/>
      <c r="AW33" s="90"/>
      <c r="AX33" s="183">
        <f t="shared" si="25"/>
        <v>0</v>
      </c>
      <c r="AY33" s="182"/>
      <c r="AZ33" s="90"/>
      <c r="BA33" s="90"/>
      <c r="BB33" s="183">
        <f t="shared" si="26"/>
        <v>0</v>
      </c>
      <c r="BC33" s="182"/>
      <c r="BD33" s="90"/>
      <c r="BE33" s="90"/>
      <c r="BF33" s="183">
        <f t="shared" si="27"/>
        <v>0</v>
      </c>
      <c r="BG33" s="182"/>
      <c r="BH33" s="90"/>
      <c r="BI33" s="90"/>
      <c r="BJ33" s="183">
        <f t="shared" si="28"/>
        <v>0</v>
      </c>
      <c r="BK33" s="182"/>
      <c r="BL33" s="90"/>
      <c r="BM33" s="90"/>
      <c r="BN33" s="183">
        <f t="shared" si="29"/>
        <v>0</v>
      </c>
      <c r="BO33" s="182"/>
      <c r="BP33" s="90"/>
      <c r="BQ33" s="90"/>
      <c r="BR33" s="183">
        <f t="shared" si="30"/>
        <v>0</v>
      </c>
      <c r="BS33" s="182"/>
      <c r="BT33" s="90"/>
      <c r="BU33" s="90"/>
      <c r="BV33" s="183">
        <f t="shared" si="31"/>
        <v>0</v>
      </c>
      <c r="BW33" s="182"/>
      <c r="BX33" s="90"/>
      <c r="BY33" s="90"/>
      <c r="BZ33" s="183">
        <f t="shared" si="32"/>
        <v>0</v>
      </c>
      <c r="CA33" s="182"/>
      <c r="CB33" s="90"/>
      <c r="CC33" s="90"/>
      <c r="CD33" s="183">
        <f t="shared" si="33"/>
        <v>0</v>
      </c>
    </row>
    <row r="34" spans="2:82" x14ac:dyDescent="0.3">
      <c r="B34" s="53"/>
      <c r="C34" s="53" t="str">
        <f t="shared" si="0"/>
        <v>CPU_MicroRevestimento</v>
      </c>
      <c r="D34" s="278">
        <f t="shared" si="1"/>
        <v>8000</v>
      </c>
      <c r="E34" s="278">
        <f t="shared" si="2"/>
        <v>453600</v>
      </c>
      <c r="F34" s="1"/>
      <c r="G34" s="28" t="str">
        <f>IFERROR(VLOOKUP(F34,Tabela7[[RECURSO]:[CUSTO]],2,FALSE),"")</f>
        <v/>
      </c>
      <c r="H34" s="93"/>
      <c r="I34" s="90"/>
      <c r="J34" s="45">
        <f>IFERROR(VLOOKUP(F34,Tabela7[[RECURSO]:[CUSTO]],3,FALSE),0)</f>
        <v>0</v>
      </c>
      <c r="K34" s="45">
        <f t="shared" si="34"/>
        <v>0</v>
      </c>
      <c r="AD34" s="144" t="str">
        <f t="shared" si="3"/>
        <v>Micro Revestimento</v>
      </c>
      <c r="AE34" s="179"/>
      <c r="AF34" s="180">
        <f t="shared" si="20"/>
        <v>0</v>
      </c>
      <c r="AG34" s="180">
        <f t="shared" si="17"/>
        <v>0</v>
      </c>
      <c r="AH34" s="181">
        <f t="shared" si="21"/>
        <v>0</v>
      </c>
      <c r="AI34" s="182"/>
      <c r="AJ34" s="90"/>
      <c r="AK34" s="90"/>
      <c r="AL34" s="183">
        <f t="shared" si="22"/>
        <v>0</v>
      </c>
      <c r="AM34" s="182"/>
      <c r="AN34" s="90"/>
      <c r="AO34" s="90"/>
      <c r="AP34" s="183">
        <f t="shared" si="23"/>
        <v>0</v>
      </c>
      <c r="AQ34" s="182"/>
      <c r="AR34" s="90"/>
      <c r="AS34" s="90"/>
      <c r="AT34" s="183">
        <f t="shared" si="24"/>
        <v>0</v>
      </c>
      <c r="AU34" s="182"/>
      <c r="AV34" s="90"/>
      <c r="AW34" s="90"/>
      <c r="AX34" s="183">
        <f t="shared" si="25"/>
        <v>0</v>
      </c>
      <c r="AY34" s="182"/>
      <c r="AZ34" s="90"/>
      <c r="BA34" s="90"/>
      <c r="BB34" s="183">
        <f t="shared" si="26"/>
        <v>0</v>
      </c>
      <c r="BC34" s="182"/>
      <c r="BD34" s="90"/>
      <c r="BE34" s="90"/>
      <c r="BF34" s="183">
        <f t="shared" si="27"/>
        <v>0</v>
      </c>
      <c r="BG34" s="182"/>
      <c r="BH34" s="90"/>
      <c r="BI34" s="90"/>
      <c r="BJ34" s="183">
        <f t="shared" si="28"/>
        <v>0</v>
      </c>
      <c r="BK34" s="182"/>
      <c r="BL34" s="90"/>
      <c r="BM34" s="90"/>
      <c r="BN34" s="183">
        <f t="shared" si="29"/>
        <v>0</v>
      </c>
      <c r="BO34" s="182"/>
      <c r="BP34" s="90"/>
      <c r="BQ34" s="90"/>
      <c r="BR34" s="183">
        <f t="shared" si="30"/>
        <v>0</v>
      </c>
      <c r="BS34" s="182"/>
      <c r="BT34" s="90"/>
      <c r="BU34" s="90"/>
      <c r="BV34" s="183">
        <f t="shared" si="31"/>
        <v>0</v>
      </c>
      <c r="BW34" s="182"/>
      <c r="BX34" s="90"/>
      <c r="BY34" s="90"/>
      <c r="BZ34" s="183">
        <f t="shared" si="32"/>
        <v>0</v>
      </c>
      <c r="CA34" s="182"/>
      <c r="CB34" s="90"/>
      <c r="CC34" s="90"/>
      <c r="CD34" s="183">
        <f t="shared" si="33"/>
        <v>0</v>
      </c>
    </row>
    <row r="35" spans="2:82" x14ac:dyDescent="0.3">
      <c r="B35" s="53"/>
      <c r="C35" s="53" t="str">
        <f t="shared" si="0"/>
        <v>CPU_MicroRevestimento</v>
      </c>
      <c r="D35" s="278">
        <f t="shared" si="1"/>
        <v>8000</v>
      </c>
      <c r="E35" s="278">
        <f t="shared" si="2"/>
        <v>453600</v>
      </c>
      <c r="F35" s="1"/>
      <c r="G35" s="28" t="str">
        <f>IFERROR(VLOOKUP(F35,Tabela7[[RECURSO]:[CUSTO]],2,FALSE),"")</f>
        <v/>
      </c>
      <c r="H35" s="93"/>
      <c r="I35" s="90"/>
      <c r="J35" s="45">
        <f>IFERROR(VLOOKUP(F35,Tabela7[[RECURSO]:[CUSTO]],3,FALSE),0)</f>
        <v>0</v>
      </c>
      <c r="K35" s="45">
        <f t="shared" si="34"/>
        <v>0</v>
      </c>
      <c r="AD35" s="144" t="str">
        <f t="shared" si="3"/>
        <v>Micro Revestimento</v>
      </c>
      <c r="AE35" s="179"/>
      <c r="AF35" s="180">
        <f t="shared" si="20"/>
        <v>0</v>
      </c>
      <c r="AG35" s="180">
        <f t="shared" si="17"/>
        <v>0</v>
      </c>
      <c r="AH35" s="181">
        <f t="shared" si="21"/>
        <v>0</v>
      </c>
      <c r="AI35" s="182"/>
      <c r="AJ35" s="90"/>
      <c r="AK35" s="90"/>
      <c r="AL35" s="183">
        <f t="shared" si="22"/>
        <v>0</v>
      </c>
      <c r="AM35" s="182"/>
      <c r="AN35" s="90"/>
      <c r="AO35" s="90"/>
      <c r="AP35" s="183">
        <f t="shared" si="23"/>
        <v>0</v>
      </c>
      <c r="AQ35" s="182"/>
      <c r="AR35" s="90"/>
      <c r="AS35" s="90"/>
      <c r="AT35" s="183">
        <f t="shared" si="24"/>
        <v>0</v>
      </c>
      <c r="AU35" s="182"/>
      <c r="AV35" s="90"/>
      <c r="AW35" s="90"/>
      <c r="AX35" s="183">
        <f t="shared" si="25"/>
        <v>0</v>
      </c>
      <c r="AY35" s="182"/>
      <c r="AZ35" s="90"/>
      <c r="BA35" s="90"/>
      <c r="BB35" s="183">
        <f t="shared" si="26"/>
        <v>0</v>
      </c>
      <c r="BC35" s="182"/>
      <c r="BD35" s="90"/>
      <c r="BE35" s="90"/>
      <c r="BF35" s="183">
        <f t="shared" si="27"/>
        <v>0</v>
      </c>
      <c r="BG35" s="182"/>
      <c r="BH35" s="90"/>
      <c r="BI35" s="90"/>
      <c r="BJ35" s="183">
        <f t="shared" si="28"/>
        <v>0</v>
      </c>
      <c r="BK35" s="182"/>
      <c r="BL35" s="90"/>
      <c r="BM35" s="90"/>
      <c r="BN35" s="183">
        <f t="shared" si="29"/>
        <v>0</v>
      </c>
      <c r="BO35" s="182"/>
      <c r="BP35" s="90"/>
      <c r="BQ35" s="90"/>
      <c r="BR35" s="183">
        <f t="shared" si="30"/>
        <v>0</v>
      </c>
      <c r="BS35" s="182"/>
      <c r="BT35" s="90"/>
      <c r="BU35" s="90"/>
      <c r="BV35" s="183">
        <f t="shared" si="31"/>
        <v>0</v>
      </c>
      <c r="BW35" s="182"/>
      <c r="BX35" s="90"/>
      <c r="BY35" s="90"/>
      <c r="BZ35" s="183">
        <f t="shared" si="32"/>
        <v>0</v>
      </c>
      <c r="CA35" s="182"/>
      <c r="CB35" s="90"/>
      <c r="CC35" s="90"/>
      <c r="CD35" s="183">
        <f t="shared" si="33"/>
        <v>0</v>
      </c>
    </row>
    <row r="36" spans="2:82" x14ac:dyDescent="0.3">
      <c r="B36" s="53"/>
      <c r="C36" s="53" t="str">
        <f t="shared" si="0"/>
        <v>CPU_MicroRevestimento</v>
      </c>
      <c r="D36" s="278">
        <f t="shared" si="1"/>
        <v>8000</v>
      </c>
      <c r="E36" s="278">
        <f t="shared" si="2"/>
        <v>453600</v>
      </c>
      <c r="F36" s="1"/>
      <c r="G36" s="28" t="str">
        <f>IFERROR(VLOOKUP(F36,Tabela7[[RECURSO]:[CUSTO]],2,FALSE),"")</f>
        <v/>
      </c>
      <c r="H36" s="93"/>
      <c r="I36" s="90"/>
      <c r="J36" s="45">
        <f>IFERROR(VLOOKUP(F36,Tabela7[[RECURSO]:[CUSTO]],3,FALSE),0)</f>
        <v>0</v>
      </c>
      <c r="K36" s="45">
        <f t="shared" si="34"/>
        <v>0</v>
      </c>
      <c r="AD36" s="144" t="str">
        <f t="shared" si="3"/>
        <v>Micro Revestimento</v>
      </c>
      <c r="AE36" s="179"/>
      <c r="AF36" s="180">
        <f t="shared" si="20"/>
        <v>0</v>
      </c>
      <c r="AG36" s="180">
        <f t="shared" si="17"/>
        <v>0</v>
      </c>
      <c r="AH36" s="181">
        <f t="shared" si="21"/>
        <v>0</v>
      </c>
      <c r="AI36" s="182"/>
      <c r="AJ36" s="90"/>
      <c r="AK36" s="90"/>
      <c r="AL36" s="183">
        <f t="shared" si="22"/>
        <v>0</v>
      </c>
      <c r="AM36" s="182"/>
      <c r="AN36" s="90"/>
      <c r="AO36" s="90"/>
      <c r="AP36" s="183">
        <f t="shared" si="23"/>
        <v>0</v>
      </c>
      <c r="AQ36" s="182"/>
      <c r="AR36" s="90"/>
      <c r="AS36" s="90"/>
      <c r="AT36" s="183">
        <f t="shared" si="24"/>
        <v>0</v>
      </c>
      <c r="AU36" s="182"/>
      <c r="AV36" s="90"/>
      <c r="AW36" s="90"/>
      <c r="AX36" s="183">
        <f t="shared" si="25"/>
        <v>0</v>
      </c>
      <c r="AY36" s="182"/>
      <c r="AZ36" s="90"/>
      <c r="BA36" s="90"/>
      <c r="BB36" s="183">
        <f t="shared" si="26"/>
        <v>0</v>
      </c>
      <c r="BC36" s="182"/>
      <c r="BD36" s="90"/>
      <c r="BE36" s="90"/>
      <c r="BF36" s="183">
        <f t="shared" si="27"/>
        <v>0</v>
      </c>
      <c r="BG36" s="182"/>
      <c r="BH36" s="90"/>
      <c r="BI36" s="90"/>
      <c r="BJ36" s="183">
        <f t="shared" si="28"/>
        <v>0</v>
      </c>
      <c r="BK36" s="182"/>
      <c r="BL36" s="90"/>
      <c r="BM36" s="90"/>
      <c r="BN36" s="183">
        <f t="shared" si="29"/>
        <v>0</v>
      </c>
      <c r="BO36" s="182"/>
      <c r="BP36" s="90"/>
      <c r="BQ36" s="90"/>
      <c r="BR36" s="183">
        <f t="shared" si="30"/>
        <v>0</v>
      </c>
      <c r="BS36" s="182"/>
      <c r="BT36" s="90"/>
      <c r="BU36" s="90"/>
      <c r="BV36" s="183">
        <f t="shared" si="31"/>
        <v>0</v>
      </c>
      <c r="BW36" s="182"/>
      <c r="BX36" s="90"/>
      <c r="BY36" s="90"/>
      <c r="BZ36" s="183">
        <f t="shared" si="32"/>
        <v>0</v>
      </c>
      <c r="CA36" s="182"/>
      <c r="CB36" s="90"/>
      <c r="CC36" s="90"/>
      <c r="CD36" s="183">
        <f t="shared" si="33"/>
        <v>0</v>
      </c>
    </row>
    <row r="37" spans="2:82" x14ac:dyDescent="0.3">
      <c r="B37" s="52" t="s">
        <v>692</v>
      </c>
      <c r="C37" s="52" t="str">
        <f t="shared" si="0"/>
        <v>CPU_MicroRevestimento</v>
      </c>
      <c r="D37" s="277">
        <f t="shared" si="1"/>
        <v>8000</v>
      </c>
      <c r="E37" s="277">
        <f t="shared" si="2"/>
        <v>453600</v>
      </c>
      <c r="F37" s="37"/>
      <c r="G37" s="38"/>
      <c r="H37" s="91"/>
      <c r="I37" s="40"/>
      <c r="J37" s="40">
        <f>IFERROR(K37/$B$6,0)</f>
        <v>0.69354498950019472</v>
      </c>
      <c r="K37" s="40">
        <f>SUM(K38:K49)</f>
        <v>5548.3599160015574</v>
      </c>
      <c r="N37" s="39"/>
      <c r="AD37" s="144" t="str">
        <f t="shared" si="3"/>
        <v>Micro Revestimento</v>
      </c>
      <c r="AE37" s="184"/>
      <c r="AF37" s="40"/>
      <c r="AG37" s="40">
        <f>IFERROR(AH37/AF$3,0)</f>
        <v>0</v>
      </c>
      <c r="AH37" s="185">
        <f>SUM(AH38:AH49)</f>
        <v>0</v>
      </c>
      <c r="AI37" s="184"/>
      <c r="AJ37" s="40"/>
      <c r="AK37" s="40">
        <f>IFERROR(AL37/AJ$3,0)</f>
        <v>0</v>
      </c>
      <c r="AL37" s="185">
        <f>SUM(AL38:AL49)</f>
        <v>0</v>
      </c>
      <c r="AM37" s="184"/>
      <c r="AN37" s="40"/>
      <c r="AO37" s="40">
        <f>IFERROR(AP37/AN$3,0)</f>
        <v>0</v>
      </c>
      <c r="AP37" s="185">
        <f>SUM(AP38:AP49)</f>
        <v>0</v>
      </c>
      <c r="AQ37" s="184"/>
      <c r="AR37" s="40"/>
      <c r="AS37" s="40">
        <f>IFERROR(AT37/AR$3,0)</f>
        <v>0</v>
      </c>
      <c r="AT37" s="185">
        <f>SUM(AT38:AT49)</f>
        <v>0</v>
      </c>
      <c r="AU37" s="184"/>
      <c r="AV37" s="40"/>
      <c r="AW37" s="40">
        <f>IFERROR(AX37/AV$3,0)</f>
        <v>0</v>
      </c>
      <c r="AX37" s="185">
        <f>SUM(AX38:AX49)</f>
        <v>0</v>
      </c>
      <c r="AY37" s="184"/>
      <c r="AZ37" s="40"/>
      <c r="BA37" s="40">
        <f>IFERROR(BB37/AZ$3,0)</f>
        <v>0</v>
      </c>
      <c r="BB37" s="185">
        <f>SUM(BB38:BB49)</f>
        <v>0</v>
      </c>
      <c r="BC37" s="184"/>
      <c r="BD37" s="40"/>
      <c r="BE37" s="40">
        <f>IFERROR(BF37/BD$3,0)</f>
        <v>0</v>
      </c>
      <c r="BF37" s="185">
        <f>SUM(BF38:BF49)</f>
        <v>0</v>
      </c>
      <c r="BG37" s="184"/>
      <c r="BH37" s="40"/>
      <c r="BI37" s="40">
        <f>IFERROR(BJ37/BH$3,0)</f>
        <v>0</v>
      </c>
      <c r="BJ37" s="185">
        <f>SUM(BJ38:BJ49)</f>
        <v>0</v>
      </c>
      <c r="BK37" s="184"/>
      <c r="BL37" s="40"/>
      <c r="BM37" s="40">
        <f>IFERROR(BN37/BL$3,0)</f>
        <v>0</v>
      </c>
      <c r="BN37" s="185">
        <f>SUM(BN38:BN49)</f>
        <v>0</v>
      </c>
      <c r="BO37" s="184"/>
      <c r="BP37" s="40"/>
      <c r="BQ37" s="40">
        <f>IFERROR(BR37/BP$3,0)</f>
        <v>0</v>
      </c>
      <c r="BR37" s="185">
        <f>SUM(BR38:BR49)</f>
        <v>0</v>
      </c>
      <c r="BS37" s="184"/>
      <c r="BT37" s="40"/>
      <c r="BU37" s="40">
        <f>IFERROR(BV37/BT$3,0)</f>
        <v>0</v>
      </c>
      <c r="BV37" s="185">
        <f>SUM(BV38:BV49)</f>
        <v>0</v>
      </c>
      <c r="BW37" s="184"/>
      <c r="BX37" s="40"/>
      <c r="BY37" s="40">
        <f>IFERROR(BZ37/BX$3,0)</f>
        <v>0</v>
      </c>
      <c r="BZ37" s="185">
        <f>SUM(BZ38:BZ49)</f>
        <v>0</v>
      </c>
      <c r="CA37" s="184"/>
      <c r="CB37" s="40"/>
      <c r="CC37" s="40">
        <f>IFERROR(CD37/CB$3,0)</f>
        <v>0</v>
      </c>
      <c r="CD37" s="185">
        <f>SUM(CD38:CD49)</f>
        <v>0</v>
      </c>
    </row>
    <row r="38" spans="2:82" x14ac:dyDescent="0.3">
      <c r="B38" s="54"/>
      <c r="C38" s="54" t="str">
        <f t="shared" si="0"/>
        <v>CPU_MicroRevestimento</v>
      </c>
      <c r="D38" s="280">
        <f t="shared" si="1"/>
        <v>8000</v>
      </c>
      <c r="E38" s="280">
        <f t="shared" si="2"/>
        <v>453600</v>
      </c>
      <c r="F38" s="1" t="s">
        <v>850</v>
      </c>
      <c r="G38" s="28" t="str">
        <f>IFERROR(VLOOKUP(F38,Tabela7[[RECURSO]:[CUSTO]],2,FALSE),"")</f>
        <v>H</v>
      </c>
      <c r="H38" s="92">
        <f>H12</f>
        <v>3</v>
      </c>
      <c r="I38" s="90">
        <v>10</v>
      </c>
      <c r="J38" s="45">
        <f>IFERROR(VLOOKUP(F38,Tabela7[[RECURSO]:[CUSTO]],3,FALSE),0)</f>
        <v>37.466726747128675</v>
      </c>
      <c r="K38" s="45">
        <f>I38*J38*CPU_16[[#This Row],[Nº]]</f>
        <v>1124.0018024138603</v>
      </c>
      <c r="AD38" s="144" t="str">
        <f t="shared" si="3"/>
        <v>Micro Revestimento</v>
      </c>
      <c r="AE38" s="186"/>
      <c r="AF38" s="180">
        <f t="shared" ref="AF38:AF49" si="35">AJ38+AN38+AR38+AV38+AZ38+BD38+BH38+BL38+BP38+BT38+BX38+CB38</f>
        <v>0</v>
      </c>
      <c r="AG38" s="180">
        <f t="shared" si="17"/>
        <v>0</v>
      </c>
      <c r="AH38" s="181">
        <f t="shared" ref="AH38:AH49" si="36">AL38+AP38+AT38+AX38+BB38+BF38+BJ38+BN38+BR38+BV38+BZ38+CD38</f>
        <v>0</v>
      </c>
      <c r="AI38" s="187"/>
      <c r="AJ38" s="90"/>
      <c r="AK38" s="90"/>
      <c r="AL38" s="183">
        <f t="shared" ref="AL38:AL49" si="37">AJ38*AK38</f>
        <v>0</v>
      </c>
      <c r="AM38" s="187"/>
      <c r="AN38" s="90"/>
      <c r="AO38" s="90"/>
      <c r="AP38" s="183">
        <f t="shared" si="23"/>
        <v>0</v>
      </c>
      <c r="AQ38" s="187"/>
      <c r="AR38" s="90"/>
      <c r="AS38" s="90"/>
      <c r="AT38" s="183">
        <f t="shared" si="24"/>
        <v>0</v>
      </c>
      <c r="AU38" s="187"/>
      <c r="AV38" s="90"/>
      <c r="AW38" s="90"/>
      <c r="AX38" s="183">
        <f t="shared" si="25"/>
        <v>0</v>
      </c>
      <c r="AY38" s="187"/>
      <c r="AZ38" s="90"/>
      <c r="BA38" s="90"/>
      <c r="BB38" s="183">
        <f t="shared" si="26"/>
        <v>0</v>
      </c>
      <c r="BC38" s="187"/>
      <c r="BD38" s="90"/>
      <c r="BE38" s="90"/>
      <c r="BF38" s="183">
        <f t="shared" si="27"/>
        <v>0</v>
      </c>
      <c r="BG38" s="187"/>
      <c r="BH38" s="90"/>
      <c r="BI38" s="90"/>
      <c r="BJ38" s="183">
        <f t="shared" si="28"/>
        <v>0</v>
      </c>
      <c r="BK38" s="187"/>
      <c r="BL38" s="90"/>
      <c r="BM38" s="90"/>
      <c r="BN38" s="183">
        <f t="shared" si="29"/>
        <v>0</v>
      </c>
      <c r="BO38" s="187"/>
      <c r="BP38" s="90"/>
      <c r="BQ38" s="90"/>
      <c r="BR38" s="183">
        <f t="shared" si="30"/>
        <v>0</v>
      </c>
      <c r="BS38" s="187"/>
      <c r="BT38" s="90"/>
      <c r="BU38" s="90"/>
      <c r="BV38" s="183">
        <f t="shared" si="31"/>
        <v>0</v>
      </c>
      <c r="BW38" s="187"/>
      <c r="BX38" s="90"/>
      <c r="BY38" s="90"/>
      <c r="BZ38" s="183">
        <f t="shared" si="32"/>
        <v>0</v>
      </c>
      <c r="CA38" s="187"/>
      <c r="CB38" s="90"/>
      <c r="CC38" s="90"/>
      <c r="CD38" s="183">
        <f t="shared" si="33"/>
        <v>0</v>
      </c>
    </row>
    <row r="39" spans="2:82" x14ac:dyDescent="0.3">
      <c r="B39" s="54"/>
      <c r="C39" s="54" t="str">
        <f t="shared" si="0"/>
        <v>CPU_MicroRevestimento</v>
      </c>
      <c r="D39" s="280">
        <f t="shared" si="1"/>
        <v>8000</v>
      </c>
      <c r="E39" s="280">
        <f t="shared" si="2"/>
        <v>453600</v>
      </c>
      <c r="F39" s="1" t="s">
        <v>851</v>
      </c>
      <c r="G39" s="28" t="str">
        <f>IFERROR(VLOOKUP(F39,Tabela7[[RECURSO]:[CUSTO]],2,FALSE),"")</f>
        <v>H</v>
      </c>
      <c r="H39" s="92">
        <f>H13</f>
        <v>1</v>
      </c>
      <c r="I39" s="90">
        <v>10</v>
      </c>
      <c r="J39" s="45">
        <f>IFERROR(VLOOKUP(F39,Tabela7[[RECURSO]:[CUSTO]],3,FALSE),0)</f>
        <v>35.57167850885731</v>
      </c>
      <c r="K39" s="45">
        <f>I39*J39*CPU_16[[#This Row],[Nº]]</f>
        <v>355.71678508857309</v>
      </c>
      <c r="AD39" s="144" t="str">
        <f t="shared" si="3"/>
        <v>Micro Revestimento</v>
      </c>
      <c r="AE39" s="186"/>
      <c r="AF39" s="180">
        <f t="shared" si="35"/>
        <v>0</v>
      </c>
      <c r="AG39" s="180">
        <f t="shared" si="17"/>
        <v>0</v>
      </c>
      <c r="AH39" s="181">
        <f t="shared" si="36"/>
        <v>0</v>
      </c>
      <c r="AI39" s="187"/>
      <c r="AJ39" s="90"/>
      <c r="AK39" s="90"/>
      <c r="AL39" s="183">
        <f t="shared" si="37"/>
        <v>0</v>
      </c>
      <c r="AM39" s="187"/>
      <c r="AN39" s="90"/>
      <c r="AO39" s="90"/>
      <c r="AP39" s="183">
        <f t="shared" si="23"/>
        <v>0</v>
      </c>
      <c r="AQ39" s="187"/>
      <c r="AR39" s="90"/>
      <c r="AS39" s="90"/>
      <c r="AT39" s="183">
        <f t="shared" si="24"/>
        <v>0</v>
      </c>
      <c r="AU39" s="187"/>
      <c r="AV39" s="90"/>
      <c r="AW39" s="90"/>
      <c r="AX39" s="183">
        <f t="shared" si="25"/>
        <v>0</v>
      </c>
      <c r="AY39" s="187"/>
      <c r="AZ39" s="90"/>
      <c r="BA39" s="90"/>
      <c r="BB39" s="183">
        <f t="shared" si="26"/>
        <v>0</v>
      </c>
      <c r="BC39" s="187"/>
      <c r="BD39" s="90"/>
      <c r="BE39" s="90"/>
      <c r="BF39" s="183">
        <f t="shared" si="27"/>
        <v>0</v>
      </c>
      <c r="BG39" s="187"/>
      <c r="BH39" s="90"/>
      <c r="BI39" s="90"/>
      <c r="BJ39" s="183">
        <f t="shared" si="28"/>
        <v>0</v>
      </c>
      <c r="BK39" s="187"/>
      <c r="BL39" s="90"/>
      <c r="BM39" s="90"/>
      <c r="BN39" s="183">
        <f t="shared" si="29"/>
        <v>0</v>
      </c>
      <c r="BO39" s="187"/>
      <c r="BP39" s="90"/>
      <c r="BQ39" s="90"/>
      <c r="BR39" s="183">
        <f t="shared" si="30"/>
        <v>0</v>
      </c>
      <c r="BS39" s="187"/>
      <c r="BT39" s="90"/>
      <c r="BU39" s="90"/>
      <c r="BV39" s="183">
        <f t="shared" si="31"/>
        <v>0</v>
      </c>
      <c r="BW39" s="187"/>
      <c r="BX39" s="90"/>
      <c r="BY39" s="90"/>
      <c r="BZ39" s="183">
        <f t="shared" si="32"/>
        <v>0</v>
      </c>
      <c r="CA39" s="187"/>
      <c r="CB39" s="90"/>
      <c r="CC39" s="90"/>
      <c r="CD39" s="183">
        <f t="shared" si="33"/>
        <v>0</v>
      </c>
    </row>
    <row r="40" spans="2:82" x14ac:dyDescent="0.3">
      <c r="B40" s="54"/>
      <c r="C40" s="54" t="str">
        <f t="shared" si="0"/>
        <v>CPU_MicroRevestimento</v>
      </c>
      <c r="D40" s="280">
        <f t="shared" si="1"/>
        <v>8000</v>
      </c>
      <c r="E40" s="280">
        <f t="shared" si="2"/>
        <v>453600</v>
      </c>
      <c r="F40" s="1" t="s">
        <v>852</v>
      </c>
      <c r="G40" s="28" t="str">
        <f>IFERROR(VLOOKUP(F40,Tabela7[[RECURSO]:[CUSTO]],2,FALSE),"")</f>
        <v>H</v>
      </c>
      <c r="H40" s="92">
        <f>H14</f>
        <v>1</v>
      </c>
      <c r="I40" s="90">
        <v>10</v>
      </c>
      <c r="J40" s="45">
        <f>IFERROR(VLOOKUP(F40,Tabela7[[RECURSO]:[CUSTO]],3,FALSE),0)</f>
        <v>39.212114074362468</v>
      </c>
      <c r="K40" s="45">
        <f>I40*J40*CPU_16[[#This Row],[Nº]]</f>
        <v>392.12114074362466</v>
      </c>
      <c r="AD40" s="144" t="str">
        <f t="shared" si="3"/>
        <v>Micro Revestimento</v>
      </c>
      <c r="AE40" s="186"/>
      <c r="AF40" s="180">
        <f t="shared" si="35"/>
        <v>0</v>
      </c>
      <c r="AG40" s="180">
        <f t="shared" si="17"/>
        <v>0</v>
      </c>
      <c r="AH40" s="181">
        <f t="shared" si="36"/>
        <v>0</v>
      </c>
      <c r="AI40" s="187"/>
      <c r="AJ40" s="90"/>
      <c r="AK40" s="90"/>
      <c r="AL40" s="183">
        <f t="shared" si="37"/>
        <v>0</v>
      </c>
      <c r="AM40" s="187"/>
      <c r="AN40" s="90"/>
      <c r="AO40" s="90"/>
      <c r="AP40" s="183">
        <f t="shared" si="23"/>
        <v>0</v>
      </c>
      <c r="AQ40" s="187"/>
      <c r="AR40" s="90"/>
      <c r="AS40" s="90"/>
      <c r="AT40" s="183">
        <f t="shared" si="24"/>
        <v>0</v>
      </c>
      <c r="AU40" s="187"/>
      <c r="AV40" s="90"/>
      <c r="AW40" s="90"/>
      <c r="AX40" s="183">
        <f t="shared" si="25"/>
        <v>0</v>
      </c>
      <c r="AY40" s="187"/>
      <c r="AZ40" s="90"/>
      <c r="BA40" s="90"/>
      <c r="BB40" s="183">
        <f t="shared" si="26"/>
        <v>0</v>
      </c>
      <c r="BC40" s="187"/>
      <c r="BD40" s="90"/>
      <c r="BE40" s="90"/>
      <c r="BF40" s="183">
        <f t="shared" si="27"/>
        <v>0</v>
      </c>
      <c r="BG40" s="187"/>
      <c r="BH40" s="90"/>
      <c r="BI40" s="90"/>
      <c r="BJ40" s="183">
        <f t="shared" si="28"/>
        <v>0</v>
      </c>
      <c r="BK40" s="187"/>
      <c r="BL40" s="90"/>
      <c r="BM40" s="90"/>
      <c r="BN40" s="183">
        <f t="shared" si="29"/>
        <v>0</v>
      </c>
      <c r="BO40" s="187"/>
      <c r="BP40" s="90"/>
      <c r="BQ40" s="90"/>
      <c r="BR40" s="183">
        <f t="shared" si="30"/>
        <v>0</v>
      </c>
      <c r="BS40" s="187"/>
      <c r="BT40" s="90"/>
      <c r="BU40" s="90"/>
      <c r="BV40" s="183">
        <f t="shared" si="31"/>
        <v>0</v>
      </c>
      <c r="BW40" s="187"/>
      <c r="BX40" s="90"/>
      <c r="BY40" s="90"/>
      <c r="BZ40" s="183">
        <f t="shared" si="32"/>
        <v>0</v>
      </c>
      <c r="CA40" s="187"/>
      <c r="CB40" s="90"/>
      <c r="CC40" s="90"/>
      <c r="CD40" s="183">
        <f t="shared" si="33"/>
        <v>0</v>
      </c>
    </row>
    <row r="41" spans="2:82" x14ac:dyDescent="0.3">
      <c r="B41" s="54"/>
      <c r="C41" s="54" t="str">
        <f t="shared" si="0"/>
        <v>CPU_MicroRevestimento</v>
      </c>
      <c r="D41" s="280">
        <f t="shared" si="1"/>
        <v>8000</v>
      </c>
      <c r="E41" s="280">
        <f t="shared" si="2"/>
        <v>453600</v>
      </c>
      <c r="F41" s="1" t="s">
        <v>361</v>
      </c>
      <c r="G41" s="28" t="str">
        <f>IFERROR(VLOOKUP(F41,Tabela7[[RECURSO]:[CUSTO]],2,FALSE),"")</f>
        <v>H</v>
      </c>
      <c r="H41" s="92">
        <v>6</v>
      </c>
      <c r="I41" s="90">
        <v>10</v>
      </c>
      <c r="J41" s="45">
        <f>IFERROR(VLOOKUP(F41,Tabela7[[RECURSO]:[CUSTO]],3,FALSE),0)</f>
        <v>26.579984100642395</v>
      </c>
      <c r="K41" s="45">
        <f>I41*J41*CPU_16[[#This Row],[Nº]]</f>
        <v>1594.7990460385436</v>
      </c>
      <c r="AD41" s="144" t="str">
        <f t="shared" si="3"/>
        <v>Micro Revestimento</v>
      </c>
      <c r="AE41" s="186"/>
      <c r="AF41" s="180">
        <f t="shared" si="35"/>
        <v>0</v>
      </c>
      <c r="AG41" s="180">
        <f t="shared" si="17"/>
        <v>0</v>
      </c>
      <c r="AH41" s="181">
        <f t="shared" si="36"/>
        <v>0</v>
      </c>
      <c r="AI41" s="187"/>
      <c r="AJ41" s="90"/>
      <c r="AK41" s="90"/>
      <c r="AL41" s="183">
        <f t="shared" si="37"/>
        <v>0</v>
      </c>
      <c r="AM41" s="187"/>
      <c r="AN41" s="90"/>
      <c r="AO41" s="90"/>
      <c r="AP41" s="183">
        <f t="shared" si="23"/>
        <v>0</v>
      </c>
      <c r="AQ41" s="187"/>
      <c r="AR41" s="90"/>
      <c r="AS41" s="90"/>
      <c r="AT41" s="183">
        <f t="shared" si="24"/>
        <v>0</v>
      </c>
      <c r="AU41" s="187"/>
      <c r="AV41" s="90"/>
      <c r="AW41" s="90"/>
      <c r="AX41" s="183">
        <f t="shared" si="25"/>
        <v>0</v>
      </c>
      <c r="AY41" s="187"/>
      <c r="AZ41" s="90"/>
      <c r="BA41" s="90"/>
      <c r="BB41" s="183">
        <f t="shared" si="26"/>
        <v>0</v>
      </c>
      <c r="BC41" s="187"/>
      <c r="BD41" s="90"/>
      <c r="BE41" s="90"/>
      <c r="BF41" s="183">
        <f t="shared" si="27"/>
        <v>0</v>
      </c>
      <c r="BG41" s="187"/>
      <c r="BH41" s="90"/>
      <c r="BI41" s="90"/>
      <c r="BJ41" s="183">
        <f t="shared" si="28"/>
        <v>0</v>
      </c>
      <c r="BK41" s="187"/>
      <c r="BL41" s="90"/>
      <c r="BM41" s="90"/>
      <c r="BN41" s="183">
        <f t="shared" si="29"/>
        <v>0</v>
      </c>
      <c r="BO41" s="187"/>
      <c r="BP41" s="90"/>
      <c r="BQ41" s="90"/>
      <c r="BR41" s="183">
        <f t="shared" si="30"/>
        <v>0</v>
      </c>
      <c r="BS41" s="187"/>
      <c r="BT41" s="90"/>
      <c r="BU41" s="90"/>
      <c r="BV41" s="183">
        <f t="shared" si="31"/>
        <v>0</v>
      </c>
      <c r="BW41" s="187"/>
      <c r="BX41" s="90"/>
      <c r="BY41" s="90"/>
      <c r="BZ41" s="183">
        <f t="shared" si="32"/>
        <v>0</v>
      </c>
      <c r="CA41" s="187"/>
      <c r="CB41" s="90"/>
      <c r="CC41" s="90"/>
      <c r="CD41" s="183">
        <f t="shared" si="33"/>
        <v>0</v>
      </c>
    </row>
    <row r="42" spans="2:82" x14ac:dyDescent="0.3">
      <c r="B42" s="54"/>
      <c r="C42" s="54" t="str">
        <f t="shared" si="0"/>
        <v>CPU_MicroRevestimento</v>
      </c>
      <c r="D42" s="280">
        <f t="shared" si="1"/>
        <v>8000</v>
      </c>
      <c r="E42" s="280">
        <f t="shared" si="2"/>
        <v>453600</v>
      </c>
      <c r="F42" s="1" t="s">
        <v>882</v>
      </c>
      <c r="G42" s="28" t="str">
        <f>IFERROR(VLOOKUP(F42,Tabela7[[RECURSO]:[CUSTO]],2,FALSE),"")</f>
        <v>H</v>
      </c>
      <c r="H42" s="92">
        <v>2</v>
      </c>
      <c r="I42" s="90">
        <v>10</v>
      </c>
      <c r="J42" s="45">
        <f>IFERROR(VLOOKUP(F42,Tabela7[[RECURSO]:[CUSTO]],3,FALSE),0)</f>
        <v>40.846875705664786</v>
      </c>
      <c r="K42" s="45">
        <f>I42*J42*CPU_16[[#This Row],[Nº]]</f>
        <v>816.93751411329572</v>
      </c>
      <c r="AD42" s="144" t="str">
        <f t="shared" si="3"/>
        <v>Micro Revestimento</v>
      </c>
      <c r="AE42" s="186"/>
      <c r="AF42" s="180">
        <f t="shared" si="35"/>
        <v>0</v>
      </c>
      <c r="AG42" s="180">
        <f t="shared" si="17"/>
        <v>0</v>
      </c>
      <c r="AH42" s="181">
        <f t="shared" si="36"/>
        <v>0</v>
      </c>
      <c r="AI42" s="187"/>
      <c r="AJ42" s="90"/>
      <c r="AK42" s="90"/>
      <c r="AL42" s="183">
        <f t="shared" si="37"/>
        <v>0</v>
      </c>
      <c r="AM42" s="187"/>
      <c r="AN42" s="90"/>
      <c r="AO42" s="90"/>
      <c r="AP42" s="183">
        <f t="shared" si="23"/>
        <v>0</v>
      </c>
      <c r="AQ42" s="187"/>
      <c r="AR42" s="90"/>
      <c r="AS42" s="90"/>
      <c r="AT42" s="183">
        <f t="shared" si="24"/>
        <v>0</v>
      </c>
      <c r="AU42" s="187"/>
      <c r="AV42" s="90"/>
      <c r="AW42" s="90"/>
      <c r="AX42" s="183">
        <f t="shared" si="25"/>
        <v>0</v>
      </c>
      <c r="AY42" s="187"/>
      <c r="AZ42" s="90"/>
      <c r="BA42" s="90"/>
      <c r="BB42" s="183">
        <f t="shared" si="26"/>
        <v>0</v>
      </c>
      <c r="BC42" s="187"/>
      <c r="BD42" s="90"/>
      <c r="BE42" s="90"/>
      <c r="BF42" s="183">
        <f t="shared" si="27"/>
        <v>0</v>
      </c>
      <c r="BG42" s="187"/>
      <c r="BH42" s="90"/>
      <c r="BI42" s="90"/>
      <c r="BJ42" s="183">
        <f t="shared" si="28"/>
        <v>0</v>
      </c>
      <c r="BK42" s="187"/>
      <c r="BL42" s="90"/>
      <c r="BM42" s="90"/>
      <c r="BN42" s="183">
        <f t="shared" si="29"/>
        <v>0</v>
      </c>
      <c r="BO42" s="187"/>
      <c r="BP42" s="90"/>
      <c r="BQ42" s="90"/>
      <c r="BR42" s="183">
        <f t="shared" si="30"/>
        <v>0</v>
      </c>
      <c r="BS42" s="187"/>
      <c r="BT42" s="90"/>
      <c r="BU42" s="90"/>
      <c r="BV42" s="183">
        <f t="shared" si="31"/>
        <v>0</v>
      </c>
      <c r="BW42" s="187"/>
      <c r="BX42" s="90"/>
      <c r="BY42" s="90"/>
      <c r="BZ42" s="183">
        <f t="shared" si="32"/>
        <v>0</v>
      </c>
      <c r="CA42" s="187"/>
      <c r="CB42" s="90"/>
      <c r="CC42" s="90"/>
      <c r="CD42" s="183">
        <f t="shared" si="33"/>
        <v>0</v>
      </c>
    </row>
    <row r="43" spans="2:82" x14ac:dyDescent="0.3">
      <c r="B43" s="54"/>
      <c r="C43" s="54" t="str">
        <f t="shared" si="0"/>
        <v>CPU_MicroRevestimento</v>
      </c>
      <c r="D43" s="280">
        <f t="shared" si="1"/>
        <v>8000</v>
      </c>
      <c r="E43" s="280">
        <f t="shared" si="2"/>
        <v>453600</v>
      </c>
      <c r="F43" s="1" t="s">
        <v>854</v>
      </c>
      <c r="G43" s="28" t="str">
        <f>IFERROR(VLOOKUP(F43,Tabela7[[RECURSO]:[CUSTO]],2,FALSE),"")</f>
        <v>H</v>
      </c>
      <c r="H43" s="92">
        <v>3</v>
      </c>
      <c r="I43" s="90">
        <v>10</v>
      </c>
      <c r="J43" s="45">
        <f>IFERROR(VLOOKUP(F43,Tabela7[[RECURSO]:[CUSTO]],3,FALSE),0)</f>
        <v>42.159454253455323</v>
      </c>
      <c r="K43" s="45">
        <f>I43*J43*CPU_16[[#This Row],[Nº]]</f>
        <v>1264.7836276036596</v>
      </c>
      <c r="AD43" s="144" t="str">
        <f t="shared" si="3"/>
        <v>Micro Revestimento</v>
      </c>
      <c r="AE43" s="186"/>
      <c r="AF43" s="180">
        <f t="shared" si="35"/>
        <v>0</v>
      </c>
      <c r="AG43" s="180">
        <f t="shared" si="17"/>
        <v>0</v>
      </c>
      <c r="AH43" s="181">
        <f t="shared" si="36"/>
        <v>0</v>
      </c>
      <c r="AI43" s="187"/>
      <c r="AJ43" s="90"/>
      <c r="AK43" s="90"/>
      <c r="AL43" s="183">
        <f t="shared" si="37"/>
        <v>0</v>
      </c>
      <c r="AM43" s="187"/>
      <c r="AN43" s="90"/>
      <c r="AO43" s="90"/>
      <c r="AP43" s="183">
        <f t="shared" si="23"/>
        <v>0</v>
      </c>
      <c r="AQ43" s="187"/>
      <c r="AR43" s="90"/>
      <c r="AS43" s="90"/>
      <c r="AT43" s="183">
        <f t="shared" si="24"/>
        <v>0</v>
      </c>
      <c r="AU43" s="187"/>
      <c r="AV43" s="90"/>
      <c r="AW43" s="90"/>
      <c r="AX43" s="183">
        <f t="shared" si="25"/>
        <v>0</v>
      </c>
      <c r="AY43" s="187"/>
      <c r="AZ43" s="90"/>
      <c r="BA43" s="90"/>
      <c r="BB43" s="183">
        <f t="shared" si="26"/>
        <v>0</v>
      </c>
      <c r="BC43" s="187"/>
      <c r="BD43" s="90"/>
      <c r="BE43" s="90"/>
      <c r="BF43" s="183">
        <f t="shared" si="27"/>
        <v>0</v>
      </c>
      <c r="BG43" s="187"/>
      <c r="BH43" s="90"/>
      <c r="BI43" s="90"/>
      <c r="BJ43" s="183">
        <f t="shared" si="28"/>
        <v>0</v>
      </c>
      <c r="BK43" s="187"/>
      <c r="BL43" s="90"/>
      <c r="BM43" s="90"/>
      <c r="BN43" s="183">
        <f t="shared" si="29"/>
        <v>0</v>
      </c>
      <c r="BO43" s="187"/>
      <c r="BP43" s="90"/>
      <c r="BQ43" s="90"/>
      <c r="BR43" s="183">
        <f t="shared" si="30"/>
        <v>0</v>
      </c>
      <c r="BS43" s="187"/>
      <c r="BT43" s="90"/>
      <c r="BU43" s="90"/>
      <c r="BV43" s="183">
        <f t="shared" si="31"/>
        <v>0</v>
      </c>
      <c r="BW43" s="187"/>
      <c r="BX43" s="90"/>
      <c r="BY43" s="90"/>
      <c r="BZ43" s="183">
        <f t="shared" si="32"/>
        <v>0</v>
      </c>
      <c r="CA43" s="187"/>
      <c r="CB43" s="90"/>
      <c r="CC43" s="90"/>
      <c r="CD43" s="183">
        <f t="shared" si="33"/>
        <v>0</v>
      </c>
    </row>
    <row r="44" spans="2:82" x14ac:dyDescent="0.3">
      <c r="B44" s="54"/>
      <c r="C44" s="54" t="str">
        <f t="shared" si="0"/>
        <v>CPU_MicroRevestimento</v>
      </c>
      <c r="D44" s="280">
        <f t="shared" si="1"/>
        <v>8000</v>
      </c>
      <c r="E44" s="280">
        <f t="shared" si="2"/>
        <v>453600</v>
      </c>
      <c r="F44" s="1"/>
      <c r="G44" s="28" t="str">
        <f>IFERROR(VLOOKUP(F44,Tabela7[[RECURSO]:[CUSTO]],2,FALSE),"")</f>
        <v/>
      </c>
      <c r="H44" s="92"/>
      <c r="I44" s="90"/>
      <c r="J44" s="45">
        <f>IFERROR(VLOOKUP(F44,Tabela7[[RECURSO]:[CUSTO]],3,FALSE),0)</f>
        <v>0</v>
      </c>
      <c r="K44" s="45">
        <f>I44*J44*CPU_16[[#This Row],[Nº]]</f>
        <v>0</v>
      </c>
      <c r="AD44" s="144" t="str">
        <f t="shared" si="3"/>
        <v>Micro Revestimento</v>
      </c>
      <c r="AE44" s="186"/>
      <c r="AF44" s="180">
        <f t="shared" si="35"/>
        <v>0</v>
      </c>
      <c r="AG44" s="180">
        <f t="shared" si="17"/>
        <v>0</v>
      </c>
      <c r="AH44" s="181">
        <f t="shared" si="36"/>
        <v>0</v>
      </c>
      <c r="AI44" s="187"/>
      <c r="AJ44" s="90"/>
      <c r="AK44" s="90"/>
      <c r="AL44" s="183">
        <f t="shared" si="37"/>
        <v>0</v>
      </c>
      <c r="AM44" s="187"/>
      <c r="AN44" s="90"/>
      <c r="AO44" s="90"/>
      <c r="AP44" s="183">
        <f t="shared" si="23"/>
        <v>0</v>
      </c>
      <c r="AQ44" s="187"/>
      <c r="AR44" s="90"/>
      <c r="AS44" s="90"/>
      <c r="AT44" s="183">
        <f t="shared" si="24"/>
        <v>0</v>
      </c>
      <c r="AU44" s="187"/>
      <c r="AV44" s="90"/>
      <c r="AW44" s="90"/>
      <c r="AX44" s="183">
        <f t="shared" si="25"/>
        <v>0</v>
      </c>
      <c r="AY44" s="187"/>
      <c r="AZ44" s="90"/>
      <c r="BA44" s="90"/>
      <c r="BB44" s="183">
        <f t="shared" si="26"/>
        <v>0</v>
      </c>
      <c r="BC44" s="187"/>
      <c r="BD44" s="90"/>
      <c r="BE44" s="90"/>
      <c r="BF44" s="183">
        <f t="shared" si="27"/>
        <v>0</v>
      </c>
      <c r="BG44" s="187"/>
      <c r="BH44" s="90"/>
      <c r="BI44" s="90"/>
      <c r="BJ44" s="183">
        <f t="shared" si="28"/>
        <v>0</v>
      </c>
      <c r="BK44" s="187"/>
      <c r="BL44" s="90"/>
      <c r="BM44" s="90"/>
      <c r="BN44" s="183">
        <f t="shared" si="29"/>
        <v>0</v>
      </c>
      <c r="BO44" s="187"/>
      <c r="BP44" s="90"/>
      <c r="BQ44" s="90"/>
      <c r="BR44" s="183">
        <f t="shared" si="30"/>
        <v>0</v>
      </c>
      <c r="BS44" s="187"/>
      <c r="BT44" s="90"/>
      <c r="BU44" s="90"/>
      <c r="BV44" s="183">
        <f t="shared" si="31"/>
        <v>0</v>
      </c>
      <c r="BW44" s="187"/>
      <c r="BX44" s="90"/>
      <c r="BY44" s="90"/>
      <c r="BZ44" s="183">
        <f t="shared" si="32"/>
        <v>0</v>
      </c>
      <c r="CA44" s="187"/>
      <c r="CB44" s="90"/>
      <c r="CC44" s="90"/>
      <c r="CD44" s="183">
        <f t="shared" si="33"/>
        <v>0</v>
      </c>
    </row>
    <row r="45" spans="2:82" x14ac:dyDescent="0.3">
      <c r="B45" s="53"/>
      <c r="C45" s="53" t="str">
        <f t="shared" si="0"/>
        <v>CPU_MicroRevestimento</v>
      </c>
      <c r="D45" s="278">
        <f t="shared" si="1"/>
        <v>8000</v>
      </c>
      <c r="E45" s="278">
        <f t="shared" si="2"/>
        <v>453600</v>
      </c>
      <c r="F45" s="1"/>
      <c r="G45" s="28" t="str">
        <f>IFERROR(VLOOKUP(F45,Tabela7[[RECURSO]:[CUSTO]],2,FALSE),"")</f>
        <v/>
      </c>
      <c r="H45" s="92"/>
      <c r="I45" s="90"/>
      <c r="J45" s="45">
        <f>IFERROR(VLOOKUP(F45,Tabela7[[RECURSO]:[CUSTO]],3,FALSE),0)</f>
        <v>0</v>
      </c>
      <c r="K45" s="45">
        <f>I45*J45*CPU_16[[#This Row],[Nº]]</f>
        <v>0</v>
      </c>
      <c r="AD45" s="144" t="str">
        <f t="shared" si="3"/>
        <v>Micro Revestimento</v>
      </c>
      <c r="AE45" s="188"/>
      <c r="AF45" s="180">
        <f t="shared" si="35"/>
        <v>0</v>
      </c>
      <c r="AG45" s="180">
        <f t="shared" si="17"/>
        <v>0</v>
      </c>
      <c r="AH45" s="181">
        <f t="shared" si="36"/>
        <v>0</v>
      </c>
      <c r="AI45" s="189"/>
      <c r="AJ45" s="90"/>
      <c r="AK45" s="90"/>
      <c r="AL45" s="183">
        <f t="shared" si="37"/>
        <v>0</v>
      </c>
      <c r="AM45" s="189"/>
      <c r="AN45" s="90"/>
      <c r="AO45" s="90"/>
      <c r="AP45" s="183">
        <f t="shared" si="23"/>
        <v>0</v>
      </c>
      <c r="AQ45" s="189"/>
      <c r="AR45" s="90"/>
      <c r="AS45" s="90"/>
      <c r="AT45" s="183">
        <f t="shared" si="24"/>
        <v>0</v>
      </c>
      <c r="AU45" s="189"/>
      <c r="AV45" s="90"/>
      <c r="AW45" s="90"/>
      <c r="AX45" s="183">
        <f t="shared" si="25"/>
        <v>0</v>
      </c>
      <c r="AY45" s="189"/>
      <c r="AZ45" s="90"/>
      <c r="BA45" s="90"/>
      <c r="BB45" s="183">
        <f t="shared" si="26"/>
        <v>0</v>
      </c>
      <c r="BC45" s="189"/>
      <c r="BD45" s="90"/>
      <c r="BE45" s="90"/>
      <c r="BF45" s="183">
        <f t="shared" si="27"/>
        <v>0</v>
      </c>
      <c r="BG45" s="189"/>
      <c r="BH45" s="90"/>
      <c r="BI45" s="90"/>
      <c r="BJ45" s="183">
        <f t="shared" si="28"/>
        <v>0</v>
      </c>
      <c r="BK45" s="189"/>
      <c r="BL45" s="90"/>
      <c r="BM45" s="90"/>
      <c r="BN45" s="183">
        <f t="shared" si="29"/>
        <v>0</v>
      </c>
      <c r="BO45" s="189"/>
      <c r="BP45" s="90"/>
      <c r="BQ45" s="90"/>
      <c r="BR45" s="183">
        <f t="shared" si="30"/>
        <v>0</v>
      </c>
      <c r="BS45" s="189"/>
      <c r="BT45" s="90"/>
      <c r="BU45" s="90"/>
      <c r="BV45" s="183">
        <f t="shared" si="31"/>
        <v>0</v>
      </c>
      <c r="BW45" s="189"/>
      <c r="BX45" s="90"/>
      <c r="BY45" s="90"/>
      <c r="BZ45" s="183">
        <f t="shared" si="32"/>
        <v>0</v>
      </c>
      <c r="CA45" s="189"/>
      <c r="CB45" s="90"/>
      <c r="CC45" s="90"/>
      <c r="CD45" s="183">
        <f t="shared" si="33"/>
        <v>0</v>
      </c>
    </row>
    <row r="46" spans="2:82" x14ac:dyDescent="0.3">
      <c r="B46" s="53"/>
      <c r="C46" s="53" t="str">
        <f t="shared" si="0"/>
        <v>CPU_MicroRevestimento</v>
      </c>
      <c r="D46" s="278">
        <f t="shared" si="1"/>
        <v>8000</v>
      </c>
      <c r="E46" s="278">
        <f t="shared" si="2"/>
        <v>453600</v>
      </c>
      <c r="F46" s="1"/>
      <c r="G46" s="28" t="str">
        <f>IFERROR(VLOOKUP(F46,Tabela7[[RECURSO]:[CUSTO]],2,FALSE),"")</f>
        <v/>
      </c>
      <c r="H46" s="92"/>
      <c r="I46" s="90"/>
      <c r="J46" s="45">
        <f>IFERROR(VLOOKUP(F46,Tabela7[[RECURSO]:[CUSTO]],3,FALSE),0)</f>
        <v>0</v>
      </c>
      <c r="K46" s="45">
        <f>I46*J46*CPU_16[[#This Row],[Nº]]</f>
        <v>0</v>
      </c>
      <c r="AD46" s="144" t="str">
        <f t="shared" si="3"/>
        <v>Micro Revestimento</v>
      </c>
      <c r="AE46" s="188"/>
      <c r="AF46" s="180">
        <f t="shared" si="35"/>
        <v>0</v>
      </c>
      <c r="AG46" s="180">
        <f t="shared" si="17"/>
        <v>0</v>
      </c>
      <c r="AH46" s="181">
        <f t="shared" si="36"/>
        <v>0</v>
      </c>
      <c r="AI46" s="189"/>
      <c r="AJ46" s="90"/>
      <c r="AK46" s="90"/>
      <c r="AL46" s="183">
        <f t="shared" si="37"/>
        <v>0</v>
      </c>
      <c r="AM46" s="189"/>
      <c r="AN46" s="90"/>
      <c r="AO46" s="90"/>
      <c r="AP46" s="183">
        <f t="shared" si="23"/>
        <v>0</v>
      </c>
      <c r="AQ46" s="189"/>
      <c r="AR46" s="90"/>
      <c r="AS46" s="90"/>
      <c r="AT46" s="183">
        <f t="shared" si="24"/>
        <v>0</v>
      </c>
      <c r="AU46" s="189"/>
      <c r="AV46" s="90"/>
      <c r="AW46" s="90"/>
      <c r="AX46" s="183">
        <f t="shared" si="25"/>
        <v>0</v>
      </c>
      <c r="AY46" s="189"/>
      <c r="AZ46" s="90"/>
      <c r="BA46" s="90"/>
      <c r="BB46" s="183">
        <f t="shared" si="26"/>
        <v>0</v>
      </c>
      <c r="BC46" s="189"/>
      <c r="BD46" s="90"/>
      <c r="BE46" s="90"/>
      <c r="BF46" s="183">
        <f t="shared" si="27"/>
        <v>0</v>
      </c>
      <c r="BG46" s="189"/>
      <c r="BH46" s="90"/>
      <c r="BI46" s="90"/>
      <c r="BJ46" s="183">
        <f t="shared" si="28"/>
        <v>0</v>
      </c>
      <c r="BK46" s="189"/>
      <c r="BL46" s="90"/>
      <c r="BM46" s="90"/>
      <c r="BN46" s="183">
        <f t="shared" si="29"/>
        <v>0</v>
      </c>
      <c r="BO46" s="189"/>
      <c r="BP46" s="90"/>
      <c r="BQ46" s="90"/>
      <c r="BR46" s="183">
        <f t="shared" si="30"/>
        <v>0</v>
      </c>
      <c r="BS46" s="189"/>
      <c r="BT46" s="90"/>
      <c r="BU46" s="90"/>
      <c r="BV46" s="183">
        <f t="shared" si="31"/>
        <v>0</v>
      </c>
      <c r="BW46" s="189"/>
      <c r="BX46" s="90"/>
      <c r="BY46" s="90"/>
      <c r="BZ46" s="183">
        <f t="shared" si="32"/>
        <v>0</v>
      </c>
      <c r="CA46" s="189"/>
      <c r="CB46" s="90"/>
      <c r="CC46" s="90"/>
      <c r="CD46" s="183">
        <f t="shared" si="33"/>
        <v>0</v>
      </c>
    </row>
    <row r="47" spans="2:82" x14ac:dyDescent="0.3">
      <c r="B47" s="53"/>
      <c r="C47" s="53" t="str">
        <f t="shared" si="0"/>
        <v>CPU_MicroRevestimento</v>
      </c>
      <c r="D47" s="278">
        <f t="shared" si="1"/>
        <v>8000</v>
      </c>
      <c r="E47" s="278">
        <f t="shared" si="2"/>
        <v>453600</v>
      </c>
      <c r="F47" s="1"/>
      <c r="G47" s="28" t="str">
        <f>IFERROR(VLOOKUP(F47,Tabela7[[RECURSO]:[CUSTO]],2,FALSE),"")</f>
        <v/>
      </c>
      <c r="H47" s="92"/>
      <c r="I47" s="90"/>
      <c r="J47" s="45">
        <f>IFERROR(VLOOKUP(F47,Tabela7[[RECURSO]:[CUSTO]],3,FALSE),0)</f>
        <v>0</v>
      </c>
      <c r="K47" s="45">
        <f>I47*J47*CPU_16[[#This Row],[Nº]]</f>
        <v>0</v>
      </c>
      <c r="AD47" s="144" t="str">
        <f t="shared" si="3"/>
        <v>Micro Revestimento</v>
      </c>
      <c r="AE47" s="188"/>
      <c r="AF47" s="180">
        <f t="shared" si="35"/>
        <v>0</v>
      </c>
      <c r="AG47" s="180">
        <f t="shared" si="17"/>
        <v>0</v>
      </c>
      <c r="AH47" s="181">
        <f t="shared" si="36"/>
        <v>0</v>
      </c>
      <c r="AI47" s="189"/>
      <c r="AJ47" s="90"/>
      <c r="AK47" s="90"/>
      <c r="AL47" s="183">
        <f t="shared" si="37"/>
        <v>0</v>
      </c>
      <c r="AM47" s="189"/>
      <c r="AN47" s="90"/>
      <c r="AO47" s="90"/>
      <c r="AP47" s="183">
        <f t="shared" si="23"/>
        <v>0</v>
      </c>
      <c r="AQ47" s="189"/>
      <c r="AR47" s="90"/>
      <c r="AS47" s="90"/>
      <c r="AT47" s="183">
        <f t="shared" si="24"/>
        <v>0</v>
      </c>
      <c r="AU47" s="189"/>
      <c r="AV47" s="90"/>
      <c r="AW47" s="90"/>
      <c r="AX47" s="183">
        <f t="shared" si="25"/>
        <v>0</v>
      </c>
      <c r="AY47" s="189"/>
      <c r="AZ47" s="90"/>
      <c r="BA47" s="90"/>
      <c r="BB47" s="183">
        <f t="shared" si="26"/>
        <v>0</v>
      </c>
      <c r="BC47" s="189"/>
      <c r="BD47" s="90"/>
      <c r="BE47" s="90"/>
      <c r="BF47" s="183">
        <f t="shared" si="27"/>
        <v>0</v>
      </c>
      <c r="BG47" s="189"/>
      <c r="BH47" s="90"/>
      <c r="BI47" s="90"/>
      <c r="BJ47" s="183">
        <f t="shared" si="28"/>
        <v>0</v>
      </c>
      <c r="BK47" s="189"/>
      <c r="BL47" s="90"/>
      <c r="BM47" s="90"/>
      <c r="BN47" s="183">
        <f t="shared" si="29"/>
        <v>0</v>
      </c>
      <c r="BO47" s="189"/>
      <c r="BP47" s="90"/>
      <c r="BQ47" s="90"/>
      <c r="BR47" s="183">
        <f t="shared" si="30"/>
        <v>0</v>
      </c>
      <c r="BS47" s="189"/>
      <c r="BT47" s="90"/>
      <c r="BU47" s="90"/>
      <c r="BV47" s="183">
        <f t="shared" si="31"/>
        <v>0</v>
      </c>
      <c r="BW47" s="189"/>
      <c r="BX47" s="90"/>
      <c r="BY47" s="90"/>
      <c r="BZ47" s="183">
        <f t="shared" si="32"/>
        <v>0</v>
      </c>
      <c r="CA47" s="189"/>
      <c r="CB47" s="90"/>
      <c r="CC47" s="90"/>
      <c r="CD47" s="183">
        <f t="shared" si="33"/>
        <v>0</v>
      </c>
    </row>
    <row r="48" spans="2:82" x14ac:dyDescent="0.3">
      <c r="B48" s="53"/>
      <c r="C48" s="53" t="str">
        <f t="shared" si="0"/>
        <v>CPU_MicroRevestimento</v>
      </c>
      <c r="D48" s="278">
        <f t="shared" si="1"/>
        <v>8000</v>
      </c>
      <c r="E48" s="278">
        <f t="shared" si="2"/>
        <v>453600</v>
      </c>
      <c r="F48" s="1"/>
      <c r="G48" s="28" t="str">
        <f>IFERROR(VLOOKUP(F48,Tabela7[[RECURSO]:[CUSTO]],2,FALSE),"")</f>
        <v/>
      </c>
      <c r="H48" s="92"/>
      <c r="I48" s="90"/>
      <c r="J48" s="45">
        <f>IFERROR(VLOOKUP(F48,Tabela7[[RECURSO]:[CUSTO]],3,FALSE),0)</f>
        <v>0</v>
      </c>
      <c r="K48" s="45">
        <f>I48*J48*CPU_16[[#This Row],[Nº]]</f>
        <v>0</v>
      </c>
      <c r="AD48" s="144" t="str">
        <f t="shared" si="3"/>
        <v>Micro Revestimento</v>
      </c>
      <c r="AE48" s="188"/>
      <c r="AF48" s="180">
        <f t="shared" si="35"/>
        <v>0</v>
      </c>
      <c r="AG48" s="180">
        <f t="shared" si="17"/>
        <v>0</v>
      </c>
      <c r="AH48" s="181">
        <f t="shared" si="36"/>
        <v>0</v>
      </c>
      <c r="AI48" s="189"/>
      <c r="AJ48" s="90"/>
      <c r="AK48" s="90"/>
      <c r="AL48" s="183">
        <f t="shared" si="37"/>
        <v>0</v>
      </c>
      <c r="AM48" s="189"/>
      <c r="AN48" s="90"/>
      <c r="AO48" s="90"/>
      <c r="AP48" s="183">
        <f t="shared" si="23"/>
        <v>0</v>
      </c>
      <c r="AQ48" s="189"/>
      <c r="AR48" s="90"/>
      <c r="AS48" s="90"/>
      <c r="AT48" s="183">
        <f t="shared" si="24"/>
        <v>0</v>
      </c>
      <c r="AU48" s="189"/>
      <c r="AV48" s="90"/>
      <c r="AW48" s="90"/>
      <c r="AX48" s="183">
        <f t="shared" si="25"/>
        <v>0</v>
      </c>
      <c r="AY48" s="189"/>
      <c r="AZ48" s="90"/>
      <c r="BA48" s="90"/>
      <c r="BB48" s="183">
        <f t="shared" si="26"/>
        <v>0</v>
      </c>
      <c r="BC48" s="189"/>
      <c r="BD48" s="90"/>
      <c r="BE48" s="90"/>
      <c r="BF48" s="183">
        <f t="shared" si="27"/>
        <v>0</v>
      </c>
      <c r="BG48" s="189"/>
      <c r="BH48" s="90"/>
      <c r="BI48" s="90"/>
      <c r="BJ48" s="183">
        <f t="shared" si="28"/>
        <v>0</v>
      </c>
      <c r="BK48" s="189"/>
      <c r="BL48" s="90"/>
      <c r="BM48" s="90"/>
      <c r="BN48" s="183">
        <f t="shared" si="29"/>
        <v>0</v>
      </c>
      <c r="BO48" s="189"/>
      <c r="BP48" s="90"/>
      <c r="BQ48" s="90"/>
      <c r="BR48" s="183">
        <f t="shared" si="30"/>
        <v>0</v>
      </c>
      <c r="BS48" s="189"/>
      <c r="BT48" s="90"/>
      <c r="BU48" s="90"/>
      <c r="BV48" s="183">
        <f t="shared" si="31"/>
        <v>0</v>
      </c>
      <c r="BW48" s="189"/>
      <c r="BX48" s="90"/>
      <c r="BY48" s="90"/>
      <c r="BZ48" s="183">
        <f t="shared" si="32"/>
        <v>0</v>
      </c>
      <c r="CA48" s="189"/>
      <c r="CB48" s="90"/>
      <c r="CC48" s="90"/>
      <c r="CD48" s="183">
        <f t="shared" si="33"/>
        <v>0</v>
      </c>
    </row>
    <row r="49" spans="2:82" ht="15" thickBot="1" x14ac:dyDescent="0.35">
      <c r="B49" s="53"/>
      <c r="C49" s="53" t="str">
        <f t="shared" si="0"/>
        <v>CPU_MicroRevestimento</v>
      </c>
      <c r="D49" s="278">
        <f t="shared" si="1"/>
        <v>8000</v>
      </c>
      <c r="E49" s="278">
        <f t="shared" si="2"/>
        <v>453600</v>
      </c>
      <c r="F49" s="1"/>
      <c r="G49" s="28" t="str">
        <f>IFERROR(VLOOKUP(F49,Tabela7[[RECURSO]:[CUSTO]],2,FALSE),"")</f>
        <v/>
      </c>
      <c r="H49" s="92"/>
      <c r="I49" s="90"/>
      <c r="J49" s="45">
        <f>IFERROR(VLOOKUP(F49,Tabela7[[RECURSO]:[CUSTO]],3,FALSE),0)</f>
        <v>0</v>
      </c>
      <c r="K49" s="45">
        <f>I49*J49*CPU_16[[#This Row],[Nº]]</f>
        <v>0</v>
      </c>
      <c r="M49" s="83" t="s">
        <v>701</v>
      </c>
      <c r="N49" s="87" t="s">
        <v>702</v>
      </c>
      <c r="AD49" s="144" t="str">
        <f t="shared" si="3"/>
        <v>Micro Revestimento</v>
      </c>
      <c r="AE49" s="188"/>
      <c r="AF49" s="180">
        <f t="shared" si="35"/>
        <v>0</v>
      </c>
      <c r="AG49" s="180">
        <f t="shared" si="17"/>
        <v>0</v>
      </c>
      <c r="AH49" s="181">
        <f t="shared" si="36"/>
        <v>0</v>
      </c>
      <c r="AI49" s="189"/>
      <c r="AJ49" s="90"/>
      <c r="AK49" s="90"/>
      <c r="AL49" s="183">
        <f t="shared" si="37"/>
        <v>0</v>
      </c>
      <c r="AM49" s="189"/>
      <c r="AN49" s="90"/>
      <c r="AO49" s="90"/>
      <c r="AP49" s="183">
        <f t="shared" si="23"/>
        <v>0</v>
      </c>
      <c r="AQ49" s="189"/>
      <c r="AR49" s="90"/>
      <c r="AS49" s="90"/>
      <c r="AT49" s="183">
        <f t="shared" si="24"/>
        <v>0</v>
      </c>
      <c r="AU49" s="189"/>
      <c r="AV49" s="90"/>
      <c r="AW49" s="90"/>
      <c r="AX49" s="183">
        <f t="shared" si="25"/>
        <v>0</v>
      </c>
      <c r="AY49" s="189"/>
      <c r="AZ49" s="90"/>
      <c r="BA49" s="90"/>
      <c r="BB49" s="183">
        <f t="shared" si="26"/>
        <v>0</v>
      </c>
      <c r="BC49" s="189"/>
      <c r="BD49" s="90"/>
      <c r="BE49" s="90"/>
      <c r="BF49" s="183">
        <f t="shared" si="27"/>
        <v>0</v>
      </c>
      <c r="BG49" s="189"/>
      <c r="BH49" s="90"/>
      <c r="BI49" s="90"/>
      <c r="BJ49" s="183">
        <f t="shared" si="28"/>
        <v>0</v>
      </c>
      <c r="BK49" s="189"/>
      <c r="BL49" s="90"/>
      <c r="BM49" s="90"/>
      <c r="BN49" s="183">
        <f t="shared" si="29"/>
        <v>0</v>
      </c>
      <c r="BO49" s="189"/>
      <c r="BP49" s="90"/>
      <c r="BQ49" s="90"/>
      <c r="BR49" s="183">
        <f t="shared" si="30"/>
        <v>0</v>
      </c>
      <c r="BS49" s="189"/>
      <c r="BT49" s="90"/>
      <c r="BU49" s="90"/>
      <c r="BV49" s="183">
        <f t="shared" si="31"/>
        <v>0</v>
      </c>
      <c r="BW49" s="189"/>
      <c r="BX49" s="90"/>
      <c r="BY49" s="90"/>
      <c r="BZ49" s="183">
        <f t="shared" si="32"/>
        <v>0</v>
      </c>
      <c r="CA49" s="189"/>
      <c r="CB49" s="90"/>
      <c r="CC49" s="90"/>
      <c r="CD49" s="183">
        <f t="shared" si="33"/>
        <v>0</v>
      </c>
    </row>
    <row r="50" spans="2:82" x14ac:dyDescent="0.3">
      <c r="B50" s="52" t="s">
        <v>693</v>
      </c>
      <c r="C50" s="52" t="str">
        <f t="shared" si="0"/>
        <v>CPU_MicroRevestimento</v>
      </c>
      <c r="D50" s="277">
        <f t="shared" si="1"/>
        <v>8000</v>
      </c>
      <c r="E50" s="277">
        <f t="shared" si="2"/>
        <v>453600</v>
      </c>
      <c r="F50" s="37"/>
      <c r="G50" s="38"/>
      <c r="H50" s="38"/>
      <c r="I50" s="37"/>
      <c r="J50" s="40">
        <f>IFERROR(K50/$B$6,0)</f>
        <v>0</v>
      </c>
      <c r="K50" s="40">
        <f>SUM(K51:K62)</f>
        <v>0</v>
      </c>
      <c r="M50" s="84" t="str">
        <f>"Consumo por "&amp;J3</f>
        <v>Consumo por M²</v>
      </c>
      <c r="N50" s="89"/>
      <c r="AD50" s="144" t="str">
        <f t="shared" si="3"/>
        <v>Micro Revestimento</v>
      </c>
      <c r="AE50" s="190"/>
      <c r="AF50" s="191"/>
      <c r="AG50" s="40">
        <f>IFERROR(AH50/AF$3,0)</f>
        <v>0</v>
      </c>
      <c r="AH50" s="185">
        <f>SUM(AH51:AH62)</f>
        <v>0</v>
      </c>
      <c r="AI50" s="190"/>
      <c r="AJ50" s="37"/>
      <c r="AK50" s="40">
        <f>IFERROR(AL50/AJ$3,0)</f>
        <v>0</v>
      </c>
      <c r="AL50" s="185">
        <f>SUM(AL51:AL62)</f>
        <v>0</v>
      </c>
      <c r="AM50" s="190"/>
      <c r="AN50" s="37"/>
      <c r="AO50" s="40">
        <f>IFERROR(AP50/AN$3,0)</f>
        <v>0</v>
      </c>
      <c r="AP50" s="185">
        <f>SUM(AP51:AP62)</f>
        <v>0</v>
      </c>
      <c r="AQ50" s="190"/>
      <c r="AR50" s="37"/>
      <c r="AS50" s="40">
        <f>IFERROR(AT50/AR$3,0)</f>
        <v>0</v>
      </c>
      <c r="AT50" s="185">
        <f>SUM(AT51:AT62)</f>
        <v>0</v>
      </c>
      <c r="AU50" s="190"/>
      <c r="AV50" s="37"/>
      <c r="AW50" s="40">
        <f>IFERROR(AX50/AV$3,0)</f>
        <v>0</v>
      </c>
      <c r="AX50" s="185">
        <f>SUM(AX51:AX62)</f>
        <v>0</v>
      </c>
      <c r="AY50" s="190"/>
      <c r="AZ50" s="37"/>
      <c r="BA50" s="40">
        <f>IFERROR(BB50/AZ$3,0)</f>
        <v>0</v>
      </c>
      <c r="BB50" s="185">
        <f>SUM(BB51:BB62)</f>
        <v>0</v>
      </c>
      <c r="BC50" s="190"/>
      <c r="BD50" s="37"/>
      <c r="BE50" s="40">
        <f>IFERROR(BF50/BD$3,0)</f>
        <v>0</v>
      </c>
      <c r="BF50" s="185">
        <f>SUM(BF51:BF62)</f>
        <v>0</v>
      </c>
      <c r="BG50" s="190"/>
      <c r="BH50" s="37"/>
      <c r="BI50" s="40">
        <f>IFERROR(BJ50/BH$3,0)</f>
        <v>0</v>
      </c>
      <c r="BJ50" s="185">
        <f>SUM(BJ51:BJ62)</f>
        <v>0</v>
      </c>
      <c r="BK50" s="190"/>
      <c r="BL50" s="37"/>
      <c r="BM50" s="40">
        <f>IFERROR(BN50/BL$3,0)</f>
        <v>0</v>
      </c>
      <c r="BN50" s="185">
        <f>SUM(BN51:BN62)</f>
        <v>0</v>
      </c>
      <c r="BO50" s="190"/>
      <c r="BP50" s="37"/>
      <c r="BQ50" s="40">
        <f>IFERROR(BR50/BP$3,0)</f>
        <v>0</v>
      </c>
      <c r="BR50" s="185">
        <f>SUM(BR51:BR62)</f>
        <v>0</v>
      </c>
      <c r="BS50" s="190"/>
      <c r="BT50" s="37"/>
      <c r="BU50" s="40">
        <f>IFERROR(BV50/BT$3,0)</f>
        <v>0</v>
      </c>
      <c r="BV50" s="185">
        <f>SUM(BV51:BV62)</f>
        <v>0</v>
      </c>
      <c r="BW50" s="190"/>
      <c r="BX50" s="37"/>
      <c r="BY50" s="40">
        <f>IFERROR(BZ50/BX$3,0)</f>
        <v>0</v>
      </c>
      <c r="BZ50" s="185">
        <f>SUM(BZ51:BZ62)</f>
        <v>0</v>
      </c>
      <c r="CA50" s="190"/>
      <c r="CB50" s="37"/>
      <c r="CC50" s="40">
        <f>IFERROR(CD50/CB$3,0)</f>
        <v>0</v>
      </c>
      <c r="CD50" s="185">
        <f>SUM(CD51:CD62)</f>
        <v>0</v>
      </c>
    </row>
    <row r="51" spans="2:82" x14ac:dyDescent="0.3">
      <c r="B51" s="53"/>
      <c r="C51" s="53" t="str">
        <f t="shared" si="0"/>
        <v>CPU_MicroRevestimento</v>
      </c>
      <c r="D51" s="278">
        <f t="shared" si="1"/>
        <v>8000</v>
      </c>
      <c r="E51" s="278">
        <f t="shared" si="2"/>
        <v>453600</v>
      </c>
      <c r="F51" s="1"/>
      <c r="G51" s="28" t="str">
        <f>IFERROR(VLOOKUP(F51,Tabela7[[RECURSO]:[CUSTO]],2,FALSE),"")</f>
        <v/>
      </c>
      <c r="I51" s="90">
        <f>IFERROR(M51*$B$6,0)</f>
        <v>0</v>
      </c>
      <c r="J51" s="45">
        <f>IFERROR(VLOOKUP(F51,Tabela7[[RECURSO]:[CUSTO]],3,FALSE),0)</f>
        <v>0</v>
      </c>
      <c r="K51" s="45">
        <f>I51*J51</f>
        <v>0</v>
      </c>
      <c r="M51" s="85"/>
      <c r="N51" s="88"/>
      <c r="AD51" s="144" t="str">
        <f t="shared" si="3"/>
        <v>Micro Revestimento</v>
      </c>
      <c r="AE51" s="192"/>
      <c r="AF51" s="180">
        <f t="shared" ref="AF51:AF62" si="38">AJ51+AN51+AR51+AV51+AZ51+BD51+BH51+BL51+BP51+BT51+BX51+CB51</f>
        <v>0</v>
      </c>
      <c r="AG51" s="180">
        <f t="shared" si="17"/>
        <v>0</v>
      </c>
      <c r="AH51" s="181">
        <f t="shared" ref="AH51:AH62" si="39">AL51+AP51+AT51+AX51+BB51+BF51+BJ51+BN51+BR51+BV51+BZ51+CD51</f>
        <v>0</v>
      </c>
      <c r="AI51" s="193"/>
      <c r="AJ51" s="90"/>
      <c r="AK51" s="90"/>
      <c r="AL51" s="183">
        <f t="shared" ref="AL51:AL62" si="40">AJ51*AK51</f>
        <v>0</v>
      </c>
      <c r="AM51" s="193"/>
      <c r="AN51" s="90"/>
      <c r="AO51" s="90"/>
      <c r="AP51" s="183">
        <f t="shared" si="23"/>
        <v>0</v>
      </c>
      <c r="AQ51" s="193"/>
      <c r="AR51" s="90"/>
      <c r="AS51" s="90"/>
      <c r="AT51" s="183">
        <f t="shared" si="24"/>
        <v>0</v>
      </c>
      <c r="AU51" s="193"/>
      <c r="AV51" s="90"/>
      <c r="AW51" s="90"/>
      <c r="AX51" s="183">
        <f t="shared" si="25"/>
        <v>0</v>
      </c>
      <c r="AY51" s="193"/>
      <c r="AZ51" s="90"/>
      <c r="BA51" s="90"/>
      <c r="BB51" s="183">
        <f t="shared" si="26"/>
        <v>0</v>
      </c>
      <c r="BC51" s="193"/>
      <c r="BD51" s="90"/>
      <c r="BE51" s="90"/>
      <c r="BF51" s="183">
        <f t="shared" si="27"/>
        <v>0</v>
      </c>
      <c r="BG51" s="193"/>
      <c r="BH51" s="90"/>
      <c r="BI51" s="90"/>
      <c r="BJ51" s="183">
        <f t="shared" si="28"/>
        <v>0</v>
      </c>
      <c r="BK51" s="193"/>
      <c r="BL51" s="90"/>
      <c r="BM51" s="90"/>
      <c r="BN51" s="183">
        <f t="shared" si="29"/>
        <v>0</v>
      </c>
      <c r="BO51" s="193"/>
      <c r="BP51" s="90"/>
      <c r="BQ51" s="90"/>
      <c r="BR51" s="183">
        <f t="shared" si="30"/>
        <v>0</v>
      </c>
      <c r="BS51" s="193"/>
      <c r="BT51" s="90"/>
      <c r="BU51" s="90"/>
      <c r="BV51" s="183">
        <f t="shared" si="31"/>
        <v>0</v>
      </c>
      <c r="BW51" s="193"/>
      <c r="BX51" s="90"/>
      <c r="BY51" s="90"/>
      <c r="BZ51" s="183">
        <f t="shared" si="32"/>
        <v>0</v>
      </c>
      <c r="CA51" s="193"/>
      <c r="CB51" s="90"/>
      <c r="CC51" s="90"/>
      <c r="CD51" s="183">
        <f t="shared" si="33"/>
        <v>0</v>
      </c>
    </row>
    <row r="52" spans="2:82" x14ac:dyDescent="0.3">
      <c r="B52" s="53"/>
      <c r="C52" s="53" t="str">
        <f t="shared" si="0"/>
        <v>CPU_MicroRevestimento</v>
      </c>
      <c r="D52" s="278">
        <f t="shared" si="1"/>
        <v>8000</v>
      </c>
      <c r="E52" s="278">
        <f t="shared" si="2"/>
        <v>453600</v>
      </c>
      <c r="F52" s="1"/>
      <c r="G52" s="28" t="str">
        <f>IFERROR(VLOOKUP(F52,Tabela7[[RECURSO]:[CUSTO]],2,FALSE),"")</f>
        <v/>
      </c>
      <c r="I52" s="90">
        <f t="shared" ref="I52:I62" si="41">IFERROR(M52*$B$6,0)</f>
        <v>0</v>
      </c>
      <c r="J52" s="45">
        <f>IFERROR(VLOOKUP(F52,Tabela7[[RECURSO]:[CUSTO]],3,FALSE),0)</f>
        <v>0</v>
      </c>
      <c r="K52" s="45">
        <f t="shared" ref="K52:K62" si="42">I52*J52</f>
        <v>0</v>
      </c>
      <c r="M52" s="85"/>
      <c r="N52" s="88"/>
      <c r="AD52" s="144" t="str">
        <f t="shared" si="3"/>
        <v>Micro Revestimento</v>
      </c>
      <c r="AE52" s="192"/>
      <c r="AF52" s="180">
        <f t="shared" si="38"/>
        <v>0</v>
      </c>
      <c r="AG52" s="180">
        <f t="shared" si="17"/>
        <v>0</v>
      </c>
      <c r="AH52" s="181">
        <f t="shared" si="39"/>
        <v>0</v>
      </c>
      <c r="AI52" s="193"/>
      <c r="AJ52" s="90"/>
      <c r="AK52" s="90"/>
      <c r="AL52" s="183">
        <f t="shared" si="40"/>
        <v>0</v>
      </c>
      <c r="AM52" s="193"/>
      <c r="AN52" s="90"/>
      <c r="AO52" s="90"/>
      <c r="AP52" s="183">
        <f t="shared" si="23"/>
        <v>0</v>
      </c>
      <c r="AQ52" s="193"/>
      <c r="AR52" s="90"/>
      <c r="AS52" s="90"/>
      <c r="AT52" s="183">
        <f t="shared" si="24"/>
        <v>0</v>
      </c>
      <c r="AU52" s="193"/>
      <c r="AV52" s="90"/>
      <c r="AW52" s="90"/>
      <c r="AX52" s="183">
        <f t="shared" si="25"/>
        <v>0</v>
      </c>
      <c r="AY52" s="193"/>
      <c r="AZ52" s="90"/>
      <c r="BA52" s="90"/>
      <c r="BB52" s="183">
        <f t="shared" si="26"/>
        <v>0</v>
      </c>
      <c r="BC52" s="193"/>
      <c r="BD52" s="90"/>
      <c r="BE52" s="90"/>
      <c r="BF52" s="183">
        <f t="shared" si="27"/>
        <v>0</v>
      </c>
      <c r="BG52" s="193"/>
      <c r="BH52" s="90"/>
      <c r="BI52" s="90"/>
      <c r="BJ52" s="183">
        <f t="shared" si="28"/>
        <v>0</v>
      </c>
      <c r="BK52" s="193"/>
      <c r="BL52" s="90"/>
      <c r="BM52" s="90"/>
      <c r="BN52" s="183">
        <f t="shared" si="29"/>
        <v>0</v>
      </c>
      <c r="BO52" s="193"/>
      <c r="BP52" s="90"/>
      <c r="BQ52" s="90"/>
      <c r="BR52" s="183">
        <f t="shared" si="30"/>
        <v>0</v>
      </c>
      <c r="BS52" s="193"/>
      <c r="BT52" s="90"/>
      <c r="BU52" s="90"/>
      <c r="BV52" s="183">
        <f t="shared" si="31"/>
        <v>0</v>
      </c>
      <c r="BW52" s="193"/>
      <c r="BX52" s="90"/>
      <c r="BY52" s="90"/>
      <c r="BZ52" s="183">
        <f t="shared" si="32"/>
        <v>0</v>
      </c>
      <c r="CA52" s="193"/>
      <c r="CB52" s="90"/>
      <c r="CC52" s="90"/>
      <c r="CD52" s="183">
        <f t="shared" si="33"/>
        <v>0</v>
      </c>
    </row>
    <row r="53" spans="2:82" x14ac:dyDescent="0.3">
      <c r="B53" s="53"/>
      <c r="C53" s="53" t="str">
        <f t="shared" si="0"/>
        <v>CPU_MicroRevestimento</v>
      </c>
      <c r="D53" s="278">
        <f t="shared" si="1"/>
        <v>8000</v>
      </c>
      <c r="E53" s="278">
        <f t="shared" si="2"/>
        <v>453600</v>
      </c>
      <c r="F53" s="1"/>
      <c r="G53" s="28" t="str">
        <f>IFERROR(VLOOKUP(F53,Tabela7[[RECURSO]:[CUSTO]],2,FALSE),"")</f>
        <v/>
      </c>
      <c r="I53" s="90">
        <f t="shared" si="41"/>
        <v>0</v>
      </c>
      <c r="J53" s="45">
        <f>IFERROR(VLOOKUP(F53,Tabela7[[RECURSO]:[CUSTO]],3,FALSE),0)</f>
        <v>0</v>
      </c>
      <c r="K53" s="45">
        <f t="shared" si="42"/>
        <v>0</v>
      </c>
      <c r="M53" s="85"/>
      <c r="N53" s="88"/>
      <c r="AD53" s="144" t="str">
        <f t="shared" si="3"/>
        <v>Micro Revestimento</v>
      </c>
      <c r="AE53" s="192"/>
      <c r="AF53" s="180">
        <f t="shared" si="38"/>
        <v>0</v>
      </c>
      <c r="AG53" s="180">
        <f t="shared" si="17"/>
        <v>0</v>
      </c>
      <c r="AH53" s="181">
        <f t="shared" si="39"/>
        <v>0</v>
      </c>
      <c r="AI53" s="193"/>
      <c r="AJ53" s="90"/>
      <c r="AK53" s="90"/>
      <c r="AL53" s="183">
        <f t="shared" si="40"/>
        <v>0</v>
      </c>
      <c r="AM53" s="193"/>
      <c r="AN53" s="90"/>
      <c r="AO53" s="90"/>
      <c r="AP53" s="183">
        <f t="shared" si="23"/>
        <v>0</v>
      </c>
      <c r="AQ53" s="193"/>
      <c r="AR53" s="90"/>
      <c r="AS53" s="90"/>
      <c r="AT53" s="183">
        <f t="shared" si="24"/>
        <v>0</v>
      </c>
      <c r="AU53" s="193"/>
      <c r="AV53" s="90"/>
      <c r="AW53" s="90"/>
      <c r="AX53" s="183">
        <f t="shared" si="25"/>
        <v>0</v>
      </c>
      <c r="AY53" s="193"/>
      <c r="AZ53" s="90"/>
      <c r="BA53" s="90"/>
      <c r="BB53" s="183">
        <f t="shared" si="26"/>
        <v>0</v>
      </c>
      <c r="BC53" s="193"/>
      <c r="BD53" s="90"/>
      <c r="BE53" s="90"/>
      <c r="BF53" s="183">
        <f t="shared" si="27"/>
        <v>0</v>
      </c>
      <c r="BG53" s="193"/>
      <c r="BH53" s="90"/>
      <c r="BI53" s="90"/>
      <c r="BJ53" s="183">
        <f t="shared" si="28"/>
        <v>0</v>
      </c>
      <c r="BK53" s="193"/>
      <c r="BL53" s="90"/>
      <c r="BM53" s="90"/>
      <c r="BN53" s="183">
        <f t="shared" si="29"/>
        <v>0</v>
      </c>
      <c r="BO53" s="193"/>
      <c r="BP53" s="90"/>
      <c r="BQ53" s="90"/>
      <c r="BR53" s="183">
        <f t="shared" si="30"/>
        <v>0</v>
      </c>
      <c r="BS53" s="193"/>
      <c r="BT53" s="90"/>
      <c r="BU53" s="90"/>
      <c r="BV53" s="183">
        <f t="shared" si="31"/>
        <v>0</v>
      </c>
      <c r="BW53" s="193"/>
      <c r="BX53" s="90"/>
      <c r="BY53" s="90"/>
      <c r="BZ53" s="183">
        <f t="shared" si="32"/>
        <v>0</v>
      </c>
      <c r="CA53" s="193"/>
      <c r="CB53" s="90"/>
      <c r="CC53" s="90"/>
      <c r="CD53" s="183">
        <f t="shared" si="33"/>
        <v>0</v>
      </c>
    </row>
    <row r="54" spans="2:82" x14ac:dyDescent="0.3">
      <c r="B54" s="53"/>
      <c r="C54" s="53" t="str">
        <f t="shared" si="0"/>
        <v>CPU_MicroRevestimento</v>
      </c>
      <c r="D54" s="278">
        <f t="shared" si="1"/>
        <v>8000</v>
      </c>
      <c r="E54" s="278">
        <f t="shared" si="2"/>
        <v>453600</v>
      </c>
      <c r="F54" s="1"/>
      <c r="G54" s="28" t="str">
        <f>IFERROR(VLOOKUP(F54,Tabela7[[RECURSO]:[CUSTO]],2,FALSE),"")</f>
        <v/>
      </c>
      <c r="I54" s="90">
        <f t="shared" si="41"/>
        <v>0</v>
      </c>
      <c r="J54" s="45">
        <f>IFERROR(VLOOKUP(F54,Tabela7[[RECURSO]:[CUSTO]],3,FALSE),0)</f>
        <v>0</v>
      </c>
      <c r="K54" s="45">
        <f>I54*J54</f>
        <v>0</v>
      </c>
      <c r="M54" s="85"/>
      <c r="N54" s="88"/>
      <c r="AD54" s="144" t="str">
        <f>$B$3</f>
        <v>Micro Revestimento</v>
      </c>
      <c r="AE54" s="192"/>
      <c r="AF54" s="180">
        <f t="shared" si="38"/>
        <v>0</v>
      </c>
      <c r="AG54" s="180">
        <f t="shared" si="17"/>
        <v>0</v>
      </c>
      <c r="AH54" s="181">
        <f t="shared" si="39"/>
        <v>0</v>
      </c>
      <c r="AI54" s="193"/>
      <c r="AJ54" s="90"/>
      <c r="AK54" s="90"/>
      <c r="AL54" s="183">
        <f t="shared" si="40"/>
        <v>0</v>
      </c>
      <c r="AM54" s="193"/>
      <c r="AN54" s="90"/>
      <c r="AO54" s="90"/>
      <c r="AP54" s="183">
        <f t="shared" si="23"/>
        <v>0</v>
      </c>
      <c r="AQ54" s="193"/>
      <c r="AR54" s="90"/>
      <c r="AS54" s="90"/>
      <c r="AT54" s="183">
        <f t="shared" si="24"/>
        <v>0</v>
      </c>
      <c r="AU54" s="193"/>
      <c r="AV54" s="90"/>
      <c r="AW54" s="90"/>
      <c r="AX54" s="183">
        <f t="shared" si="25"/>
        <v>0</v>
      </c>
      <c r="AY54" s="193"/>
      <c r="AZ54" s="90"/>
      <c r="BA54" s="90"/>
      <c r="BB54" s="183">
        <f t="shared" si="26"/>
        <v>0</v>
      </c>
      <c r="BC54" s="193"/>
      <c r="BD54" s="90"/>
      <c r="BE54" s="90"/>
      <c r="BF54" s="183">
        <f t="shared" si="27"/>
        <v>0</v>
      </c>
      <c r="BG54" s="193"/>
      <c r="BH54" s="90"/>
      <c r="BI54" s="90"/>
      <c r="BJ54" s="183">
        <f t="shared" si="28"/>
        <v>0</v>
      </c>
      <c r="BK54" s="193"/>
      <c r="BL54" s="90"/>
      <c r="BM54" s="90"/>
      <c r="BN54" s="183">
        <f t="shared" si="29"/>
        <v>0</v>
      </c>
      <c r="BO54" s="193"/>
      <c r="BP54" s="90"/>
      <c r="BQ54" s="90"/>
      <c r="BR54" s="183">
        <f t="shared" si="30"/>
        <v>0</v>
      </c>
      <c r="BS54" s="193"/>
      <c r="BT54" s="90"/>
      <c r="BU54" s="90"/>
      <c r="BV54" s="183">
        <f t="shared" si="31"/>
        <v>0</v>
      </c>
      <c r="BW54" s="193"/>
      <c r="BX54" s="90"/>
      <c r="BY54" s="90"/>
      <c r="BZ54" s="183">
        <f t="shared" si="32"/>
        <v>0</v>
      </c>
      <c r="CA54" s="193"/>
      <c r="CB54" s="90"/>
      <c r="CC54" s="90"/>
      <c r="CD54" s="183">
        <f t="shared" si="33"/>
        <v>0</v>
      </c>
    </row>
    <row r="55" spans="2:82" x14ac:dyDescent="0.3">
      <c r="B55" s="53"/>
      <c r="C55" s="53" t="str">
        <f t="shared" si="0"/>
        <v>CPU_MicroRevestimento</v>
      </c>
      <c r="D55" s="278">
        <f t="shared" si="1"/>
        <v>8000</v>
      </c>
      <c r="E55" s="278">
        <f t="shared" si="2"/>
        <v>453600</v>
      </c>
      <c r="F55" s="1"/>
      <c r="G55" s="28" t="str">
        <f>IFERROR(VLOOKUP(F55,Tabela7[[RECURSO]:[CUSTO]],2,FALSE),"")</f>
        <v/>
      </c>
      <c r="I55" s="90">
        <f t="shared" si="41"/>
        <v>0</v>
      </c>
      <c r="J55" s="45">
        <f>IFERROR(VLOOKUP(F55,Tabela7[[RECURSO]:[CUSTO]],3,FALSE),0)</f>
        <v>0</v>
      </c>
      <c r="K55" s="45">
        <f t="shared" si="42"/>
        <v>0</v>
      </c>
      <c r="M55" s="85"/>
      <c r="N55" s="88"/>
      <c r="AD55" s="144" t="str">
        <f t="shared" si="3"/>
        <v>Micro Revestimento</v>
      </c>
      <c r="AE55" s="192"/>
      <c r="AF55" s="180">
        <f t="shared" si="38"/>
        <v>0</v>
      </c>
      <c r="AG55" s="180">
        <f t="shared" si="17"/>
        <v>0</v>
      </c>
      <c r="AH55" s="181">
        <f t="shared" si="39"/>
        <v>0</v>
      </c>
      <c r="AI55" s="193"/>
      <c r="AJ55" s="90"/>
      <c r="AK55" s="90"/>
      <c r="AL55" s="183">
        <f t="shared" si="40"/>
        <v>0</v>
      </c>
      <c r="AM55" s="193"/>
      <c r="AN55" s="90"/>
      <c r="AO55" s="90"/>
      <c r="AP55" s="183">
        <f t="shared" si="23"/>
        <v>0</v>
      </c>
      <c r="AQ55" s="193"/>
      <c r="AR55" s="90"/>
      <c r="AS55" s="90"/>
      <c r="AT55" s="183">
        <f t="shared" si="24"/>
        <v>0</v>
      </c>
      <c r="AU55" s="193"/>
      <c r="AV55" s="90"/>
      <c r="AW55" s="90"/>
      <c r="AX55" s="183">
        <f t="shared" si="25"/>
        <v>0</v>
      </c>
      <c r="AY55" s="193"/>
      <c r="AZ55" s="90"/>
      <c r="BA55" s="90"/>
      <c r="BB55" s="183">
        <f t="shared" si="26"/>
        <v>0</v>
      </c>
      <c r="BC55" s="193"/>
      <c r="BD55" s="90"/>
      <c r="BE55" s="90"/>
      <c r="BF55" s="183">
        <f t="shared" si="27"/>
        <v>0</v>
      </c>
      <c r="BG55" s="193"/>
      <c r="BH55" s="90"/>
      <c r="BI55" s="90"/>
      <c r="BJ55" s="183">
        <f t="shared" si="28"/>
        <v>0</v>
      </c>
      <c r="BK55" s="193"/>
      <c r="BL55" s="90"/>
      <c r="BM55" s="90"/>
      <c r="BN55" s="183">
        <f t="shared" si="29"/>
        <v>0</v>
      </c>
      <c r="BO55" s="193"/>
      <c r="BP55" s="90"/>
      <c r="BQ55" s="90"/>
      <c r="BR55" s="183">
        <f t="shared" si="30"/>
        <v>0</v>
      </c>
      <c r="BS55" s="193"/>
      <c r="BT55" s="90"/>
      <c r="BU55" s="90"/>
      <c r="BV55" s="183">
        <f t="shared" si="31"/>
        <v>0</v>
      </c>
      <c r="BW55" s="193"/>
      <c r="BX55" s="90"/>
      <c r="BY55" s="90"/>
      <c r="BZ55" s="183">
        <f t="shared" si="32"/>
        <v>0</v>
      </c>
      <c r="CA55" s="193"/>
      <c r="CB55" s="90"/>
      <c r="CC55" s="90"/>
      <c r="CD55" s="183">
        <f t="shared" si="33"/>
        <v>0</v>
      </c>
    </row>
    <row r="56" spans="2:82" x14ac:dyDescent="0.3">
      <c r="B56" s="53"/>
      <c r="C56" s="53" t="str">
        <f t="shared" si="0"/>
        <v>CPU_MicroRevestimento</v>
      </c>
      <c r="D56" s="278">
        <f t="shared" si="1"/>
        <v>8000</v>
      </c>
      <c r="E56" s="278">
        <f t="shared" si="2"/>
        <v>453600</v>
      </c>
      <c r="F56" s="1"/>
      <c r="G56" s="28" t="str">
        <f>IFERROR(VLOOKUP(F56,Tabela7[[RECURSO]:[CUSTO]],2,FALSE),"")</f>
        <v/>
      </c>
      <c r="I56" s="90">
        <f t="shared" si="41"/>
        <v>0</v>
      </c>
      <c r="J56" s="45">
        <f>IFERROR(VLOOKUP(F56,Tabela7[[RECURSO]:[CUSTO]],3,FALSE),0)</f>
        <v>0</v>
      </c>
      <c r="K56" s="45">
        <f t="shared" si="42"/>
        <v>0</v>
      </c>
      <c r="M56" s="85"/>
      <c r="N56" s="88"/>
      <c r="AD56" s="144" t="str">
        <f t="shared" si="3"/>
        <v>Micro Revestimento</v>
      </c>
      <c r="AE56" s="192"/>
      <c r="AF56" s="180">
        <f t="shared" si="38"/>
        <v>0</v>
      </c>
      <c r="AG56" s="180">
        <f t="shared" si="17"/>
        <v>0</v>
      </c>
      <c r="AH56" s="181">
        <f t="shared" si="39"/>
        <v>0</v>
      </c>
      <c r="AI56" s="193"/>
      <c r="AJ56" s="90"/>
      <c r="AK56" s="90"/>
      <c r="AL56" s="183">
        <f t="shared" si="40"/>
        <v>0</v>
      </c>
      <c r="AM56" s="193"/>
      <c r="AN56" s="90"/>
      <c r="AO56" s="90"/>
      <c r="AP56" s="183">
        <f t="shared" si="23"/>
        <v>0</v>
      </c>
      <c r="AQ56" s="193"/>
      <c r="AR56" s="90"/>
      <c r="AS56" s="90"/>
      <c r="AT56" s="183">
        <f t="shared" si="24"/>
        <v>0</v>
      </c>
      <c r="AU56" s="193"/>
      <c r="AV56" s="90"/>
      <c r="AW56" s="90"/>
      <c r="AX56" s="183">
        <f t="shared" si="25"/>
        <v>0</v>
      </c>
      <c r="AY56" s="193"/>
      <c r="AZ56" s="90"/>
      <c r="BA56" s="90"/>
      <c r="BB56" s="183">
        <f t="shared" si="26"/>
        <v>0</v>
      </c>
      <c r="BC56" s="193"/>
      <c r="BD56" s="90"/>
      <c r="BE56" s="90"/>
      <c r="BF56" s="183">
        <f t="shared" si="27"/>
        <v>0</v>
      </c>
      <c r="BG56" s="193"/>
      <c r="BH56" s="90"/>
      <c r="BI56" s="90"/>
      <c r="BJ56" s="183">
        <f t="shared" si="28"/>
        <v>0</v>
      </c>
      <c r="BK56" s="193"/>
      <c r="BL56" s="90"/>
      <c r="BM56" s="90"/>
      <c r="BN56" s="183">
        <f t="shared" si="29"/>
        <v>0</v>
      </c>
      <c r="BO56" s="193"/>
      <c r="BP56" s="90"/>
      <c r="BQ56" s="90"/>
      <c r="BR56" s="183">
        <f t="shared" si="30"/>
        <v>0</v>
      </c>
      <c r="BS56" s="193"/>
      <c r="BT56" s="90"/>
      <c r="BU56" s="90"/>
      <c r="BV56" s="183">
        <f t="shared" si="31"/>
        <v>0</v>
      </c>
      <c r="BW56" s="193"/>
      <c r="BX56" s="90"/>
      <c r="BY56" s="90"/>
      <c r="BZ56" s="183">
        <f t="shared" si="32"/>
        <v>0</v>
      </c>
      <c r="CA56" s="193"/>
      <c r="CB56" s="90"/>
      <c r="CC56" s="90"/>
      <c r="CD56" s="183">
        <f t="shared" si="33"/>
        <v>0</v>
      </c>
    </row>
    <row r="57" spans="2:82" x14ac:dyDescent="0.3">
      <c r="B57" s="53"/>
      <c r="C57" s="53" t="str">
        <f t="shared" si="0"/>
        <v>CPU_MicroRevestimento</v>
      </c>
      <c r="D57" s="278">
        <f t="shared" si="1"/>
        <v>8000</v>
      </c>
      <c r="E57" s="278">
        <f t="shared" si="2"/>
        <v>453600</v>
      </c>
      <c r="F57" s="1"/>
      <c r="G57" s="28" t="str">
        <f>IFERROR(VLOOKUP(F57,Tabela7[[RECURSO]:[CUSTO]],2,FALSE),"")</f>
        <v/>
      </c>
      <c r="I57" s="90">
        <f t="shared" si="41"/>
        <v>0</v>
      </c>
      <c r="J57" s="45">
        <f>IFERROR(VLOOKUP(F57,Tabela7[[RECURSO]:[CUSTO]],3,FALSE),0)</f>
        <v>0</v>
      </c>
      <c r="K57" s="45">
        <f t="shared" si="42"/>
        <v>0</v>
      </c>
      <c r="M57" s="85"/>
      <c r="N57" s="88"/>
      <c r="AD57" s="144" t="str">
        <f t="shared" si="3"/>
        <v>Micro Revestimento</v>
      </c>
      <c r="AE57" s="192"/>
      <c r="AF57" s="180">
        <f t="shared" si="38"/>
        <v>0</v>
      </c>
      <c r="AG57" s="180">
        <f t="shared" si="17"/>
        <v>0</v>
      </c>
      <c r="AH57" s="181">
        <f t="shared" si="39"/>
        <v>0</v>
      </c>
      <c r="AI57" s="193"/>
      <c r="AJ57" s="90"/>
      <c r="AK57" s="90"/>
      <c r="AL57" s="183">
        <f t="shared" si="40"/>
        <v>0</v>
      </c>
      <c r="AM57" s="193"/>
      <c r="AN57" s="90"/>
      <c r="AO57" s="90"/>
      <c r="AP57" s="183">
        <f t="shared" si="23"/>
        <v>0</v>
      </c>
      <c r="AQ57" s="193"/>
      <c r="AR57" s="90"/>
      <c r="AS57" s="90"/>
      <c r="AT57" s="183">
        <f t="shared" si="24"/>
        <v>0</v>
      </c>
      <c r="AU57" s="193"/>
      <c r="AV57" s="90"/>
      <c r="AW57" s="90"/>
      <c r="AX57" s="183">
        <f t="shared" si="25"/>
        <v>0</v>
      </c>
      <c r="AY57" s="193"/>
      <c r="AZ57" s="90"/>
      <c r="BA57" s="90"/>
      <c r="BB57" s="183">
        <f t="shared" si="26"/>
        <v>0</v>
      </c>
      <c r="BC57" s="193"/>
      <c r="BD57" s="90"/>
      <c r="BE57" s="90"/>
      <c r="BF57" s="183">
        <f t="shared" si="27"/>
        <v>0</v>
      </c>
      <c r="BG57" s="193"/>
      <c r="BH57" s="90"/>
      <c r="BI57" s="90"/>
      <c r="BJ57" s="183">
        <f t="shared" si="28"/>
        <v>0</v>
      </c>
      <c r="BK57" s="193"/>
      <c r="BL57" s="90"/>
      <c r="BM57" s="90"/>
      <c r="BN57" s="183">
        <f t="shared" si="29"/>
        <v>0</v>
      </c>
      <c r="BO57" s="193"/>
      <c r="BP57" s="90"/>
      <c r="BQ57" s="90"/>
      <c r="BR57" s="183">
        <f t="shared" si="30"/>
        <v>0</v>
      </c>
      <c r="BS57" s="193"/>
      <c r="BT57" s="90"/>
      <c r="BU57" s="90"/>
      <c r="BV57" s="183">
        <f t="shared" si="31"/>
        <v>0</v>
      </c>
      <c r="BW57" s="193"/>
      <c r="BX57" s="90"/>
      <c r="BY57" s="90"/>
      <c r="BZ57" s="183">
        <f t="shared" si="32"/>
        <v>0</v>
      </c>
      <c r="CA57" s="193"/>
      <c r="CB57" s="90"/>
      <c r="CC57" s="90"/>
      <c r="CD57" s="183">
        <f t="shared" si="33"/>
        <v>0</v>
      </c>
    </row>
    <row r="58" spans="2:82" x14ac:dyDescent="0.3">
      <c r="B58" s="53"/>
      <c r="C58" s="53" t="str">
        <f t="shared" si="0"/>
        <v>CPU_MicroRevestimento</v>
      </c>
      <c r="D58" s="278">
        <f t="shared" si="1"/>
        <v>8000</v>
      </c>
      <c r="E58" s="278">
        <f t="shared" si="2"/>
        <v>453600</v>
      </c>
      <c r="F58" s="1"/>
      <c r="G58" s="28" t="str">
        <f>IFERROR(VLOOKUP(F58,Tabela7[[RECURSO]:[CUSTO]],2,FALSE),"")</f>
        <v/>
      </c>
      <c r="I58" s="90">
        <f t="shared" si="41"/>
        <v>0</v>
      </c>
      <c r="J58" s="45">
        <f>IFERROR(VLOOKUP(F58,Tabela7[[RECURSO]:[CUSTO]],3,FALSE),0)</f>
        <v>0</v>
      </c>
      <c r="K58" s="45">
        <f t="shared" si="42"/>
        <v>0</v>
      </c>
      <c r="M58" s="85"/>
      <c r="N58" s="88"/>
      <c r="AD58" s="144" t="str">
        <f t="shared" si="3"/>
        <v>Micro Revestimento</v>
      </c>
      <c r="AE58" s="192"/>
      <c r="AF58" s="180">
        <f t="shared" si="38"/>
        <v>0</v>
      </c>
      <c r="AG58" s="180">
        <f t="shared" si="17"/>
        <v>0</v>
      </c>
      <c r="AH58" s="181">
        <f t="shared" si="39"/>
        <v>0</v>
      </c>
      <c r="AI58" s="193"/>
      <c r="AJ58" s="90"/>
      <c r="AK58" s="90"/>
      <c r="AL58" s="183">
        <f t="shared" si="40"/>
        <v>0</v>
      </c>
      <c r="AM58" s="193"/>
      <c r="AN58" s="90"/>
      <c r="AO58" s="90"/>
      <c r="AP58" s="183">
        <f t="shared" si="23"/>
        <v>0</v>
      </c>
      <c r="AQ58" s="193"/>
      <c r="AR58" s="90"/>
      <c r="AS58" s="90"/>
      <c r="AT58" s="183">
        <f t="shared" si="24"/>
        <v>0</v>
      </c>
      <c r="AU58" s="193"/>
      <c r="AV58" s="90"/>
      <c r="AW58" s="90"/>
      <c r="AX58" s="183">
        <f t="shared" si="25"/>
        <v>0</v>
      </c>
      <c r="AY58" s="193"/>
      <c r="AZ58" s="90"/>
      <c r="BA58" s="90"/>
      <c r="BB58" s="183">
        <f t="shared" si="26"/>
        <v>0</v>
      </c>
      <c r="BC58" s="193"/>
      <c r="BD58" s="90"/>
      <c r="BE58" s="90"/>
      <c r="BF58" s="183">
        <f t="shared" si="27"/>
        <v>0</v>
      </c>
      <c r="BG58" s="193"/>
      <c r="BH58" s="90"/>
      <c r="BI58" s="90"/>
      <c r="BJ58" s="183">
        <f t="shared" si="28"/>
        <v>0</v>
      </c>
      <c r="BK58" s="193"/>
      <c r="BL58" s="90"/>
      <c r="BM58" s="90"/>
      <c r="BN58" s="183">
        <f t="shared" si="29"/>
        <v>0</v>
      </c>
      <c r="BO58" s="193"/>
      <c r="BP58" s="90"/>
      <c r="BQ58" s="90"/>
      <c r="BR58" s="183">
        <f t="shared" si="30"/>
        <v>0</v>
      </c>
      <c r="BS58" s="193"/>
      <c r="BT58" s="90"/>
      <c r="BU58" s="90"/>
      <c r="BV58" s="183">
        <f t="shared" si="31"/>
        <v>0</v>
      </c>
      <c r="BW58" s="193"/>
      <c r="BX58" s="90"/>
      <c r="BY58" s="90"/>
      <c r="BZ58" s="183">
        <f t="shared" si="32"/>
        <v>0</v>
      </c>
      <c r="CA58" s="193"/>
      <c r="CB58" s="90"/>
      <c r="CC58" s="90"/>
      <c r="CD58" s="183">
        <f t="shared" si="33"/>
        <v>0</v>
      </c>
    </row>
    <row r="59" spans="2:82" x14ac:dyDescent="0.3">
      <c r="B59" s="53"/>
      <c r="C59" s="53" t="str">
        <f t="shared" si="0"/>
        <v>CPU_MicroRevestimento</v>
      </c>
      <c r="D59" s="278">
        <f t="shared" si="1"/>
        <v>8000</v>
      </c>
      <c r="E59" s="278">
        <f t="shared" si="2"/>
        <v>453600</v>
      </c>
      <c r="F59" s="1"/>
      <c r="G59" s="28" t="str">
        <f>IFERROR(VLOOKUP(F59,Tabela7[[RECURSO]:[CUSTO]],2,FALSE),"")</f>
        <v/>
      </c>
      <c r="I59" s="90">
        <f t="shared" si="41"/>
        <v>0</v>
      </c>
      <c r="J59" s="45">
        <f>IFERROR(VLOOKUP(F59,Tabela7[[RECURSO]:[CUSTO]],3,FALSE),0)</f>
        <v>0</v>
      </c>
      <c r="K59" s="45">
        <f t="shared" si="42"/>
        <v>0</v>
      </c>
      <c r="M59" s="85"/>
      <c r="N59" s="88"/>
      <c r="AD59" s="144" t="str">
        <f t="shared" si="3"/>
        <v>Micro Revestimento</v>
      </c>
      <c r="AE59" s="192"/>
      <c r="AF59" s="180">
        <f t="shared" si="38"/>
        <v>0</v>
      </c>
      <c r="AG59" s="180">
        <f t="shared" si="17"/>
        <v>0</v>
      </c>
      <c r="AH59" s="181">
        <f t="shared" si="39"/>
        <v>0</v>
      </c>
      <c r="AI59" s="193"/>
      <c r="AJ59" s="90"/>
      <c r="AK59" s="90"/>
      <c r="AL59" s="183">
        <f t="shared" si="40"/>
        <v>0</v>
      </c>
      <c r="AM59" s="193"/>
      <c r="AN59" s="90"/>
      <c r="AO59" s="90"/>
      <c r="AP59" s="183">
        <f t="shared" si="23"/>
        <v>0</v>
      </c>
      <c r="AQ59" s="193"/>
      <c r="AR59" s="90"/>
      <c r="AS59" s="90"/>
      <c r="AT59" s="183">
        <f t="shared" si="24"/>
        <v>0</v>
      </c>
      <c r="AU59" s="193"/>
      <c r="AV59" s="90"/>
      <c r="AW59" s="90"/>
      <c r="AX59" s="183">
        <f t="shared" si="25"/>
        <v>0</v>
      </c>
      <c r="AY59" s="193"/>
      <c r="AZ59" s="90"/>
      <c r="BA59" s="90"/>
      <c r="BB59" s="183">
        <f t="shared" si="26"/>
        <v>0</v>
      </c>
      <c r="BC59" s="193"/>
      <c r="BD59" s="90"/>
      <c r="BE59" s="90"/>
      <c r="BF59" s="183">
        <f t="shared" si="27"/>
        <v>0</v>
      </c>
      <c r="BG59" s="193"/>
      <c r="BH59" s="90"/>
      <c r="BI59" s="90"/>
      <c r="BJ59" s="183">
        <f t="shared" si="28"/>
        <v>0</v>
      </c>
      <c r="BK59" s="193"/>
      <c r="BL59" s="90"/>
      <c r="BM59" s="90"/>
      <c r="BN59" s="183">
        <f t="shared" si="29"/>
        <v>0</v>
      </c>
      <c r="BO59" s="193"/>
      <c r="BP59" s="90"/>
      <c r="BQ59" s="90"/>
      <c r="BR59" s="183">
        <f t="shared" si="30"/>
        <v>0</v>
      </c>
      <c r="BS59" s="193"/>
      <c r="BT59" s="90"/>
      <c r="BU59" s="90"/>
      <c r="BV59" s="183">
        <f t="shared" si="31"/>
        <v>0</v>
      </c>
      <c r="BW59" s="193"/>
      <c r="BX59" s="90"/>
      <c r="BY59" s="90"/>
      <c r="BZ59" s="183">
        <f t="shared" si="32"/>
        <v>0</v>
      </c>
      <c r="CA59" s="193"/>
      <c r="CB59" s="90"/>
      <c r="CC59" s="90"/>
      <c r="CD59" s="183">
        <f t="shared" si="33"/>
        <v>0</v>
      </c>
    </row>
    <row r="60" spans="2:82" x14ac:dyDescent="0.3">
      <c r="B60" s="53"/>
      <c r="C60" s="53" t="str">
        <f t="shared" si="0"/>
        <v>CPU_MicroRevestimento</v>
      </c>
      <c r="D60" s="278">
        <f t="shared" si="1"/>
        <v>8000</v>
      </c>
      <c r="E60" s="278">
        <f t="shared" si="2"/>
        <v>453600</v>
      </c>
      <c r="F60" s="1"/>
      <c r="G60" s="28" t="str">
        <f>IFERROR(VLOOKUP(F60,Tabela7[[RECURSO]:[CUSTO]],2,FALSE),"")</f>
        <v/>
      </c>
      <c r="I60" s="90">
        <f t="shared" si="41"/>
        <v>0</v>
      </c>
      <c r="J60" s="45">
        <f>IFERROR(VLOOKUP(F60,Tabela7[[RECURSO]:[CUSTO]],3,FALSE),0)</f>
        <v>0</v>
      </c>
      <c r="K60" s="45">
        <f t="shared" si="42"/>
        <v>0</v>
      </c>
      <c r="M60" s="85"/>
      <c r="N60" s="88"/>
      <c r="AD60" s="144" t="str">
        <f t="shared" si="3"/>
        <v>Micro Revestimento</v>
      </c>
      <c r="AE60" s="192"/>
      <c r="AF60" s="180">
        <f t="shared" si="38"/>
        <v>0</v>
      </c>
      <c r="AG60" s="180">
        <f t="shared" si="17"/>
        <v>0</v>
      </c>
      <c r="AH60" s="181">
        <f t="shared" si="39"/>
        <v>0</v>
      </c>
      <c r="AI60" s="193"/>
      <c r="AJ60" s="90"/>
      <c r="AK60" s="90"/>
      <c r="AL60" s="183">
        <f t="shared" si="40"/>
        <v>0</v>
      </c>
      <c r="AM60" s="193"/>
      <c r="AN60" s="90"/>
      <c r="AO60" s="90"/>
      <c r="AP60" s="183">
        <f t="shared" si="23"/>
        <v>0</v>
      </c>
      <c r="AQ60" s="193"/>
      <c r="AR60" s="90"/>
      <c r="AS60" s="90"/>
      <c r="AT60" s="183">
        <f t="shared" si="24"/>
        <v>0</v>
      </c>
      <c r="AU60" s="193"/>
      <c r="AV60" s="90"/>
      <c r="AW60" s="90"/>
      <c r="AX60" s="183">
        <f t="shared" si="25"/>
        <v>0</v>
      </c>
      <c r="AY60" s="193"/>
      <c r="AZ60" s="90"/>
      <c r="BA60" s="90"/>
      <c r="BB60" s="183">
        <f t="shared" si="26"/>
        <v>0</v>
      </c>
      <c r="BC60" s="193"/>
      <c r="BD60" s="90"/>
      <c r="BE60" s="90"/>
      <c r="BF60" s="183">
        <f t="shared" si="27"/>
        <v>0</v>
      </c>
      <c r="BG60" s="193"/>
      <c r="BH60" s="90"/>
      <c r="BI60" s="90"/>
      <c r="BJ60" s="183">
        <f t="shared" si="28"/>
        <v>0</v>
      </c>
      <c r="BK60" s="193"/>
      <c r="BL60" s="90"/>
      <c r="BM60" s="90"/>
      <c r="BN60" s="183">
        <f t="shared" si="29"/>
        <v>0</v>
      </c>
      <c r="BO60" s="193"/>
      <c r="BP60" s="90"/>
      <c r="BQ60" s="90"/>
      <c r="BR60" s="183">
        <f t="shared" si="30"/>
        <v>0</v>
      </c>
      <c r="BS60" s="193"/>
      <c r="BT60" s="90"/>
      <c r="BU60" s="90"/>
      <c r="BV60" s="183">
        <f t="shared" si="31"/>
        <v>0</v>
      </c>
      <c r="BW60" s="193"/>
      <c r="BX60" s="90"/>
      <c r="BY60" s="90"/>
      <c r="BZ60" s="183">
        <f t="shared" si="32"/>
        <v>0</v>
      </c>
      <c r="CA60" s="193"/>
      <c r="CB60" s="90"/>
      <c r="CC60" s="90"/>
      <c r="CD60" s="183">
        <f t="shared" si="33"/>
        <v>0</v>
      </c>
    </row>
    <row r="61" spans="2:82" x14ac:dyDescent="0.3">
      <c r="B61" s="53"/>
      <c r="C61" s="53" t="str">
        <f t="shared" si="0"/>
        <v>CPU_MicroRevestimento</v>
      </c>
      <c r="D61" s="278">
        <f t="shared" si="1"/>
        <v>8000</v>
      </c>
      <c r="E61" s="278">
        <f t="shared" si="2"/>
        <v>453600</v>
      </c>
      <c r="F61" s="1"/>
      <c r="G61" s="28" t="str">
        <f>IFERROR(VLOOKUP(F61,Tabela7[[RECURSO]:[CUSTO]],2,FALSE),"")</f>
        <v/>
      </c>
      <c r="I61" s="90">
        <f t="shared" si="41"/>
        <v>0</v>
      </c>
      <c r="J61" s="45">
        <f>IFERROR(VLOOKUP(F61,Tabela7[[RECURSO]:[CUSTO]],3,FALSE),0)</f>
        <v>0</v>
      </c>
      <c r="K61" s="45">
        <f t="shared" si="42"/>
        <v>0</v>
      </c>
      <c r="M61" s="85"/>
      <c r="N61" s="88"/>
      <c r="AD61" s="144" t="str">
        <f t="shared" si="3"/>
        <v>Micro Revestimento</v>
      </c>
      <c r="AE61" s="192"/>
      <c r="AF61" s="180">
        <f t="shared" si="38"/>
        <v>0</v>
      </c>
      <c r="AG61" s="180">
        <f t="shared" si="17"/>
        <v>0</v>
      </c>
      <c r="AH61" s="181">
        <f t="shared" si="39"/>
        <v>0</v>
      </c>
      <c r="AI61" s="193"/>
      <c r="AJ61" s="90"/>
      <c r="AK61" s="90"/>
      <c r="AL61" s="183">
        <f t="shared" si="40"/>
        <v>0</v>
      </c>
      <c r="AM61" s="193"/>
      <c r="AN61" s="90"/>
      <c r="AO61" s="90"/>
      <c r="AP61" s="183">
        <f t="shared" si="23"/>
        <v>0</v>
      </c>
      <c r="AQ61" s="193"/>
      <c r="AR61" s="90"/>
      <c r="AS61" s="90"/>
      <c r="AT61" s="183">
        <f t="shared" si="24"/>
        <v>0</v>
      </c>
      <c r="AU61" s="193"/>
      <c r="AV61" s="90"/>
      <c r="AW61" s="90"/>
      <c r="AX61" s="183">
        <f t="shared" si="25"/>
        <v>0</v>
      </c>
      <c r="AY61" s="193"/>
      <c r="AZ61" s="90"/>
      <c r="BA61" s="90"/>
      <c r="BB61" s="183">
        <f t="shared" si="26"/>
        <v>0</v>
      </c>
      <c r="BC61" s="193"/>
      <c r="BD61" s="90"/>
      <c r="BE61" s="90"/>
      <c r="BF61" s="183">
        <f t="shared" si="27"/>
        <v>0</v>
      </c>
      <c r="BG61" s="193"/>
      <c r="BH61" s="90"/>
      <c r="BI61" s="90"/>
      <c r="BJ61" s="183">
        <f t="shared" si="28"/>
        <v>0</v>
      </c>
      <c r="BK61" s="193"/>
      <c r="BL61" s="90"/>
      <c r="BM61" s="90"/>
      <c r="BN61" s="183">
        <f t="shared" si="29"/>
        <v>0</v>
      </c>
      <c r="BO61" s="193"/>
      <c r="BP61" s="90"/>
      <c r="BQ61" s="90"/>
      <c r="BR61" s="183">
        <f t="shared" si="30"/>
        <v>0</v>
      </c>
      <c r="BS61" s="193"/>
      <c r="BT61" s="90"/>
      <c r="BU61" s="90"/>
      <c r="BV61" s="183">
        <f t="shared" si="31"/>
        <v>0</v>
      </c>
      <c r="BW61" s="193"/>
      <c r="BX61" s="90"/>
      <c r="BY61" s="90"/>
      <c r="BZ61" s="183">
        <f t="shared" si="32"/>
        <v>0</v>
      </c>
      <c r="CA61" s="193"/>
      <c r="CB61" s="90"/>
      <c r="CC61" s="90"/>
      <c r="CD61" s="183">
        <f t="shared" si="33"/>
        <v>0</v>
      </c>
    </row>
    <row r="62" spans="2:82" ht="15" thickBot="1" x14ac:dyDescent="0.35">
      <c r="B62" s="53"/>
      <c r="C62" s="53" t="str">
        <f t="shared" si="0"/>
        <v>CPU_MicroRevestimento</v>
      </c>
      <c r="D62" s="278">
        <f t="shared" si="1"/>
        <v>8000</v>
      </c>
      <c r="E62" s="278">
        <f t="shared" si="2"/>
        <v>453600</v>
      </c>
      <c r="F62" s="1"/>
      <c r="G62" s="28" t="str">
        <f>IFERROR(VLOOKUP(F62,Tabela7[[RECURSO]:[CUSTO]],2,FALSE),"")</f>
        <v/>
      </c>
      <c r="I62" s="90">
        <f t="shared" si="41"/>
        <v>0</v>
      </c>
      <c r="J62" s="45">
        <f>IFERROR(VLOOKUP(F62,Tabela7[[RECURSO]:[CUSTO]],3,FALSE),0)</f>
        <v>0</v>
      </c>
      <c r="K62" s="45">
        <f t="shared" si="42"/>
        <v>0</v>
      </c>
      <c r="M62" s="86"/>
      <c r="N62" s="88"/>
      <c r="AD62" s="144" t="str">
        <f t="shared" si="3"/>
        <v>Micro Revestimento</v>
      </c>
      <c r="AE62" s="194"/>
      <c r="AF62" s="195">
        <f t="shared" si="38"/>
        <v>0</v>
      </c>
      <c r="AG62" s="195">
        <f t="shared" si="17"/>
        <v>0</v>
      </c>
      <c r="AH62" s="196">
        <f t="shared" si="39"/>
        <v>0</v>
      </c>
      <c r="AI62" s="197"/>
      <c r="AJ62" s="198"/>
      <c r="AK62" s="198"/>
      <c r="AL62" s="199">
        <f t="shared" si="40"/>
        <v>0</v>
      </c>
      <c r="AM62" s="197"/>
      <c r="AN62" s="198"/>
      <c r="AO62" s="198"/>
      <c r="AP62" s="199">
        <f t="shared" si="23"/>
        <v>0</v>
      </c>
      <c r="AQ62" s="197"/>
      <c r="AR62" s="198"/>
      <c r="AS62" s="198"/>
      <c r="AT62" s="199">
        <f t="shared" si="24"/>
        <v>0</v>
      </c>
      <c r="AU62" s="197"/>
      <c r="AV62" s="198"/>
      <c r="AW62" s="198"/>
      <c r="AX62" s="199">
        <f t="shared" si="25"/>
        <v>0</v>
      </c>
      <c r="AY62" s="197"/>
      <c r="AZ62" s="198"/>
      <c r="BA62" s="198"/>
      <c r="BB62" s="199">
        <f t="shared" si="26"/>
        <v>0</v>
      </c>
      <c r="BC62" s="197"/>
      <c r="BD62" s="198"/>
      <c r="BE62" s="198"/>
      <c r="BF62" s="199">
        <f t="shared" si="27"/>
        <v>0</v>
      </c>
      <c r="BG62" s="197"/>
      <c r="BH62" s="198"/>
      <c r="BI62" s="198"/>
      <c r="BJ62" s="199">
        <f t="shared" si="28"/>
        <v>0</v>
      </c>
      <c r="BK62" s="197"/>
      <c r="BL62" s="198"/>
      <c r="BM62" s="198"/>
      <c r="BN62" s="199">
        <f t="shared" si="29"/>
        <v>0</v>
      </c>
      <c r="BO62" s="197"/>
      <c r="BP62" s="198"/>
      <c r="BQ62" s="198"/>
      <c r="BR62" s="199">
        <f t="shared" si="30"/>
        <v>0</v>
      </c>
      <c r="BS62" s="197"/>
      <c r="BT62" s="198"/>
      <c r="BU62" s="198"/>
      <c r="BV62" s="199">
        <f t="shared" si="31"/>
        <v>0</v>
      </c>
      <c r="BW62" s="197"/>
      <c r="BX62" s="198"/>
      <c r="BY62" s="198"/>
      <c r="BZ62" s="199">
        <f t="shared" si="32"/>
        <v>0</v>
      </c>
      <c r="CA62" s="197"/>
      <c r="CB62" s="198"/>
      <c r="CC62" s="198"/>
      <c r="CD62" s="199">
        <f t="shared" si="33"/>
        <v>0</v>
      </c>
    </row>
  </sheetData>
  <conditionalFormatting sqref="K6:K7">
    <cfRule type="iconSet" priority="14">
      <iconSet>
        <cfvo type="percent" val="0"/>
        <cfvo type="num" val="0"/>
        <cfvo type="num" val="0.02"/>
      </iconSet>
    </cfRule>
  </conditionalFormatting>
  <conditionalFormatting sqref="AH6:AH7">
    <cfRule type="iconSet" priority="13">
      <iconSet>
        <cfvo type="percent" val="0"/>
        <cfvo type="num" val="0"/>
        <cfvo type="num" val="0.02"/>
      </iconSet>
    </cfRule>
  </conditionalFormatting>
  <conditionalFormatting sqref="AL6:AL7">
    <cfRule type="iconSet" priority="12">
      <iconSet>
        <cfvo type="percent" val="0"/>
        <cfvo type="num" val="0"/>
        <cfvo type="num" val="0.02"/>
      </iconSet>
    </cfRule>
  </conditionalFormatting>
  <conditionalFormatting sqref="AP6:AP7">
    <cfRule type="iconSet" priority="11">
      <iconSet>
        <cfvo type="percent" val="0"/>
        <cfvo type="num" val="0"/>
        <cfvo type="num" val="0.02"/>
      </iconSet>
    </cfRule>
  </conditionalFormatting>
  <conditionalFormatting sqref="AT6:AT7">
    <cfRule type="iconSet" priority="10">
      <iconSet>
        <cfvo type="percent" val="0"/>
        <cfvo type="num" val="0"/>
        <cfvo type="num" val="0.02"/>
      </iconSet>
    </cfRule>
  </conditionalFormatting>
  <conditionalFormatting sqref="AX6:AX7">
    <cfRule type="iconSet" priority="9">
      <iconSet>
        <cfvo type="percent" val="0"/>
        <cfvo type="num" val="0"/>
        <cfvo type="num" val="0.02"/>
      </iconSet>
    </cfRule>
  </conditionalFormatting>
  <conditionalFormatting sqref="BB6:BB7">
    <cfRule type="iconSet" priority="8">
      <iconSet>
        <cfvo type="percent" val="0"/>
        <cfvo type="num" val="0"/>
        <cfvo type="num" val="0.02"/>
      </iconSet>
    </cfRule>
  </conditionalFormatting>
  <conditionalFormatting sqref="BF6:BF7">
    <cfRule type="iconSet" priority="7">
      <iconSet>
        <cfvo type="percent" val="0"/>
        <cfvo type="num" val="0"/>
        <cfvo type="num" val="0.02"/>
      </iconSet>
    </cfRule>
  </conditionalFormatting>
  <conditionalFormatting sqref="BJ6:BJ7">
    <cfRule type="iconSet" priority="6">
      <iconSet>
        <cfvo type="percent" val="0"/>
        <cfvo type="num" val="0"/>
        <cfvo type="num" val="0.02"/>
      </iconSet>
    </cfRule>
  </conditionalFormatting>
  <conditionalFormatting sqref="BN6:BN7">
    <cfRule type="iconSet" priority="5">
      <iconSet>
        <cfvo type="percent" val="0"/>
        <cfvo type="num" val="0"/>
        <cfvo type="num" val="0.02"/>
      </iconSet>
    </cfRule>
  </conditionalFormatting>
  <conditionalFormatting sqref="BR6:BR7">
    <cfRule type="iconSet" priority="4">
      <iconSet>
        <cfvo type="percent" val="0"/>
        <cfvo type="num" val="0"/>
        <cfvo type="num" val="0.02"/>
      </iconSet>
    </cfRule>
  </conditionalFormatting>
  <conditionalFormatting sqref="BV6:BV7">
    <cfRule type="iconSet" priority="3">
      <iconSet>
        <cfvo type="percent" val="0"/>
        <cfvo type="num" val="0"/>
        <cfvo type="num" val="0.02"/>
      </iconSet>
    </cfRule>
  </conditionalFormatting>
  <conditionalFormatting sqref="BZ6:BZ7">
    <cfRule type="iconSet" priority="2">
      <iconSet>
        <cfvo type="percent" val="0"/>
        <cfvo type="num" val="0"/>
        <cfvo type="num" val="0.02"/>
      </iconSet>
    </cfRule>
  </conditionalFormatting>
  <conditionalFormatting sqref="CD6:CD7">
    <cfRule type="iconSet" priority="1">
      <iconSet>
        <cfvo type="percent" val="0"/>
        <cfvo type="num" val="0"/>
        <cfvo type="num" val="0.02"/>
      </iconSet>
    </cfRule>
  </conditionalFormatting>
  <dataValidations count="5">
    <dataValidation type="list" allowBlank="1" showInputMessage="1" showErrorMessage="1" sqref="F51:F62" xr:uid="{994E4D75-D7E5-4EA6-BCE4-C6DC509C1327}">
      <formula1>INDIRECT($B$50)</formula1>
    </dataValidation>
    <dataValidation type="list" allowBlank="1" showInputMessage="1" showErrorMessage="1" sqref="F38:F49" xr:uid="{A44AFD8D-139D-4D00-964F-AD390EE5C326}">
      <formula1>INDIRECT($B$37)</formula1>
    </dataValidation>
    <dataValidation type="list" allowBlank="1" showInputMessage="1" showErrorMessage="1" sqref="F25:F36" xr:uid="{C086791B-C4EB-40E7-977F-DB7ACEA18E77}">
      <formula1>INDIRECT($B$24)</formula1>
    </dataValidation>
    <dataValidation type="list" allowBlank="1" showInputMessage="1" showErrorMessage="1" sqref="F12:F23" xr:uid="{1060E03B-E10F-40F7-94D5-BBE2425B61E1}">
      <formula1>INDIRECT($B$11)</formula1>
    </dataValidation>
    <dataValidation type="list" allowBlank="1" showInputMessage="1" showErrorMessage="1" sqref="B3:E3" xr:uid="{0014DF19-6321-4D86-A44C-C8F4C1353BC0}">
      <formula1>INDIRECT($B$2)</formula1>
    </dataValidation>
  </dataValidations>
  <pageMargins left="0.51181102362204722" right="0.51181102362204722" top="0.19685039370078741" bottom="0.19685039370078741" header="0.31496062992125984" footer="0.31496062992125984"/>
  <pageSetup paperSize="9" scale="82" orientation="portrait" r:id="rId1"/>
  <colBreaks count="1" manualBreakCount="1">
    <brk id="11" max="1048575" man="1"/>
  </colBreaks>
  <drawing r:id="rId2"/>
  <legacyDrawing r:id="rId3"/>
  <tableParts count="2">
    <tablePart r:id="rId4"/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082D4-2C4A-433F-A925-3564AD6E9500}">
  <sheetPr codeName="Plan20"/>
  <dimension ref="A1:CD62"/>
  <sheetViews>
    <sheetView showGridLines="0" zoomScaleNormal="100" workbookViewId="0">
      <pane xSplit="14" ySplit="10" topLeftCell="O49" activePane="bottomRight" state="frozen"/>
      <selection pane="topRight" activeCell="C28" activeCellId="1" sqref="E13 C28"/>
      <selection pane="bottomLeft" activeCell="C28" activeCellId="1" sqref="E13 C28"/>
      <selection pane="bottomRight" activeCell="M51" sqref="M51"/>
    </sheetView>
  </sheetViews>
  <sheetFormatPr defaultRowHeight="14.4" x14ac:dyDescent="0.3"/>
  <cols>
    <col min="1" max="1" width="4.109375" customWidth="1"/>
    <col min="2" max="2" width="16.109375" customWidth="1"/>
    <col min="3" max="5" width="16.109375" hidden="1" customWidth="1"/>
    <col min="6" max="6" width="40.6640625" customWidth="1"/>
    <col min="7" max="7" width="10.6640625" style="28" customWidth="1"/>
    <col min="8" max="8" width="7.6640625" style="28" customWidth="1"/>
    <col min="9" max="11" width="10.6640625" customWidth="1"/>
    <col min="12" max="12" width="2.33203125" customWidth="1"/>
    <col min="13" max="14" width="12.6640625" customWidth="1"/>
    <col min="15" max="15" width="14" bestFit="1" customWidth="1"/>
    <col min="30" max="30" width="12.44140625" bestFit="1" customWidth="1"/>
    <col min="31" max="31" width="7.6640625" customWidth="1"/>
    <col min="32" max="32" width="9.33203125" bestFit="1" customWidth="1"/>
    <col min="33" max="34" width="10.6640625" customWidth="1"/>
    <col min="35" max="35" width="7.6640625" customWidth="1"/>
    <col min="36" max="36" width="9.33203125" customWidth="1"/>
    <col min="37" max="38" width="10.6640625" customWidth="1"/>
    <col min="40" max="40" width="9.33203125" customWidth="1"/>
    <col min="42" max="42" width="9.6640625" customWidth="1"/>
    <col min="44" max="44" width="9.33203125" customWidth="1"/>
    <col min="46" max="46" width="9.6640625" customWidth="1"/>
    <col min="48" max="48" width="9.33203125" customWidth="1"/>
    <col min="50" max="50" width="9.6640625" customWidth="1"/>
    <col min="52" max="52" width="9.33203125" customWidth="1"/>
    <col min="54" max="54" width="9.6640625" customWidth="1"/>
    <col min="56" max="56" width="9.33203125" customWidth="1"/>
    <col min="58" max="58" width="9.6640625" customWidth="1"/>
    <col min="60" max="60" width="9.33203125" customWidth="1"/>
    <col min="62" max="62" width="9.6640625" customWidth="1"/>
    <col min="64" max="64" width="9.33203125" customWidth="1"/>
    <col min="66" max="66" width="9.6640625" customWidth="1"/>
    <col min="68" max="68" width="9.33203125" customWidth="1"/>
    <col min="70" max="70" width="9.6640625" customWidth="1"/>
    <col min="72" max="72" width="10" customWidth="1"/>
    <col min="73" max="73" width="9.5546875" customWidth="1"/>
    <col min="74" max="74" width="10.44140625" customWidth="1"/>
    <col min="76" max="76" width="10" customWidth="1"/>
    <col min="77" max="77" width="9.5546875" customWidth="1"/>
    <col min="78" max="78" width="10.44140625" customWidth="1"/>
    <col min="80" max="80" width="10" customWidth="1"/>
    <col min="81" max="81" width="9.5546875" customWidth="1"/>
    <col min="82" max="82" width="10.44140625" customWidth="1"/>
  </cols>
  <sheetData>
    <row r="1" spans="1:82" ht="26.4" customHeight="1" thickBot="1" x14ac:dyDescent="0.35">
      <c r="AE1" s="163" t="s">
        <v>678</v>
      </c>
    </row>
    <row r="2" spans="1:82" x14ac:dyDescent="0.3">
      <c r="B2" s="64" t="s">
        <v>679</v>
      </c>
      <c r="C2" s="67"/>
      <c r="D2" s="67"/>
      <c r="E2" s="67"/>
      <c r="F2" s="65"/>
      <c r="G2" s="66"/>
      <c r="H2" s="66"/>
      <c r="I2" s="65"/>
      <c r="J2" s="67" t="s">
        <v>680</v>
      </c>
      <c r="K2" s="68" t="s">
        <v>681</v>
      </c>
      <c r="M2" s="227" t="s">
        <v>682</v>
      </c>
      <c r="N2" s="228" t="s">
        <v>683</v>
      </c>
      <c r="O2" s="234" t="s">
        <v>684</v>
      </c>
      <c r="AE2" s="164" t="s">
        <v>590</v>
      </c>
      <c r="AF2" s="165" t="s">
        <v>20</v>
      </c>
      <c r="AG2" s="67"/>
      <c r="AH2" s="68" t="s">
        <v>681</v>
      </c>
      <c r="AI2" s="166">
        <v>44927</v>
      </c>
      <c r="AJ2" s="165" t="s">
        <v>20</v>
      </c>
      <c r="AK2" s="67"/>
      <c r="AL2" s="68" t="s">
        <v>681</v>
      </c>
      <c r="AM2" s="166">
        <v>44958</v>
      </c>
      <c r="AN2" s="165" t="s">
        <v>20</v>
      </c>
      <c r="AO2" s="67"/>
      <c r="AP2" s="68" t="s">
        <v>681</v>
      </c>
      <c r="AQ2" s="166">
        <v>44986</v>
      </c>
      <c r="AR2" s="165" t="s">
        <v>20</v>
      </c>
      <c r="AS2" s="67"/>
      <c r="AT2" s="68" t="s">
        <v>681</v>
      </c>
      <c r="AU2" s="166">
        <v>45017</v>
      </c>
      <c r="AV2" s="165" t="s">
        <v>20</v>
      </c>
      <c r="AW2" s="67"/>
      <c r="AX2" s="68" t="s">
        <v>681</v>
      </c>
      <c r="AY2" s="166">
        <v>45047</v>
      </c>
      <c r="AZ2" s="165" t="s">
        <v>20</v>
      </c>
      <c r="BA2" s="67"/>
      <c r="BB2" s="68" t="s">
        <v>681</v>
      </c>
      <c r="BC2" s="166">
        <v>45078</v>
      </c>
      <c r="BD2" s="165" t="s">
        <v>20</v>
      </c>
      <c r="BE2" s="67"/>
      <c r="BF2" s="68" t="s">
        <v>681</v>
      </c>
      <c r="BG2" s="166">
        <v>45108</v>
      </c>
      <c r="BH2" s="165" t="s">
        <v>20</v>
      </c>
      <c r="BI2" s="67"/>
      <c r="BJ2" s="68" t="s">
        <v>681</v>
      </c>
      <c r="BK2" s="166">
        <v>45139</v>
      </c>
      <c r="BL2" s="165" t="s">
        <v>20</v>
      </c>
      <c r="BM2" s="67"/>
      <c r="BN2" s="68" t="s">
        <v>681</v>
      </c>
      <c r="BO2" s="166">
        <v>45170</v>
      </c>
      <c r="BP2" s="165" t="s">
        <v>20</v>
      </c>
      <c r="BQ2" s="67"/>
      <c r="BR2" s="68" t="s">
        <v>681</v>
      </c>
      <c r="BS2" s="166">
        <v>45200</v>
      </c>
      <c r="BT2" s="165" t="s">
        <v>20</v>
      </c>
      <c r="BU2" s="67"/>
      <c r="BV2" s="68" t="s">
        <v>681</v>
      </c>
      <c r="BW2" s="166">
        <v>45231</v>
      </c>
      <c r="BX2" s="165" t="s">
        <v>20</v>
      </c>
      <c r="BY2" s="67"/>
      <c r="BZ2" s="68" t="s">
        <v>681</v>
      </c>
      <c r="CA2" s="166">
        <v>45261</v>
      </c>
      <c r="CB2" s="165" t="s">
        <v>20</v>
      </c>
      <c r="CC2" s="67"/>
      <c r="CD2" s="68" t="s">
        <v>681</v>
      </c>
    </row>
    <row r="3" spans="1:82" x14ac:dyDescent="0.3">
      <c r="A3" s="42" t="str">
        <f>"CPU_"&amp;LEFT(SUBSTITUTE(SUBSTITUTE(B3," ",""),"-",""),20)</f>
        <v>CPU_SinalizaçãoHorizonta</v>
      </c>
      <c r="B3" s="31" t="s">
        <v>855</v>
      </c>
      <c r="C3" s="1"/>
      <c r="D3" s="1"/>
      <c r="E3" s="1"/>
      <c r="F3" s="73"/>
      <c r="G3" s="74"/>
      <c r="H3" s="74"/>
      <c r="I3" s="73"/>
      <c r="J3" s="74" t="str">
        <f>IFERROR(VLOOKUP(B3,Tabela1[[NOME SERVIÇO]:[UNID]],4,0),"")</f>
        <v>M²</v>
      </c>
      <c r="K3" s="75">
        <f>IFERROR(J6/B6,0)</f>
        <v>15.35</v>
      </c>
      <c r="M3" s="229" t="s">
        <v>685</v>
      </c>
      <c r="N3" s="230">
        <f>K11</f>
        <v>0</v>
      </c>
      <c r="O3" s="235">
        <f>IFERROR(N3/$N$7,0)</f>
        <v>0</v>
      </c>
      <c r="AE3" s="167"/>
      <c r="AF3" s="168">
        <f>AJ3+AN3+AR3+AV3+AZ3+BD3+BH3+BL3+BP3+BT3+BX3+CB3</f>
        <v>0</v>
      </c>
      <c r="AG3" s="74"/>
      <c r="AH3" s="75">
        <f>IFERROR((AG6/AF3),0)</f>
        <v>0</v>
      </c>
      <c r="AI3" s="167"/>
      <c r="AJ3" s="168">
        <f>IFERROR(SUMPRODUCT(Plan_Orc!$I$4:$I$2002*Plan_Orc!$AB$4:$AB$2002*(Plan_Orc!$D$4:$D$2002=$B3)),0)</f>
        <v>0</v>
      </c>
      <c r="AK3" s="74"/>
      <c r="AL3" s="75">
        <f>IFERROR((AK6/AJ3),0)</f>
        <v>0</v>
      </c>
      <c r="AM3" s="167"/>
      <c r="AN3" s="168">
        <f>IFERROR(SUMPRODUCT(Plan_Orc!$I$4:$I$2002*Plan_Orc!$AC$4:$AC$2002*(Plan_Orc!$D$4:$D$2002=$B3)),0)</f>
        <v>0</v>
      </c>
      <c r="AO3" s="74"/>
      <c r="AP3" s="75">
        <f>IFERROR((AO6/AN3),0)</f>
        <v>0</v>
      </c>
      <c r="AQ3" s="167"/>
      <c r="AR3" s="168">
        <f>IFERROR(SUMPRODUCT(Plan_Orc!$I$4:$I$2002*Plan_Orc!$AD$4:$AD$2002*(Plan_Orc!$D$4:$D$2002=$B3)),0)</f>
        <v>0</v>
      </c>
      <c r="AS3" s="74"/>
      <c r="AT3" s="75">
        <f>IFERROR((AS6/AR3),0)</f>
        <v>0</v>
      </c>
      <c r="AU3" s="167"/>
      <c r="AV3" s="168">
        <f>IFERROR(SUMPRODUCT(Plan_Orc!$I$4:$I$2002*Plan_Orc!$AE$4:$AE$2002*(Plan_Orc!$D$4:$D$2002=$B3)),0)</f>
        <v>0</v>
      </c>
      <c r="AW3" s="74"/>
      <c r="AX3" s="75">
        <f>IFERROR((AW6/AV3),0)</f>
        <v>0</v>
      </c>
      <c r="AY3" s="167"/>
      <c r="AZ3" s="168">
        <f>IFERROR(SUMPRODUCT(Plan_Orc!$I$4:$I$2002*Plan_Orc!$AF$4:$AF$2002*(Plan_Orc!$D$4:$D$2002=$B3)),0)</f>
        <v>0</v>
      </c>
      <c r="BA3" s="74"/>
      <c r="BB3" s="75">
        <f>IFERROR((BA6/AZ3),0)</f>
        <v>0</v>
      </c>
      <c r="BC3" s="167"/>
      <c r="BD3" s="168">
        <f>IFERROR(SUMPRODUCT(Plan_Orc!$I$4:$I$2002*Plan_Orc!$AG$4:$AG$2002*(Plan_Orc!$D$4:$D$2002=$B3)),0)</f>
        <v>0</v>
      </c>
      <c r="BE3" s="74"/>
      <c r="BF3" s="75">
        <f>IFERROR((BE6/BD3),0)</f>
        <v>0</v>
      </c>
      <c r="BG3" s="167"/>
      <c r="BH3" s="168">
        <f>IFERROR(SUMPRODUCT(Plan_Orc!$I$4:$I$2002*Plan_Orc!$AH$4:$AH$2002*(Plan_Orc!$D$4:$D$2002=$B3)),0)</f>
        <v>0</v>
      </c>
      <c r="BI3" s="74"/>
      <c r="BJ3" s="75">
        <f>IFERROR((BI6/BH3),0)</f>
        <v>0</v>
      </c>
      <c r="BK3" s="167"/>
      <c r="BL3" s="168">
        <f>IFERROR(SUMPRODUCT(Plan_Orc!$I$4:$I$2002*Plan_Orc!$AI$4:$AI$2002*(Plan_Orc!$D$4:$D$2002=$B3)),0)</f>
        <v>0</v>
      </c>
      <c r="BM3" s="74"/>
      <c r="BN3" s="75">
        <f>IFERROR((BM6/BL3),0)</f>
        <v>0</v>
      </c>
      <c r="BO3" s="167"/>
      <c r="BP3" s="168">
        <f>IFERROR(SUMPRODUCT(Plan_Orc!$I$4:$I$2002*Plan_Orc!$AJ$4:$AJ$2002*(Plan_Orc!$D$4:$D$2002=$B3)),0)</f>
        <v>0</v>
      </c>
      <c r="BQ3" s="74"/>
      <c r="BR3" s="75">
        <f>IFERROR((BQ6/BP3),0)</f>
        <v>0</v>
      </c>
      <c r="BS3" s="167"/>
      <c r="BT3" s="168">
        <f>IFERROR(SUMPRODUCT(Plan_Orc!$I$4:$I$2002*Plan_Orc!$AK$4:$AK$2002*(Plan_Orc!$D$4:$D$2002=$B3)),0)</f>
        <v>0</v>
      </c>
      <c r="BU3" s="74"/>
      <c r="BV3" s="75">
        <f>IFERROR((BU6/BT3),0)</f>
        <v>0</v>
      </c>
      <c r="BW3" s="167"/>
      <c r="BX3" s="168">
        <f>IFERROR(SUMPRODUCT(Plan_Orc!$I$4:$I$2002*Plan_Orc!$AL$4:$AL$2002*(Plan_Orc!$D$4:$D$2002=$B3)),0)</f>
        <v>0</v>
      </c>
      <c r="BY3" s="74"/>
      <c r="BZ3" s="75">
        <f>IFERROR((BY6/BX3),0)</f>
        <v>0</v>
      </c>
      <c r="CA3" s="167"/>
      <c r="CB3" s="168">
        <f>IFERROR(SUMPRODUCT(Plan_Orc!$I$4:$I$2002*Plan_Orc!$AM$4:$AM$2002*(Plan_Orc!$D$4:$D$2002=$B3)),0)</f>
        <v>0</v>
      </c>
      <c r="CC3" s="74"/>
      <c r="CD3" s="75">
        <f>IFERROR((CC6/CB3),0)</f>
        <v>0</v>
      </c>
    </row>
    <row r="4" spans="1:82" x14ac:dyDescent="0.3">
      <c r="B4" s="32"/>
      <c r="K4" s="30"/>
      <c r="M4" s="229" t="s">
        <v>686</v>
      </c>
      <c r="N4" s="230">
        <f>+K24</f>
        <v>0</v>
      </c>
      <c r="O4" s="235">
        <f>IFERROR(N4/$N$7,0)</f>
        <v>0</v>
      </c>
      <c r="R4">
        <f>70000/22</f>
        <v>3181.818181818182</v>
      </c>
      <c r="AE4" s="169"/>
      <c r="AH4" s="30"/>
      <c r="AI4" s="169"/>
      <c r="AL4" s="30"/>
      <c r="AM4" s="169"/>
      <c r="AP4" s="30"/>
      <c r="AQ4" s="169"/>
      <c r="AT4" s="30"/>
      <c r="AU4" s="169"/>
      <c r="AX4" s="30"/>
      <c r="AY4" s="169"/>
      <c r="BB4" s="30"/>
      <c r="BC4" s="169"/>
      <c r="BF4" s="30"/>
      <c r="BG4" s="169"/>
      <c r="BJ4" s="30"/>
      <c r="BK4" s="169"/>
      <c r="BN4" s="30"/>
      <c r="BO4" s="169"/>
      <c r="BR4" s="30"/>
      <c r="BS4" s="169"/>
      <c r="BV4" s="30"/>
      <c r="BW4" s="169"/>
      <c r="BZ4" s="30"/>
      <c r="CA4" s="169"/>
      <c r="CD4" s="30"/>
    </row>
    <row r="5" spans="1:82" x14ac:dyDescent="0.3">
      <c r="B5" s="69" t="s">
        <v>687</v>
      </c>
      <c r="C5" s="72"/>
      <c r="D5" s="72"/>
      <c r="E5" s="72"/>
      <c r="F5" s="70" t="s">
        <v>688</v>
      </c>
      <c r="G5" s="70" t="s">
        <v>689</v>
      </c>
      <c r="H5" s="70" t="s">
        <v>690</v>
      </c>
      <c r="I5" s="70" t="s">
        <v>691</v>
      </c>
      <c r="J5" s="70" t="s">
        <v>683</v>
      </c>
      <c r="K5" s="71" t="s">
        <v>593</v>
      </c>
      <c r="M5" s="229" t="s">
        <v>692</v>
      </c>
      <c r="N5" s="230">
        <f>+K37</f>
        <v>0</v>
      </c>
      <c r="O5" s="235">
        <f>IFERROR(N5/$N$7,0)</f>
        <v>0</v>
      </c>
      <c r="AE5" s="170"/>
      <c r="AF5" s="70" t="s">
        <v>691</v>
      </c>
      <c r="AG5" s="70" t="s">
        <v>683</v>
      </c>
      <c r="AH5" s="71" t="s">
        <v>593</v>
      </c>
      <c r="AI5" s="170"/>
      <c r="AJ5" s="70" t="s">
        <v>691</v>
      </c>
      <c r="AK5" s="70" t="s">
        <v>683</v>
      </c>
      <c r="AL5" s="71" t="s">
        <v>593</v>
      </c>
      <c r="AM5" s="170"/>
      <c r="AN5" s="70" t="s">
        <v>691</v>
      </c>
      <c r="AO5" s="70" t="s">
        <v>683</v>
      </c>
      <c r="AP5" s="71" t="s">
        <v>593</v>
      </c>
      <c r="AQ5" s="170"/>
      <c r="AR5" s="70" t="s">
        <v>691</v>
      </c>
      <c r="AS5" s="70" t="s">
        <v>683</v>
      </c>
      <c r="AT5" s="71" t="s">
        <v>593</v>
      </c>
      <c r="AU5" s="170"/>
      <c r="AV5" s="70" t="s">
        <v>691</v>
      </c>
      <c r="AW5" s="70" t="s">
        <v>683</v>
      </c>
      <c r="AX5" s="71" t="s">
        <v>593</v>
      </c>
      <c r="AY5" s="170"/>
      <c r="AZ5" s="70" t="s">
        <v>691</v>
      </c>
      <c r="BA5" s="70" t="s">
        <v>683</v>
      </c>
      <c r="BB5" s="71" t="s">
        <v>593</v>
      </c>
      <c r="BC5" s="170"/>
      <c r="BD5" s="70" t="s">
        <v>691</v>
      </c>
      <c r="BE5" s="70" t="s">
        <v>683</v>
      </c>
      <c r="BF5" s="71" t="s">
        <v>593</v>
      </c>
      <c r="BG5" s="170"/>
      <c r="BH5" s="70" t="s">
        <v>691</v>
      </c>
      <c r="BI5" s="70" t="s">
        <v>683</v>
      </c>
      <c r="BJ5" s="71" t="s">
        <v>593</v>
      </c>
      <c r="BK5" s="170"/>
      <c r="BL5" s="70" t="s">
        <v>691</v>
      </c>
      <c r="BM5" s="70" t="s">
        <v>683</v>
      </c>
      <c r="BN5" s="71" t="s">
        <v>593</v>
      </c>
      <c r="BO5" s="170"/>
      <c r="BP5" s="70" t="s">
        <v>691</v>
      </c>
      <c r="BQ5" s="70" t="s">
        <v>683</v>
      </c>
      <c r="BR5" s="71" t="s">
        <v>593</v>
      </c>
      <c r="BS5" s="170"/>
      <c r="BT5" s="70" t="s">
        <v>691</v>
      </c>
      <c r="BU5" s="70" t="s">
        <v>683</v>
      </c>
      <c r="BV5" s="71" t="s">
        <v>593</v>
      </c>
      <c r="BW5" s="170"/>
      <c r="BX5" s="70" t="s">
        <v>691</v>
      </c>
      <c r="BY5" s="70" t="s">
        <v>683</v>
      </c>
      <c r="BZ5" s="71" t="s">
        <v>593</v>
      </c>
      <c r="CA5" s="170"/>
      <c r="CB5" s="70" t="s">
        <v>691</v>
      </c>
      <c r="CC5" s="70" t="s">
        <v>683</v>
      </c>
      <c r="CD5" s="71" t="s">
        <v>593</v>
      </c>
    </row>
    <row r="6" spans="1:82" s="2" customFormat="1" ht="30" customHeight="1" x14ac:dyDescent="0.3">
      <c r="B6" s="33">
        <f>8400*0.06</f>
        <v>504</v>
      </c>
      <c r="C6" s="275"/>
      <c r="D6" s="275"/>
      <c r="E6" s="275"/>
      <c r="F6" s="27"/>
      <c r="G6" s="35">
        <v>1</v>
      </c>
      <c r="H6" s="81" t="s">
        <v>347</v>
      </c>
      <c r="I6" s="55">
        <f>IFERROR(I7/B7*B6,0)</f>
        <v>14883.12</v>
      </c>
      <c r="J6" s="55">
        <f>K11+K24+K37+K50</f>
        <v>7736.4</v>
      </c>
      <c r="K6" s="56">
        <f>IFERROR((I6-J6)/I6-PARAMETROS!C19,0)</f>
        <v>0.32938963765662044</v>
      </c>
      <c r="M6" s="229" t="s">
        <v>693</v>
      </c>
      <c r="N6" s="230">
        <f>+K50</f>
        <v>7736.4</v>
      </c>
      <c r="O6" s="235">
        <f>IFERROR(N6/$N$7,0)</f>
        <v>1</v>
      </c>
      <c r="R6" s="374">
        <f>R4/B6</f>
        <v>6.3131313131313131</v>
      </c>
      <c r="AE6" s="171"/>
      <c r="AF6" s="55">
        <f>AJ6+AN6+AR6+AV6+AZ6+BD6+BH6+BL6+BP6+BT6+BX6+CB6</f>
        <v>0</v>
      </c>
      <c r="AG6" s="55">
        <f>AH11+AH24+AH37+AH50</f>
        <v>0</v>
      </c>
      <c r="AH6" s="56">
        <f>IFERROR((AF6-AG6)/AF6,0)</f>
        <v>0</v>
      </c>
      <c r="AI6" s="171"/>
      <c r="AJ6" s="55"/>
      <c r="AK6" s="55">
        <f>AL11+AL24+AL37+AL50</f>
        <v>0</v>
      </c>
      <c r="AL6" s="56">
        <f>IFERROR((AJ6-AK6)/AJ6,0)</f>
        <v>0</v>
      </c>
      <c r="AM6" s="171"/>
      <c r="AN6" s="55"/>
      <c r="AO6" s="55">
        <f>AP11+AP24+AP37+AP50</f>
        <v>0</v>
      </c>
      <c r="AP6" s="56">
        <f>IFERROR((AN6-AO6)/AN6,0)</f>
        <v>0</v>
      </c>
      <c r="AQ6" s="171"/>
      <c r="AR6" s="55"/>
      <c r="AS6" s="55">
        <f>AT11+AT24+AT37+AT50</f>
        <v>0</v>
      </c>
      <c r="AT6" s="56">
        <f>IFERROR((AR6-AS6)/AR6,0)</f>
        <v>0</v>
      </c>
      <c r="AU6" s="171"/>
      <c r="AV6" s="55"/>
      <c r="AW6" s="55">
        <f>AX11+AX24+AX37+AX50</f>
        <v>0</v>
      </c>
      <c r="AX6" s="56">
        <f>IFERROR((AV6-AW6)/AV6,0)</f>
        <v>0</v>
      </c>
      <c r="AY6" s="171"/>
      <c r="AZ6" s="55"/>
      <c r="BA6" s="55">
        <f>BB11+BB24+BB37+BB50</f>
        <v>0</v>
      </c>
      <c r="BB6" s="56">
        <f>IFERROR((AZ6-BA6)/AZ6,0)</f>
        <v>0</v>
      </c>
      <c r="BC6" s="171"/>
      <c r="BD6" s="55"/>
      <c r="BE6" s="55">
        <f>BF11+BF24+BF37+BF50</f>
        <v>0</v>
      </c>
      <c r="BF6" s="56">
        <f>IFERROR((BD6-BE6)/BD6,0)</f>
        <v>0</v>
      </c>
      <c r="BG6" s="171"/>
      <c r="BH6" s="55"/>
      <c r="BI6" s="55">
        <f>BJ11+BJ24+BJ37+BJ50</f>
        <v>0</v>
      </c>
      <c r="BJ6" s="56">
        <f>IFERROR((BH6-BI6)/BH6,0)</f>
        <v>0</v>
      </c>
      <c r="BK6" s="171"/>
      <c r="BL6" s="55"/>
      <c r="BM6" s="55">
        <f>BN11+BN24+BN37+BN50</f>
        <v>0</v>
      </c>
      <c r="BN6" s="56">
        <f>IFERROR((BL6-BM6)/BL6,0)</f>
        <v>0</v>
      </c>
      <c r="BO6" s="171"/>
      <c r="BP6" s="55"/>
      <c r="BQ6" s="55">
        <f>BR11+BR24+BR37+BR50</f>
        <v>0</v>
      </c>
      <c r="BR6" s="56">
        <f>IFERROR((BP6-BQ6)/BP6,0)</f>
        <v>0</v>
      </c>
      <c r="BS6" s="171"/>
      <c r="BT6" s="55"/>
      <c r="BU6" s="55">
        <f>BV11+BV24+BV37+BV50</f>
        <v>0</v>
      </c>
      <c r="BV6" s="56">
        <f>IFERROR((BT6-BU6)/BT6,0)</f>
        <v>0</v>
      </c>
      <c r="BW6" s="171"/>
      <c r="BX6" s="55"/>
      <c r="BY6" s="55">
        <f>BZ11+BZ24+BZ37+BZ50</f>
        <v>0</v>
      </c>
      <c r="BZ6" s="56">
        <f>IFERROR((BX6-BY6)/BX6,0)</f>
        <v>0</v>
      </c>
      <c r="CA6" s="171"/>
      <c r="CB6" s="55"/>
      <c r="CC6" s="55">
        <f>CD11+CD24+CD37+CD50</f>
        <v>0</v>
      </c>
      <c r="CD6" s="56">
        <f>IFERROR((CB6-CC6)/CB6,0)</f>
        <v>0</v>
      </c>
    </row>
    <row r="7" spans="1:82" s="2" customFormat="1" ht="30" customHeight="1" thickBot="1" x14ac:dyDescent="0.35">
      <c r="B7" s="34">
        <f>IFERROR(VLOOKUP(B3,Lucratividade!G4:N853,2,0),0)</f>
        <v>87750</v>
      </c>
      <c r="C7" s="276"/>
      <c r="D7" s="276"/>
      <c r="E7" s="276"/>
      <c r="F7" s="50"/>
      <c r="G7" s="36">
        <f>IFERROR(B7/B6,0)</f>
        <v>174.10714285714286</v>
      </c>
      <c r="H7" s="82" t="s">
        <v>347</v>
      </c>
      <c r="I7" s="57">
        <f>IFERROR(VLOOKUP(B3,Lucratividade!G4:N132,6,0),0)</f>
        <v>2591257.5</v>
      </c>
      <c r="J7" s="58">
        <f>B7*K3</f>
        <v>1346962.5</v>
      </c>
      <c r="K7" s="59">
        <f>IFERROR((I7-J7)/I7-PARAMETROS!C19,0)</f>
        <v>0.32938963765662033</v>
      </c>
      <c r="M7" s="231" t="s">
        <v>694</v>
      </c>
      <c r="N7" s="232">
        <f>SUM(N3:N6)</f>
        <v>7736.4</v>
      </c>
      <c r="O7" s="236"/>
      <c r="AE7" s="172"/>
      <c r="AF7" s="57"/>
      <c r="AG7" s="58"/>
      <c r="AH7" s="59"/>
      <c r="AI7" s="172"/>
      <c r="AJ7" s="57"/>
      <c r="AK7" s="58"/>
      <c r="AL7" s="59"/>
      <c r="AM7" s="172"/>
      <c r="AN7" s="57"/>
      <c r="AO7" s="58"/>
      <c r="AP7" s="59"/>
      <c r="AQ7" s="172"/>
      <c r="AR7" s="57"/>
      <c r="AS7" s="58"/>
      <c r="AT7" s="59"/>
      <c r="AU7" s="172"/>
      <c r="AV7" s="57"/>
      <c r="AW7" s="58"/>
      <c r="AX7" s="59"/>
      <c r="AY7" s="172"/>
      <c r="AZ7" s="57"/>
      <c r="BA7" s="58"/>
      <c r="BB7" s="59"/>
      <c r="BC7" s="172"/>
      <c r="BD7" s="57"/>
      <c r="BE7" s="58"/>
      <c r="BF7" s="59"/>
      <c r="BG7" s="172"/>
      <c r="BH7" s="57"/>
      <c r="BI7" s="58"/>
      <c r="BJ7" s="59"/>
      <c r="BK7" s="172"/>
      <c r="BL7" s="57"/>
      <c r="BM7" s="58"/>
      <c r="BN7" s="59"/>
      <c r="BO7" s="172"/>
      <c r="BP7" s="57"/>
      <c r="BQ7" s="58"/>
      <c r="BR7" s="59"/>
      <c r="BS7" s="172"/>
      <c r="BT7" s="57"/>
      <c r="BU7" s="58"/>
      <c r="BV7" s="59"/>
      <c r="BW7" s="172"/>
      <c r="BX7" s="57"/>
      <c r="BY7" s="58"/>
      <c r="BZ7" s="59"/>
      <c r="CA7" s="172"/>
      <c r="CB7" s="57"/>
      <c r="CC7" s="58"/>
      <c r="CD7" s="59"/>
    </row>
    <row r="8" spans="1:82" ht="4.2" customHeight="1" x14ac:dyDescent="0.3">
      <c r="AE8" s="28"/>
      <c r="AI8" s="28"/>
      <c r="AM8" s="28"/>
      <c r="AQ8" s="28"/>
      <c r="AU8" s="28"/>
      <c r="AY8" s="28"/>
      <c r="BC8" s="28"/>
      <c r="BG8" s="28"/>
      <c r="BK8" s="28"/>
      <c r="BO8" s="28"/>
      <c r="BS8" s="28"/>
      <c r="BW8" s="28"/>
      <c r="CA8" s="28"/>
    </row>
    <row r="9" spans="1:82" ht="4.95" customHeight="1" thickBot="1" x14ac:dyDescent="0.35">
      <c r="AE9" s="28"/>
      <c r="AI9" s="28"/>
      <c r="AM9" s="28"/>
      <c r="AQ9" s="28"/>
      <c r="AU9" s="28"/>
      <c r="AY9" s="28"/>
      <c r="BC9" s="28"/>
      <c r="BG9" s="28"/>
      <c r="BK9" s="28"/>
      <c r="BO9" s="28"/>
      <c r="BS9" s="28"/>
      <c r="BW9" s="28"/>
      <c r="CA9" s="28"/>
    </row>
    <row r="10" spans="1:82" ht="15" thickBot="1" x14ac:dyDescent="0.35">
      <c r="B10" s="72" t="s">
        <v>695</v>
      </c>
      <c r="C10" s="72" t="s">
        <v>679</v>
      </c>
      <c r="D10" s="72" t="s">
        <v>696</v>
      </c>
      <c r="E10" s="72" t="s">
        <v>697</v>
      </c>
      <c r="F10" s="72" t="s">
        <v>17</v>
      </c>
      <c r="G10" s="70" t="s">
        <v>690</v>
      </c>
      <c r="H10" s="70" t="s">
        <v>698</v>
      </c>
      <c r="I10" s="72" t="s">
        <v>20</v>
      </c>
      <c r="J10" s="72" t="s">
        <v>699</v>
      </c>
      <c r="K10" s="72" t="s">
        <v>700</v>
      </c>
      <c r="M10" s="83" t="s">
        <v>701</v>
      </c>
      <c r="N10" s="87" t="s">
        <v>702</v>
      </c>
      <c r="AD10" s="173" t="s">
        <v>703</v>
      </c>
      <c r="AE10" s="170" t="s">
        <v>698</v>
      </c>
      <c r="AF10" s="70" t="s">
        <v>20</v>
      </c>
      <c r="AG10" s="70" t="s">
        <v>699</v>
      </c>
      <c r="AH10" s="70" t="s">
        <v>700</v>
      </c>
      <c r="AI10" s="173" t="s">
        <v>704</v>
      </c>
      <c r="AJ10" s="174" t="s">
        <v>705</v>
      </c>
      <c r="AK10" s="174" t="s">
        <v>706</v>
      </c>
      <c r="AL10" s="175" t="s">
        <v>707</v>
      </c>
      <c r="AM10" s="173" t="s">
        <v>708</v>
      </c>
      <c r="AN10" s="174" t="s">
        <v>709</v>
      </c>
      <c r="AO10" s="174" t="s">
        <v>710</v>
      </c>
      <c r="AP10" s="175" t="s">
        <v>711</v>
      </c>
      <c r="AQ10" s="173" t="s">
        <v>712</v>
      </c>
      <c r="AR10" s="174" t="s">
        <v>713</v>
      </c>
      <c r="AS10" s="174" t="s">
        <v>714</v>
      </c>
      <c r="AT10" s="175" t="s">
        <v>715</v>
      </c>
      <c r="AU10" s="173" t="s">
        <v>716</v>
      </c>
      <c r="AV10" s="174" t="s">
        <v>717</v>
      </c>
      <c r="AW10" s="174" t="s">
        <v>718</v>
      </c>
      <c r="AX10" s="175" t="s">
        <v>719</v>
      </c>
      <c r="AY10" s="173" t="s">
        <v>720</v>
      </c>
      <c r="AZ10" s="174" t="s">
        <v>721</v>
      </c>
      <c r="BA10" s="174" t="s">
        <v>722</v>
      </c>
      <c r="BB10" s="175" t="s">
        <v>723</v>
      </c>
      <c r="BC10" s="173" t="s">
        <v>724</v>
      </c>
      <c r="BD10" s="174" t="s">
        <v>725</v>
      </c>
      <c r="BE10" s="174" t="s">
        <v>726</v>
      </c>
      <c r="BF10" s="175" t="s">
        <v>727</v>
      </c>
      <c r="BG10" s="173" t="s">
        <v>728</v>
      </c>
      <c r="BH10" s="174" t="s">
        <v>729</v>
      </c>
      <c r="BI10" s="174" t="s">
        <v>730</v>
      </c>
      <c r="BJ10" s="175" t="s">
        <v>731</v>
      </c>
      <c r="BK10" s="173" t="s">
        <v>732</v>
      </c>
      <c r="BL10" s="174" t="s">
        <v>733</v>
      </c>
      <c r="BM10" s="174" t="s">
        <v>734</v>
      </c>
      <c r="BN10" s="175" t="s">
        <v>735</v>
      </c>
      <c r="BO10" s="173" t="s">
        <v>736</v>
      </c>
      <c r="BP10" s="174" t="s">
        <v>737</v>
      </c>
      <c r="BQ10" s="174" t="s">
        <v>738</v>
      </c>
      <c r="BR10" s="175" t="s">
        <v>739</v>
      </c>
      <c r="BS10" s="173" t="s">
        <v>740</v>
      </c>
      <c r="BT10" s="174" t="s">
        <v>741</v>
      </c>
      <c r="BU10" s="174" t="s">
        <v>742</v>
      </c>
      <c r="BV10" s="175" t="s">
        <v>743</v>
      </c>
      <c r="BW10" s="173" t="s">
        <v>744</v>
      </c>
      <c r="BX10" s="174" t="s">
        <v>745</v>
      </c>
      <c r="BY10" s="174" t="s">
        <v>746</v>
      </c>
      <c r="BZ10" s="175" t="s">
        <v>747</v>
      </c>
      <c r="CA10" s="173" t="s">
        <v>748</v>
      </c>
      <c r="CB10" s="174" t="s">
        <v>749</v>
      </c>
      <c r="CC10" s="174" t="s">
        <v>750</v>
      </c>
      <c r="CD10" s="174" t="s">
        <v>751</v>
      </c>
    </row>
    <row r="11" spans="1:82" x14ac:dyDescent="0.3">
      <c r="B11" s="52" t="s">
        <v>752</v>
      </c>
      <c r="C11" s="52" t="str">
        <f t="shared" ref="C11:C62" si="0">$A$3</f>
        <v>CPU_SinalizaçãoHorizonta</v>
      </c>
      <c r="D11" s="277">
        <f t="shared" ref="D11:D62" si="1">$B$6</f>
        <v>504</v>
      </c>
      <c r="E11" s="277">
        <f t="shared" ref="E11:E62" si="2">$B$7</f>
        <v>87750</v>
      </c>
      <c r="F11" s="37"/>
      <c r="G11" s="38"/>
      <c r="H11" s="91"/>
      <c r="I11" s="40"/>
      <c r="J11" s="40">
        <f>IFERROR(K11/$B$6,0)</f>
        <v>0</v>
      </c>
      <c r="K11" s="40">
        <f>SUM(K12:K23)</f>
        <v>0</v>
      </c>
      <c r="M11" s="294" t="s">
        <v>753</v>
      </c>
      <c r="N11" s="295" t="s">
        <v>754</v>
      </c>
      <c r="O11" s="296" t="s">
        <v>755</v>
      </c>
      <c r="AD11" s="144" t="str">
        <f>$B$3</f>
        <v>Sinalização Horizontal</v>
      </c>
      <c r="AE11" s="176"/>
      <c r="AF11" s="177"/>
      <c r="AG11" s="177">
        <f>IFERROR(AH11/AF$3,0)</f>
        <v>0</v>
      </c>
      <c r="AH11" s="178">
        <f>SUM(AH12:AH23)</f>
        <v>0</v>
      </c>
      <c r="AI11" s="176"/>
      <c r="AJ11" s="177"/>
      <c r="AK11" s="177">
        <f>IFERROR(AL11/AJ$3,0)</f>
        <v>0</v>
      </c>
      <c r="AL11" s="178">
        <f>SUM(AL12:AL23)</f>
        <v>0</v>
      </c>
      <c r="AM11" s="176"/>
      <c r="AN11" s="177"/>
      <c r="AO11" s="177">
        <f>IFERROR(AP11/AN$3,0)</f>
        <v>0</v>
      </c>
      <c r="AP11" s="178">
        <f>SUM(AP12:AP23)</f>
        <v>0</v>
      </c>
      <c r="AQ11" s="176"/>
      <c r="AR11" s="177"/>
      <c r="AS11" s="177">
        <f>IFERROR(AT11/AR$3,0)</f>
        <v>0</v>
      </c>
      <c r="AT11" s="178">
        <f>SUM(AT12:AT23)</f>
        <v>0</v>
      </c>
      <c r="AU11" s="176"/>
      <c r="AV11" s="177"/>
      <c r="AW11" s="177">
        <f>IFERROR(AX11/AV$3,0)</f>
        <v>0</v>
      </c>
      <c r="AX11" s="178">
        <f>SUM(AX12:AX23)</f>
        <v>0</v>
      </c>
      <c r="AY11" s="176"/>
      <c r="AZ11" s="177"/>
      <c r="BA11" s="177">
        <f>IFERROR(BB11/AZ$3,0)</f>
        <v>0</v>
      </c>
      <c r="BB11" s="178">
        <f>SUM(BB12:BB23)</f>
        <v>0</v>
      </c>
      <c r="BC11" s="176"/>
      <c r="BD11" s="177"/>
      <c r="BE11" s="177">
        <f>IFERROR(BF11/BD$3,0)</f>
        <v>0</v>
      </c>
      <c r="BF11" s="178">
        <f>SUM(BF12:BF23)</f>
        <v>0</v>
      </c>
      <c r="BG11" s="176"/>
      <c r="BH11" s="177"/>
      <c r="BI11" s="177">
        <f>IFERROR(BJ11/BH$3,0)</f>
        <v>0</v>
      </c>
      <c r="BJ11" s="178">
        <f>SUM(BJ12:BJ23)</f>
        <v>0</v>
      </c>
      <c r="BK11" s="176"/>
      <c r="BL11" s="177"/>
      <c r="BM11" s="177">
        <f>IFERROR(BN11/BL$3,0)</f>
        <v>0</v>
      </c>
      <c r="BN11" s="178">
        <f>SUM(BN12:BN23)</f>
        <v>0</v>
      </c>
      <c r="BO11" s="176"/>
      <c r="BP11" s="177"/>
      <c r="BQ11" s="177">
        <f>IFERROR(BR11/BP$3,0)</f>
        <v>0</v>
      </c>
      <c r="BR11" s="178">
        <f>SUM(BR12:BR23)</f>
        <v>0</v>
      </c>
      <c r="BS11" s="176"/>
      <c r="BT11" s="177"/>
      <c r="BU11" s="177">
        <f>IFERROR(BV11/BT$3,0)</f>
        <v>0</v>
      </c>
      <c r="BV11" s="178">
        <f>SUM(BV12:BV23)</f>
        <v>0</v>
      </c>
      <c r="BW11" s="176"/>
      <c r="BX11" s="177"/>
      <c r="BY11" s="177">
        <f>IFERROR(BZ11/BX$3,0)</f>
        <v>0</v>
      </c>
      <c r="BZ11" s="178">
        <f>SUM(BZ12:BZ23)</f>
        <v>0</v>
      </c>
      <c r="CA11" s="176"/>
      <c r="CB11" s="177"/>
      <c r="CC11" s="177">
        <f>IFERROR(CD11/CB$3,0)</f>
        <v>0</v>
      </c>
      <c r="CD11" s="178">
        <f>SUM(CD12:CD23)</f>
        <v>0</v>
      </c>
    </row>
    <row r="12" spans="1:82" x14ac:dyDescent="0.3">
      <c r="B12" s="53"/>
      <c r="C12" s="53" t="str">
        <f t="shared" si="0"/>
        <v>CPU_SinalizaçãoHorizonta</v>
      </c>
      <c r="D12" s="278">
        <f t="shared" si="1"/>
        <v>504</v>
      </c>
      <c r="E12" s="278">
        <f t="shared" si="2"/>
        <v>87750</v>
      </c>
      <c r="F12" s="46"/>
      <c r="G12" s="28" t="str">
        <f>IFERROR(VLOOKUP(F12,Tabela7[[RECURSO]:[CUSTO]],2,FALSE),"")</f>
        <v/>
      </c>
      <c r="H12" s="92"/>
      <c r="I12" s="90"/>
      <c r="J12" s="45">
        <f>IFERROR(VLOOKUP(F12,Tabela7[[RECURSO]:[CUSTO]],3,FALSE),0)</f>
        <v>0</v>
      </c>
      <c r="K12" s="45">
        <f>I12*J12*CPU_22[[#This Row],[Nº]]</f>
        <v>0</v>
      </c>
      <c r="M12" s="31"/>
      <c r="N12" s="297"/>
      <c r="O12" s="60">
        <f>IFERROR($B$6/(H12*I12*N12),0)</f>
        <v>0</v>
      </c>
      <c r="AD12" s="144" t="str">
        <f t="shared" ref="AD12:AD62" si="3">$B$3</f>
        <v>Sinalização Horizontal</v>
      </c>
      <c r="AE12" s="179"/>
      <c r="AF12" s="180">
        <f>AJ12+AN12+AR12+AV12+AZ12+BD12+BH12+BL12+BP12+BT12+BX12+CB12</f>
        <v>0</v>
      </c>
      <c r="AG12" s="180">
        <f>IFERROR(AH12/AF12,0)</f>
        <v>0</v>
      </c>
      <c r="AH12" s="181">
        <f>AL12+AP12+AT12+AX12+BB12+BF12+BJ12+BN12+BR12+BV12+BZ12+CD12</f>
        <v>0</v>
      </c>
      <c r="AI12" s="182"/>
      <c r="AJ12" s="90"/>
      <c r="AK12" s="90"/>
      <c r="AL12" s="183">
        <f>AJ12*AK12</f>
        <v>0</v>
      </c>
      <c r="AM12" s="182"/>
      <c r="AN12" s="90"/>
      <c r="AO12" s="90"/>
      <c r="AP12" s="183">
        <f t="shared" ref="AP12:AP23" si="4">AN12*AO12</f>
        <v>0</v>
      </c>
      <c r="AQ12" s="182"/>
      <c r="AR12" s="90"/>
      <c r="AS12" s="90"/>
      <c r="AT12" s="183">
        <f t="shared" ref="AT12:AT23" si="5">AR12*AS12</f>
        <v>0</v>
      </c>
      <c r="AU12" s="182"/>
      <c r="AV12" s="90"/>
      <c r="AW12" s="90"/>
      <c r="AX12" s="183">
        <f t="shared" ref="AX12:AX23" si="6">AV12*AW12</f>
        <v>0</v>
      </c>
      <c r="AY12" s="182"/>
      <c r="AZ12" s="90"/>
      <c r="BA12" s="90"/>
      <c r="BB12" s="183">
        <f t="shared" ref="BB12:BB23" si="7">AZ12*BA12</f>
        <v>0</v>
      </c>
      <c r="BC12" s="182"/>
      <c r="BD12" s="90"/>
      <c r="BE12" s="90"/>
      <c r="BF12" s="183">
        <f t="shared" ref="BF12:BF23" si="8">BD12*BE12</f>
        <v>0</v>
      </c>
      <c r="BG12" s="182"/>
      <c r="BH12" s="90"/>
      <c r="BI12" s="90"/>
      <c r="BJ12" s="183">
        <f t="shared" ref="BJ12:BJ23" si="9">BH12*BI12</f>
        <v>0</v>
      </c>
      <c r="BK12" s="182"/>
      <c r="BL12" s="90"/>
      <c r="BM12" s="90"/>
      <c r="BN12" s="183">
        <f t="shared" ref="BN12:BN23" si="10">BL12*BM12</f>
        <v>0</v>
      </c>
      <c r="BO12" s="182"/>
      <c r="BP12" s="90"/>
      <c r="BQ12" s="90"/>
      <c r="BR12" s="183">
        <f t="shared" ref="BR12:BR23" si="11">BP12*BQ12</f>
        <v>0</v>
      </c>
      <c r="BS12" s="182"/>
      <c r="BT12" s="90"/>
      <c r="BU12" s="90"/>
      <c r="BV12" s="183">
        <f t="shared" ref="BV12:BV23" si="12">BT12*BU12</f>
        <v>0</v>
      </c>
      <c r="BW12" s="182"/>
      <c r="BX12" s="90"/>
      <c r="BY12" s="90"/>
      <c r="BZ12" s="183">
        <f t="shared" ref="BZ12:BZ23" si="13">BX12*BY12</f>
        <v>0</v>
      </c>
      <c r="CA12" s="182"/>
      <c r="CB12" s="90"/>
      <c r="CC12" s="90"/>
      <c r="CD12" s="183">
        <f t="shared" ref="CD12:CD23" si="14">CB12*CC12</f>
        <v>0</v>
      </c>
    </row>
    <row r="13" spans="1:82" x14ac:dyDescent="0.3">
      <c r="B13" s="53"/>
      <c r="C13" s="53" t="str">
        <f t="shared" si="0"/>
        <v>CPU_SinalizaçãoHorizonta</v>
      </c>
      <c r="D13" s="278">
        <f t="shared" si="1"/>
        <v>504</v>
      </c>
      <c r="E13" s="278">
        <f t="shared" si="2"/>
        <v>87750</v>
      </c>
      <c r="F13" s="1"/>
      <c r="G13" s="28" t="str">
        <f>IFERROR(VLOOKUP(F13,Tabela7[[RECURSO]:[CUSTO]],2,FALSE),"")</f>
        <v/>
      </c>
      <c r="H13" s="92"/>
      <c r="I13" s="90"/>
      <c r="J13" s="45">
        <f>IFERROR(VLOOKUP(F13,Tabela7[[RECURSO]:[CUSTO]],3,FALSE),0)</f>
        <v>0</v>
      </c>
      <c r="K13" s="45">
        <f>I13*J13*CPU_22[[#This Row],[Nº]]</f>
        <v>0</v>
      </c>
      <c r="M13" s="31"/>
      <c r="N13" s="297"/>
      <c r="O13" s="60">
        <f t="shared" ref="O13:O23" si="15">IFERROR($B$6/(H13*I13),0)</f>
        <v>0</v>
      </c>
      <c r="AD13" s="144" t="str">
        <f t="shared" si="3"/>
        <v>Sinalização Horizontal</v>
      </c>
      <c r="AE13" s="179"/>
      <c r="AF13" s="180">
        <f t="shared" ref="AF13:AF23" si="16">AJ13+AN13+AR13+AV13+AZ13+BD13+BH13+BL13+BP13+BT13+BX13+CB13</f>
        <v>0</v>
      </c>
      <c r="AG13" s="180">
        <f t="shared" ref="AG13:AG62" si="17">IFERROR(AH13/AF13,0)</f>
        <v>0</v>
      </c>
      <c r="AH13" s="181">
        <f t="shared" ref="AH13:AH23" si="18">AL13+AP13+AT13+AX13+BB13+BF13+BJ13+BN13+BR13+BV13+BZ13+CD13</f>
        <v>0</v>
      </c>
      <c r="AI13" s="182"/>
      <c r="AJ13" s="90"/>
      <c r="AK13" s="90"/>
      <c r="AL13" s="183">
        <f t="shared" ref="AL13:AL23" si="19">AJ13*AK13</f>
        <v>0</v>
      </c>
      <c r="AM13" s="182"/>
      <c r="AN13" s="90"/>
      <c r="AO13" s="90"/>
      <c r="AP13" s="183">
        <f t="shared" si="4"/>
        <v>0</v>
      </c>
      <c r="AQ13" s="182"/>
      <c r="AR13" s="90"/>
      <c r="AS13" s="90"/>
      <c r="AT13" s="183">
        <f t="shared" si="5"/>
        <v>0</v>
      </c>
      <c r="AU13" s="182"/>
      <c r="AV13" s="90"/>
      <c r="AW13" s="90"/>
      <c r="AX13" s="183">
        <f t="shared" si="6"/>
        <v>0</v>
      </c>
      <c r="AY13" s="182"/>
      <c r="AZ13" s="90"/>
      <c r="BA13" s="90"/>
      <c r="BB13" s="183">
        <f t="shared" si="7"/>
        <v>0</v>
      </c>
      <c r="BC13" s="182"/>
      <c r="BD13" s="90"/>
      <c r="BE13" s="90"/>
      <c r="BF13" s="183">
        <f t="shared" si="8"/>
        <v>0</v>
      </c>
      <c r="BG13" s="182"/>
      <c r="BH13" s="90"/>
      <c r="BI13" s="90"/>
      <c r="BJ13" s="183">
        <f t="shared" si="9"/>
        <v>0</v>
      </c>
      <c r="BK13" s="182"/>
      <c r="BL13" s="90"/>
      <c r="BM13" s="90"/>
      <c r="BN13" s="183">
        <f t="shared" si="10"/>
        <v>0</v>
      </c>
      <c r="BO13" s="182"/>
      <c r="BP13" s="90"/>
      <c r="BQ13" s="90"/>
      <c r="BR13" s="183">
        <f t="shared" si="11"/>
        <v>0</v>
      </c>
      <c r="BS13" s="182"/>
      <c r="BT13" s="90"/>
      <c r="BU13" s="90"/>
      <c r="BV13" s="183">
        <f t="shared" si="12"/>
        <v>0</v>
      </c>
      <c r="BW13" s="182"/>
      <c r="BX13" s="90"/>
      <c r="BY13" s="90"/>
      <c r="BZ13" s="183">
        <f t="shared" si="13"/>
        <v>0</v>
      </c>
      <c r="CA13" s="182"/>
      <c r="CB13" s="90"/>
      <c r="CC13" s="90"/>
      <c r="CD13" s="183">
        <f t="shared" si="14"/>
        <v>0</v>
      </c>
    </row>
    <row r="14" spans="1:82" x14ac:dyDescent="0.3">
      <c r="B14" s="53"/>
      <c r="C14" s="53" t="str">
        <f t="shared" si="0"/>
        <v>CPU_SinalizaçãoHorizonta</v>
      </c>
      <c r="D14" s="278">
        <f t="shared" si="1"/>
        <v>504</v>
      </c>
      <c r="E14" s="278">
        <f t="shared" si="2"/>
        <v>87750</v>
      </c>
      <c r="F14" s="1"/>
      <c r="G14" s="28" t="str">
        <f>IFERROR(VLOOKUP(F14,Tabela7[[RECURSO]:[CUSTO]],2,FALSE),"")</f>
        <v/>
      </c>
      <c r="H14" s="92"/>
      <c r="I14" s="90"/>
      <c r="J14" s="45">
        <f>IFERROR(VLOOKUP(F14,Tabela7[[RECURSO]:[CUSTO]],3,FALSE),0)</f>
        <v>0</v>
      </c>
      <c r="K14" s="45">
        <f>I14*J14*CPU_22[[#This Row],[Nº]]</f>
        <v>0</v>
      </c>
      <c r="M14" s="31"/>
      <c r="N14" s="297"/>
      <c r="O14" s="60">
        <f t="shared" si="15"/>
        <v>0</v>
      </c>
      <c r="AD14" s="144" t="str">
        <f t="shared" si="3"/>
        <v>Sinalização Horizontal</v>
      </c>
      <c r="AE14" s="179"/>
      <c r="AF14" s="180">
        <f t="shared" si="16"/>
        <v>0</v>
      </c>
      <c r="AG14" s="180">
        <f t="shared" si="17"/>
        <v>0</v>
      </c>
      <c r="AH14" s="181">
        <f t="shared" si="18"/>
        <v>0</v>
      </c>
      <c r="AI14" s="182"/>
      <c r="AJ14" s="90"/>
      <c r="AK14" s="90"/>
      <c r="AL14" s="183">
        <f t="shared" si="19"/>
        <v>0</v>
      </c>
      <c r="AM14" s="182"/>
      <c r="AN14" s="90"/>
      <c r="AO14" s="90"/>
      <c r="AP14" s="183">
        <f t="shared" si="4"/>
        <v>0</v>
      </c>
      <c r="AQ14" s="182"/>
      <c r="AR14" s="90"/>
      <c r="AS14" s="90"/>
      <c r="AT14" s="183">
        <f t="shared" si="5"/>
        <v>0</v>
      </c>
      <c r="AU14" s="182"/>
      <c r="AV14" s="90"/>
      <c r="AW14" s="90"/>
      <c r="AX14" s="183">
        <f t="shared" si="6"/>
        <v>0</v>
      </c>
      <c r="AY14" s="182"/>
      <c r="AZ14" s="90"/>
      <c r="BA14" s="90"/>
      <c r="BB14" s="183">
        <f t="shared" si="7"/>
        <v>0</v>
      </c>
      <c r="BC14" s="182"/>
      <c r="BD14" s="90"/>
      <c r="BE14" s="90"/>
      <c r="BF14" s="183">
        <f t="shared" si="8"/>
        <v>0</v>
      </c>
      <c r="BG14" s="182"/>
      <c r="BH14" s="90"/>
      <c r="BI14" s="90"/>
      <c r="BJ14" s="183">
        <f t="shared" si="9"/>
        <v>0</v>
      </c>
      <c r="BK14" s="182"/>
      <c r="BL14" s="90"/>
      <c r="BM14" s="90"/>
      <c r="BN14" s="183">
        <f t="shared" si="10"/>
        <v>0</v>
      </c>
      <c r="BO14" s="182"/>
      <c r="BP14" s="90"/>
      <c r="BQ14" s="90"/>
      <c r="BR14" s="183">
        <f t="shared" si="11"/>
        <v>0</v>
      </c>
      <c r="BS14" s="182"/>
      <c r="BT14" s="90"/>
      <c r="BU14" s="90"/>
      <c r="BV14" s="183">
        <f t="shared" si="12"/>
        <v>0</v>
      </c>
      <c r="BW14" s="182"/>
      <c r="BX14" s="90"/>
      <c r="BY14" s="90"/>
      <c r="BZ14" s="183">
        <f t="shared" si="13"/>
        <v>0</v>
      </c>
      <c r="CA14" s="182"/>
      <c r="CB14" s="90"/>
      <c r="CC14" s="90"/>
      <c r="CD14" s="183">
        <f t="shared" si="14"/>
        <v>0</v>
      </c>
    </row>
    <row r="15" spans="1:82" x14ac:dyDescent="0.3">
      <c r="B15" s="153"/>
      <c r="C15" s="153" t="str">
        <f t="shared" si="0"/>
        <v>CPU_SinalizaçãoHorizonta</v>
      </c>
      <c r="D15" s="279">
        <f t="shared" si="1"/>
        <v>504</v>
      </c>
      <c r="E15" s="279">
        <f t="shared" si="2"/>
        <v>87750</v>
      </c>
      <c r="F15" s="1"/>
      <c r="G15" s="28" t="str">
        <f>IFERROR(VLOOKUP(F15,Tabela7[[RECURSO]:[CUSTO]],2,FALSE),"")</f>
        <v/>
      </c>
      <c r="H15" s="92"/>
      <c r="I15" s="90"/>
      <c r="J15" s="45">
        <f>IFERROR(VLOOKUP(F15,Tabela7[[RECURSO]:[CUSTO]],3,FALSE),0)</f>
        <v>0</v>
      </c>
      <c r="K15" s="45">
        <f>I15*J15*CPU_22[[#This Row],[Nº]]</f>
        <v>0</v>
      </c>
      <c r="M15" s="31"/>
      <c r="N15" s="297"/>
      <c r="O15" s="60">
        <f t="shared" si="15"/>
        <v>0</v>
      </c>
      <c r="AD15" s="144" t="str">
        <f t="shared" si="3"/>
        <v>Sinalização Horizontal</v>
      </c>
      <c r="AE15" s="179"/>
      <c r="AF15" s="180">
        <f t="shared" si="16"/>
        <v>0</v>
      </c>
      <c r="AG15" s="180">
        <f t="shared" si="17"/>
        <v>0</v>
      </c>
      <c r="AH15" s="181">
        <f t="shared" si="18"/>
        <v>0</v>
      </c>
      <c r="AI15" s="182"/>
      <c r="AJ15" s="90"/>
      <c r="AK15" s="90"/>
      <c r="AL15" s="183">
        <f t="shared" si="19"/>
        <v>0</v>
      </c>
      <c r="AM15" s="182"/>
      <c r="AN15" s="90"/>
      <c r="AO15" s="90"/>
      <c r="AP15" s="183">
        <f t="shared" si="4"/>
        <v>0</v>
      </c>
      <c r="AQ15" s="182"/>
      <c r="AR15" s="90"/>
      <c r="AS15" s="90"/>
      <c r="AT15" s="183">
        <f t="shared" si="5"/>
        <v>0</v>
      </c>
      <c r="AU15" s="182"/>
      <c r="AV15" s="90"/>
      <c r="AW15" s="90"/>
      <c r="AX15" s="183">
        <f t="shared" si="6"/>
        <v>0</v>
      </c>
      <c r="AY15" s="182"/>
      <c r="AZ15" s="90"/>
      <c r="BA15" s="90"/>
      <c r="BB15" s="183">
        <f t="shared" si="7"/>
        <v>0</v>
      </c>
      <c r="BC15" s="182"/>
      <c r="BD15" s="90"/>
      <c r="BE15" s="90"/>
      <c r="BF15" s="183">
        <f t="shared" si="8"/>
        <v>0</v>
      </c>
      <c r="BG15" s="182"/>
      <c r="BH15" s="90"/>
      <c r="BI15" s="90"/>
      <c r="BJ15" s="183">
        <f t="shared" si="9"/>
        <v>0</v>
      </c>
      <c r="BK15" s="182"/>
      <c r="BL15" s="90"/>
      <c r="BM15" s="90"/>
      <c r="BN15" s="183">
        <f t="shared" si="10"/>
        <v>0</v>
      </c>
      <c r="BO15" s="182"/>
      <c r="BP15" s="90"/>
      <c r="BQ15" s="90"/>
      <c r="BR15" s="183">
        <f t="shared" si="11"/>
        <v>0</v>
      </c>
      <c r="BS15" s="182"/>
      <c r="BT15" s="90"/>
      <c r="BU15" s="90"/>
      <c r="BV15" s="183">
        <f t="shared" si="12"/>
        <v>0</v>
      </c>
      <c r="BW15" s="182"/>
      <c r="BX15" s="90"/>
      <c r="BY15" s="90"/>
      <c r="BZ15" s="183">
        <f t="shared" si="13"/>
        <v>0</v>
      </c>
      <c r="CA15" s="182"/>
      <c r="CB15" s="90"/>
      <c r="CC15" s="90"/>
      <c r="CD15" s="183">
        <f t="shared" si="14"/>
        <v>0</v>
      </c>
    </row>
    <row r="16" spans="1:82" x14ac:dyDescent="0.3">
      <c r="B16" s="53"/>
      <c r="C16" s="53" t="str">
        <f t="shared" si="0"/>
        <v>CPU_SinalizaçãoHorizonta</v>
      </c>
      <c r="D16" s="278">
        <f t="shared" si="1"/>
        <v>504</v>
      </c>
      <c r="E16" s="278">
        <f t="shared" si="2"/>
        <v>87750</v>
      </c>
      <c r="F16" s="1"/>
      <c r="G16" s="28" t="str">
        <f>IFERROR(VLOOKUP(F16,Tabela7[[RECURSO]:[CUSTO]],2,FALSE),"")</f>
        <v/>
      </c>
      <c r="H16" s="92"/>
      <c r="I16" s="90"/>
      <c r="J16" s="45">
        <f>IFERROR(VLOOKUP(F16,Tabela7[[RECURSO]:[CUSTO]],3,FALSE),0)</f>
        <v>0</v>
      </c>
      <c r="K16" s="45">
        <f>I16*J16*CPU_22[[#This Row],[Nº]]</f>
        <v>0</v>
      </c>
      <c r="M16" s="31"/>
      <c r="N16" s="297"/>
      <c r="O16" s="60">
        <f t="shared" si="15"/>
        <v>0</v>
      </c>
      <c r="AD16" s="144" t="str">
        <f t="shared" si="3"/>
        <v>Sinalização Horizontal</v>
      </c>
      <c r="AE16" s="179"/>
      <c r="AF16" s="180">
        <f t="shared" si="16"/>
        <v>0</v>
      </c>
      <c r="AG16" s="180">
        <f t="shared" si="17"/>
        <v>0</v>
      </c>
      <c r="AH16" s="181">
        <f t="shared" si="18"/>
        <v>0</v>
      </c>
      <c r="AI16" s="182"/>
      <c r="AJ16" s="90"/>
      <c r="AK16" s="90"/>
      <c r="AL16" s="183">
        <f t="shared" si="19"/>
        <v>0</v>
      </c>
      <c r="AM16" s="182"/>
      <c r="AN16" s="90"/>
      <c r="AO16" s="90"/>
      <c r="AP16" s="183">
        <f t="shared" si="4"/>
        <v>0</v>
      </c>
      <c r="AQ16" s="182"/>
      <c r="AR16" s="90"/>
      <c r="AS16" s="90"/>
      <c r="AT16" s="183">
        <f t="shared" si="5"/>
        <v>0</v>
      </c>
      <c r="AU16" s="182"/>
      <c r="AV16" s="90"/>
      <c r="AW16" s="90"/>
      <c r="AX16" s="183">
        <f t="shared" si="6"/>
        <v>0</v>
      </c>
      <c r="AY16" s="182"/>
      <c r="AZ16" s="90"/>
      <c r="BA16" s="90"/>
      <c r="BB16" s="183">
        <f t="shared" si="7"/>
        <v>0</v>
      </c>
      <c r="BC16" s="182"/>
      <c r="BD16" s="90"/>
      <c r="BE16" s="90"/>
      <c r="BF16" s="183">
        <f t="shared" si="8"/>
        <v>0</v>
      </c>
      <c r="BG16" s="182"/>
      <c r="BH16" s="90"/>
      <c r="BI16" s="90"/>
      <c r="BJ16" s="183">
        <f t="shared" si="9"/>
        <v>0</v>
      </c>
      <c r="BK16" s="182"/>
      <c r="BL16" s="90"/>
      <c r="BM16" s="90"/>
      <c r="BN16" s="183">
        <f t="shared" si="10"/>
        <v>0</v>
      </c>
      <c r="BO16" s="182"/>
      <c r="BP16" s="90"/>
      <c r="BQ16" s="90"/>
      <c r="BR16" s="183">
        <f t="shared" si="11"/>
        <v>0</v>
      </c>
      <c r="BS16" s="182"/>
      <c r="BT16" s="90"/>
      <c r="BU16" s="90"/>
      <c r="BV16" s="183">
        <f t="shared" si="12"/>
        <v>0</v>
      </c>
      <c r="BW16" s="182"/>
      <c r="BX16" s="90"/>
      <c r="BY16" s="90"/>
      <c r="BZ16" s="183">
        <f t="shared" si="13"/>
        <v>0</v>
      </c>
      <c r="CA16" s="182"/>
      <c r="CB16" s="90"/>
      <c r="CC16" s="90"/>
      <c r="CD16" s="183">
        <f t="shared" si="14"/>
        <v>0</v>
      </c>
    </row>
    <row r="17" spans="2:82" x14ac:dyDescent="0.3">
      <c r="B17" s="53"/>
      <c r="C17" s="53" t="str">
        <f t="shared" si="0"/>
        <v>CPU_SinalizaçãoHorizonta</v>
      </c>
      <c r="D17" s="278">
        <f t="shared" si="1"/>
        <v>504</v>
      </c>
      <c r="E17" s="278">
        <f t="shared" si="2"/>
        <v>87750</v>
      </c>
      <c r="F17" s="1"/>
      <c r="G17" s="28" t="str">
        <f>IFERROR(VLOOKUP(F17,Tabela7[[RECURSO]:[CUSTO]],2,FALSE),"")</f>
        <v/>
      </c>
      <c r="H17" s="92"/>
      <c r="I17" s="90"/>
      <c r="J17" s="45">
        <f>IFERROR(VLOOKUP(F17,Tabela7[[RECURSO]:[CUSTO]],3,FALSE),0)</f>
        <v>0</v>
      </c>
      <c r="K17" s="45">
        <f>I17*J17*CPU_22[[#This Row],[Nº]]</f>
        <v>0</v>
      </c>
      <c r="M17" s="31"/>
      <c r="N17" s="297"/>
      <c r="O17" s="60">
        <f t="shared" si="15"/>
        <v>0</v>
      </c>
      <c r="AD17" s="144" t="str">
        <f t="shared" si="3"/>
        <v>Sinalização Horizontal</v>
      </c>
      <c r="AE17" s="179"/>
      <c r="AF17" s="180">
        <f t="shared" si="16"/>
        <v>0</v>
      </c>
      <c r="AG17" s="180">
        <f t="shared" si="17"/>
        <v>0</v>
      </c>
      <c r="AH17" s="181">
        <f t="shared" si="18"/>
        <v>0</v>
      </c>
      <c r="AI17" s="182"/>
      <c r="AJ17" s="90"/>
      <c r="AK17" s="90"/>
      <c r="AL17" s="183">
        <f t="shared" si="19"/>
        <v>0</v>
      </c>
      <c r="AM17" s="182"/>
      <c r="AN17" s="90"/>
      <c r="AO17" s="90"/>
      <c r="AP17" s="183">
        <f t="shared" si="4"/>
        <v>0</v>
      </c>
      <c r="AQ17" s="182"/>
      <c r="AR17" s="90"/>
      <c r="AS17" s="90"/>
      <c r="AT17" s="183">
        <f t="shared" si="5"/>
        <v>0</v>
      </c>
      <c r="AU17" s="182"/>
      <c r="AV17" s="90"/>
      <c r="AW17" s="90"/>
      <c r="AX17" s="183">
        <f t="shared" si="6"/>
        <v>0</v>
      </c>
      <c r="AY17" s="182"/>
      <c r="AZ17" s="90"/>
      <c r="BA17" s="90"/>
      <c r="BB17" s="183">
        <f t="shared" si="7"/>
        <v>0</v>
      </c>
      <c r="BC17" s="182"/>
      <c r="BD17" s="90"/>
      <c r="BE17" s="90"/>
      <c r="BF17" s="183">
        <f t="shared" si="8"/>
        <v>0</v>
      </c>
      <c r="BG17" s="182"/>
      <c r="BH17" s="90"/>
      <c r="BI17" s="90"/>
      <c r="BJ17" s="183">
        <f t="shared" si="9"/>
        <v>0</v>
      </c>
      <c r="BK17" s="182"/>
      <c r="BL17" s="90"/>
      <c r="BM17" s="90"/>
      <c r="BN17" s="183">
        <f t="shared" si="10"/>
        <v>0</v>
      </c>
      <c r="BO17" s="182"/>
      <c r="BP17" s="90"/>
      <c r="BQ17" s="90"/>
      <c r="BR17" s="183">
        <f t="shared" si="11"/>
        <v>0</v>
      </c>
      <c r="BS17" s="182"/>
      <c r="BT17" s="90"/>
      <c r="BU17" s="90"/>
      <c r="BV17" s="183">
        <f t="shared" si="12"/>
        <v>0</v>
      </c>
      <c r="BW17" s="182"/>
      <c r="BX17" s="90"/>
      <c r="BY17" s="90"/>
      <c r="BZ17" s="183">
        <f t="shared" si="13"/>
        <v>0</v>
      </c>
      <c r="CA17" s="182"/>
      <c r="CB17" s="90"/>
      <c r="CC17" s="90"/>
      <c r="CD17" s="183">
        <f t="shared" si="14"/>
        <v>0</v>
      </c>
    </row>
    <row r="18" spans="2:82" x14ac:dyDescent="0.3">
      <c r="B18" s="53"/>
      <c r="C18" s="53" t="str">
        <f t="shared" si="0"/>
        <v>CPU_SinalizaçãoHorizonta</v>
      </c>
      <c r="D18" s="278">
        <f t="shared" si="1"/>
        <v>504</v>
      </c>
      <c r="E18" s="278">
        <f t="shared" si="2"/>
        <v>87750</v>
      </c>
      <c r="F18" s="1"/>
      <c r="G18" s="28" t="str">
        <f>IFERROR(VLOOKUP(F18,Tabela7[[RECURSO]:[CUSTO]],2,FALSE),"")</f>
        <v/>
      </c>
      <c r="H18" s="92"/>
      <c r="I18" s="90"/>
      <c r="J18" s="45">
        <f>IFERROR(VLOOKUP(F18,Tabela7[[RECURSO]:[CUSTO]],3,FALSE),0)</f>
        <v>0</v>
      </c>
      <c r="K18" s="45">
        <f>I18*J18*CPU_22[[#This Row],[Nº]]</f>
        <v>0</v>
      </c>
      <c r="M18" s="31"/>
      <c r="N18" s="297"/>
      <c r="O18" s="60">
        <f t="shared" si="15"/>
        <v>0</v>
      </c>
      <c r="AD18" s="144" t="str">
        <f t="shared" si="3"/>
        <v>Sinalização Horizontal</v>
      </c>
      <c r="AE18" s="179"/>
      <c r="AF18" s="180">
        <f t="shared" si="16"/>
        <v>0</v>
      </c>
      <c r="AG18" s="180">
        <f t="shared" si="17"/>
        <v>0</v>
      </c>
      <c r="AH18" s="181">
        <f t="shared" si="18"/>
        <v>0</v>
      </c>
      <c r="AI18" s="182"/>
      <c r="AJ18" s="90"/>
      <c r="AK18" s="90"/>
      <c r="AL18" s="183">
        <f t="shared" si="19"/>
        <v>0</v>
      </c>
      <c r="AM18" s="182"/>
      <c r="AN18" s="90"/>
      <c r="AO18" s="90"/>
      <c r="AP18" s="183">
        <f t="shared" si="4"/>
        <v>0</v>
      </c>
      <c r="AQ18" s="182"/>
      <c r="AR18" s="90"/>
      <c r="AS18" s="90"/>
      <c r="AT18" s="183">
        <f t="shared" si="5"/>
        <v>0</v>
      </c>
      <c r="AU18" s="182"/>
      <c r="AV18" s="90"/>
      <c r="AW18" s="90"/>
      <c r="AX18" s="183">
        <f t="shared" si="6"/>
        <v>0</v>
      </c>
      <c r="AY18" s="182"/>
      <c r="AZ18" s="90"/>
      <c r="BA18" s="90"/>
      <c r="BB18" s="183">
        <f t="shared" si="7"/>
        <v>0</v>
      </c>
      <c r="BC18" s="182"/>
      <c r="BD18" s="90"/>
      <c r="BE18" s="90"/>
      <c r="BF18" s="183">
        <f t="shared" si="8"/>
        <v>0</v>
      </c>
      <c r="BG18" s="182"/>
      <c r="BH18" s="90"/>
      <c r="BI18" s="90"/>
      <c r="BJ18" s="183">
        <f t="shared" si="9"/>
        <v>0</v>
      </c>
      <c r="BK18" s="182"/>
      <c r="BL18" s="90"/>
      <c r="BM18" s="90"/>
      <c r="BN18" s="183">
        <f t="shared" si="10"/>
        <v>0</v>
      </c>
      <c r="BO18" s="182"/>
      <c r="BP18" s="90"/>
      <c r="BQ18" s="90"/>
      <c r="BR18" s="183">
        <f t="shared" si="11"/>
        <v>0</v>
      </c>
      <c r="BS18" s="182"/>
      <c r="BT18" s="90"/>
      <c r="BU18" s="90"/>
      <c r="BV18" s="183">
        <f t="shared" si="12"/>
        <v>0</v>
      </c>
      <c r="BW18" s="182"/>
      <c r="BX18" s="90"/>
      <c r="BY18" s="90"/>
      <c r="BZ18" s="183">
        <f t="shared" si="13"/>
        <v>0</v>
      </c>
      <c r="CA18" s="182"/>
      <c r="CB18" s="90"/>
      <c r="CC18" s="90"/>
      <c r="CD18" s="183">
        <f t="shared" si="14"/>
        <v>0</v>
      </c>
    </row>
    <row r="19" spans="2:82" x14ac:dyDescent="0.3">
      <c r="B19" s="53"/>
      <c r="C19" s="53" t="str">
        <f t="shared" si="0"/>
        <v>CPU_SinalizaçãoHorizonta</v>
      </c>
      <c r="D19" s="278">
        <f t="shared" si="1"/>
        <v>504</v>
      </c>
      <c r="E19" s="278">
        <f t="shared" si="2"/>
        <v>87750</v>
      </c>
      <c r="F19" s="1"/>
      <c r="G19" s="28" t="str">
        <f>IFERROR(VLOOKUP(F19,Tabela7[[RECURSO]:[CUSTO]],2,FALSE),"")</f>
        <v/>
      </c>
      <c r="H19" s="92"/>
      <c r="I19" s="90"/>
      <c r="J19" s="45">
        <f>IFERROR(VLOOKUP(F19,Tabela7[[RECURSO]:[CUSTO]],3,FALSE),0)</f>
        <v>0</v>
      </c>
      <c r="K19" s="45">
        <f>I19*J19*CPU_22[[#This Row],[Nº]]</f>
        <v>0</v>
      </c>
      <c r="M19" s="31"/>
      <c r="N19" s="297"/>
      <c r="O19" s="60">
        <f t="shared" si="15"/>
        <v>0</v>
      </c>
      <c r="AD19" s="144" t="str">
        <f t="shared" si="3"/>
        <v>Sinalização Horizontal</v>
      </c>
      <c r="AE19" s="179"/>
      <c r="AF19" s="180">
        <f t="shared" si="16"/>
        <v>0</v>
      </c>
      <c r="AG19" s="180">
        <f t="shared" si="17"/>
        <v>0</v>
      </c>
      <c r="AH19" s="181">
        <f t="shared" si="18"/>
        <v>0</v>
      </c>
      <c r="AI19" s="182"/>
      <c r="AJ19" s="90"/>
      <c r="AK19" s="90"/>
      <c r="AL19" s="183">
        <f t="shared" si="19"/>
        <v>0</v>
      </c>
      <c r="AM19" s="182"/>
      <c r="AN19" s="90"/>
      <c r="AO19" s="90"/>
      <c r="AP19" s="183">
        <f t="shared" si="4"/>
        <v>0</v>
      </c>
      <c r="AQ19" s="182"/>
      <c r="AR19" s="90"/>
      <c r="AS19" s="90"/>
      <c r="AT19" s="183">
        <f t="shared" si="5"/>
        <v>0</v>
      </c>
      <c r="AU19" s="182"/>
      <c r="AV19" s="90"/>
      <c r="AW19" s="90"/>
      <c r="AX19" s="183">
        <f t="shared" si="6"/>
        <v>0</v>
      </c>
      <c r="AY19" s="182"/>
      <c r="AZ19" s="90"/>
      <c r="BA19" s="90"/>
      <c r="BB19" s="183">
        <f t="shared" si="7"/>
        <v>0</v>
      </c>
      <c r="BC19" s="182"/>
      <c r="BD19" s="90"/>
      <c r="BE19" s="90"/>
      <c r="BF19" s="183">
        <f t="shared" si="8"/>
        <v>0</v>
      </c>
      <c r="BG19" s="182"/>
      <c r="BH19" s="90"/>
      <c r="BI19" s="90"/>
      <c r="BJ19" s="183">
        <f t="shared" si="9"/>
        <v>0</v>
      </c>
      <c r="BK19" s="182"/>
      <c r="BL19" s="90"/>
      <c r="BM19" s="90"/>
      <c r="BN19" s="183">
        <f t="shared" si="10"/>
        <v>0</v>
      </c>
      <c r="BO19" s="182"/>
      <c r="BP19" s="90"/>
      <c r="BQ19" s="90"/>
      <c r="BR19" s="183">
        <f t="shared" si="11"/>
        <v>0</v>
      </c>
      <c r="BS19" s="182"/>
      <c r="BT19" s="90"/>
      <c r="BU19" s="90"/>
      <c r="BV19" s="183">
        <f t="shared" si="12"/>
        <v>0</v>
      </c>
      <c r="BW19" s="182"/>
      <c r="BX19" s="90"/>
      <c r="BY19" s="90"/>
      <c r="BZ19" s="183">
        <f t="shared" si="13"/>
        <v>0</v>
      </c>
      <c r="CA19" s="182"/>
      <c r="CB19" s="90"/>
      <c r="CC19" s="90"/>
      <c r="CD19" s="183">
        <f t="shared" si="14"/>
        <v>0</v>
      </c>
    </row>
    <row r="20" spans="2:82" x14ac:dyDescent="0.3">
      <c r="B20" s="53"/>
      <c r="C20" s="53" t="str">
        <f t="shared" si="0"/>
        <v>CPU_SinalizaçãoHorizonta</v>
      </c>
      <c r="D20" s="278">
        <f t="shared" si="1"/>
        <v>504</v>
      </c>
      <c r="E20" s="278">
        <f t="shared" si="2"/>
        <v>87750</v>
      </c>
      <c r="F20" s="1"/>
      <c r="G20" s="28" t="str">
        <f>IFERROR(VLOOKUP(F20,Tabela7[[RECURSO]:[CUSTO]],2,FALSE),"")</f>
        <v/>
      </c>
      <c r="H20" s="92"/>
      <c r="I20" s="90"/>
      <c r="J20" s="45">
        <f>IFERROR(VLOOKUP(F20,Tabela7[[RECURSO]:[CUSTO]],3,FALSE),0)</f>
        <v>0</v>
      </c>
      <c r="K20" s="45">
        <f>I20*J20*CPU_22[[#This Row],[Nº]]</f>
        <v>0</v>
      </c>
      <c r="M20" s="31"/>
      <c r="N20" s="297"/>
      <c r="O20" s="60">
        <f t="shared" si="15"/>
        <v>0</v>
      </c>
      <c r="AD20" s="144" t="str">
        <f t="shared" si="3"/>
        <v>Sinalização Horizontal</v>
      </c>
      <c r="AE20" s="179"/>
      <c r="AF20" s="180">
        <f t="shared" si="16"/>
        <v>0</v>
      </c>
      <c r="AG20" s="180">
        <f t="shared" si="17"/>
        <v>0</v>
      </c>
      <c r="AH20" s="181">
        <f t="shared" si="18"/>
        <v>0</v>
      </c>
      <c r="AI20" s="182"/>
      <c r="AJ20" s="90"/>
      <c r="AK20" s="90"/>
      <c r="AL20" s="183">
        <f t="shared" si="19"/>
        <v>0</v>
      </c>
      <c r="AM20" s="182"/>
      <c r="AN20" s="90"/>
      <c r="AO20" s="90"/>
      <c r="AP20" s="183">
        <f t="shared" si="4"/>
        <v>0</v>
      </c>
      <c r="AQ20" s="182"/>
      <c r="AR20" s="90"/>
      <c r="AS20" s="90"/>
      <c r="AT20" s="183">
        <f t="shared" si="5"/>
        <v>0</v>
      </c>
      <c r="AU20" s="182"/>
      <c r="AV20" s="90"/>
      <c r="AW20" s="90"/>
      <c r="AX20" s="183">
        <f t="shared" si="6"/>
        <v>0</v>
      </c>
      <c r="AY20" s="182"/>
      <c r="AZ20" s="90"/>
      <c r="BA20" s="90"/>
      <c r="BB20" s="183">
        <f t="shared" si="7"/>
        <v>0</v>
      </c>
      <c r="BC20" s="182"/>
      <c r="BD20" s="90"/>
      <c r="BE20" s="90"/>
      <c r="BF20" s="183">
        <f t="shared" si="8"/>
        <v>0</v>
      </c>
      <c r="BG20" s="182"/>
      <c r="BH20" s="90"/>
      <c r="BI20" s="90"/>
      <c r="BJ20" s="183">
        <f t="shared" si="9"/>
        <v>0</v>
      </c>
      <c r="BK20" s="182"/>
      <c r="BL20" s="90"/>
      <c r="BM20" s="90"/>
      <c r="BN20" s="183">
        <f t="shared" si="10"/>
        <v>0</v>
      </c>
      <c r="BO20" s="182"/>
      <c r="BP20" s="90"/>
      <c r="BQ20" s="90"/>
      <c r="BR20" s="183">
        <f t="shared" si="11"/>
        <v>0</v>
      </c>
      <c r="BS20" s="182"/>
      <c r="BT20" s="90"/>
      <c r="BU20" s="90"/>
      <c r="BV20" s="183">
        <f t="shared" si="12"/>
        <v>0</v>
      </c>
      <c r="BW20" s="182"/>
      <c r="BX20" s="90"/>
      <c r="BY20" s="90"/>
      <c r="BZ20" s="183">
        <f t="shared" si="13"/>
        <v>0</v>
      </c>
      <c r="CA20" s="182"/>
      <c r="CB20" s="90"/>
      <c r="CC20" s="90"/>
      <c r="CD20" s="183">
        <f t="shared" si="14"/>
        <v>0</v>
      </c>
    </row>
    <row r="21" spans="2:82" x14ac:dyDescent="0.3">
      <c r="B21" s="53"/>
      <c r="C21" s="53" t="str">
        <f t="shared" si="0"/>
        <v>CPU_SinalizaçãoHorizonta</v>
      </c>
      <c r="D21" s="278">
        <f t="shared" si="1"/>
        <v>504</v>
      </c>
      <c r="E21" s="278">
        <f t="shared" si="2"/>
        <v>87750</v>
      </c>
      <c r="F21" s="1"/>
      <c r="G21" s="28" t="str">
        <f>IFERROR(VLOOKUP(F21,Tabela7[[RECURSO]:[CUSTO]],2,FALSE),"")</f>
        <v/>
      </c>
      <c r="H21" s="92"/>
      <c r="I21" s="90"/>
      <c r="J21" s="45">
        <f>IFERROR(VLOOKUP(F21,Tabela7[[RECURSO]:[CUSTO]],3,FALSE),0)</f>
        <v>0</v>
      </c>
      <c r="K21" s="45">
        <f>I21*J21*CPU_22[[#This Row],[Nº]]</f>
        <v>0</v>
      </c>
      <c r="M21" s="31"/>
      <c r="N21" s="297"/>
      <c r="O21" s="60">
        <f t="shared" si="15"/>
        <v>0</v>
      </c>
      <c r="AD21" s="144" t="str">
        <f t="shared" si="3"/>
        <v>Sinalização Horizontal</v>
      </c>
      <c r="AE21" s="179"/>
      <c r="AF21" s="180">
        <f t="shared" si="16"/>
        <v>0</v>
      </c>
      <c r="AG21" s="180">
        <f t="shared" si="17"/>
        <v>0</v>
      </c>
      <c r="AH21" s="181">
        <f t="shared" si="18"/>
        <v>0</v>
      </c>
      <c r="AI21" s="182"/>
      <c r="AJ21" s="90"/>
      <c r="AK21" s="90"/>
      <c r="AL21" s="183">
        <f t="shared" si="19"/>
        <v>0</v>
      </c>
      <c r="AM21" s="182"/>
      <c r="AN21" s="90"/>
      <c r="AO21" s="90"/>
      <c r="AP21" s="183">
        <f t="shared" si="4"/>
        <v>0</v>
      </c>
      <c r="AQ21" s="182"/>
      <c r="AR21" s="90"/>
      <c r="AS21" s="90"/>
      <c r="AT21" s="183">
        <f t="shared" si="5"/>
        <v>0</v>
      </c>
      <c r="AU21" s="182"/>
      <c r="AV21" s="90"/>
      <c r="AW21" s="90"/>
      <c r="AX21" s="183">
        <f t="shared" si="6"/>
        <v>0</v>
      </c>
      <c r="AY21" s="182"/>
      <c r="AZ21" s="90"/>
      <c r="BA21" s="90"/>
      <c r="BB21" s="183">
        <f t="shared" si="7"/>
        <v>0</v>
      </c>
      <c r="BC21" s="182"/>
      <c r="BD21" s="90"/>
      <c r="BE21" s="90"/>
      <c r="BF21" s="183">
        <f t="shared" si="8"/>
        <v>0</v>
      </c>
      <c r="BG21" s="182"/>
      <c r="BH21" s="90"/>
      <c r="BI21" s="90"/>
      <c r="BJ21" s="183">
        <f t="shared" si="9"/>
        <v>0</v>
      </c>
      <c r="BK21" s="182"/>
      <c r="BL21" s="90"/>
      <c r="BM21" s="90"/>
      <c r="BN21" s="183">
        <f t="shared" si="10"/>
        <v>0</v>
      </c>
      <c r="BO21" s="182"/>
      <c r="BP21" s="90"/>
      <c r="BQ21" s="90"/>
      <c r="BR21" s="183">
        <f t="shared" si="11"/>
        <v>0</v>
      </c>
      <c r="BS21" s="182"/>
      <c r="BT21" s="90"/>
      <c r="BU21" s="90"/>
      <c r="BV21" s="183">
        <f t="shared" si="12"/>
        <v>0</v>
      </c>
      <c r="BW21" s="182"/>
      <c r="BX21" s="90"/>
      <c r="BY21" s="90"/>
      <c r="BZ21" s="183">
        <f t="shared" si="13"/>
        <v>0</v>
      </c>
      <c r="CA21" s="182"/>
      <c r="CB21" s="90"/>
      <c r="CC21" s="90"/>
      <c r="CD21" s="183">
        <f t="shared" si="14"/>
        <v>0</v>
      </c>
    </row>
    <row r="22" spans="2:82" x14ac:dyDescent="0.3">
      <c r="B22" s="53"/>
      <c r="C22" s="53" t="str">
        <f t="shared" si="0"/>
        <v>CPU_SinalizaçãoHorizonta</v>
      </c>
      <c r="D22" s="278">
        <f t="shared" si="1"/>
        <v>504</v>
      </c>
      <c r="E22" s="278">
        <f t="shared" si="2"/>
        <v>87750</v>
      </c>
      <c r="F22" s="1"/>
      <c r="G22" s="28" t="str">
        <f>IFERROR(VLOOKUP(F22,Tabela7[[RECURSO]:[CUSTO]],2,FALSE),"")</f>
        <v/>
      </c>
      <c r="H22" s="92"/>
      <c r="I22" s="90"/>
      <c r="J22" s="45">
        <f>IFERROR(VLOOKUP(F22,Tabela7[[RECURSO]:[CUSTO]],3,FALSE),0)</f>
        <v>0</v>
      </c>
      <c r="K22" s="45">
        <f>I22*J22*CPU_22[[#This Row],[Nº]]</f>
        <v>0</v>
      </c>
      <c r="M22" s="31"/>
      <c r="N22" s="297"/>
      <c r="O22" s="60">
        <f t="shared" si="15"/>
        <v>0</v>
      </c>
      <c r="AD22" s="144" t="str">
        <f t="shared" si="3"/>
        <v>Sinalização Horizontal</v>
      </c>
      <c r="AE22" s="179"/>
      <c r="AF22" s="180">
        <f t="shared" si="16"/>
        <v>0</v>
      </c>
      <c r="AG22" s="180">
        <f t="shared" si="17"/>
        <v>0</v>
      </c>
      <c r="AH22" s="181">
        <f t="shared" si="18"/>
        <v>0</v>
      </c>
      <c r="AI22" s="182"/>
      <c r="AJ22" s="90"/>
      <c r="AK22" s="90"/>
      <c r="AL22" s="183">
        <f t="shared" si="19"/>
        <v>0</v>
      </c>
      <c r="AM22" s="182"/>
      <c r="AN22" s="90"/>
      <c r="AO22" s="90"/>
      <c r="AP22" s="183">
        <f t="shared" si="4"/>
        <v>0</v>
      </c>
      <c r="AQ22" s="182"/>
      <c r="AR22" s="90"/>
      <c r="AS22" s="90"/>
      <c r="AT22" s="183">
        <f t="shared" si="5"/>
        <v>0</v>
      </c>
      <c r="AU22" s="182"/>
      <c r="AV22" s="90"/>
      <c r="AW22" s="90"/>
      <c r="AX22" s="183">
        <f t="shared" si="6"/>
        <v>0</v>
      </c>
      <c r="AY22" s="182"/>
      <c r="AZ22" s="90"/>
      <c r="BA22" s="90"/>
      <c r="BB22" s="183">
        <f t="shared" si="7"/>
        <v>0</v>
      </c>
      <c r="BC22" s="182"/>
      <c r="BD22" s="90"/>
      <c r="BE22" s="90"/>
      <c r="BF22" s="183">
        <f t="shared" si="8"/>
        <v>0</v>
      </c>
      <c r="BG22" s="182"/>
      <c r="BH22" s="90"/>
      <c r="BI22" s="90"/>
      <c r="BJ22" s="183">
        <f t="shared" si="9"/>
        <v>0</v>
      </c>
      <c r="BK22" s="182"/>
      <c r="BL22" s="90"/>
      <c r="BM22" s="90"/>
      <c r="BN22" s="183">
        <f t="shared" si="10"/>
        <v>0</v>
      </c>
      <c r="BO22" s="182"/>
      <c r="BP22" s="90"/>
      <c r="BQ22" s="90"/>
      <c r="BR22" s="183">
        <f t="shared" si="11"/>
        <v>0</v>
      </c>
      <c r="BS22" s="182"/>
      <c r="BT22" s="90"/>
      <c r="BU22" s="90"/>
      <c r="BV22" s="183">
        <f t="shared" si="12"/>
        <v>0</v>
      </c>
      <c r="BW22" s="182"/>
      <c r="BX22" s="90"/>
      <c r="BY22" s="90"/>
      <c r="BZ22" s="183">
        <f t="shared" si="13"/>
        <v>0</v>
      </c>
      <c r="CA22" s="182"/>
      <c r="CB22" s="90"/>
      <c r="CC22" s="90"/>
      <c r="CD22" s="183">
        <f t="shared" si="14"/>
        <v>0</v>
      </c>
    </row>
    <row r="23" spans="2:82" ht="15" thickBot="1" x14ac:dyDescent="0.35">
      <c r="B23" s="53"/>
      <c r="C23" s="53" t="str">
        <f t="shared" si="0"/>
        <v>CPU_SinalizaçãoHorizonta</v>
      </c>
      <c r="D23" s="278">
        <f t="shared" si="1"/>
        <v>504</v>
      </c>
      <c r="E23" s="278">
        <f t="shared" si="2"/>
        <v>87750</v>
      </c>
      <c r="F23" s="1"/>
      <c r="G23" s="28" t="str">
        <f>IFERROR(VLOOKUP(F23,Tabela7[[RECURSO]:[CUSTO]],2,FALSE),"")</f>
        <v/>
      </c>
      <c r="H23" s="92"/>
      <c r="I23" s="90"/>
      <c r="J23" s="45">
        <f>IFERROR(VLOOKUP(F23,Tabela7[[RECURSO]:[CUSTO]],3,FALSE),0)</f>
        <v>0</v>
      </c>
      <c r="K23" s="45">
        <f>I23*J23*CPU_22[[#This Row],[Nº]]</f>
        <v>0</v>
      </c>
      <c r="M23" s="51"/>
      <c r="N23" s="298"/>
      <c r="O23" s="61">
        <f t="shared" si="15"/>
        <v>0</v>
      </c>
      <c r="AD23" s="144" t="str">
        <f t="shared" si="3"/>
        <v>Sinalização Horizontal</v>
      </c>
      <c r="AE23" s="179"/>
      <c r="AF23" s="180">
        <f t="shared" si="16"/>
        <v>0</v>
      </c>
      <c r="AG23" s="180">
        <f t="shared" si="17"/>
        <v>0</v>
      </c>
      <c r="AH23" s="181">
        <f t="shared" si="18"/>
        <v>0</v>
      </c>
      <c r="AI23" s="182"/>
      <c r="AJ23" s="90"/>
      <c r="AK23" s="90"/>
      <c r="AL23" s="183">
        <f t="shared" si="19"/>
        <v>0</v>
      </c>
      <c r="AM23" s="182"/>
      <c r="AN23" s="90"/>
      <c r="AO23" s="90"/>
      <c r="AP23" s="183">
        <f t="shared" si="4"/>
        <v>0</v>
      </c>
      <c r="AQ23" s="182"/>
      <c r="AR23" s="90"/>
      <c r="AS23" s="90"/>
      <c r="AT23" s="183">
        <f t="shared" si="5"/>
        <v>0</v>
      </c>
      <c r="AU23" s="182"/>
      <c r="AV23" s="90"/>
      <c r="AW23" s="90"/>
      <c r="AX23" s="183">
        <f t="shared" si="6"/>
        <v>0</v>
      </c>
      <c r="AY23" s="182"/>
      <c r="AZ23" s="90"/>
      <c r="BA23" s="90"/>
      <c r="BB23" s="183">
        <f t="shared" si="7"/>
        <v>0</v>
      </c>
      <c r="BC23" s="182"/>
      <c r="BD23" s="90"/>
      <c r="BE23" s="90"/>
      <c r="BF23" s="183">
        <f t="shared" si="8"/>
        <v>0</v>
      </c>
      <c r="BG23" s="182"/>
      <c r="BH23" s="90"/>
      <c r="BI23" s="90"/>
      <c r="BJ23" s="183">
        <f t="shared" si="9"/>
        <v>0</v>
      </c>
      <c r="BK23" s="182"/>
      <c r="BL23" s="90"/>
      <c r="BM23" s="90"/>
      <c r="BN23" s="183">
        <f t="shared" si="10"/>
        <v>0</v>
      </c>
      <c r="BO23" s="182"/>
      <c r="BP23" s="90"/>
      <c r="BQ23" s="90"/>
      <c r="BR23" s="183">
        <f t="shared" si="11"/>
        <v>0</v>
      </c>
      <c r="BS23" s="182"/>
      <c r="BT23" s="90"/>
      <c r="BU23" s="90"/>
      <c r="BV23" s="183">
        <f t="shared" si="12"/>
        <v>0</v>
      </c>
      <c r="BW23" s="182"/>
      <c r="BX23" s="90"/>
      <c r="BY23" s="90"/>
      <c r="BZ23" s="183">
        <f t="shared" si="13"/>
        <v>0</v>
      </c>
      <c r="CA23" s="182"/>
      <c r="CB23" s="90"/>
      <c r="CC23" s="90"/>
      <c r="CD23" s="183">
        <f t="shared" si="14"/>
        <v>0</v>
      </c>
    </row>
    <row r="24" spans="2:82" x14ac:dyDescent="0.3">
      <c r="B24" s="52" t="s">
        <v>686</v>
      </c>
      <c r="C24" s="52" t="str">
        <f t="shared" si="0"/>
        <v>CPU_SinalizaçãoHorizonta</v>
      </c>
      <c r="D24" s="277">
        <f t="shared" si="1"/>
        <v>504</v>
      </c>
      <c r="E24" s="277">
        <f t="shared" si="2"/>
        <v>87750</v>
      </c>
      <c r="F24" s="37"/>
      <c r="G24" s="38"/>
      <c r="H24" s="91"/>
      <c r="I24" s="40"/>
      <c r="J24" s="40">
        <f>IFERROR(K24/$B$6,0)</f>
        <v>0</v>
      </c>
      <c r="K24" s="40">
        <f>SUM(K25:K36)</f>
        <v>0</v>
      </c>
      <c r="AD24" s="144" t="str">
        <f t="shared" si="3"/>
        <v>Sinalização Horizontal</v>
      </c>
      <c r="AE24" s="184"/>
      <c r="AF24" s="40"/>
      <c r="AG24" s="40">
        <f>IFERROR(AH24/AF$3,0)</f>
        <v>0</v>
      </c>
      <c r="AH24" s="185">
        <f>SUM(AH25:AH36)</f>
        <v>0</v>
      </c>
      <c r="AI24" s="184"/>
      <c r="AJ24" s="40"/>
      <c r="AK24" s="40">
        <f>IFERROR(AL24/AJ$3,0)</f>
        <v>0</v>
      </c>
      <c r="AL24" s="185">
        <f>SUM(AL25:AL36)</f>
        <v>0</v>
      </c>
      <c r="AM24" s="184"/>
      <c r="AN24" s="40"/>
      <c r="AO24" s="40">
        <f>IFERROR(AP24/AN$3,0)</f>
        <v>0</v>
      </c>
      <c r="AP24" s="185">
        <f>SUM(AP25:AP36)</f>
        <v>0</v>
      </c>
      <c r="AQ24" s="184"/>
      <c r="AR24" s="40"/>
      <c r="AS24" s="40">
        <f>IFERROR(AT24/AR$3,0)</f>
        <v>0</v>
      </c>
      <c r="AT24" s="185">
        <f>SUM(AT25:AT36)</f>
        <v>0</v>
      </c>
      <c r="AU24" s="184"/>
      <c r="AV24" s="40"/>
      <c r="AW24" s="40">
        <f>IFERROR(AX24/AV$3,0)</f>
        <v>0</v>
      </c>
      <c r="AX24" s="185">
        <f>SUM(AX25:AX36)</f>
        <v>0</v>
      </c>
      <c r="AY24" s="184"/>
      <c r="AZ24" s="40"/>
      <c r="BA24" s="40">
        <f>IFERROR(BB24/AZ$3,0)</f>
        <v>0</v>
      </c>
      <c r="BB24" s="185">
        <f>SUM(BB25:BB36)</f>
        <v>0</v>
      </c>
      <c r="BC24" s="184"/>
      <c r="BD24" s="40"/>
      <c r="BE24" s="40">
        <f>IFERROR(BF24/BD$3,0)</f>
        <v>0</v>
      </c>
      <c r="BF24" s="185">
        <f>SUM(BF25:BF36)</f>
        <v>0</v>
      </c>
      <c r="BG24" s="184"/>
      <c r="BH24" s="40"/>
      <c r="BI24" s="40">
        <f>IFERROR(BJ24/BH$3,0)</f>
        <v>0</v>
      </c>
      <c r="BJ24" s="185">
        <f>SUM(BJ25:BJ36)</f>
        <v>0</v>
      </c>
      <c r="BK24" s="184"/>
      <c r="BL24" s="40"/>
      <c r="BM24" s="40">
        <f>IFERROR(BN24/BL$3,0)</f>
        <v>0</v>
      </c>
      <c r="BN24" s="185">
        <f>SUM(BN25:BN36)</f>
        <v>0</v>
      </c>
      <c r="BO24" s="184"/>
      <c r="BP24" s="40"/>
      <c r="BQ24" s="40">
        <f>IFERROR(BR24/BP$3,0)</f>
        <v>0</v>
      </c>
      <c r="BR24" s="185">
        <f>SUM(BR25:BR36)</f>
        <v>0</v>
      </c>
      <c r="BS24" s="184"/>
      <c r="BT24" s="40"/>
      <c r="BU24" s="40">
        <f>IFERROR(BV24/BT$3,0)</f>
        <v>0</v>
      </c>
      <c r="BV24" s="185">
        <f>SUM(BV25:BV36)</f>
        <v>0</v>
      </c>
      <c r="BW24" s="184"/>
      <c r="BX24" s="40"/>
      <c r="BY24" s="40">
        <f>IFERROR(BZ24/BX$3,0)</f>
        <v>0</v>
      </c>
      <c r="BZ24" s="185">
        <f>SUM(BZ25:BZ36)</f>
        <v>0</v>
      </c>
      <c r="CA24" s="184"/>
      <c r="CB24" s="40"/>
      <c r="CC24" s="40">
        <f>IFERROR(CD24/CB$3,0)</f>
        <v>0</v>
      </c>
      <c r="CD24" s="185">
        <f>SUM(CD25:CD36)</f>
        <v>0</v>
      </c>
    </row>
    <row r="25" spans="2:82" x14ac:dyDescent="0.3">
      <c r="B25" s="53"/>
      <c r="C25" s="53" t="str">
        <f t="shared" si="0"/>
        <v>CPU_SinalizaçãoHorizonta</v>
      </c>
      <c r="D25" s="278">
        <f t="shared" si="1"/>
        <v>504</v>
      </c>
      <c r="E25" s="278">
        <f t="shared" si="2"/>
        <v>87750</v>
      </c>
      <c r="F25" s="1"/>
      <c r="G25" s="28" t="str">
        <f>IFERROR(VLOOKUP(F25,Tabela7[[RECURSO]:[CUSTO]],2,FALSE),"")</f>
        <v/>
      </c>
      <c r="H25" s="93"/>
      <c r="I25" s="90">
        <f>IFERROR(SUMPRODUCT(I12:I23,M12:M23,H12:H23,N12:N23),0)</f>
        <v>0</v>
      </c>
      <c r="J25" s="45">
        <f>IFERROR(VLOOKUP(F25,Tabela7[[RECURSO]:[CUSTO]],3,FALSE),0)</f>
        <v>0</v>
      </c>
      <c r="K25" s="45">
        <f>I25*J25</f>
        <v>0</v>
      </c>
      <c r="AD25" s="144" t="str">
        <f t="shared" si="3"/>
        <v>Sinalização Horizontal</v>
      </c>
      <c r="AE25" s="179"/>
      <c r="AF25" s="180">
        <f t="shared" ref="AF25:AF36" si="20">AJ25+AN25+AR25+AV25+AZ25+BD25+BH25+BL25+BP25+BT25+BX25+CB25</f>
        <v>0</v>
      </c>
      <c r="AG25" s="180">
        <f t="shared" si="17"/>
        <v>0</v>
      </c>
      <c r="AH25" s="181">
        <f t="shared" ref="AH25:AH36" si="21">AL25+AP25+AT25+AX25+BB25+BF25+BJ25+BN25+BR25+BV25+BZ25+CD25</f>
        <v>0</v>
      </c>
      <c r="AI25" s="182"/>
      <c r="AJ25" s="90"/>
      <c r="AK25" s="90"/>
      <c r="AL25" s="183">
        <f t="shared" ref="AL25:AL36" si="22">AJ25*AK25</f>
        <v>0</v>
      </c>
      <c r="AM25" s="182"/>
      <c r="AN25" s="90"/>
      <c r="AO25" s="90"/>
      <c r="AP25" s="183">
        <f t="shared" ref="AP25:AP62" si="23">AN25*AO25</f>
        <v>0</v>
      </c>
      <c r="AQ25" s="182"/>
      <c r="AR25" s="90"/>
      <c r="AS25" s="90"/>
      <c r="AT25" s="183">
        <f t="shared" ref="AT25:AT62" si="24">AR25*AS25</f>
        <v>0</v>
      </c>
      <c r="AU25" s="182"/>
      <c r="AV25" s="90"/>
      <c r="AW25" s="90"/>
      <c r="AX25" s="183">
        <f t="shared" ref="AX25:AX62" si="25">AV25*AW25</f>
        <v>0</v>
      </c>
      <c r="AY25" s="182"/>
      <c r="AZ25" s="90"/>
      <c r="BA25" s="90"/>
      <c r="BB25" s="183">
        <f t="shared" ref="BB25:BB62" si="26">AZ25*BA25</f>
        <v>0</v>
      </c>
      <c r="BC25" s="182"/>
      <c r="BD25" s="90"/>
      <c r="BE25" s="90"/>
      <c r="BF25" s="183">
        <f t="shared" ref="BF25:BF62" si="27">BD25*BE25</f>
        <v>0</v>
      </c>
      <c r="BG25" s="182"/>
      <c r="BH25" s="90"/>
      <c r="BI25" s="90"/>
      <c r="BJ25" s="183">
        <f t="shared" ref="BJ25:BJ62" si="28">BH25*BI25</f>
        <v>0</v>
      </c>
      <c r="BK25" s="182"/>
      <c r="BL25" s="90"/>
      <c r="BM25" s="90"/>
      <c r="BN25" s="183">
        <f t="shared" ref="BN25:BN62" si="29">BL25*BM25</f>
        <v>0</v>
      </c>
      <c r="BO25" s="182"/>
      <c r="BP25" s="90"/>
      <c r="BQ25" s="90"/>
      <c r="BR25" s="183">
        <f t="shared" ref="BR25:BR62" si="30">BP25*BQ25</f>
        <v>0</v>
      </c>
      <c r="BS25" s="182"/>
      <c r="BT25" s="90"/>
      <c r="BU25" s="90"/>
      <c r="BV25" s="183">
        <f t="shared" ref="BV25:BV62" si="31">BT25*BU25</f>
        <v>0</v>
      </c>
      <c r="BW25" s="182"/>
      <c r="BX25" s="90"/>
      <c r="BY25" s="90"/>
      <c r="BZ25" s="183">
        <f t="shared" ref="BZ25:BZ62" si="32">BX25*BY25</f>
        <v>0</v>
      </c>
      <c r="CA25" s="182"/>
      <c r="CB25" s="90"/>
      <c r="CC25" s="90"/>
      <c r="CD25" s="183">
        <f t="shared" ref="CD25:CD62" si="33">CB25*CC25</f>
        <v>0</v>
      </c>
    </row>
    <row r="26" spans="2:82" x14ac:dyDescent="0.3">
      <c r="B26" s="53"/>
      <c r="C26" s="53" t="str">
        <f t="shared" si="0"/>
        <v>CPU_SinalizaçãoHorizonta</v>
      </c>
      <c r="D26" s="278">
        <f t="shared" si="1"/>
        <v>504</v>
      </c>
      <c r="E26" s="278">
        <f t="shared" si="2"/>
        <v>87750</v>
      </c>
      <c r="F26" s="1"/>
      <c r="G26" s="28" t="str">
        <f>IFERROR(VLOOKUP(F26,Tabela7[[RECURSO]:[CUSTO]],2,FALSE),"")</f>
        <v/>
      </c>
      <c r="H26" s="93"/>
      <c r="I26" s="90"/>
      <c r="J26" s="45">
        <f>IFERROR(VLOOKUP(F26,Tabela7[[RECURSO]:[CUSTO]],3,FALSE),0)</f>
        <v>0</v>
      </c>
      <c r="K26" s="45">
        <f t="shared" ref="K26:K36" si="34">I26*J26</f>
        <v>0</v>
      </c>
      <c r="AD26" s="144" t="str">
        <f t="shared" si="3"/>
        <v>Sinalização Horizontal</v>
      </c>
      <c r="AE26" s="179"/>
      <c r="AF26" s="180">
        <f t="shared" si="20"/>
        <v>0</v>
      </c>
      <c r="AG26" s="180">
        <f t="shared" si="17"/>
        <v>0</v>
      </c>
      <c r="AH26" s="181">
        <f t="shared" si="21"/>
        <v>0</v>
      </c>
      <c r="AI26" s="182"/>
      <c r="AJ26" s="90"/>
      <c r="AK26" s="90"/>
      <c r="AL26" s="183">
        <f t="shared" si="22"/>
        <v>0</v>
      </c>
      <c r="AM26" s="182"/>
      <c r="AN26" s="90"/>
      <c r="AO26" s="90"/>
      <c r="AP26" s="183">
        <f t="shared" si="23"/>
        <v>0</v>
      </c>
      <c r="AQ26" s="182"/>
      <c r="AR26" s="90"/>
      <c r="AS26" s="90"/>
      <c r="AT26" s="183">
        <f t="shared" si="24"/>
        <v>0</v>
      </c>
      <c r="AU26" s="182"/>
      <c r="AV26" s="90"/>
      <c r="AW26" s="90"/>
      <c r="AX26" s="183">
        <f t="shared" si="25"/>
        <v>0</v>
      </c>
      <c r="AY26" s="182"/>
      <c r="AZ26" s="90"/>
      <c r="BA26" s="90"/>
      <c r="BB26" s="183">
        <f t="shared" si="26"/>
        <v>0</v>
      </c>
      <c r="BC26" s="182"/>
      <c r="BD26" s="90"/>
      <c r="BE26" s="90"/>
      <c r="BF26" s="183">
        <f t="shared" si="27"/>
        <v>0</v>
      </c>
      <c r="BG26" s="182"/>
      <c r="BH26" s="90"/>
      <c r="BI26" s="90"/>
      <c r="BJ26" s="183">
        <f t="shared" si="28"/>
        <v>0</v>
      </c>
      <c r="BK26" s="182"/>
      <c r="BL26" s="90"/>
      <c r="BM26" s="90"/>
      <c r="BN26" s="183">
        <f t="shared" si="29"/>
        <v>0</v>
      </c>
      <c r="BO26" s="182"/>
      <c r="BP26" s="90"/>
      <c r="BQ26" s="90"/>
      <c r="BR26" s="183">
        <f t="shared" si="30"/>
        <v>0</v>
      </c>
      <c r="BS26" s="182"/>
      <c r="BT26" s="90"/>
      <c r="BU26" s="90"/>
      <c r="BV26" s="183">
        <f t="shared" si="31"/>
        <v>0</v>
      </c>
      <c r="BW26" s="182"/>
      <c r="BX26" s="90"/>
      <c r="BY26" s="90"/>
      <c r="BZ26" s="183">
        <f t="shared" si="32"/>
        <v>0</v>
      </c>
      <c r="CA26" s="182"/>
      <c r="CB26" s="90"/>
      <c r="CC26" s="90"/>
      <c r="CD26" s="183">
        <f t="shared" si="33"/>
        <v>0</v>
      </c>
    </row>
    <row r="27" spans="2:82" x14ac:dyDescent="0.3">
      <c r="B27" s="53"/>
      <c r="C27" s="53" t="str">
        <f t="shared" si="0"/>
        <v>CPU_SinalizaçãoHorizonta</v>
      </c>
      <c r="D27" s="278">
        <f t="shared" si="1"/>
        <v>504</v>
      </c>
      <c r="E27" s="278">
        <f t="shared" si="2"/>
        <v>87750</v>
      </c>
      <c r="F27" s="1"/>
      <c r="G27" s="28" t="str">
        <f>IFERROR(VLOOKUP(F27,Tabela7[[RECURSO]:[CUSTO]],2,FALSE),"")</f>
        <v/>
      </c>
      <c r="H27" s="93"/>
      <c r="I27" s="90"/>
      <c r="J27" s="45">
        <f>IFERROR(VLOOKUP(F27,Tabela7[[RECURSO]:[CUSTO]],3,FALSE),0)</f>
        <v>0</v>
      </c>
      <c r="K27" s="45">
        <f t="shared" si="34"/>
        <v>0</v>
      </c>
      <c r="AD27" s="144" t="str">
        <f t="shared" si="3"/>
        <v>Sinalização Horizontal</v>
      </c>
      <c r="AE27" s="179"/>
      <c r="AF27" s="180">
        <f t="shared" si="20"/>
        <v>0</v>
      </c>
      <c r="AG27" s="180">
        <f t="shared" si="17"/>
        <v>0</v>
      </c>
      <c r="AH27" s="181">
        <f t="shared" si="21"/>
        <v>0</v>
      </c>
      <c r="AI27" s="182"/>
      <c r="AJ27" s="90"/>
      <c r="AK27" s="90"/>
      <c r="AL27" s="183">
        <f t="shared" si="22"/>
        <v>0</v>
      </c>
      <c r="AM27" s="182"/>
      <c r="AN27" s="90"/>
      <c r="AO27" s="90"/>
      <c r="AP27" s="183">
        <f t="shared" si="23"/>
        <v>0</v>
      </c>
      <c r="AQ27" s="182"/>
      <c r="AR27" s="90"/>
      <c r="AS27" s="90"/>
      <c r="AT27" s="183">
        <f t="shared" si="24"/>
        <v>0</v>
      </c>
      <c r="AU27" s="182"/>
      <c r="AV27" s="90"/>
      <c r="AW27" s="90"/>
      <c r="AX27" s="183">
        <f t="shared" si="25"/>
        <v>0</v>
      </c>
      <c r="AY27" s="182"/>
      <c r="AZ27" s="90"/>
      <c r="BA27" s="90"/>
      <c r="BB27" s="183">
        <f t="shared" si="26"/>
        <v>0</v>
      </c>
      <c r="BC27" s="182"/>
      <c r="BD27" s="90"/>
      <c r="BE27" s="90"/>
      <c r="BF27" s="183">
        <f t="shared" si="27"/>
        <v>0</v>
      </c>
      <c r="BG27" s="182"/>
      <c r="BH27" s="90"/>
      <c r="BI27" s="90"/>
      <c r="BJ27" s="183">
        <f t="shared" si="28"/>
        <v>0</v>
      </c>
      <c r="BK27" s="182"/>
      <c r="BL27" s="90"/>
      <c r="BM27" s="90"/>
      <c r="BN27" s="183">
        <f t="shared" si="29"/>
        <v>0</v>
      </c>
      <c r="BO27" s="182"/>
      <c r="BP27" s="90"/>
      <c r="BQ27" s="90"/>
      <c r="BR27" s="183">
        <f t="shared" si="30"/>
        <v>0</v>
      </c>
      <c r="BS27" s="182"/>
      <c r="BT27" s="90"/>
      <c r="BU27" s="90"/>
      <c r="BV27" s="183">
        <f t="shared" si="31"/>
        <v>0</v>
      </c>
      <c r="BW27" s="182"/>
      <c r="BX27" s="90"/>
      <c r="BY27" s="90"/>
      <c r="BZ27" s="183">
        <f t="shared" si="32"/>
        <v>0</v>
      </c>
      <c r="CA27" s="182"/>
      <c r="CB27" s="90"/>
      <c r="CC27" s="90"/>
      <c r="CD27" s="183">
        <f t="shared" si="33"/>
        <v>0</v>
      </c>
    </row>
    <row r="28" spans="2:82" x14ac:dyDescent="0.3">
      <c r="B28" s="53"/>
      <c r="C28" s="53" t="str">
        <f t="shared" si="0"/>
        <v>CPU_SinalizaçãoHorizonta</v>
      </c>
      <c r="D28" s="278">
        <f t="shared" si="1"/>
        <v>504</v>
      </c>
      <c r="E28" s="278">
        <f t="shared" si="2"/>
        <v>87750</v>
      </c>
      <c r="F28" s="1"/>
      <c r="G28" s="28" t="str">
        <f>IFERROR(VLOOKUP(F28,Tabela7[[RECURSO]:[CUSTO]],2,FALSE),"")</f>
        <v/>
      </c>
      <c r="H28" s="93"/>
      <c r="I28" s="90"/>
      <c r="J28" s="45">
        <f>IFERROR(VLOOKUP(F28,Tabela7[[RECURSO]:[CUSTO]],3,FALSE),0)</f>
        <v>0</v>
      </c>
      <c r="K28" s="45">
        <f t="shared" si="34"/>
        <v>0</v>
      </c>
      <c r="AD28" s="144" t="str">
        <f t="shared" si="3"/>
        <v>Sinalização Horizontal</v>
      </c>
      <c r="AE28" s="179"/>
      <c r="AF28" s="180">
        <f t="shared" si="20"/>
        <v>0</v>
      </c>
      <c r="AG28" s="180">
        <f t="shared" si="17"/>
        <v>0</v>
      </c>
      <c r="AH28" s="181">
        <f t="shared" si="21"/>
        <v>0</v>
      </c>
      <c r="AI28" s="182"/>
      <c r="AJ28" s="90"/>
      <c r="AK28" s="90"/>
      <c r="AL28" s="183">
        <f t="shared" si="22"/>
        <v>0</v>
      </c>
      <c r="AM28" s="182"/>
      <c r="AN28" s="90"/>
      <c r="AO28" s="90"/>
      <c r="AP28" s="183">
        <f t="shared" si="23"/>
        <v>0</v>
      </c>
      <c r="AQ28" s="182"/>
      <c r="AR28" s="90"/>
      <c r="AS28" s="90"/>
      <c r="AT28" s="183">
        <f t="shared" si="24"/>
        <v>0</v>
      </c>
      <c r="AU28" s="182"/>
      <c r="AV28" s="90"/>
      <c r="AW28" s="90"/>
      <c r="AX28" s="183">
        <f t="shared" si="25"/>
        <v>0</v>
      </c>
      <c r="AY28" s="182"/>
      <c r="AZ28" s="90"/>
      <c r="BA28" s="90"/>
      <c r="BB28" s="183">
        <f t="shared" si="26"/>
        <v>0</v>
      </c>
      <c r="BC28" s="182"/>
      <c r="BD28" s="90"/>
      <c r="BE28" s="90"/>
      <c r="BF28" s="183">
        <f t="shared" si="27"/>
        <v>0</v>
      </c>
      <c r="BG28" s="182"/>
      <c r="BH28" s="90"/>
      <c r="BI28" s="90"/>
      <c r="BJ28" s="183">
        <f t="shared" si="28"/>
        <v>0</v>
      </c>
      <c r="BK28" s="182"/>
      <c r="BL28" s="90"/>
      <c r="BM28" s="90"/>
      <c r="BN28" s="183">
        <f t="shared" si="29"/>
        <v>0</v>
      </c>
      <c r="BO28" s="182"/>
      <c r="BP28" s="90"/>
      <c r="BQ28" s="90"/>
      <c r="BR28" s="183">
        <f t="shared" si="30"/>
        <v>0</v>
      </c>
      <c r="BS28" s="182"/>
      <c r="BT28" s="90"/>
      <c r="BU28" s="90"/>
      <c r="BV28" s="183">
        <f t="shared" si="31"/>
        <v>0</v>
      </c>
      <c r="BW28" s="182"/>
      <c r="BX28" s="90"/>
      <c r="BY28" s="90"/>
      <c r="BZ28" s="183">
        <f t="shared" si="32"/>
        <v>0</v>
      </c>
      <c r="CA28" s="182"/>
      <c r="CB28" s="90"/>
      <c r="CC28" s="90"/>
      <c r="CD28" s="183">
        <f t="shared" si="33"/>
        <v>0</v>
      </c>
    </row>
    <row r="29" spans="2:82" x14ac:dyDescent="0.3">
      <c r="B29" s="53"/>
      <c r="C29" s="53" t="str">
        <f t="shared" si="0"/>
        <v>CPU_SinalizaçãoHorizonta</v>
      </c>
      <c r="D29" s="278">
        <f t="shared" si="1"/>
        <v>504</v>
      </c>
      <c r="E29" s="278">
        <f t="shared" si="2"/>
        <v>87750</v>
      </c>
      <c r="F29" s="1"/>
      <c r="G29" s="28" t="str">
        <f>IFERROR(VLOOKUP(F29,Tabela7[[RECURSO]:[CUSTO]],2,FALSE),"")</f>
        <v/>
      </c>
      <c r="H29" s="93"/>
      <c r="I29" s="90"/>
      <c r="J29" s="45">
        <f>IFERROR(VLOOKUP(F29,Tabela7[[RECURSO]:[CUSTO]],3,FALSE),0)</f>
        <v>0</v>
      </c>
      <c r="K29" s="45">
        <f t="shared" si="34"/>
        <v>0</v>
      </c>
      <c r="AD29" s="144" t="str">
        <f t="shared" si="3"/>
        <v>Sinalização Horizontal</v>
      </c>
      <c r="AE29" s="179"/>
      <c r="AF29" s="180">
        <f t="shared" si="20"/>
        <v>0</v>
      </c>
      <c r="AG29" s="180">
        <f t="shared" si="17"/>
        <v>0</v>
      </c>
      <c r="AH29" s="181">
        <f t="shared" si="21"/>
        <v>0</v>
      </c>
      <c r="AI29" s="182"/>
      <c r="AJ29" s="90"/>
      <c r="AK29" s="90"/>
      <c r="AL29" s="183">
        <f t="shared" si="22"/>
        <v>0</v>
      </c>
      <c r="AM29" s="182"/>
      <c r="AN29" s="90"/>
      <c r="AO29" s="90"/>
      <c r="AP29" s="183">
        <f t="shared" si="23"/>
        <v>0</v>
      </c>
      <c r="AQ29" s="182"/>
      <c r="AR29" s="90"/>
      <c r="AS29" s="90"/>
      <c r="AT29" s="183">
        <f t="shared" si="24"/>
        <v>0</v>
      </c>
      <c r="AU29" s="182"/>
      <c r="AV29" s="90"/>
      <c r="AW29" s="90"/>
      <c r="AX29" s="183">
        <f t="shared" si="25"/>
        <v>0</v>
      </c>
      <c r="AY29" s="182"/>
      <c r="AZ29" s="90"/>
      <c r="BA29" s="90"/>
      <c r="BB29" s="183">
        <f t="shared" si="26"/>
        <v>0</v>
      </c>
      <c r="BC29" s="182"/>
      <c r="BD29" s="90"/>
      <c r="BE29" s="90"/>
      <c r="BF29" s="183">
        <f t="shared" si="27"/>
        <v>0</v>
      </c>
      <c r="BG29" s="182"/>
      <c r="BH29" s="90"/>
      <c r="BI29" s="90"/>
      <c r="BJ29" s="183">
        <f t="shared" si="28"/>
        <v>0</v>
      </c>
      <c r="BK29" s="182"/>
      <c r="BL29" s="90"/>
      <c r="BM29" s="90"/>
      <c r="BN29" s="183">
        <f t="shared" si="29"/>
        <v>0</v>
      </c>
      <c r="BO29" s="182"/>
      <c r="BP29" s="90"/>
      <c r="BQ29" s="90"/>
      <c r="BR29" s="183">
        <f t="shared" si="30"/>
        <v>0</v>
      </c>
      <c r="BS29" s="182"/>
      <c r="BT29" s="90"/>
      <c r="BU29" s="90"/>
      <c r="BV29" s="183">
        <f t="shared" si="31"/>
        <v>0</v>
      </c>
      <c r="BW29" s="182"/>
      <c r="BX29" s="90"/>
      <c r="BY29" s="90"/>
      <c r="BZ29" s="183">
        <f t="shared" si="32"/>
        <v>0</v>
      </c>
      <c r="CA29" s="182"/>
      <c r="CB29" s="90"/>
      <c r="CC29" s="90"/>
      <c r="CD29" s="183">
        <f t="shared" si="33"/>
        <v>0</v>
      </c>
    </row>
    <row r="30" spans="2:82" x14ac:dyDescent="0.3">
      <c r="B30" s="53"/>
      <c r="C30" s="53" t="str">
        <f t="shared" si="0"/>
        <v>CPU_SinalizaçãoHorizonta</v>
      </c>
      <c r="D30" s="278">
        <f t="shared" si="1"/>
        <v>504</v>
      </c>
      <c r="E30" s="278">
        <f t="shared" si="2"/>
        <v>87750</v>
      </c>
      <c r="F30" s="1"/>
      <c r="G30" s="28" t="str">
        <f>IFERROR(VLOOKUP(F30,Tabela7[[RECURSO]:[CUSTO]],2,FALSE),"")</f>
        <v/>
      </c>
      <c r="H30" s="93"/>
      <c r="I30" s="90"/>
      <c r="J30" s="45">
        <f>IFERROR(VLOOKUP(F30,Tabela7[[RECURSO]:[CUSTO]],3,FALSE),0)</f>
        <v>0</v>
      </c>
      <c r="K30" s="45">
        <f t="shared" si="34"/>
        <v>0</v>
      </c>
      <c r="AD30" s="144" t="str">
        <f t="shared" si="3"/>
        <v>Sinalização Horizontal</v>
      </c>
      <c r="AE30" s="179"/>
      <c r="AF30" s="180">
        <f t="shared" si="20"/>
        <v>0</v>
      </c>
      <c r="AG30" s="180">
        <f t="shared" si="17"/>
        <v>0</v>
      </c>
      <c r="AH30" s="181">
        <f t="shared" si="21"/>
        <v>0</v>
      </c>
      <c r="AI30" s="182"/>
      <c r="AJ30" s="90"/>
      <c r="AK30" s="90"/>
      <c r="AL30" s="183">
        <f t="shared" si="22"/>
        <v>0</v>
      </c>
      <c r="AM30" s="182"/>
      <c r="AN30" s="90"/>
      <c r="AO30" s="90"/>
      <c r="AP30" s="183">
        <f t="shared" si="23"/>
        <v>0</v>
      </c>
      <c r="AQ30" s="182"/>
      <c r="AR30" s="90"/>
      <c r="AS30" s="90"/>
      <c r="AT30" s="183">
        <f t="shared" si="24"/>
        <v>0</v>
      </c>
      <c r="AU30" s="182"/>
      <c r="AV30" s="90"/>
      <c r="AW30" s="90"/>
      <c r="AX30" s="183">
        <f t="shared" si="25"/>
        <v>0</v>
      </c>
      <c r="AY30" s="182"/>
      <c r="AZ30" s="90"/>
      <c r="BA30" s="90"/>
      <c r="BB30" s="183">
        <f t="shared" si="26"/>
        <v>0</v>
      </c>
      <c r="BC30" s="182"/>
      <c r="BD30" s="90"/>
      <c r="BE30" s="90"/>
      <c r="BF30" s="183">
        <f t="shared" si="27"/>
        <v>0</v>
      </c>
      <c r="BG30" s="182"/>
      <c r="BH30" s="90"/>
      <c r="BI30" s="90"/>
      <c r="BJ30" s="183">
        <f t="shared" si="28"/>
        <v>0</v>
      </c>
      <c r="BK30" s="182"/>
      <c r="BL30" s="90"/>
      <c r="BM30" s="90"/>
      <c r="BN30" s="183">
        <f t="shared" si="29"/>
        <v>0</v>
      </c>
      <c r="BO30" s="182"/>
      <c r="BP30" s="90"/>
      <c r="BQ30" s="90"/>
      <c r="BR30" s="183">
        <f t="shared" si="30"/>
        <v>0</v>
      </c>
      <c r="BS30" s="182"/>
      <c r="BT30" s="90"/>
      <c r="BU30" s="90"/>
      <c r="BV30" s="183">
        <f t="shared" si="31"/>
        <v>0</v>
      </c>
      <c r="BW30" s="182"/>
      <c r="BX30" s="90"/>
      <c r="BY30" s="90"/>
      <c r="BZ30" s="183">
        <f t="shared" si="32"/>
        <v>0</v>
      </c>
      <c r="CA30" s="182"/>
      <c r="CB30" s="90"/>
      <c r="CC30" s="90"/>
      <c r="CD30" s="183">
        <f t="shared" si="33"/>
        <v>0</v>
      </c>
    </row>
    <row r="31" spans="2:82" x14ac:dyDescent="0.3">
      <c r="B31" s="53"/>
      <c r="C31" s="53" t="str">
        <f t="shared" si="0"/>
        <v>CPU_SinalizaçãoHorizonta</v>
      </c>
      <c r="D31" s="278">
        <f t="shared" si="1"/>
        <v>504</v>
      </c>
      <c r="E31" s="278">
        <f t="shared" si="2"/>
        <v>87750</v>
      </c>
      <c r="F31" s="1"/>
      <c r="G31" s="28" t="str">
        <f>IFERROR(VLOOKUP(F31,Tabela7[[RECURSO]:[CUSTO]],2,FALSE),"")</f>
        <v/>
      </c>
      <c r="H31" s="93"/>
      <c r="I31" s="90"/>
      <c r="J31" s="45">
        <f>IFERROR(VLOOKUP(F31,Tabela7[[RECURSO]:[CUSTO]],3,FALSE),0)</f>
        <v>0</v>
      </c>
      <c r="K31" s="45">
        <f t="shared" si="34"/>
        <v>0</v>
      </c>
      <c r="AD31" s="144" t="str">
        <f t="shared" si="3"/>
        <v>Sinalização Horizontal</v>
      </c>
      <c r="AE31" s="179"/>
      <c r="AF31" s="180">
        <f t="shared" si="20"/>
        <v>0</v>
      </c>
      <c r="AG31" s="180">
        <f t="shared" si="17"/>
        <v>0</v>
      </c>
      <c r="AH31" s="181">
        <f t="shared" si="21"/>
        <v>0</v>
      </c>
      <c r="AI31" s="182"/>
      <c r="AJ31" s="90"/>
      <c r="AK31" s="90"/>
      <c r="AL31" s="183">
        <f t="shared" si="22"/>
        <v>0</v>
      </c>
      <c r="AM31" s="182"/>
      <c r="AN31" s="90"/>
      <c r="AO31" s="90"/>
      <c r="AP31" s="183">
        <f t="shared" si="23"/>
        <v>0</v>
      </c>
      <c r="AQ31" s="182"/>
      <c r="AR31" s="90"/>
      <c r="AS31" s="90"/>
      <c r="AT31" s="183">
        <f t="shared" si="24"/>
        <v>0</v>
      </c>
      <c r="AU31" s="182"/>
      <c r="AV31" s="90"/>
      <c r="AW31" s="90"/>
      <c r="AX31" s="183">
        <f t="shared" si="25"/>
        <v>0</v>
      </c>
      <c r="AY31" s="182"/>
      <c r="AZ31" s="90"/>
      <c r="BA31" s="90"/>
      <c r="BB31" s="183">
        <f t="shared" si="26"/>
        <v>0</v>
      </c>
      <c r="BC31" s="182"/>
      <c r="BD31" s="90"/>
      <c r="BE31" s="90"/>
      <c r="BF31" s="183">
        <f t="shared" si="27"/>
        <v>0</v>
      </c>
      <c r="BG31" s="182"/>
      <c r="BH31" s="90"/>
      <c r="BI31" s="90"/>
      <c r="BJ31" s="183">
        <f t="shared" si="28"/>
        <v>0</v>
      </c>
      <c r="BK31" s="182"/>
      <c r="BL31" s="90"/>
      <c r="BM31" s="90"/>
      <c r="BN31" s="183">
        <f t="shared" si="29"/>
        <v>0</v>
      </c>
      <c r="BO31" s="182"/>
      <c r="BP31" s="90"/>
      <c r="BQ31" s="90"/>
      <c r="BR31" s="183">
        <f t="shared" si="30"/>
        <v>0</v>
      </c>
      <c r="BS31" s="182"/>
      <c r="BT31" s="90"/>
      <c r="BU31" s="90"/>
      <c r="BV31" s="183">
        <f t="shared" si="31"/>
        <v>0</v>
      </c>
      <c r="BW31" s="182"/>
      <c r="BX31" s="90"/>
      <c r="BY31" s="90"/>
      <c r="BZ31" s="183">
        <f t="shared" si="32"/>
        <v>0</v>
      </c>
      <c r="CA31" s="182"/>
      <c r="CB31" s="90"/>
      <c r="CC31" s="90"/>
      <c r="CD31" s="183">
        <f t="shared" si="33"/>
        <v>0</v>
      </c>
    </row>
    <row r="32" spans="2:82" x14ac:dyDescent="0.3">
      <c r="B32" s="53"/>
      <c r="C32" s="53" t="str">
        <f t="shared" si="0"/>
        <v>CPU_SinalizaçãoHorizonta</v>
      </c>
      <c r="D32" s="278">
        <f t="shared" si="1"/>
        <v>504</v>
      </c>
      <c r="E32" s="278">
        <f t="shared" si="2"/>
        <v>87750</v>
      </c>
      <c r="F32" s="1"/>
      <c r="G32" s="28" t="str">
        <f>IFERROR(VLOOKUP(F32,Tabela7[[RECURSO]:[CUSTO]],2,FALSE),"")</f>
        <v/>
      </c>
      <c r="H32" s="93"/>
      <c r="I32" s="90"/>
      <c r="J32" s="45">
        <f>IFERROR(VLOOKUP(F32,Tabela7[[RECURSO]:[CUSTO]],3,FALSE),0)</f>
        <v>0</v>
      </c>
      <c r="K32" s="45">
        <f t="shared" si="34"/>
        <v>0</v>
      </c>
      <c r="AD32" s="144" t="str">
        <f t="shared" si="3"/>
        <v>Sinalização Horizontal</v>
      </c>
      <c r="AE32" s="179"/>
      <c r="AF32" s="180">
        <f t="shared" si="20"/>
        <v>0</v>
      </c>
      <c r="AG32" s="180">
        <f t="shared" si="17"/>
        <v>0</v>
      </c>
      <c r="AH32" s="181">
        <f t="shared" si="21"/>
        <v>0</v>
      </c>
      <c r="AI32" s="182"/>
      <c r="AJ32" s="90"/>
      <c r="AK32" s="90"/>
      <c r="AL32" s="183">
        <f t="shared" si="22"/>
        <v>0</v>
      </c>
      <c r="AM32" s="182"/>
      <c r="AN32" s="90"/>
      <c r="AO32" s="90"/>
      <c r="AP32" s="183">
        <f t="shared" si="23"/>
        <v>0</v>
      </c>
      <c r="AQ32" s="182"/>
      <c r="AR32" s="90"/>
      <c r="AS32" s="90"/>
      <c r="AT32" s="183">
        <f t="shared" si="24"/>
        <v>0</v>
      </c>
      <c r="AU32" s="182"/>
      <c r="AV32" s="90"/>
      <c r="AW32" s="90"/>
      <c r="AX32" s="183">
        <f t="shared" si="25"/>
        <v>0</v>
      </c>
      <c r="AY32" s="182"/>
      <c r="AZ32" s="90"/>
      <c r="BA32" s="90"/>
      <c r="BB32" s="183">
        <f t="shared" si="26"/>
        <v>0</v>
      </c>
      <c r="BC32" s="182"/>
      <c r="BD32" s="90"/>
      <c r="BE32" s="90"/>
      <c r="BF32" s="183">
        <f t="shared" si="27"/>
        <v>0</v>
      </c>
      <c r="BG32" s="182"/>
      <c r="BH32" s="90"/>
      <c r="BI32" s="90"/>
      <c r="BJ32" s="183">
        <f t="shared" si="28"/>
        <v>0</v>
      </c>
      <c r="BK32" s="182"/>
      <c r="BL32" s="90"/>
      <c r="BM32" s="90"/>
      <c r="BN32" s="183">
        <f t="shared" si="29"/>
        <v>0</v>
      </c>
      <c r="BO32" s="182"/>
      <c r="BP32" s="90"/>
      <c r="BQ32" s="90"/>
      <c r="BR32" s="183">
        <f t="shared" si="30"/>
        <v>0</v>
      </c>
      <c r="BS32" s="182"/>
      <c r="BT32" s="90"/>
      <c r="BU32" s="90"/>
      <c r="BV32" s="183">
        <f t="shared" si="31"/>
        <v>0</v>
      </c>
      <c r="BW32" s="182"/>
      <c r="BX32" s="90"/>
      <c r="BY32" s="90"/>
      <c r="BZ32" s="183">
        <f t="shared" si="32"/>
        <v>0</v>
      </c>
      <c r="CA32" s="182"/>
      <c r="CB32" s="90"/>
      <c r="CC32" s="90"/>
      <c r="CD32" s="183">
        <f t="shared" si="33"/>
        <v>0</v>
      </c>
    </row>
    <row r="33" spans="2:82" x14ac:dyDescent="0.3">
      <c r="B33" s="53"/>
      <c r="C33" s="53" t="str">
        <f t="shared" si="0"/>
        <v>CPU_SinalizaçãoHorizonta</v>
      </c>
      <c r="D33" s="278">
        <f t="shared" si="1"/>
        <v>504</v>
      </c>
      <c r="E33" s="278">
        <f t="shared" si="2"/>
        <v>87750</v>
      </c>
      <c r="F33" s="1"/>
      <c r="G33" s="28" t="str">
        <f>IFERROR(VLOOKUP(F33,Tabela7[[RECURSO]:[CUSTO]],2,FALSE),"")</f>
        <v/>
      </c>
      <c r="H33" s="93"/>
      <c r="I33" s="90"/>
      <c r="J33" s="45">
        <f>IFERROR(VLOOKUP(F33,Tabela7[[RECURSO]:[CUSTO]],3,FALSE),0)</f>
        <v>0</v>
      </c>
      <c r="K33" s="45">
        <f t="shared" si="34"/>
        <v>0</v>
      </c>
      <c r="AD33" s="144" t="str">
        <f t="shared" si="3"/>
        <v>Sinalização Horizontal</v>
      </c>
      <c r="AE33" s="179"/>
      <c r="AF33" s="180">
        <f t="shared" si="20"/>
        <v>0</v>
      </c>
      <c r="AG33" s="180">
        <f t="shared" si="17"/>
        <v>0</v>
      </c>
      <c r="AH33" s="181">
        <f t="shared" si="21"/>
        <v>0</v>
      </c>
      <c r="AI33" s="182"/>
      <c r="AJ33" s="90"/>
      <c r="AK33" s="90"/>
      <c r="AL33" s="183">
        <f t="shared" si="22"/>
        <v>0</v>
      </c>
      <c r="AM33" s="182"/>
      <c r="AN33" s="90"/>
      <c r="AO33" s="90"/>
      <c r="AP33" s="183">
        <f t="shared" si="23"/>
        <v>0</v>
      </c>
      <c r="AQ33" s="182"/>
      <c r="AR33" s="90"/>
      <c r="AS33" s="90"/>
      <c r="AT33" s="183">
        <f t="shared" si="24"/>
        <v>0</v>
      </c>
      <c r="AU33" s="182"/>
      <c r="AV33" s="90"/>
      <c r="AW33" s="90"/>
      <c r="AX33" s="183">
        <f t="shared" si="25"/>
        <v>0</v>
      </c>
      <c r="AY33" s="182"/>
      <c r="AZ33" s="90"/>
      <c r="BA33" s="90"/>
      <c r="BB33" s="183">
        <f t="shared" si="26"/>
        <v>0</v>
      </c>
      <c r="BC33" s="182"/>
      <c r="BD33" s="90"/>
      <c r="BE33" s="90"/>
      <c r="BF33" s="183">
        <f t="shared" si="27"/>
        <v>0</v>
      </c>
      <c r="BG33" s="182"/>
      <c r="BH33" s="90"/>
      <c r="BI33" s="90"/>
      <c r="BJ33" s="183">
        <f t="shared" si="28"/>
        <v>0</v>
      </c>
      <c r="BK33" s="182"/>
      <c r="BL33" s="90"/>
      <c r="BM33" s="90"/>
      <c r="BN33" s="183">
        <f t="shared" si="29"/>
        <v>0</v>
      </c>
      <c r="BO33" s="182"/>
      <c r="BP33" s="90"/>
      <c r="BQ33" s="90"/>
      <c r="BR33" s="183">
        <f t="shared" si="30"/>
        <v>0</v>
      </c>
      <c r="BS33" s="182"/>
      <c r="BT33" s="90"/>
      <c r="BU33" s="90"/>
      <c r="BV33" s="183">
        <f t="shared" si="31"/>
        <v>0</v>
      </c>
      <c r="BW33" s="182"/>
      <c r="BX33" s="90"/>
      <c r="BY33" s="90"/>
      <c r="BZ33" s="183">
        <f t="shared" si="32"/>
        <v>0</v>
      </c>
      <c r="CA33" s="182"/>
      <c r="CB33" s="90"/>
      <c r="CC33" s="90"/>
      <c r="CD33" s="183">
        <f t="shared" si="33"/>
        <v>0</v>
      </c>
    </row>
    <row r="34" spans="2:82" x14ac:dyDescent="0.3">
      <c r="B34" s="53"/>
      <c r="C34" s="53" t="str">
        <f t="shared" si="0"/>
        <v>CPU_SinalizaçãoHorizonta</v>
      </c>
      <c r="D34" s="278">
        <f t="shared" si="1"/>
        <v>504</v>
      </c>
      <c r="E34" s="278">
        <f t="shared" si="2"/>
        <v>87750</v>
      </c>
      <c r="F34" s="1"/>
      <c r="G34" s="28" t="str">
        <f>IFERROR(VLOOKUP(F34,Tabela7[[RECURSO]:[CUSTO]],2,FALSE),"")</f>
        <v/>
      </c>
      <c r="H34" s="93"/>
      <c r="I34" s="90"/>
      <c r="J34" s="45">
        <f>IFERROR(VLOOKUP(F34,Tabela7[[RECURSO]:[CUSTO]],3,FALSE),0)</f>
        <v>0</v>
      </c>
      <c r="K34" s="45">
        <f t="shared" si="34"/>
        <v>0</v>
      </c>
      <c r="AD34" s="144" t="str">
        <f t="shared" si="3"/>
        <v>Sinalização Horizontal</v>
      </c>
      <c r="AE34" s="179"/>
      <c r="AF34" s="180">
        <f t="shared" si="20"/>
        <v>0</v>
      </c>
      <c r="AG34" s="180">
        <f t="shared" si="17"/>
        <v>0</v>
      </c>
      <c r="AH34" s="181">
        <f t="shared" si="21"/>
        <v>0</v>
      </c>
      <c r="AI34" s="182"/>
      <c r="AJ34" s="90"/>
      <c r="AK34" s="90"/>
      <c r="AL34" s="183">
        <f t="shared" si="22"/>
        <v>0</v>
      </c>
      <c r="AM34" s="182"/>
      <c r="AN34" s="90"/>
      <c r="AO34" s="90"/>
      <c r="AP34" s="183">
        <f t="shared" si="23"/>
        <v>0</v>
      </c>
      <c r="AQ34" s="182"/>
      <c r="AR34" s="90"/>
      <c r="AS34" s="90"/>
      <c r="AT34" s="183">
        <f t="shared" si="24"/>
        <v>0</v>
      </c>
      <c r="AU34" s="182"/>
      <c r="AV34" s="90"/>
      <c r="AW34" s="90"/>
      <c r="AX34" s="183">
        <f t="shared" si="25"/>
        <v>0</v>
      </c>
      <c r="AY34" s="182"/>
      <c r="AZ34" s="90"/>
      <c r="BA34" s="90"/>
      <c r="BB34" s="183">
        <f t="shared" si="26"/>
        <v>0</v>
      </c>
      <c r="BC34" s="182"/>
      <c r="BD34" s="90"/>
      <c r="BE34" s="90"/>
      <c r="BF34" s="183">
        <f t="shared" si="27"/>
        <v>0</v>
      </c>
      <c r="BG34" s="182"/>
      <c r="BH34" s="90"/>
      <c r="BI34" s="90"/>
      <c r="BJ34" s="183">
        <f t="shared" si="28"/>
        <v>0</v>
      </c>
      <c r="BK34" s="182"/>
      <c r="BL34" s="90"/>
      <c r="BM34" s="90"/>
      <c r="BN34" s="183">
        <f t="shared" si="29"/>
        <v>0</v>
      </c>
      <c r="BO34" s="182"/>
      <c r="BP34" s="90"/>
      <c r="BQ34" s="90"/>
      <c r="BR34" s="183">
        <f t="shared" si="30"/>
        <v>0</v>
      </c>
      <c r="BS34" s="182"/>
      <c r="BT34" s="90"/>
      <c r="BU34" s="90"/>
      <c r="BV34" s="183">
        <f t="shared" si="31"/>
        <v>0</v>
      </c>
      <c r="BW34" s="182"/>
      <c r="BX34" s="90"/>
      <c r="BY34" s="90"/>
      <c r="BZ34" s="183">
        <f t="shared" si="32"/>
        <v>0</v>
      </c>
      <c r="CA34" s="182"/>
      <c r="CB34" s="90"/>
      <c r="CC34" s="90"/>
      <c r="CD34" s="183">
        <f t="shared" si="33"/>
        <v>0</v>
      </c>
    </row>
    <row r="35" spans="2:82" x14ac:dyDescent="0.3">
      <c r="B35" s="53"/>
      <c r="C35" s="53" t="str">
        <f t="shared" si="0"/>
        <v>CPU_SinalizaçãoHorizonta</v>
      </c>
      <c r="D35" s="278">
        <f t="shared" si="1"/>
        <v>504</v>
      </c>
      <c r="E35" s="278">
        <f t="shared" si="2"/>
        <v>87750</v>
      </c>
      <c r="F35" s="1"/>
      <c r="G35" s="28" t="str">
        <f>IFERROR(VLOOKUP(F35,Tabela7[[RECURSO]:[CUSTO]],2,FALSE),"")</f>
        <v/>
      </c>
      <c r="H35" s="93"/>
      <c r="I35" s="90"/>
      <c r="J35" s="45">
        <f>IFERROR(VLOOKUP(F35,Tabela7[[RECURSO]:[CUSTO]],3,FALSE),0)</f>
        <v>0</v>
      </c>
      <c r="K35" s="45">
        <f t="shared" si="34"/>
        <v>0</v>
      </c>
      <c r="AD35" s="144" t="str">
        <f t="shared" si="3"/>
        <v>Sinalização Horizontal</v>
      </c>
      <c r="AE35" s="179"/>
      <c r="AF35" s="180">
        <f t="shared" si="20"/>
        <v>0</v>
      </c>
      <c r="AG35" s="180">
        <f t="shared" si="17"/>
        <v>0</v>
      </c>
      <c r="AH35" s="181">
        <f t="shared" si="21"/>
        <v>0</v>
      </c>
      <c r="AI35" s="182"/>
      <c r="AJ35" s="90"/>
      <c r="AK35" s="90"/>
      <c r="AL35" s="183">
        <f t="shared" si="22"/>
        <v>0</v>
      </c>
      <c r="AM35" s="182"/>
      <c r="AN35" s="90"/>
      <c r="AO35" s="90"/>
      <c r="AP35" s="183">
        <f t="shared" si="23"/>
        <v>0</v>
      </c>
      <c r="AQ35" s="182"/>
      <c r="AR35" s="90"/>
      <c r="AS35" s="90"/>
      <c r="AT35" s="183">
        <f t="shared" si="24"/>
        <v>0</v>
      </c>
      <c r="AU35" s="182"/>
      <c r="AV35" s="90"/>
      <c r="AW35" s="90"/>
      <c r="AX35" s="183">
        <f t="shared" si="25"/>
        <v>0</v>
      </c>
      <c r="AY35" s="182"/>
      <c r="AZ35" s="90"/>
      <c r="BA35" s="90"/>
      <c r="BB35" s="183">
        <f t="shared" si="26"/>
        <v>0</v>
      </c>
      <c r="BC35" s="182"/>
      <c r="BD35" s="90"/>
      <c r="BE35" s="90"/>
      <c r="BF35" s="183">
        <f t="shared" si="27"/>
        <v>0</v>
      </c>
      <c r="BG35" s="182"/>
      <c r="BH35" s="90"/>
      <c r="BI35" s="90"/>
      <c r="BJ35" s="183">
        <f t="shared" si="28"/>
        <v>0</v>
      </c>
      <c r="BK35" s="182"/>
      <c r="BL35" s="90"/>
      <c r="BM35" s="90"/>
      <c r="BN35" s="183">
        <f t="shared" si="29"/>
        <v>0</v>
      </c>
      <c r="BO35" s="182"/>
      <c r="BP35" s="90"/>
      <c r="BQ35" s="90"/>
      <c r="BR35" s="183">
        <f t="shared" si="30"/>
        <v>0</v>
      </c>
      <c r="BS35" s="182"/>
      <c r="BT35" s="90"/>
      <c r="BU35" s="90"/>
      <c r="BV35" s="183">
        <f t="shared" si="31"/>
        <v>0</v>
      </c>
      <c r="BW35" s="182"/>
      <c r="BX35" s="90"/>
      <c r="BY35" s="90"/>
      <c r="BZ35" s="183">
        <f t="shared" si="32"/>
        <v>0</v>
      </c>
      <c r="CA35" s="182"/>
      <c r="CB35" s="90"/>
      <c r="CC35" s="90"/>
      <c r="CD35" s="183">
        <f t="shared" si="33"/>
        <v>0</v>
      </c>
    </row>
    <row r="36" spans="2:82" x14ac:dyDescent="0.3">
      <c r="B36" s="53"/>
      <c r="C36" s="53" t="str">
        <f t="shared" si="0"/>
        <v>CPU_SinalizaçãoHorizonta</v>
      </c>
      <c r="D36" s="278">
        <f t="shared" si="1"/>
        <v>504</v>
      </c>
      <c r="E36" s="278">
        <f t="shared" si="2"/>
        <v>87750</v>
      </c>
      <c r="F36" s="1"/>
      <c r="G36" s="28" t="str">
        <f>IFERROR(VLOOKUP(F36,Tabela7[[RECURSO]:[CUSTO]],2,FALSE),"")</f>
        <v/>
      </c>
      <c r="H36" s="93"/>
      <c r="I36" s="90"/>
      <c r="J36" s="45">
        <f>IFERROR(VLOOKUP(F36,Tabela7[[RECURSO]:[CUSTO]],3,FALSE),0)</f>
        <v>0</v>
      </c>
      <c r="K36" s="45">
        <f t="shared" si="34"/>
        <v>0</v>
      </c>
      <c r="AD36" s="144" t="str">
        <f t="shared" si="3"/>
        <v>Sinalização Horizontal</v>
      </c>
      <c r="AE36" s="179"/>
      <c r="AF36" s="180">
        <f t="shared" si="20"/>
        <v>0</v>
      </c>
      <c r="AG36" s="180">
        <f t="shared" si="17"/>
        <v>0</v>
      </c>
      <c r="AH36" s="181">
        <f t="shared" si="21"/>
        <v>0</v>
      </c>
      <c r="AI36" s="182"/>
      <c r="AJ36" s="90"/>
      <c r="AK36" s="90"/>
      <c r="AL36" s="183">
        <f t="shared" si="22"/>
        <v>0</v>
      </c>
      <c r="AM36" s="182"/>
      <c r="AN36" s="90"/>
      <c r="AO36" s="90"/>
      <c r="AP36" s="183">
        <f t="shared" si="23"/>
        <v>0</v>
      </c>
      <c r="AQ36" s="182"/>
      <c r="AR36" s="90"/>
      <c r="AS36" s="90"/>
      <c r="AT36" s="183">
        <f t="shared" si="24"/>
        <v>0</v>
      </c>
      <c r="AU36" s="182"/>
      <c r="AV36" s="90"/>
      <c r="AW36" s="90"/>
      <c r="AX36" s="183">
        <f t="shared" si="25"/>
        <v>0</v>
      </c>
      <c r="AY36" s="182"/>
      <c r="AZ36" s="90"/>
      <c r="BA36" s="90"/>
      <c r="BB36" s="183">
        <f t="shared" si="26"/>
        <v>0</v>
      </c>
      <c r="BC36" s="182"/>
      <c r="BD36" s="90"/>
      <c r="BE36" s="90"/>
      <c r="BF36" s="183">
        <f t="shared" si="27"/>
        <v>0</v>
      </c>
      <c r="BG36" s="182"/>
      <c r="BH36" s="90"/>
      <c r="BI36" s="90"/>
      <c r="BJ36" s="183">
        <f t="shared" si="28"/>
        <v>0</v>
      </c>
      <c r="BK36" s="182"/>
      <c r="BL36" s="90"/>
      <c r="BM36" s="90"/>
      <c r="BN36" s="183">
        <f t="shared" si="29"/>
        <v>0</v>
      </c>
      <c r="BO36" s="182"/>
      <c r="BP36" s="90"/>
      <c r="BQ36" s="90"/>
      <c r="BR36" s="183">
        <f t="shared" si="30"/>
        <v>0</v>
      </c>
      <c r="BS36" s="182"/>
      <c r="BT36" s="90"/>
      <c r="BU36" s="90"/>
      <c r="BV36" s="183">
        <f t="shared" si="31"/>
        <v>0</v>
      </c>
      <c r="BW36" s="182"/>
      <c r="BX36" s="90"/>
      <c r="BY36" s="90"/>
      <c r="BZ36" s="183">
        <f t="shared" si="32"/>
        <v>0</v>
      </c>
      <c r="CA36" s="182"/>
      <c r="CB36" s="90"/>
      <c r="CC36" s="90"/>
      <c r="CD36" s="183">
        <f t="shared" si="33"/>
        <v>0</v>
      </c>
    </row>
    <row r="37" spans="2:82" x14ac:dyDescent="0.3">
      <c r="B37" s="52" t="s">
        <v>692</v>
      </c>
      <c r="C37" s="52" t="str">
        <f t="shared" si="0"/>
        <v>CPU_SinalizaçãoHorizonta</v>
      </c>
      <c r="D37" s="277">
        <f t="shared" si="1"/>
        <v>504</v>
      </c>
      <c r="E37" s="277">
        <f t="shared" si="2"/>
        <v>87750</v>
      </c>
      <c r="F37" s="37"/>
      <c r="G37" s="38"/>
      <c r="H37" s="91"/>
      <c r="I37" s="40"/>
      <c r="J37" s="40">
        <f>IFERROR(K37/$B$6,0)</f>
        <v>0</v>
      </c>
      <c r="K37" s="40">
        <f>SUM(K38:K49)</f>
        <v>0</v>
      </c>
      <c r="N37" s="39"/>
      <c r="AD37" s="144" t="str">
        <f t="shared" si="3"/>
        <v>Sinalização Horizontal</v>
      </c>
      <c r="AE37" s="184"/>
      <c r="AF37" s="40"/>
      <c r="AG37" s="40">
        <f>IFERROR(AH37/AF$3,0)</f>
        <v>0</v>
      </c>
      <c r="AH37" s="185">
        <f>SUM(AH38:AH49)</f>
        <v>0</v>
      </c>
      <c r="AI37" s="184"/>
      <c r="AJ37" s="40"/>
      <c r="AK37" s="40">
        <f>IFERROR(AL37/AJ$3,0)</f>
        <v>0</v>
      </c>
      <c r="AL37" s="185">
        <f>SUM(AL38:AL49)</f>
        <v>0</v>
      </c>
      <c r="AM37" s="184"/>
      <c r="AN37" s="40"/>
      <c r="AO37" s="40">
        <f>IFERROR(AP37/AN$3,0)</f>
        <v>0</v>
      </c>
      <c r="AP37" s="185">
        <f>SUM(AP38:AP49)</f>
        <v>0</v>
      </c>
      <c r="AQ37" s="184"/>
      <c r="AR37" s="40"/>
      <c r="AS37" s="40">
        <f>IFERROR(AT37/AR$3,0)</f>
        <v>0</v>
      </c>
      <c r="AT37" s="185">
        <f>SUM(AT38:AT49)</f>
        <v>0</v>
      </c>
      <c r="AU37" s="184"/>
      <c r="AV37" s="40"/>
      <c r="AW37" s="40">
        <f>IFERROR(AX37/AV$3,0)</f>
        <v>0</v>
      </c>
      <c r="AX37" s="185">
        <f>SUM(AX38:AX49)</f>
        <v>0</v>
      </c>
      <c r="AY37" s="184"/>
      <c r="AZ37" s="40"/>
      <c r="BA37" s="40">
        <f>IFERROR(BB37/AZ$3,0)</f>
        <v>0</v>
      </c>
      <c r="BB37" s="185">
        <f>SUM(BB38:BB49)</f>
        <v>0</v>
      </c>
      <c r="BC37" s="184"/>
      <c r="BD37" s="40"/>
      <c r="BE37" s="40">
        <f>IFERROR(BF37/BD$3,0)</f>
        <v>0</v>
      </c>
      <c r="BF37" s="185">
        <f>SUM(BF38:BF49)</f>
        <v>0</v>
      </c>
      <c r="BG37" s="184"/>
      <c r="BH37" s="40"/>
      <c r="BI37" s="40">
        <f>IFERROR(BJ37/BH$3,0)</f>
        <v>0</v>
      </c>
      <c r="BJ37" s="185">
        <f>SUM(BJ38:BJ49)</f>
        <v>0</v>
      </c>
      <c r="BK37" s="184"/>
      <c r="BL37" s="40"/>
      <c r="BM37" s="40">
        <f>IFERROR(BN37/BL$3,0)</f>
        <v>0</v>
      </c>
      <c r="BN37" s="185">
        <f>SUM(BN38:BN49)</f>
        <v>0</v>
      </c>
      <c r="BO37" s="184"/>
      <c r="BP37" s="40"/>
      <c r="BQ37" s="40">
        <f>IFERROR(BR37/BP$3,0)</f>
        <v>0</v>
      </c>
      <c r="BR37" s="185">
        <f>SUM(BR38:BR49)</f>
        <v>0</v>
      </c>
      <c r="BS37" s="184"/>
      <c r="BT37" s="40"/>
      <c r="BU37" s="40">
        <f>IFERROR(BV37/BT$3,0)</f>
        <v>0</v>
      </c>
      <c r="BV37" s="185">
        <f>SUM(BV38:BV49)</f>
        <v>0</v>
      </c>
      <c r="BW37" s="184"/>
      <c r="BX37" s="40"/>
      <c r="BY37" s="40">
        <f>IFERROR(BZ37/BX$3,0)</f>
        <v>0</v>
      </c>
      <c r="BZ37" s="185">
        <f>SUM(BZ38:BZ49)</f>
        <v>0</v>
      </c>
      <c r="CA37" s="184"/>
      <c r="CB37" s="40"/>
      <c r="CC37" s="40">
        <f>IFERROR(CD37/CB$3,0)</f>
        <v>0</v>
      </c>
      <c r="CD37" s="185">
        <f>SUM(CD38:CD49)</f>
        <v>0</v>
      </c>
    </row>
    <row r="38" spans="2:82" x14ac:dyDescent="0.3">
      <c r="B38" s="54"/>
      <c r="C38" s="54" t="str">
        <f t="shared" si="0"/>
        <v>CPU_SinalizaçãoHorizonta</v>
      </c>
      <c r="D38" s="280">
        <f t="shared" si="1"/>
        <v>504</v>
      </c>
      <c r="E38" s="280">
        <f t="shared" si="2"/>
        <v>87750</v>
      </c>
      <c r="F38" s="1"/>
      <c r="G38" s="28" t="str">
        <f>IFERROR(VLOOKUP(F38,Tabela7[[RECURSO]:[CUSTO]],2,FALSE),"")</f>
        <v/>
      </c>
      <c r="H38" s="92"/>
      <c r="I38" s="90"/>
      <c r="J38" s="45">
        <f>IFERROR(VLOOKUP(F38,Tabela7[[RECURSO]:[CUSTO]],3,FALSE),0)</f>
        <v>0</v>
      </c>
      <c r="K38" s="45">
        <f>I38*J38*CPU_22[[#This Row],[Nº]]</f>
        <v>0</v>
      </c>
      <c r="AD38" s="144" t="str">
        <f t="shared" si="3"/>
        <v>Sinalização Horizontal</v>
      </c>
      <c r="AE38" s="186"/>
      <c r="AF38" s="180">
        <f t="shared" ref="AF38:AF49" si="35">AJ38+AN38+AR38+AV38+AZ38+BD38+BH38+BL38+BP38+BT38+BX38+CB38</f>
        <v>0</v>
      </c>
      <c r="AG38" s="180">
        <f t="shared" si="17"/>
        <v>0</v>
      </c>
      <c r="AH38" s="181">
        <f t="shared" ref="AH38:AH49" si="36">AL38+AP38+AT38+AX38+BB38+BF38+BJ38+BN38+BR38+BV38+BZ38+CD38</f>
        <v>0</v>
      </c>
      <c r="AI38" s="187"/>
      <c r="AJ38" s="90"/>
      <c r="AK38" s="90"/>
      <c r="AL38" s="183">
        <f t="shared" ref="AL38:AL49" si="37">AJ38*AK38</f>
        <v>0</v>
      </c>
      <c r="AM38" s="187"/>
      <c r="AN38" s="90"/>
      <c r="AO38" s="90"/>
      <c r="AP38" s="183">
        <f t="shared" si="23"/>
        <v>0</v>
      </c>
      <c r="AQ38" s="187"/>
      <c r="AR38" s="90"/>
      <c r="AS38" s="90"/>
      <c r="AT38" s="183">
        <f t="shared" si="24"/>
        <v>0</v>
      </c>
      <c r="AU38" s="187"/>
      <c r="AV38" s="90"/>
      <c r="AW38" s="90"/>
      <c r="AX38" s="183">
        <f t="shared" si="25"/>
        <v>0</v>
      </c>
      <c r="AY38" s="187"/>
      <c r="AZ38" s="90"/>
      <c r="BA38" s="90"/>
      <c r="BB38" s="183">
        <f t="shared" si="26"/>
        <v>0</v>
      </c>
      <c r="BC38" s="187"/>
      <c r="BD38" s="90"/>
      <c r="BE38" s="90"/>
      <c r="BF38" s="183">
        <f t="shared" si="27"/>
        <v>0</v>
      </c>
      <c r="BG38" s="187"/>
      <c r="BH38" s="90"/>
      <c r="BI38" s="90"/>
      <c r="BJ38" s="183">
        <f t="shared" si="28"/>
        <v>0</v>
      </c>
      <c r="BK38" s="187"/>
      <c r="BL38" s="90"/>
      <c r="BM38" s="90"/>
      <c r="BN38" s="183">
        <f t="shared" si="29"/>
        <v>0</v>
      </c>
      <c r="BO38" s="187"/>
      <c r="BP38" s="90"/>
      <c r="BQ38" s="90"/>
      <c r="BR38" s="183">
        <f t="shared" si="30"/>
        <v>0</v>
      </c>
      <c r="BS38" s="187"/>
      <c r="BT38" s="90"/>
      <c r="BU38" s="90"/>
      <c r="BV38" s="183">
        <f t="shared" si="31"/>
        <v>0</v>
      </c>
      <c r="BW38" s="187"/>
      <c r="BX38" s="90"/>
      <c r="BY38" s="90"/>
      <c r="BZ38" s="183">
        <f t="shared" si="32"/>
        <v>0</v>
      </c>
      <c r="CA38" s="187"/>
      <c r="CB38" s="90"/>
      <c r="CC38" s="90"/>
      <c r="CD38" s="183">
        <f t="shared" si="33"/>
        <v>0</v>
      </c>
    </row>
    <row r="39" spans="2:82" x14ac:dyDescent="0.3">
      <c r="B39" s="54"/>
      <c r="C39" s="54" t="str">
        <f t="shared" si="0"/>
        <v>CPU_SinalizaçãoHorizonta</v>
      </c>
      <c r="D39" s="280">
        <f t="shared" si="1"/>
        <v>504</v>
      </c>
      <c r="E39" s="280">
        <f t="shared" si="2"/>
        <v>87750</v>
      </c>
      <c r="F39" s="1"/>
      <c r="G39" s="28" t="str">
        <f>IFERROR(VLOOKUP(F39,Tabela7[[RECURSO]:[CUSTO]],2,FALSE),"")</f>
        <v/>
      </c>
      <c r="H39" s="92"/>
      <c r="I39" s="90"/>
      <c r="J39" s="45">
        <f>IFERROR(VLOOKUP(F39,Tabela7[[RECURSO]:[CUSTO]],3,FALSE),0)</f>
        <v>0</v>
      </c>
      <c r="K39" s="45">
        <f>I39*J39*CPU_22[[#This Row],[Nº]]</f>
        <v>0</v>
      </c>
      <c r="AD39" s="144" t="str">
        <f t="shared" si="3"/>
        <v>Sinalização Horizontal</v>
      </c>
      <c r="AE39" s="186"/>
      <c r="AF39" s="180">
        <f t="shared" si="35"/>
        <v>0</v>
      </c>
      <c r="AG39" s="180">
        <f t="shared" si="17"/>
        <v>0</v>
      </c>
      <c r="AH39" s="181">
        <f t="shared" si="36"/>
        <v>0</v>
      </c>
      <c r="AI39" s="187"/>
      <c r="AJ39" s="90"/>
      <c r="AK39" s="90"/>
      <c r="AL39" s="183">
        <f t="shared" si="37"/>
        <v>0</v>
      </c>
      <c r="AM39" s="187"/>
      <c r="AN39" s="90"/>
      <c r="AO39" s="90"/>
      <c r="AP39" s="183">
        <f t="shared" si="23"/>
        <v>0</v>
      </c>
      <c r="AQ39" s="187"/>
      <c r="AR39" s="90"/>
      <c r="AS39" s="90"/>
      <c r="AT39" s="183">
        <f t="shared" si="24"/>
        <v>0</v>
      </c>
      <c r="AU39" s="187"/>
      <c r="AV39" s="90"/>
      <c r="AW39" s="90"/>
      <c r="AX39" s="183">
        <f t="shared" si="25"/>
        <v>0</v>
      </c>
      <c r="AY39" s="187"/>
      <c r="AZ39" s="90"/>
      <c r="BA39" s="90"/>
      <c r="BB39" s="183">
        <f t="shared" si="26"/>
        <v>0</v>
      </c>
      <c r="BC39" s="187"/>
      <c r="BD39" s="90"/>
      <c r="BE39" s="90"/>
      <c r="BF39" s="183">
        <f t="shared" si="27"/>
        <v>0</v>
      </c>
      <c r="BG39" s="187"/>
      <c r="BH39" s="90"/>
      <c r="BI39" s="90"/>
      <c r="BJ39" s="183">
        <f t="shared" si="28"/>
        <v>0</v>
      </c>
      <c r="BK39" s="187"/>
      <c r="BL39" s="90"/>
      <c r="BM39" s="90"/>
      <c r="BN39" s="183">
        <f t="shared" si="29"/>
        <v>0</v>
      </c>
      <c r="BO39" s="187"/>
      <c r="BP39" s="90"/>
      <c r="BQ39" s="90"/>
      <c r="BR39" s="183">
        <f t="shared" si="30"/>
        <v>0</v>
      </c>
      <c r="BS39" s="187"/>
      <c r="BT39" s="90"/>
      <c r="BU39" s="90"/>
      <c r="BV39" s="183">
        <f t="shared" si="31"/>
        <v>0</v>
      </c>
      <c r="BW39" s="187"/>
      <c r="BX39" s="90"/>
      <c r="BY39" s="90"/>
      <c r="BZ39" s="183">
        <f t="shared" si="32"/>
        <v>0</v>
      </c>
      <c r="CA39" s="187"/>
      <c r="CB39" s="90"/>
      <c r="CC39" s="90"/>
      <c r="CD39" s="183">
        <f t="shared" si="33"/>
        <v>0</v>
      </c>
    </row>
    <row r="40" spans="2:82" x14ac:dyDescent="0.3">
      <c r="B40" s="54"/>
      <c r="C40" s="54" t="str">
        <f t="shared" si="0"/>
        <v>CPU_SinalizaçãoHorizonta</v>
      </c>
      <c r="D40" s="280">
        <f t="shared" si="1"/>
        <v>504</v>
      </c>
      <c r="E40" s="280">
        <f t="shared" si="2"/>
        <v>87750</v>
      </c>
      <c r="F40" s="1"/>
      <c r="G40" s="28" t="str">
        <f>IFERROR(VLOOKUP(F40,Tabela7[[RECURSO]:[CUSTO]],2,FALSE),"")</f>
        <v/>
      </c>
      <c r="H40" s="92"/>
      <c r="I40" s="90"/>
      <c r="J40" s="45">
        <f>IFERROR(VLOOKUP(F40,Tabela7[[RECURSO]:[CUSTO]],3,FALSE),0)</f>
        <v>0</v>
      </c>
      <c r="K40" s="45">
        <f>I40*J40*CPU_22[[#This Row],[Nº]]</f>
        <v>0</v>
      </c>
      <c r="AD40" s="144" t="str">
        <f t="shared" si="3"/>
        <v>Sinalização Horizontal</v>
      </c>
      <c r="AE40" s="186"/>
      <c r="AF40" s="180">
        <f t="shared" si="35"/>
        <v>0</v>
      </c>
      <c r="AG40" s="180">
        <f t="shared" si="17"/>
        <v>0</v>
      </c>
      <c r="AH40" s="181">
        <f t="shared" si="36"/>
        <v>0</v>
      </c>
      <c r="AI40" s="187"/>
      <c r="AJ40" s="90"/>
      <c r="AK40" s="90"/>
      <c r="AL40" s="183">
        <f t="shared" si="37"/>
        <v>0</v>
      </c>
      <c r="AM40" s="187"/>
      <c r="AN40" s="90"/>
      <c r="AO40" s="90"/>
      <c r="AP40" s="183">
        <f t="shared" si="23"/>
        <v>0</v>
      </c>
      <c r="AQ40" s="187"/>
      <c r="AR40" s="90"/>
      <c r="AS40" s="90"/>
      <c r="AT40" s="183">
        <f t="shared" si="24"/>
        <v>0</v>
      </c>
      <c r="AU40" s="187"/>
      <c r="AV40" s="90"/>
      <c r="AW40" s="90"/>
      <c r="AX40" s="183">
        <f t="shared" si="25"/>
        <v>0</v>
      </c>
      <c r="AY40" s="187"/>
      <c r="AZ40" s="90"/>
      <c r="BA40" s="90"/>
      <c r="BB40" s="183">
        <f t="shared" si="26"/>
        <v>0</v>
      </c>
      <c r="BC40" s="187"/>
      <c r="BD40" s="90"/>
      <c r="BE40" s="90"/>
      <c r="BF40" s="183">
        <f t="shared" si="27"/>
        <v>0</v>
      </c>
      <c r="BG40" s="187"/>
      <c r="BH40" s="90"/>
      <c r="BI40" s="90"/>
      <c r="BJ40" s="183">
        <f t="shared" si="28"/>
        <v>0</v>
      </c>
      <c r="BK40" s="187"/>
      <c r="BL40" s="90"/>
      <c r="BM40" s="90"/>
      <c r="BN40" s="183">
        <f t="shared" si="29"/>
        <v>0</v>
      </c>
      <c r="BO40" s="187"/>
      <c r="BP40" s="90"/>
      <c r="BQ40" s="90"/>
      <c r="BR40" s="183">
        <f t="shared" si="30"/>
        <v>0</v>
      </c>
      <c r="BS40" s="187"/>
      <c r="BT40" s="90"/>
      <c r="BU40" s="90"/>
      <c r="BV40" s="183">
        <f t="shared" si="31"/>
        <v>0</v>
      </c>
      <c r="BW40" s="187"/>
      <c r="BX40" s="90"/>
      <c r="BY40" s="90"/>
      <c r="BZ40" s="183">
        <f t="shared" si="32"/>
        <v>0</v>
      </c>
      <c r="CA40" s="187"/>
      <c r="CB40" s="90"/>
      <c r="CC40" s="90"/>
      <c r="CD40" s="183">
        <f t="shared" si="33"/>
        <v>0</v>
      </c>
    </row>
    <row r="41" spans="2:82" x14ac:dyDescent="0.3">
      <c r="B41" s="54"/>
      <c r="C41" s="54" t="str">
        <f t="shared" si="0"/>
        <v>CPU_SinalizaçãoHorizonta</v>
      </c>
      <c r="D41" s="280">
        <f t="shared" si="1"/>
        <v>504</v>
      </c>
      <c r="E41" s="280">
        <f t="shared" si="2"/>
        <v>87750</v>
      </c>
      <c r="F41" s="1"/>
      <c r="G41" s="28" t="str">
        <f>IFERROR(VLOOKUP(F41,Tabela7[[RECURSO]:[CUSTO]],2,FALSE),"")</f>
        <v/>
      </c>
      <c r="H41" s="92"/>
      <c r="I41" s="90"/>
      <c r="J41" s="45">
        <f>IFERROR(VLOOKUP(F41,Tabela7[[RECURSO]:[CUSTO]],3,FALSE),0)</f>
        <v>0</v>
      </c>
      <c r="K41" s="45">
        <f>I41*J41*CPU_22[[#This Row],[Nº]]</f>
        <v>0</v>
      </c>
      <c r="AD41" s="144" t="str">
        <f t="shared" si="3"/>
        <v>Sinalização Horizontal</v>
      </c>
      <c r="AE41" s="186"/>
      <c r="AF41" s="180">
        <f t="shared" si="35"/>
        <v>0</v>
      </c>
      <c r="AG41" s="180">
        <f t="shared" si="17"/>
        <v>0</v>
      </c>
      <c r="AH41" s="181">
        <f t="shared" si="36"/>
        <v>0</v>
      </c>
      <c r="AI41" s="187"/>
      <c r="AJ41" s="90"/>
      <c r="AK41" s="90"/>
      <c r="AL41" s="183">
        <f t="shared" si="37"/>
        <v>0</v>
      </c>
      <c r="AM41" s="187"/>
      <c r="AN41" s="90"/>
      <c r="AO41" s="90"/>
      <c r="AP41" s="183">
        <f t="shared" si="23"/>
        <v>0</v>
      </c>
      <c r="AQ41" s="187"/>
      <c r="AR41" s="90"/>
      <c r="AS41" s="90"/>
      <c r="AT41" s="183">
        <f t="shared" si="24"/>
        <v>0</v>
      </c>
      <c r="AU41" s="187"/>
      <c r="AV41" s="90"/>
      <c r="AW41" s="90"/>
      <c r="AX41" s="183">
        <f t="shared" si="25"/>
        <v>0</v>
      </c>
      <c r="AY41" s="187"/>
      <c r="AZ41" s="90"/>
      <c r="BA41" s="90"/>
      <c r="BB41" s="183">
        <f t="shared" si="26"/>
        <v>0</v>
      </c>
      <c r="BC41" s="187"/>
      <c r="BD41" s="90"/>
      <c r="BE41" s="90"/>
      <c r="BF41" s="183">
        <f t="shared" si="27"/>
        <v>0</v>
      </c>
      <c r="BG41" s="187"/>
      <c r="BH41" s="90"/>
      <c r="BI41" s="90"/>
      <c r="BJ41" s="183">
        <f t="shared" si="28"/>
        <v>0</v>
      </c>
      <c r="BK41" s="187"/>
      <c r="BL41" s="90"/>
      <c r="BM41" s="90"/>
      <c r="BN41" s="183">
        <f t="shared" si="29"/>
        <v>0</v>
      </c>
      <c r="BO41" s="187"/>
      <c r="BP41" s="90"/>
      <c r="BQ41" s="90"/>
      <c r="BR41" s="183">
        <f t="shared" si="30"/>
        <v>0</v>
      </c>
      <c r="BS41" s="187"/>
      <c r="BT41" s="90"/>
      <c r="BU41" s="90"/>
      <c r="BV41" s="183">
        <f t="shared" si="31"/>
        <v>0</v>
      </c>
      <c r="BW41" s="187"/>
      <c r="BX41" s="90"/>
      <c r="BY41" s="90"/>
      <c r="BZ41" s="183">
        <f t="shared" si="32"/>
        <v>0</v>
      </c>
      <c r="CA41" s="187"/>
      <c r="CB41" s="90"/>
      <c r="CC41" s="90"/>
      <c r="CD41" s="183">
        <f t="shared" si="33"/>
        <v>0</v>
      </c>
    </row>
    <row r="42" spans="2:82" x14ac:dyDescent="0.3">
      <c r="B42" s="54"/>
      <c r="C42" s="54" t="str">
        <f t="shared" si="0"/>
        <v>CPU_SinalizaçãoHorizonta</v>
      </c>
      <c r="D42" s="280">
        <f t="shared" si="1"/>
        <v>504</v>
      </c>
      <c r="E42" s="280">
        <f t="shared" si="2"/>
        <v>87750</v>
      </c>
      <c r="F42" s="1"/>
      <c r="G42" s="28" t="str">
        <f>IFERROR(VLOOKUP(F42,Tabela7[[RECURSO]:[CUSTO]],2,FALSE),"")</f>
        <v/>
      </c>
      <c r="H42" s="92"/>
      <c r="I42" s="90"/>
      <c r="J42" s="45">
        <f>IFERROR(VLOOKUP(F42,Tabela7[[RECURSO]:[CUSTO]],3,FALSE),0)</f>
        <v>0</v>
      </c>
      <c r="K42" s="45">
        <f>I42*J42*CPU_22[[#This Row],[Nº]]</f>
        <v>0</v>
      </c>
      <c r="AD42" s="144" t="str">
        <f t="shared" si="3"/>
        <v>Sinalização Horizontal</v>
      </c>
      <c r="AE42" s="186"/>
      <c r="AF42" s="180">
        <f t="shared" si="35"/>
        <v>0</v>
      </c>
      <c r="AG42" s="180">
        <f t="shared" si="17"/>
        <v>0</v>
      </c>
      <c r="AH42" s="181">
        <f t="shared" si="36"/>
        <v>0</v>
      </c>
      <c r="AI42" s="187"/>
      <c r="AJ42" s="90"/>
      <c r="AK42" s="90"/>
      <c r="AL42" s="183">
        <f t="shared" si="37"/>
        <v>0</v>
      </c>
      <c r="AM42" s="187"/>
      <c r="AN42" s="90"/>
      <c r="AO42" s="90"/>
      <c r="AP42" s="183">
        <f t="shared" si="23"/>
        <v>0</v>
      </c>
      <c r="AQ42" s="187"/>
      <c r="AR42" s="90"/>
      <c r="AS42" s="90"/>
      <c r="AT42" s="183">
        <f t="shared" si="24"/>
        <v>0</v>
      </c>
      <c r="AU42" s="187"/>
      <c r="AV42" s="90"/>
      <c r="AW42" s="90"/>
      <c r="AX42" s="183">
        <f t="shared" si="25"/>
        <v>0</v>
      </c>
      <c r="AY42" s="187"/>
      <c r="AZ42" s="90"/>
      <c r="BA42" s="90"/>
      <c r="BB42" s="183">
        <f t="shared" si="26"/>
        <v>0</v>
      </c>
      <c r="BC42" s="187"/>
      <c r="BD42" s="90"/>
      <c r="BE42" s="90"/>
      <c r="BF42" s="183">
        <f t="shared" si="27"/>
        <v>0</v>
      </c>
      <c r="BG42" s="187"/>
      <c r="BH42" s="90"/>
      <c r="BI42" s="90"/>
      <c r="BJ42" s="183">
        <f t="shared" si="28"/>
        <v>0</v>
      </c>
      <c r="BK42" s="187"/>
      <c r="BL42" s="90"/>
      <c r="BM42" s="90"/>
      <c r="BN42" s="183">
        <f t="shared" si="29"/>
        <v>0</v>
      </c>
      <c r="BO42" s="187"/>
      <c r="BP42" s="90"/>
      <c r="BQ42" s="90"/>
      <c r="BR42" s="183">
        <f t="shared" si="30"/>
        <v>0</v>
      </c>
      <c r="BS42" s="187"/>
      <c r="BT42" s="90"/>
      <c r="BU42" s="90"/>
      <c r="BV42" s="183">
        <f t="shared" si="31"/>
        <v>0</v>
      </c>
      <c r="BW42" s="187"/>
      <c r="BX42" s="90"/>
      <c r="BY42" s="90"/>
      <c r="BZ42" s="183">
        <f t="shared" si="32"/>
        <v>0</v>
      </c>
      <c r="CA42" s="187"/>
      <c r="CB42" s="90"/>
      <c r="CC42" s="90"/>
      <c r="CD42" s="183">
        <f t="shared" si="33"/>
        <v>0</v>
      </c>
    </row>
    <row r="43" spans="2:82" x14ac:dyDescent="0.3">
      <c r="B43" s="54"/>
      <c r="C43" s="54" t="str">
        <f t="shared" si="0"/>
        <v>CPU_SinalizaçãoHorizonta</v>
      </c>
      <c r="D43" s="280">
        <f t="shared" si="1"/>
        <v>504</v>
      </c>
      <c r="E43" s="280">
        <f t="shared" si="2"/>
        <v>87750</v>
      </c>
      <c r="F43" s="1"/>
      <c r="G43" s="28" t="str">
        <f>IFERROR(VLOOKUP(F43,Tabela7[[RECURSO]:[CUSTO]],2,FALSE),"")</f>
        <v/>
      </c>
      <c r="H43" s="92"/>
      <c r="I43" s="90"/>
      <c r="J43" s="45">
        <f>IFERROR(VLOOKUP(F43,Tabela7[[RECURSO]:[CUSTO]],3,FALSE),0)</f>
        <v>0</v>
      </c>
      <c r="K43" s="45">
        <f>I43*J43*CPU_22[[#This Row],[Nº]]</f>
        <v>0</v>
      </c>
      <c r="AD43" s="144" t="str">
        <f t="shared" si="3"/>
        <v>Sinalização Horizontal</v>
      </c>
      <c r="AE43" s="186"/>
      <c r="AF43" s="180">
        <f t="shared" si="35"/>
        <v>0</v>
      </c>
      <c r="AG43" s="180">
        <f t="shared" si="17"/>
        <v>0</v>
      </c>
      <c r="AH43" s="181">
        <f t="shared" si="36"/>
        <v>0</v>
      </c>
      <c r="AI43" s="187"/>
      <c r="AJ43" s="90"/>
      <c r="AK43" s="90"/>
      <c r="AL43" s="183">
        <f t="shared" si="37"/>
        <v>0</v>
      </c>
      <c r="AM43" s="187"/>
      <c r="AN43" s="90"/>
      <c r="AO43" s="90"/>
      <c r="AP43" s="183">
        <f t="shared" si="23"/>
        <v>0</v>
      </c>
      <c r="AQ43" s="187"/>
      <c r="AR43" s="90"/>
      <c r="AS43" s="90"/>
      <c r="AT43" s="183">
        <f t="shared" si="24"/>
        <v>0</v>
      </c>
      <c r="AU43" s="187"/>
      <c r="AV43" s="90"/>
      <c r="AW43" s="90"/>
      <c r="AX43" s="183">
        <f t="shared" si="25"/>
        <v>0</v>
      </c>
      <c r="AY43" s="187"/>
      <c r="AZ43" s="90"/>
      <c r="BA43" s="90"/>
      <c r="BB43" s="183">
        <f t="shared" si="26"/>
        <v>0</v>
      </c>
      <c r="BC43" s="187"/>
      <c r="BD43" s="90"/>
      <c r="BE43" s="90"/>
      <c r="BF43" s="183">
        <f t="shared" si="27"/>
        <v>0</v>
      </c>
      <c r="BG43" s="187"/>
      <c r="BH43" s="90"/>
      <c r="BI43" s="90"/>
      <c r="BJ43" s="183">
        <f t="shared" si="28"/>
        <v>0</v>
      </c>
      <c r="BK43" s="187"/>
      <c r="BL43" s="90"/>
      <c r="BM43" s="90"/>
      <c r="BN43" s="183">
        <f t="shared" si="29"/>
        <v>0</v>
      </c>
      <c r="BO43" s="187"/>
      <c r="BP43" s="90"/>
      <c r="BQ43" s="90"/>
      <c r="BR43" s="183">
        <f t="shared" si="30"/>
        <v>0</v>
      </c>
      <c r="BS43" s="187"/>
      <c r="BT43" s="90"/>
      <c r="BU43" s="90"/>
      <c r="BV43" s="183">
        <f t="shared" si="31"/>
        <v>0</v>
      </c>
      <c r="BW43" s="187"/>
      <c r="BX43" s="90"/>
      <c r="BY43" s="90"/>
      <c r="BZ43" s="183">
        <f t="shared" si="32"/>
        <v>0</v>
      </c>
      <c r="CA43" s="187"/>
      <c r="CB43" s="90"/>
      <c r="CC43" s="90"/>
      <c r="CD43" s="183">
        <f t="shared" si="33"/>
        <v>0</v>
      </c>
    </row>
    <row r="44" spans="2:82" x14ac:dyDescent="0.3">
      <c r="B44" s="54"/>
      <c r="C44" s="54" t="str">
        <f t="shared" si="0"/>
        <v>CPU_SinalizaçãoHorizonta</v>
      </c>
      <c r="D44" s="280">
        <f t="shared" si="1"/>
        <v>504</v>
      </c>
      <c r="E44" s="280">
        <f t="shared" si="2"/>
        <v>87750</v>
      </c>
      <c r="F44" s="1"/>
      <c r="G44" s="28" t="str">
        <f>IFERROR(VLOOKUP(F44,Tabela7[[RECURSO]:[CUSTO]],2,FALSE),"")</f>
        <v/>
      </c>
      <c r="H44" s="92"/>
      <c r="I44" s="90"/>
      <c r="J44" s="45">
        <f>IFERROR(VLOOKUP(F44,Tabela7[[RECURSO]:[CUSTO]],3,FALSE),0)</f>
        <v>0</v>
      </c>
      <c r="K44" s="45">
        <f>I44*J44*CPU_22[[#This Row],[Nº]]</f>
        <v>0</v>
      </c>
      <c r="AD44" s="144" t="str">
        <f t="shared" si="3"/>
        <v>Sinalização Horizontal</v>
      </c>
      <c r="AE44" s="186"/>
      <c r="AF44" s="180">
        <f t="shared" si="35"/>
        <v>0</v>
      </c>
      <c r="AG44" s="180">
        <f t="shared" si="17"/>
        <v>0</v>
      </c>
      <c r="AH44" s="181">
        <f t="shared" si="36"/>
        <v>0</v>
      </c>
      <c r="AI44" s="187"/>
      <c r="AJ44" s="90"/>
      <c r="AK44" s="90"/>
      <c r="AL44" s="183">
        <f t="shared" si="37"/>
        <v>0</v>
      </c>
      <c r="AM44" s="187"/>
      <c r="AN44" s="90"/>
      <c r="AO44" s="90"/>
      <c r="AP44" s="183">
        <f t="shared" si="23"/>
        <v>0</v>
      </c>
      <c r="AQ44" s="187"/>
      <c r="AR44" s="90"/>
      <c r="AS44" s="90"/>
      <c r="AT44" s="183">
        <f t="shared" si="24"/>
        <v>0</v>
      </c>
      <c r="AU44" s="187"/>
      <c r="AV44" s="90"/>
      <c r="AW44" s="90"/>
      <c r="AX44" s="183">
        <f t="shared" si="25"/>
        <v>0</v>
      </c>
      <c r="AY44" s="187"/>
      <c r="AZ44" s="90"/>
      <c r="BA44" s="90"/>
      <c r="BB44" s="183">
        <f t="shared" si="26"/>
        <v>0</v>
      </c>
      <c r="BC44" s="187"/>
      <c r="BD44" s="90"/>
      <c r="BE44" s="90"/>
      <c r="BF44" s="183">
        <f t="shared" si="27"/>
        <v>0</v>
      </c>
      <c r="BG44" s="187"/>
      <c r="BH44" s="90"/>
      <c r="BI44" s="90"/>
      <c r="BJ44" s="183">
        <f t="shared" si="28"/>
        <v>0</v>
      </c>
      <c r="BK44" s="187"/>
      <c r="BL44" s="90"/>
      <c r="BM44" s="90"/>
      <c r="BN44" s="183">
        <f t="shared" si="29"/>
        <v>0</v>
      </c>
      <c r="BO44" s="187"/>
      <c r="BP44" s="90"/>
      <c r="BQ44" s="90"/>
      <c r="BR44" s="183">
        <f t="shared" si="30"/>
        <v>0</v>
      </c>
      <c r="BS44" s="187"/>
      <c r="BT44" s="90"/>
      <c r="BU44" s="90"/>
      <c r="BV44" s="183">
        <f t="shared" si="31"/>
        <v>0</v>
      </c>
      <c r="BW44" s="187"/>
      <c r="BX44" s="90"/>
      <c r="BY44" s="90"/>
      <c r="BZ44" s="183">
        <f t="shared" si="32"/>
        <v>0</v>
      </c>
      <c r="CA44" s="187"/>
      <c r="CB44" s="90"/>
      <c r="CC44" s="90"/>
      <c r="CD44" s="183">
        <f t="shared" si="33"/>
        <v>0</v>
      </c>
    </row>
    <row r="45" spans="2:82" x14ac:dyDescent="0.3">
      <c r="B45" s="53"/>
      <c r="C45" s="53" t="str">
        <f t="shared" si="0"/>
        <v>CPU_SinalizaçãoHorizonta</v>
      </c>
      <c r="D45" s="278">
        <f t="shared" si="1"/>
        <v>504</v>
      </c>
      <c r="E45" s="278">
        <f t="shared" si="2"/>
        <v>87750</v>
      </c>
      <c r="F45" s="1"/>
      <c r="G45" s="28" t="str">
        <f>IFERROR(VLOOKUP(F45,Tabela7[[RECURSO]:[CUSTO]],2,FALSE),"")</f>
        <v/>
      </c>
      <c r="H45" s="92"/>
      <c r="I45" s="90"/>
      <c r="J45" s="45">
        <f>IFERROR(VLOOKUP(F45,Tabela7[[RECURSO]:[CUSTO]],3,FALSE),0)</f>
        <v>0</v>
      </c>
      <c r="K45" s="45">
        <f>I45*J45*CPU_22[[#This Row],[Nº]]</f>
        <v>0</v>
      </c>
      <c r="AD45" s="144" t="str">
        <f t="shared" si="3"/>
        <v>Sinalização Horizontal</v>
      </c>
      <c r="AE45" s="188"/>
      <c r="AF45" s="180">
        <f t="shared" si="35"/>
        <v>0</v>
      </c>
      <c r="AG45" s="180">
        <f t="shared" si="17"/>
        <v>0</v>
      </c>
      <c r="AH45" s="181">
        <f t="shared" si="36"/>
        <v>0</v>
      </c>
      <c r="AI45" s="189"/>
      <c r="AJ45" s="90"/>
      <c r="AK45" s="90"/>
      <c r="AL45" s="183">
        <f t="shared" si="37"/>
        <v>0</v>
      </c>
      <c r="AM45" s="189"/>
      <c r="AN45" s="90"/>
      <c r="AO45" s="90"/>
      <c r="AP45" s="183">
        <f t="shared" si="23"/>
        <v>0</v>
      </c>
      <c r="AQ45" s="189"/>
      <c r="AR45" s="90"/>
      <c r="AS45" s="90"/>
      <c r="AT45" s="183">
        <f t="shared" si="24"/>
        <v>0</v>
      </c>
      <c r="AU45" s="189"/>
      <c r="AV45" s="90"/>
      <c r="AW45" s="90"/>
      <c r="AX45" s="183">
        <f t="shared" si="25"/>
        <v>0</v>
      </c>
      <c r="AY45" s="189"/>
      <c r="AZ45" s="90"/>
      <c r="BA45" s="90"/>
      <c r="BB45" s="183">
        <f t="shared" si="26"/>
        <v>0</v>
      </c>
      <c r="BC45" s="189"/>
      <c r="BD45" s="90"/>
      <c r="BE45" s="90"/>
      <c r="BF45" s="183">
        <f t="shared" si="27"/>
        <v>0</v>
      </c>
      <c r="BG45" s="189"/>
      <c r="BH45" s="90"/>
      <c r="BI45" s="90"/>
      <c r="BJ45" s="183">
        <f t="shared" si="28"/>
        <v>0</v>
      </c>
      <c r="BK45" s="189"/>
      <c r="BL45" s="90"/>
      <c r="BM45" s="90"/>
      <c r="BN45" s="183">
        <f t="shared" si="29"/>
        <v>0</v>
      </c>
      <c r="BO45" s="189"/>
      <c r="BP45" s="90"/>
      <c r="BQ45" s="90"/>
      <c r="BR45" s="183">
        <f t="shared" si="30"/>
        <v>0</v>
      </c>
      <c r="BS45" s="189"/>
      <c r="BT45" s="90"/>
      <c r="BU45" s="90"/>
      <c r="BV45" s="183">
        <f t="shared" si="31"/>
        <v>0</v>
      </c>
      <c r="BW45" s="189"/>
      <c r="BX45" s="90"/>
      <c r="BY45" s="90"/>
      <c r="BZ45" s="183">
        <f t="shared" si="32"/>
        <v>0</v>
      </c>
      <c r="CA45" s="189"/>
      <c r="CB45" s="90"/>
      <c r="CC45" s="90"/>
      <c r="CD45" s="183">
        <f t="shared" si="33"/>
        <v>0</v>
      </c>
    </row>
    <row r="46" spans="2:82" x14ac:dyDescent="0.3">
      <c r="B46" s="53"/>
      <c r="C46" s="53" t="str">
        <f t="shared" si="0"/>
        <v>CPU_SinalizaçãoHorizonta</v>
      </c>
      <c r="D46" s="278">
        <f t="shared" si="1"/>
        <v>504</v>
      </c>
      <c r="E46" s="278">
        <f t="shared" si="2"/>
        <v>87750</v>
      </c>
      <c r="F46" s="1"/>
      <c r="G46" s="28" t="str">
        <f>IFERROR(VLOOKUP(F46,Tabela7[[RECURSO]:[CUSTO]],2,FALSE),"")</f>
        <v/>
      </c>
      <c r="H46" s="92"/>
      <c r="I46" s="90"/>
      <c r="J46" s="45">
        <f>IFERROR(VLOOKUP(F46,Tabela7[[RECURSO]:[CUSTO]],3,FALSE),0)</f>
        <v>0</v>
      </c>
      <c r="K46" s="45">
        <f>I46*J46*CPU_22[[#This Row],[Nº]]</f>
        <v>0</v>
      </c>
      <c r="AD46" s="144" t="str">
        <f t="shared" si="3"/>
        <v>Sinalização Horizontal</v>
      </c>
      <c r="AE46" s="188"/>
      <c r="AF46" s="180">
        <f t="shared" si="35"/>
        <v>0</v>
      </c>
      <c r="AG46" s="180">
        <f t="shared" si="17"/>
        <v>0</v>
      </c>
      <c r="AH46" s="181">
        <f t="shared" si="36"/>
        <v>0</v>
      </c>
      <c r="AI46" s="189"/>
      <c r="AJ46" s="90"/>
      <c r="AK46" s="90"/>
      <c r="AL46" s="183">
        <f t="shared" si="37"/>
        <v>0</v>
      </c>
      <c r="AM46" s="189"/>
      <c r="AN46" s="90"/>
      <c r="AO46" s="90"/>
      <c r="AP46" s="183">
        <f t="shared" si="23"/>
        <v>0</v>
      </c>
      <c r="AQ46" s="189"/>
      <c r="AR46" s="90"/>
      <c r="AS46" s="90"/>
      <c r="AT46" s="183">
        <f t="shared" si="24"/>
        <v>0</v>
      </c>
      <c r="AU46" s="189"/>
      <c r="AV46" s="90"/>
      <c r="AW46" s="90"/>
      <c r="AX46" s="183">
        <f t="shared" si="25"/>
        <v>0</v>
      </c>
      <c r="AY46" s="189"/>
      <c r="AZ46" s="90"/>
      <c r="BA46" s="90"/>
      <c r="BB46" s="183">
        <f t="shared" si="26"/>
        <v>0</v>
      </c>
      <c r="BC46" s="189"/>
      <c r="BD46" s="90"/>
      <c r="BE46" s="90"/>
      <c r="BF46" s="183">
        <f t="shared" si="27"/>
        <v>0</v>
      </c>
      <c r="BG46" s="189"/>
      <c r="BH46" s="90"/>
      <c r="BI46" s="90"/>
      <c r="BJ46" s="183">
        <f t="shared" si="28"/>
        <v>0</v>
      </c>
      <c r="BK46" s="189"/>
      <c r="BL46" s="90"/>
      <c r="BM46" s="90"/>
      <c r="BN46" s="183">
        <f t="shared" si="29"/>
        <v>0</v>
      </c>
      <c r="BO46" s="189"/>
      <c r="BP46" s="90"/>
      <c r="BQ46" s="90"/>
      <c r="BR46" s="183">
        <f t="shared" si="30"/>
        <v>0</v>
      </c>
      <c r="BS46" s="189"/>
      <c r="BT46" s="90"/>
      <c r="BU46" s="90"/>
      <c r="BV46" s="183">
        <f t="shared" si="31"/>
        <v>0</v>
      </c>
      <c r="BW46" s="189"/>
      <c r="BX46" s="90"/>
      <c r="BY46" s="90"/>
      <c r="BZ46" s="183">
        <f t="shared" si="32"/>
        <v>0</v>
      </c>
      <c r="CA46" s="189"/>
      <c r="CB46" s="90"/>
      <c r="CC46" s="90"/>
      <c r="CD46" s="183">
        <f t="shared" si="33"/>
        <v>0</v>
      </c>
    </row>
    <row r="47" spans="2:82" x14ac:dyDescent="0.3">
      <c r="B47" s="53"/>
      <c r="C47" s="53" t="str">
        <f t="shared" si="0"/>
        <v>CPU_SinalizaçãoHorizonta</v>
      </c>
      <c r="D47" s="278">
        <f t="shared" si="1"/>
        <v>504</v>
      </c>
      <c r="E47" s="278">
        <f t="shared" si="2"/>
        <v>87750</v>
      </c>
      <c r="F47" s="1"/>
      <c r="G47" s="28" t="str">
        <f>IFERROR(VLOOKUP(F47,Tabela7[[RECURSO]:[CUSTO]],2,FALSE),"")</f>
        <v/>
      </c>
      <c r="H47" s="92"/>
      <c r="I47" s="90"/>
      <c r="J47" s="45">
        <f>IFERROR(VLOOKUP(F47,Tabela7[[RECURSO]:[CUSTO]],3,FALSE),0)</f>
        <v>0</v>
      </c>
      <c r="K47" s="45">
        <f>I47*J47*CPU_22[[#This Row],[Nº]]</f>
        <v>0</v>
      </c>
      <c r="AD47" s="144" t="str">
        <f t="shared" si="3"/>
        <v>Sinalização Horizontal</v>
      </c>
      <c r="AE47" s="188"/>
      <c r="AF47" s="180">
        <f t="shared" si="35"/>
        <v>0</v>
      </c>
      <c r="AG47" s="180">
        <f t="shared" si="17"/>
        <v>0</v>
      </c>
      <c r="AH47" s="181">
        <f t="shared" si="36"/>
        <v>0</v>
      </c>
      <c r="AI47" s="189"/>
      <c r="AJ47" s="90"/>
      <c r="AK47" s="90"/>
      <c r="AL47" s="183">
        <f t="shared" si="37"/>
        <v>0</v>
      </c>
      <c r="AM47" s="189"/>
      <c r="AN47" s="90"/>
      <c r="AO47" s="90"/>
      <c r="AP47" s="183">
        <f t="shared" si="23"/>
        <v>0</v>
      </c>
      <c r="AQ47" s="189"/>
      <c r="AR47" s="90"/>
      <c r="AS47" s="90"/>
      <c r="AT47" s="183">
        <f t="shared" si="24"/>
        <v>0</v>
      </c>
      <c r="AU47" s="189"/>
      <c r="AV47" s="90"/>
      <c r="AW47" s="90"/>
      <c r="AX47" s="183">
        <f t="shared" si="25"/>
        <v>0</v>
      </c>
      <c r="AY47" s="189"/>
      <c r="AZ47" s="90"/>
      <c r="BA47" s="90"/>
      <c r="BB47" s="183">
        <f t="shared" si="26"/>
        <v>0</v>
      </c>
      <c r="BC47" s="189"/>
      <c r="BD47" s="90"/>
      <c r="BE47" s="90"/>
      <c r="BF47" s="183">
        <f t="shared" si="27"/>
        <v>0</v>
      </c>
      <c r="BG47" s="189"/>
      <c r="BH47" s="90"/>
      <c r="BI47" s="90"/>
      <c r="BJ47" s="183">
        <f t="shared" si="28"/>
        <v>0</v>
      </c>
      <c r="BK47" s="189"/>
      <c r="BL47" s="90"/>
      <c r="BM47" s="90"/>
      <c r="BN47" s="183">
        <f t="shared" si="29"/>
        <v>0</v>
      </c>
      <c r="BO47" s="189"/>
      <c r="BP47" s="90"/>
      <c r="BQ47" s="90"/>
      <c r="BR47" s="183">
        <f t="shared" si="30"/>
        <v>0</v>
      </c>
      <c r="BS47" s="189"/>
      <c r="BT47" s="90"/>
      <c r="BU47" s="90"/>
      <c r="BV47" s="183">
        <f t="shared" si="31"/>
        <v>0</v>
      </c>
      <c r="BW47" s="189"/>
      <c r="BX47" s="90"/>
      <c r="BY47" s="90"/>
      <c r="BZ47" s="183">
        <f t="shared" si="32"/>
        <v>0</v>
      </c>
      <c r="CA47" s="189"/>
      <c r="CB47" s="90"/>
      <c r="CC47" s="90"/>
      <c r="CD47" s="183">
        <f t="shared" si="33"/>
        <v>0</v>
      </c>
    </row>
    <row r="48" spans="2:82" x14ac:dyDescent="0.3">
      <c r="B48" s="53"/>
      <c r="C48" s="53" t="str">
        <f t="shared" si="0"/>
        <v>CPU_SinalizaçãoHorizonta</v>
      </c>
      <c r="D48" s="278">
        <f t="shared" si="1"/>
        <v>504</v>
      </c>
      <c r="E48" s="278">
        <f t="shared" si="2"/>
        <v>87750</v>
      </c>
      <c r="F48" s="1"/>
      <c r="G48" s="28" t="str">
        <f>IFERROR(VLOOKUP(F48,Tabela7[[RECURSO]:[CUSTO]],2,FALSE),"")</f>
        <v/>
      </c>
      <c r="H48" s="92"/>
      <c r="I48" s="90"/>
      <c r="J48" s="45">
        <f>IFERROR(VLOOKUP(F48,Tabela7[[RECURSO]:[CUSTO]],3,FALSE),0)</f>
        <v>0</v>
      </c>
      <c r="K48" s="45">
        <f>I48*J48*CPU_22[[#This Row],[Nº]]</f>
        <v>0</v>
      </c>
      <c r="AD48" s="144" t="str">
        <f t="shared" si="3"/>
        <v>Sinalização Horizontal</v>
      </c>
      <c r="AE48" s="188"/>
      <c r="AF48" s="180">
        <f t="shared" si="35"/>
        <v>0</v>
      </c>
      <c r="AG48" s="180">
        <f t="shared" si="17"/>
        <v>0</v>
      </c>
      <c r="AH48" s="181">
        <f t="shared" si="36"/>
        <v>0</v>
      </c>
      <c r="AI48" s="189"/>
      <c r="AJ48" s="90"/>
      <c r="AK48" s="90"/>
      <c r="AL48" s="183">
        <f t="shared" si="37"/>
        <v>0</v>
      </c>
      <c r="AM48" s="189"/>
      <c r="AN48" s="90"/>
      <c r="AO48" s="90"/>
      <c r="AP48" s="183">
        <f t="shared" si="23"/>
        <v>0</v>
      </c>
      <c r="AQ48" s="189"/>
      <c r="AR48" s="90"/>
      <c r="AS48" s="90"/>
      <c r="AT48" s="183">
        <f t="shared" si="24"/>
        <v>0</v>
      </c>
      <c r="AU48" s="189"/>
      <c r="AV48" s="90"/>
      <c r="AW48" s="90"/>
      <c r="AX48" s="183">
        <f t="shared" si="25"/>
        <v>0</v>
      </c>
      <c r="AY48" s="189"/>
      <c r="AZ48" s="90"/>
      <c r="BA48" s="90"/>
      <c r="BB48" s="183">
        <f t="shared" si="26"/>
        <v>0</v>
      </c>
      <c r="BC48" s="189"/>
      <c r="BD48" s="90"/>
      <c r="BE48" s="90"/>
      <c r="BF48" s="183">
        <f t="shared" si="27"/>
        <v>0</v>
      </c>
      <c r="BG48" s="189"/>
      <c r="BH48" s="90"/>
      <c r="BI48" s="90"/>
      <c r="BJ48" s="183">
        <f t="shared" si="28"/>
        <v>0</v>
      </c>
      <c r="BK48" s="189"/>
      <c r="BL48" s="90"/>
      <c r="BM48" s="90"/>
      <c r="BN48" s="183">
        <f t="shared" si="29"/>
        <v>0</v>
      </c>
      <c r="BO48" s="189"/>
      <c r="BP48" s="90"/>
      <c r="BQ48" s="90"/>
      <c r="BR48" s="183">
        <f t="shared" si="30"/>
        <v>0</v>
      </c>
      <c r="BS48" s="189"/>
      <c r="BT48" s="90"/>
      <c r="BU48" s="90"/>
      <c r="BV48" s="183">
        <f t="shared" si="31"/>
        <v>0</v>
      </c>
      <c r="BW48" s="189"/>
      <c r="BX48" s="90"/>
      <c r="BY48" s="90"/>
      <c r="BZ48" s="183">
        <f t="shared" si="32"/>
        <v>0</v>
      </c>
      <c r="CA48" s="189"/>
      <c r="CB48" s="90"/>
      <c r="CC48" s="90"/>
      <c r="CD48" s="183">
        <f t="shared" si="33"/>
        <v>0</v>
      </c>
    </row>
    <row r="49" spans="2:82" ht="15" thickBot="1" x14ac:dyDescent="0.35">
      <c r="B49" s="53"/>
      <c r="C49" s="53" t="str">
        <f t="shared" si="0"/>
        <v>CPU_SinalizaçãoHorizonta</v>
      </c>
      <c r="D49" s="278">
        <f t="shared" si="1"/>
        <v>504</v>
      </c>
      <c r="E49" s="278">
        <f t="shared" si="2"/>
        <v>87750</v>
      </c>
      <c r="F49" s="1"/>
      <c r="G49" s="28" t="str">
        <f>IFERROR(VLOOKUP(F49,Tabela7[[RECURSO]:[CUSTO]],2,FALSE),"")</f>
        <v/>
      </c>
      <c r="H49" s="92"/>
      <c r="I49" s="90"/>
      <c r="J49" s="45">
        <f>IFERROR(VLOOKUP(F49,Tabela7[[RECURSO]:[CUSTO]],3,FALSE),0)</f>
        <v>0</v>
      </c>
      <c r="K49" s="45">
        <f>I49*J49*CPU_22[[#This Row],[Nº]]</f>
        <v>0</v>
      </c>
      <c r="M49" s="83" t="s">
        <v>701</v>
      </c>
      <c r="N49" s="87" t="s">
        <v>702</v>
      </c>
      <c r="AD49" s="144" t="str">
        <f t="shared" si="3"/>
        <v>Sinalização Horizontal</v>
      </c>
      <c r="AE49" s="188"/>
      <c r="AF49" s="180">
        <f t="shared" si="35"/>
        <v>0</v>
      </c>
      <c r="AG49" s="180">
        <f t="shared" si="17"/>
        <v>0</v>
      </c>
      <c r="AH49" s="181">
        <f t="shared" si="36"/>
        <v>0</v>
      </c>
      <c r="AI49" s="189"/>
      <c r="AJ49" s="90"/>
      <c r="AK49" s="90"/>
      <c r="AL49" s="183">
        <f t="shared" si="37"/>
        <v>0</v>
      </c>
      <c r="AM49" s="189"/>
      <c r="AN49" s="90"/>
      <c r="AO49" s="90"/>
      <c r="AP49" s="183">
        <f t="shared" si="23"/>
        <v>0</v>
      </c>
      <c r="AQ49" s="189"/>
      <c r="AR49" s="90"/>
      <c r="AS49" s="90"/>
      <c r="AT49" s="183">
        <f t="shared" si="24"/>
        <v>0</v>
      </c>
      <c r="AU49" s="189"/>
      <c r="AV49" s="90"/>
      <c r="AW49" s="90"/>
      <c r="AX49" s="183">
        <f t="shared" si="25"/>
        <v>0</v>
      </c>
      <c r="AY49" s="189"/>
      <c r="AZ49" s="90"/>
      <c r="BA49" s="90"/>
      <c r="BB49" s="183">
        <f t="shared" si="26"/>
        <v>0</v>
      </c>
      <c r="BC49" s="189"/>
      <c r="BD49" s="90"/>
      <c r="BE49" s="90"/>
      <c r="BF49" s="183">
        <f t="shared" si="27"/>
        <v>0</v>
      </c>
      <c r="BG49" s="189"/>
      <c r="BH49" s="90"/>
      <c r="BI49" s="90"/>
      <c r="BJ49" s="183">
        <f t="shared" si="28"/>
        <v>0</v>
      </c>
      <c r="BK49" s="189"/>
      <c r="BL49" s="90"/>
      <c r="BM49" s="90"/>
      <c r="BN49" s="183">
        <f t="shared" si="29"/>
        <v>0</v>
      </c>
      <c r="BO49" s="189"/>
      <c r="BP49" s="90"/>
      <c r="BQ49" s="90"/>
      <c r="BR49" s="183">
        <f t="shared" si="30"/>
        <v>0</v>
      </c>
      <c r="BS49" s="189"/>
      <c r="BT49" s="90"/>
      <c r="BU49" s="90"/>
      <c r="BV49" s="183">
        <f t="shared" si="31"/>
        <v>0</v>
      </c>
      <c r="BW49" s="189"/>
      <c r="BX49" s="90"/>
      <c r="BY49" s="90"/>
      <c r="BZ49" s="183">
        <f t="shared" si="32"/>
        <v>0</v>
      </c>
      <c r="CA49" s="189"/>
      <c r="CB49" s="90"/>
      <c r="CC49" s="90"/>
      <c r="CD49" s="183">
        <f t="shared" si="33"/>
        <v>0</v>
      </c>
    </row>
    <row r="50" spans="2:82" x14ac:dyDescent="0.3">
      <c r="B50" s="52" t="s">
        <v>693</v>
      </c>
      <c r="C50" s="52" t="str">
        <f t="shared" si="0"/>
        <v>CPU_SinalizaçãoHorizonta</v>
      </c>
      <c r="D50" s="277">
        <f t="shared" si="1"/>
        <v>504</v>
      </c>
      <c r="E50" s="277">
        <f t="shared" si="2"/>
        <v>87750</v>
      </c>
      <c r="F50" s="37"/>
      <c r="G50" s="38"/>
      <c r="H50" s="38"/>
      <c r="I50" s="37"/>
      <c r="J50" s="40">
        <f>IFERROR(K50/$B$6,0)</f>
        <v>15.35</v>
      </c>
      <c r="K50" s="40">
        <f>SUM(K51:K62)</f>
        <v>7736.4</v>
      </c>
      <c r="M50" s="84" t="str">
        <f>"Consumo por "&amp;J3</f>
        <v>Consumo por M²</v>
      </c>
      <c r="N50" s="89"/>
      <c r="AD50" s="144" t="str">
        <f t="shared" si="3"/>
        <v>Sinalização Horizontal</v>
      </c>
      <c r="AE50" s="190"/>
      <c r="AF50" s="191"/>
      <c r="AG50" s="40">
        <f>IFERROR(AH50/AF$3,0)</f>
        <v>0</v>
      </c>
      <c r="AH50" s="185">
        <f>SUM(AH51:AH62)</f>
        <v>0</v>
      </c>
      <c r="AI50" s="190"/>
      <c r="AJ50" s="37"/>
      <c r="AK50" s="40">
        <f>IFERROR(AL50/AJ$3,0)</f>
        <v>0</v>
      </c>
      <c r="AL50" s="185">
        <f>SUM(AL51:AL62)</f>
        <v>0</v>
      </c>
      <c r="AM50" s="190"/>
      <c r="AN50" s="37"/>
      <c r="AO50" s="40">
        <f>IFERROR(AP50/AN$3,0)</f>
        <v>0</v>
      </c>
      <c r="AP50" s="185">
        <f>SUM(AP51:AP62)</f>
        <v>0</v>
      </c>
      <c r="AQ50" s="190"/>
      <c r="AR50" s="37"/>
      <c r="AS50" s="40">
        <f>IFERROR(AT50/AR$3,0)</f>
        <v>0</v>
      </c>
      <c r="AT50" s="185">
        <f>SUM(AT51:AT62)</f>
        <v>0</v>
      </c>
      <c r="AU50" s="190"/>
      <c r="AV50" s="37"/>
      <c r="AW50" s="40">
        <f>IFERROR(AX50/AV$3,0)</f>
        <v>0</v>
      </c>
      <c r="AX50" s="185">
        <f>SUM(AX51:AX62)</f>
        <v>0</v>
      </c>
      <c r="AY50" s="190"/>
      <c r="AZ50" s="37"/>
      <c r="BA50" s="40">
        <f>IFERROR(BB50/AZ$3,0)</f>
        <v>0</v>
      </c>
      <c r="BB50" s="185">
        <f>SUM(BB51:BB62)</f>
        <v>0</v>
      </c>
      <c r="BC50" s="190"/>
      <c r="BD50" s="37"/>
      <c r="BE50" s="40">
        <f>IFERROR(BF50/BD$3,0)</f>
        <v>0</v>
      </c>
      <c r="BF50" s="185">
        <f>SUM(BF51:BF62)</f>
        <v>0</v>
      </c>
      <c r="BG50" s="190"/>
      <c r="BH50" s="37"/>
      <c r="BI50" s="40">
        <f>IFERROR(BJ50/BH$3,0)</f>
        <v>0</v>
      </c>
      <c r="BJ50" s="185">
        <f>SUM(BJ51:BJ62)</f>
        <v>0</v>
      </c>
      <c r="BK50" s="190"/>
      <c r="BL50" s="37"/>
      <c r="BM50" s="40">
        <f>IFERROR(BN50/BL$3,0)</f>
        <v>0</v>
      </c>
      <c r="BN50" s="185">
        <f>SUM(BN51:BN62)</f>
        <v>0</v>
      </c>
      <c r="BO50" s="190"/>
      <c r="BP50" s="37"/>
      <c r="BQ50" s="40">
        <f>IFERROR(BR50/BP$3,0)</f>
        <v>0</v>
      </c>
      <c r="BR50" s="185">
        <f>SUM(BR51:BR62)</f>
        <v>0</v>
      </c>
      <c r="BS50" s="190"/>
      <c r="BT50" s="37"/>
      <c r="BU50" s="40">
        <f>IFERROR(BV50/BT$3,0)</f>
        <v>0</v>
      </c>
      <c r="BV50" s="185">
        <f>SUM(BV51:BV62)</f>
        <v>0</v>
      </c>
      <c r="BW50" s="190"/>
      <c r="BX50" s="37"/>
      <c r="BY50" s="40">
        <f>IFERROR(BZ50/BX$3,0)</f>
        <v>0</v>
      </c>
      <c r="BZ50" s="185">
        <f>SUM(BZ51:BZ62)</f>
        <v>0</v>
      </c>
      <c r="CA50" s="190"/>
      <c r="CB50" s="37"/>
      <c r="CC50" s="40">
        <f>IFERROR(CD50/CB$3,0)</f>
        <v>0</v>
      </c>
      <c r="CD50" s="185">
        <f>SUM(CD51:CD62)</f>
        <v>0</v>
      </c>
    </row>
    <row r="51" spans="2:82" x14ac:dyDescent="0.3">
      <c r="B51" s="53"/>
      <c r="C51" s="53" t="str">
        <f t="shared" si="0"/>
        <v>CPU_SinalizaçãoHorizonta</v>
      </c>
      <c r="D51" s="278">
        <f t="shared" si="1"/>
        <v>504</v>
      </c>
      <c r="E51" s="278">
        <f t="shared" si="2"/>
        <v>87750</v>
      </c>
      <c r="F51" s="1" t="s">
        <v>856</v>
      </c>
      <c r="G51" s="28" t="str">
        <f>IFERROR(VLOOKUP(F51,Tabela7[[RECURSO]:[CUSTO]],2,FALSE),"")</f>
        <v>m2</v>
      </c>
      <c r="I51" s="90">
        <f>IFERROR(M51*$B$6,0)</f>
        <v>504</v>
      </c>
      <c r="J51" s="45">
        <f>IFERROR(VLOOKUP(F51,Tabela7[[RECURSO]:[CUSTO]],3,FALSE),0)</f>
        <v>15.35</v>
      </c>
      <c r="K51" s="45">
        <f>I51*J51</f>
        <v>7736.4</v>
      </c>
      <c r="M51" s="85">
        <v>1</v>
      </c>
      <c r="N51" s="88"/>
      <c r="AD51" s="144" t="str">
        <f t="shared" si="3"/>
        <v>Sinalização Horizontal</v>
      </c>
      <c r="AE51" s="192"/>
      <c r="AF51" s="180">
        <f t="shared" ref="AF51:AF62" si="38">AJ51+AN51+AR51+AV51+AZ51+BD51+BH51+BL51+BP51+BT51+BX51+CB51</f>
        <v>0</v>
      </c>
      <c r="AG51" s="180">
        <f t="shared" si="17"/>
        <v>0</v>
      </c>
      <c r="AH51" s="181">
        <f t="shared" ref="AH51:AH62" si="39">AL51+AP51+AT51+AX51+BB51+BF51+BJ51+BN51+BR51+BV51+BZ51+CD51</f>
        <v>0</v>
      </c>
      <c r="AI51" s="193"/>
      <c r="AJ51" s="90"/>
      <c r="AK51" s="90"/>
      <c r="AL51" s="183">
        <f t="shared" ref="AL51:AL62" si="40">AJ51*AK51</f>
        <v>0</v>
      </c>
      <c r="AM51" s="193"/>
      <c r="AN51" s="90"/>
      <c r="AO51" s="90"/>
      <c r="AP51" s="183">
        <f t="shared" si="23"/>
        <v>0</v>
      </c>
      <c r="AQ51" s="193"/>
      <c r="AR51" s="90"/>
      <c r="AS51" s="90"/>
      <c r="AT51" s="183">
        <f t="shared" si="24"/>
        <v>0</v>
      </c>
      <c r="AU51" s="193"/>
      <c r="AV51" s="90"/>
      <c r="AW51" s="90"/>
      <c r="AX51" s="183">
        <f t="shared" si="25"/>
        <v>0</v>
      </c>
      <c r="AY51" s="193"/>
      <c r="AZ51" s="90"/>
      <c r="BA51" s="90"/>
      <c r="BB51" s="183">
        <f t="shared" si="26"/>
        <v>0</v>
      </c>
      <c r="BC51" s="193"/>
      <c r="BD51" s="90"/>
      <c r="BE51" s="90"/>
      <c r="BF51" s="183">
        <f t="shared" si="27"/>
        <v>0</v>
      </c>
      <c r="BG51" s="193"/>
      <c r="BH51" s="90"/>
      <c r="BI51" s="90"/>
      <c r="BJ51" s="183">
        <f t="shared" si="28"/>
        <v>0</v>
      </c>
      <c r="BK51" s="193"/>
      <c r="BL51" s="90"/>
      <c r="BM51" s="90"/>
      <c r="BN51" s="183">
        <f t="shared" si="29"/>
        <v>0</v>
      </c>
      <c r="BO51" s="193"/>
      <c r="BP51" s="90"/>
      <c r="BQ51" s="90"/>
      <c r="BR51" s="183">
        <f t="shared" si="30"/>
        <v>0</v>
      </c>
      <c r="BS51" s="193"/>
      <c r="BT51" s="90"/>
      <c r="BU51" s="90"/>
      <c r="BV51" s="183">
        <f t="shared" si="31"/>
        <v>0</v>
      </c>
      <c r="BW51" s="193"/>
      <c r="BX51" s="90"/>
      <c r="BY51" s="90"/>
      <c r="BZ51" s="183">
        <f t="shared" si="32"/>
        <v>0</v>
      </c>
      <c r="CA51" s="193"/>
      <c r="CB51" s="90"/>
      <c r="CC51" s="90"/>
      <c r="CD51" s="183">
        <f t="shared" si="33"/>
        <v>0</v>
      </c>
    </row>
    <row r="52" spans="2:82" x14ac:dyDescent="0.3">
      <c r="B52" s="53"/>
      <c r="C52" s="53" t="str">
        <f t="shared" si="0"/>
        <v>CPU_SinalizaçãoHorizonta</v>
      </c>
      <c r="D52" s="278">
        <f t="shared" si="1"/>
        <v>504</v>
      </c>
      <c r="E52" s="278">
        <f t="shared" si="2"/>
        <v>87750</v>
      </c>
      <c r="F52" s="1" t="s">
        <v>857</v>
      </c>
      <c r="G52" s="28" t="str">
        <f>IFERROR(VLOOKUP(F52,Tabela7[[RECURSO]:[CUSTO]],2,FALSE),"")</f>
        <v>m2</v>
      </c>
      <c r="I52" s="90">
        <f t="shared" ref="I52:I62" si="41">IFERROR(M52*$B$6,0)</f>
        <v>0</v>
      </c>
      <c r="J52" s="45">
        <f>IFERROR(VLOOKUP(F52,Tabela7[[RECURSO]:[CUSTO]],3,FALSE),0)</f>
        <v>6.7640692640692643</v>
      </c>
      <c r="K52" s="45">
        <f t="shared" ref="K52:K62" si="42">I52*J52</f>
        <v>0</v>
      </c>
      <c r="M52" s="85">
        <v>0</v>
      </c>
      <c r="N52" s="88"/>
      <c r="AD52" s="144" t="str">
        <f t="shared" si="3"/>
        <v>Sinalização Horizontal</v>
      </c>
      <c r="AE52" s="192"/>
      <c r="AF52" s="180">
        <f t="shared" si="38"/>
        <v>0</v>
      </c>
      <c r="AG52" s="180">
        <f t="shared" si="17"/>
        <v>0</v>
      </c>
      <c r="AH52" s="181">
        <f t="shared" si="39"/>
        <v>0</v>
      </c>
      <c r="AI52" s="193"/>
      <c r="AJ52" s="90"/>
      <c r="AK52" s="90"/>
      <c r="AL52" s="183">
        <f t="shared" si="40"/>
        <v>0</v>
      </c>
      <c r="AM52" s="193"/>
      <c r="AN52" s="90"/>
      <c r="AO52" s="90"/>
      <c r="AP52" s="183">
        <f t="shared" si="23"/>
        <v>0</v>
      </c>
      <c r="AQ52" s="193"/>
      <c r="AR52" s="90"/>
      <c r="AS52" s="90"/>
      <c r="AT52" s="183">
        <f t="shared" si="24"/>
        <v>0</v>
      </c>
      <c r="AU52" s="193"/>
      <c r="AV52" s="90"/>
      <c r="AW52" s="90"/>
      <c r="AX52" s="183">
        <f t="shared" si="25"/>
        <v>0</v>
      </c>
      <c r="AY52" s="193"/>
      <c r="AZ52" s="90"/>
      <c r="BA52" s="90"/>
      <c r="BB52" s="183">
        <f t="shared" si="26"/>
        <v>0</v>
      </c>
      <c r="BC52" s="193"/>
      <c r="BD52" s="90"/>
      <c r="BE52" s="90"/>
      <c r="BF52" s="183">
        <f t="shared" si="27"/>
        <v>0</v>
      </c>
      <c r="BG52" s="193"/>
      <c r="BH52" s="90"/>
      <c r="BI52" s="90"/>
      <c r="BJ52" s="183">
        <f t="shared" si="28"/>
        <v>0</v>
      </c>
      <c r="BK52" s="193"/>
      <c r="BL52" s="90"/>
      <c r="BM52" s="90"/>
      <c r="BN52" s="183">
        <f t="shared" si="29"/>
        <v>0</v>
      </c>
      <c r="BO52" s="193"/>
      <c r="BP52" s="90"/>
      <c r="BQ52" s="90"/>
      <c r="BR52" s="183">
        <f t="shared" si="30"/>
        <v>0</v>
      </c>
      <c r="BS52" s="193"/>
      <c r="BT52" s="90"/>
      <c r="BU52" s="90"/>
      <c r="BV52" s="183">
        <f t="shared" si="31"/>
        <v>0</v>
      </c>
      <c r="BW52" s="193"/>
      <c r="BX52" s="90"/>
      <c r="BY52" s="90"/>
      <c r="BZ52" s="183">
        <f t="shared" si="32"/>
        <v>0</v>
      </c>
      <c r="CA52" s="193"/>
      <c r="CB52" s="90"/>
      <c r="CC52" s="90"/>
      <c r="CD52" s="183">
        <f t="shared" si="33"/>
        <v>0</v>
      </c>
    </row>
    <row r="53" spans="2:82" x14ac:dyDescent="0.3">
      <c r="B53" s="53"/>
      <c r="C53" s="53" t="str">
        <f t="shared" si="0"/>
        <v>CPU_SinalizaçãoHorizonta</v>
      </c>
      <c r="D53" s="278">
        <f t="shared" si="1"/>
        <v>504</v>
      </c>
      <c r="E53" s="278">
        <f t="shared" si="2"/>
        <v>87750</v>
      </c>
      <c r="F53" s="1"/>
      <c r="G53" s="28" t="str">
        <f>IFERROR(VLOOKUP(F53,Tabela7[[RECURSO]:[CUSTO]],2,FALSE),"")</f>
        <v/>
      </c>
      <c r="I53" s="90">
        <f t="shared" si="41"/>
        <v>0</v>
      </c>
      <c r="J53" s="45">
        <f>IFERROR(VLOOKUP(F53,Tabela7[[RECURSO]:[CUSTO]],3,FALSE),0)</f>
        <v>0</v>
      </c>
      <c r="K53" s="45">
        <f t="shared" si="42"/>
        <v>0</v>
      </c>
      <c r="M53" s="85"/>
      <c r="N53" s="88"/>
      <c r="AD53" s="144" t="str">
        <f t="shared" si="3"/>
        <v>Sinalização Horizontal</v>
      </c>
      <c r="AE53" s="192"/>
      <c r="AF53" s="180">
        <f t="shared" si="38"/>
        <v>0</v>
      </c>
      <c r="AG53" s="180">
        <f t="shared" si="17"/>
        <v>0</v>
      </c>
      <c r="AH53" s="181">
        <f t="shared" si="39"/>
        <v>0</v>
      </c>
      <c r="AI53" s="193"/>
      <c r="AJ53" s="90"/>
      <c r="AK53" s="90"/>
      <c r="AL53" s="183">
        <f t="shared" si="40"/>
        <v>0</v>
      </c>
      <c r="AM53" s="193"/>
      <c r="AN53" s="90"/>
      <c r="AO53" s="90"/>
      <c r="AP53" s="183">
        <f t="shared" si="23"/>
        <v>0</v>
      </c>
      <c r="AQ53" s="193"/>
      <c r="AR53" s="90"/>
      <c r="AS53" s="90"/>
      <c r="AT53" s="183">
        <f t="shared" si="24"/>
        <v>0</v>
      </c>
      <c r="AU53" s="193"/>
      <c r="AV53" s="90"/>
      <c r="AW53" s="90"/>
      <c r="AX53" s="183">
        <f t="shared" si="25"/>
        <v>0</v>
      </c>
      <c r="AY53" s="193"/>
      <c r="AZ53" s="90"/>
      <c r="BA53" s="90"/>
      <c r="BB53" s="183">
        <f t="shared" si="26"/>
        <v>0</v>
      </c>
      <c r="BC53" s="193"/>
      <c r="BD53" s="90"/>
      <c r="BE53" s="90"/>
      <c r="BF53" s="183">
        <f t="shared" si="27"/>
        <v>0</v>
      </c>
      <c r="BG53" s="193"/>
      <c r="BH53" s="90"/>
      <c r="BI53" s="90"/>
      <c r="BJ53" s="183">
        <f t="shared" si="28"/>
        <v>0</v>
      </c>
      <c r="BK53" s="193"/>
      <c r="BL53" s="90"/>
      <c r="BM53" s="90"/>
      <c r="BN53" s="183">
        <f t="shared" si="29"/>
        <v>0</v>
      </c>
      <c r="BO53" s="193"/>
      <c r="BP53" s="90"/>
      <c r="BQ53" s="90"/>
      <c r="BR53" s="183">
        <f t="shared" si="30"/>
        <v>0</v>
      </c>
      <c r="BS53" s="193"/>
      <c r="BT53" s="90"/>
      <c r="BU53" s="90"/>
      <c r="BV53" s="183">
        <f t="shared" si="31"/>
        <v>0</v>
      </c>
      <c r="BW53" s="193"/>
      <c r="BX53" s="90"/>
      <c r="BY53" s="90"/>
      <c r="BZ53" s="183">
        <f t="shared" si="32"/>
        <v>0</v>
      </c>
      <c r="CA53" s="193"/>
      <c r="CB53" s="90"/>
      <c r="CC53" s="90"/>
      <c r="CD53" s="183">
        <f t="shared" si="33"/>
        <v>0</v>
      </c>
    </row>
    <row r="54" spans="2:82" x14ac:dyDescent="0.3">
      <c r="B54" s="53"/>
      <c r="C54" s="53" t="str">
        <f t="shared" si="0"/>
        <v>CPU_SinalizaçãoHorizonta</v>
      </c>
      <c r="D54" s="278">
        <f t="shared" si="1"/>
        <v>504</v>
      </c>
      <c r="E54" s="278">
        <f t="shared" si="2"/>
        <v>87750</v>
      </c>
      <c r="F54" s="1"/>
      <c r="G54" s="28" t="str">
        <f>IFERROR(VLOOKUP(F54,Tabela7[[RECURSO]:[CUSTO]],2,FALSE),"")</f>
        <v/>
      </c>
      <c r="I54" s="90">
        <f t="shared" si="41"/>
        <v>0</v>
      </c>
      <c r="J54" s="45">
        <f>IFERROR(VLOOKUP(F54,Tabela7[[RECURSO]:[CUSTO]],3,FALSE),0)</f>
        <v>0</v>
      </c>
      <c r="K54" s="45">
        <f>I54*J54</f>
        <v>0</v>
      </c>
      <c r="M54" s="85"/>
      <c r="N54" s="88"/>
      <c r="AD54" s="144" t="str">
        <f>$B$3</f>
        <v>Sinalização Horizontal</v>
      </c>
      <c r="AE54" s="192"/>
      <c r="AF54" s="180">
        <f t="shared" si="38"/>
        <v>0</v>
      </c>
      <c r="AG54" s="180">
        <f t="shared" si="17"/>
        <v>0</v>
      </c>
      <c r="AH54" s="181">
        <f t="shared" si="39"/>
        <v>0</v>
      </c>
      <c r="AI54" s="193"/>
      <c r="AJ54" s="90"/>
      <c r="AK54" s="90"/>
      <c r="AL54" s="183">
        <f t="shared" si="40"/>
        <v>0</v>
      </c>
      <c r="AM54" s="193"/>
      <c r="AN54" s="90"/>
      <c r="AO54" s="90"/>
      <c r="AP54" s="183">
        <f t="shared" si="23"/>
        <v>0</v>
      </c>
      <c r="AQ54" s="193"/>
      <c r="AR54" s="90"/>
      <c r="AS54" s="90"/>
      <c r="AT54" s="183">
        <f t="shared" si="24"/>
        <v>0</v>
      </c>
      <c r="AU54" s="193"/>
      <c r="AV54" s="90"/>
      <c r="AW54" s="90"/>
      <c r="AX54" s="183">
        <f t="shared" si="25"/>
        <v>0</v>
      </c>
      <c r="AY54" s="193"/>
      <c r="AZ54" s="90"/>
      <c r="BA54" s="90"/>
      <c r="BB54" s="183">
        <f t="shared" si="26"/>
        <v>0</v>
      </c>
      <c r="BC54" s="193"/>
      <c r="BD54" s="90"/>
      <c r="BE54" s="90"/>
      <c r="BF54" s="183">
        <f t="shared" si="27"/>
        <v>0</v>
      </c>
      <c r="BG54" s="193"/>
      <c r="BH54" s="90"/>
      <c r="BI54" s="90"/>
      <c r="BJ54" s="183">
        <f t="shared" si="28"/>
        <v>0</v>
      </c>
      <c r="BK54" s="193"/>
      <c r="BL54" s="90"/>
      <c r="BM54" s="90"/>
      <c r="BN54" s="183">
        <f t="shared" si="29"/>
        <v>0</v>
      </c>
      <c r="BO54" s="193"/>
      <c r="BP54" s="90"/>
      <c r="BQ54" s="90"/>
      <c r="BR54" s="183">
        <f t="shared" si="30"/>
        <v>0</v>
      </c>
      <c r="BS54" s="193"/>
      <c r="BT54" s="90"/>
      <c r="BU54" s="90"/>
      <c r="BV54" s="183">
        <f t="shared" si="31"/>
        <v>0</v>
      </c>
      <c r="BW54" s="193"/>
      <c r="BX54" s="90"/>
      <c r="BY54" s="90"/>
      <c r="BZ54" s="183">
        <f t="shared" si="32"/>
        <v>0</v>
      </c>
      <c r="CA54" s="193"/>
      <c r="CB54" s="90"/>
      <c r="CC54" s="90"/>
      <c r="CD54" s="183">
        <f t="shared" si="33"/>
        <v>0</v>
      </c>
    </row>
    <row r="55" spans="2:82" x14ac:dyDescent="0.3">
      <c r="B55" s="53"/>
      <c r="C55" s="53" t="str">
        <f t="shared" si="0"/>
        <v>CPU_SinalizaçãoHorizonta</v>
      </c>
      <c r="D55" s="278">
        <f t="shared" si="1"/>
        <v>504</v>
      </c>
      <c r="E55" s="278">
        <f t="shared" si="2"/>
        <v>87750</v>
      </c>
      <c r="F55" s="1"/>
      <c r="G55" s="28" t="str">
        <f>IFERROR(VLOOKUP(F55,Tabela7[[RECURSO]:[CUSTO]],2,FALSE),"")</f>
        <v/>
      </c>
      <c r="I55" s="90">
        <f t="shared" si="41"/>
        <v>0</v>
      </c>
      <c r="J55" s="45">
        <f>IFERROR(VLOOKUP(F55,Tabela7[[RECURSO]:[CUSTO]],3,FALSE),0)</f>
        <v>0</v>
      </c>
      <c r="K55" s="45">
        <f t="shared" si="42"/>
        <v>0</v>
      </c>
      <c r="M55" s="85"/>
      <c r="N55" s="88"/>
      <c r="AD55" s="144" t="str">
        <f t="shared" si="3"/>
        <v>Sinalização Horizontal</v>
      </c>
      <c r="AE55" s="192"/>
      <c r="AF55" s="180">
        <f t="shared" si="38"/>
        <v>0</v>
      </c>
      <c r="AG55" s="180">
        <f t="shared" si="17"/>
        <v>0</v>
      </c>
      <c r="AH55" s="181">
        <f t="shared" si="39"/>
        <v>0</v>
      </c>
      <c r="AI55" s="193"/>
      <c r="AJ55" s="90"/>
      <c r="AK55" s="90"/>
      <c r="AL55" s="183">
        <f t="shared" si="40"/>
        <v>0</v>
      </c>
      <c r="AM55" s="193"/>
      <c r="AN55" s="90"/>
      <c r="AO55" s="90"/>
      <c r="AP55" s="183">
        <f t="shared" si="23"/>
        <v>0</v>
      </c>
      <c r="AQ55" s="193"/>
      <c r="AR55" s="90"/>
      <c r="AS55" s="90"/>
      <c r="AT55" s="183">
        <f t="shared" si="24"/>
        <v>0</v>
      </c>
      <c r="AU55" s="193"/>
      <c r="AV55" s="90"/>
      <c r="AW55" s="90"/>
      <c r="AX55" s="183">
        <f t="shared" si="25"/>
        <v>0</v>
      </c>
      <c r="AY55" s="193"/>
      <c r="AZ55" s="90"/>
      <c r="BA55" s="90"/>
      <c r="BB55" s="183">
        <f t="shared" si="26"/>
        <v>0</v>
      </c>
      <c r="BC55" s="193"/>
      <c r="BD55" s="90"/>
      <c r="BE55" s="90"/>
      <c r="BF55" s="183">
        <f t="shared" si="27"/>
        <v>0</v>
      </c>
      <c r="BG55" s="193"/>
      <c r="BH55" s="90"/>
      <c r="BI55" s="90"/>
      <c r="BJ55" s="183">
        <f t="shared" si="28"/>
        <v>0</v>
      </c>
      <c r="BK55" s="193"/>
      <c r="BL55" s="90"/>
      <c r="BM55" s="90"/>
      <c r="BN55" s="183">
        <f t="shared" si="29"/>
        <v>0</v>
      </c>
      <c r="BO55" s="193"/>
      <c r="BP55" s="90"/>
      <c r="BQ55" s="90"/>
      <c r="BR55" s="183">
        <f t="shared" si="30"/>
        <v>0</v>
      </c>
      <c r="BS55" s="193"/>
      <c r="BT55" s="90"/>
      <c r="BU55" s="90"/>
      <c r="BV55" s="183">
        <f t="shared" si="31"/>
        <v>0</v>
      </c>
      <c r="BW55" s="193"/>
      <c r="BX55" s="90"/>
      <c r="BY55" s="90"/>
      <c r="BZ55" s="183">
        <f t="shared" si="32"/>
        <v>0</v>
      </c>
      <c r="CA55" s="193"/>
      <c r="CB55" s="90"/>
      <c r="CC55" s="90"/>
      <c r="CD55" s="183">
        <f t="shared" si="33"/>
        <v>0</v>
      </c>
    </row>
    <row r="56" spans="2:82" x14ac:dyDescent="0.3">
      <c r="B56" s="53"/>
      <c r="C56" s="53" t="str">
        <f t="shared" si="0"/>
        <v>CPU_SinalizaçãoHorizonta</v>
      </c>
      <c r="D56" s="278">
        <f t="shared" si="1"/>
        <v>504</v>
      </c>
      <c r="E56" s="278">
        <f t="shared" si="2"/>
        <v>87750</v>
      </c>
      <c r="F56" s="1"/>
      <c r="G56" s="28" t="str">
        <f>IFERROR(VLOOKUP(F56,Tabela7[[RECURSO]:[CUSTO]],2,FALSE),"")</f>
        <v/>
      </c>
      <c r="I56" s="90">
        <f t="shared" si="41"/>
        <v>0</v>
      </c>
      <c r="J56" s="45">
        <f>IFERROR(VLOOKUP(F56,Tabela7[[RECURSO]:[CUSTO]],3,FALSE),0)</f>
        <v>0</v>
      </c>
      <c r="K56" s="45">
        <f t="shared" si="42"/>
        <v>0</v>
      </c>
      <c r="M56" s="85"/>
      <c r="N56" s="88"/>
      <c r="AD56" s="144" t="str">
        <f t="shared" si="3"/>
        <v>Sinalização Horizontal</v>
      </c>
      <c r="AE56" s="192"/>
      <c r="AF56" s="180">
        <f t="shared" si="38"/>
        <v>0</v>
      </c>
      <c r="AG56" s="180">
        <f t="shared" si="17"/>
        <v>0</v>
      </c>
      <c r="AH56" s="181">
        <f t="shared" si="39"/>
        <v>0</v>
      </c>
      <c r="AI56" s="193"/>
      <c r="AJ56" s="90"/>
      <c r="AK56" s="90"/>
      <c r="AL56" s="183">
        <f t="shared" si="40"/>
        <v>0</v>
      </c>
      <c r="AM56" s="193"/>
      <c r="AN56" s="90"/>
      <c r="AO56" s="90"/>
      <c r="AP56" s="183">
        <f t="shared" si="23"/>
        <v>0</v>
      </c>
      <c r="AQ56" s="193"/>
      <c r="AR56" s="90"/>
      <c r="AS56" s="90"/>
      <c r="AT56" s="183">
        <f t="shared" si="24"/>
        <v>0</v>
      </c>
      <c r="AU56" s="193"/>
      <c r="AV56" s="90"/>
      <c r="AW56" s="90"/>
      <c r="AX56" s="183">
        <f t="shared" si="25"/>
        <v>0</v>
      </c>
      <c r="AY56" s="193"/>
      <c r="AZ56" s="90"/>
      <c r="BA56" s="90"/>
      <c r="BB56" s="183">
        <f t="shared" si="26"/>
        <v>0</v>
      </c>
      <c r="BC56" s="193"/>
      <c r="BD56" s="90"/>
      <c r="BE56" s="90"/>
      <c r="BF56" s="183">
        <f t="shared" si="27"/>
        <v>0</v>
      </c>
      <c r="BG56" s="193"/>
      <c r="BH56" s="90"/>
      <c r="BI56" s="90"/>
      <c r="BJ56" s="183">
        <f t="shared" si="28"/>
        <v>0</v>
      </c>
      <c r="BK56" s="193"/>
      <c r="BL56" s="90"/>
      <c r="BM56" s="90"/>
      <c r="BN56" s="183">
        <f t="shared" si="29"/>
        <v>0</v>
      </c>
      <c r="BO56" s="193"/>
      <c r="BP56" s="90"/>
      <c r="BQ56" s="90"/>
      <c r="BR56" s="183">
        <f t="shared" si="30"/>
        <v>0</v>
      </c>
      <c r="BS56" s="193"/>
      <c r="BT56" s="90"/>
      <c r="BU56" s="90"/>
      <c r="BV56" s="183">
        <f t="shared" si="31"/>
        <v>0</v>
      </c>
      <c r="BW56" s="193"/>
      <c r="BX56" s="90"/>
      <c r="BY56" s="90"/>
      <c r="BZ56" s="183">
        <f t="shared" si="32"/>
        <v>0</v>
      </c>
      <c r="CA56" s="193"/>
      <c r="CB56" s="90"/>
      <c r="CC56" s="90"/>
      <c r="CD56" s="183">
        <f t="shared" si="33"/>
        <v>0</v>
      </c>
    </row>
    <row r="57" spans="2:82" x14ac:dyDescent="0.3">
      <c r="B57" s="53"/>
      <c r="C57" s="53" t="str">
        <f t="shared" si="0"/>
        <v>CPU_SinalizaçãoHorizonta</v>
      </c>
      <c r="D57" s="278">
        <f t="shared" si="1"/>
        <v>504</v>
      </c>
      <c r="E57" s="278">
        <f t="shared" si="2"/>
        <v>87750</v>
      </c>
      <c r="F57" s="1"/>
      <c r="G57" s="28" t="str">
        <f>IFERROR(VLOOKUP(F57,Tabela7[[RECURSO]:[CUSTO]],2,FALSE),"")</f>
        <v/>
      </c>
      <c r="I57" s="90">
        <f t="shared" si="41"/>
        <v>0</v>
      </c>
      <c r="J57" s="45">
        <f>IFERROR(VLOOKUP(F57,Tabela7[[RECURSO]:[CUSTO]],3,FALSE),0)</f>
        <v>0</v>
      </c>
      <c r="K57" s="45">
        <f t="shared" si="42"/>
        <v>0</v>
      </c>
      <c r="M57" s="85"/>
      <c r="N57" s="88"/>
      <c r="AD57" s="144" t="str">
        <f t="shared" si="3"/>
        <v>Sinalização Horizontal</v>
      </c>
      <c r="AE57" s="192"/>
      <c r="AF57" s="180">
        <f t="shared" si="38"/>
        <v>0</v>
      </c>
      <c r="AG57" s="180">
        <f t="shared" si="17"/>
        <v>0</v>
      </c>
      <c r="AH57" s="181">
        <f t="shared" si="39"/>
        <v>0</v>
      </c>
      <c r="AI57" s="193"/>
      <c r="AJ57" s="90"/>
      <c r="AK57" s="90"/>
      <c r="AL57" s="183">
        <f t="shared" si="40"/>
        <v>0</v>
      </c>
      <c r="AM57" s="193"/>
      <c r="AN57" s="90"/>
      <c r="AO57" s="90"/>
      <c r="AP57" s="183">
        <f t="shared" si="23"/>
        <v>0</v>
      </c>
      <c r="AQ57" s="193"/>
      <c r="AR57" s="90"/>
      <c r="AS57" s="90"/>
      <c r="AT57" s="183">
        <f t="shared" si="24"/>
        <v>0</v>
      </c>
      <c r="AU57" s="193"/>
      <c r="AV57" s="90"/>
      <c r="AW57" s="90"/>
      <c r="AX57" s="183">
        <f t="shared" si="25"/>
        <v>0</v>
      </c>
      <c r="AY57" s="193"/>
      <c r="AZ57" s="90"/>
      <c r="BA57" s="90"/>
      <c r="BB57" s="183">
        <f t="shared" si="26"/>
        <v>0</v>
      </c>
      <c r="BC57" s="193"/>
      <c r="BD57" s="90"/>
      <c r="BE57" s="90"/>
      <c r="BF57" s="183">
        <f t="shared" si="27"/>
        <v>0</v>
      </c>
      <c r="BG57" s="193"/>
      <c r="BH57" s="90"/>
      <c r="BI57" s="90"/>
      <c r="BJ57" s="183">
        <f t="shared" si="28"/>
        <v>0</v>
      </c>
      <c r="BK57" s="193"/>
      <c r="BL57" s="90"/>
      <c r="BM57" s="90"/>
      <c r="BN57" s="183">
        <f t="shared" si="29"/>
        <v>0</v>
      </c>
      <c r="BO57" s="193"/>
      <c r="BP57" s="90"/>
      <c r="BQ57" s="90"/>
      <c r="BR57" s="183">
        <f t="shared" si="30"/>
        <v>0</v>
      </c>
      <c r="BS57" s="193"/>
      <c r="BT57" s="90"/>
      <c r="BU57" s="90"/>
      <c r="BV57" s="183">
        <f t="shared" si="31"/>
        <v>0</v>
      </c>
      <c r="BW57" s="193"/>
      <c r="BX57" s="90"/>
      <c r="BY57" s="90"/>
      <c r="BZ57" s="183">
        <f t="shared" si="32"/>
        <v>0</v>
      </c>
      <c r="CA57" s="193"/>
      <c r="CB57" s="90"/>
      <c r="CC57" s="90"/>
      <c r="CD57" s="183">
        <f t="shared" si="33"/>
        <v>0</v>
      </c>
    </row>
    <row r="58" spans="2:82" x14ac:dyDescent="0.3">
      <c r="B58" s="53"/>
      <c r="C58" s="53" t="str">
        <f t="shared" si="0"/>
        <v>CPU_SinalizaçãoHorizonta</v>
      </c>
      <c r="D58" s="278">
        <f t="shared" si="1"/>
        <v>504</v>
      </c>
      <c r="E58" s="278">
        <f t="shared" si="2"/>
        <v>87750</v>
      </c>
      <c r="F58" s="1"/>
      <c r="G58" s="28" t="str">
        <f>IFERROR(VLOOKUP(F58,Tabela7[[RECURSO]:[CUSTO]],2,FALSE),"")</f>
        <v/>
      </c>
      <c r="I58" s="90">
        <f t="shared" si="41"/>
        <v>0</v>
      </c>
      <c r="J58" s="45">
        <f>IFERROR(VLOOKUP(F58,Tabela7[[RECURSO]:[CUSTO]],3,FALSE),0)</f>
        <v>0</v>
      </c>
      <c r="K58" s="45">
        <f t="shared" si="42"/>
        <v>0</v>
      </c>
      <c r="M58" s="85"/>
      <c r="N58" s="88"/>
      <c r="AD58" s="144" t="str">
        <f t="shared" si="3"/>
        <v>Sinalização Horizontal</v>
      </c>
      <c r="AE58" s="192"/>
      <c r="AF58" s="180">
        <f t="shared" si="38"/>
        <v>0</v>
      </c>
      <c r="AG58" s="180">
        <f t="shared" si="17"/>
        <v>0</v>
      </c>
      <c r="AH58" s="181">
        <f t="shared" si="39"/>
        <v>0</v>
      </c>
      <c r="AI58" s="193"/>
      <c r="AJ58" s="90"/>
      <c r="AK58" s="90"/>
      <c r="AL58" s="183">
        <f t="shared" si="40"/>
        <v>0</v>
      </c>
      <c r="AM58" s="193"/>
      <c r="AN58" s="90"/>
      <c r="AO58" s="90"/>
      <c r="AP58" s="183">
        <f t="shared" si="23"/>
        <v>0</v>
      </c>
      <c r="AQ58" s="193"/>
      <c r="AR58" s="90"/>
      <c r="AS58" s="90"/>
      <c r="AT58" s="183">
        <f t="shared" si="24"/>
        <v>0</v>
      </c>
      <c r="AU58" s="193"/>
      <c r="AV58" s="90"/>
      <c r="AW58" s="90"/>
      <c r="AX58" s="183">
        <f t="shared" si="25"/>
        <v>0</v>
      </c>
      <c r="AY58" s="193"/>
      <c r="AZ58" s="90"/>
      <c r="BA58" s="90"/>
      <c r="BB58" s="183">
        <f t="shared" si="26"/>
        <v>0</v>
      </c>
      <c r="BC58" s="193"/>
      <c r="BD58" s="90"/>
      <c r="BE58" s="90"/>
      <c r="BF58" s="183">
        <f t="shared" si="27"/>
        <v>0</v>
      </c>
      <c r="BG58" s="193"/>
      <c r="BH58" s="90"/>
      <c r="BI58" s="90"/>
      <c r="BJ58" s="183">
        <f t="shared" si="28"/>
        <v>0</v>
      </c>
      <c r="BK58" s="193"/>
      <c r="BL58" s="90"/>
      <c r="BM58" s="90"/>
      <c r="BN58" s="183">
        <f t="shared" si="29"/>
        <v>0</v>
      </c>
      <c r="BO58" s="193"/>
      <c r="BP58" s="90"/>
      <c r="BQ58" s="90"/>
      <c r="BR58" s="183">
        <f t="shared" si="30"/>
        <v>0</v>
      </c>
      <c r="BS58" s="193"/>
      <c r="BT58" s="90"/>
      <c r="BU58" s="90"/>
      <c r="BV58" s="183">
        <f t="shared" si="31"/>
        <v>0</v>
      </c>
      <c r="BW58" s="193"/>
      <c r="BX58" s="90"/>
      <c r="BY58" s="90"/>
      <c r="BZ58" s="183">
        <f t="shared" si="32"/>
        <v>0</v>
      </c>
      <c r="CA58" s="193"/>
      <c r="CB58" s="90"/>
      <c r="CC58" s="90"/>
      <c r="CD58" s="183">
        <f t="shared" si="33"/>
        <v>0</v>
      </c>
    </row>
    <row r="59" spans="2:82" x14ac:dyDescent="0.3">
      <c r="B59" s="53"/>
      <c r="C59" s="53" t="str">
        <f t="shared" si="0"/>
        <v>CPU_SinalizaçãoHorizonta</v>
      </c>
      <c r="D59" s="278">
        <f t="shared" si="1"/>
        <v>504</v>
      </c>
      <c r="E59" s="278">
        <f t="shared" si="2"/>
        <v>87750</v>
      </c>
      <c r="F59" s="1"/>
      <c r="G59" s="28" t="str">
        <f>IFERROR(VLOOKUP(F59,Tabela7[[RECURSO]:[CUSTO]],2,FALSE),"")</f>
        <v/>
      </c>
      <c r="I59" s="90">
        <f t="shared" si="41"/>
        <v>0</v>
      </c>
      <c r="J59" s="45">
        <f>IFERROR(VLOOKUP(F59,Tabela7[[RECURSO]:[CUSTO]],3,FALSE),0)</f>
        <v>0</v>
      </c>
      <c r="K59" s="45">
        <f t="shared" si="42"/>
        <v>0</v>
      </c>
      <c r="M59" s="85"/>
      <c r="N59" s="88"/>
      <c r="AD59" s="144" t="str">
        <f t="shared" si="3"/>
        <v>Sinalização Horizontal</v>
      </c>
      <c r="AE59" s="192"/>
      <c r="AF59" s="180">
        <f t="shared" si="38"/>
        <v>0</v>
      </c>
      <c r="AG59" s="180">
        <f t="shared" si="17"/>
        <v>0</v>
      </c>
      <c r="AH59" s="181">
        <f t="shared" si="39"/>
        <v>0</v>
      </c>
      <c r="AI59" s="193"/>
      <c r="AJ59" s="90"/>
      <c r="AK59" s="90"/>
      <c r="AL59" s="183">
        <f t="shared" si="40"/>
        <v>0</v>
      </c>
      <c r="AM59" s="193"/>
      <c r="AN59" s="90"/>
      <c r="AO59" s="90"/>
      <c r="AP59" s="183">
        <f t="shared" si="23"/>
        <v>0</v>
      </c>
      <c r="AQ59" s="193"/>
      <c r="AR59" s="90"/>
      <c r="AS59" s="90"/>
      <c r="AT59" s="183">
        <f t="shared" si="24"/>
        <v>0</v>
      </c>
      <c r="AU59" s="193"/>
      <c r="AV59" s="90"/>
      <c r="AW59" s="90"/>
      <c r="AX59" s="183">
        <f t="shared" si="25"/>
        <v>0</v>
      </c>
      <c r="AY59" s="193"/>
      <c r="AZ59" s="90"/>
      <c r="BA59" s="90"/>
      <c r="BB59" s="183">
        <f t="shared" si="26"/>
        <v>0</v>
      </c>
      <c r="BC59" s="193"/>
      <c r="BD59" s="90"/>
      <c r="BE59" s="90"/>
      <c r="BF59" s="183">
        <f t="shared" si="27"/>
        <v>0</v>
      </c>
      <c r="BG59" s="193"/>
      <c r="BH59" s="90"/>
      <c r="BI59" s="90"/>
      <c r="BJ59" s="183">
        <f t="shared" si="28"/>
        <v>0</v>
      </c>
      <c r="BK59" s="193"/>
      <c r="BL59" s="90"/>
      <c r="BM59" s="90"/>
      <c r="BN59" s="183">
        <f t="shared" si="29"/>
        <v>0</v>
      </c>
      <c r="BO59" s="193"/>
      <c r="BP59" s="90"/>
      <c r="BQ59" s="90"/>
      <c r="BR59" s="183">
        <f t="shared" si="30"/>
        <v>0</v>
      </c>
      <c r="BS59" s="193"/>
      <c r="BT59" s="90"/>
      <c r="BU59" s="90"/>
      <c r="BV59" s="183">
        <f t="shared" si="31"/>
        <v>0</v>
      </c>
      <c r="BW59" s="193"/>
      <c r="BX59" s="90"/>
      <c r="BY59" s="90"/>
      <c r="BZ59" s="183">
        <f t="shared" si="32"/>
        <v>0</v>
      </c>
      <c r="CA59" s="193"/>
      <c r="CB59" s="90"/>
      <c r="CC59" s="90"/>
      <c r="CD59" s="183">
        <f t="shared" si="33"/>
        <v>0</v>
      </c>
    </row>
    <row r="60" spans="2:82" x14ac:dyDescent="0.3">
      <c r="B60" s="53"/>
      <c r="C60" s="53" t="str">
        <f t="shared" si="0"/>
        <v>CPU_SinalizaçãoHorizonta</v>
      </c>
      <c r="D60" s="278">
        <f t="shared" si="1"/>
        <v>504</v>
      </c>
      <c r="E60" s="278">
        <f t="shared" si="2"/>
        <v>87750</v>
      </c>
      <c r="F60" s="1"/>
      <c r="G60" s="28" t="str">
        <f>IFERROR(VLOOKUP(F60,Tabela7[[RECURSO]:[CUSTO]],2,FALSE),"")</f>
        <v/>
      </c>
      <c r="I60" s="90">
        <f t="shared" si="41"/>
        <v>0</v>
      </c>
      <c r="J60" s="45">
        <f>IFERROR(VLOOKUP(F60,Tabela7[[RECURSO]:[CUSTO]],3,FALSE),0)</f>
        <v>0</v>
      </c>
      <c r="K60" s="45">
        <f t="shared" si="42"/>
        <v>0</v>
      </c>
      <c r="M60" s="85"/>
      <c r="N60" s="88"/>
      <c r="AD60" s="144" t="str">
        <f t="shared" si="3"/>
        <v>Sinalização Horizontal</v>
      </c>
      <c r="AE60" s="192"/>
      <c r="AF60" s="180">
        <f t="shared" si="38"/>
        <v>0</v>
      </c>
      <c r="AG60" s="180">
        <f t="shared" si="17"/>
        <v>0</v>
      </c>
      <c r="AH60" s="181">
        <f t="shared" si="39"/>
        <v>0</v>
      </c>
      <c r="AI60" s="193"/>
      <c r="AJ60" s="90"/>
      <c r="AK60" s="90"/>
      <c r="AL60" s="183">
        <f t="shared" si="40"/>
        <v>0</v>
      </c>
      <c r="AM60" s="193"/>
      <c r="AN60" s="90"/>
      <c r="AO60" s="90"/>
      <c r="AP60" s="183">
        <f t="shared" si="23"/>
        <v>0</v>
      </c>
      <c r="AQ60" s="193"/>
      <c r="AR60" s="90"/>
      <c r="AS60" s="90"/>
      <c r="AT60" s="183">
        <f t="shared" si="24"/>
        <v>0</v>
      </c>
      <c r="AU60" s="193"/>
      <c r="AV60" s="90"/>
      <c r="AW60" s="90"/>
      <c r="AX60" s="183">
        <f t="shared" si="25"/>
        <v>0</v>
      </c>
      <c r="AY60" s="193"/>
      <c r="AZ60" s="90"/>
      <c r="BA60" s="90"/>
      <c r="BB60" s="183">
        <f t="shared" si="26"/>
        <v>0</v>
      </c>
      <c r="BC60" s="193"/>
      <c r="BD60" s="90"/>
      <c r="BE60" s="90"/>
      <c r="BF60" s="183">
        <f t="shared" si="27"/>
        <v>0</v>
      </c>
      <c r="BG60" s="193"/>
      <c r="BH60" s="90"/>
      <c r="BI60" s="90"/>
      <c r="BJ60" s="183">
        <f t="shared" si="28"/>
        <v>0</v>
      </c>
      <c r="BK60" s="193"/>
      <c r="BL60" s="90"/>
      <c r="BM60" s="90"/>
      <c r="BN60" s="183">
        <f t="shared" si="29"/>
        <v>0</v>
      </c>
      <c r="BO60" s="193"/>
      <c r="BP60" s="90"/>
      <c r="BQ60" s="90"/>
      <c r="BR60" s="183">
        <f t="shared" si="30"/>
        <v>0</v>
      </c>
      <c r="BS60" s="193"/>
      <c r="BT60" s="90"/>
      <c r="BU60" s="90"/>
      <c r="BV60" s="183">
        <f t="shared" si="31"/>
        <v>0</v>
      </c>
      <c r="BW60" s="193"/>
      <c r="BX60" s="90"/>
      <c r="BY60" s="90"/>
      <c r="BZ60" s="183">
        <f t="shared" si="32"/>
        <v>0</v>
      </c>
      <c r="CA60" s="193"/>
      <c r="CB60" s="90"/>
      <c r="CC60" s="90"/>
      <c r="CD60" s="183">
        <f t="shared" si="33"/>
        <v>0</v>
      </c>
    </row>
    <row r="61" spans="2:82" x14ac:dyDescent="0.3">
      <c r="B61" s="53"/>
      <c r="C61" s="53" t="str">
        <f t="shared" si="0"/>
        <v>CPU_SinalizaçãoHorizonta</v>
      </c>
      <c r="D61" s="278">
        <f t="shared" si="1"/>
        <v>504</v>
      </c>
      <c r="E61" s="278">
        <f t="shared" si="2"/>
        <v>87750</v>
      </c>
      <c r="F61" s="1"/>
      <c r="G61" s="28" t="str">
        <f>IFERROR(VLOOKUP(F61,Tabela7[[RECURSO]:[CUSTO]],2,FALSE),"")</f>
        <v/>
      </c>
      <c r="I61" s="90">
        <f t="shared" si="41"/>
        <v>0</v>
      </c>
      <c r="J61" s="45">
        <f>IFERROR(VLOOKUP(F61,Tabela7[[RECURSO]:[CUSTO]],3,FALSE),0)</f>
        <v>0</v>
      </c>
      <c r="K61" s="45">
        <f t="shared" si="42"/>
        <v>0</v>
      </c>
      <c r="M61" s="85"/>
      <c r="N61" s="88"/>
      <c r="AD61" s="144" t="str">
        <f t="shared" si="3"/>
        <v>Sinalização Horizontal</v>
      </c>
      <c r="AE61" s="192"/>
      <c r="AF61" s="180">
        <f t="shared" si="38"/>
        <v>0</v>
      </c>
      <c r="AG61" s="180">
        <f t="shared" si="17"/>
        <v>0</v>
      </c>
      <c r="AH61" s="181">
        <f t="shared" si="39"/>
        <v>0</v>
      </c>
      <c r="AI61" s="193"/>
      <c r="AJ61" s="90"/>
      <c r="AK61" s="90"/>
      <c r="AL61" s="183">
        <f t="shared" si="40"/>
        <v>0</v>
      </c>
      <c r="AM61" s="193"/>
      <c r="AN61" s="90"/>
      <c r="AO61" s="90"/>
      <c r="AP61" s="183">
        <f t="shared" si="23"/>
        <v>0</v>
      </c>
      <c r="AQ61" s="193"/>
      <c r="AR61" s="90"/>
      <c r="AS61" s="90"/>
      <c r="AT61" s="183">
        <f t="shared" si="24"/>
        <v>0</v>
      </c>
      <c r="AU61" s="193"/>
      <c r="AV61" s="90"/>
      <c r="AW61" s="90"/>
      <c r="AX61" s="183">
        <f t="shared" si="25"/>
        <v>0</v>
      </c>
      <c r="AY61" s="193"/>
      <c r="AZ61" s="90"/>
      <c r="BA61" s="90"/>
      <c r="BB61" s="183">
        <f t="shared" si="26"/>
        <v>0</v>
      </c>
      <c r="BC61" s="193"/>
      <c r="BD61" s="90"/>
      <c r="BE61" s="90"/>
      <c r="BF61" s="183">
        <f t="shared" si="27"/>
        <v>0</v>
      </c>
      <c r="BG61" s="193"/>
      <c r="BH61" s="90"/>
      <c r="BI61" s="90"/>
      <c r="BJ61" s="183">
        <f t="shared" si="28"/>
        <v>0</v>
      </c>
      <c r="BK61" s="193"/>
      <c r="BL61" s="90"/>
      <c r="BM61" s="90"/>
      <c r="BN61" s="183">
        <f t="shared" si="29"/>
        <v>0</v>
      </c>
      <c r="BO61" s="193"/>
      <c r="BP61" s="90"/>
      <c r="BQ61" s="90"/>
      <c r="BR61" s="183">
        <f t="shared" si="30"/>
        <v>0</v>
      </c>
      <c r="BS61" s="193"/>
      <c r="BT61" s="90"/>
      <c r="BU61" s="90"/>
      <c r="BV61" s="183">
        <f t="shared" si="31"/>
        <v>0</v>
      </c>
      <c r="BW61" s="193"/>
      <c r="BX61" s="90"/>
      <c r="BY61" s="90"/>
      <c r="BZ61" s="183">
        <f t="shared" si="32"/>
        <v>0</v>
      </c>
      <c r="CA61" s="193"/>
      <c r="CB61" s="90"/>
      <c r="CC61" s="90"/>
      <c r="CD61" s="183">
        <f t="shared" si="33"/>
        <v>0</v>
      </c>
    </row>
    <row r="62" spans="2:82" ht="15" thickBot="1" x14ac:dyDescent="0.35">
      <c r="B62" s="53"/>
      <c r="C62" s="53" t="str">
        <f t="shared" si="0"/>
        <v>CPU_SinalizaçãoHorizonta</v>
      </c>
      <c r="D62" s="278">
        <f t="shared" si="1"/>
        <v>504</v>
      </c>
      <c r="E62" s="278">
        <f t="shared" si="2"/>
        <v>87750</v>
      </c>
      <c r="F62" s="1"/>
      <c r="G62" s="28" t="str">
        <f>IFERROR(VLOOKUP(F62,Tabela7[[RECURSO]:[CUSTO]],2,FALSE),"")</f>
        <v/>
      </c>
      <c r="I62" s="90">
        <f t="shared" si="41"/>
        <v>0</v>
      </c>
      <c r="J62" s="45">
        <f>IFERROR(VLOOKUP(F62,Tabela7[[RECURSO]:[CUSTO]],3,FALSE),0)</f>
        <v>0</v>
      </c>
      <c r="K62" s="45">
        <f t="shared" si="42"/>
        <v>0</v>
      </c>
      <c r="M62" s="86"/>
      <c r="N62" s="88"/>
      <c r="AD62" s="144" t="str">
        <f t="shared" si="3"/>
        <v>Sinalização Horizontal</v>
      </c>
      <c r="AE62" s="194"/>
      <c r="AF62" s="195">
        <f t="shared" si="38"/>
        <v>0</v>
      </c>
      <c r="AG62" s="195">
        <f t="shared" si="17"/>
        <v>0</v>
      </c>
      <c r="AH62" s="196">
        <f t="shared" si="39"/>
        <v>0</v>
      </c>
      <c r="AI62" s="197"/>
      <c r="AJ62" s="198"/>
      <c r="AK62" s="198"/>
      <c r="AL62" s="199">
        <f t="shared" si="40"/>
        <v>0</v>
      </c>
      <c r="AM62" s="197"/>
      <c r="AN62" s="198"/>
      <c r="AO62" s="198"/>
      <c r="AP62" s="199">
        <f t="shared" si="23"/>
        <v>0</v>
      </c>
      <c r="AQ62" s="197"/>
      <c r="AR62" s="198"/>
      <c r="AS62" s="198"/>
      <c r="AT62" s="199">
        <f t="shared" si="24"/>
        <v>0</v>
      </c>
      <c r="AU62" s="197"/>
      <c r="AV62" s="198"/>
      <c r="AW62" s="198"/>
      <c r="AX62" s="199">
        <f t="shared" si="25"/>
        <v>0</v>
      </c>
      <c r="AY62" s="197"/>
      <c r="AZ62" s="198"/>
      <c r="BA62" s="198"/>
      <c r="BB62" s="199">
        <f t="shared" si="26"/>
        <v>0</v>
      </c>
      <c r="BC62" s="197"/>
      <c r="BD62" s="198"/>
      <c r="BE62" s="198"/>
      <c r="BF62" s="199">
        <f t="shared" si="27"/>
        <v>0</v>
      </c>
      <c r="BG62" s="197"/>
      <c r="BH62" s="198"/>
      <c r="BI62" s="198"/>
      <c r="BJ62" s="199">
        <f t="shared" si="28"/>
        <v>0</v>
      </c>
      <c r="BK62" s="197"/>
      <c r="BL62" s="198"/>
      <c r="BM62" s="198"/>
      <c r="BN62" s="199">
        <f t="shared" si="29"/>
        <v>0</v>
      </c>
      <c r="BO62" s="197"/>
      <c r="BP62" s="198"/>
      <c r="BQ62" s="198"/>
      <c r="BR62" s="199">
        <f t="shared" si="30"/>
        <v>0</v>
      </c>
      <c r="BS62" s="197"/>
      <c r="BT62" s="198"/>
      <c r="BU62" s="198"/>
      <c r="BV62" s="199">
        <f t="shared" si="31"/>
        <v>0</v>
      </c>
      <c r="BW62" s="197"/>
      <c r="BX62" s="198"/>
      <c r="BY62" s="198"/>
      <c r="BZ62" s="199">
        <f t="shared" si="32"/>
        <v>0</v>
      </c>
      <c r="CA62" s="197"/>
      <c r="CB62" s="198"/>
      <c r="CC62" s="198"/>
      <c r="CD62" s="199">
        <f t="shared" si="33"/>
        <v>0</v>
      </c>
    </row>
  </sheetData>
  <conditionalFormatting sqref="K6:K7">
    <cfRule type="iconSet" priority="14">
      <iconSet>
        <cfvo type="percent" val="0"/>
        <cfvo type="num" val="0"/>
        <cfvo type="num" val="0.02"/>
      </iconSet>
    </cfRule>
  </conditionalFormatting>
  <conditionalFormatting sqref="AH6:AH7">
    <cfRule type="iconSet" priority="13">
      <iconSet>
        <cfvo type="percent" val="0"/>
        <cfvo type="num" val="0"/>
        <cfvo type="num" val="0.02"/>
      </iconSet>
    </cfRule>
  </conditionalFormatting>
  <conditionalFormatting sqref="AL6:AL7">
    <cfRule type="iconSet" priority="12">
      <iconSet>
        <cfvo type="percent" val="0"/>
        <cfvo type="num" val="0"/>
        <cfvo type="num" val="0.02"/>
      </iconSet>
    </cfRule>
  </conditionalFormatting>
  <conditionalFormatting sqref="AP6:AP7">
    <cfRule type="iconSet" priority="11">
      <iconSet>
        <cfvo type="percent" val="0"/>
        <cfvo type="num" val="0"/>
        <cfvo type="num" val="0.02"/>
      </iconSet>
    </cfRule>
  </conditionalFormatting>
  <conditionalFormatting sqref="AT6:AT7">
    <cfRule type="iconSet" priority="10">
      <iconSet>
        <cfvo type="percent" val="0"/>
        <cfvo type="num" val="0"/>
        <cfvo type="num" val="0.02"/>
      </iconSet>
    </cfRule>
  </conditionalFormatting>
  <conditionalFormatting sqref="AX6:AX7">
    <cfRule type="iconSet" priority="9">
      <iconSet>
        <cfvo type="percent" val="0"/>
        <cfvo type="num" val="0"/>
        <cfvo type="num" val="0.02"/>
      </iconSet>
    </cfRule>
  </conditionalFormatting>
  <conditionalFormatting sqref="BB6:BB7">
    <cfRule type="iconSet" priority="8">
      <iconSet>
        <cfvo type="percent" val="0"/>
        <cfvo type="num" val="0"/>
        <cfvo type="num" val="0.02"/>
      </iconSet>
    </cfRule>
  </conditionalFormatting>
  <conditionalFormatting sqref="BF6:BF7">
    <cfRule type="iconSet" priority="7">
      <iconSet>
        <cfvo type="percent" val="0"/>
        <cfvo type="num" val="0"/>
        <cfvo type="num" val="0.02"/>
      </iconSet>
    </cfRule>
  </conditionalFormatting>
  <conditionalFormatting sqref="BJ6:BJ7">
    <cfRule type="iconSet" priority="6">
      <iconSet>
        <cfvo type="percent" val="0"/>
        <cfvo type="num" val="0"/>
        <cfvo type="num" val="0.02"/>
      </iconSet>
    </cfRule>
  </conditionalFormatting>
  <conditionalFormatting sqref="BN6:BN7">
    <cfRule type="iconSet" priority="5">
      <iconSet>
        <cfvo type="percent" val="0"/>
        <cfvo type="num" val="0"/>
        <cfvo type="num" val="0.02"/>
      </iconSet>
    </cfRule>
  </conditionalFormatting>
  <conditionalFormatting sqref="BR6:BR7">
    <cfRule type="iconSet" priority="4">
      <iconSet>
        <cfvo type="percent" val="0"/>
        <cfvo type="num" val="0"/>
        <cfvo type="num" val="0.02"/>
      </iconSet>
    </cfRule>
  </conditionalFormatting>
  <conditionalFormatting sqref="BV6:BV7">
    <cfRule type="iconSet" priority="3">
      <iconSet>
        <cfvo type="percent" val="0"/>
        <cfvo type="num" val="0"/>
        <cfvo type="num" val="0.02"/>
      </iconSet>
    </cfRule>
  </conditionalFormatting>
  <conditionalFormatting sqref="BZ6:BZ7">
    <cfRule type="iconSet" priority="2">
      <iconSet>
        <cfvo type="percent" val="0"/>
        <cfvo type="num" val="0"/>
        <cfvo type="num" val="0.02"/>
      </iconSet>
    </cfRule>
  </conditionalFormatting>
  <conditionalFormatting sqref="CD6:CD7">
    <cfRule type="iconSet" priority="1">
      <iconSet>
        <cfvo type="percent" val="0"/>
        <cfvo type="num" val="0"/>
        <cfvo type="num" val="0.02"/>
      </iconSet>
    </cfRule>
  </conditionalFormatting>
  <dataValidations count="5">
    <dataValidation type="list" allowBlank="1" showInputMessage="1" showErrorMessage="1" sqref="F51:F62" xr:uid="{CB8835AF-E1AA-4009-9994-9850C67E1AB5}">
      <formula1>INDIRECT($B$50)</formula1>
    </dataValidation>
    <dataValidation type="list" allowBlank="1" showInputMessage="1" showErrorMessage="1" sqref="F38:F49" xr:uid="{A6A7E8F7-6BB8-458F-8058-592A4D5CBE22}">
      <formula1>INDIRECT($B$37)</formula1>
    </dataValidation>
    <dataValidation type="list" allowBlank="1" showInputMessage="1" showErrorMessage="1" sqref="F25:F36" xr:uid="{90E67939-FCE8-432F-B7E1-51EC40940D90}">
      <formula1>INDIRECT($B$24)</formula1>
    </dataValidation>
    <dataValidation type="list" allowBlank="1" showInputMessage="1" showErrorMessage="1" sqref="F12:F23" xr:uid="{D4B8F5E4-0E83-4153-AC26-C0CE43D83730}">
      <formula1>INDIRECT($B$11)</formula1>
    </dataValidation>
    <dataValidation type="list" allowBlank="1" showInputMessage="1" showErrorMessage="1" sqref="B3:E3" xr:uid="{AD41C7BA-6AE8-48E7-AA98-F61B80BFD0CB}">
      <formula1>INDIRECT($B$2)</formula1>
    </dataValidation>
  </dataValidations>
  <pageMargins left="0.51181102362204722" right="0.51181102362204722" top="0.19685039370078741" bottom="0.19685039370078741" header="0.31496062992125984" footer="0.31496062992125984"/>
  <pageSetup paperSize="9" scale="82" orientation="portrait" r:id="rId1"/>
  <colBreaks count="1" manualBreakCount="1">
    <brk id="11" max="1048575" man="1"/>
  </colBreaks>
  <drawing r:id="rId2"/>
  <legacyDrawing r:id="rId3"/>
  <tableParts count="2">
    <tablePart r:id="rId4"/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7E4AD-6F33-416F-B3BB-6774B6546024}">
  <sheetPr codeName="Plan19"/>
  <dimension ref="A1:CD62"/>
  <sheetViews>
    <sheetView showGridLines="0" showRowColHeaders="0" zoomScaleNormal="100" workbookViewId="0">
      <pane xSplit="14" ySplit="10" topLeftCell="O11" activePane="bottomRight" state="frozen"/>
      <selection pane="topRight" activeCell="C28" activeCellId="1" sqref="E13 C28"/>
      <selection pane="bottomLeft" activeCell="C28" activeCellId="1" sqref="E13 C28"/>
      <selection pane="bottomRight" activeCell="B7" sqref="B7"/>
    </sheetView>
  </sheetViews>
  <sheetFormatPr defaultRowHeight="14.4" x14ac:dyDescent="0.3"/>
  <cols>
    <col min="1" max="1" width="4.109375" customWidth="1"/>
    <col min="2" max="2" width="16.109375" customWidth="1"/>
    <col min="3" max="5" width="16.109375" hidden="1" customWidth="1"/>
    <col min="6" max="6" width="40.6640625" customWidth="1"/>
    <col min="7" max="7" width="10.6640625" style="28" customWidth="1"/>
    <col min="8" max="8" width="7.6640625" style="28" customWidth="1"/>
    <col min="9" max="10" width="10.6640625" customWidth="1"/>
    <col min="11" max="11" width="14" bestFit="1" customWidth="1"/>
    <col min="12" max="12" width="2.33203125" customWidth="1"/>
    <col min="13" max="14" width="12.6640625" customWidth="1"/>
    <col min="15" max="15" width="14" bestFit="1" customWidth="1"/>
    <col min="16" max="16" width="9.33203125" bestFit="1" customWidth="1"/>
    <col min="30" max="30" width="12.44140625" bestFit="1" customWidth="1"/>
    <col min="31" max="31" width="7.6640625" customWidth="1"/>
    <col min="32" max="32" width="9.33203125" bestFit="1" customWidth="1"/>
    <col min="33" max="34" width="10.6640625" customWidth="1"/>
    <col min="35" max="35" width="7.6640625" customWidth="1"/>
    <col min="36" max="36" width="9.33203125" customWidth="1"/>
    <col min="37" max="38" width="10.6640625" customWidth="1"/>
    <col min="40" max="40" width="9.33203125" customWidth="1"/>
    <col min="42" max="42" width="9.6640625" customWidth="1"/>
    <col min="44" max="44" width="9.33203125" customWidth="1"/>
    <col min="46" max="46" width="9.6640625" customWidth="1"/>
    <col min="48" max="48" width="9.33203125" customWidth="1"/>
    <col min="50" max="50" width="9.6640625" customWidth="1"/>
    <col min="52" max="52" width="9.33203125" customWidth="1"/>
    <col min="54" max="54" width="9.6640625" customWidth="1"/>
    <col min="56" max="56" width="9.33203125" customWidth="1"/>
    <col min="58" max="58" width="9.6640625" customWidth="1"/>
    <col min="60" max="60" width="9.33203125" customWidth="1"/>
    <col min="62" max="62" width="9.6640625" customWidth="1"/>
    <col min="64" max="64" width="9.33203125" customWidth="1"/>
    <col min="66" max="66" width="9.6640625" customWidth="1"/>
    <col min="68" max="68" width="9.33203125" customWidth="1"/>
    <col min="70" max="70" width="9.6640625" customWidth="1"/>
    <col min="72" max="72" width="10" customWidth="1"/>
    <col min="73" max="73" width="9.5546875" customWidth="1"/>
    <col min="74" max="74" width="10.44140625" customWidth="1"/>
    <col min="76" max="76" width="10" customWidth="1"/>
    <col min="77" max="77" width="9.5546875" customWidth="1"/>
    <col min="78" max="78" width="10.44140625" customWidth="1"/>
    <col min="80" max="80" width="10" customWidth="1"/>
    <col min="81" max="81" width="9.5546875" customWidth="1"/>
    <col min="82" max="82" width="10.44140625" customWidth="1"/>
  </cols>
  <sheetData>
    <row r="1" spans="1:82" ht="26.4" customHeight="1" thickBot="1" x14ac:dyDescent="0.35">
      <c r="P1" s="22">
        <f>K3*1.4451</f>
        <v>3265.6174706577044</v>
      </c>
      <c r="AE1" s="163" t="s">
        <v>678</v>
      </c>
    </row>
    <row r="2" spans="1:82" x14ac:dyDescent="0.3">
      <c r="B2" s="64" t="s">
        <v>679</v>
      </c>
      <c r="C2" s="67"/>
      <c r="D2" s="67"/>
      <c r="E2" s="67"/>
      <c r="F2" s="65"/>
      <c r="G2" s="66"/>
      <c r="H2" s="66"/>
      <c r="I2" s="65"/>
      <c r="J2" s="67" t="s">
        <v>680</v>
      </c>
      <c r="K2" s="68" t="s">
        <v>681</v>
      </c>
      <c r="M2" s="227" t="s">
        <v>682</v>
      </c>
      <c r="N2" s="228" t="s">
        <v>683</v>
      </c>
      <c r="O2" s="234" t="s">
        <v>684</v>
      </c>
      <c r="AE2" s="164" t="s">
        <v>590</v>
      </c>
      <c r="AF2" s="165" t="s">
        <v>20</v>
      </c>
      <c r="AG2" s="67"/>
      <c r="AH2" s="68" t="s">
        <v>681</v>
      </c>
      <c r="AI2" s="166">
        <v>44927</v>
      </c>
      <c r="AJ2" s="165" t="s">
        <v>20</v>
      </c>
      <c r="AK2" s="67"/>
      <c r="AL2" s="68" t="s">
        <v>681</v>
      </c>
      <c r="AM2" s="166">
        <v>44958</v>
      </c>
      <c r="AN2" s="165" t="s">
        <v>20</v>
      </c>
      <c r="AO2" s="67"/>
      <c r="AP2" s="68" t="s">
        <v>681</v>
      </c>
      <c r="AQ2" s="166">
        <v>44986</v>
      </c>
      <c r="AR2" s="165" t="s">
        <v>20</v>
      </c>
      <c r="AS2" s="67"/>
      <c r="AT2" s="68" t="s">
        <v>681</v>
      </c>
      <c r="AU2" s="166">
        <v>45017</v>
      </c>
      <c r="AV2" s="165" t="s">
        <v>20</v>
      </c>
      <c r="AW2" s="67"/>
      <c r="AX2" s="68" t="s">
        <v>681</v>
      </c>
      <c r="AY2" s="166">
        <v>45047</v>
      </c>
      <c r="AZ2" s="165" t="s">
        <v>20</v>
      </c>
      <c r="BA2" s="67"/>
      <c r="BB2" s="68" t="s">
        <v>681</v>
      </c>
      <c r="BC2" s="166">
        <v>45078</v>
      </c>
      <c r="BD2" s="165" t="s">
        <v>20</v>
      </c>
      <c r="BE2" s="67"/>
      <c r="BF2" s="68" t="s">
        <v>681</v>
      </c>
      <c r="BG2" s="166">
        <v>45108</v>
      </c>
      <c r="BH2" s="165" t="s">
        <v>20</v>
      </c>
      <c r="BI2" s="67"/>
      <c r="BJ2" s="68" t="s">
        <v>681</v>
      </c>
      <c r="BK2" s="166">
        <v>45139</v>
      </c>
      <c r="BL2" s="165" t="s">
        <v>20</v>
      </c>
      <c r="BM2" s="67"/>
      <c r="BN2" s="68" t="s">
        <v>681</v>
      </c>
      <c r="BO2" s="166">
        <v>45170</v>
      </c>
      <c r="BP2" s="165" t="s">
        <v>20</v>
      </c>
      <c r="BQ2" s="67"/>
      <c r="BR2" s="68" t="s">
        <v>681</v>
      </c>
      <c r="BS2" s="166">
        <v>45200</v>
      </c>
      <c r="BT2" s="165" t="s">
        <v>20</v>
      </c>
      <c r="BU2" s="67"/>
      <c r="BV2" s="68" t="s">
        <v>681</v>
      </c>
      <c r="BW2" s="166">
        <v>45231</v>
      </c>
      <c r="BX2" s="165" t="s">
        <v>20</v>
      </c>
      <c r="BY2" s="67"/>
      <c r="BZ2" s="68" t="s">
        <v>681</v>
      </c>
      <c r="CA2" s="166">
        <v>45261</v>
      </c>
      <c r="CB2" s="165" t="s">
        <v>20</v>
      </c>
      <c r="CC2" s="67"/>
      <c r="CD2" s="68" t="s">
        <v>681</v>
      </c>
    </row>
    <row r="3" spans="1:82" x14ac:dyDescent="0.3">
      <c r="A3" s="42" t="str">
        <f>"CPU_"&amp;LEFT(SUBSTITUTE(SUBSTITUTE(B3," ",""),"-",""),20)</f>
        <v>CPU_Conserva</v>
      </c>
      <c r="B3" s="31" t="s">
        <v>858</v>
      </c>
      <c r="C3" s="1"/>
      <c r="D3" s="1"/>
      <c r="E3" s="1"/>
      <c r="F3" s="73"/>
      <c r="G3" s="74"/>
      <c r="H3" s="74"/>
      <c r="I3" s="73"/>
      <c r="J3" s="74" t="str">
        <f>IFERROR(VLOOKUP(B3,Tabela1[[NOME SERVIÇO]:[UNID]],4,0),"")</f>
        <v>HÁ</v>
      </c>
      <c r="K3" s="75">
        <f>IFERROR(J6/B6,0)</f>
        <v>2259.7864996593344</v>
      </c>
      <c r="M3" s="229" t="s">
        <v>685</v>
      </c>
      <c r="N3" s="230">
        <f>K11</f>
        <v>1909.090909090909</v>
      </c>
      <c r="O3" s="235">
        <f>IFERROR(N3/$N$7,0)</f>
        <v>0.28160343309404184</v>
      </c>
      <c r="AE3" s="167"/>
      <c r="AF3" s="168">
        <f>AJ3+AN3+AR3+AV3+AZ3+BD3+BH3+BL3+BP3+BT3+BX3+CB3</f>
        <v>0</v>
      </c>
      <c r="AG3" s="74"/>
      <c r="AH3" s="75">
        <f>IFERROR((AG6/AF3),0)</f>
        <v>0</v>
      </c>
      <c r="AI3" s="167"/>
      <c r="AJ3" s="168">
        <f>IFERROR(SUMPRODUCT(Plan_Orc!$I$4:$I$2002*Plan_Orc!$AB$4:$AB$2002*(Plan_Orc!$D$4:$D$2002=$B3)),0)</f>
        <v>0</v>
      </c>
      <c r="AK3" s="74"/>
      <c r="AL3" s="75">
        <f>IFERROR((AK6/AJ3),0)</f>
        <v>0</v>
      </c>
      <c r="AM3" s="167"/>
      <c r="AN3" s="168">
        <f>IFERROR(SUMPRODUCT(Plan_Orc!$I$4:$I$2002*Plan_Orc!$AC$4:$AC$2002*(Plan_Orc!$D$4:$D$2002=$B3)),0)</f>
        <v>0</v>
      </c>
      <c r="AO3" s="74"/>
      <c r="AP3" s="75">
        <f>IFERROR((AO6/AN3),0)</f>
        <v>0</v>
      </c>
      <c r="AQ3" s="167"/>
      <c r="AR3" s="168">
        <f>IFERROR(SUMPRODUCT(Plan_Orc!$I$4:$I$2002*Plan_Orc!$AD$4:$AD$2002*(Plan_Orc!$D$4:$D$2002=$B3)),0)</f>
        <v>0</v>
      </c>
      <c r="AS3" s="74"/>
      <c r="AT3" s="75">
        <f>IFERROR((AS6/AR3),0)</f>
        <v>0</v>
      </c>
      <c r="AU3" s="167"/>
      <c r="AV3" s="168">
        <f>IFERROR(SUMPRODUCT(Plan_Orc!$I$4:$I$2002*Plan_Orc!$AE$4:$AE$2002*(Plan_Orc!$D$4:$D$2002=$B3)),0)</f>
        <v>0</v>
      </c>
      <c r="AW3" s="74"/>
      <c r="AX3" s="75">
        <f>IFERROR((AW6/AV3),0)</f>
        <v>0</v>
      </c>
      <c r="AY3" s="167"/>
      <c r="AZ3" s="168">
        <f>IFERROR(SUMPRODUCT(Plan_Orc!$I$4:$I$2002*Plan_Orc!$AF$4:$AF$2002*(Plan_Orc!$D$4:$D$2002=$B3)),0)</f>
        <v>0</v>
      </c>
      <c r="BA3" s="74"/>
      <c r="BB3" s="75">
        <f>IFERROR((BA6/AZ3),0)</f>
        <v>0</v>
      </c>
      <c r="BC3" s="167"/>
      <c r="BD3" s="168">
        <f>IFERROR(SUMPRODUCT(Plan_Orc!$I$4:$I$2002*Plan_Orc!$AG$4:$AG$2002*(Plan_Orc!$D$4:$D$2002=$B3)),0)</f>
        <v>0</v>
      </c>
      <c r="BE3" s="74"/>
      <c r="BF3" s="75">
        <f>IFERROR((BE6/BD3),0)</f>
        <v>0</v>
      </c>
      <c r="BG3" s="167"/>
      <c r="BH3" s="168">
        <f>IFERROR(SUMPRODUCT(Plan_Orc!$I$4:$I$2002*Plan_Orc!$AH$4:$AH$2002*(Plan_Orc!$D$4:$D$2002=$B3)),0)</f>
        <v>0</v>
      </c>
      <c r="BI3" s="74"/>
      <c r="BJ3" s="75">
        <f>IFERROR((BI6/BH3),0)</f>
        <v>0</v>
      </c>
      <c r="BK3" s="167"/>
      <c r="BL3" s="168">
        <f>IFERROR(SUMPRODUCT(Plan_Orc!$I$4:$I$2002*Plan_Orc!$AI$4:$AI$2002*(Plan_Orc!$D$4:$D$2002=$B3)),0)</f>
        <v>0</v>
      </c>
      <c r="BM3" s="74"/>
      <c r="BN3" s="75">
        <f>IFERROR((BM6/BL3),0)</f>
        <v>0</v>
      </c>
      <c r="BO3" s="167"/>
      <c r="BP3" s="168">
        <f>IFERROR(SUMPRODUCT(Plan_Orc!$I$4:$I$2002*Plan_Orc!$AJ$4:$AJ$2002*(Plan_Orc!$D$4:$D$2002=$B3)),0)</f>
        <v>0</v>
      </c>
      <c r="BQ3" s="74"/>
      <c r="BR3" s="75">
        <f>IFERROR((BQ6/BP3),0)</f>
        <v>0</v>
      </c>
      <c r="BS3" s="167"/>
      <c r="BT3" s="168">
        <f>IFERROR(SUMPRODUCT(Plan_Orc!$I$4:$I$2002*Plan_Orc!$AK$4:$AK$2002*(Plan_Orc!$D$4:$D$2002=$B3)),0)</f>
        <v>0</v>
      </c>
      <c r="BU3" s="74"/>
      <c r="BV3" s="75">
        <f>IFERROR((BU6/BT3),0)</f>
        <v>0</v>
      </c>
      <c r="BW3" s="167"/>
      <c r="BX3" s="168">
        <f>IFERROR(SUMPRODUCT(Plan_Orc!$I$4:$I$2002*Plan_Orc!$AL$4:$AL$2002*(Plan_Orc!$D$4:$D$2002=$B3)),0)</f>
        <v>0</v>
      </c>
      <c r="BY3" s="74"/>
      <c r="BZ3" s="75">
        <f>IFERROR((BY6/BX3),0)</f>
        <v>0</v>
      </c>
      <c r="CA3" s="167"/>
      <c r="CB3" s="168">
        <f>IFERROR(SUMPRODUCT(Plan_Orc!$I$4:$I$2002*Plan_Orc!$AM$4:$AM$2002*(Plan_Orc!$D$4:$D$2002=$B3)),0)</f>
        <v>0</v>
      </c>
      <c r="CC3" s="74"/>
      <c r="CD3" s="75">
        <f>IFERROR((CC6/CB3),0)</f>
        <v>0</v>
      </c>
    </row>
    <row r="4" spans="1:82" x14ac:dyDescent="0.3">
      <c r="B4" s="32"/>
      <c r="K4" s="30"/>
      <c r="M4" s="229" t="s">
        <v>686</v>
      </c>
      <c r="N4" s="230">
        <f>+K24</f>
        <v>1824</v>
      </c>
      <c r="O4" s="235">
        <f>IFERROR(N4/$N$7,0)</f>
        <v>0.26905196579042168</v>
      </c>
      <c r="AE4" s="169"/>
      <c r="AH4" s="30"/>
      <c r="AI4" s="169"/>
      <c r="AL4" s="30"/>
      <c r="AM4" s="169"/>
      <c r="AP4" s="30"/>
      <c r="AQ4" s="169"/>
      <c r="AT4" s="30"/>
      <c r="AU4" s="169"/>
      <c r="AX4" s="30"/>
      <c r="AY4" s="169"/>
      <c r="BB4" s="30"/>
      <c r="BC4" s="169"/>
      <c r="BF4" s="30"/>
      <c r="BG4" s="169"/>
      <c r="BJ4" s="30"/>
      <c r="BK4" s="169"/>
      <c r="BN4" s="30"/>
      <c r="BO4" s="169"/>
      <c r="BR4" s="30"/>
      <c r="BS4" s="169"/>
      <c r="BV4" s="30"/>
      <c r="BW4" s="169"/>
      <c r="BZ4" s="30"/>
      <c r="CA4" s="169"/>
      <c r="CD4" s="30"/>
    </row>
    <row r="5" spans="1:82" x14ac:dyDescent="0.3">
      <c r="B5" s="69" t="s">
        <v>687</v>
      </c>
      <c r="C5" s="72"/>
      <c r="D5" s="72"/>
      <c r="E5" s="72"/>
      <c r="F5" s="70" t="s">
        <v>688</v>
      </c>
      <c r="G5" s="70" t="s">
        <v>689</v>
      </c>
      <c r="H5" s="70" t="s">
        <v>690</v>
      </c>
      <c r="I5" s="70" t="s">
        <v>691</v>
      </c>
      <c r="J5" s="70" t="s">
        <v>683</v>
      </c>
      <c r="K5" s="71" t="s">
        <v>593</v>
      </c>
      <c r="M5" s="229" t="s">
        <v>692</v>
      </c>
      <c r="N5" s="230">
        <f>+K37</f>
        <v>3046.2685898870941</v>
      </c>
      <c r="O5" s="235">
        <f>IFERROR(N5/$N$7,0)</f>
        <v>0.44934460111553648</v>
      </c>
      <c r="AE5" s="170"/>
      <c r="AF5" s="70" t="s">
        <v>691</v>
      </c>
      <c r="AG5" s="70" t="s">
        <v>683</v>
      </c>
      <c r="AH5" s="71" t="s">
        <v>593</v>
      </c>
      <c r="AI5" s="170"/>
      <c r="AJ5" s="70" t="s">
        <v>691</v>
      </c>
      <c r="AK5" s="70" t="s">
        <v>683</v>
      </c>
      <c r="AL5" s="71" t="s">
        <v>593</v>
      </c>
      <c r="AM5" s="170"/>
      <c r="AN5" s="70" t="s">
        <v>691</v>
      </c>
      <c r="AO5" s="70" t="s">
        <v>683</v>
      </c>
      <c r="AP5" s="71" t="s">
        <v>593</v>
      </c>
      <c r="AQ5" s="170"/>
      <c r="AR5" s="70" t="s">
        <v>691</v>
      </c>
      <c r="AS5" s="70" t="s">
        <v>683</v>
      </c>
      <c r="AT5" s="71" t="s">
        <v>593</v>
      </c>
      <c r="AU5" s="170"/>
      <c r="AV5" s="70" t="s">
        <v>691</v>
      </c>
      <c r="AW5" s="70" t="s">
        <v>683</v>
      </c>
      <c r="AX5" s="71" t="s">
        <v>593</v>
      </c>
      <c r="AY5" s="170"/>
      <c r="AZ5" s="70" t="s">
        <v>691</v>
      </c>
      <c r="BA5" s="70" t="s">
        <v>683</v>
      </c>
      <c r="BB5" s="71" t="s">
        <v>593</v>
      </c>
      <c r="BC5" s="170"/>
      <c r="BD5" s="70" t="s">
        <v>691</v>
      </c>
      <c r="BE5" s="70" t="s">
        <v>683</v>
      </c>
      <c r="BF5" s="71" t="s">
        <v>593</v>
      </c>
      <c r="BG5" s="170"/>
      <c r="BH5" s="70" t="s">
        <v>691</v>
      </c>
      <c r="BI5" s="70" t="s">
        <v>683</v>
      </c>
      <c r="BJ5" s="71" t="s">
        <v>593</v>
      </c>
      <c r="BK5" s="170"/>
      <c r="BL5" s="70" t="s">
        <v>691</v>
      </c>
      <c r="BM5" s="70" t="s">
        <v>683</v>
      </c>
      <c r="BN5" s="71" t="s">
        <v>593</v>
      </c>
      <c r="BO5" s="170"/>
      <c r="BP5" s="70" t="s">
        <v>691</v>
      </c>
      <c r="BQ5" s="70" t="s">
        <v>683</v>
      </c>
      <c r="BR5" s="71" t="s">
        <v>593</v>
      </c>
      <c r="BS5" s="170"/>
      <c r="BT5" s="70" t="s">
        <v>691</v>
      </c>
      <c r="BU5" s="70" t="s">
        <v>683</v>
      </c>
      <c r="BV5" s="71" t="s">
        <v>593</v>
      </c>
      <c r="BW5" s="170"/>
      <c r="BX5" s="70" t="s">
        <v>691</v>
      </c>
      <c r="BY5" s="70" t="s">
        <v>683</v>
      </c>
      <c r="BZ5" s="71" t="s">
        <v>593</v>
      </c>
      <c r="CA5" s="170"/>
      <c r="CB5" s="70" t="s">
        <v>691</v>
      </c>
      <c r="CC5" s="70" t="s">
        <v>683</v>
      </c>
      <c r="CD5" s="71" t="s">
        <v>593</v>
      </c>
    </row>
    <row r="6" spans="1:82" s="2" customFormat="1" ht="30" customHeight="1" x14ac:dyDescent="0.3">
      <c r="B6" s="345">
        <v>3</v>
      </c>
      <c r="C6" s="275"/>
      <c r="D6" s="275"/>
      <c r="E6" s="275"/>
      <c r="F6" s="369" t="s">
        <v>859</v>
      </c>
      <c r="G6" s="35">
        <v>1</v>
      </c>
      <c r="H6" s="81" t="s">
        <v>347</v>
      </c>
      <c r="I6" s="55">
        <f>IFERROR(I7/B7*B6,0)</f>
        <v>0</v>
      </c>
      <c r="J6" s="55">
        <f>K11+K24+K37+K50</f>
        <v>6779.3594989780031</v>
      </c>
      <c r="K6" s="56">
        <f>IFERROR((I6-J6)/I6-PARAMETROS!C19,0)</f>
        <v>0</v>
      </c>
      <c r="M6" s="229" t="s">
        <v>693</v>
      </c>
      <c r="N6" s="230">
        <f>+K50</f>
        <v>0</v>
      </c>
      <c r="O6" s="235">
        <f>IFERROR(N6/$N$7,0)</f>
        <v>0</v>
      </c>
      <c r="AE6" s="171"/>
      <c r="AF6" s="55">
        <f>AJ6+AN6+AR6+AV6+AZ6+BD6+BH6+BL6+BP6+BT6+BX6+CB6</f>
        <v>0</v>
      </c>
      <c r="AG6" s="55">
        <f>AH11+AH24+AH37+AH50</f>
        <v>0</v>
      </c>
      <c r="AH6" s="56">
        <f>IFERROR((AF6-AG6)/AF6,0)</f>
        <v>0</v>
      </c>
      <c r="AI6" s="171"/>
      <c r="AJ6" s="55"/>
      <c r="AK6" s="55">
        <f>AL11+AL24+AL37+AL50</f>
        <v>0</v>
      </c>
      <c r="AL6" s="56">
        <f>IFERROR((AJ6-AK6)/AJ6,0)</f>
        <v>0</v>
      </c>
      <c r="AM6" s="171"/>
      <c r="AN6" s="55"/>
      <c r="AO6" s="55">
        <f>AP11+AP24+AP37+AP50</f>
        <v>0</v>
      </c>
      <c r="AP6" s="56">
        <f>IFERROR((AN6-AO6)/AN6,0)</f>
        <v>0</v>
      </c>
      <c r="AQ6" s="171"/>
      <c r="AR6" s="55"/>
      <c r="AS6" s="55">
        <f>AT11+AT24+AT37+AT50</f>
        <v>0</v>
      </c>
      <c r="AT6" s="56">
        <f>IFERROR((AR6-AS6)/AR6,0)</f>
        <v>0</v>
      </c>
      <c r="AU6" s="171"/>
      <c r="AV6" s="55"/>
      <c r="AW6" s="55">
        <f>AX11+AX24+AX37+AX50</f>
        <v>0</v>
      </c>
      <c r="AX6" s="56">
        <f>IFERROR((AV6-AW6)/AV6,0)</f>
        <v>0</v>
      </c>
      <c r="AY6" s="171"/>
      <c r="AZ6" s="55"/>
      <c r="BA6" s="55">
        <f>BB11+BB24+BB37+BB50</f>
        <v>0</v>
      </c>
      <c r="BB6" s="56">
        <f>IFERROR((AZ6-BA6)/AZ6,0)</f>
        <v>0</v>
      </c>
      <c r="BC6" s="171"/>
      <c r="BD6" s="55"/>
      <c r="BE6" s="55">
        <f>BF11+BF24+BF37+BF50</f>
        <v>0</v>
      </c>
      <c r="BF6" s="56">
        <f>IFERROR((BD6-BE6)/BD6,0)</f>
        <v>0</v>
      </c>
      <c r="BG6" s="171"/>
      <c r="BH6" s="55"/>
      <c r="BI6" s="55">
        <f>BJ11+BJ24+BJ37+BJ50</f>
        <v>0</v>
      </c>
      <c r="BJ6" s="56">
        <f>IFERROR((BH6-BI6)/BH6,0)</f>
        <v>0</v>
      </c>
      <c r="BK6" s="171"/>
      <c r="BL6" s="55"/>
      <c r="BM6" s="55">
        <f>BN11+BN24+BN37+BN50</f>
        <v>0</v>
      </c>
      <c r="BN6" s="56">
        <f>IFERROR((BL6-BM6)/BL6,0)</f>
        <v>0</v>
      </c>
      <c r="BO6" s="171"/>
      <c r="BP6" s="55"/>
      <c r="BQ6" s="55">
        <f>BR11+BR24+BR37+BR50</f>
        <v>0</v>
      </c>
      <c r="BR6" s="56">
        <f>IFERROR((BP6-BQ6)/BP6,0)</f>
        <v>0</v>
      </c>
      <c r="BS6" s="171"/>
      <c r="BT6" s="55"/>
      <c r="BU6" s="55">
        <f>BV11+BV24+BV37+BV50</f>
        <v>0</v>
      </c>
      <c r="BV6" s="56">
        <f>IFERROR((BT6-BU6)/BT6,0)</f>
        <v>0</v>
      </c>
      <c r="BW6" s="171"/>
      <c r="BX6" s="55"/>
      <c r="BY6" s="55">
        <f>BZ11+BZ24+BZ37+BZ50</f>
        <v>0</v>
      </c>
      <c r="BZ6" s="56">
        <f>IFERROR((BX6-BY6)/BX6,0)</f>
        <v>0</v>
      </c>
      <c r="CA6" s="171"/>
      <c r="CB6" s="55"/>
      <c r="CC6" s="55">
        <f>CD11+CD24+CD37+CD50</f>
        <v>0</v>
      </c>
      <c r="CD6" s="56">
        <f>IFERROR((CB6-CC6)/CB6,0)</f>
        <v>0</v>
      </c>
    </row>
    <row r="7" spans="1:82" s="2" customFormat="1" ht="30" customHeight="1" thickBot="1" x14ac:dyDescent="0.35">
      <c r="B7" s="34">
        <f>IFERROR(VLOOKUP(B3,Lucratividade!G4:N853,2,0),0)</f>
        <v>0</v>
      </c>
      <c r="C7" s="276"/>
      <c r="D7" s="276"/>
      <c r="E7" s="276"/>
      <c r="F7" s="371" t="s">
        <v>860</v>
      </c>
      <c r="G7" s="36">
        <f>IFERROR(B7/B6,0)</f>
        <v>0</v>
      </c>
      <c r="H7" s="82" t="s">
        <v>347</v>
      </c>
      <c r="I7" s="57">
        <f>IFERROR(VLOOKUP(B3,Lucratividade!G4:N132,6,0),0)</f>
        <v>0</v>
      </c>
      <c r="J7" s="58">
        <f>B7*K3</f>
        <v>0</v>
      </c>
      <c r="K7" s="59">
        <f>IFERROR((I7-J7)/I7-PARAMETROS!C19,0)</f>
        <v>0</v>
      </c>
      <c r="M7" s="231" t="s">
        <v>694</v>
      </c>
      <c r="N7" s="232">
        <f>SUM(N3:N6)</f>
        <v>6779.3594989780031</v>
      </c>
      <c r="O7" s="236"/>
      <c r="AE7" s="172"/>
      <c r="AF7" s="57"/>
      <c r="AG7" s="58"/>
      <c r="AH7" s="59"/>
      <c r="AI7" s="172"/>
      <c r="AJ7" s="57"/>
      <c r="AK7" s="58"/>
      <c r="AL7" s="59"/>
      <c r="AM7" s="172"/>
      <c r="AN7" s="57"/>
      <c r="AO7" s="58"/>
      <c r="AP7" s="59"/>
      <c r="AQ7" s="172"/>
      <c r="AR7" s="57"/>
      <c r="AS7" s="58"/>
      <c r="AT7" s="59"/>
      <c r="AU7" s="172"/>
      <c r="AV7" s="57"/>
      <c r="AW7" s="58"/>
      <c r="AX7" s="59"/>
      <c r="AY7" s="172"/>
      <c r="AZ7" s="57"/>
      <c r="BA7" s="58"/>
      <c r="BB7" s="59"/>
      <c r="BC7" s="172"/>
      <c r="BD7" s="57"/>
      <c r="BE7" s="58"/>
      <c r="BF7" s="59"/>
      <c r="BG7" s="172"/>
      <c r="BH7" s="57"/>
      <c r="BI7" s="58"/>
      <c r="BJ7" s="59"/>
      <c r="BK7" s="172"/>
      <c r="BL7" s="57"/>
      <c r="BM7" s="58"/>
      <c r="BN7" s="59"/>
      <c r="BO7" s="172"/>
      <c r="BP7" s="57"/>
      <c r="BQ7" s="58"/>
      <c r="BR7" s="59"/>
      <c r="BS7" s="172"/>
      <c r="BT7" s="57"/>
      <c r="BU7" s="58"/>
      <c r="BV7" s="59"/>
      <c r="BW7" s="172"/>
      <c r="BX7" s="57"/>
      <c r="BY7" s="58"/>
      <c r="BZ7" s="59"/>
      <c r="CA7" s="172"/>
      <c r="CB7" s="57"/>
      <c r="CC7" s="58"/>
      <c r="CD7" s="59"/>
    </row>
    <row r="8" spans="1:82" ht="4.2" customHeight="1" x14ac:dyDescent="0.3">
      <c r="AE8" s="28"/>
      <c r="AI8" s="28"/>
      <c r="AM8" s="28"/>
      <c r="AQ8" s="28"/>
      <c r="AU8" s="28"/>
      <c r="AY8" s="28"/>
      <c r="BC8" s="28"/>
      <c r="BG8" s="28"/>
      <c r="BK8" s="28"/>
      <c r="BO8" s="28"/>
      <c r="BS8" s="28"/>
      <c r="BW8" s="28"/>
      <c r="CA8" s="28"/>
    </row>
    <row r="9" spans="1:82" ht="4.95" customHeight="1" thickBot="1" x14ac:dyDescent="0.35">
      <c r="AE9" s="28"/>
      <c r="AI9" s="28"/>
      <c r="AM9" s="28"/>
      <c r="AQ9" s="28"/>
      <c r="AU9" s="28"/>
      <c r="AY9" s="28"/>
      <c r="BC9" s="28"/>
      <c r="BG9" s="28"/>
      <c r="BK9" s="28"/>
      <c r="BO9" s="28"/>
      <c r="BS9" s="28"/>
      <c r="BW9" s="28"/>
      <c r="CA9" s="28"/>
    </row>
    <row r="10" spans="1:82" ht="15" thickBot="1" x14ac:dyDescent="0.35">
      <c r="B10" s="72" t="s">
        <v>695</v>
      </c>
      <c r="C10" s="72" t="s">
        <v>679</v>
      </c>
      <c r="D10" s="72" t="s">
        <v>696</v>
      </c>
      <c r="E10" s="72" t="s">
        <v>697</v>
      </c>
      <c r="F10" s="72" t="s">
        <v>17</v>
      </c>
      <c r="G10" s="70" t="s">
        <v>690</v>
      </c>
      <c r="H10" s="70" t="s">
        <v>698</v>
      </c>
      <c r="I10" s="72" t="s">
        <v>20</v>
      </c>
      <c r="J10" s="72" t="s">
        <v>699</v>
      </c>
      <c r="K10" s="72" t="s">
        <v>700</v>
      </c>
      <c r="M10" s="83" t="s">
        <v>701</v>
      </c>
      <c r="N10" s="87" t="s">
        <v>702</v>
      </c>
      <c r="AD10" s="173" t="s">
        <v>703</v>
      </c>
      <c r="AE10" s="170" t="s">
        <v>698</v>
      </c>
      <c r="AF10" s="70" t="s">
        <v>20</v>
      </c>
      <c r="AG10" s="70" t="s">
        <v>699</v>
      </c>
      <c r="AH10" s="70" t="s">
        <v>700</v>
      </c>
      <c r="AI10" s="173" t="s">
        <v>704</v>
      </c>
      <c r="AJ10" s="174" t="s">
        <v>705</v>
      </c>
      <c r="AK10" s="174" t="s">
        <v>706</v>
      </c>
      <c r="AL10" s="175" t="s">
        <v>707</v>
      </c>
      <c r="AM10" s="173" t="s">
        <v>708</v>
      </c>
      <c r="AN10" s="174" t="s">
        <v>709</v>
      </c>
      <c r="AO10" s="174" t="s">
        <v>710</v>
      </c>
      <c r="AP10" s="175" t="s">
        <v>711</v>
      </c>
      <c r="AQ10" s="173" t="s">
        <v>712</v>
      </c>
      <c r="AR10" s="174" t="s">
        <v>713</v>
      </c>
      <c r="AS10" s="174" t="s">
        <v>714</v>
      </c>
      <c r="AT10" s="175" t="s">
        <v>715</v>
      </c>
      <c r="AU10" s="173" t="s">
        <v>716</v>
      </c>
      <c r="AV10" s="174" t="s">
        <v>717</v>
      </c>
      <c r="AW10" s="174" t="s">
        <v>718</v>
      </c>
      <c r="AX10" s="175" t="s">
        <v>719</v>
      </c>
      <c r="AY10" s="173" t="s">
        <v>720</v>
      </c>
      <c r="AZ10" s="174" t="s">
        <v>721</v>
      </c>
      <c r="BA10" s="174" t="s">
        <v>722</v>
      </c>
      <c r="BB10" s="175" t="s">
        <v>723</v>
      </c>
      <c r="BC10" s="173" t="s">
        <v>724</v>
      </c>
      <c r="BD10" s="174" t="s">
        <v>725</v>
      </c>
      <c r="BE10" s="174" t="s">
        <v>726</v>
      </c>
      <c r="BF10" s="175" t="s">
        <v>727</v>
      </c>
      <c r="BG10" s="173" t="s">
        <v>728</v>
      </c>
      <c r="BH10" s="174" t="s">
        <v>729</v>
      </c>
      <c r="BI10" s="174" t="s">
        <v>730</v>
      </c>
      <c r="BJ10" s="175" t="s">
        <v>731</v>
      </c>
      <c r="BK10" s="173" t="s">
        <v>732</v>
      </c>
      <c r="BL10" s="174" t="s">
        <v>733</v>
      </c>
      <c r="BM10" s="174" t="s">
        <v>734</v>
      </c>
      <c r="BN10" s="175" t="s">
        <v>735</v>
      </c>
      <c r="BO10" s="173" t="s">
        <v>736</v>
      </c>
      <c r="BP10" s="174" t="s">
        <v>737</v>
      </c>
      <c r="BQ10" s="174" t="s">
        <v>738</v>
      </c>
      <c r="BR10" s="175" t="s">
        <v>739</v>
      </c>
      <c r="BS10" s="173" t="s">
        <v>740</v>
      </c>
      <c r="BT10" s="174" t="s">
        <v>741</v>
      </c>
      <c r="BU10" s="174" t="s">
        <v>742</v>
      </c>
      <c r="BV10" s="175" t="s">
        <v>743</v>
      </c>
      <c r="BW10" s="173" t="s">
        <v>744</v>
      </c>
      <c r="BX10" s="174" t="s">
        <v>745</v>
      </c>
      <c r="BY10" s="174" t="s">
        <v>746</v>
      </c>
      <c r="BZ10" s="175" t="s">
        <v>747</v>
      </c>
      <c r="CA10" s="173" t="s">
        <v>748</v>
      </c>
      <c r="CB10" s="174" t="s">
        <v>749</v>
      </c>
      <c r="CC10" s="174" t="s">
        <v>750</v>
      </c>
      <c r="CD10" s="174" t="s">
        <v>751</v>
      </c>
    </row>
    <row r="11" spans="1:82" x14ac:dyDescent="0.3">
      <c r="B11" s="52" t="s">
        <v>752</v>
      </c>
      <c r="C11" s="52" t="str">
        <f t="shared" ref="C11:C62" si="0">$A$3</f>
        <v>CPU_Conserva</v>
      </c>
      <c r="D11" s="277">
        <f t="shared" ref="D11:D62" si="1">$B$6</f>
        <v>3</v>
      </c>
      <c r="E11" s="277">
        <f t="shared" ref="E11:E62" si="2">$B$7</f>
        <v>0</v>
      </c>
      <c r="F11" s="37"/>
      <c r="G11" s="38"/>
      <c r="H11" s="91"/>
      <c r="I11" s="40"/>
      <c r="J11" s="40">
        <f>IFERROR(K11/$B$6,0)</f>
        <v>636.36363636363637</v>
      </c>
      <c r="K11" s="40">
        <f>SUM(K12:K23)</f>
        <v>1909.090909090909</v>
      </c>
      <c r="M11" s="294" t="s">
        <v>753</v>
      </c>
      <c r="N11" s="295" t="s">
        <v>754</v>
      </c>
      <c r="O11" s="296" t="s">
        <v>755</v>
      </c>
      <c r="AD11" s="144" t="str">
        <f>$B$3</f>
        <v>Conserva</v>
      </c>
      <c r="AE11" s="176"/>
      <c r="AF11" s="177"/>
      <c r="AG11" s="177">
        <f>IFERROR(AH11/AF$3,0)</f>
        <v>0</v>
      </c>
      <c r="AH11" s="178">
        <f>SUM(AH12:AH23)</f>
        <v>0</v>
      </c>
      <c r="AI11" s="176"/>
      <c r="AJ11" s="177"/>
      <c r="AK11" s="177">
        <f>IFERROR(AL11/AJ$3,0)</f>
        <v>0</v>
      </c>
      <c r="AL11" s="178">
        <f>SUM(AL12:AL23)</f>
        <v>0</v>
      </c>
      <c r="AM11" s="176"/>
      <c r="AN11" s="177"/>
      <c r="AO11" s="177">
        <f>IFERROR(AP11/AN$3,0)</f>
        <v>0</v>
      </c>
      <c r="AP11" s="178">
        <f>SUM(AP12:AP23)</f>
        <v>0</v>
      </c>
      <c r="AQ11" s="176"/>
      <c r="AR11" s="177"/>
      <c r="AS11" s="177">
        <f>IFERROR(AT11/AR$3,0)</f>
        <v>0</v>
      </c>
      <c r="AT11" s="178">
        <f>SUM(AT12:AT23)</f>
        <v>0</v>
      </c>
      <c r="AU11" s="176"/>
      <c r="AV11" s="177"/>
      <c r="AW11" s="177">
        <f>IFERROR(AX11/AV$3,0)</f>
        <v>0</v>
      </c>
      <c r="AX11" s="178">
        <f>SUM(AX12:AX23)</f>
        <v>0</v>
      </c>
      <c r="AY11" s="176"/>
      <c r="AZ11" s="177"/>
      <c r="BA11" s="177">
        <f>IFERROR(BB11/AZ$3,0)</f>
        <v>0</v>
      </c>
      <c r="BB11" s="178">
        <f>SUM(BB12:BB23)</f>
        <v>0</v>
      </c>
      <c r="BC11" s="176"/>
      <c r="BD11" s="177"/>
      <c r="BE11" s="177">
        <f>IFERROR(BF11/BD$3,0)</f>
        <v>0</v>
      </c>
      <c r="BF11" s="178">
        <f>SUM(BF12:BF23)</f>
        <v>0</v>
      </c>
      <c r="BG11" s="176"/>
      <c r="BH11" s="177"/>
      <c r="BI11" s="177">
        <f>IFERROR(BJ11/BH$3,0)</f>
        <v>0</v>
      </c>
      <c r="BJ11" s="178">
        <f>SUM(BJ12:BJ23)</f>
        <v>0</v>
      </c>
      <c r="BK11" s="176"/>
      <c r="BL11" s="177"/>
      <c r="BM11" s="177">
        <f>IFERROR(BN11/BL$3,0)</f>
        <v>0</v>
      </c>
      <c r="BN11" s="178">
        <f>SUM(BN12:BN23)</f>
        <v>0</v>
      </c>
      <c r="BO11" s="176"/>
      <c r="BP11" s="177"/>
      <c r="BQ11" s="177">
        <f>IFERROR(BR11/BP$3,0)</f>
        <v>0</v>
      </c>
      <c r="BR11" s="178">
        <f>SUM(BR12:BR23)</f>
        <v>0</v>
      </c>
      <c r="BS11" s="176"/>
      <c r="BT11" s="177"/>
      <c r="BU11" s="177">
        <f>IFERROR(BV11/BT$3,0)</f>
        <v>0</v>
      </c>
      <c r="BV11" s="178">
        <f>SUM(BV12:BV23)</f>
        <v>0</v>
      </c>
      <c r="BW11" s="176"/>
      <c r="BX11" s="177"/>
      <c r="BY11" s="177">
        <f>IFERROR(BZ11/BX$3,0)</f>
        <v>0</v>
      </c>
      <c r="BZ11" s="178">
        <f>SUM(BZ12:BZ23)</f>
        <v>0</v>
      </c>
      <c r="CA11" s="176"/>
      <c r="CB11" s="177"/>
      <c r="CC11" s="177">
        <f>IFERROR(CD11/CB$3,0)</f>
        <v>0</v>
      </c>
      <c r="CD11" s="178">
        <f>SUM(CD12:CD23)</f>
        <v>0</v>
      </c>
    </row>
    <row r="12" spans="1:82" x14ac:dyDescent="0.3">
      <c r="B12" s="53"/>
      <c r="C12" s="53" t="str">
        <f t="shared" si="0"/>
        <v>CPU_Conserva</v>
      </c>
      <c r="D12" s="278">
        <f t="shared" si="1"/>
        <v>3</v>
      </c>
      <c r="E12" s="278">
        <f t="shared" si="2"/>
        <v>0</v>
      </c>
      <c r="F12" s="46" t="s">
        <v>861</v>
      </c>
      <c r="G12" s="28" t="str">
        <f>IFERROR(VLOOKUP(F12,Tabela7[[RECURSO]:[CUSTO]],2,FALSE),"")</f>
        <v>DIA</v>
      </c>
      <c r="H12" s="92">
        <v>2</v>
      </c>
      <c r="I12" s="90">
        <f>30/22</f>
        <v>1.3636363636363635</v>
      </c>
      <c r="J12" s="45">
        <f>IFERROR(VLOOKUP(F12,Tabela7[[RECURSO]:[CUSTO]],3,FALSE),0)</f>
        <v>416.66666666666669</v>
      </c>
      <c r="K12" s="45">
        <f>I12*J12*CPU_20[[#This Row],[Nº]]</f>
        <v>1136.3636363636363</v>
      </c>
      <c r="M12" s="31">
        <f>12*8</f>
        <v>96</v>
      </c>
      <c r="N12" s="297">
        <v>0.8</v>
      </c>
      <c r="O12" s="60">
        <f>IFERROR($B$6/(H12*I12*N12),0)</f>
        <v>1.375</v>
      </c>
      <c r="AD12" s="144" t="str">
        <f t="shared" ref="AD12:AD62" si="3">$B$3</f>
        <v>Conserva</v>
      </c>
      <c r="AE12" s="179"/>
      <c r="AF12" s="180">
        <f>AJ12+AN12+AR12+AV12+AZ12+BD12+BH12+BL12+BP12+BT12+BX12+CB12</f>
        <v>0</v>
      </c>
      <c r="AG12" s="180">
        <f>IFERROR(AH12/AF12,0)</f>
        <v>0</v>
      </c>
      <c r="AH12" s="181">
        <f>AL12+AP12+AT12+AX12+BB12+BF12+BJ12+BN12+BR12+BV12+BZ12+CD12</f>
        <v>0</v>
      </c>
      <c r="AI12" s="182"/>
      <c r="AJ12" s="90"/>
      <c r="AK12" s="90"/>
      <c r="AL12" s="183">
        <f>AJ12*AK12</f>
        <v>0</v>
      </c>
      <c r="AM12" s="182"/>
      <c r="AN12" s="90"/>
      <c r="AO12" s="90"/>
      <c r="AP12" s="183">
        <f t="shared" ref="AP12:AP23" si="4">AN12*AO12</f>
        <v>0</v>
      </c>
      <c r="AQ12" s="182"/>
      <c r="AR12" s="90"/>
      <c r="AS12" s="90"/>
      <c r="AT12" s="183">
        <f t="shared" ref="AT12:AT23" si="5">AR12*AS12</f>
        <v>0</v>
      </c>
      <c r="AU12" s="182"/>
      <c r="AV12" s="90"/>
      <c r="AW12" s="90"/>
      <c r="AX12" s="183">
        <f t="shared" ref="AX12:AX23" si="6">AV12*AW12</f>
        <v>0</v>
      </c>
      <c r="AY12" s="182"/>
      <c r="AZ12" s="90"/>
      <c r="BA12" s="90"/>
      <c r="BB12" s="183">
        <f t="shared" ref="BB12:BB23" si="7">AZ12*BA12</f>
        <v>0</v>
      </c>
      <c r="BC12" s="182"/>
      <c r="BD12" s="90"/>
      <c r="BE12" s="90"/>
      <c r="BF12" s="183">
        <f t="shared" ref="BF12:BF23" si="8">BD12*BE12</f>
        <v>0</v>
      </c>
      <c r="BG12" s="182"/>
      <c r="BH12" s="90"/>
      <c r="BI12" s="90"/>
      <c r="BJ12" s="183">
        <f t="shared" ref="BJ12:BJ23" si="9">BH12*BI12</f>
        <v>0</v>
      </c>
      <c r="BK12" s="182"/>
      <c r="BL12" s="90"/>
      <c r="BM12" s="90"/>
      <c r="BN12" s="183">
        <f t="shared" ref="BN12:BN23" si="10">BL12*BM12</f>
        <v>0</v>
      </c>
      <c r="BO12" s="182"/>
      <c r="BP12" s="90"/>
      <c r="BQ12" s="90"/>
      <c r="BR12" s="183">
        <f t="shared" ref="BR12:BR23" si="11">BP12*BQ12</f>
        <v>0</v>
      </c>
      <c r="BS12" s="182"/>
      <c r="BT12" s="90"/>
      <c r="BU12" s="90"/>
      <c r="BV12" s="183">
        <f t="shared" ref="BV12:BV23" si="12">BT12*BU12</f>
        <v>0</v>
      </c>
      <c r="BW12" s="182"/>
      <c r="BX12" s="90"/>
      <c r="BY12" s="90"/>
      <c r="BZ12" s="183">
        <f t="shared" ref="BZ12:BZ23" si="13">BX12*BY12</f>
        <v>0</v>
      </c>
      <c r="CA12" s="182"/>
      <c r="CB12" s="90"/>
      <c r="CC12" s="90"/>
      <c r="CD12" s="183">
        <f t="shared" ref="CD12:CD23" si="14">CB12*CC12</f>
        <v>0</v>
      </c>
    </row>
    <row r="13" spans="1:82" x14ac:dyDescent="0.3">
      <c r="B13" s="53"/>
      <c r="C13" s="53" t="str">
        <f t="shared" si="0"/>
        <v>CPU_Conserva</v>
      </c>
      <c r="D13" s="278">
        <f t="shared" si="1"/>
        <v>3</v>
      </c>
      <c r="E13" s="278">
        <f t="shared" si="2"/>
        <v>0</v>
      </c>
      <c r="F13" s="1" t="s">
        <v>862</v>
      </c>
      <c r="G13" s="28" t="str">
        <f>IFERROR(VLOOKUP(F13,Tabela7[[RECURSO]:[CUSTO]],2,FALSE),"")</f>
        <v>H</v>
      </c>
      <c r="H13" s="92">
        <v>1</v>
      </c>
      <c r="I13" s="90"/>
      <c r="J13" s="45">
        <f>IFERROR(VLOOKUP(F13,Tabela7[[RECURSO]:[CUSTO]],3,FALSE),0)</f>
        <v>0</v>
      </c>
      <c r="K13" s="45">
        <f>I13*J13*CPU_20[[#This Row],[Nº]]</f>
        <v>0</v>
      </c>
      <c r="M13" s="31"/>
      <c r="N13" s="297"/>
      <c r="O13" s="60">
        <f t="shared" ref="O13:O23" si="15">IFERROR($B$6/(H13*I13),0)</f>
        <v>0</v>
      </c>
      <c r="AD13" s="144" t="str">
        <f t="shared" si="3"/>
        <v>Conserva</v>
      </c>
      <c r="AE13" s="179"/>
      <c r="AF13" s="180">
        <f t="shared" ref="AF13:AF23" si="16">AJ13+AN13+AR13+AV13+AZ13+BD13+BH13+BL13+BP13+BT13+BX13+CB13</f>
        <v>0</v>
      </c>
      <c r="AG13" s="180">
        <f t="shared" ref="AG13:AG62" si="17">IFERROR(AH13/AF13,0)</f>
        <v>0</v>
      </c>
      <c r="AH13" s="181">
        <f t="shared" ref="AH13:AH23" si="18">AL13+AP13+AT13+AX13+BB13+BF13+BJ13+BN13+BR13+BV13+BZ13+CD13</f>
        <v>0</v>
      </c>
      <c r="AI13" s="182"/>
      <c r="AJ13" s="90"/>
      <c r="AK13" s="90"/>
      <c r="AL13" s="183">
        <f t="shared" ref="AL13:AL23" si="19">AJ13*AK13</f>
        <v>0</v>
      </c>
      <c r="AM13" s="182"/>
      <c r="AN13" s="90"/>
      <c r="AO13" s="90"/>
      <c r="AP13" s="183">
        <f t="shared" si="4"/>
        <v>0</v>
      </c>
      <c r="AQ13" s="182"/>
      <c r="AR13" s="90"/>
      <c r="AS13" s="90"/>
      <c r="AT13" s="183">
        <f t="shared" si="5"/>
        <v>0</v>
      </c>
      <c r="AU13" s="182"/>
      <c r="AV13" s="90"/>
      <c r="AW13" s="90"/>
      <c r="AX13" s="183">
        <f t="shared" si="6"/>
        <v>0</v>
      </c>
      <c r="AY13" s="182"/>
      <c r="AZ13" s="90"/>
      <c r="BA13" s="90"/>
      <c r="BB13" s="183">
        <f t="shared" si="7"/>
        <v>0</v>
      </c>
      <c r="BC13" s="182"/>
      <c r="BD13" s="90"/>
      <c r="BE13" s="90"/>
      <c r="BF13" s="183">
        <f t="shared" si="8"/>
        <v>0</v>
      </c>
      <c r="BG13" s="182"/>
      <c r="BH13" s="90"/>
      <c r="BI13" s="90"/>
      <c r="BJ13" s="183">
        <f t="shared" si="9"/>
        <v>0</v>
      </c>
      <c r="BK13" s="182"/>
      <c r="BL13" s="90"/>
      <c r="BM13" s="90"/>
      <c r="BN13" s="183">
        <f t="shared" si="10"/>
        <v>0</v>
      </c>
      <c r="BO13" s="182"/>
      <c r="BP13" s="90"/>
      <c r="BQ13" s="90"/>
      <c r="BR13" s="183">
        <f t="shared" si="11"/>
        <v>0</v>
      </c>
      <c r="BS13" s="182"/>
      <c r="BT13" s="90"/>
      <c r="BU13" s="90"/>
      <c r="BV13" s="183">
        <f t="shared" si="12"/>
        <v>0</v>
      </c>
      <c r="BW13" s="182"/>
      <c r="BX13" s="90"/>
      <c r="BY13" s="90"/>
      <c r="BZ13" s="183">
        <f t="shared" si="13"/>
        <v>0</v>
      </c>
      <c r="CA13" s="182"/>
      <c r="CB13" s="90"/>
      <c r="CC13" s="90"/>
      <c r="CD13" s="183">
        <f t="shared" si="14"/>
        <v>0</v>
      </c>
    </row>
    <row r="14" spans="1:82" x14ac:dyDescent="0.3">
      <c r="B14" s="53"/>
      <c r="C14" s="53" t="str">
        <f t="shared" si="0"/>
        <v>CPU_Conserva</v>
      </c>
      <c r="D14" s="278">
        <f t="shared" si="1"/>
        <v>3</v>
      </c>
      <c r="E14" s="278">
        <f t="shared" si="2"/>
        <v>0</v>
      </c>
      <c r="F14" s="1" t="s">
        <v>863</v>
      </c>
      <c r="G14" s="28" t="str">
        <f>IFERROR(VLOOKUP(F14,Tabela7[[RECURSO]:[CUSTO]],2,FALSE),"")</f>
        <v>DIA</v>
      </c>
      <c r="H14" s="92">
        <v>4</v>
      </c>
      <c r="I14" s="90">
        <f>30/22</f>
        <v>1.3636363636363635</v>
      </c>
      <c r="J14" s="45">
        <f>IFERROR(VLOOKUP(F14,Tabela7[[RECURSO]:[CUSTO]],3,FALSE),0)</f>
        <v>16.666666666666668</v>
      </c>
      <c r="K14" s="45">
        <f>I14*J14*CPU_20[[#This Row],[Nº]]</f>
        <v>90.909090909090907</v>
      </c>
      <c r="M14" s="31">
        <v>2</v>
      </c>
      <c r="N14" s="297">
        <v>0.8</v>
      </c>
      <c r="O14" s="60">
        <f t="shared" si="15"/>
        <v>0.55000000000000004</v>
      </c>
      <c r="AD14" s="144" t="str">
        <f t="shared" si="3"/>
        <v>Conserva</v>
      </c>
      <c r="AE14" s="179"/>
      <c r="AF14" s="180">
        <f t="shared" si="16"/>
        <v>0</v>
      </c>
      <c r="AG14" s="180">
        <f t="shared" si="17"/>
        <v>0</v>
      </c>
      <c r="AH14" s="181">
        <f t="shared" si="18"/>
        <v>0</v>
      </c>
      <c r="AI14" s="182"/>
      <c r="AJ14" s="90"/>
      <c r="AK14" s="90"/>
      <c r="AL14" s="183">
        <f t="shared" si="19"/>
        <v>0</v>
      </c>
      <c r="AM14" s="182"/>
      <c r="AN14" s="90"/>
      <c r="AO14" s="90"/>
      <c r="AP14" s="183">
        <f t="shared" si="4"/>
        <v>0</v>
      </c>
      <c r="AQ14" s="182"/>
      <c r="AR14" s="90"/>
      <c r="AS14" s="90"/>
      <c r="AT14" s="183">
        <f t="shared" si="5"/>
        <v>0</v>
      </c>
      <c r="AU14" s="182"/>
      <c r="AV14" s="90"/>
      <c r="AW14" s="90"/>
      <c r="AX14" s="183">
        <f t="shared" si="6"/>
        <v>0</v>
      </c>
      <c r="AY14" s="182"/>
      <c r="AZ14" s="90"/>
      <c r="BA14" s="90"/>
      <c r="BB14" s="183">
        <f t="shared" si="7"/>
        <v>0</v>
      </c>
      <c r="BC14" s="182"/>
      <c r="BD14" s="90"/>
      <c r="BE14" s="90"/>
      <c r="BF14" s="183">
        <f t="shared" si="8"/>
        <v>0</v>
      </c>
      <c r="BG14" s="182"/>
      <c r="BH14" s="90"/>
      <c r="BI14" s="90"/>
      <c r="BJ14" s="183">
        <f t="shared" si="9"/>
        <v>0</v>
      </c>
      <c r="BK14" s="182"/>
      <c r="BL14" s="90"/>
      <c r="BM14" s="90"/>
      <c r="BN14" s="183">
        <f t="shared" si="10"/>
        <v>0</v>
      </c>
      <c r="BO14" s="182"/>
      <c r="BP14" s="90"/>
      <c r="BQ14" s="90"/>
      <c r="BR14" s="183">
        <f t="shared" si="11"/>
        <v>0</v>
      </c>
      <c r="BS14" s="182"/>
      <c r="BT14" s="90"/>
      <c r="BU14" s="90"/>
      <c r="BV14" s="183">
        <f t="shared" si="12"/>
        <v>0</v>
      </c>
      <c r="BW14" s="182"/>
      <c r="BX14" s="90"/>
      <c r="BY14" s="90"/>
      <c r="BZ14" s="183">
        <f t="shared" si="13"/>
        <v>0</v>
      </c>
      <c r="CA14" s="182"/>
      <c r="CB14" s="90"/>
      <c r="CC14" s="90"/>
      <c r="CD14" s="183">
        <f t="shared" si="14"/>
        <v>0</v>
      </c>
    </row>
    <row r="15" spans="1:82" x14ac:dyDescent="0.3">
      <c r="B15" s="153"/>
      <c r="C15" s="153" t="str">
        <f t="shared" si="0"/>
        <v>CPU_Conserva</v>
      </c>
      <c r="D15" s="279">
        <f t="shared" si="1"/>
        <v>3</v>
      </c>
      <c r="E15" s="279">
        <f t="shared" si="2"/>
        <v>0</v>
      </c>
      <c r="F15" s="1" t="s">
        <v>757</v>
      </c>
      <c r="G15" s="28" t="str">
        <f>IFERROR(VLOOKUP(F15,Tabela7[[RECURSO]:[CUSTO]],2,FALSE),"")</f>
        <v>DIA</v>
      </c>
      <c r="H15" s="92">
        <v>1</v>
      </c>
      <c r="I15" s="90">
        <f>30/22</f>
        <v>1.3636363636363635</v>
      </c>
      <c r="J15" s="45">
        <f>IFERROR(VLOOKUP(F15,Tabela7[[RECURSO]:[CUSTO]],3,FALSE),0)</f>
        <v>500</v>
      </c>
      <c r="K15" s="45">
        <f>I15*J15*CPU_20[[#This Row],[Nº]]</f>
        <v>681.81818181818176</v>
      </c>
      <c r="M15" s="31">
        <f>160/5</f>
        <v>32</v>
      </c>
      <c r="N15" s="297">
        <v>1</v>
      </c>
      <c r="O15" s="60">
        <f t="shared" si="15"/>
        <v>2.2000000000000002</v>
      </c>
      <c r="AD15" s="144" t="str">
        <f t="shared" si="3"/>
        <v>Conserva</v>
      </c>
      <c r="AE15" s="179"/>
      <c r="AF15" s="180">
        <f t="shared" si="16"/>
        <v>0</v>
      </c>
      <c r="AG15" s="180">
        <f t="shared" si="17"/>
        <v>0</v>
      </c>
      <c r="AH15" s="181">
        <f t="shared" si="18"/>
        <v>0</v>
      </c>
      <c r="AI15" s="182"/>
      <c r="AJ15" s="90"/>
      <c r="AK15" s="90"/>
      <c r="AL15" s="183">
        <f t="shared" si="19"/>
        <v>0</v>
      </c>
      <c r="AM15" s="182"/>
      <c r="AN15" s="90"/>
      <c r="AO15" s="90"/>
      <c r="AP15" s="183">
        <f t="shared" si="4"/>
        <v>0</v>
      </c>
      <c r="AQ15" s="182"/>
      <c r="AR15" s="90"/>
      <c r="AS15" s="90"/>
      <c r="AT15" s="183">
        <f t="shared" si="5"/>
        <v>0</v>
      </c>
      <c r="AU15" s="182"/>
      <c r="AV15" s="90"/>
      <c r="AW15" s="90"/>
      <c r="AX15" s="183">
        <f t="shared" si="6"/>
        <v>0</v>
      </c>
      <c r="AY15" s="182"/>
      <c r="AZ15" s="90"/>
      <c r="BA15" s="90"/>
      <c r="BB15" s="183">
        <f t="shared" si="7"/>
        <v>0</v>
      </c>
      <c r="BC15" s="182"/>
      <c r="BD15" s="90"/>
      <c r="BE15" s="90"/>
      <c r="BF15" s="183">
        <f t="shared" si="8"/>
        <v>0</v>
      </c>
      <c r="BG15" s="182"/>
      <c r="BH15" s="90"/>
      <c r="BI15" s="90"/>
      <c r="BJ15" s="183">
        <f t="shared" si="9"/>
        <v>0</v>
      </c>
      <c r="BK15" s="182"/>
      <c r="BL15" s="90"/>
      <c r="BM15" s="90"/>
      <c r="BN15" s="183">
        <f t="shared" si="10"/>
        <v>0</v>
      </c>
      <c r="BO15" s="182"/>
      <c r="BP15" s="90"/>
      <c r="BQ15" s="90"/>
      <c r="BR15" s="183">
        <f t="shared" si="11"/>
        <v>0</v>
      </c>
      <c r="BS15" s="182"/>
      <c r="BT15" s="90"/>
      <c r="BU15" s="90"/>
      <c r="BV15" s="183">
        <f t="shared" si="12"/>
        <v>0</v>
      </c>
      <c r="BW15" s="182"/>
      <c r="BX15" s="90"/>
      <c r="BY15" s="90"/>
      <c r="BZ15" s="183">
        <f t="shared" si="13"/>
        <v>0</v>
      </c>
      <c r="CA15" s="182"/>
      <c r="CB15" s="90"/>
      <c r="CC15" s="90"/>
      <c r="CD15" s="183">
        <f t="shared" si="14"/>
        <v>0</v>
      </c>
    </row>
    <row r="16" spans="1:82" x14ac:dyDescent="0.3">
      <c r="B16" s="53"/>
      <c r="C16" s="53" t="str">
        <f t="shared" si="0"/>
        <v>CPU_Conserva</v>
      </c>
      <c r="D16" s="278">
        <f t="shared" si="1"/>
        <v>3</v>
      </c>
      <c r="E16" s="278">
        <f t="shared" si="2"/>
        <v>0</v>
      </c>
      <c r="F16" s="1"/>
      <c r="G16" s="28" t="str">
        <f>IFERROR(VLOOKUP(F16,Tabela7[[RECURSO]:[CUSTO]],2,FALSE),"")</f>
        <v/>
      </c>
      <c r="H16" s="92"/>
      <c r="I16" s="90"/>
      <c r="J16" s="45">
        <f>IFERROR(VLOOKUP(F16,Tabela7[[RECURSO]:[CUSTO]],3,FALSE),0)</f>
        <v>0</v>
      </c>
      <c r="K16" s="45">
        <f>I16*J16*CPU_20[[#This Row],[Nº]]</f>
        <v>0</v>
      </c>
      <c r="M16" s="31"/>
      <c r="N16" s="297"/>
      <c r="O16" s="60">
        <f t="shared" si="15"/>
        <v>0</v>
      </c>
      <c r="AD16" s="144" t="str">
        <f t="shared" si="3"/>
        <v>Conserva</v>
      </c>
      <c r="AE16" s="179"/>
      <c r="AF16" s="180">
        <f t="shared" si="16"/>
        <v>0</v>
      </c>
      <c r="AG16" s="180">
        <f t="shared" si="17"/>
        <v>0</v>
      </c>
      <c r="AH16" s="181">
        <f t="shared" si="18"/>
        <v>0</v>
      </c>
      <c r="AI16" s="182"/>
      <c r="AJ16" s="90"/>
      <c r="AK16" s="90"/>
      <c r="AL16" s="183">
        <f t="shared" si="19"/>
        <v>0</v>
      </c>
      <c r="AM16" s="182"/>
      <c r="AN16" s="90"/>
      <c r="AO16" s="90"/>
      <c r="AP16" s="183">
        <f t="shared" si="4"/>
        <v>0</v>
      </c>
      <c r="AQ16" s="182"/>
      <c r="AR16" s="90"/>
      <c r="AS16" s="90"/>
      <c r="AT16" s="183">
        <f t="shared" si="5"/>
        <v>0</v>
      </c>
      <c r="AU16" s="182"/>
      <c r="AV16" s="90"/>
      <c r="AW16" s="90"/>
      <c r="AX16" s="183">
        <f t="shared" si="6"/>
        <v>0</v>
      </c>
      <c r="AY16" s="182"/>
      <c r="AZ16" s="90"/>
      <c r="BA16" s="90"/>
      <c r="BB16" s="183">
        <f t="shared" si="7"/>
        <v>0</v>
      </c>
      <c r="BC16" s="182"/>
      <c r="BD16" s="90"/>
      <c r="BE16" s="90"/>
      <c r="BF16" s="183">
        <f t="shared" si="8"/>
        <v>0</v>
      </c>
      <c r="BG16" s="182"/>
      <c r="BH16" s="90"/>
      <c r="BI16" s="90"/>
      <c r="BJ16" s="183">
        <f t="shared" si="9"/>
        <v>0</v>
      </c>
      <c r="BK16" s="182"/>
      <c r="BL16" s="90"/>
      <c r="BM16" s="90"/>
      <c r="BN16" s="183">
        <f t="shared" si="10"/>
        <v>0</v>
      </c>
      <c r="BO16" s="182"/>
      <c r="BP16" s="90"/>
      <c r="BQ16" s="90"/>
      <c r="BR16" s="183">
        <f t="shared" si="11"/>
        <v>0</v>
      </c>
      <c r="BS16" s="182"/>
      <c r="BT16" s="90"/>
      <c r="BU16" s="90"/>
      <c r="BV16" s="183">
        <f t="shared" si="12"/>
        <v>0</v>
      </c>
      <c r="BW16" s="182"/>
      <c r="BX16" s="90"/>
      <c r="BY16" s="90"/>
      <c r="BZ16" s="183">
        <f t="shared" si="13"/>
        <v>0</v>
      </c>
      <c r="CA16" s="182"/>
      <c r="CB16" s="90"/>
      <c r="CC16" s="90"/>
      <c r="CD16" s="183">
        <f t="shared" si="14"/>
        <v>0</v>
      </c>
    </row>
    <row r="17" spans="2:82" x14ac:dyDescent="0.3">
      <c r="B17" s="53"/>
      <c r="C17" s="53" t="str">
        <f t="shared" si="0"/>
        <v>CPU_Conserva</v>
      </c>
      <c r="D17" s="278">
        <f t="shared" si="1"/>
        <v>3</v>
      </c>
      <c r="E17" s="278">
        <f t="shared" si="2"/>
        <v>0</v>
      </c>
      <c r="F17" s="1"/>
      <c r="G17" s="28" t="str">
        <f>IFERROR(VLOOKUP(F17,Tabela7[[RECURSO]:[CUSTO]],2,FALSE),"")</f>
        <v/>
      </c>
      <c r="H17" s="92"/>
      <c r="I17" s="90"/>
      <c r="J17" s="45">
        <f>IFERROR(VLOOKUP(F17,Tabela7[[RECURSO]:[CUSTO]],3,FALSE),0)</f>
        <v>0</v>
      </c>
      <c r="K17" s="45">
        <f>I17*J17*CPU_20[[#This Row],[Nº]]</f>
        <v>0</v>
      </c>
      <c r="M17" s="31"/>
      <c r="N17" s="297"/>
      <c r="O17" s="60">
        <f t="shared" si="15"/>
        <v>0</v>
      </c>
      <c r="AD17" s="144" t="str">
        <f t="shared" si="3"/>
        <v>Conserva</v>
      </c>
      <c r="AE17" s="179"/>
      <c r="AF17" s="180">
        <f t="shared" si="16"/>
        <v>0</v>
      </c>
      <c r="AG17" s="180">
        <f t="shared" si="17"/>
        <v>0</v>
      </c>
      <c r="AH17" s="181">
        <f t="shared" si="18"/>
        <v>0</v>
      </c>
      <c r="AI17" s="182"/>
      <c r="AJ17" s="90"/>
      <c r="AK17" s="90"/>
      <c r="AL17" s="183">
        <f t="shared" si="19"/>
        <v>0</v>
      </c>
      <c r="AM17" s="182"/>
      <c r="AN17" s="90"/>
      <c r="AO17" s="90"/>
      <c r="AP17" s="183">
        <f t="shared" si="4"/>
        <v>0</v>
      </c>
      <c r="AQ17" s="182"/>
      <c r="AR17" s="90"/>
      <c r="AS17" s="90"/>
      <c r="AT17" s="183">
        <f t="shared" si="5"/>
        <v>0</v>
      </c>
      <c r="AU17" s="182"/>
      <c r="AV17" s="90"/>
      <c r="AW17" s="90"/>
      <c r="AX17" s="183">
        <f t="shared" si="6"/>
        <v>0</v>
      </c>
      <c r="AY17" s="182"/>
      <c r="AZ17" s="90"/>
      <c r="BA17" s="90"/>
      <c r="BB17" s="183">
        <f t="shared" si="7"/>
        <v>0</v>
      </c>
      <c r="BC17" s="182"/>
      <c r="BD17" s="90"/>
      <c r="BE17" s="90"/>
      <c r="BF17" s="183">
        <f t="shared" si="8"/>
        <v>0</v>
      </c>
      <c r="BG17" s="182"/>
      <c r="BH17" s="90"/>
      <c r="BI17" s="90"/>
      <c r="BJ17" s="183">
        <f t="shared" si="9"/>
        <v>0</v>
      </c>
      <c r="BK17" s="182"/>
      <c r="BL17" s="90"/>
      <c r="BM17" s="90"/>
      <c r="BN17" s="183">
        <f t="shared" si="10"/>
        <v>0</v>
      </c>
      <c r="BO17" s="182"/>
      <c r="BP17" s="90"/>
      <c r="BQ17" s="90"/>
      <c r="BR17" s="183">
        <f t="shared" si="11"/>
        <v>0</v>
      </c>
      <c r="BS17" s="182"/>
      <c r="BT17" s="90"/>
      <c r="BU17" s="90"/>
      <c r="BV17" s="183">
        <f t="shared" si="12"/>
        <v>0</v>
      </c>
      <c r="BW17" s="182"/>
      <c r="BX17" s="90"/>
      <c r="BY17" s="90"/>
      <c r="BZ17" s="183">
        <f t="shared" si="13"/>
        <v>0</v>
      </c>
      <c r="CA17" s="182"/>
      <c r="CB17" s="90"/>
      <c r="CC17" s="90"/>
      <c r="CD17" s="183">
        <f t="shared" si="14"/>
        <v>0</v>
      </c>
    </row>
    <row r="18" spans="2:82" x14ac:dyDescent="0.3">
      <c r="B18" s="53"/>
      <c r="C18" s="53" t="str">
        <f t="shared" si="0"/>
        <v>CPU_Conserva</v>
      </c>
      <c r="D18" s="278">
        <f t="shared" si="1"/>
        <v>3</v>
      </c>
      <c r="E18" s="278">
        <f t="shared" si="2"/>
        <v>0</v>
      </c>
      <c r="F18" s="1"/>
      <c r="G18" s="28" t="str">
        <f>IFERROR(VLOOKUP(F18,Tabela7[[RECURSO]:[CUSTO]],2,FALSE),"")</f>
        <v/>
      </c>
      <c r="H18" s="92"/>
      <c r="I18" s="90"/>
      <c r="J18" s="45">
        <f>IFERROR(VLOOKUP(F18,Tabela7[[RECURSO]:[CUSTO]],3,FALSE),0)</f>
        <v>0</v>
      </c>
      <c r="K18" s="45">
        <f>I18*J18*CPU_20[[#This Row],[Nº]]</f>
        <v>0</v>
      </c>
      <c r="M18" s="31"/>
      <c r="N18" s="297"/>
      <c r="O18" s="60">
        <f t="shared" si="15"/>
        <v>0</v>
      </c>
      <c r="AD18" s="144" t="str">
        <f t="shared" si="3"/>
        <v>Conserva</v>
      </c>
      <c r="AE18" s="179"/>
      <c r="AF18" s="180">
        <f t="shared" si="16"/>
        <v>0</v>
      </c>
      <c r="AG18" s="180">
        <f t="shared" si="17"/>
        <v>0</v>
      </c>
      <c r="AH18" s="181">
        <f t="shared" si="18"/>
        <v>0</v>
      </c>
      <c r="AI18" s="182"/>
      <c r="AJ18" s="90"/>
      <c r="AK18" s="90"/>
      <c r="AL18" s="183">
        <f t="shared" si="19"/>
        <v>0</v>
      </c>
      <c r="AM18" s="182"/>
      <c r="AN18" s="90"/>
      <c r="AO18" s="90"/>
      <c r="AP18" s="183">
        <f t="shared" si="4"/>
        <v>0</v>
      </c>
      <c r="AQ18" s="182"/>
      <c r="AR18" s="90"/>
      <c r="AS18" s="90"/>
      <c r="AT18" s="183">
        <f t="shared" si="5"/>
        <v>0</v>
      </c>
      <c r="AU18" s="182"/>
      <c r="AV18" s="90"/>
      <c r="AW18" s="90"/>
      <c r="AX18" s="183">
        <f t="shared" si="6"/>
        <v>0</v>
      </c>
      <c r="AY18" s="182"/>
      <c r="AZ18" s="90"/>
      <c r="BA18" s="90"/>
      <c r="BB18" s="183">
        <f t="shared" si="7"/>
        <v>0</v>
      </c>
      <c r="BC18" s="182"/>
      <c r="BD18" s="90"/>
      <c r="BE18" s="90"/>
      <c r="BF18" s="183">
        <f t="shared" si="8"/>
        <v>0</v>
      </c>
      <c r="BG18" s="182"/>
      <c r="BH18" s="90"/>
      <c r="BI18" s="90"/>
      <c r="BJ18" s="183">
        <f t="shared" si="9"/>
        <v>0</v>
      </c>
      <c r="BK18" s="182"/>
      <c r="BL18" s="90"/>
      <c r="BM18" s="90"/>
      <c r="BN18" s="183">
        <f t="shared" si="10"/>
        <v>0</v>
      </c>
      <c r="BO18" s="182"/>
      <c r="BP18" s="90"/>
      <c r="BQ18" s="90"/>
      <c r="BR18" s="183">
        <f t="shared" si="11"/>
        <v>0</v>
      </c>
      <c r="BS18" s="182"/>
      <c r="BT18" s="90"/>
      <c r="BU18" s="90"/>
      <c r="BV18" s="183">
        <f t="shared" si="12"/>
        <v>0</v>
      </c>
      <c r="BW18" s="182"/>
      <c r="BX18" s="90"/>
      <c r="BY18" s="90"/>
      <c r="BZ18" s="183">
        <f t="shared" si="13"/>
        <v>0</v>
      </c>
      <c r="CA18" s="182"/>
      <c r="CB18" s="90"/>
      <c r="CC18" s="90"/>
      <c r="CD18" s="183">
        <f t="shared" si="14"/>
        <v>0</v>
      </c>
    </row>
    <row r="19" spans="2:82" x14ac:dyDescent="0.3">
      <c r="B19" s="53"/>
      <c r="C19" s="53" t="str">
        <f t="shared" si="0"/>
        <v>CPU_Conserva</v>
      </c>
      <c r="D19" s="278">
        <f t="shared" si="1"/>
        <v>3</v>
      </c>
      <c r="E19" s="278">
        <f t="shared" si="2"/>
        <v>0</v>
      </c>
      <c r="F19" s="1"/>
      <c r="G19" s="28" t="str">
        <f>IFERROR(VLOOKUP(F19,Tabela7[[RECURSO]:[CUSTO]],2,FALSE),"")</f>
        <v/>
      </c>
      <c r="H19" s="92"/>
      <c r="I19" s="90"/>
      <c r="J19" s="45">
        <f>IFERROR(VLOOKUP(F19,Tabela7[[RECURSO]:[CUSTO]],3,FALSE),0)</f>
        <v>0</v>
      </c>
      <c r="K19" s="45">
        <f>I19*J19*CPU_20[[#This Row],[Nº]]</f>
        <v>0</v>
      </c>
      <c r="M19" s="31"/>
      <c r="N19" s="297"/>
      <c r="O19" s="60">
        <f t="shared" si="15"/>
        <v>0</v>
      </c>
      <c r="AD19" s="144" t="str">
        <f t="shared" si="3"/>
        <v>Conserva</v>
      </c>
      <c r="AE19" s="179"/>
      <c r="AF19" s="180">
        <f t="shared" si="16"/>
        <v>0</v>
      </c>
      <c r="AG19" s="180">
        <f t="shared" si="17"/>
        <v>0</v>
      </c>
      <c r="AH19" s="181">
        <f t="shared" si="18"/>
        <v>0</v>
      </c>
      <c r="AI19" s="182"/>
      <c r="AJ19" s="90"/>
      <c r="AK19" s="90"/>
      <c r="AL19" s="183">
        <f t="shared" si="19"/>
        <v>0</v>
      </c>
      <c r="AM19" s="182"/>
      <c r="AN19" s="90"/>
      <c r="AO19" s="90"/>
      <c r="AP19" s="183">
        <f t="shared" si="4"/>
        <v>0</v>
      </c>
      <c r="AQ19" s="182"/>
      <c r="AR19" s="90"/>
      <c r="AS19" s="90"/>
      <c r="AT19" s="183">
        <f t="shared" si="5"/>
        <v>0</v>
      </c>
      <c r="AU19" s="182"/>
      <c r="AV19" s="90"/>
      <c r="AW19" s="90"/>
      <c r="AX19" s="183">
        <f t="shared" si="6"/>
        <v>0</v>
      </c>
      <c r="AY19" s="182"/>
      <c r="AZ19" s="90"/>
      <c r="BA19" s="90"/>
      <c r="BB19" s="183">
        <f t="shared" si="7"/>
        <v>0</v>
      </c>
      <c r="BC19" s="182"/>
      <c r="BD19" s="90"/>
      <c r="BE19" s="90"/>
      <c r="BF19" s="183">
        <f t="shared" si="8"/>
        <v>0</v>
      </c>
      <c r="BG19" s="182"/>
      <c r="BH19" s="90"/>
      <c r="BI19" s="90"/>
      <c r="BJ19" s="183">
        <f t="shared" si="9"/>
        <v>0</v>
      </c>
      <c r="BK19" s="182"/>
      <c r="BL19" s="90"/>
      <c r="BM19" s="90"/>
      <c r="BN19" s="183">
        <f t="shared" si="10"/>
        <v>0</v>
      </c>
      <c r="BO19" s="182"/>
      <c r="BP19" s="90"/>
      <c r="BQ19" s="90"/>
      <c r="BR19" s="183">
        <f t="shared" si="11"/>
        <v>0</v>
      </c>
      <c r="BS19" s="182"/>
      <c r="BT19" s="90"/>
      <c r="BU19" s="90"/>
      <c r="BV19" s="183">
        <f t="shared" si="12"/>
        <v>0</v>
      </c>
      <c r="BW19" s="182"/>
      <c r="BX19" s="90"/>
      <c r="BY19" s="90"/>
      <c r="BZ19" s="183">
        <f t="shared" si="13"/>
        <v>0</v>
      </c>
      <c r="CA19" s="182"/>
      <c r="CB19" s="90"/>
      <c r="CC19" s="90"/>
      <c r="CD19" s="183">
        <f t="shared" si="14"/>
        <v>0</v>
      </c>
    </row>
    <row r="20" spans="2:82" x14ac:dyDescent="0.3">
      <c r="B20" s="53"/>
      <c r="C20" s="53" t="str">
        <f t="shared" si="0"/>
        <v>CPU_Conserva</v>
      </c>
      <c r="D20" s="278">
        <f t="shared" si="1"/>
        <v>3</v>
      </c>
      <c r="E20" s="278">
        <f t="shared" si="2"/>
        <v>0</v>
      </c>
      <c r="F20" s="1"/>
      <c r="G20" s="28" t="str">
        <f>IFERROR(VLOOKUP(F20,Tabela7[[RECURSO]:[CUSTO]],2,FALSE),"")</f>
        <v/>
      </c>
      <c r="H20" s="92"/>
      <c r="I20" s="90"/>
      <c r="J20" s="45">
        <f>IFERROR(VLOOKUP(F20,Tabela7[[RECURSO]:[CUSTO]],3,FALSE),0)</f>
        <v>0</v>
      </c>
      <c r="K20" s="45">
        <f>I20*J20*CPU_20[[#This Row],[Nº]]</f>
        <v>0</v>
      </c>
      <c r="M20" s="31"/>
      <c r="N20" s="297"/>
      <c r="O20" s="60">
        <f t="shared" si="15"/>
        <v>0</v>
      </c>
      <c r="AD20" s="144" t="str">
        <f t="shared" si="3"/>
        <v>Conserva</v>
      </c>
      <c r="AE20" s="179"/>
      <c r="AF20" s="180">
        <f t="shared" si="16"/>
        <v>0</v>
      </c>
      <c r="AG20" s="180">
        <f t="shared" si="17"/>
        <v>0</v>
      </c>
      <c r="AH20" s="181">
        <f t="shared" si="18"/>
        <v>0</v>
      </c>
      <c r="AI20" s="182"/>
      <c r="AJ20" s="90"/>
      <c r="AK20" s="90"/>
      <c r="AL20" s="183">
        <f t="shared" si="19"/>
        <v>0</v>
      </c>
      <c r="AM20" s="182"/>
      <c r="AN20" s="90"/>
      <c r="AO20" s="90"/>
      <c r="AP20" s="183">
        <f t="shared" si="4"/>
        <v>0</v>
      </c>
      <c r="AQ20" s="182"/>
      <c r="AR20" s="90"/>
      <c r="AS20" s="90"/>
      <c r="AT20" s="183">
        <f t="shared" si="5"/>
        <v>0</v>
      </c>
      <c r="AU20" s="182"/>
      <c r="AV20" s="90"/>
      <c r="AW20" s="90"/>
      <c r="AX20" s="183">
        <f t="shared" si="6"/>
        <v>0</v>
      </c>
      <c r="AY20" s="182"/>
      <c r="AZ20" s="90"/>
      <c r="BA20" s="90"/>
      <c r="BB20" s="183">
        <f t="shared" si="7"/>
        <v>0</v>
      </c>
      <c r="BC20" s="182"/>
      <c r="BD20" s="90"/>
      <c r="BE20" s="90"/>
      <c r="BF20" s="183">
        <f t="shared" si="8"/>
        <v>0</v>
      </c>
      <c r="BG20" s="182"/>
      <c r="BH20" s="90"/>
      <c r="BI20" s="90"/>
      <c r="BJ20" s="183">
        <f t="shared" si="9"/>
        <v>0</v>
      </c>
      <c r="BK20" s="182"/>
      <c r="BL20" s="90"/>
      <c r="BM20" s="90"/>
      <c r="BN20" s="183">
        <f t="shared" si="10"/>
        <v>0</v>
      </c>
      <c r="BO20" s="182"/>
      <c r="BP20" s="90"/>
      <c r="BQ20" s="90"/>
      <c r="BR20" s="183">
        <f t="shared" si="11"/>
        <v>0</v>
      </c>
      <c r="BS20" s="182"/>
      <c r="BT20" s="90"/>
      <c r="BU20" s="90"/>
      <c r="BV20" s="183">
        <f t="shared" si="12"/>
        <v>0</v>
      </c>
      <c r="BW20" s="182"/>
      <c r="BX20" s="90"/>
      <c r="BY20" s="90"/>
      <c r="BZ20" s="183">
        <f t="shared" si="13"/>
        <v>0</v>
      </c>
      <c r="CA20" s="182"/>
      <c r="CB20" s="90"/>
      <c r="CC20" s="90"/>
      <c r="CD20" s="183">
        <f t="shared" si="14"/>
        <v>0</v>
      </c>
    </row>
    <row r="21" spans="2:82" x14ac:dyDescent="0.3">
      <c r="B21" s="53"/>
      <c r="C21" s="53" t="str">
        <f t="shared" si="0"/>
        <v>CPU_Conserva</v>
      </c>
      <c r="D21" s="278">
        <f t="shared" si="1"/>
        <v>3</v>
      </c>
      <c r="E21" s="278">
        <f t="shared" si="2"/>
        <v>0</v>
      </c>
      <c r="F21" s="1"/>
      <c r="G21" s="28" t="str">
        <f>IFERROR(VLOOKUP(F21,Tabela7[[RECURSO]:[CUSTO]],2,FALSE),"")</f>
        <v/>
      </c>
      <c r="H21" s="92"/>
      <c r="I21" s="90"/>
      <c r="J21" s="45">
        <f>IFERROR(VLOOKUP(F21,Tabela7[[RECURSO]:[CUSTO]],3,FALSE),0)</f>
        <v>0</v>
      </c>
      <c r="K21" s="45">
        <f>I21*J21*CPU_20[[#This Row],[Nº]]</f>
        <v>0</v>
      </c>
      <c r="M21" s="31"/>
      <c r="N21" s="297"/>
      <c r="O21" s="60">
        <f t="shared" si="15"/>
        <v>0</v>
      </c>
      <c r="AD21" s="144" t="str">
        <f t="shared" si="3"/>
        <v>Conserva</v>
      </c>
      <c r="AE21" s="179"/>
      <c r="AF21" s="180">
        <f t="shared" si="16"/>
        <v>0</v>
      </c>
      <c r="AG21" s="180">
        <f t="shared" si="17"/>
        <v>0</v>
      </c>
      <c r="AH21" s="181">
        <f t="shared" si="18"/>
        <v>0</v>
      </c>
      <c r="AI21" s="182"/>
      <c r="AJ21" s="90"/>
      <c r="AK21" s="90"/>
      <c r="AL21" s="183">
        <f t="shared" si="19"/>
        <v>0</v>
      </c>
      <c r="AM21" s="182"/>
      <c r="AN21" s="90"/>
      <c r="AO21" s="90"/>
      <c r="AP21" s="183">
        <f t="shared" si="4"/>
        <v>0</v>
      </c>
      <c r="AQ21" s="182"/>
      <c r="AR21" s="90"/>
      <c r="AS21" s="90"/>
      <c r="AT21" s="183">
        <f t="shared" si="5"/>
        <v>0</v>
      </c>
      <c r="AU21" s="182"/>
      <c r="AV21" s="90"/>
      <c r="AW21" s="90"/>
      <c r="AX21" s="183">
        <f t="shared" si="6"/>
        <v>0</v>
      </c>
      <c r="AY21" s="182"/>
      <c r="AZ21" s="90"/>
      <c r="BA21" s="90"/>
      <c r="BB21" s="183">
        <f t="shared" si="7"/>
        <v>0</v>
      </c>
      <c r="BC21" s="182"/>
      <c r="BD21" s="90"/>
      <c r="BE21" s="90"/>
      <c r="BF21" s="183">
        <f t="shared" si="8"/>
        <v>0</v>
      </c>
      <c r="BG21" s="182"/>
      <c r="BH21" s="90"/>
      <c r="BI21" s="90"/>
      <c r="BJ21" s="183">
        <f t="shared" si="9"/>
        <v>0</v>
      </c>
      <c r="BK21" s="182"/>
      <c r="BL21" s="90"/>
      <c r="BM21" s="90"/>
      <c r="BN21" s="183">
        <f t="shared" si="10"/>
        <v>0</v>
      </c>
      <c r="BO21" s="182"/>
      <c r="BP21" s="90"/>
      <c r="BQ21" s="90"/>
      <c r="BR21" s="183">
        <f t="shared" si="11"/>
        <v>0</v>
      </c>
      <c r="BS21" s="182"/>
      <c r="BT21" s="90"/>
      <c r="BU21" s="90"/>
      <c r="BV21" s="183">
        <f t="shared" si="12"/>
        <v>0</v>
      </c>
      <c r="BW21" s="182"/>
      <c r="BX21" s="90"/>
      <c r="BY21" s="90"/>
      <c r="BZ21" s="183">
        <f t="shared" si="13"/>
        <v>0</v>
      </c>
      <c r="CA21" s="182"/>
      <c r="CB21" s="90"/>
      <c r="CC21" s="90"/>
      <c r="CD21" s="183">
        <f t="shared" si="14"/>
        <v>0</v>
      </c>
    </row>
    <row r="22" spans="2:82" x14ac:dyDescent="0.3">
      <c r="B22" s="53"/>
      <c r="C22" s="53" t="str">
        <f t="shared" si="0"/>
        <v>CPU_Conserva</v>
      </c>
      <c r="D22" s="278">
        <f t="shared" si="1"/>
        <v>3</v>
      </c>
      <c r="E22" s="278">
        <f t="shared" si="2"/>
        <v>0</v>
      </c>
      <c r="F22" s="1"/>
      <c r="G22" s="28" t="str">
        <f>IFERROR(VLOOKUP(F22,Tabela7[[RECURSO]:[CUSTO]],2,FALSE),"")</f>
        <v/>
      </c>
      <c r="H22" s="92"/>
      <c r="I22" s="90"/>
      <c r="J22" s="45">
        <f>IFERROR(VLOOKUP(F22,Tabela7[[RECURSO]:[CUSTO]],3,FALSE),0)</f>
        <v>0</v>
      </c>
      <c r="K22" s="45">
        <f>I22*J22*CPU_20[[#This Row],[Nº]]</f>
        <v>0</v>
      </c>
      <c r="M22" s="31"/>
      <c r="N22" s="297"/>
      <c r="O22" s="60">
        <f t="shared" si="15"/>
        <v>0</v>
      </c>
      <c r="AD22" s="144" t="str">
        <f t="shared" si="3"/>
        <v>Conserva</v>
      </c>
      <c r="AE22" s="179"/>
      <c r="AF22" s="180">
        <f t="shared" si="16"/>
        <v>0</v>
      </c>
      <c r="AG22" s="180">
        <f t="shared" si="17"/>
        <v>0</v>
      </c>
      <c r="AH22" s="181">
        <f t="shared" si="18"/>
        <v>0</v>
      </c>
      <c r="AI22" s="182"/>
      <c r="AJ22" s="90"/>
      <c r="AK22" s="90"/>
      <c r="AL22" s="183">
        <f t="shared" si="19"/>
        <v>0</v>
      </c>
      <c r="AM22" s="182"/>
      <c r="AN22" s="90"/>
      <c r="AO22" s="90"/>
      <c r="AP22" s="183">
        <f t="shared" si="4"/>
        <v>0</v>
      </c>
      <c r="AQ22" s="182"/>
      <c r="AR22" s="90"/>
      <c r="AS22" s="90"/>
      <c r="AT22" s="183">
        <f t="shared" si="5"/>
        <v>0</v>
      </c>
      <c r="AU22" s="182"/>
      <c r="AV22" s="90"/>
      <c r="AW22" s="90"/>
      <c r="AX22" s="183">
        <f t="shared" si="6"/>
        <v>0</v>
      </c>
      <c r="AY22" s="182"/>
      <c r="AZ22" s="90"/>
      <c r="BA22" s="90"/>
      <c r="BB22" s="183">
        <f t="shared" si="7"/>
        <v>0</v>
      </c>
      <c r="BC22" s="182"/>
      <c r="BD22" s="90"/>
      <c r="BE22" s="90"/>
      <c r="BF22" s="183">
        <f t="shared" si="8"/>
        <v>0</v>
      </c>
      <c r="BG22" s="182"/>
      <c r="BH22" s="90"/>
      <c r="BI22" s="90"/>
      <c r="BJ22" s="183">
        <f t="shared" si="9"/>
        <v>0</v>
      </c>
      <c r="BK22" s="182"/>
      <c r="BL22" s="90"/>
      <c r="BM22" s="90"/>
      <c r="BN22" s="183">
        <f t="shared" si="10"/>
        <v>0</v>
      </c>
      <c r="BO22" s="182"/>
      <c r="BP22" s="90"/>
      <c r="BQ22" s="90"/>
      <c r="BR22" s="183">
        <f t="shared" si="11"/>
        <v>0</v>
      </c>
      <c r="BS22" s="182"/>
      <c r="BT22" s="90"/>
      <c r="BU22" s="90"/>
      <c r="BV22" s="183">
        <f t="shared" si="12"/>
        <v>0</v>
      </c>
      <c r="BW22" s="182"/>
      <c r="BX22" s="90"/>
      <c r="BY22" s="90"/>
      <c r="BZ22" s="183">
        <f t="shared" si="13"/>
        <v>0</v>
      </c>
      <c r="CA22" s="182"/>
      <c r="CB22" s="90"/>
      <c r="CC22" s="90"/>
      <c r="CD22" s="183">
        <f t="shared" si="14"/>
        <v>0</v>
      </c>
    </row>
    <row r="23" spans="2:82" ht="15" thickBot="1" x14ac:dyDescent="0.35">
      <c r="B23" s="53"/>
      <c r="C23" s="53" t="str">
        <f t="shared" si="0"/>
        <v>CPU_Conserva</v>
      </c>
      <c r="D23" s="278">
        <f t="shared" si="1"/>
        <v>3</v>
      </c>
      <c r="E23" s="278">
        <f t="shared" si="2"/>
        <v>0</v>
      </c>
      <c r="F23" s="1"/>
      <c r="G23" s="28" t="str">
        <f>IFERROR(VLOOKUP(F23,Tabela7[[RECURSO]:[CUSTO]],2,FALSE),"")</f>
        <v/>
      </c>
      <c r="H23" s="92"/>
      <c r="I23" s="90"/>
      <c r="J23" s="45">
        <f>IFERROR(VLOOKUP(F23,Tabela7[[RECURSO]:[CUSTO]],3,FALSE),0)</f>
        <v>0</v>
      </c>
      <c r="K23" s="45">
        <f>I23*J23*CPU_20[[#This Row],[Nº]]</f>
        <v>0</v>
      </c>
      <c r="M23" s="51"/>
      <c r="N23" s="298"/>
      <c r="O23" s="61">
        <f t="shared" si="15"/>
        <v>0</v>
      </c>
      <c r="AD23" s="144" t="str">
        <f t="shared" si="3"/>
        <v>Conserva</v>
      </c>
      <c r="AE23" s="179"/>
      <c r="AF23" s="180">
        <f t="shared" si="16"/>
        <v>0</v>
      </c>
      <c r="AG23" s="180">
        <f t="shared" si="17"/>
        <v>0</v>
      </c>
      <c r="AH23" s="181">
        <f t="shared" si="18"/>
        <v>0</v>
      </c>
      <c r="AI23" s="182"/>
      <c r="AJ23" s="90"/>
      <c r="AK23" s="90"/>
      <c r="AL23" s="183">
        <f t="shared" si="19"/>
        <v>0</v>
      </c>
      <c r="AM23" s="182"/>
      <c r="AN23" s="90"/>
      <c r="AO23" s="90"/>
      <c r="AP23" s="183">
        <f t="shared" si="4"/>
        <v>0</v>
      </c>
      <c r="AQ23" s="182"/>
      <c r="AR23" s="90"/>
      <c r="AS23" s="90"/>
      <c r="AT23" s="183">
        <f t="shared" si="5"/>
        <v>0</v>
      </c>
      <c r="AU23" s="182"/>
      <c r="AV23" s="90"/>
      <c r="AW23" s="90"/>
      <c r="AX23" s="183">
        <f t="shared" si="6"/>
        <v>0</v>
      </c>
      <c r="AY23" s="182"/>
      <c r="AZ23" s="90"/>
      <c r="BA23" s="90"/>
      <c r="BB23" s="183">
        <f t="shared" si="7"/>
        <v>0</v>
      </c>
      <c r="BC23" s="182"/>
      <c r="BD23" s="90"/>
      <c r="BE23" s="90"/>
      <c r="BF23" s="183">
        <f t="shared" si="8"/>
        <v>0</v>
      </c>
      <c r="BG23" s="182"/>
      <c r="BH23" s="90"/>
      <c r="BI23" s="90"/>
      <c r="BJ23" s="183">
        <f t="shared" si="9"/>
        <v>0</v>
      </c>
      <c r="BK23" s="182"/>
      <c r="BL23" s="90"/>
      <c r="BM23" s="90"/>
      <c r="BN23" s="183">
        <f t="shared" si="10"/>
        <v>0</v>
      </c>
      <c r="BO23" s="182"/>
      <c r="BP23" s="90"/>
      <c r="BQ23" s="90"/>
      <c r="BR23" s="183">
        <f t="shared" si="11"/>
        <v>0</v>
      </c>
      <c r="BS23" s="182"/>
      <c r="BT23" s="90"/>
      <c r="BU23" s="90"/>
      <c r="BV23" s="183">
        <f t="shared" si="12"/>
        <v>0</v>
      </c>
      <c r="BW23" s="182"/>
      <c r="BX23" s="90"/>
      <c r="BY23" s="90"/>
      <c r="BZ23" s="183">
        <f t="shared" si="13"/>
        <v>0</v>
      </c>
      <c r="CA23" s="182"/>
      <c r="CB23" s="90"/>
      <c r="CC23" s="90"/>
      <c r="CD23" s="183">
        <f t="shared" si="14"/>
        <v>0</v>
      </c>
    </row>
    <row r="24" spans="2:82" x14ac:dyDescent="0.3">
      <c r="B24" s="52" t="s">
        <v>686</v>
      </c>
      <c r="C24" s="52" t="str">
        <f t="shared" si="0"/>
        <v>CPU_Conserva</v>
      </c>
      <c r="D24" s="277">
        <f t="shared" si="1"/>
        <v>3</v>
      </c>
      <c r="E24" s="277">
        <f t="shared" si="2"/>
        <v>0</v>
      </c>
      <c r="F24" s="37"/>
      <c r="G24" s="38"/>
      <c r="H24" s="91"/>
      <c r="I24" s="40"/>
      <c r="J24" s="40">
        <f>IFERROR(K24/$B$6,0)</f>
        <v>608</v>
      </c>
      <c r="K24" s="40">
        <f>SUM(K25:K36)</f>
        <v>1824</v>
      </c>
      <c r="AD24" s="144" t="str">
        <f t="shared" si="3"/>
        <v>Conserva</v>
      </c>
      <c r="AE24" s="184"/>
      <c r="AF24" s="40"/>
      <c r="AG24" s="40">
        <f>IFERROR(AH24/AF$3,0)</f>
        <v>0</v>
      </c>
      <c r="AH24" s="185">
        <f>SUM(AH25:AH36)</f>
        <v>0</v>
      </c>
      <c r="AI24" s="184"/>
      <c r="AJ24" s="40"/>
      <c r="AK24" s="40">
        <f>IFERROR(AL24/AJ$3,0)</f>
        <v>0</v>
      </c>
      <c r="AL24" s="185">
        <f>SUM(AL25:AL36)</f>
        <v>0</v>
      </c>
      <c r="AM24" s="184"/>
      <c r="AN24" s="40"/>
      <c r="AO24" s="40">
        <f>IFERROR(AP24/AN$3,0)</f>
        <v>0</v>
      </c>
      <c r="AP24" s="185">
        <f>SUM(AP25:AP36)</f>
        <v>0</v>
      </c>
      <c r="AQ24" s="184"/>
      <c r="AR24" s="40"/>
      <c r="AS24" s="40">
        <f>IFERROR(AT24/AR$3,0)</f>
        <v>0</v>
      </c>
      <c r="AT24" s="185">
        <f>SUM(AT25:AT36)</f>
        <v>0</v>
      </c>
      <c r="AU24" s="184"/>
      <c r="AV24" s="40"/>
      <c r="AW24" s="40">
        <f>IFERROR(AX24/AV$3,0)</f>
        <v>0</v>
      </c>
      <c r="AX24" s="185">
        <f>SUM(AX25:AX36)</f>
        <v>0</v>
      </c>
      <c r="AY24" s="184"/>
      <c r="AZ24" s="40"/>
      <c r="BA24" s="40">
        <f>IFERROR(BB24/AZ$3,0)</f>
        <v>0</v>
      </c>
      <c r="BB24" s="185">
        <f>SUM(BB25:BB36)</f>
        <v>0</v>
      </c>
      <c r="BC24" s="184"/>
      <c r="BD24" s="40"/>
      <c r="BE24" s="40">
        <f>IFERROR(BF24/BD$3,0)</f>
        <v>0</v>
      </c>
      <c r="BF24" s="185">
        <f>SUM(BF25:BF36)</f>
        <v>0</v>
      </c>
      <c r="BG24" s="184"/>
      <c r="BH24" s="40"/>
      <c r="BI24" s="40">
        <f>IFERROR(BJ24/BH$3,0)</f>
        <v>0</v>
      </c>
      <c r="BJ24" s="185">
        <f>SUM(BJ25:BJ36)</f>
        <v>0</v>
      </c>
      <c r="BK24" s="184"/>
      <c r="BL24" s="40"/>
      <c r="BM24" s="40">
        <f>IFERROR(BN24/BL$3,0)</f>
        <v>0</v>
      </c>
      <c r="BN24" s="185">
        <f>SUM(BN25:BN36)</f>
        <v>0</v>
      </c>
      <c r="BO24" s="184"/>
      <c r="BP24" s="40"/>
      <c r="BQ24" s="40">
        <f>IFERROR(BR24/BP$3,0)</f>
        <v>0</v>
      </c>
      <c r="BR24" s="185">
        <f>SUM(BR25:BR36)</f>
        <v>0</v>
      </c>
      <c r="BS24" s="184"/>
      <c r="BT24" s="40"/>
      <c r="BU24" s="40">
        <f>IFERROR(BV24/BT$3,0)</f>
        <v>0</v>
      </c>
      <c r="BV24" s="185">
        <f>SUM(BV25:BV36)</f>
        <v>0</v>
      </c>
      <c r="BW24" s="184"/>
      <c r="BX24" s="40"/>
      <c r="BY24" s="40">
        <f>IFERROR(BZ24/BX$3,0)</f>
        <v>0</v>
      </c>
      <c r="BZ24" s="185">
        <f>SUM(BZ25:BZ36)</f>
        <v>0</v>
      </c>
      <c r="CA24" s="184"/>
      <c r="CB24" s="40"/>
      <c r="CC24" s="40">
        <f>IFERROR(CD24/CB$3,0)</f>
        <v>0</v>
      </c>
      <c r="CD24" s="185">
        <f>SUM(CD25:CD36)</f>
        <v>0</v>
      </c>
    </row>
    <row r="25" spans="2:82" x14ac:dyDescent="0.3">
      <c r="B25" s="53"/>
      <c r="C25" s="53" t="str">
        <f t="shared" si="0"/>
        <v>CPU_Conserva</v>
      </c>
      <c r="D25" s="278">
        <f t="shared" si="1"/>
        <v>3</v>
      </c>
      <c r="E25" s="278">
        <f t="shared" si="2"/>
        <v>0</v>
      </c>
      <c r="F25" s="1" t="s">
        <v>288</v>
      </c>
      <c r="G25" s="28" t="str">
        <f>IFERROR(VLOOKUP(F25,Tabela7[[RECURSO]:[CUSTO]],2,FALSE),"")</f>
        <v>L</v>
      </c>
      <c r="H25" s="93"/>
      <c r="I25" s="368">
        <f>IFERROR(SUMPRODUCT(I12:I23,M12:M23,H12:H23,N12:N23),0)-I26</f>
        <v>253.09090909090909</v>
      </c>
      <c r="J25" s="45">
        <f>IFERROR(VLOOKUP(F25,Tabela7[[RECURSO]:[CUSTO]],3,FALSE),0)</f>
        <v>7</v>
      </c>
      <c r="K25" s="45">
        <f>I25*J25</f>
        <v>1771.6363636363637</v>
      </c>
      <c r="M25" s="154" t="s">
        <v>864</v>
      </c>
      <c r="N25">
        <f>200*16/10</f>
        <v>320</v>
      </c>
      <c r="O25" t="s">
        <v>865</v>
      </c>
      <c r="AD25" s="144" t="str">
        <f t="shared" si="3"/>
        <v>Conserva</v>
      </c>
      <c r="AE25" s="179"/>
      <c r="AF25" s="180">
        <f t="shared" ref="AF25:AF36" si="20">AJ25+AN25+AR25+AV25+AZ25+BD25+BH25+BL25+BP25+BT25+BX25+CB25</f>
        <v>0</v>
      </c>
      <c r="AG25" s="180">
        <f t="shared" si="17"/>
        <v>0</v>
      </c>
      <c r="AH25" s="181">
        <f t="shared" ref="AH25:AH36" si="21">AL25+AP25+AT25+AX25+BB25+BF25+BJ25+BN25+BR25+BV25+BZ25+CD25</f>
        <v>0</v>
      </c>
      <c r="AI25" s="182"/>
      <c r="AJ25" s="90"/>
      <c r="AK25" s="90"/>
      <c r="AL25" s="183">
        <f t="shared" ref="AL25:AL36" si="22">AJ25*AK25</f>
        <v>0</v>
      </c>
      <c r="AM25" s="182"/>
      <c r="AN25" s="90"/>
      <c r="AO25" s="90"/>
      <c r="AP25" s="183">
        <f t="shared" ref="AP25:AP62" si="23">AN25*AO25</f>
        <v>0</v>
      </c>
      <c r="AQ25" s="182"/>
      <c r="AR25" s="90"/>
      <c r="AS25" s="90"/>
      <c r="AT25" s="183">
        <f t="shared" ref="AT25:AT62" si="24">AR25*AS25</f>
        <v>0</v>
      </c>
      <c r="AU25" s="182"/>
      <c r="AV25" s="90"/>
      <c r="AW25" s="90"/>
      <c r="AX25" s="183">
        <f t="shared" ref="AX25:AX62" si="25">AV25*AW25</f>
        <v>0</v>
      </c>
      <c r="AY25" s="182"/>
      <c r="AZ25" s="90"/>
      <c r="BA25" s="90"/>
      <c r="BB25" s="183">
        <f t="shared" ref="BB25:BB62" si="26">AZ25*BA25</f>
        <v>0</v>
      </c>
      <c r="BC25" s="182"/>
      <c r="BD25" s="90"/>
      <c r="BE25" s="90"/>
      <c r="BF25" s="183">
        <f t="shared" ref="BF25:BF62" si="27">BD25*BE25</f>
        <v>0</v>
      </c>
      <c r="BG25" s="182"/>
      <c r="BH25" s="90"/>
      <c r="BI25" s="90"/>
      <c r="BJ25" s="183">
        <f t="shared" ref="BJ25:BJ62" si="28">BH25*BI25</f>
        <v>0</v>
      </c>
      <c r="BK25" s="182"/>
      <c r="BL25" s="90"/>
      <c r="BM25" s="90"/>
      <c r="BN25" s="183">
        <f t="shared" ref="BN25:BN62" si="29">BL25*BM25</f>
        <v>0</v>
      </c>
      <c r="BO25" s="182"/>
      <c r="BP25" s="90"/>
      <c r="BQ25" s="90"/>
      <c r="BR25" s="183">
        <f t="shared" ref="BR25:BR62" si="30">BP25*BQ25</f>
        <v>0</v>
      </c>
      <c r="BS25" s="182"/>
      <c r="BT25" s="90"/>
      <c r="BU25" s="90"/>
      <c r="BV25" s="183">
        <f t="shared" ref="BV25:BV62" si="31">BT25*BU25</f>
        <v>0</v>
      </c>
      <c r="BW25" s="182"/>
      <c r="BX25" s="90"/>
      <c r="BY25" s="90"/>
      <c r="BZ25" s="183">
        <f t="shared" ref="BZ25:BZ62" si="32">BX25*BY25</f>
        <v>0</v>
      </c>
      <c r="CA25" s="182"/>
      <c r="CB25" s="90"/>
      <c r="CC25" s="90"/>
      <c r="CD25" s="183">
        <f t="shared" ref="CD25:CD62" si="33">CB25*CC25</f>
        <v>0</v>
      </c>
    </row>
    <row r="26" spans="2:82" x14ac:dyDescent="0.3">
      <c r="B26" s="53"/>
      <c r="C26" s="53" t="str">
        <f t="shared" si="0"/>
        <v>CPU_Conserva</v>
      </c>
      <c r="D26" s="278">
        <f t="shared" si="1"/>
        <v>3</v>
      </c>
      <c r="E26" s="278">
        <f t="shared" si="2"/>
        <v>0</v>
      </c>
      <c r="F26" s="1" t="s">
        <v>175</v>
      </c>
      <c r="G26" s="28" t="str">
        <f>IFERROR(VLOOKUP(F26,Tabela7[[RECURSO]:[CUSTO]],2,FALSE),"")</f>
        <v>L</v>
      </c>
      <c r="H26" s="93"/>
      <c r="I26" s="368">
        <f>M14*N14*I14*H14</f>
        <v>8.7272727272727266</v>
      </c>
      <c r="J26" s="45">
        <f>IFERROR(VLOOKUP(F26,Tabela7[[RECURSO]:[CUSTO]],3,FALSE),0)</f>
        <v>6</v>
      </c>
      <c r="K26" s="45">
        <f t="shared" ref="K26:K36" si="34">I26*J26</f>
        <v>52.36363636363636</v>
      </c>
      <c r="M26" t="s">
        <v>866</v>
      </c>
      <c r="N26" s="44">
        <f>200*8/10</f>
        <v>160</v>
      </c>
      <c r="O26" t="s">
        <v>865</v>
      </c>
      <c r="AD26" s="144" t="str">
        <f t="shared" si="3"/>
        <v>Conserva</v>
      </c>
      <c r="AE26" s="179"/>
      <c r="AF26" s="180">
        <f t="shared" si="20"/>
        <v>0</v>
      </c>
      <c r="AG26" s="180">
        <f t="shared" si="17"/>
        <v>0</v>
      </c>
      <c r="AH26" s="181">
        <f t="shared" si="21"/>
        <v>0</v>
      </c>
      <c r="AI26" s="182"/>
      <c r="AJ26" s="90"/>
      <c r="AK26" s="90"/>
      <c r="AL26" s="183">
        <f t="shared" si="22"/>
        <v>0</v>
      </c>
      <c r="AM26" s="182"/>
      <c r="AN26" s="90"/>
      <c r="AO26" s="90"/>
      <c r="AP26" s="183">
        <f t="shared" si="23"/>
        <v>0</v>
      </c>
      <c r="AQ26" s="182"/>
      <c r="AR26" s="90"/>
      <c r="AS26" s="90"/>
      <c r="AT26" s="183">
        <f t="shared" si="24"/>
        <v>0</v>
      </c>
      <c r="AU26" s="182"/>
      <c r="AV26" s="90"/>
      <c r="AW26" s="90"/>
      <c r="AX26" s="183">
        <f t="shared" si="25"/>
        <v>0</v>
      </c>
      <c r="AY26" s="182"/>
      <c r="AZ26" s="90"/>
      <c r="BA26" s="90"/>
      <c r="BB26" s="183">
        <f t="shared" si="26"/>
        <v>0</v>
      </c>
      <c r="BC26" s="182"/>
      <c r="BD26" s="90"/>
      <c r="BE26" s="90"/>
      <c r="BF26" s="183">
        <f t="shared" si="27"/>
        <v>0</v>
      </c>
      <c r="BG26" s="182"/>
      <c r="BH26" s="90"/>
      <c r="BI26" s="90"/>
      <c r="BJ26" s="183">
        <f t="shared" si="28"/>
        <v>0</v>
      </c>
      <c r="BK26" s="182"/>
      <c r="BL26" s="90"/>
      <c r="BM26" s="90"/>
      <c r="BN26" s="183">
        <f t="shared" si="29"/>
        <v>0</v>
      </c>
      <c r="BO26" s="182"/>
      <c r="BP26" s="90"/>
      <c r="BQ26" s="90"/>
      <c r="BR26" s="183">
        <f t="shared" si="30"/>
        <v>0</v>
      </c>
      <c r="BS26" s="182"/>
      <c r="BT26" s="90"/>
      <c r="BU26" s="90"/>
      <c r="BV26" s="183">
        <f t="shared" si="31"/>
        <v>0</v>
      </c>
      <c r="BW26" s="182"/>
      <c r="BX26" s="90"/>
      <c r="BY26" s="90"/>
      <c r="BZ26" s="183">
        <f t="shared" si="32"/>
        <v>0</v>
      </c>
      <c r="CA26" s="182"/>
      <c r="CB26" s="90"/>
      <c r="CC26" s="90"/>
      <c r="CD26" s="183">
        <f t="shared" si="33"/>
        <v>0</v>
      </c>
    </row>
    <row r="27" spans="2:82" x14ac:dyDescent="0.3">
      <c r="B27" s="53"/>
      <c r="C27" s="53" t="str">
        <f t="shared" si="0"/>
        <v>CPU_Conserva</v>
      </c>
      <c r="D27" s="278">
        <f t="shared" si="1"/>
        <v>3</v>
      </c>
      <c r="E27" s="278">
        <f t="shared" si="2"/>
        <v>0</v>
      </c>
      <c r="F27" s="1"/>
      <c r="G27" s="28" t="str">
        <f>IFERROR(VLOOKUP(F27,Tabela7[[RECURSO]:[CUSTO]],2,FALSE),"")</f>
        <v/>
      </c>
      <c r="H27" s="93"/>
      <c r="I27" s="90"/>
      <c r="J27" s="45">
        <f>IFERROR(VLOOKUP(F27,Tabela7[[RECURSO]:[CUSTO]],3,FALSE),0)</f>
        <v>0</v>
      </c>
      <c r="K27" s="45">
        <f t="shared" si="34"/>
        <v>0</v>
      </c>
      <c r="M27" t="s">
        <v>677</v>
      </c>
      <c r="N27">
        <f>N25+N26</f>
        <v>480</v>
      </c>
      <c r="AD27" s="144" t="str">
        <f t="shared" si="3"/>
        <v>Conserva</v>
      </c>
      <c r="AE27" s="179"/>
      <c r="AF27" s="180">
        <f t="shared" si="20"/>
        <v>0</v>
      </c>
      <c r="AG27" s="180">
        <f t="shared" si="17"/>
        <v>0</v>
      </c>
      <c r="AH27" s="181">
        <f t="shared" si="21"/>
        <v>0</v>
      </c>
      <c r="AI27" s="182"/>
      <c r="AJ27" s="90"/>
      <c r="AK27" s="90"/>
      <c r="AL27" s="183">
        <f t="shared" si="22"/>
        <v>0</v>
      </c>
      <c r="AM27" s="182"/>
      <c r="AN27" s="90"/>
      <c r="AO27" s="90"/>
      <c r="AP27" s="183">
        <f t="shared" si="23"/>
        <v>0</v>
      </c>
      <c r="AQ27" s="182"/>
      <c r="AR27" s="90"/>
      <c r="AS27" s="90"/>
      <c r="AT27" s="183">
        <f t="shared" si="24"/>
        <v>0</v>
      </c>
      <c r="AU27" s="182"/>
      <c r="AV27" s="90"/>
      <c r="AW27" s="90"/>
      <c r="AX27" s="183">
        <f t="shared" si="25"/>
        <v>0</v>
      </c>
      <c r="AY27" s="182"/>
      <c r="AZ27" s="90"/>
      <c r="BA27" s="90"/>
      <c r="BB27" s="183">
        <f t="shared" si="26"/>
        <v>0</v>
      </c>
      <c r="BC27" s="182"/>
      <c r="BD27" s="90"/>
      <c r="BE27" s="90"/>
      <c r="BF27" s="183">
        <f t="shared" si="27"/>
        <v>0</v>
      </c>
      <c r="BG27" s="182"/>
      <c r="BH27" s="90"/>
      <c r="BI27" s="90"/>
      <c r="BJ27" s="183">
        <f t="shared" si="28"/>
        <v>0</v>
      </c>
      <c r="BK27" s="182"/>
      <c r="BL27" s="90"/>
      <c r="BM27" s="90"/>
      <c r="BN27" s="183">
        <f t="shared" si="29"/>
        <v>0</v>
      </c>
      <c r="BO27" s="182"/>
      <c r="BP27" s="90"/>
      <c r="BQ27" s="90"/>
      <c r="BR27" s="183">
        <f t="shared" si="30"/>
        <v>0</v>
      </c>
      <c r="BS27" s="182"/>
      <c r="BT27" s="90"/>
      <c r="BU27" s="90"/>
      <c r="BV27" s="183">
        <f t="shared" si="31"/>
        <v>0</v>
      </c>
      <c r="BW27" s="182"/>
      <c r="BX27" s="90"/>
      <c r="BY27" s="90"/>
      <c r="BZ27" s="183">
        <f t="shared" si="32"/>
        <v>0</v>
      </c>
      <c r="CA27" s="182"/>
      <c r="CB27" s="90"/>
      <c r="CC27" s="90"/>
      <c r="CD27" s="183">
        <f t="shared" si="33"/>
        <v>0</v>
      </c>
    </row>
    <row r="28" spans="2:82" ht="28.8" x14ac:dyDescent="0.3">
      <c r="B28" s="53"/>
      <c r="C28" s="53" t="str">
        <f t="shared" si="0"/>
        <v>CPU_Conserva</v>
      </c>
      <c r="D28" s="278">
        <f t="shared" si="1"/>
        <v>3</v>
      </c>
      <c r="E28" s="278">
        <f t="shared" si="2"/>
        <v>0</v>
      </c>
      <c r="F28" s="1"/>
      <c r="G28" s="28" t="str">
        <f>IFERROR(VLOOKUP(F28,Tabela7[[RECURSO]:[CUSTO]],2,FALSE),"")</f>
        <v/>
      </c>
      <c r="H28" s="93"/>
      <c r="I28" s="90"/>
      <c r="J28" s="45">
        <f>IFERROR(VLOOKUP(F28,Tabela7[[RECURSO]:[CUSTO]],3,FALSE),0)</f>
        <v>0</v>
      </c>
      <c r="K28" s="45">
        <f t="shared" si="34"/>
        <v>0</v>
      </c>
      <c r="M28" s="131" t="s">
        <v>867</v>
      </c>
      <c r="N28" s="22">
        <f>B6*30</f>
        <v>90</v>
      </c>
      <c r="AD28" s="144" t="str">
        <f t="shared" si="3"/>
        <v>Conserva</v>
      </c>
      <c r="AE28" s="179"/>
      <c r="AF28" s="180">
        <f t="shared" si="20"/>
        <v>0</v>
      </c>
      <c r="AG28" s="180">
        <f t="shared" si="17"/>
        <v>0</v>
      </c>
      <c r="AH28" s="181">
        <f t="shared" si="21"/>
        <v>0</v>
      </c>
      <c r="AI28" s="182"/>
      <c r="AJ28" s="90"/>
      <c r="AK28" s="90"/>
      <c r="AL28" s="183">
        <f t="shared" si="22"/>
        <v>0</v>
      </c>
      <c r="AM28" s="182"/>
      <c r="AN28" s="90"/>
      <c r="AO28" s="90"/>
      <c r="AP28" s="183">
        <f t="shared" si="23"/>
        <v>0</v>
      </c>
      <c r="AQ28" s="182"/>
      <c r="AR28" s="90"/>
      <c r="AS28" s="90"/>
      <c r="AT28" s="183">
        <f t="shared" si="24"/>
        <v>0</v>
      </c>
      <c r="AU28" s="182"/>
      <c r="AV28" s="90"/>
      <c r="AW28" s="90"/>
      <c r="AX28" s="183">
        <f t="shared" si="25"/>
        <v>0</v>
      </c>
      <c r="AY28" s="182"/>
      <c r="AZ28" s="90"/>
      <c r="BA28" s="90"/>
      <c r="BB28" s="183">
        <f t="shared" si="26"/>
        <v>0</v>
      </c>
      <c r="BC28" s="182"/>
      <c r="BD28" s="90"/>
      <c r="BE28" s="90"/>
      <c r="BF28" s="183">
        <f t="shared" si="27"/>
        <v>0</v>
      </c>
      <c r="BG28" s="182"/>
      <c r="BH28" s="90"/>
      <c r="BI28" s="90"/>
      <c r="BJ28" s="183">
        <f t="shared" si="28"/>
        <v>0</v>
      </c>
      <c r="BK28" s="182"/>
      <c r="BL28" s="90"/>
      <c r="BM28" s="90"/>
      <c r="BN28" s="183">
        <f t="shared" si="29"/>
        <v>0</v>
      </c>
      <c r="BO28" s="182"/>
      <c r="BP28" s="90"/>
      <c r="BQ28" s="90"/>
      <c r="BR28" s="183">
        <f t="shared" si="30"/>
        <v>0</v>
      </c>
      <c r="BS28" s="182"/>
      <c r="BT28" s="90"/>
      <c r="BU28" s="90"/>
      <c r="BV28" s="183">
        <f t="shared" si="31"/>
        <v>0</v>
      </c>
      <c r="BW28" s="182"/>
      <c r="BX28" s="90"/>
      <c r="BY28" s="90"/>
      <c r="BZ28" s="183">
        <f t="shared" si="32"/>
        <v>0</v>
      </c>
      <c r="CA28" s="182"/>
      <c r="CB28" s="90"/>
      <c r="CC28" s="90"/>
      <c r="CD28" s="183">
        <f t="shared" si="33"/>
        <v>0</v>
      </c>
    </row>
    <row r="29" spans="2:82" x14ac:dyDescent="0.3">
      <c r="B29" s="53"/>
      <c r="C29" s="53" t="str">
        <f t="shared" si="0"/>
        <v>CPU_Conserva</v>
      </c>
      <c r="D29" s="278">
        <f t="shared" si="1"/>
        <v>3</v>
      </c>
      <c r="E29" s="278">
        <f t="shared" si="2"/>
        <v>0</v>
      </c>
      <c r="F29" s="1"/>
      <c r="G29" s="28" t="str">
        <f>IFERROR(VLOOKUP(F29,Tabela7[[RECURSO]:[CUSTO]],2,FALSE),"")</f>
        <v/>
      </c>
      <c r="H29" s="93"/>
      <c r="I29" s="90"/>
      <c r="J29" s="45">
        <f>IFERROR(VLOOKUP(F29,Tabela7[[RECURSO]:[CUSTO]],3,FALSE),0)</f>
        <v>0</v>
      </c>
      <c r="K29" s="45">
        <f t="shared" si="34"/>
        <v>0</v>
      </c>
      <c r="M29" t="s">
        <v>868</v>
      </c>
      <c r="N29" s="22">
        <f>N27/N28</f>
        <v>5.333333333333333</v>
      </c>
      <c r="AD29" s="144" t="str">
        <f t="shared" si="3"/>
        <v>Conserva</v>
      </c>
      <c r="AE29" s="179"/>
      <c r="AF29" s="180">
        <f t="shared" si="20"/>
        <v>0</v>
      </c>
      <c r="AG29" s="180">
        <f t="shared" si="17"/>
        <v>0</v>
      </c>
      <c r="AH29" s="181">
        <f t="shared" si="21"/>
        <v>0</v>
      </c>
      <c r="AI29" s="182"/>
      <c r="AJ29" s="90"/>
      <c r="AK29" s="90"/>
      <c r="AL29" s="183">
        <f t="shared" si="22"/>
        <v>0</v>
      </c>
      <c r="AM29" s="182"/>
      <c r="AN29" s="90"/>
      <c r="AO29" s="90"/>
      <c r="AP29" s="183">
        <f t="shared" si="23"/>
        <v>0</v>
      </c>
      <c r="AQ29" s="182"/>
      <c r="AR29" s="90"/>
      <c r="AS29" s="90"/>
      <c r="AT29" s="183">
        <f t="shared" si="24"/>
        <v>0</v>
      </c>
      <c r="AU29" s="182"/>
      <c r="AV29" s="90"/>
      <c r="AW29" s="90"/>
      <c r="AX29" s="183">
        <f t="shared" si="25"/>
        <v>0</v>
      </c>
      <c r="AY29" s="182"/>
      <c r="AZ29" s="90"/>
      <c r="BA29" s="90"/>
      <c r="BB29" s="183">
        <f t="shared" si="26"/>
        <v>0</v>
      </c>
      <c r="BC29" s="182"/>
      <c r="BD29" s="90"/>
      <c r="BE29" s="90"/>
      <c r="BF29" s="183">
        <f t="shared" si="27"/>
        <v>0</v>
      </c>
      <c r="BG29" s="182"/>
      <c r="BH29" s="90"/>
      <c r="BI29" s="90"/>
      <c r="BJ29" s="183">
        <f t="shared" si="28"/>
        <v>0</v>
      </c>
      <c r="BK29" s="182"/>
      <c r="BL29" s="90"/>
      <c r="BM29" s="90"/>
      <c r="BN29" s="183">
        <f t="shared" si="29"/>
        <v>0</v>
      </c>
      <c r="BO29" s="182"/>
      <c r="BP29" s="90"/>
      <c r="BQ29" s="90"/>
      <c r="BR29" s="183">
        <f t="shared" si="30"/>
        <v>0</v>
      </c>
      <c r="BS29" s="182"/>
      <c r="BT29" s="90"/>
      <c r="BU29" s="90"/>
      <c r="BV29" s="183">
        <f t="shared" si="31"/>
        <v>0</v>
      </c>
      <c r="BW29" s="182"/>
      <c r="BX29" s="90"/>
      <c r="BY29" s="90"/>
      <c r="BZ29" s="183">
        <f t="shared" si="32"/>
        <v>0</v>
      </c>
      <c r="CA29" s="182"/>
      <c r="CB29" s="90"/>
      <c r="CC29" s="90"/>
      <c r="CD29" s="183">
        <f t="shared" si="33"/>
        <v>0</v>
      </c>
    </row>
    <row r="30" spans="2:82" x14ac:dyDescent="0.3">
      <c r="B30" s="53"/>
      <c r="C30" s="53" t="str">
        <f t="shared" si="0"/>
        <v>CPU_Conserva</v>
      </c>
      <c r="D30" s="278">
        <f t="shared" si="1"/>
        <v>3</v>
      </c>
      <c r="E30" s="278">
        <f t="shared" si="2"/>
        <v>0</v>
      </c>
      <c r="F30" s="1"/>
      <c r="G30" s="28" t="str">
        <f>IFERROR(VLOOKUP(F30,Tabela7[[RECURSO]:[CUSTO]],2,FALSE),"")</f>
        <v/>
      </c>
      <c r="H30" s="93"/>
      <c r="I30" s="90"/>
      <c r="J30" s="45">
        <f>IFERROR(VLOOKUP(F30,Tabela7[[RECURSO]:[CUSTO]],3,FALSE),0)</f>
        <v>0</v>
      </c>
      <c r="K30" s="45">
        <f t="shared" si="34"/>
        <v>0</v>
      </c>
      <c r="AD30" s="144" t="str">
        <f t="shared" si="3"/>
        <v>Conserva</v>
      </c>
      <c r="AE30" s="179"/>
      <c r="AF30" s="180">
        <f t="shared" si="20"/>
        <v>0</v>
      </c>
      <c r="AG30" s="180">
        <f t="shared" si="17"/>
        <v>0</v>
      </c>
      <c r="AH30" s="181">
        <f t="shared" si="21"/>
        <v>0</v>
      </c>
      <c r="AI30" s="182"/>
      <c r="AJ30" s="90"/>
      <c r="AK30" s="90"/>
      <c r="AL30" s="183">
        <f t="shared" si="22"/>
        <v>0</v>
      </c>
      <c r="AM30" s="182"/>
      <c r="AN30" s="90"/>
      <c r="AO30" s="90"/>
      <c r="AP30" s="183">
        <f t="shared" si="23"/>
        <v>0</v>
      </c>
      <c r="AQ30" s="182"/>
      <c r="AR30" s="90"/>
      <c r="AS30" s="90"/>
      <c r="AT30" s="183">
        <f t="shared" si="24"/>
        <v>0</v>
      </c>
      <c r="AU30" s="182"/>
      <c r="AV30" s="90"/>
      <c r="AW30" s="90"/>
      <c r="AX30" s="183">
        <f t="shared" si="25"/>
        <v>0</v>
      </c>
      <c r="AY30" s="182"/>
      <c r="AZ30" s="90"/>
      <c r="BA30" s="90"/>
      <c r="BB30" s="183">
        <f t="shared" si="26"/>
        <v>0</v>
      </c>
      <c r="BC30" s="182"/>
      <c r="BD30" s="90"/>
      <c r="BE30" s="90"/>
      <c r="BF30" s="183">
        <f t="shared" si="27"/>
        <v>0</v>
      </c>
      <c r="BG30" s="182"/>
      <c r="BH30" s="90"/>
      <c r="BI30" s="90"/>
      <c r="BJ30" s="183">
        <f t="shared" si="28"/>
        <v>0</v>
      </c>
      <c r="BK30" s="182"/>
      <c r="BL30" s="90"/>
      <c r="BM30" s="90"/>
      <c r="BN30" s="183">
        <f t="shared" si="29"/>
        <v>0</v>
      </c>
      <c r="BO30" s="182"/>
      <c r="BP30" s="90"/>
      <c r="BQ30" s="90"/>
      <c r="BR30" s="183">
        <f t="shared" si="30"/>
        <v>0</v>
      </c>
      <c r="BS30" s="182"/>
      <c r="BT30" s="90"/>
      <c r="BU30" s="90"/>
      <c r="BV30" s="183">
        <f t="shared" si="31"/>
        <v>0</v>
      </c>
      <c r="BW30" s="182"/>
      <c r="BX30" s="90"/>
      <c r="BY30" s="90"/>
      <c r="BZ30" s="183">
        <f t="shared" si="32"/>
        <v>0</v>
      </c>
      <c r="CA30" s="182"/>
      <c r="CB30" s="90"/>
      <c r="CC30" s="90"/>
      <c r="CD30" s="183">
        <f t="shared" si="33"/>
        <v>0</v>
      </c>
    </row>
    <row r="31" spans="2:82" x14ac:dyDescent="0.3">
      <c r="B31" s="53"/>
      <c r="C31" s="53" t="str">
        <f t="shared" si="0"/>
        <v>CPU_Conserva</v>
      </c>
      <c r="D31" s="278">
        <f t="shared" si="1"/>
        <v>3</v>
      </c>
      <c r="E31" s="278">
        <f t="shared" si="2"/>
        <v>0</v>
      </c>
      <c r="F31" s="1"/>
      <c r="G31" s="28" t="str">
        <f>IFERROR(VLOOKUP(F31,Tabela7[[RECURSO]:[CUSTO]],2,FALSE),"")</f>
        <v/>
      </c>
      <c r="H31" s="93"/>
      <c r="I31" s="90"/>
      <c r="J31" s="45">
        <f>IFERROR(VLOOKUP(F31,Tabela7[[RECURSO]:[CUSTO]],3,FALSE),0)</f>
        <v>0</v>
      </c>
      <c r="K31" s="45">
        <f t="shared" si="34"/>
        <v>0</v>
      </c>
      <c r="AD31" s="144" t="str">
        <f t="shared" si="3"/>
        <v>Conserva</v>
      </c>
      <c r="AE31" s="179"/>
      <c r="AF31" s="180">
        <f t="shared" si="20"/>
        <v>0</v>
      </c>
      <c r="AG31" s="180">
        <f t="shared" si="17"/>
        <v>0</v>
      </c>
      <c r="AH31" s="181">
        <f t="shared" si="21"/>
        <v>0</v>
      </c>
      <c r="AI31" s="182"/>
      <c r="AJ31" s="90"/>
      <c r="AK31" s="90"/>
      <c r="AL31" s="183">
        <f t="shared" si="22"/>
        <v>0</v>
      </c>
      <c r="AM31" s="182"/>
      <c r="AN31" s="90"/>
      <c r="AO31" s="90"/>
      <c r="AP31" s="183">
        <f t="shared" si="23"/>
        <v>0</v>
      </c>
      <c r="AQ31" s="182"/>
      <c r="AR31" s="90"/>
      <c r="AS31" s="90"/>
      <c r="AT31" s="183">
        <f t="shared" si="24"/>
        <v>0</v>
      </c>
      <c r="AU31" s="182"/>
      <c r="AV31" s="90"/>
      <c r="AW31" s="90"/>
      <c r="AX31" s="183">
        <f t="shared" si="25"/>
        <v>0</v>
      </c>
      <c r="AY31" s="182"/>
      <c r="AZ31" s="90"/>
      <c r="BA31" s="90"/>
      <c r="BB31" s="183">
        <f t="shared" si="26"/>
        <v>0</v>
      </c>
      <c r="BC31" s="182"/>
      <c r="BD31" s="90"/>
      <c r="BE31" s="90"/>
      <c r="BF31" s="183">
        <f t="shared" si="27"/>
        <v>0</v>
      </c>
      <c r="BG31" s="182"/>
      <c r="BH31" s="90"/>
      <c r="BI31" s="90"/>
      <c r="BJ31" s="183">
        <f t="shared" si="28"/>
        <v>0</v>
      </c>
      <c r="BK31" s="182"/>
      <c r="BL31" s="90"/>
      <c r="BM31" s="90"/>
      <c r="BN31" s="183">
        <f t="shared" si="29"/>
        <v>0</v>
      </c>
      <c r="BO31" s="182"/>
      <c r="BP31" s="90"/>
      <c r="BQ31" s="90"/>
      <c r="BR31" s="183">
        <f t="shared" si="30"/>
        <v>0</v>
      </c>
      <c r="BS31" s="182"/>
      <c r="BT31" s="90"/>
      <c r="BU31" s="90"/>
      <c r="BV31" s="183">
        <f t="shared" si="31"/>
        <v>0</v>
      </c>
      <c r="BW31" s="182"/>
      <c r="BX31" s="90"/>
      <c r="BY31" s="90"/>
      <c r="BZ31" s="183">
        <f t="shared" si="32"/>
        <v>0</v>
      </c>
      <c r="CA31" s="182"/>
      <c r="CB31" s="90"/>
      <c r="CC31" s="90"/>
      <c r="CD31" s="183">
        <f t="shared" si="33"/>
        <v>0</v>
      </c>
    </row>
    <row r="32" spans="2:82" x14ac:dyDescent="0.3">
      <c r="B32" s="53"/>
      <c r="C32" s="53" t="str">
        <f t="shared" si="0"/>
        <v>CPU_Conserva</v>
      </c>
      <c r="D32" s="278">
        <f t="shared" si="1"/>
        <v>3</v>
      </c>
      <c r="E32" s="278">
        <f t="shared" si="2"/>
        <v>0</v>
      </c>
      <c r="F32" s="1"/>
      <c r="G32" s="28" t="str">
        <f>IFERROR(VLOOKUP(F32,Tabela7[[RECURSO]:[CUSTO]],2,FALSE),"")</f>
        <v/>
      </c>
      <c r="H32" s="93"/>
      <c r="I32" s="90"/>
      <c r="J32" s="45">
        <f>IFERROR(VLOOKUP(F32,Tabela7[[RECURSO]:[CUSTO]],3,FALSE),0)</f>
        <v>0</v>
      </c>
      <c r="K32" s="45">
        <f t="shared" si="34"/>
        <v>0</v>
      </c>
      <c r="AD32" s="144" t="str">
        <f t="shared" si="3"/>
        <v>Conserva</v>
      </c>
      <c r="AE32" s="179"/>
      <c r="AF32" s="180">
        <f t="shared" si="20"/>
        <v>0</v>
      </c>
      <c r="AG32" s="180">
        <f t="shared" si="17"/>
        <v>0</v>
      </c>
      <c r="AH32" s="181">
        <f t="shared" si="21"/>
        <v>0</v>
      </c>
      <c r="AI32" s="182"/>
      <c r="AJ32" s="90"/>
      <c r="AK32" s="90"/>
      <c r="AL32" s="183">
        <f t="shared" si="22"/>
        <v>0</v>
      </c>
      <c r="AM32" s="182"/>
      <c r="AN32" s="90"/>
      <c r="AO32" s="90"/>
      <c r="AP32" s="183">
        <f t="shared" si="23"/>
        <v>0</v>
      </c>
      <c r="AQ32" s="182"/>
      <c r="AR32" s="90"/>
      <c r="AS32" s="90"/>
      <c r="AT32" s="183">
        <f t="shared" si="24"/>
        <v>0</v>
      </c>
      <c r="AU32" s="182"/>
      <c r="AV32" s="90"/>
      <c r="AW32" s="90"/>
      <c r="AX32" s="183">
        <f t="shared" si="25"/>
        <v>0</v>
      </c>
      <c r="AY32" s="182"/>
      <c r="AZ32" s="90"/>
      <c r="BA32" s="90"/>
      <c r="BB32" s="183">
        <f t="shared" si="26"/>
        <v>0</v>
      </c>
      <c r="BC32" s="182"/>
      <c r="BD32" s="90"/>
      <c r="BE32" s="90"/>
      <c r="BF32" s="183">
        <f t="shared" si="27"/>
        <v>0</v>
      </c>
      <c r="BG32" s="182"/>
      <c r="BH32" s="90"/>
      <c r="BI32" s="90"/>
      <c r="BJ32" s="183">
        <f t="shared" si="28"/>
        <v>0</v>
      </c>
      <c r="BK32" s="182"/>
      <c r="BL32" s="90"/>
      <c r="BM32" s="90"/>
      <c r="BN32" s="183">
        <f t="shared" si="29"/>
        <v>0</v>
      </c>
      <c r="BO32" s="182"/>
      <c r="BP32" s="90"/>
      <c r="BQ32" s="90"/>
      <c r="BR32" s="183">
        <f t="shared" si="30"/>
        <v>0</v>
      </c>
      <c r="BS32" s="182"/>
      <c r="BT32" s="90"/>
      <c r="BU32" s="90"/>
      <c r="BV32" s="183">
        <f t="shared" si="31"/>
        <v>0</v>
      </c>
      <c r="BW32" s="182"/>
      <c r="BX32" s="90"/>
      <c r="BY32" s="90"/>
      <c r="BZ32" s="183">
        <f t="shared" si="32"/>
        <v>0</v>
      </c>
      <c r="CA32" s="182"/>
      <c r="CB32" s="90"/>
      <c r="CC32" s="90"/>
      <c r="CD32" s="183">
        <f t="shared" si="33"/>
        <v>0</v>
      </c>
    </row>
    <row r="33" spans="2:82" x14ac:dyDescent="0.3">
      <c r="B33" s="53"/>
      <c r="C33" s="53" t="str">
        <f t="shared" si="0"/>
        <v>CPU_Conserva</v>
      </c>
      <c r="D33" s="278">
        <f t="shared" si="1"/>
        <v>3</v>
      </c>
      <c r="E33" s="278">
        <f t="shared" si="2"/>
        <v>0</v>
      </c>
      <c r="F33" s="1"/>
      <c r="G33" s="28" t="str">
        <f>IFERROR(VLOOKUP(F33,Tabela7[[RECURSO]:[CUSTO]],2,FALSE),"")</f>
        <v/>
      </c>
      <c r="H33" s="93"/>
      <c r="I33" s="90"/>
      <c r="J33" s="45">
        <f>IFERROR(VLOOKUP(F33,Tabela7[[RECURSO]:[CUSTO]],3,FALSE),0)</f>
        <v>0</v>
      </c>
      <c r="K33" s="45">
        <f t="shared" si="34"/>
        <v>0</v>
      </c>
      <c r="AD33" s="144" t="str">
        <f t="shared" si="3"/>
        <v>Conserva</v>
      </c>
      <c r="AE33" s="179"/>
      <c r="AF33" s="180">
        <f t="shared" si="20"/>
        <v>0</v>
      </c>
      <c r="AG33" s="180">
        <f t="shared" si="17"/>
        <v>0</v>
      </c>
      <c r="AH33" s="181">
        <f t="shared" si="21"/>
        <v>0</v>
      </c>
      <c r="AI33" s="182"/>
      <c r="AJ33" s="90"/>
      <c r="AK33" s="90"/>
      <c r="AL33" s="183">
        <f t="shared" si="22"/>
        <v>0</v>
      </c>
      <c r="AM33" s="182"/>
      <c r="AN33" s="90"/>
      <c r="AO33" s="90"/>
      <c r="AP33" s="183">
        <f t="shared" si="23"/>
        <v>0</v>
      </c>
      <c r="AQ33" s="182"/>
      <c r="AR33" s="90"/>
      <c r="AS33" s="90"/>
      <c r="AT33" s="183">
        <f t="shared" si="24"/>
        <v>0</v>
      </c>
      <c r="AU33" s="182"/>
      <c r="AV33" s="90"/>
      <c r="AW33" s="90"/>
      <c r="AX33" s="183">
        <f t="shared" si="25"/>
        <v>0</v>
      </c>
      <c r="AY33" s="182"/>
      <c r="AZ33" s="90"/>
      <c r="BA33" s="90"/>
      <c r="BB33" s="183">
        <f t="shared" si="26"/>
        <v>0</v>
      </c>
      <c r="BC33" s="182"/>
      <c r="BD33" s="90"/>
      <c r="BE33" s="90"/>
      <c r="BF33" s="183">
        <f t="shared" si="27"/>
        <v>0</v>
      </c>
      <c r="BG33" s="182"/>
      <c r="BH33" s="90"/>
      <c r="BI33" s="90"/>
      <c r="BJ33" s="183">
        <f t="shared" si="28"/>
        <v>0</v>
      </c>
      <c r="BK33" s="182"/>
      <c r="BL33" s="90"/>
      <c r="BM33" s="90"/>
      <c r="BN33" s="183">
        <f t="shared" si="29"/>
        <v>0</v>
      </c>
      <c r="BO33" s="182"/>
      <c r="BP33" s="90"/>
      <c r="BQ33" s="90"/>
      <c r="BR33" s="183">
        <f t="shared" si="30"/>
        <v>0</v>
      </c>
      <c r="BS33" s="182"/>
      <c r="BT33" s="90"/>
      <c r="BU33" s="90"/>
      <c r="BV33" s="183">
        <f t="shared" si="31"/>
        <v>0</v>
      </c>
      <c r="BW33" s="182"/>
      <c r="BX33" s="90"/>
      <c r="BY33" s="90"/>
      <c r="BZ33" s="183">
        <f t="shared" si="32"/>
        <v>0</v>
      </c>
      <c r="CA33" s="182"/>
      <c r="CB33" s="90"/>
      <c r="CC33" s="90"/>
      <c r="CD33" s="183">
        <f t="shared" si="33"/>
        <v>0</v>
      </c>
    </row>
    <row r="34" spans="2:82" x14ac:dyDescent="0.3">
      <c r="B34" s="53"/>
      <c r="C34" s="53" t="str">
        <f t="shared" si="0"/>
        <v>CPU_Conserva</v>
      </c>
      <c r="D34" s="278">
        <f t="shared" si="1"/>
        <v>3</v>
      </c>
      <c r="E34" s="278">
        <f t="shared" si="2"/>
        <v>0</v>
      </c>
      <c r="F34" s="1"/>
      <c r="G34" s="28" t="str">
        <f>IFERROR(VLOOKUP(F34,Tabela7[[RECURSO]:[CUSTO]],2,FALSE),"")</f>
        <v/>
      </c>
      <c r="H34" s="93"/>
      <c r="I34" s="90"/>
      <c r="J34" s="45">
        <f>IFERROR(VLOOKUP(F34,Tabela7[[RECURSO]:[CUSTO]],3,FALSE),0)</f>
        <v>0</v>
      </c>
      <c r="K34" s="45">
        <f t="shared" si="34"/>
        <v>0</v>
      </c>
      <c r="AD34" s="144" t="str">
        <f t="shared" si="3"/>
        <v>Conserva</v>
      </c>
      <c r="AE34" s="179"/>
      <c r="AF34" s="180">
        <f t="shared" si="20"/>
        <v>0</v>
      </c>
      <c r="AG34" s="180">
        <f t="shared" si="17"/>
        <v>0</v>
      </c>
      <c r="AH34" s="181">
        <f t="shared" si="21"/>
        <v>0</v>
      </c>
      <c r="AI34" s="182"/>
      <c r="AJ34" s="90"/>
      <c r="AK34" s="90"/>
      <c r="AL34" s="183">
        <f t="shared" si="22"/>
        <v>0</v>
      </c>
      <c r="AM34" s="182"/>
      <c r="AN34" s="90"/>
      <c r="AO34" s="90"/>
      <c r="AP34" s="183">
        <f t="shared" si="23"/>
        <v>0</v>
      </c>
      <c r="AQ34" s="182"/>
      <c r="AR34" s="90"/>
      <c r="AS34" s="90"/>
      <c r="AT34" s="183">
        <f t="shared" si="24"/>
        <v>0</v>
      </c>
      <c r="AU34" s="182"/>
      <c r="AV34" s="90"/>
      <c r="AW34" s="90"/>
      <c r="AX34" s="183">
        <f t="shared" si="25"/>
        <v>0</v>
      </c>
      <c r="AY34" s="182"/>
      <c r="AZ34" s="90"/>
      <c r="BA34" s="90"/>
      <c r="BB34" s="183">
        <f t="shared" si="26"/>
        <v>0</v>
      </c>
      <c r="BC34" s="182"/>
      <c r="BD34" s="90"/>
      <c r="BE34" s="90"/>
      <c r="BF34" s="183">
        <f t="shared" si="27"/>
        <v>0</v>
      </c>
      <c r="BG34" s="182"/>
      <c r="BH34" s="90"/>
      <c r="BI34" s="90"/>
      <c r="BJ34" s="183">
        <f t="shared" si="28"/>
        <v>0</v>
      </c>
      <c r="BK34" s="182"/>
      <c r="BL34" s="90"/>
      <c r="BM34" s="90"/>
      <c r="BN34" s="183">
        <f t="shared" si="29"/>
        <v>0</v>
      </c>
      <c r="BO34" s="182"/>
      <c r="BP34" s="90"/>
      <c r="BQ34" s="90"/>
      <c r="BR34" s="183">
        <f t="shared" si="30"/>
        <v>0</v>
      </c>
      <c r="BS34" s="182"/>
      <c r="BT34" s="90"/>
      <c r="BU34" s="90"/>
      <c r="BV34" s="183">
        <f t="shared" si="31"/>
        <v>0</v>
      </c>
      <c r="BW34" s="182"/>
      <c r="BX34" s="90"/>
      <c r="BY34" s="90"/>
      <c r="BZ34" s="183">
        <f t="shared" si="32"/>
        <v>0</v>
      </c>
      <c r="CA34" s="182"/>
      <c r="CB34" s="90"/>
      <c r="CC34" s="90"/>
      <c r="CD34" s="183">
        <f t="shared" si="33"/>
        <v>0</v>
      </c>
    </row>
    <row r="35" spans="2:82" x14ac:dyDescent="0.3">
      <c r="B35" s="53"/>
      <c r="C35" s="53" t="str">
        <f t="shared" si="0"/>
        <v>CPU_Conserva</v>
      </c>
      <c r="D35" s="278">
        <f t="shared" si="1"/>
        <v>3</v>
      </c>
      <c r="E35" s="278">
        <f t="shared" si="2"/>
        <v>0</v>
      </c>
      <c r="F35" s="1"/>
      <c r="G35" s="28" t="str">
        <f>IFERROR(VLOOKUP(F35,Tabela7[[RECURSO]:[CUSTO]],2,FALSE),"")</f>
        <v/>
      </c>
      <c r="H35" s="93"/>
      <c r="I35" s="90"/>
      <c r="J35" s="45">
        <f>IFERROR(VLOOKUP(F35,Tabela7[[RECURSO]:[CUSTO]],3,FALSE),0)</f>
        <v>0</v>
      </c>
      <c r="K35" s="45">
        <f t="shared" si="34"/>
        <v>0</v>
      </c>
      <c r="AD35" s="144" t="str">
        <f t="shared" si="3"/>
        <v>Conserva</v>
      </c>
      <c r="AE35" s="179"/>
      <c r="AF35" s="180">
        <f t="shared" si="20"/>
        <v>0</v>
      </c>
      <c r="AG35" s="180">
        <f t="shared" si="17"/>
        <v>0</v>
      </c>
      <c r="AH35" s="181">
        <f t="shared" si="21"/>
        <v>0</v>
      </c>
      <c r="AI35" s="182"/>
      <c r="AJ35" s="90"/>
      <c r="AK35" s="90"/>
      <c r="AL35" s="183">
        <f t="shared" si="22"/>
        <v>0</v>
      </c>
      <c r="AM35" s="182"/>
      <c r="AN35" s="90"/>
      <c r="AO35" s="90"/>
      <c r="AP35" s="183">
        <f t="shared" si="23"/>
        <v>0</v>
      </c>
      <c r="AQ35" s="182"/>
      <c r="AR35" s="90"/>
      <c r="AS35" s="90"/>
      <c r="AT35" s="183">
        <f t="shared" si="24"/>
        <v>0</v>
      </c>
      <c r="AU35" s="182"/>
      <c r="AV35" s="90"/>
      <c r="AW35" s="90"/>
      <c r="AX35" s="183">
        <f t="shared" si="25"/>
        <v>0</v>
      </c>
      <c r="AY35" s="182"/>
      <c r="AZ35" s="90"/>
      <c r="BA35" s="90"/>
      <c r="BB35" s="183">
        <f t="shared" si="26"/>
        <v>0</v>
      </c>
      <c r="BC35" s="182"/>
      <c r="BD35" s="90"/>
      <c r="BE35" s="90"/>
      <c r="BF35" s="183">
        <f t="shared" si="27"/>
        <v>0</v>
      </c>
      <c r="BG35" s="182"/>
      <c r="BH35" s="90"/>
      <c r="BI35" s="90"/>
      <c r="BJ35" s="183">
        <f t="shared" si="28"/>
        <v>0</v>
      </c>
      <c r="BK35" s="182"/>
      <c r="BL35" s="90"/>
      <c r="BM35" s="90"/>
      <c r="BN35" s="183">
        <f t="shared" si="29"/>
        <v>0</v>
      </c>
      <c r="BO35" s="182"/>
      <c r="BP35" s="90"/>
      <c r="BQ35" s="90"/>
      <c r="BR35" s="183">
        <f t="shared" si="30"/>
        <v>0</v>
      </c>
      <c r="BS35" s="182"/>
      <c r="BT35" s="90"/>
      <c r="BU35" s="90"/>
      <c r="BV35" s="183">
        <f t="shared" si="31"/>
        <v>0</v>
      </c>
      <c r="BW35" s="182"/>
      <c r="BX35" s="90"/>
      <c r="BY35" s="90"/>
      <c r="BZ35" s="183">
        <f t="shared" si="32"/>
        <v>0</v>
      </c>
      <c r="CA35" s="182"/>
      <c r="CB35" s="90"/>
      <c r="CC35" s="90"/>
      <c r="CD35" s="183">
        <f t="shared" si="33"/>
        <v>0</v>
      </c>
    </row>
    <row r="36" spans="2:82" x14ac:dyDescent="0.3">
      <c r="B36" s="53"/>
      <c r="C36" s="53" t="str">
        <f t="shared" si="0"/>
        <v>CPU_Conserva</v>
      </c>
      <c r="D36" s="278">
        <f t="shared" si="1"/>
        <v>3</v>
      </c>
      <c r="E36" s="278">
        <f t="shared" si="2"/>
        <v>0</v>
      </c>
      <c r="F36" s="1"/>
      <c r="G36" s="28" t="str">
        <f>IFERROR(VLOOKUP(F36,Tabela7[[RECURSO]:[CUSTO]],2,FALSE),"")</f>
        <v/>
      </c>
      <c r="H36" s="93"/>
      <c r="I36" s="90"/>
      <c r="J36" s="45">
        <f>IFERROR(VLOOKUP(F36,Tabela7[[RECURSO]:[CUSTO]],3,FALSE),0)</f>
        <v>0</v>
      </c>
      <c r="K36" s="45">
        <f t="shared" si="34"/>
        <v>0</v>
      </c>
      <c r="AD36" s="144" t="str">
        <f t="shared" si="3"/>
        <v>Conserva</v>
      </c>
      <c r="AE36" s="179"/>
      <c r="AF36" s="180">
        <f t="shared" si="20"/>
        <v>0</v>
      </c>
      <c r="AG36" s="180">
        <f t="shared" si="17"/>
        <v>0</v>
      </c>
      <c r="AH36" s="181">
        <f t="shared" si="21"/>
        <v>0</v>
      </c>
      <c r="AI36" s="182"/>
      <c r="AJ36" s="90"/>
      <c r="AK36" s="90"/>
      <c r="AL36" s="183">
        <f t="shared" si="22"/>
        <v>0</v>
      </c>
      <c r="AM36" s="182"/>
      <c r="AN36" s="90"/>
      <c r="AO36" s="90"/>
      <c r="AP36" s="183">
        <f t="shared" si="23"/>
        <v>0</v>
      </c>
      <c r="AQ36" s="182"/>
      <c r="AR36" s="90"/>
      <c r="AS36" s="90"/>
      <c r="AT36" s="183">
        <f t="shared" si="24"/>
        <v>0</v>
      </c>
      <c r="AU36" s="182"/>
      <c r="AV36" s="90"/>
      <c r="AW36" s="90"/>
      <c r="AX36" s="183">
        <f t="shared" si="25"/>
        <v>0</v>
      </c>
      <c r="AY36" s="182"/>
      <c r="AZ36" s="90"/>
      <c r="BA36" s="90"/>
      <c r="BB36" s="183">
        <f t="shared" si="26"/>
        <v>0</v>
      </c>
      <c r="BC36" s="182"/>
      <c r="BD36" s="90"/>
      <c r="BE36" s="90"/>
      <c r="BF36" s="183">
        <f t="shared" si="27"/>
        <v>0</v>
      </c>
      <c r="BG36" s="182"/>
      <c r="BH36" s="90"/>
      <c r="BI36" s="90"/>
      <c r="BJ36" s="183">
        <f t="shared" si="28"/>
        <v>0</v>
      </c>
      <c r="BK36" s="182"/>
      <c r="BL36" s="90"/>
      <c r="BM36" s="90"/>
      <c r="BN36" s="183">
        <f t="shared" si="29"/>
        <v>0</v>
      </c>
      <c r="BO36" s="182"/>
      <c r="BP36" s="90"/>
      <c r="BQ36" s="90"/>
      <c r="BR36" s="183">
        <f t="shared" si="30"/>
        <v>0</v>
      </c>
      <c r="BS36" s="182"/>
      <c r="BT36" s="90"/>
      <c r="BU36" s="90"/>
      <c r="BV36" s="183">
        <f t="shared" si="31"/>
        <v>0</v>
      </c>
      <c r="BW36" s="182"/>
      <c r="BX36" s="90"/>
      <c r="BY36" s="90"/>
      <c r="BZ36" s="183">
        <f t="shared" si="32"/>
        <v>0</v>
      </c>
      <c r="CA36" s="182"/>
      <c r="CB36" s="90"/>
      <c r="CC36" s="90"/>
      <c r="CD36" s="183">
        <f t="shared" si="33"/>
        <v>0</v>
      </c>
    </row>
    <row r="37" spans="2:82" x14ac:dyDescent="0.3">
      <c r="B37" s="52" t="s">
        <v>692</v>
      </c>
      <c r="C37" s="52" t="str">
        <f t="shared" si="0"/>
        <v>CPU_Conserva</v>
      </c>
      <c r="D37" s="277">
        <f t="shared" si="1"/>
        <v>3</v>
      </c>
      <c r="E37" s="277">
        <f t="shared" si="2"/>
        <v>0</v>
      </c>
      <c r="F37" s="37"/>
      <c r="G37" s="38"/>
      <c r="H37" s="91"/>
      <c r="I37" s="40"/>
      <c r="J37" s="40">
        <f>IFERROR(K37/$B$6,0)</f>
        <v>1015.422863295698</v>
      </c>
      <c r="K37" s="40">
        <f>SUM(K38:K49)</f>
        <v>3046.2685898870941</v>
      </c>
      <c r="N37" s="39"/>
      <c r="AD37" s="144" t="str">
        <f t="shared" si="3"/>
        <v>Conserva</v>
      </c>
      <c r="AE37" s="184"/>
      <c r="AF37" s="40"/>
      <c r="AG37" s="40">
        <f>IFERROR(AH37/AF$3,0)</f>
        <v>0</v>
      </c>
      <c r="AH37" s="185">
        <f>SUM(AH38:AH49)</f>
        <v>0</v>
      </c>
      <c r="AI37" s="184"/>
      <c r="AJ37" s="40"/>
      <c r="AK37" s="40">
        <f>IFERROR(AL37/AJ$3,0)</f>
        <v>0</v>
      </c>
      <c r="AL37" s="185">
        <f>SUM(AL38:AL49)</f>
        <v>0</v>
      </c>
      <c r="AM37" s="184"/>
      <c r="AN37" s="40"/>
      <c r="AO37" s="40">
        <f>IFERROR(AP37/AN$3,0)</f>
        <v>0</v>
      </c>
      <c r="AP37" s="185">
        <f>SUM(AP38:AP49)</f>
        <v>0</v>
      </c>
      <c r="AQ37" s="184"/>
      <c r="AR37" s="40"/>
      <c r="AS37" s="40">
        <f>IFERROR(AT37/AR$3,0)</f>
        <v>0</v>
      </c>
      <c r="AT37" s="185">
        <f>SUM(AT38:AT49)</f>
        <v>0</v>
      </c>
      <c r="AU37" s="184"/>
      <c r="AV37" s="40"/>
      <c r="AW37" s="40">
        <f>IFERROR(AX37/AV$3,0)</f>
        <v>0</v>
      </c>
      <c r="AX37" s="185">
        <f>SUM(AX38:AX49)</f>
        <v>0</v>
      </c>
      <c r="AY37" s="184"/>
      <c r="AZ37" s="40"/>
      <c r="BA37" s="40">
        <f>IFERROR(BB37/AZ$3,0)</f>
        <v>0</v>
      </c>
      <c r="BB37" s="185">
        <f>SUM(BB38:BB49)</f>
        <v>0</v>
      </c>
      <c r="BC37" s="184"/>
      <c r="BD37" s="40"/>
      <c r="BE37" s="40">
        <f>IFERROR(BF37/BD$3,0)</f>
        <v>0</v>
      </c>
      <c r="BF37" s="185">
        <f>SUM(BF38:BF49)</f>
        <v>0</v>
      </c>
      <c r="BG37" s="184"/>
      <c r="BH37" s="40"/>
      <c r="BI37" s="40">
        <f>IFERROR(BJ37/BH$3,0)</f>
        <v>0</v>
      </c>
      <c r="BJ37" s="185">
        <f>SUM(BJ38:BJ49)</f>
        <v>0</v>
      </c>
      <c r="BK37" s="184"/>
      <c r="BL37" s="40"/>
      <c r="BM37" s="40">
        <f>IFERROR(BN37/BL$3,0)</f>
        <v>0</v>
      </c>
      <c r="BN37" s="185">
        <f>SUM(BN38:BN49)</f>
        <v>0</v>
      </c>
      <c r="BO37" s="184"/>
      <c r="BP37" s="40"/>
      <c r="BQ37" s="40">
        <f>IFERROR(BR37/BP$3,0)</f>
        <v>0</v>
      </c>
      <c r="BR37" s="185">
        <f>SUM(BR38:BR49)</f>
        <v>0</v>
      </c>
      <c r="BS37" s="184"/>
      <c r="BT37" s="40"/>
      <c r="BU37" s="40">
        <f>IFERROR(BV37/BT$3,0)</f>
        <v>0</v>
      </c>
      <c r="BV37" s="185">
        <f>SUM(BV38:BV49)</f>
        <v>0</v>
      </c>
      <c r="BW37" s="184"/>
      <c r="BX37" s="40"/>
      <c r="BY37" s="40">
        <f>IFERROR(BZ37/BX$3,0)</f>
        <v>0</v>
      </c>
      <c r="BZ37" s="185">
        <f>SUM(BZ38:BZ49)</f>
        <v>0</v>
      </c>
      <c r="CA37" s="184"/>
      <c r="CB37" s="40"/>
      <c r="CC37" s="40">
        <f>IFERROR(CD37/CB$3,0)</f>
        <v>0</v>
      </c>
      <c r="CD37" s="185">
        <f>SUM(CD38:CD49)</f>
        <v>0</v>
      </c>
    </row>
    <row r="38" spans="2:82" x14ac:dyDescent="0.3">
      <c r="B38" s="54"/>
      <c r="C38" s="54" t="str">
        <f t="shared" si="0"/>
        <v>CPU_Conserva</v>
      </c>
      <c r="D38" s="280">
        <f t="shared" si="1"/>
        <v>3</v>
      </c>
      <c r="E38" s="280">
        <f t="shared" si="2"/>
        <v>0</v>
      </c>
      <c r="F38" s="1" t="s">
        <v>869</v>
      </c>
      <c r="G38" s="28" t="str">
        <f>IFERROR(VLOOKUP(F38,Tabela7[[RECURSO]:[CUSTO]],2,FALSE),"")</f>
        <v>H</v>
      </c>
      <c r="H38" s="92">
        <v>2</v>
      </c>
      <c r="I38" s="90">
        <v>10</v>
      </c>
      <c r="J38" s="45">
        <f>IFERROR(VLOOKUP(F38,Tabela7[[RECURSO]:[CUSTO]],3,FALSE),0)</f>
        <v>33.958689507494654</v>
      </c>
      <c r="K38" s="45">
        <f>I38*J38*CPU_20[[#This Row],[Nº]]</f>
        <v>679.17379014989308</v>
      </c>
      <c r="M38" s="22"/>
      <c r="AD38" s="144" t="str">
        <f t="shared" si="3"/>
        <v>Conserva</v>
      </c>
      <c r="AE38" s="186"/>
      <c r="AF38" s="180">
        <f t="shared" ref="AF38:AF49" si="35">AJ38+AN38+AR38+AV38+AZ38+BD38+BH38+BL38+BP38+BT38+BX38+CB38</f>
        <v>0</v>
      </c>
      <c r="AG38" s="180">
        <f t="shared" si="17"/>
        <v>0</v>
      </c>
      <c r="AH38" s="181">
        <f t="shared" ref="AH38:AH49" si="36">AL38+AP38+AT38+AX38+BB38+BF38+BJ38+BN38+BR38+BV38+BZ38+CD38</f>
        <v>0</v>
      </c>
      <c r="AI38" s="187"/>
      <c r="AJ38" s="90"/>
      <c r="AK38" s="90"/>
      <c r="AL38" s="183">
        <f t="shared" ref="AL38:AL49" si="37">AJ38*AK38</f>
        <v>0</v>
      </c>
      <c r="AM38" s="187"/>
      <c r="AN38" s="90"/>
      <c r="AO38" s="90"/>
      <c r="AP38" s="183">
        <f t="shared" si="23"/>
        <v>0</v>
      </c>
      <c r="AQ38" s="187"/>
      <c r="AR38" s="90"/>
      <c r="AS38" s="90"/>
      <c r="AT38" s="183">
        <f t="shared" si="24"/>
        <v>0</v>
      </c>
      <c r="AU38" s="187"/>
      <c r="AV38" s="90"/>
      <c r="AW38" s="90"/>
      <c r="AX38" s="183">
        <f t="shared" si="25"/>
        <v>0</v>
      </c>
      <c r="AY38" s="187"/>
      <c r="AZ38" s="90"/>
      <c r="BA38" s="90"/>
      <c r="BB38" s="183">
        <f t="shared" si="26"/>
        <v>0</v>
      </c>
      <c r="BC38" s="187"/>
      <c r="BD38" s="90"/>
      <c r="BE38" s="90"/>
      <c r="BF38" s="183">
        <f t="shared" si="27"/>
        <v>0</v>
      </c>
      <c r="BG38" s="187"/>
      <c r="BH38" s="90"/>
      <c r="BI38" s="90"/>
      <c r="BJ38" s="183">
        <f t="shared" si="28"/>
        <v>0</v>
      </c>
      <c r="BK38" s="187"/>
      <c r="BL38" s="90"/>
      <c r="BM38" s="90"/>
      <c r="BN38" s="183">
        <f t="shared" si="29"/>
        <v>0</v>
      </c>
      <c r="BO38" s="187"/>
      <c r="BP38" s="90"/>
      <c r="BQ38" s="90"/>
      <c r="BR38" s="183">
        <f t="shared" si="30"/>
        <v>0</v>
      </c>
      <c r="BS38" s="187"/>
      <c r="BT38" s="90"/>
      <c r="BU38" s="90"/>
      <c r="BV38" s="183">
        <f t="shared" si="31"/>
        <v>0</v>
      </c>
      <c r="BW38" s="187"/>
      <c r="BX38" s="90"/>
      <c r="BY38" s="90"/>
      <c r="BZ38" s="183">
        <f t="shared" si="32"/>
        <v>0</v>
      </c>
      <c r="CA38" s="187"/>
      <c r="CB38" s="90"/>
      <c r="CC38" s="90"/>
      <c r="CD38" s="183">
        <f t="shared" si="33"/>
        <v>0</v>
      </c>
    </row>
    <row r="39" spans="2:82" x14ac:dyDescent="0.3">
      <c r="B39" s="54"/>
      <c r="C39" s="54" t="str">
        <f t="shared" si="0"/>
        <v>CPU_Conserva</v>
      </c>
      <c r="D39" s="280">
        <f t="shared" si="1"/>
        <v>3</v>
      </c>
      <c r="E39" s="280">
        <f t="shared" si="2"/>
        <v>0</v>
      </c>
      <c r="F39" s="1" t="s">
        <v>870</v>
      </c>
      <c r="G39" s="28" t="str">
        <f>IFERROR(VLOOKUP(F39,Tabela7[[RECURSO]:[CUSTO]],2,FALSE),"")</f>
        <v>H</v>
      </c>
      <c r="H39" s="92">
        <f>H15</f>
        <v>1</v>
      </c>
      <c r="I39" s="90">
        <v>10</v>
      </c>
      <c r="J39" s="45">
        <f>IFERROR(VLOOKUP(F39,Tabela7[[RECURSO]:[CUSTO]],3,FALSE),0)</f>
        <v>35.621612998832006</v>
      </c>
      <c r="K39" s="45">
        <f>I39*J39*CPU_20[[#This Row],[Nº]]</f>
        <v>356.21612998832006</v>
      </c>
      <c r="M39" s="22"/>
      <c r="AD39" s="144" t="str">
        <f t="shared" si="3"/>
        <v>Conserva</v>
      </c>
      <c r="AE39" s="186"/>
      <c r="AF39" s="180">
        <f t="shared" si="35"/>
        <v>0</v>
      </c>
      <c r="AG39" s="180">
        <f t="shared" si="17"/>
        <v>0</v>
      </c>
      <c r="AH39" s="181">
        <f t="shared" si="36"/>
        <v>0</v>
      </c>
      <c r="AI39" s="187"/>
      <c r="AJ39" s="90"/>
      <c r="AK39" s="90"/>
      <c r="AL39" s="183">
        <f t="shared" si="37"/>
        <v>0</v>
      </c>
      <c r="AM39" s="187"/>
      <c r="AN39" s="90"/>
      <c r="AO39" s="90"/>
      <c r="AP39" s="183">
        <f t="shared" si="23"/>
        <v>0</v>
      </c>
      <c r="AQ39" s="187"/>
      <c r="AR39" s="90"/>
      <c r="AS39" s="90"/>
      <c r="AT39" s="183">
        <f t="shared" si="24"/>
        <v>0</v>
      </c>
      <c r="AU39" s="187"/>
      <c r="AV39" s="90"/>
      <c r="AW39" s="90"/>
      <c r="AX39" s="183">
        <f t="shared" si="25"/>
        <v>0</v>
      </c>
      <c r="AY39" s="187"/>
      <c r="AZ39" s="90"/>
      <c r="BA39" s="90"/>
      <c r="BB39" s="183">
        <f t="shared" si="26"/>
        <v>0</v>
      </c>
      <c r="BC39" s="187"/>
      <c r="BD39" s="90"/>
      <c r="BE39" s="90"/>
      <c r="BF39" s="183">
        <f t="shared" si="27"/>
        <v>0</v>
      </c>
      <c r="BG39" s="187"/>
      <c r="BH39" s="90"/>
      <c r="BI39" s="90"/>
      <c r="BJ39" s="183">
        <f t="shared" si="28"/>
        <v>0</v>
      </c>
      <c r="BK39" s="187"/>
      <c r="BL39" s="90"/>
      <c r="BM39" s="90"/>
      <c r="BN39" s="183">
        <f t="shared" si="29"/>
        <v>0</v>
      </c>
      <c r="BO39" s="187"/>
      <c r="BP39" s="90"/>
      <c r="BQ39" s="90"/>
      <c r="BR39" s="183">
        <f t="shared" si="30"/>
        <v>0</v>
      </c>
      <c r="BS39" s="187"/>
      <c r="BT39" s="90"/>
      <c r="BU39" s="90"/>
      <c r="BV39" s="183">
        <f t="shared" si="31"/>
        <v>0</v>
      </c>
      <c r="BW39" s="187"/>
      <c r="BX39" s="90"/>
      <c r="BY39" s="90"/>
      <c r="BZ39" s="183">
        <f t="shared" si="32"/>
        <v>0</v>
      </c>
      <c r="CA39" s="187"/>
      <c r="CB39" s="90"/>
      <c r="CC39" s="90"/>
      <c r="CD39" s="183">
        <f t="shared" si="33"/>
        <v>0</v>
      </c>
    </row>
    <row r="40" spans="2:82" x14ac:dyDescent="0.3">
      <c r="B40" s="54"/>
      <c r="C40" s="54" t="str">
        <f t="shared" si="0"/>
        <v>CPU_Conserva</v>
      </c>
      <c r="D40" s="280">
        <f t="shared" si="1"/>
        <v>3</v>
      </c>
      <c r="E40" s="280">
        <f t="shared" si="2"/>
        <v>0</v>
      </c>
      <c r="F40" s="1" t="s">
        <v>361</v>
      </c>
      <c r="G40" s="28" t="str">
        <f>IFERROR(VLOOKUP(F40,Tabela7[[RECURSO]:[CUSTO]],2,FALSE),"")</f>
        <v>H</v>
      </c>
      <c r="H40" s="92">
        <v>2</v>
      </c>
      <c r="I40" s="90">
        <v>10</v>
      </c>
      <c r="J40" s="45">
        <f>IFERROR(VLOOKUP(F40,Tabela7[[RECURSO]:[CUSTO]],3,FALSE),0)</f>
        <v>26.579984100642395</v>
      </c>
      <c r="K40" s="45">
        <f>I40*J40*CPU_20[[#This Row],[Nº]]</f>
        <v>531.59968201284789</v>
      </c>
      <c r="AD40" s="144" t="str">
        <f t="shared" si="3"/>
        <v>Conserva</v>
      </c>
      <c r="AE40" s="186"/>
      <c r="AF40" s="180">
        <f t="shared" si="35"/>
        <v>0</v>
      </c>
      <c r="AG40" s="180">
        <f t="shared" si="17"/>
        <v>0</v>
      </c>
      <c r="AH40" s="181">
        <f t="shared" si="36"/>
        <v>0</v>
      </c>
      <c r="AI40" s="187"/>
      <c r="AJ40" s="90"/>
      <c r="AK40" s="90"/>
      <c r="AL40" s="183">
        <f t="shared" si="37"/>
        <v>0</v>
      </c>
      <c r="AM40" s="187"/>
      <c r="AN40" s="90"/>
      <c r="AO40" s="90"/>
      <c r="AP40" s="183">
        <f t="shared" si="23"/>
        <v>0</v>
      </c>
      <c r="AQ40" s="187"/>
      <c r="AR40" s="90"/>
      <c r="AS40" s="90"/>
      <c r="AT40" s="183">
        <f t="shared" si="24"/>
        <v>0</v>
      </c>
      <c r="AU40" s="187"/>
      <c r="AV40" s="90"/>
      <c r="AW40" s="90"/>
      <c r="AX40" s="183">
        <f t="shared" si="25"/>
        <v>0</v>
      </c>
      <c r="AY40" s="187"/>
      <c r="AZ40" s="90"/>
      <c r="BA40" s="90"/>
      <c r="BB40" s="183">
        <f t="shared" si="26"/>
        <v>0</v>
      </c>
      <c r="BC40" s="187"/>
      <c r="BD40" s="90"/>
      <c r="BE40" s="90"/>
      <c r="BF40" s="183">
        <f t="shared" si="27"/>
        <v>0</v>
      </c>
      <c r="BG40" s="187"/>
      <c r="BH40" s="90"/>
      <c r="BI40" s="90"/>
      <c r="BJ40" s="183">
        <f t="shared" si="28"/>
        <v>0</v>
      </c>
      <c r="BK40" s="187"/>
      <c r="BL40" s="90"/>
      <c r="BM40" s="90"/>
      <c r="BN40" s="183">
        <f t="shared" si="29"/>
        <v>0</v>
      </c>
      <c r="BO40" s="187"/>
      <c r="BP40" s="90"/>
      <c r="BQ40" s="90"/>
      <c r="BR40" s="183">
        <f t="shared" si="30"/>
        <v>0</v>
      </c>
      <c r="BS40" s="187"/>
      <c r="BT40" s="90"/>
      <c r="BU40" s="90"/>
      <c r="BV40" s="183">
        <f t="shared" si="31"/>
        <v>0</v>
      </c>
      <c r="BW40" s="187"/>
      <c r="BX40" s="90"/>
      <c r="BY40" s="90"/>
      <c r="BZ40" s="183">
        <f t="shared" si="32"/>
        <v>0</v>
      </c>
      <c r="CA40" s="187"/>
      <c r="CB40" s="90"/>
      <c r="CC40" s="90"/>
      <c r="CD40" s="183">
        <f t="shared" si="33"/>
        <v>0</v>
      </c>
    </row>
    <row r="41" spans="2:82" x14ac:dyDescent="0.3">
      <c r="B41" s="54"/>
      <c r="C41" s="54" t="str">
        <f t="shared" si="0"/>
        <v>CPU_Conserva</v>
      </c>
      <c r="D41" s="280">
        <f t="shared" si="1"/>
        <v>3</v>
      </c>
      <c r="E41" s="280">
        <f t="shared" si="2"/>
        <v>0</v>
      </c>
      <c r="F41" s="1" t="s">
        <v>871</v>
      </c>
      <c r="G41" s="28" t="str">
        <f>IFERROR(VLOOKUP(F41,Tabela7[[RECURSO]:[CUSTO]],2,FALSE),"")</f>
        <v>H</v>
      </c>
      <c r="H41" s="92">
        <f>H14</f>
        <v>4</v>
      </c>
      <c r="I41" s="90">
        <v>10</v>
      </c>
      <c r="J41" s="45">
        <f>IFERROR(VLOOKUP(F41,Tabela7[[RECURSO]:[CUSTO]],3,FALSE),0)</f>
        <v>36.981974693400822</v>
      </c>
      <c r="K41" s="45">
        <f>I41*J41*CPU_20[[#This Row],[Nº]]</f>
        <v>1479.2789877360328</v>
      </c>
      <c r="AD41" s="144" t="str">
        <f t="shared" si="3"/>
        <v>Conserva</v>
      </c>
      <c r="AE41" s="186"/>
      <c r="AF41" s="180">
        <f t="shared" si="35"/>
        <v>0</v>
      </c>
      <c r="AG41" s="180">
        <f t="shared" si="17"/>
        <v>0</v>
      </c>
      <c r="AH41" s="181">
        <f t="shared" si="36"/>
        <v>0</v>
      </c>
      <c r="AI41" s="187"/>
      <c r="AJ41" s="90"/>
      <c r="AK41" s="90"/>
      <c r="AL41" s="183">
        <f t="shared" si="37"/>
        <v>0</v>
      </c>
      <c r="AM41" s="187"/>
      <c r="AN41" s="90"/>
      <c r="AO41" s="90"/>
      <c r="AP41" s="183">
        <f t="shared" si="23"/>
        <v>0</v>
      </c>
      <c r="AQ41" s="187"/>
      <c r="AR41" s="90"/>
      <c r="AS41" s="90"/>
      <c r="AT41" s="183">
        <f t="shared" si="24"/>
        <v>0</v>
      </c>
      <c r="AU41" s="187"/>
      <c r="AV41" s="90"/>
      <c r="AW41" s="90"/>
      <c r="AX41" s="183">
        <f t="shared" si="25"/>
        <v>0</v>
      </c>
      <c r="AY41" s="187"/>
      <c r="AZ41" s="90"/>
      <c r="BA41" s="90"/>
      <c r="BB41" s="183">
        <f t="shared" si="26"/>
        <v>0</v>
      </c>
      <c r="BC41" s="187"/>
      <c r="BD41" s="90"/>
      <c r="BE41" s="90"/>
      <c r="BF41" s="183">
        <f t="shared" si="27"/>
        <v>0</v>
      </c>
      <c r="BG41" s="187"/>
      <c r="BH41" s="90"/>
      <c r="BI41" s="90"/>
      <c r="BJ41" s="183">
        <f t="shared" si="28"/>
        <v>0</v>
      </c>
      <c r="BK41" s="187"/>
      <c r="BL41" s="90"/>
      <c r="BM41" s="90"/>
      <c r="BN41" s="183">
        <f t="shared" si="29"/>
        <v>0</v>
      </c>
      <c r="BO41" s="187"/>
      <c r="BP41" s="90"/>
      <c r="BQ41" s="90"/>
      <c r="BR41" s="183">
        <f t="shared" si="30"/>
        <v>0</v>
      </c>
      <c r="BS41" s="187"/>
      <c r="BT41" s="90"/>
      <c r="BU41" s="90"/>
      <c r="BV41" s="183">
        <f t="shared" si="31"/>
        <v>0</v>
      </c>
      <c r="BW41" s="187"/>
      <c r="BX41" s="90"/>
      <c r="BY41" s="90"/>
      <c r="BZ41" s="183">
        <f t="shared" si="32"/>
        <v>0</v>
      </c>
      <c r="CA41" s="187"/>
      <c r="CB41" s="90"/>
      <c r="CC41" s="90"/>
      <c r="CD41" s="183">
        <f t="shared" si="33"/>
        <v>0</v>
      </c>
    </row>
    <row r="42" spans="2:82" x14ac:dyDescent="0.3">
      <c r="B42" s="54"/>
      <c r="C42" s="54" t="str">
        <f t="shared" si="0"/>
        <v>CPU_Conserva</v>
      </c>
      <c r="D42" s="280">
        <f t="shared" si="1"/>
        <v>3</v>
      </c>
      <c r="E42" s="280">
        <f t="shared" si="2"/>
        <v>0</v>
      </c>
      <c r="F42" s="1"/>
      <c r="G42" s="28" t="str">
        <f>IFERROR(VLOOKUP(F42,Tabela7[[RECURSO]:[CUSTO]],2,FALSE),"")</f>
        <v/>
      </c>
      <c r="H42" s="92"/>
      <c r="I42" s="90"/>
      <c r="J42" s="45">
        <f>IFERROR(VLOOKUP(F42,Tabela7[[RECURSO]:[CUSTO]],3,FALSE),0)</f>
        <v>0</v>
      </c>
      <c r="K42" s="45">
        <f>I42*J42*CPU_20[[#This Row],[Nº]]</f>
        <v>0</v>
      </c>
      <c r="AD42" s="144" t="str">
        <f t="shared" si="3"/>
        <v>Conserva</v>
      </c>
      <c r="AE42" s="186"/>
      <c r="AF42" s="180">
        <f t="shared" si="35"/>
        <v>0</v>
      </c>
      <c r="AG42" s="180">
        <f t="shared" si="17"/>
        <v>0</v>
      </c>
      <c r="AH42" s="181">
        <f t="shared" si="36"/>
        <v>0</v>
      </c>
      <c r="AI42" s="187"/>
      <c r="AJ42" s="90"/>
      <c r="AK42" s="90"/>
      <c r="AL42" s="183">
        <f t="shared" si="37"/>
        <v>0</v>
      </c>
      <c r="AM42" s="187"/>
      <c r="AN42" s="90"/>
      <c r="AO42" s="90"/>
      <c r="AP42" s="183">
        <f t="shared" si="23"/>
        <v>0</v>
      </c>
      <c r="AQ42" s="187"/>
      <c r="AR42" s="90"/>
      <c r="AS42" s="90"/>
      <c r="AT42" s="183">
        <f t="shared" si="24"/>
        <v>0</v>
      </c>
      <c r="AU42" s="187"/>
      <c r="AV42" s="90"/>
      <c r="AW42" s="90"/>
      <c r="AX42" s="183">
        <f t="shared" si="25"/>
        <v>0</v>
      </c>
      <c r="AY42" s="187"/>
      <c r="AZ42" s="90"/>
      <c r="BA42" s="90"/>
      <c r="BB42" s="183">
        <f t="shared" si="26"/>
        <v>0</v>
      </c>
      <c r="BC42" s="187"/>
      <c r="BD42" s="90"/>
      <c r="BE42" s="90"/>
      <c r="BF42" s="183">
        <f t="shared" si="27"/>
        <v>0</v>
      </c>
      <c r="BG42" s="187"/>
      <c r="BH42" s="90"/>
      <c r="BI42" s="90"/>
      <c r="BJ42" s="183">
        <f t="shared" si="28"/>
        <v>0</v>
      </c>
      <c r="BK42" s="187"/>
      <c r="BL42" s="90"/>
      <c r="BM42" s="90"/>
      <c r="BN42" s="183">
        <f t="shared" si="29"/>
        <v>0</v>
      </c>
      <c r="BO42" s="187"/>
      <c r="BP42" s="90"/>
      <c r="BQ42" s="90"/>
      <c r="BR42" s="183">
        <f t="shared" si="30"/>
        <v>0</v>
      </c>
      <c r="BS42" s="187"/>
      <c r="BT42" s="90"/>
      <c r="BU42" s="90"/>
      <c r="BV42" s="183">
        <f t="shared" si="31"/>
        <v>0</v>
      </c>
      <c r="BW42" s="187"/>
      <c r="BX42" s="90"/>
      <c r="BY42" s="90"/>
      <c r="BZ42" s="183">
        <f t="shared" si="32"/>
        <v>0</v>
      </c>
      <c r="CA42" s="187"/>
      <c r="CB42" s="90"/>
      <c r="CC42" s="90"/>
      <c r="CD42" s="183">
        <f t="shared" si="33"/>
        <v>0</v>
      </c>
    </row>
    <row r="43" spans="2:82" x14ac:dyDescent="0.3">
      <c r="B43" s="54"/>
      <c r="C43" s="54" t="str">
        <f t="shared" si="0"/>
        <v>CPU_Conserva</v>
      </c>
      <c r="D43" s="280">
        <f t="shared" si="1"/>
        <v>3</v>
      </c>
      <c r="E43" s="280">
        <f t="shared" si="2"/>
        <v>0</v>
      </c>
      <c r="F43" s="1"/>
      <c r="G43" s="28" t="str">
        <f>IFERROR(VLOOKUP(F43,Tabela7[[RECURSO]:[CUSTO]],2,FALSE),"")</f>
        <v/>
      </c>
      <c r="H43" s="92"/>
      <c r="I43" s="90"/>
      <c r="J43" s="45">
        <f>IFERROR(VLOOKUP(F43,Tabela7[[RECURSO]:[CUSTO]],3,FALSE),0)</f>
        <v>0</v>
      </c>
      <c r="K43" s="45">
        <f>I43*J43*CPU_20[[#This Row],[Nº]]</f>
        <v>0</v>
      </c>
      <c r="AD43" s="144" t="str">
        <f t="shared" si="3"/>
        <v>Conserva</v>
      </c>
      <c r="AE43" s="186"/>
      <c r="AF43" s="180">
        <f t="shared" si="35"/>
        <v>0</v>
      </c>
      <c r="AG43" s="180">
        <f t="shared" si="17"/>
        <v>0</v>
      </c>
      <c r="AH43" s="181">
        <f t="shared" si="36"/>
        <v>0</v>
      </c>
      <c r="AI43" s="187"/>
      <c r="AJ43" s="90"/>
      <c r="AK43" s="90"/>
      <c r="AL43" s="183">
        <f t="shared" si="37"/>
        <v>0</v>
      </c>
      <c r="AM43" s="187"/>
      <c r="AN43" s="90"/>
      <c r="AO43" s="90"/>
      <c r="AP43" s="183">
        <f t="shared" si="23"/>
        <v>0</v>
      </c>
      <c r="AQ43" s="187"/>
      <c r="AR43" s="90"/>
      <c r="AS43" s="90"/>
      <c r="AT43" s="183">
        <f t="shared" si="24"/>
        <v>0</v>
      </c>
      <c r="AU43" s="187"/>
      <c r="AV43" s="90"/>
      <c r="AW43" s="90"/>
      <c r="AX43" s="183">
        <f t="shared" si="25"/>
        <v>0</v>
      </c>
      <c r="AY43" s="187"/>
      <c r="AZ43" s="90"/>
      <c r="BA43" s="90"/>
      <c r="BB43" s="183">
        <f t="shared" si="26"/>
        <v>0</v>
      </c>
      <c r="BC43" s="187"/>
      <c r="BD43" s="90"/>
      <c r="BE43" s="90"/>
      <c r="BF43" s="183">
        <f t="shared" si="27"/>
        <v>0</v>
      </c>
      <c r="BG43" s="187"/>
      <c r="BH43" s="90"/>
      <c r="BI43" s="90"/>
      <c r="BJ43" s="183">
        <f t="shared" si="28"/>
        <v>0</v>
      </c>
      <c r="BK43" s="187"/>
      <c r="BL43" s="90"/>
      <c r="BM43" s="90"/>
      <c r="BN43" s="183">
        <f t="shared" si="29"/>
        <v>0</v>
      </c>
      <c r="BO43" s="187"/>
      <c r="BP43" s="90"/>
      <c r="BQ43" s="90"/>
      <c r="BR43" s="183">
        <f t="shared" si="30"/>
        <v>0</v>
      </c>
      <c r="BS43" s="187"/>
      <c r="BT43" s="90"/>
      <c r="BU43" s="90"/>
      <c r="BV43" s="183">
        <f t="shared" si="31"/>
        <v>0</v>
      </c>
      <c r="BW43" s="187"/>
      <c r="BX43" s="90"/>
      <c r="BY43" s="90"/>
      <c r="BZ43" s="183">
        <f t="shared" si="32"/>
        <v>0</v>
      </c>
      <c r="CA43" s="187"/>
      <c r="CB43" s="90"/>
      <c r="CC43" s="90"/>
      <c r="CD43" s="183">
        <f t="shared" si="33"/>
        <v>0</v>
      </c>
    </row>
    <row r="44" spans="2:82" x14ac:dyDescent="0.3">
      <c r="B44" s="54"/>
      <c r="C44" s="54" t="str">
        <f t="shared" si="0"/>
        <v>CPU_Conserva</v>
      </c>
      <c r="D44" s="280">
        <f t="shared" si="1"/>
        <v>3</v>
      </c>
      <c r="E44" s="280">
        <f t="shared" si="2"/>
        <v>0</v>
      </c>
      <c r="F44" s="1"/>
      <c r="G44" s="28" t="str">
        <f>IFERROR(VLOOKUP(F44,Tabela7[[RECURSO]:[CUSTO]],2,FALSE),"")</f>
        <v/>
      </c>
      <c r="H44" s="92"/>
      <c r="I44" s="90"/>
      <c r="J44" s="45">
        <f>IFERROR(VLOOKUP(F44,Tabela7[[RECURSO]:[CUSTO]],3,FALSE),0)</f>
        <v>0</v>
      </c>
      <c r="K44" s="45">
        <f>I44*J44*CPU_20[[#This Row],[Nº]]</f>
        <v>0</v>
      </c>
      <c r="AD44" s="144" t="str">
        <f t="shared" si="3"/>
        <v>Conserva</v>
      </c>
      <c r="AE44" s="186"/>
      <c r="AF44" s="180">
        <f t="shared" si="35"/>
        <v>0</v>
      </c>
      <c r="AG44" s="180">
        <f t="shared" si="17"/>
        <v>0</v>
      </c>
      <c r="AH44" s="181">
        <f t="shared" si="36"/>
        <v>0</v>
      </c>
      <c r="AI44" s="187"/>
      <c r="AJ44" s="90"/>
      <c r="AK44" s="90"/>
      <c r="AL44" s="183">
        <f t="shared" si="37"/>
        <v>0</v>
      </c>
      <c r="AM44" s="187"/>
      <c r="AN44" s="90"/>
      <c r="AO44" s="90"/>
      <c r="AP44" s="183">
        <f t="shared" si="23"/>
        <v>0</v>
      </c>
      <c r="AQ44" s="187"/>
      <c r="AR44" s="90"/>
      <c r="AS44" s="90"/>
      <c r="AT44" s="183">
        <f t="shared" si="24"/>
        <v>0</v>
      </c>
      <c r="AU44" s="187"/>
      <c r="AV44" s="90"/>
      <c r="AW44" s="90"/>
      <c r="AX44" s="183">
        <f t="shared" si="25"/>
        <v>0</v>
      </c>
      <c r="AY44" s="187"/>
      <c r="AZ44" s="90"/>
      <c r="BA44" s="90"/>
      <c r="BB44" s="183">
        <f t="shared" si="26"/>
        <v>0</v>
      </c>
      <c r="BC44" s="187"/>
      <c r="BD44" s="90"/>
      <c r="BE44" s="90"/>
      <c r="BF44" s="183">
        <f t="shared" si="27"/>
        <v>0</v>
      </c>
      <c r="BG44" s="187"/>
      <c r="BH44" s="90"/>
      <c r="BI44" s="90"/>
      <c r="BJ44" s="183">
        <f t="shared" si="28"/>
        <v>0</v>
      </c>
      <c r="BK44" s="187"/>
      <c r="BL44" s="90"/>
      <c r="BM44" s="90"/>
      <c r="BN44" s="183">
        <f t="shared" si="29"/>
        <v>0</v>
      </c>
      <c r="BO44" s="187"/>
      <c r="BP44" s="90"/>
      <c r="BQ44" s="90"/>
      <c r="BR44" s="183">
        <f t="shared" si="30"/>
        <v>0</v>
      </c>
      <c r="BS44" s="187"/>
      <c r="BT44" s="90"/>
      <c r="BU44" s="90"/>
      <c r="BV44" s="183">
        <f t="shared" si="31"/>
        <v>0</v>
      </c>
      <c r="BW44" s="187"/>
      <c r="BX44" s="90"/>
      <c r="BY44" s="90"/>
      <c r="BZ44" s="183">
        <f t="shared" si="32"/>
        <v>0</v>
      </c>
      <c r="CA44" s="187"/>
      <c r="CB44" s="90"/>
      <c r="CC44" s="90"/>
      <c r="CD44" s="183">
        <f t="shared" si="33"/>
        <v>0</v>
      </c>
    </row>
    <row r="45" spans="2:82" x14ac:dyDescent="0.3">
      <c r="B45" s="53"/>
      <c r="C45" s="53" t="str">
        <f t="shared" si="0"/>
        <v>CPU_Conserva</v>
      </c>
      <c r="D45" s="278">
        <f t="shared" si="1"/>
        <v>3</v>
      </c>
      <c r="E45" s="278">
        <f t="shared" si="2"/>
        <v>0</v>
      </c>
      <c r="F45" s="1"/>
      <c r="G45" s="28" t="str">
        <f>IFERROR(VLOOKUP(F45,Tabela7[[RECURSO]:[CUSTO]],2,FALSE),"")</f>
        <v/>
      </c>
      <c r="H45" s="92"/>
      <c r="I45" s="90"/>
      <c r="J45" s="45">
        <f>IFERROR(VLOOKUP(F45,Tabela7[[RECURSO]:[CUSTO]],3,FALSE),0)</f>
        <v>0</v>
      </c>
      <c r="K45" s="45">
        <f>I45*J45*CPU_20[[#This Row],[Nº]]</f>
        <v>0</v>
      </c>
      <c r="AD45" s="144" t="str">
        <f t="shared" si="3"/>
        <v>Conserva</v>
      </c>
      <c r="AE45" s="188"/>
      <c r="AF45" s="180">
        <f t="shared" si="35"/>
        <v>0</v>
      </c>
      <c r="AG45" s="180">
        <f t="shared" si="17"/>
        <v>0</v>
      </c>
      <c r="AH45" s="181">
        <f t="shared" si="36"/>
        <v>0</v>
      </c>
      <c r="AI45" s="189"/>
      <c r="AJ45" s="90"/>
      <c r="AK45" s="90"/>
      <c r="AL45" s="183">
        <f t="shared" si="37"/>
        <v>0</v>
      </c>
      <c r="AM45" s="189"/>
      <c r="AN45" s="90"/>
      <c r="AO45" s="90"/>
      <c r="AP45" s="183">
        <f t="shared" si="23"/>
        <v>0</v>
      </c>
      <c r="AQ45" s="189"/>
      <c r="AR45" s="90"/>
      <c r="AS45" s="90"/>
      <c r="AT45" s="183">
        <f t="shared" si="24"/>
        <v>0</v>
      </c>
      <c r="AU45" s="189"/>
      <c r="AV45" s="90"/>
      <c r="AW45" s="90"/>
      <c r="AX45" s="183">
        <f t="shared" si="25"/>
        <v>0</v>
      </c>
      <c r="AY45" s="189"/>
      <c r="AZ45" s="90"/>
      <c r="BA45" s="90"/>
      <c r="BB45" s="183">
        <f t="shared" si="26"/>
        <v>0</v>
      </c>
      <c r="BC45" s="189"/>
      <c r="BD45" s="90"/>
      <c r="BE45" s="90"/>
      <c r="BF45" s="183">
        <f t="shared" si="27"/>
        <v>0</v>
      </c>
      <c r="BG45" s="189"/>
      <c r="BH45" s="90"/>
      <c r="BI45" s="90"/>
      <c r="BJ45" s="183">
        <f t="shared" si="28"/>
        <v>0</v>
      </c>
      <c r="BK45" s="189"/>
      <c r="BL45" s="90"/>
      <c r="BM45" s="90"/>
      <c r="BN45" s="183">
        <f t="shared" si="29"/>
        <v>0</v>
      </c>
      <c r="BO45" s="189"/>
      <c r="BP45" s="90"/>
      <c r="BQ45" s="90"/>
      <c r="BR45" s="183">
        <f t="shared" si="30"/>
        <v>0</v>
      </c>
      <c r="BS45" s="189"/>
      <c r="BT45" s="90"/>
      <c r="BU45" s="90"/>
      <c r="BV45" s="183">
        <f t="shared" si="31"/>
        <v>0</v>
      </c>
      <c r="BW45" s="189"/>
      <c r="BX45" s="90"/>
      <c r="BY45" s="90"/>
      <c r="BZ45" s="183">
        <f t="shared" si="32"/>
        <v>0</v>
      </c>
      <c r="CA45" s="189"/>
      <c r="CB45" s="90"/>
      <c r="CC45" s="90"/>
      <c r="CD45" s="183">
        <f t="shared" si="33"/>
        <v>0</v>
      </c>
    </row>
    <row r="46" spans="2:82" x14ac:dyDescent="0.3">
      <c r="B46" s="53"/>
      <c r="C46" s="53" t="str">
        <f t="shared" si="0"/>
        <v>CPU_Conserva</v>
      </c>
      <c r="D46" s="278">
        <f t="shared" si="1"/>
        <v>3</v>
      </c>
      <c r="E46" s="278">
        <f t="shared" si="2"/>
        <v>0</v>
      </c>
      <c r="F46" s="1"/>
      <c r="G46" s="28" t="str">
        <f>IFERROR(VLOOKUP(F46,Tabela7[[RECURSO]:[CUSTO]],2,FALSE),"")</f>
        <v/>
      </c>
      <c r="H46" s="92"/>
      <c r="I46" s="90"/>
      <c r="J46" s="45">
        <f>IFERROR(VLOOKUP(F46,Tabela7[[RECURSO]:[CUSTO]],3,FALSE),0)</f>
        <v>0</v>
      </c>
      <c r="K46" s="45">
        <f>I46*J46*CPU_20[[#This Row],[Nº]]</f>
        <v>0</v>
      </c>
      <c r="AD46" s="144" t="str">
        <f t="shared" si="3"/>
        <v>Conserva</v>
      </c>
      <c r="AE46" s="188"/>
      <c r="AF46" s="180">
        <f t="shared" si="35"/>
        <v>0</v>
      </c>
      <c r="AG46" s="180">
        <f t="shared" si="17"/>
        <v>0</v>
      </c>
      <c r="AH46" s="181">
        <f t="shared" si="36"/>
        <v>0</v>
      </c>
      <c r="AI46" s="189"/>
      <c r="AJ46" s="90"/>
      <c r="AK46" s="90"/>
      <c r="AL46" s="183">
        <f t="shared" si="37"/>
        <v>0</v>
      </c>
      <c r="AM46" s="189"/>
      <c r="AN46" s="90"/>
      <c r="AO46" s="90"/>
      <c r="AP46" s="183">
        <f t="shared" si="23"/>
        <v>0</v>
      </c>
      <c r="AQ46" s="189"/>
      <c r="AR46" s="90"/>
      <c r="AS46" s="90"/>
      <c r="AT46" s="183">
        <f t="shared" si="24"/>
        <v>0</v>
      </c>
      <c r="AU46" s="189"/>
      <c r="AV46" s="90"/>
      <c r="AW46" s="90"/>
      <c r="AX46" s="183">
        <f t="shared" si="25"/>
        <v>0</v>
      </c>
      <c r="AY46" s="189"/>
      <c r="AZ46" s="90"/>
      <c r="BA46" s="90"/>
      <c r="BB46" s="183">
        <f t="shared" si="26"/>
        <v>0</v>
      </c>
      <c r="BC46" s="189"/>
      <c r="BD46" s="90"/>
      <c r="BE46" s="90"/>
      <c r="BF46" s="183">
        <f t="shared" si="27"/>
        <v>0</v>
      </c>
      <c r="BG46" s="189"/>
      <c r="BH46" s="90"/>
      <c r="BI46" s="90"/>
      <c r="BJ46" s="183">
        <f t="shared" si="28"/>
        <v>0</v>
      </c>
      <c r="BK46" s="189"/>
      <c r="BL46" s="90"/>
      <c r="BM46" s="90"/>
      <c r="BN46" s="183">
        <f t="shared" si="29"/>
        <v>0</v>
      </c>
      <c r="BO46" s="189"/>
      <c r="BP46" s="90"/>
      <c r="BQ46" s="90"/>
      <c r="BR46" s="183">
        <f t="shared" si="30"/>
        <v>0</v>
      </c>
      <c r="BS46" s="189"/>
      <c r="BT46" s="90"/>
      <c r="BU46" s="90"/>
      <c r="BV46" s="183">
        <f t="shared" si="31"/>
        <v>0</v>
      </c>
      <c r="BW46" s="189"/>
      <c r="BX46" s="90"/>
      <c r="BY46" s="90"/>
      <c r="BZ46" s="183">
        <f t="shared" si="32"/>
        <v>0</v>
      </c>
      <c r="CA46" s="189"/>
      <c r="CB46" s="90"/>
      <c r="CC46" s="90"/>
      <c r="CD46" s="183">
        <f t="shared" si="33"/>
        <v>0</v>
      </c>
    </row>
    <row r="47" spans="2:82" x14ac:dyDescent="0.3">
      <c r="B47" s="53"/>
      <c r="C47" s="53" t="str">
        <f t="shared" si="0"/>
        <v>CPU_Conserva</v>
      </c>
      <c r="D47" s="278">
        <f t="shared" si="1"/>
        <v>3</v>
      </c>
      <c r="E47" s="278">
        <f t="shared" si="2"/>
        <v>0</v>
      </c>
      <c r="F47" s="1"/>
      <c r="G47" s="28" t="str">
        <f>IFERROR(VLOOKUP(F47,Tabela7[[RECURSO]:[CUSTO]],2,FALSE),"")</f>
        <v/>
      </c>
      <c r="H47" s="92"/>
      <c r="I47" s="90"/>
      <c r="J47" s="45">
        <f>IFERROR(VLOOKUP(F47,Tabela7[[RECURSO]:[CUSTO]],3,FALSE),0)</f>
        <v>0</v>
      </c>
      <c r="K47" s="45">
        <f>I47*J47*CPU_20[[#This Row],[Nº]]</f>
        <v>0</v>
      </c>
      <c r="AD47" s="144" t="str">
        <f t="shared" si="3"/>
        <v>Conserva</v>
      </c>
      <c r="AE47" s="188"/>
      <c r="AF47" s="180">
        <f t="shared" si="35"/>
        <v>0</v>
      </c>
      <c r="AG47" s="180">
        <f t="shared" si="17"/>
        <v>0</v>
      </c>
      <c r="AH47" s="181">
        <f t="shared" si="36"/>
        <v>0</v>
      </c>
      <c r="AI47" s="189"/>
      <c r="AJ47" s="90"/>
      <c r="AK47" s="90"/>
      <c r="AL47" s="183">
        <f t="shared" si="37"/>
        <v>0</v>
      </c>
      <c r="AM47" s="189"/>
      <c r="AN47" s="90"/>
      <c r="AO47" s="90"/>
      <c r="AP47" s="183">
        <f t="shared" si="23"/>
        <v>0</v>
      </c>
      <c r="AQ47" s="189"/>
      <c r="AR47" s="90"/>
      <c r="AS47" s="90"/>
      <c r="AT47" s="183">
        <f t="shared" si="24"/>
        <v>0</v>
      </c>
      <c r="AU47" s="189"/>
      <c r="AV47" s="90"/>
      <c r="AW47" s="90"/>
      <c r="AX47" s="183">
        <f t="shared" si="25"/>
        <v>0</v>
      </c>
      <c r="AY47" s="189"/>
      <c r="AZ47" s="90"/>
      <c r="BA47" s="90"/>
      <c r="BB47" s="183">
        <f t="shared" si="26"/>
        <v>0</v>
      </c>
      <c r="BC47" s="189"/>
      <c r="BD47" s="90"/>
      <c r="BE47" s="90"/>
      <c r="BF47" s="183">
        <f t="shared" si="27"/>
        <v>0</v>
      </c>
      <c r="BG47" s="189"/>
      <c r="BH47" s="90"/>
      <c r="BI47" s="90"/>
      <c r="BJ47" s="183">
        <f t="shared" si="28"/>
        <v>0</v>
      </c>
      <c r="BK47" s="189"/>
      <c r="BL47" s="90"/>
      <c r="BM47" s="90"/>
      <c r="BN47" s="183">
        <f t="shared" si="29"/>
        <v>0</v>
      </c>
      <c r="BO47" s="189"/>
      <c r="BP47" s="90"/>
      <c r="BQ47" s="90"/>
      <c r="BR47" s="183">
        <f t="shared" si="30"/>
        <v>0</v>
      </c>
      <c r="BS47" s="189"/>
      <c r="BT47" s="90"/>
      <c r="BU47" s="90"/>
      <c r="BV47" s="183">
        <f t="shared" si="31"/>
        <v>0</v>
      </c>
      <c r="BW47" s="189"/>
      <c r="BX47" s="90"/>
      <c r="BY47" s="90"/>
      <c r="BZ47" s="183">
        <f t="shared" si="32"/>
        <v>0</v>
      </c>
      <c r="CA47" s="189"/>
      <c r="CB47" s="90"/>
      <c r="CC47" s="90"/>
      <c r="CD47" s="183">
        <f t="shared" si="33"/>
        <v>0</v>
      </c>
    </row>
    <row r="48" spans="2:82" x14ac:dyDescent="0.3">
      <c r="B48" s="53"/>
      <c r="C48" s="53" t="str">
        <f t="shared" si="0"/>
        <v>CPU_Conserva</v>
      </c>
      <c r="D48" s="278">
        <f t="shared" si="1"/>
        <v>3</v>
      </c>
      <c r="E48" s="278">
        <f t="shared" si="2"/>
        <v>0</v>
      </c>
      <c r="F48" s="1"/>
      <c r="G48" s="28" t="str">
        <f>IFERROR(VLOOKUP(F48,Tabela7[[RECURSO]:[CUSTO]],2,FALSE),"")</f>
        <v/>
      </c>
      <c r="H48" s="92"/>
      <c r="I48" s="90"/>
      <c r="J48" s="45">
        <f>IFERROR(VLOOKUP(F48,Tabela7[[RECURSO]:[CUSTO]],3,FALSE),0)</f>
        <v>0</v>
      </c>
      <c r="K48" s="45">
        <f>I48*J48*CPU_20[[#This Row],[Nº]]</f>
        <v>0</v>
      </c>
      <c r="AD48" s="144" t="str">
        <f t="shared" si="3"/>
        <v>Conserva</v>
      </c>
      <c r="AE48" s="188"/>
      <c r="AF48" s="180">
        <f t="shared" si="35"/>
        <v>0</v>
      </c>
      <c r="AG48" s="180">
        <f t="shared" si="17"/>
        <v>0</v>
      </c>
      <c r="AH48" s="181">
        <f t="shared" si="36"/>
        <v>0</v>
      </c>
      <c r="AI48" s="189"/>
      <c r="AJ48" s="90"/>
      <c r="AK48" s="90"/>
      <c r="AL48" s="183">
        <f t="shared" si="37"/>
        <v>0</v>
      </c>
      <c r="AM48" s="189"/>
      <c r="AN48" s="90"/>
      <c r="AO48" s="90"/>
      <c r="AP48" s="183">
        <f t="shared" si="23"/>
        <v>0</v>
      </c>
      <c r="AQ48" s="189"/>
      <c r="AR48" s="90"/>
      <c r="AS48" s="90"/>
      <c r="AT48" s="183">
        <f t="shared" si="24"/>
        <v>0</v>
      </c>
      <c r="AU48" s="189"/>
      <c r="AV48" s="90"/>
      <c r="AW48" s="90"/>
      <c r="AX48" s="183">
        <f t="shared" si="25"/>
        <v>0</v>
      </c>
      <c r="AY48" s="189"/>
      <c r="AZ48" s="90"/>
      <c r="BA48" s="90"/>
      <c r="BB48" s="183">
        <f t="shared" si="26"/>
        <v>0</v>
      </c>
      <c r="BC48" s="189"/>
      <c r="BD48" s="90"/>
      <c r="BE48" s="90"/>
      <c r="BF48" s="183">
        <f t="shared" si="27"/>
        <v>0</v>
      </c>
      <c r="BG48" s="189"/>
      <c r="BH48" s="90"/>
      <c r="BI48" s="90"/>
      <c r="BJ48" s="183">
        <f t="shared" si="28"/>
        <v>0</v>
      </c>
      <c r="BK48" s="189"/>
      <c r="BL48" s="90"/>
      <c r="BM48" s="90"/>
      <c r="BN48" s="183">
        <f t="shared" si="29"/>
        <v>0</v>
      </c>
      <c r="BO48" s="189"/>
      <c r="BP48" s="90"/>
      <c r="BQ48" s="90"/>
      <c r="BR48" s="183">
        <f t="shared" si="30"/>
        <v>0</v>
      </c>
      <c r="BS48" s="189"/>
      <c r="BT48" s="90"/>
      <c r="BU48" s="90"/>
      <c r="BV48" s="183">
        <f t="shared" si="31"/>
        <v>0</v>
      </c>
      <c r="BW48" s="189"/>
      <c r="BX48" s="90"/>
      <c r="BY48" s="90"/>
      <c r="BZ48" s="183">
        <f t="shared" si="32"/>
        <v>0</v>
      </c>
      <c r="CA48" s="189"/>
      <c r="CB48" s="90"/>
      <c r="CC48" s="90"/>
      <c r="CD48" s="183">
        <f t="shared" si="33"/>
        <v>0</v>
      </c>
    </row>
    <row r="49" spans="2:82" ht="15" thickBot="1" x14ac:dyDescent="0.35">
      <c r="B49" s="53"/>
      <c r="C49" s="53" t="str">
        <f t="shared" si="0"/>
        <v>CPU_Conserva</v>
      </c>
      <c r="D49" s="278">
        <f t="shared" si="1"/>
        <v>3</v>
      </c>
      <c r="E49" s="278">
        <f t="shared" si="2"/>
        <v>0</v>
      </c>
      <c r="F49" s="1"/>
      <c r="G49" s="28" t="str">
        <f>IFERROR(VLOOKUP(F49,Tabela7[[RECURSO]:[CUSTO]],2,FALSE),"")</f>
        <v/>
      </c>
      <c r="H49" s="92"/>
      <c r="I49" s="90"/>
      <c r="J49" s="45">
        <f>IFERROR(VLOOKUP(F49,Tabela7[[RECURSO]:[CUSTO]],3,FALSE),0)</f>
        <v>0</v>
      </c>
      <c r="K49" s="45">
        <f>I49*J49*CPU_20[[#This Row],[Nº]]</f>
        <v>0</v>
      </c>
      <c r="M49" s="83" t="s">
        <v>701</v>
      </c>
      <c r="N49" s="87" t="s">
        <v>702</v>
      </c>
      <c r="AD49" s="144" t="str">
        <f t="shared" si="3"/>
        <v>Conserva</v>
      </c>
      <c r="AE49" s="188"/>
      <c r="AF49" s="180">
        <f t="shared" si="35"/>
        <v>0</v>
      </c>
      <c r="AG49" s="180">
        <f t="shared" si="17"/>
        <v>0</v>
      </c>
      <c r="AH49" s="181">
        <f t="shared" si="36"/>
        <v>0</v>
      </c>
      <c r="AI49" s="189"/>
      <c r="AJ49" s="90"/>
      <c r="AK49" s="90"/>
      <c r="AL49" s="183">
        <f t="shared" si="37"/>
        <v>0</v>
      </c>
      <c r="AM49" s="189"/>
      <c r="AN49" s="90"/>
      <c r="AO49" s="90"/>
      <c r="AP49" s="183">
        <f t="shared" si="23"/>
        <v>0</v>
      </c>
      <c r="AQ49" s="189"/>
      <c r="AR49" s="90"/>
      <c r="AS49" s="90"/>
      <c r="AT49" s="183">
        <f t="shared" si="24"/>
        <v>0</v>
      </c>
      <c r="AU49" s="189"/>
      <c r="AV49" s="90"/>
      <c r="AW49" s="90"/>
      <c r="AX49" s="183">
        <f t="shared" si="25"/>
        <v>0</v>
      </c>
      <c r="AY49" s="189"/>
      <c r="AZ49" s="90"/>
      <c r="BA49" s="90"/>
      <c r="BB49" s="183">
        <f t="shared" si="26"/>
        <v>0</v>
      </c>
      <c r="BC49" s="189"/>
      <c r="BD49" s="90"/>
      <c r="BE49" s="90"/>
      <c r="BF49" s="183">
        <f t="shared" si="27"/>
        <v>0</v>
      </c>
      <c r="BG49" s="189"/>
      <c r="BH49" s="90"/>
      <c r="BI49" s="90"/>
      <c r="BJ49" s="183">
        <f t="shared" si="28"/>
        <v>0</v>
      </c>
      <c r="BK49" s="189"/>
      <c r="BL49" s="90"/>
      <c r="BM49" s="90"/>
      <c r="BN49" s="183">
        <f t="shared" si="29"/>
        <v>0</v>
      </c>
      <c r="BO49" s="189"/>
      <c r="BP49" s="90"/>
      <c r="BQ49" s="90"/>
      <c r="BR49" s="183">
        <f t="shared" si="30"/>
        <v>0</v>
      </c>
      <c r="BS49" s="189"/>
      <c r="BT49" s="90"/>
      <c r="BU49" s="90"/>
      <c r="BV49" s="183">
        <f t="shared" si="31"/>
        <v>0</v>
      </c>
      <c r="BW49" s="189"/>
      <c r="BX49" s="90"/>
      <c r="BY49" s="90"/>
      <c r="BZ49" s="183">
        <f t="shared" si="32"/>
        <v>0</v>
      </c>
      <c r="CA49" s="189"/>
      <c r="CB49" s="90"/>
      <c r="CC49" s="90"/>
      <c r="CD49" s="183">
        <f t="shared" si="33"/>
        <v>0</v>
      </c>
    </row>
    <row r="50" spans="2:82" x14ac:dyDescent="0.3">
      <c r="B50" s="52" t="s">
        <v>693</v>
      </c>
      <c r="C50" s="52" t="str">
        <f t="shared" si="0"/>
        <v>CPU_Conserva</v>
      </c>
      <c r="D50" s="277">
        <f t="shared" si="1"/>
        <v>3</v>
      </c>
      <c r="E50" s="277">
        <f t="shared" si="2"/>
        <v>0</v>
      </c>
      <c r="F50" s="37"/>
      <c r="G50" s="38"/>
      <c r="H50" s="38"/>
      <c r="I50" s="37"/>
      <c r="J50" s="40">
        <f>IFERROR(K50/$B$6,0)</f>
        <v>0</v>
      </c>
      <c r="K50" s="40">
        <f>SUM(K51:K62)</f>
        <v>0</v>
      </c>
      <c r="M50" s="84" t="str">
        <f>"Consumo por "&amp;J3</f>
        <v>Consumo por HÁ</v>
      </c>
      <c r="N50" s="89"/>
      <c r="AD50" s="144" t="str">
        <f t="shared" si="3"/>
        <v>Conserva</v>
      </c>
      <c r="AE50" s="190"/>
      <c r="AF50" s="191"/>
      <c r="AG50" s="40">
        <f>IFERROR(AH50/AF$3,0)</f>
        <v>0</v>
      </c>
      <c r="AH50" s="185">
        <f>SUM(AH51:AH62)</f>
        <v>0</v>
      </c>
      <c r="AI50" s="190"/>
      <c r="AJ50" s="37"/>
      <c r="AK50" s="40">
        <f>IFERROR(AL50/AJ$3,0)</f>
        <v>0</v>
      </c>
      <c r="AL50" s="185">
        <f>SUM(AL51:AL62)</f>
        <v>0</v>
      </c>
      <c r="AM50" s="190"/>
      <c r="AN50" s="37"/>
      <c r="AO50" s="40">
        <f>IFERROR(AP50/AN$3,0)</f>
        <v>0</v>
      </c>
      <c r="AP50" s="185">
        <f>SUM(AP51:AP62)</f>
        <v>0</v>
      </c>
      <c r="AQ50" s="190"/>
      <c r="AR50" s="37"/>
      <c r="AS50" s="40">
        <f>IFERROR(AT50/AR$3,0)</f>
        <v>0</v>
      </c>
      <c r="AT50" s="185">
        <f>SUM(AT51:AT62)</f>
        <v>0</v>
      </c>
      <c r="AU50" s="190"/>
      <c r="AV50" s="37"/>
      <c r="AW50" s="40">
        <f>IFERROR(AX50/AV$3,0)</f>
        <v>0</v>
      </c>
      <c r="AX50" s="185">
        <f>SUM(AX51:AX62)</f>
        <v>0</v>
      </c>
      <c r="AY50" s="190"/>
      <c r="AZ50" s="37"/>
      <c r="BA50" s="40">
        <f>IFERROR(BB50/AZ$3,0)</f>
        <v>0</v>
      </c>
      <c r="BB50" s="185">
        <f>SUM(BB51:BB62)</f>
        <v>0</v>
      </c>
      <c r="BC50" s="190"/>
      <c r="BD50" s="37"/>
      <c r="BE50" s="40">
        <f>IFERROR(BF50/BD$3,0)</f>
        <v>0</v>
      </c>
      <c r="BF50" s="185">
        <f>SUM(BF51:BF62)</f>
        <v>0</v>
      </c>
      <c r="BG50" s="190"/>
      <c r="BH50" s="37"/>
      <c r="BI50" s="40">
        <f>IFERROR(BJ50/BH$3,0)</f>
        <v>0</v>
      </c>
      <c r="BJ50" s="185">
        <f>SUM(BJ51:BJ62)</f>
        <v>0</v>
      </c>
      <c r="BK50" s="190"/>
      <c r="BL50" s="37"/>
      <c r="BM50" s="40">
        <f>IFERROR(BN50/BL$3,0)</f>
        <v>0</v>
      </c>
      <c r="BN50" s="185">
        <f>SUM(BN51:BN62)</f>
        <v>0</v>
      </c>
      <c r="BO50" s="190"/>
      <c r="BP50" s="37"/>
      <c r="BQ50" s="40">
        <f>IFERROR(BR50/BP$3,0)</f>
        <v>0</v>
      </c>
      <c r="BR50" s="185">
        <f>SUM(BR51:BR62)</f>
        <v>0</v>
      </c>
      <c r="BS50" s="190"/>
      <c r="BT50" s="37"/>
      <c r="BU50" s="40">
        <f>IFERROR(BV50/BT$3,0)</f>
        <v>0</v>
      </c>
      <c r="BV50" s="185">
        <f>SUM(BV51:BV62)</f>
        <v>0</v>
      </c>
      <c r="BW50" s="190"/>
      <c r="BX50" s="37"/>
      <c r="BY50" s="40">
        <f>IFERROR(BZ50/BX$3,0)</f>
        <v>0</v>
      </c>
      <c r="BZ50" s="185">
        <f>SUM(BZ51:BZ62)</f>
        <v>0</v>
      </c>
      <c r="CA50" s="190"/>
      <c r="CB50" s="37"/>
      <c r="CC50" s="40">
        <f>IFERROR(CD50/CB$3,0)</f>
        <v>0</v>
      </c>
      <c r="CD50" s="185">
        <f>SUM(CD51:CD62)</f>
        <v>0</v>
      </c>
    </row>
    <row r="51" spans="2:82" x14ac:dyDescent="0.3">
      <c r="B51" s="53"/>
      <c r="C51" s="53" t="str">
        <f t="shared" si="0"/>
        <v>CPU_Conserva</v>
      </c>
      <c r="D51" s="278">
        <f t="shared" si="1"/>
        <v>3</v>
      </c>
      <c r="E51" s="278">
        <f t="shared" si="2"/>
        <v>0</v>
      </c>
      <c r="F51" s="1"/>
      <c r="G51" s="28" t="str">
        <f>IFERROR(VLOOKUP(F51,Tabela7[[RECURSO]:[CUSTO]],2,FALSE),"")</f>
        <v/>
      </c>
      <c r="I51" s="90">
        <f>IFERROR(M51*$B$6,0)</f>
        <v>0</v>
      </c>
      <c r="J51" s="45">
        <f>IFERROR(VLOOKUP(F51,Tabela7[[RECURSO]:[CUSTO]],3,FALSE),0)</f>
        <v>0</v>
      </c>
      <c r="K51" s="45">
        <f>I51*J51</f>
        <v>0</v>
      </c>
      <c r="M51" s="85"/>
      <c r="N51" s="88"/>
      <c r="AD51" s="144" t="str">
        <f t="shared" si="3"/>
        <v>Conserva</v>
      </c>
      <c r="AE51" s="192"/>
      <c r="AF51" s="180">
        <f t="shared" ref="AF51:AF62" si="38">AJ51+AN51+AR51+AV51+AZ51+BD51+BH51+BL51+BP51+BT51+BX51+CB51</f>
        <v>0</v>
      </c>
      <c r="AG51" s="180">
        <f t="shared" si="17"/>
        <v>0</v>
      </c>
      <c r="AH51" s="181">
        <f t="shared" ref="AH51:AH62" si="39">AL51+AP51+AT51+AX51+BB51+BF51+BJ51+BN51+BR51+BV51+BZ51+CD51</f>
        <v>0</v>
      </c>
      <c r="AI51" s="193"/>
      <c r="AJ51" s="90"/>
      <c r="AK51" s="90"/>
      <c r="AL51" s="183">
        <f t="shared" ref="AL51:AL62" si="40">AJ51*AK51</f>
        <v>0</v>
      </c>
      <c r="AM51" s="193"/>
      <c r="AN51" s="90"/>
      <c r="AO51" s="90"/>
      <c r="AP51" s="183">
        <f t="shared" si="23"/>
        <v>0</v>
      </c>
      <c r="AQ51" s="193"/>
      <c r="AR51" s="90"/>
      <c r="AS51" s="90"/>
      <c r="AT51" s="183">
        <f t="shared" si="24"/>
        <v>0</v>
      </c>
      <c r="AU51" s="193"/>
      <c r="AV51" s="90"/>
      <c r="AW51" s="90"/>
      <c r="AX51" s="183">
        <f t="shared" si="25"/>
        <v>0</v>
      </c>
      <c r="AY51" s="193"/>
      <c r="AZ51" s="90"/>
      <c r="BA51" s="90"/>
      <c r="BB51" s="183">
        <f t="shared" si="26"/>
        <v>0</v>
      </c>
      <c r="BC51" s="193"/>
      <c r="BD51" s="90"/>
      <c r="BE51" s="90"/>
      <c r="BF51" s="183">
        <f t="shared" si="27"/>
        <v>0</v>
      </c>
      <c r="BG51" s="193"/>
      <c r="BH51" s="90"/>
      <c r="BI51" s="90"/>
      <c r="BJ51" s="183">
        <f t="shared" si="28"/>
        <v>0</v>
      </c>
      <c r="BK51" s="193"/>
      <c r="BL51" s="90"/>
      <c r="BM51" s="90"/>
      <c r="BN51" s="183">
        <f t="shared" si="29"/>
        <v>0</v>
      </c>
      <c r="BO51" s="193"/>
      <c r="BP51" s="90"/>
      <c r="BQ51" s="90"/>
      <c r="BR51" s="183">
        <f t="shared" si="30"/>
        <v>0</v>
      </c>
      <c r="BS51" s="193"/>
      <c r="BT51" s="90"/>
      <c r="BU51" s="90"/>
      <c r="BV51" s="183">
        <f t="shared" si="31"/>
        <v>0</v>
      </c>
      <c r="BW51" s="193"/>
      <c r="BX51" s="90"/>
      <c r="BY51" s="90"/>
      <c r="BZ51" s="183">
        <f t="shared" si="32"/>
        <v>0</v>
      </c>
      <c r="CA51" s="193"/>
      <c r="CB51" s="90"/>
      <c r="CC51" s="90"/>
      <c r="CD51" s="183">
        <f t="shared" si="33"/>
        <v>0</v>
      </c>
    </row>
    <row r="52" spans="2:82" x14ac:dyDescent="0.3">
      <c r="B52" s="53"/>
      <c r="C52" s="53" t="str">
        <f t="shared" si="0"/>
        <v>CPU_Conserva</v>
      </c>
      <c r="D52" s="278">
        <f t="shared" si="1"/>
        <v>3</v>
      </c>
      <c r="E52" s="278">
        <f t="shared" si="2"/>
        <v>0</v>
      </c>
      <c r="F52" s="1"/>
      <c r="G52" s="28" t="str">
        <f>IFERROR(VLOOKUP(F52,Tabela7[[RECURSO]:[CUSTO]],2,FALSE),"")</f>
        <v/>
      </c>
      <c r="I52" s="90">
        <f t="shared" ref="I52:I62" si="41">IFERROR(M52*$B$6,0)</f>
        <v>0</v>
      </c>
      <c r="J52" s="45">
        <f>IFERROR(VLOOKUP(F52,Tabela7[[RECURSO]:[CUSTO]],3,FALSE),0)</f>
        <v>0</v>
      </c>
      <c r="K52" s="45">
        <f t="shared" ref="K52:K62" si="42">I52*J52</f>
        <v>0</v>
      </c>
      <c r="M52" s="85"/>
      <c r="N52" s="88"/>
      <c r="AD52" s="144" t="str">
        <f t="shared" si="3"/>
        <v>Conserva</v>
      </c>
      <c r="AE52" s="192"/>
      <c r="AF52" s="180">
        <f t="shared" si="38"/>
        <v>0</v>
      </c>
      <c r="AG52" s="180">
        <f t="shared" si="17"/>
        <v>0</v>
      </c>
      <c r="AH52" s="181">
        <f t="shared" si="39"/>
        <v>0</v>
      </c>
      <c r="AI52" s="193"/>
      <c r="AJ52" s="90"/>
      <c r="AK52" s="90"/>
      <c r="AL52" s="183">
        <f t="shared" si="40"/>
        <v>0</v>
      </c>
      <c r="AM52" s="193"/>
      <c r="AN52" s="90"/>
      <c r="AO52" s="90"/>
      <c r="AP52" s="183">
        <f t="shared" si="23"/>
        <v>0</v>
      </c>
      <c r="AQ52" s="193"/>
      <c r="AR52" s="90"/>
      <c r="AS52" s="90"/>
      <c r="AT52" s="183">
        <f t="shared" si="24"/>
        <v>0</v>
      </c>
      <c r="AU52" s="193"/>
      <c r="AV52" s="90"/>
      <c r="AW52" s="90"/>
      <c r="AX52" s="183">
        <f t="shared" si="25"/>
        <v>0</v>
      </c>
      <c r="AY52" s="193"/>
      <c r="AZ52" s="90"/>
      <c r="BA52" s="90"/>
      <c r="BB52" s="183">
        <f t="shared" si="26"/>
        <v>0</v>
      </c>
      <c r="BC52" s="193"/>
      <c r="BD52" s="90"/>
      <c r="BE52" s="90"/>
      <c r="BF52" s="183">
        <f t="shared" si="27"/>
        <v>0</v>
      </c>
      <c r="BG52" s="193"/>
      <c r="BH52" s="90"/>
      <c r="BI52" s="90"/>
      <c r="BJ52" s="183">
        <f t="shared" si="28"/>
        <v>0</v>
      </c>
      <c r="BK52" s="193"/>
      <c r="BL52" s="90"/>
      <c r="BM52" s="90"/>
      <c r="BN52" s="183">
        <f t="shared" si="29"/>
        <v>0</v>
      </c>
      <c r="BO52" s="193"/>
      <c r="BP52" s="90"/>
      <c r="BQ52" s="90"/>
      <c r="BR52" s="183">
        <f t="shared" si="30"/>
        <v>0</v>
      </c>
      <c r="BS52" s="193"/>
      <c r="BT52" s="90"/>
      <c r="BU52" s="90"/>
      <c r="BV52" s="183">
        <f t="shared" si="31"/>
        <v>0</v>
      </c>
      <c r="BW52" s="193"/>
      <c r="BX52" s="90"/>
      <c r="BY52" s="90"/>
      <c r="BZ52" s="183">
        <f t="shared" si="32"/>
        <v>0</v>
      </c>
      <c r="CA52" s="193"/>
      <c r="CB52" s="90"/>
      <c r="CC52" s="90"/>
      <c r="CD52" s="183">
        <f t="shared" si="33"/>
        <v>0</v>
      </c>
    </row>
    <row r="53" spans="2:82" x14ac:dyDescent="0.3">
      <c r="B53" s="53"/>
      <c r="C53" s="53" t="str">
        <f t="shared" si="0"/>
        <v>CPU_Conserva</v>
      </c>
      <c r="D53" s="278">
        <f t="shared" si="1"/>
        <v>3</v>
      </c>
      <c r="E53" s="278">
        <f t="shared" si="2"/>
        <v>0</v>
      </c>
      <c r="F53" s="1"/>
      <c r="G53" s="28" t="str">
        <f>IFERROR(VLOOKUP(F53,Tabela7[[RECURSO]:[CUSTO]],2,FALSE),"")</f>
        <v/>
      </c>
      <c r="I53" s="90">
        <f t="shared" si="41"/>
        <v>0</v>
      </c>
      <c r="J53" s="45">
        <f>IFERROR(VLOOKUP(F53,Tabela7[[RECURSO]:[CUSTO]],3,FALSE),0)</f>
        <v>0</v>
      </c>
      <c r="K53" s="45">
        <f t="shared" si="42"/>
        <v>0</v>
      </c>
      <c r="M53" s="85"/>
      <c r="N53" s="88"/>
      <c r="AD53" s="144" t="str">
        <f t="shared" si="3"/>
        <v>Conserva</v>
      </c>
      <c r="AE53" s="192"/>
      <c r="AF53" s="180">
        <f t="shared" si="38"/>
        <v>0</v>
      </c>
      <c r="AG53" s="180">
        <f t="shared" si="17"/>
        <v>0</v>
      </c>
      <c r="AH53" s="181">
        <f t="shared" si="39"/>
        <v>0</v>
      </c>
      <c r="AI53" s="193"/>
      <c r="AJ53" s="90"/>
      <c r="AK53" s="90"/>
      <c r="AL53" s="183">
        <f t="shared" si="40"/>
        <v>0</v>
      </c>
      <c r="AM53" s="193"/>
      <c r="AN53" s="90"/>
      <c r="AO53" s="90"/>
      <c r="AP53" s="183">
        <f t="shared" si="23"/>
        <v>0</v>
      </c>
      <c r="AQ53" s="193"/>
      <c r="AR53" s="90"/>
      <c r="AS53" s="90"/>
      <c r="AT53" s="183">
        <f t="shared" si="24"/>
        <v>0</v>
      </c>
      <c r="AU53" s="193"/>
      <c r="AV53" s="90"/>
      <c r="AW53" s="90"/>
      <c r="AX53" s="183">
        <f t="shared" si="25"/>
        <v>0</v>
      </c>
      <c r="AY53" s="193"/>
      <c r="AZ53" s="90"/>
      <c r="BA53" s="90"/>
      <c r="BB53" s="183">
        <f t="shared" si="26"/>
        <v>0</v>
      </c>
      <c r="BC53" s="193"/>
      <c r="BD53" s="90"/>
      <c r="BE53" s="90"/>
      <c r="BF53" s="183">
        <f t="shared" si="27"/>
        <v>0</v>
      </c>
      <c r="BG53" s="193"/>
      <c r="BH53" s="90"/>
      <c r="BI53" s="90"/>
      <c r="BJ53" s="183">
        <f t="shared" si="28"/>
        <v>0</v>
      </c>
      <c r="BK53" s="193"/>
      <c r="BL53" s="90"/>
      <c r="BM53" s="90"/>
      <c r="BN53" s="183">
        <f t="shared" si="29"/>
        <v>0</v>
      </c>
      <c r="BO53" s="193"/>
      <c r="BP53" s="90"/>
      <c r="BQ53" s="90"/>
      <c r="BR53" s="183">
        <f t="shared" si="30"/>
        <v>0</v>
      </c>
      <c r="BS53" s="193"/>
      <c r="BT53" s="90"/>
      <c r="BU53" s="90"/>
      <c r="BV53" s="183">
        <f t="shared" si="31"/>
        <v>0</v>
      </c>
      <c r="BW53" s="193"/>
      <c r="BX53" s="90"/>
      <c r="BY53" s="90"/>
      <c r="BZ53" s="183">
        <f t="shared" si="32"/>
        <v>0</v>
      </c>
      <c r="CA53" s="193"/>
      <c r="CB53" s="90"/>
      <c r="CC53" s="90"/>
      <c r="CD53" s="183">
        <f t="shared" si="33"/>
        <v>0</v>
      </c>
    </row>
    <row r="54" spans="2:82" x14ac:dyDescent="0.3">
      <c r="B54" s="53"/>
      <c r="C54" s="53" t="str">
        <f t="shared" si="0"/>
        <v>CPU_Conserva</v>
      </c>
      <c r="D54" s="278">
        <f t="shared" si="1"/>
        <v>3</v>
      </c>
      <c r="E54" s="278">
        <f t="shared" si="2"/>
        <v>0</v>
      </c>
      <c r="F54" s="1"/>
      <c r="G54" s="28" t="str">
        <f>IFERROR(VLOOKUP(F54,Tabela7[[RECURSO]:[CUSTO]],2,FALSE),"")</f>
        <v/>
      </c>
      <c r="I54" s="90">
        <f t="shared" si="41"/>
        <v>0</v>
      </c>
      <c r="J54" s="45">
        <f>IFERROR(VLOOKUP(F54,Tabela7[[RECURSO]:[CUSTO]],3,FALSE),0)</f>
        <v>0</v>
      </c>
      <c r="K54" s="45">
        <f>I54*J54</f>
        <v>0</v>
      </c>
      <c r="M54" s="85"/>
      <c r="N54" s="88"/>
      <c r="AD54" s="144" t="str">
        <f>$B$3</f>
        <v>Conserva</v>
      </c>
      <c r="AE54" s="192"/>
      <c r="AF54" s="180">
        <f t="shared" si="38"/>
        <v>0</v>
      </c>
      <c r="AG54" s="180">
        <f t="shared" si="17"/>
        <v>0</v>
      </c>
      <c r="AH54" s="181">
        <f t="shared" si="39"/>
        <v>0</v>
      </c>
      <c r="AI54" s="193"/>
      <c r="AJ54" s="90"/>
      <c r="AK54" s="90"/>
      <c r="AL54" s="183">
        <f t="shared" si="40"/>
        <v>0</v>
      </c>
      <c r="AM54" s="193"/>
      <c r="AN54" s="90"/>
      <c r="AO54" s="90"/>
      <c r="AP54" s="183">
        <f t="shared" si="23"/>
        <v>0</v>
      </c>
      <c r="AQ54" s="193"/>
      <c r="AR54" s="90"/>
      <c r="AS54" s="90"/>
      <c r="AT54" s="183">
        <f t="shared" si="24"/>
        <v>0</v>
      </c>
      <c r="AU54" s="193"/>
      <c r="AV54" s="90"/>
      <c r="AW54" s="90"/>
      <c r="AX54" s="183">
        <f t="shared" si="25"/>
        <v>0</v>
      </c>
      <c r="AY54" s="193"/>
      <c r="AZ54" s="90"/>
      <c r="BA54" s="90"/>
      <c r="BB54" s="183">
        <f t="shared" si="26"/>
        <v>0</v>
      </c>
      <c r="BC54" s="193"/>
      <c r="BD54" s="90"/>
      <c r="BE54" s="90"/>
      <c r="BF54" s="183">
        <f t="shared" si="27"/>
        <v>0</v>
      </c>
      <c r="BG54" s="193"/>
      <c r="BH54" s="90"/>
      <c r="BI54" s="90"/>
      <c r="BJ54" s="183">
        <f t="shared" si="28"/>
        <v>0</v>
      </c>
      <c r="BK54" s="193"/>
      <c r="BL54" s="90"/>
      <c r="BM54" s="90"/>
      <c r="BN54" s="183">
        <f t="shared" si="29"/>
        <v>0</v>
      </c>
      <c r="BO54" s="193"/>
      <c r="BP54" s="90"/>
      <c r="BQ54" s="90"/>
      <c r="BR54" s="183">
        <f t="shared" si="30"/>
        <v>0</v>
      </c>
      <c r="BS54" s="193"/>
      <c r="BT54" s="90"/>
      <c r="BU54" s="90"/>
      <c r="BV54" s="183">
        <f t="shared" si="31"/>
        <v>0</v>
      </c>
      <c r="BW54" s="193"/>
      <c r="BX54" s="90"/>
      <c r="BY54" s="90"/>
      <c r="BZ54" s="183">
        <f t="shared" si="32"/>
        <v>0</v>
      </c>
      <c r="CA54" s="193"/>
      <c r="CB54" s="90"/>
      <c r="CC54" s="90"/>
      <c r="CD54" s="183">
        <f t="shared" si="33"/>
        <v>0</v>
      </c>
    </row>
    <row r="55" spans="2:82" x14ac:dyDescent="0.3">
      <c r="B55" s="53"/>
      <c r="C55" s="53" t="str">
        <f t="shared" si="0"/>
        <v>CPU_Conserva</v>
      </c>
      <c r="D55" s="278">
        <f t="shared" si="1"/>
        <v>3</v>
      </c>
      <c r="E55" s="278">
        <f t="shared" si="2"/>
        <v>0</v>
      </c>
      <c r="F55" s="1"/>
      <c r="G55" s="28" t="str">
        <f>IFERROR(VLOOKUP(F55,Tabela7[[RECURSO]:[CUSTO]],2,FALSE),"")</f>
        <v/>
      </c>
      <c r="I55" s="90">
        <f t="shared" si="41"/>
        <v>0</v>
      </c>
      <c r="J55" s="45">
        <f>IFERROR(VLOOKUP(F55,Tabela7[[RECURSO]:[CUSTO]],3,FALSE),0)</f>
        <v>0</v>
      </c>
      <c r="K55" s="45">
        <f t="shared" si="42"/>
        <v>0</v>
      </c>
      <c r="M55" s="85"/>
      <c r="N55" s="88"/>
      <c r="AD55" s="144" t="str">
        <f t="shared" si="3"/>
        <v>Conserva</v>
      </c>
      <c r="AE55" s="192"/>
      <c r="AF55" s="180">
        <f t="shared" si="38"/>
        <v>0</v>
      </c>
      <c r="AG55" s="180">
        <f t="shared" si="17"/>
        <v>0</v>
      </c>
      <c r="AH55" s="181">
        <f t="shared" si="39"/>
        <v>0</v>
      </c>
      <c r="AI55" s="193"/>
      <c r="AJ55" s="90"/>
      <c r="AK55" s="90"/>
      <c r="AL55" s="183">
        <f t="shared" si="40"/>
        <v>0</v>
      </c>
      <c r="AM55" s="193"/>
      <c r="AN55" s="90"/>
      <c r="AO55" s="90"/>
      <c r="AP55" s="183">
        <f t="shared" si="23"/>
        <v>0</v>
      </c>
      <c r="AQ55" s="193"/>
      <c r="AR55" s="90"/>
      <c r="AS55" s="90"/>
      <c r="AT55" s="183">
        <f t="shared" si="24"/>
        <v>0</v>
      </c>
      <c r="AU55" s="193"/>
      <c r="AV55" s="90"/>
      <c r="AW55" s="90"/>
      <c r="AX55" s="183">
        <f t="shared" si="25"/>
        <v>0</v>
      </c>
      <c r="AY55" s="193"/>
      <c r="AZ55" s="90"/>
      <c r="BA55" s="90"/>
      <c r="BB55" s="183">
        <f t="shared" si="26"/>
        <v>0</v>
      </c>
      <c r="BC55" s="193"/>
      <c r="BD55" s="90"/>
      <c r="BE55" s="90"/>
      <c r="BF55" s="183">
        <f t="shared" si="27"/>
        <v>0</v>
      </c>
      <c r="BG55" s="193"/>
      <c r="BH55" s="90"/>
      <c r="BI55" s="90"/>
      <c r="BJ55" s="183">
        <f t="shared" si="28"/>
        <v>0</v>
      </c>
      <c r="BK55" s="193"/>
      <c r="BL55" s="90"/>
      <c r="BM55" s="90"/>
      <c r="BN55" s="183">
        <f t="shared" si="29"/>
        <v>0</v>
      </c>
      <c r="BO55" s="193"/>
      <c r="BP55" s="90"/>
      <c r="BQ55" s="90"/>
      <c r="BR55" s="183">
        <f t="shared" si="30"/>
        <v>0</v>
      </c>
      <c r="BS55" s="193"/>
      <c r="BT55" s="90"/>
      <c r="BU55" s="90"/>
      <c r="BV55" s="183">
        <f t="shared" si="31"/>
        <v>0</v>
      </c>
      <c r="BW55" s="193"/>
      <c r="BX55" s="90"/>
      <c r="BY55" s="90"/>
      <c r="BZ55" s="183">
        <f t="shared" si="32"/>
        <v>0</v>
      </c>
      <c r="CA55" s="193"/>
      <c r="CB55" s="90"/>
      <c r="CC55" s="90"/>
      <c r="CD55" s="183">
        <f t="shared" si="33"/>
        <v>0</v>
      </c>
    </row>
    <row r="56" spans="2:82" x14ac:dyDescent="0.3">
      <c r="B56" s="53"/>
      <c r="C56" s="53" t="str">
        <f t="shared" si="0"/>
        <v>CPU_Conserva</v>
      </c>
      <c r="D56" s="278">
        <f t="shared" si="1"/>
        <v>3</v>
      </c>
      <c r="E56" s="278">
        <f t="shared" si="2"/>
        <v>0</v>
      </c>
      <c r="F56" s="1"/>
      <c r="G56" s="28" t="str">
        <f>IFERROR(VLOOKUP(F56,Tabela7[[RECURSO]:[CUSTO]],2,FALSE),"")</f>
        <v/>
      </c>
      <c r="I56" s="90">
        <f t="shared" si="41"/>
        <v>0</v>
      </c>
      <c r="J56" s="45">
        <f>IFERROR(VLOOKUP(F56,Tabela7[[RECURSO]:[CUSTO]],3,FALSE),0)</f>
        <v>0</v>
      </c>
      <c r="K56" s="45">
        <f t="shared" si="42"/>
        <v>0</v>
      </c>
      <c r="M56" s="85"/>
      <c r="N56" s="88"/>
      <c r="AD56" s="144" t="str">
        <f t="shared" si="3"/>
        <v>Conserva</v>
      </c>
      <c r="AE56" s="192"/>
      <c r="AF56" s="180">
        <f t="shared" si="38"/>
        <v>0</v>
      </c>
      <c r="AG56" s="180">
        <f t="shared" si="17"/>
        <v>0</v>
      </c>
      <c r="AH56" s="181">
        <f t="shared" si="39"/>
        <v>0</v>
      </c>
      <c r="AI56" s="193"/>
      <c r="AJ56" s="90"/>
      <c r="AK56" s="90"/>
      <c r="AL56" s="183">
        <f t="shared" si="40"/>
        <v>0</v>
      </c>
      <c r="AM56" s="193"/>
      <c r="AN56" s="90"/>
      <c r="AO56" s="90"/>
      <c r="AP56" s="183">
        <f t="shared" si="23"/>
        <v>0</v>
      </c>
      <c r="AQ56" s="193"/>
      <c r="AR56" s="90"/>
      <c r="AS56" s="90"/>
      <c r="AT56" s="183">
        <f t="shared" si="24"/>
        <v>0</v>
      </c>
      <c r="AU56" s="193"/>
      <c r="AV56" s="90"/>
      <c r="AW56" s="90"/>
      <c r="AX56" s="183">
        <f t="shared" si="25"/>
        <v>0</v>
      </c>
      <c r="AY56" s="193"/>
      <c r="AZ56" s="90"/>
      <c r="BA56" s="90"/>
      <c r="BB56" s="183">
        <f t="shared" si="26"/>
        <v>0</v>
      </c>
      <c r="BC56" s="193"/>
      <c r="BD56" s="90"/>
      <c r="BE56" s="90"/>
      <c r="BF56" s="183">
        <f t="shared" si="27"/>
        <v>0</v>
      </c>
      <c r="BG56" s="193"/>
      <c r="BH56" s="90"/>
      <c r="BI56" s="90"/>
      <c r="BJ56" s="183">
        <f t="shared" si="28"/>
        <v>0</v>
      </c>
      <c r="BK56" s="193"/>
      <c r="BL56" s="90"/>
      <c r="BM56" s="90"/>
      <c r="BN56" s="183">
        <f t="shared" si="29"/>
        <v>0</v>
      </c>
      <c r="BO56" s="193"/>
      <c r="BP56" s="90"/>
      <c r="BQ56" s="90"/>
      <c r="BR56" s="183">
        <f t="shared" si="30"/>
        <v>0</v>
      </c>
      <c r="BS56" s="193"/>
      <c r="BT56" s="90"/>
      <c r="BU56" s="90"/>
      <c r="BV56" s="183">
        <f t="shared" si="31"/>
        <v>0</v>
      </c>
      <c r="BW56" s="193"/>
      <c r="BX56" s="90"/>
      <c r="BY56" s="90"/>
      <c r="BZ56" s="183">
        <f t="shared" si="32"/>
        <v>0</v>
      </c>
      <c r="CA56" s="193"/>
      <c r="CB56" s="90"/>
      <c r="CC56" s="90"/>
      <c r="CD56" s="183">
        <f t="shared" si="33"/>
        <v>0</v>
      </c>
    </row>
    <row r="57" spans="2:82" x14ac:dyDescent="0.3">
      <c r="B57" s="53"/>
      <c r="C57" s="53" t="str">
        <f t="shared" si="0"/>
        <v>CPU_Conserva</v>
      </c>
      <c r="D57" s="278">
        <f t="shared" si="1"/>
        <v>3</v>
      </c>
      <c r="E57" s="278">
        <f t="shared" si="2"/>
        <v>0</v>
      </c>
      <c r="F57" s="1"/>
      <c r="G57" s="28" t="str">
        <f>IFERROR(VLOOKUP(F57,Tabela7[[RECURSO]:[CUSTO]],2,FALSE),"")</f>
        <v/>
      </c>
      <c r="I57" s="90">
        <f t="shared" si="41"/>
        <v>0</v>
      </c>
      <c r="J57" s="45">
        <f>IFERROR(VLOOKUP(F57,Tabela7[[RECURSO]:[CUSTO]],3,FALSE),0)</f>
        <v>0</v>
      </c>
      <c r="K57" s="45">
        <f t="shared" si="42"/>
        <v>0</v>
      </c>
      <c r="M57" s="85"/>
      <c r="N57" s="88"/>
      <c r="AD57" s="144" t="str">
        <f t="shared" si="3"/>
        <v>Conserva</v>
      </c>
      <c r="AE57" s="192"/>
      <c r="AF57" s="180">
        <f t="shared" si="38"/>
        <v>0</v>
      </c>
      <c r="AG57" s="180">
        <f t="shared" si="17"/>
        <v>0</v>
      </c>
      <c r="AH57" s="181">
        <f t="shared" si="39"/>
        <v>0</v>
      </c>
      <c r="AI57" s="193"/>
      <c r="AJ57" s="90"/>
      <c r="AK57" s="90"/>
      <c r="AL57" s="183">
        <f t="shared" si="40"/>
        <v>0</v>
      </c>
      <c r="AM57" s="193"/>
      <c r="AN57" s="90"/>
      <c r="AO57" s="90"/>
      <c r="AP57" s="183">
        <f t="shared" si="23"/>
        <v>0</v>
      </c>
      <c r="AQ57" s="193"/>
      <c r="AR57" s="90"/>
      <c r="AS57" s="90"/>
      <c r="AT57" s="183">
        <f t="shared" si="24"/>
        <v>0</v>
      </c>
      <c r="AU57" s="193"/>
      <c r="AV57" s="90"/>
      <c r="AW57" s="90"/>
      <c r="AX57" s="183">
        <f t="shared" si="25"/>
        <v>0</v>
      </c>
      <c r="AY57" s="193"/>
      <c r="AZ57" s="90"/>
      <c r="BA57" s="90"/>
      <c r="BB57" s="183">
        <f t="shared" si="26"/>
        <v>0</v>
      </c>
      <c r="BC57" s="193"/>
      <c r="BD57" s="90"/>
      <c r="BE57" s="90"/>
      <c r="BF57" s="183">
        <f t="shared" si="27"/>
        <v>0</v>
      </c>
      <c r="BG57" s="193"/>
      <c r="BH57" s="90"/>
      <c r="BI57" s="90"/>
      <c r="BJ57" s="183">
        <f t="shared" si="28"/>
        <v>0</v>
      </c>
      <c r="BK57" s="193"/>
      <c r="BL57" s="90"/>
      <c r="BM57" s="90"/>
      <c r="BN57" s="183">
        <f t="shared" si="29"/>
        <v>0</v>
      </c>
      <c r="BO57" s="193"/>
      <c r="BP57" s="90"/>
      <c r="BQ57" s="90"/>
      <c r="BR57" s="183">
        <f t="shared" si="30"/>
        <v>0</v>
      </c>
      <c r="BS57" s="193"/>
      <c r="BT57" s="90"/>
      <c r="BU57" s="90"/>
      <c r="BV57" s="183">
        <f t="shared" si="31"/>
        <v>0</v>
      </c>
      <c r="BW57" s="193"/>
      <c r="BX57" s="90"/>
      <c r="BY57" s="90"/>
      <c r="BZ57" s="183">
        <f t="shared" si="32"/>
        <v>0</v>
      </c>
      <c r="CA57" s="193"/>
      <c r="CB57" s="90"/>
      <c r="CC57" s="90"/>
      <c r="CD57" s="183">
        <f t="shared" si="33"/>
        <v>0</v>
      </c>
    </row>
    <row r="58" spans="2:82" x14ac:dyDescent="0.3">
      <c r="B58" s="53"/>
      <c r="C58" s="53" t="str">
        <f t="shared" si="0"/>
        <v>CPU_Conserva</v>
      </c>
      <c r="D58" s="278">
        <f t="shared" si="1"/>
        <v>3</v>
      </c>
      <c r="E58" s="278">
        <f t="shared" si="2"/>
        <v>0</v>
      </c>
      <c r="F58" s="1"/>
      <c r="G58" s="28" t="str">
        <f>IFERROR(VLOOKUP(F58,Tabela7[[RECURSO]:[CUSTO]],2,FALSE),"")</f>
        <v/>
      </c>
      <c r="I58" s="90">
        <f t="shared" si="41"/>
        <v>0</v>
      </c>
      <c r="J58" s="45">
        <f>IFERROR(VLOOKUP(F58,Tabela7[[RECURSO]:[CUSTO]],3,FALSE),0)</f>
        <v>0</v>
      </c>
      <c r="K58" s="45">
        <f t="shared" si="42"/>
        <v>0</v>
      </c>
      <c r="M58" s="85"/>
      <c r="N58" s="88"/>
      <c r="AD58" s="144" t="str">
        <f t="shared" si="3"/>
        <v>Conserva</v>
      </c>
      <c r="AE58" s="192"/>
      <c r="AF58" s="180">
        <f t="shared" si="38"/>
        <v>0</v>
      </c>
      <c r="AG58" s="180">
        <f t="shared" si="17"/>
        <v>0</v>
      </c>
      <c r="AH58" s="181">
        <f t="shared" si="39"/>
        <v>0</v>
      </c>
      <c r="AI58" s="193"/>
      <c r="AJ58" s="90"/>
      <c r="AK58" s="90"/>
      <c r="AL58" s="183">
        <f t="shared" si="40"/>
        <v>0</v>
      </c>
      <c r="AM58" s="193"/>
      <c r="AN58" s="90"/>
      <c r="AO58" s="90"/>
      <c r="AP58" s="183">
        <f t="shared" si="23"/>
        <v>0</v>
      </c>
      <c r="AQ58" s="193"/>
      <c r="AR58" s="90"/>
      <c r="AS58" s="90"/>
      <c r="AT58" s="183">
        <f t="shared" si="24"/>
        <v>0</v>
      </c>
      <c r="AU58" s="193"/>
      <c r="AV58" s="90"/>
      <c r="AW58" s="90"/>
      <c r="AX58" s="183">
        <f t="shared" si="25"/>
        <v>0</v>
      </c>
      <c r="AY58" s="193"/>
      <c r="AZ58" s="90"/>
      <c r="BA58" s="90"/>
      <c r="BB58" s="183">
        <f t="shared" si="26"/>
        <v>0</v>
      </c>
      <c r="BC58" s="193"/>
      <c r="BD58" s="90"/>
      <c r="BE58" s="90"/>
      <c r="BF58" s="183">
        <f t="shared" si="27"/>
        <v>0</v>
      </c>
      <c r="BG58" s="193"/>
      <c r="BH58" s="90"/>
      <c r="BI58" s="90"/>
      <c r="BJ58" s="183">
        <f t="shared" si="28"/>
        <v>0</v>
      </c>
      <c r="BK58" s="193"/>
      <c r="BL58" s="90"/>
      <c r="BM58" s="90"/>
      <c r="BN58" s="183">
        <f t="shared" si="29"/>
        <v>0</v>
      </c>
      <c r="BO58" s="193"/>
      <c r="BP58" s="90"/>
      <c r="BQ58" s="90"/>
      <c r="BR58" s="183">
        <f t="shared" si="30"/>
        <v>0</v>
      </c>
      <c r="BS58" s="193"/>
      <c r="BT58" s="90"/>
      <c r="BU58" s="90"/>
      <c r="BV58" s="183">
        <f t="shared" si="31"/>
        <v>0</v>
      </c>
      <c r="BW58" s="193"/>
      <c r="BX58" s="90"/>
      <c r="BY58" s="90"/>
      <c r="BZ58" s="183">
        <f t="shared" si="32"/>
        <v>0</v>
      </c>
      <c r="CA58" s="193"/>
      <c r="CB58" s="90"/>
      <c r="CC58" s="90"/>
      <c r="CD58" s="183">
        <f t="shared" si="33"/>
        <v>0</v>
      </c>
    </row>
    <row r="59" spans="2:82" x14ac:dyDescent="0.3">
      <c r="B59" s="53"/>
      <c r="C59" s="53" t="str">
        <f t="shared" si="0"/>
        <v>CPU_Conserva</v>
      </c>
      <c r="D59" s="278">
        <f t="shared" si="1"/>
        <v>3</v>
      </c>
      <c r="E59" s="278">
        <f t="shared" si="2"/>
        <v>0</v>
      </c>
      <c r="F59" s="1"/>
      <c r="G59" s="28" t="str">
        <f>IFERROR(VLOOKUP(F59,Tabela7[[RECURSO]:[CUSTO]],2,FALSE),"")</f>
        <v/>
      </c>
      <c r="I59" s="90">
        <f t="shared" si="41"/>
        <v>0</v>
      </c>
      <c r="J59" s="45">
        <f>IFERROR(VLOOKUP(F59,Tabela7[[RECURSO]:[CUSTO]],3,FALSE),0)</f>
        <v>0</v>
      </c>
      <c r="K59" s="45">
        <f t="shared" si="42"/>
        <v>0</v>
      </c>
      <c r="M59" s="85"/>
      <c r="N59" s="88"/>
      <c r="AD59" s="144" t="str">
        <f t="shared" si="3"/>
        <v>Conserva</v>
      </c>
      <c r="AE59" s="192"/>
      <c r="AF59" s="180">
        <f t="shared" si="38"/>
        <v>0</v>
      </c>
      <c r="AG59" s="180">
        <f t="shared" si="17"/>
        <v>0</v>
      </c>
      <c r="AH59" s="181">
        <f t="shared" si="39"/>
        <v>0</v>
      </c>
      <c r="AI59" s="193"/>
      <c r="AJ59" s="90"/>
      <c r="AK59" s="90"/>
      <c r="AL59" s="183">
        <f t="shared" si="40"/>
        <v>0</v>
      </c>
      <c r="AM59" s="193"/>
      <c r="AN59" s="90"/>
      <c r="AO59" s="90"/>
      <c r="AP59" s="183">
        <f t="shared" si="23"/>
        <v>0</v>
      </c>
      <c r="AQ59" s="193"/>
      <c r="AR59" s="90"/>
      <c r="AS59" s="90"/>
      <c r="AT59" s="183">
        <f t="shared" si="24"/>
        <v>0</v>
      </c>
      <c r="AU59" s="193"/>
      <c r="AV59" s="90"/>
      <c r="AW59" s="90"/>
      <c r="AX59" s="183">
        <f t="shared" si="25"/>
        <v>0</v>
      </c>
      <c r="AY59" s="193"/>
      <c r="AZ59" s="90"/>
      <c r="BA59" s="90"/>
      <c r="BB59" s="183">
        <f t="shared" si="26"/>
        <v>0</v>
      </c>
      <c r="BC59" s="193"/>
      <c r="BD59" s="90"/>
      <c r="BE59" s="90"/>
      <c r="BF59" s="183">
        <f t="shared" si="27"/>
        <v>0</v>
      </c>
      <c r="BG59" s="193"/>
      <c r="BH59" s="90"/>
      <c r="BI59" s="90"/>
      <c r="BJ59" s="183">
        <f t="shared" si="28"/>
        <v>0</v>
      </c>
      <c r="BK59" s="193"/>
      <c r="BL59" s="90"/>
      <c r="BM59" s="90"/>
      <c r="BN59" s="183">
        <f t="shared" si="29"/>
        <v>0</v>
      </c>
      <c r="BO59" s="193"/>
      <c r="BP59" s="90"/>
      <c r="BQ59" s="90"/>
      <c r="BR59" s="183">
        <f t="shared" si="30"/>
        <v>0</v>
      </c>
      <c r="BS59" s="193"/>
      <c r="BT59" s="90"/>
      <c r="BU59" s="90"/>
      <c r="BV59" s="183">
        <f t="shared" si="31"/>
        <v>0</v>
      </c>
      <c r="BW59" s="193"/>
      <c r="BX59" s="90"/>
      <c r="BY59" s="90"/>
      <c r="BZ59" s="183">
        <f t="shared" si="32"/>
        <v>0</v>
      </c>
      <c r="CA59" s="193"/>
      <c r="CB59" s="90"/>
      <c r="CC59" s="90"/>
      <c r="CD59" s="183">
        <f t="shared" si="33"/>
        <v>0</v>
      </c>
    </row>
    <row r="60" spans="2:82" x14ac:dyDescent="0.3">
      <c r="B60" s="53"/>
      <c r="C60" s="53" t="str">
        <f t="shared" si="0"/>
        <v>CPU_Conserva</v>
      </c>
      <c r="D60" s="278">
        <f t="shared" si="1"/>
        <v>3</v>
      </c>
      <c r="E60" s="278">
        <f t="shared" si="2"/>
        <v>0</v>
      </c>
      <c r="F60" s="1"/>
      <c r="G60" s="28" t="str">
        <f>IFERROR(VLOOKUP(F60,Tabela7[[RECURSO]:[CUSTO]],2,FALSE),"")</f>
        <v/>
      </c>
      <c r="I60" s="90">
        <f t="shared" si="41"/>
        <v>0</v>
      </c>
      <c r="J60" s="45">
        <f>IFERROR(VLOOKUP(F60,Tabela7[[RECURSO]:[CUSTO]],3,FALSE),0)</f>
        <v>0</v>
      </c>
      <c r="K60" s="45">
        <f t="shared" si="42"/>
        <v>0</v>
      </c>
      <c r="M60" s="85"/>
      <c r="N60" s="88"/>
      <c r="AD60" s="144" t="str">
        <f t="shared" si="3"/>
        <v>Conserva</v>
      </c>
      <c r="AE60" s="192"/>
      <c r="AF60" s="180">
        <f t="shared" si="38"/>
        <v>0</v>
      </c>
      <c r="AG60" s="180">
        <f t="shared" si="17"/>
        <v>0</v>
      </c>
      <c r="AH60" s="181">
        <f t="shared" si="39"/>
        <v>0</v>
      </c>
      <c r="AI60" s="193"/>
      <c r="AJ60" s="90"/>
      <c r="AK60" s="90"/>
      <c r="AL60" s="183">
        <f t="shared" si="40"/>
        <v>0</v>
      </c>
      <c r="AM60" s="193"/>
      <c r="AN60" s="90"/>
      <c r="AO60" s="90"/>
      <c r="AP60" s="183">
        <f t="shared" si="23"/>
        <v>0</v>
      </c>
      <c r="AQ60" s="193"/>
      <c r="AR60" s="90"/>
      <c r="AS60" s="90"/>
      <c r="AT60" s="183">
        <f t="shared" si="24"/>
        <v>0</v>
      </c>
      <c r="AU60" s="193"/>
      <c r="AV60" s="90"/>
      <c r="AW60" s="90"/>
      <c r="AX60" s="183">
        <f t="shared" si="25"/>
        <v>0</v>
      </c>
      <c r="AY60" s="193"/>
      <c r="AZ60" s="90"/>
      <c r="BA60" s="90"/>
      <c r="BB60" s="183">
        <f t="shared" si="26"/>
        <v>0</v>
      </c>
      <c r="BC60" s="193"/>
      <c r="BD60" s="90"/>
      <c r="BE60" s="90"/>
      <c r="BF60" s="183">
        <f t="shared" si="27"/>
        <v>0</v>
      </c>
      <c r="BG60" s="193"/>
      <c r="BH60" s="90"/>
      <c r="BI60" s="90"/>
      <c r="BJ60" s="183">
        <f t="shared" si="28"/>
        <v>0</v>
      </c>
      <c r="BK60" s="193"/>
      <c r="BL60" s="90"/>
      <c r="BM60" s="90"/>
      <c r="BN60" s="183">
        <f t="shared" si="29"/>
        <v>0</v>
      </c>
      <c r="BO60" s="193"/>
      <c r="BP60" s="90"/>
      <c r="BQ60" s="90"/>
      <c r="BR60" s="183">
        <f t="shared" si="30"/>
        <v>0</v>
      </c>
      <c r="BS60" s="193"/>
      <c r="BT60" s="90"/>
      <c r="BU60" s="90"/>
      <c r="BV60" s="183">
        <f t="shared" si="31"/>
        <v>0</v>
      </c>
      <c r="BW60" s="193"/>
      <c r="BX60" s="90"/>
      <c r="BY60" s="90"/>
      <c r="BZ60" s="183">
        <f t="shared" si="32"/>
        <v>0</v>
      </c>
      <c r="CA60" s="193"/>
      <c r="CB60" s="90"/>
      <c r="CC60" s="90"/>
      <c r="CD60" s="183">
        <f t="shared" si="33"/>
        <v>0</v>
      </c>
    </row>
    <row r="61" spans="2:82" x14ac:dyDescent="0.3">
      <c r="B61" s="53"/>
      <c r="C61" s="53" t="str">
        <f t="shared" si="0"/>
        <v>CPU_Conserva</v>
      </c>
      <c r="D61" s="278">
        <f t="shared" si="1"/>
        <v>3</v>
      </c>
      <c r="E61" s="278">
        <f t="shared" si="2"/>
        <v>0</v>
      </c>
      <c r="F61" s="1"/>
      <c r="G61" s="28" t="str">
        <f>IFERROR(VLOOKUP(F61,Tabela7[[RECURSO]:[CUSTO]],2,FALSE),"")</f>
        <v/>
      </c>
      <c r="I61" s="90">
        <f t="shared" si="41"/>
        <v>0</v>
      </c>
      <c r="J61" s="45">
        <f>IFERROR(VLOOKUP(F61,Tabela7[[RECURSO]:[CUSTO]],3,FALSE),0)</f>
        <v>0</v>
      </c>
      <c r="K61" s="45">
        <f t="shared" si="42"/>
        <v>0</v>
      </c>
      <c r="M61" s="85"/>
      <c r="N61" s="88"/>
      <c r="AD61" s="144" t="str">
        <f t="shared" si="3"/>
        <v>Conserva</v>
      </c>
      <c r="AE61" s="192"/>
      <c r="AF61" s="180">
        <f t="shared" si="38"/>
        <v>0</v>
      </c>
      <c r="AG61" s="180">
        <f t="shared" si="17"/>
        <v>0</v>
      </c>
      <c r="AH61" s="181">
        <f t="shared" si="39"/>
        <v>0</v>
      </c>
      <c r="AI61" s="193"/>
      <c r="AJ61" s="90"/>
      <c r="AK61" s="90"/>
      <c r="AL61" s="183">
        <f t="shared" si="40"/>
        <v>0</v>
      </c>
      <c r="AM61" s="193"/>
      <c r="AN61" s="90"/>
      <c r="AO61" s="90"/>
      <c r="AP61" s="183">
        <f t="shared" si="23"/>
        <v>0</v>
      </c>
      <c r="AQ61" s="193"/>
      <c r="AR61" s="90"/>
      <c r="AS61" s="90"/>
      <c r="AT61" s="183">
        <f t="shared" si="24"/>
        <v>0</v>
      </c>
      <c r="AU61" s="193"/>
      <c r="AV61" s="90"/>
      <c r="AW61" s="90"/>
      <c r="AX61" s="183">
        <f t="shared" si="25"/>
        <v>0</v>
      </c>
      <c r="AY61" s="193"/>
      <c r="AZ61" s="90"/>
      <c r="BA61" s="90"/>
      <c r="BB61" s="183">
        <f t="shared" si="26"/>
        <v>0</v>
      </c>
      <c r="BC61" s="193"/>
      <c r="BD61" s="90"/>
      <c r="BE61" s="90"/>
      <c r="BF61" s="183">
        <f t="shared" si="27"/>
        <v>0</v>
      </c>
      <c r="BG61" s="193"/>
      <c r="BH61" s="90"/>
      <c r="BI61" s="90"/>
      <c r="BJ61" s="183">
        <f t="shared" si="28"/>
        <v>0</v>
      </c>
      <c r="BK61" s="193"/>
      <c r="BL61" s="90"/>
      <c r="BM61" s="90"/>
      <c r="BN61" s="183">
        <f t="shared" si="29"/>
        <v>0</v>
      </c>
      <c r="BO61" s="193"/>
      <c r="BP61" s="90"/>
      <c r="BQ61" s="90"/>
      <c r="BR61" s="183">
        <f t="shared" si="30"/>
        <v>0</v>
      </c>
      <c r="BS61" s="193"/>
      <c r="BT61" s="90"/>
      <c r="BU61" s="90"/>
      <c r="BV61" s="183">
        <f t="shared" si="31"/>
        <v>0</v>
      </c>
      <c r="BW61" s="193"/>
      <c r="BX61" s="90"/>
      <c r="BY61" s="90"/>
      <c r="BZ61" s="183">
        <f t="shared" si="32"/>
        <v>0</v>
      </c>
      <c r="CA61" s="193"/>
      <c r="CB61" s="90"/>
      <c r="CC61" s="90"/>
      <c r="CD61" s="183">
        <f t="shared" si="33"/>
        <v>0</v>
      </c>
    </row>
    <row r="62" spans="2:82" ht="15" thickBot="1" x14ac:dyDescent="0.35">
      <c r="B62" s="53"/>
      <c r="C62" s="53" t="str">
        <f t="shared" si="0"/>
        <v>CPU_Conserva</v>
      </c>
      <c r="D62" s="278">
        <f t="shared" si="1"/>
        <v>3</v>
      </c>
      <c r="E62" s="278">
        <f t="shared" si="2"/>
        <v>0</v>
      </c>
      <c r="F62" s="1"/>
      <c r="G62" s="28" t="str">
        <f>IFERROR(VLOOKUP(F62,Tabela7[[RECURSO]:[CUSTO]],2,FALSE),"")</f>
        <v/>
      </c>
      <c r="I62" s="90">
        <f t="shared" si="41"/>
        <v>0</v>
      </c>
      <c r="J62" s="45">
        <f>IFERROR(VLOOKUP(F62,Tabela7[[RECURSO]:[CUSTO]],3,FALSE),0)</f>
        <v>0</v>
      </c>
      <c r="K62" s="45">
        <f t="shared" si="42"/>
        <v>0</v>
      </c>
      <c r="M62" s="86"/>
      <c r="N62" s="88"/>
      <c r="AD62" s="144" t="str">
        <f t="shared" si="3"/>
        <v>Conserva</v>
      </c>
      <c r="AE62" s="194"/>
      <c r="AF62" s="195">
        <f t="shared" si="38"/>
        <v>0</v>
      </c>
      <c r="AG62" s="195">
        <f t="shared" si="17"/>
        <v>0</v>
      </c>
      <c r="AH62" s="196">
        <f t="shared" si="39"/>
        <v>0</v>
      </c>
      <c r="AI62" s="197"/>
      <c r="AJ62" s="198"/>
      <c r="AK62" s="198"/>
      <c r="AL62" s="199">
        <f t="shared" si="40"/>
        <v>0</v>
      </c>
      <c r="AM62" s="197"/>
      <c r="AN62" s="198"/>
      <c r="AO62" s="198"/>
      <c r="AP62" s="199">
        <f t="shared" si="23"/>
        <v>0</v>
      </c>
      <c r="AQ62" s="197"/>
      <c r="AR62" s="198"/>
      <c r="AS62" s="198"/>
      <c r="AT62" s="199">
        <f t="shared" si="24"/>
        <v>0</v>
      </c>
      <c r="AU62" s="197"/>
      <c r="AV62" s="198"/>
      <c r="AW62" s="198"/>
      <c r="AX62" s="199">
        <f t="shared" si="25"/>
        <v>0</v>
      </c>
      <c r="AY62" s="197"/>
      <c r="AZ62" s="198"/>
      <c r="BA62" s="198"/>
      <c r="BB62" s="199">
        <f t="shared" si="26"/>
        <v>0</v>
      </c>
      <c r="BC62" s="197"/>
      <c r="BD62" s="198"/>
      <c r="BE62" s="198"/>
      <c r="BF62" s="199">
        <f t="shared" si="27"/>
        <v>0</v>
      </c>
      <c r="BG62" s="197"/>
      <c r="BH62" s="198"/>
      <c r="BI62" s="198"/>
      <c r="BJ62" s="199">
        <f t="shared" si="28"/>
        <v>0</v>
      </c>
      <c r="BK62" s="197"/>
      <c r="BL62" s="198"/>
      <c r="BM62" s="198"/>
      <c r="BN62" s="199">
        <f t="shared" si="29"/>
        <v>0</v>
      </c>
      <c r="BO62" s="197"/>
      <c r="BP62" s="198"/>
      <c r="BQ62" s="198"/>
      <c r="BR62" s="199">
        <f t="shared" si="30"/>
        <v>0</v>
      </c>
      <c r="BS62" s="197"/>
      <c r="BT62" s="198"/>
      <c r="BU62" s="198"/>
      <c r="BV62" s="199">
        <f t="shared" si="31"/>
        <v>0</v>
      </c>
      <c r="BW62" s="197"/>
      <c r="BX62" s="198"/>
      <c r="BY62" s="198"/>
      <c r="BZ62" s="199">
        <f t="shared" si="32"/>
        <v>0</v>
      </c>
      <c r="CA62" s="197"/>
      <c r="CB62" s="198"/>
      <c r="CC62" s="198"/>
      <c r="CD62" s="199">
        <f t="shared" si="33"/>
        <v>0</v>
      </c>
    </row>
  </sheetData>
  <conditionalFormatting sqref="K6:K7">
    <cfRule type="iconSet" priority="14">
      <iconSet>
        <cfvo type="percent" val="0"/>
        <cfvo type="num" val="0"/>
        <cfvo type="num" val="0.02"/>
      </iconSet>
    </cfRule>
  </conditionalFormatting>
  <conditionalFormatting sqref="AH6:AH7">
    <cfRule type="iconSet" priority="13">
      <iconSet>
        <cfvo type="percent" val="0"/>
        <cfvo type="num" val="0"/>
        <cfvo type="num" val="0.02"/>
      </iconSet>
    </cfRule>
  </conditionalFormatting>
  <conditionalFormatting sqref="AL6:AL7">
    <cfRule type="iconSet" priority="12">
      <iconSet>
        <cfvo type="percent" val="0"/>
        <cfvo type="num" val="0"/>
        <cfvo type="num" val="0.02"/>
      </iconSet>
    </cfRule>
  </conditionalFormatting>
  <conditionalFormatting sqref="AP6:AP7">
    <cfRule type="iconSet" priority="11">
      <iconSet>
        <cfvo type="percent" val="0"/>
        <cfvo type="num" val="0"/>
        <cfvo type="num" val="0.02"/>
      </iconSet>
    </cfRule>
  </conditionalFormatting>
  <conditionalFormatting sqref="AT6:AT7">
    <cfRule type="iconSet" priority="10">
      <iconSet>
        <cfvo type="percent" val="0"/>
        <cfvo type="num" val="0"/>
        <cfvo type="num" val="0.02"/>
      </iconSet>
    </cfRule>
  </conditionalFormatting>
  <conditionalFormatting sqref="AX6:AX7">
    <cfRule type="iconSet" priority="9">
      <iconSet>
        <cfvo type="percent" val="0"/>
        <cfvo type="num" val="0"/>
        <cfvo type="num" val="0.02"/>
      </iconSet>
    </cfRule>
  </conditionalFormatting>
  <conditionalFormatting sqref="BB6:BB7">
    <cfRule type="iconSet" priority="8">
      <iconSet>
        <cfvo type="percent" val="0"/>
        <cfvo type="num" val="0"/>
        <cfvo type="num" val="0.02"/>
      </iconSet>
    </cfRule>
  </conditionalFormatting>
  <conditionalFormatting sqref="BF6:BF7">
    <cfRule type="iconSet" priority="7">
      <iconSet>
        <cfvo type="percent" val="0"/>
        <cfvo type="num" val="0"/>
        <cfvo type="num" val="0.02"/>
      </iconSet>
    </cfRule>
  </conditionalFormatting>
  <conditionalFormatting sqref="BJ6:BJ7">
    <cfRule type="iconSet" priority="6">
      <iconSet>
        <cfvo type="percent" val="0"/>
        <cfvo type="num" val="0"/>
        <cfvo type="num" val="0.02"/>
      </iconSet>
    </cfRule>
  </conditionalFormatting>
  <conditionalFormatting sqref="BN6:BN7">
    <cfRule type="iconSet" priority="5">
      <iconSet>
        <cfvo type="percent" val="0"/>
        <cfvo type="num" val="0"/>
        <cfvo type="num" val="0.02"/>
      </iconSet>
    </cfRule>
  </conditionalFormatting>
  <conditionalFormatting sqref="BR6:BR7">
    <cfRule type="iconSet" priority="4">
      <iconSet>
        <cfvo type="percent" val="0"/>
        <cfvo type="num" val="0"/>
        <cfvo type="num" val="0.02"/>
      </iconSet>
    </cfRule>
  </conditionalFormatting>
  <conditionalFormatting sqref="BV6:BV7">
    <cfRule type="iconSet" priority="3">
      <iconSet>
        <cfvo type="percent" val="0"/>
        <cfvo type="num" val="0"/>
        <cfvo type="num" val="0.02"/>
      </iconSet>
    </cfRule>
  </conditionalFormatting>
  <conditionalFormatting sqref="BZ6:BZ7">
    <cfRule type="iconSet" priority="2">
      <iconSet>
        <cfvo type="percent" val="0"/>
        <cfvo type="num" val="0"/>
        <cfvo type="num" val="0.02"/>
      </iconSet>
    </cfRule>
  </conditionalFormatting>
  <conditionalFormatting sqref="CD6:CD7">
    <cfRule type="iconSet" priority="1">
      <iconSet>
        <cfvo type="percent" val="0"/>
        <cfvo type="num" val="0"/>
        <cfvo type="num" val="0.02"/>
      </iconSet>
    </cfRule>
  </conditionalFormatting>
  <dataValidations count="5">
    <dataValidation type="list" allowBlank="1" showInputMessage="1" showErrorMessage="1" sqref="F51:F62" xr:uid="{9EDAE85E-0908-4D6D-AF64-5DA3FE1669C4}">
      <formula1>INDIRECT($B$50)</formula1>
    </dataValidation>
    <dataValidation type="list" allowBlank="1" showInputMessage="1" showErrorMessage="1" sqref="F38:F49" xr:uid="{A0E93C9C-330C-4DC9-8C7E-96E366EF80F6}">
      <formula1>INDIRECT($B$37)</formula1>
    </dataValidation>
    <dataValidation type="list" allowBlank="1" showInputMessage="1" showErrorMessage="1" sqref="F25:F36" xr:uid="{B389EABE-E8B1-497A-90DF-70AD44EBCBD8}">
      <formula1>INDIRECT($B$24)</formula1>
    </dataValidation>
    <dataValidation type="list" allowBlank="1" showInputMessage="1" showErrorMessage="1" sqref="F12:F23" xr:uid="{A233D474-BE6C-432C-AA01-A0A5076903BE}">
      <formula1>INDIRECT($B$11)</formula1>
    </dataValidation>
    <dataValidation type="list" allowBlank="1" showInputMessage="1" showErrorMessage="1" sqref="B3:E3" xr:uid="{03A65DD3-D4B5-402C-902F-5701D35FC785}">
      <formula1>INDIRECT($B$2)</formula1>
    </dataValidation>
  </dataValidations>
  <pageMargins left="0.51181102362204722" right="0.51181102362204722" top="0.19685039370078741" bottom="0.19685039370078741" header="0.31496062992125984" footer="0.31496062992125984"/>
  <pageSetup paperSize="9" scale="82" orientation="portrait" r:id="rId1"/>
  <colBreaks count="1" manualBreakCount="1">
    <brk id="11" max="1048575" man="1"/>
  </colBreaks>
  <drawing r:id="rId2"/>
  <legacyDrawing r:id="rId3"/>
  <tableParts count="2">
    <tablePart r:id="rId4"/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69A86-F48F-4A4F-9996-659D14451F75}">
  <sheetPr codeName="Plan35"/>
  <dimension ref="A1:CD62"/>
  <sheetViews>
    <sheetView showGridLines="0" showRowColHeaders="0" zoomScale="72" zoomScaleNormal="72" workbookViewId="0">
      <pane xSplit="14" ySplit="10" topLeftCell="O11" activePane="bottomRight" state="frozen"/>
      <selection pane="topRight" activeCell="C28" activeCellId="1" sqref="E13 C28"/>
      <selection pane="bottomLeft" activeCell="C28" activeCellId="1" sqref="E13 C28"/>
      <selection pane="bottomRight" activeCell="B6" sqref="B6"/>
    </sheetView>
  </sheetViews>
  <sheetFormatPr defaultRowHeight="14.4" x14ac:dyDescent="0.3"/>
  <cols>
    <col min="1" max="1" width="4.109375" customWidth="1"/>
    <col min="2" max="2" width="16.109375" customWidth="1"/>
    <col min="3" max="5" width="16.109375" hidden="1" customWidth="1"/>
    <col min="6" max="6" width="40.6640625" customWidth="1"/>
    <col min="7" max="7" width="10.6640625" style="28" customWidth="1"/>
    <col min="8" max="8" width="7.6640625" style="28" customWidth="1"/>
    <col min="9" max="10" width="10.6640625" customWidth="1"/>
    <col min="11" max="11" width="14" bestFit="1" customWidth="1"/>
    <col min="12" max="12" width="2.33203125" customWidth="1"/>
    <col min="13" max="14" width="12.6640625" customWidth="1"/>
    <col min="15" max="15" width="14" bestFit="1" customWidth="1"/>
    <col min="30" max="30" width="12.44140625" bestFit="1" customWidth="1"/>
    <col min="31" max="31" width="7.6640625" customWidth="1"/>
    <col min="32" max="32" width="9.33203125" bestFit="1" customWidth="1"/>
    <col min="33" max="34" width="10.6640625" customWidth="1"/>
    <col min="35" max="35" width="7.6640625" customWidth="1"/>
    <col min="36" max="36" width="9.33203125" customWidth="1"/>
    <col min="37" max="38" width="10.6640625" customWidth="1"/>
    <col min="40" max="40" width="9.33203125" customWidth="1"/>
    <col min="42" max="42" width="9.6640625" customWidth="1"/>
    <col min="44" max="44" width="9.33203125" customWidth="1"/>
    <col min="46" max="46" width="9.6640625" customWidth="1"/>
    <col min="48" max="48" width="9.33203125" customWidth="1"/>
    <col min="50" max="50" width="9.6640625" customWidth="1"/>
    <col min="52" max="52" width="9.33203125" customWidth="1"/>
    <col min="54" max="54" width="9.6640625" customWidth="1"/>
    <col min="56" max="56" width="9.33203125" customWidth="1"/>
    <col min="58" max="58" width="9.6640625" customWidth="1"/>
    <col min="60" max="60" width="9.33203125" customWidth="1"/>
    <col min="62" max="62" width="9.6640625" customWidth="1"/>
    <col min="64" max="64" width="9.33203125" customWidth="1"/>
    <col min="66" max="66" width="9.6640625" customWidth="1"/>
    <col min="68" max="68" width="9.33203125" customWidth="1"/>
    <col min="70" max="70" width="9.6640625" customWidth="1"/>
    <col min="72" max="72" width="10" customWidth="1"/>
    <col min="73" max="73" width="9.5546875" customWidth="1"/>
    <col min="74" max="74" width="10.44140625" customWidth="1"/>
    <col min="76" max="76" width="10" customWidth="1"/>
    <col min="77" max="77" width="9.5546875" customWidth="1"/>
    <col min="78" max="78" width="10.44140625" customWidth="1"/>
    <col min="80" max="80" width="10" customWidth="1"/>
    <col min="81" max="81" width="9.5546875" customWidth="1"/>
    <col min="82" max="82" width="10.44140625" customWidth="1"/>
  </cols>
  <sheetData>
    <row r="1" spans="1:82" ht="26.4" customHeight="1" thickBot="1" x14ac:dyDescent="0.35">
      <c r="AE1" s="163" t="s">
        <v>678</v>
      </c>
    </row>
    <row r="2" spans="1:82" x14ac:dyDescent="0.3">
      <c r="B2" s="64" t="s">
        <v>679</v>
      </c>
      <c r="C2" s="67"/>
      <c r="D2" s="67"/>
      <c r="E2" s="67"/>
      <c r="F2" s="65"/>
      <c r="G2" s="66"/>
      <c r="H2" s="66"/>
      <c r="I2" s="65"/>
      <c r="J2" s="67" t="s">
        <v>680</v>
      </c>
      <c r="K2" s="68" t="s">
        <v>681</v>
      </c>
      <c r="M2" s="227" t="s">
        <v>682</v>
      </c>
      <c r="N2" s="228" t="s">
        <v>683</v>
      </c>
      <c r="O2" s="234" t="s">
        <v>684</v>
      </c>
      <c r="AE2" s="164" t="s">
        <v>590</v>
      </c>
      <c r="AF2" s="165" t="s">
        <v>20</v>
      </c>
      <c r="AG2" s="67"/>
      <c r="AH2" s="68" t="s">
        <v>681</v>
      </c>
      <c r="AI2" s="166">
        <v>44927</v>
      </c>
      <c r="AJ2" s="165" t="s">
        <v>20</v>
      </c>
      <c r="AK2" s="67"/>
      <c r="AL2" s="68" t="s">
        <v>681</v>
      </c>
      <c r="AM2" s="166">
        <v>44958</v>
      </c>
      <c r="AN2" s="165" t="s">
        <v>20</v>
      </c>
      <c r="AO2" s="67"/>
      <c r="AP2" s="68" t="s">
        <v>681</v>
      </c>
      <c r="AQ2" s="166">
        <v>44986</v>
      </c>
      <c r="AR2" s="165" t="s">
        <v>20</v>
      </c>
      <c r="AS2" s="67"/>
      <c r="AT2" s="68" t="s">
        <v>681</v>
      </c>
      <c r="AU2" s="166">
        <v>45017</v>
      </c>
      <c r="AV2" s="165" t="s">
        <v>20</v>
      </c>
      <c r="AW2" s="67"/>
      <c r="AX2" s="68" t="s">
        <v>681</v>
      </c>
      <c r="AY2" s="166">
        <v>45047</v>
      </c>
      <c r="AZ2" s="165" t="s">
        <v>20</v>
      </c>
      <c r="BA2" s="67"/>
      <c r="BB2" s="68" t="s">
        <v>681</v>
      </c>
      <c r="BC2" s="166">
        <v>45078</v>
      </c>
      <c r="BD2" s="165" t="s">
        <v>20</v>
      </c>
      <c r="BE2" s="67"/>
      <c r="BF2" s="68" t="s">
        <v>681</v>
      </c>
      <c r="BG2" s="166">
        <v>45108</v>
      </c>
      <c r="BH2" s="165" t="s">
        <v>20</v>
      </c>
      <c r="BI2" s="67"/>
      <c r="BJ2" s="68" t="s">
        <v>681</v>
      </c>
      <c r="BK2" s="166">
        <v>45139</v>
      </c>
      <c r="BL2" s="165" t="s">
        <v>20</v>
      </c>
      <c r="BM2" s="67"/>
      <c r="BN2" s="68" t="s">
        <v>681</v>
      </c>
      <c r="BO2" s="166">
        <v>45170</v>
      </c>
      <c r="BP2" s="165" t="s">
        <v>20</v>
      </c>
      <c r="BQ2" s="67"/>
      <c r="BR2" s="68" t="s">
        <v>681</v>
      </c>
      <c r="BS2" s="166">
        <v>45200</v>
      </c>
      <c r="BT2" s="165" t="s">
        <v>20</v>
      </c>
      <c r="BU2" s="67"/>
      <c r="BV2" s="68" t="s">
        <v>681</v>
      </c>
      <c r="BW2" s="166">
        <v>45231</v>
      </c>
      <c r="BX2" s="165" t="s">
        <v>20</v>
      </c>
      <c r="BY2" s="67"/>
      <c r="BZ2" s="68" t="s">
        <v>681</v>
      </c>
      <c r="CA2" s="166">
        <v>45261</v>
      </c>
      <c r="CB2" s="165" t="s">
        <v>20</v>
      </c>
      <c r="CC2" s="67"/>
      <c r="CD2" s="68" t="s">
        <v>681</v>
      </c>
    </row>
    <row r="3" spans="1:82" x14ac:dyDescent="0.3">
      <c r="A3" s="42" t="str">
        <f>"CPU_"&amp;LEFT(SUBSTITUTE(SUBSTITUTE(B3," ",""),"-",""),20)</f>
        <v>CPU_Conserva</v>
      </c>
      <c r="B3" s="31" t="s">
        <v>858</v>
      </c>
      <c r="C3" s="1"/>
      <c r="D3" s="1"/>
      <c r="E3" s="1"/>
      <c r="F3" s="73"/>
      <c r="G3" s="74"/>
      <c r="H3" s="74"/>
      <c r="I3" s="73"/>
      <c r="J3" s="74" t="str">
        <f>IFERROR(VLOOKUP(B3,Tabela1[[NOME SERVIÇO]:[UNID]],4,0),"")</f>
        <v>HÁ</v>
      </c>
      <c r="K3" s="75">
        <f>IFERROR(J6/B6,0)</f>
        <v>818.95474195026202</v>
      </c>
      <c r="M3" s="229" t="s">
        <v>685</v>
      </c>
      <c r="N3" s="230">
        <f>K11</f>
        <v>1136.3636363636363</v>
      </c>
      <c r="O3" s="235">
        <f>IFERROR(N3/$N$7,0)</f>
        <v>0.3260286807451116</v>
      </c>
      <c r="AE3" s="167"/>
      <c r="AF3" s="168">
        <f>AJ3+AN3+AR3+AV3+AZ3+BD3+BH3+BL3+BP3+BT3+BX3+CB3</f>
        <v>0</v>
      </c>
      <c r="AG3" s="74"/>
      <c r="AH3" s="75">
        <f>IFERROR((AG6/AF3),0)</f>
        <v>0</v>
      </c>
      <c r="AI3" s="167"/>
      <c r="AJ3" s="168">
        <f>IFERROR(SUMPRODUCT(Plan_Orc!$I$4:$I$2002*Plan_Orc!$AB$4:$AB$2002*(Plan_Orc!$D$4:$D$2002=$B3)),0)</f>
        <v>0</v>
      </c>
      <c r="AK3" s="74"/>
      <c r="AL3" s="75">
        <f>IFERROR((AK6/AJ3),0)</f>
        <v>0</v>
      </c>
      <c r="AM3" s="167"/>
      <c r="AN3" s="168">
        <f>IFERROR(SUMPRODUCT(Plan_Orc!$I$4:$I$2002*Plan_Orc!$AC$4:$AC$2002*(Plan_Orc!$D$4:$D$2002=$B3)),0)</f>
        <v>0</v>
      </c>
      <c r="AO3" s="74"/>
      <c r="AP3" s="75">
        <f>IFERROR((AO6/AN3),0)</f>
        <v>0</v>
      </c>
      <c r="AQ3" s="167"/>
      <c r="AR3" s="168">
        <f>IFERROR(SUMPRODUCT(Plan_Orc!$I$4:$I$2002*Plan_Orc!$AD$4:$AD$2002*(Plan_Orc!$D$4:$D$2002=$B3)),0)</f>
        <v>0</v>
      </c>
      <c r="AS3" s="74"/>
      <c r="AT3" s="75">
        <f>IFERROR((AS6/AR3),0)</f>
        <v>0</v>
      </c>
      <c r="AU3" s="167"/>
      <c r="AV3" s="168">
        <f>IFERROR(SUMPRODUCT(Plan_Orc!$I$4:$I$2002*Plan_Orc!$AE$4:$AE$2002*(Plan_Orc!$D$4:$D$2002=$B3)),0)</f>
        <v>0</v>
      </c>
      <c r="AW3" s="74"/>
      <c r="AX3" s="75">
        <f>IFERROR((AW6/AV3),0)</f>
        <v>0</v>
      </c>
      <c r="AY3" s="167"/>
      <c r="AZ3" s="168">
        <f>IFERROR(SUMPRODUCT(Plan_Orc!$I$4:$I$2002*Plan_Orc!$AF$4:$AF$2002*(Plan_Orc!$D$4:$D$2002=$B3)),0)</f>
        <v>0</v>
      </c>
      <c r="BA3" s="74"/>
      <c r="BB3" s="75">
        <f>IFERROR((BA6/AZ3),0)</f>
        <v>0</v>
      </c>
      <c r="BC3" s="167"/>
      <c r="BD3" s="168">
        <f>IFERROR(SUMPRODUCT(Plan_Orc!$I$4:$I$2002*Plan_Orc!$AG$4:$AG$2002*(Plan_Orc!$D$4:$D$2002=$B3)),0)</f>
        <v>0</v>
      </c>
      <c r="BE3" s="74"/>
      <c r="BF3" s="75">
        <f>IFERROR((BE6/BD3),0)</f>
        <v>0</v>
      </c>
      <c r="BG3" s="167"/>
      <c r="BH3" s="168">
        <f>IFERROR(SUMPRODUCT(Plan_Orc!$I$4:$I$2002*Plan_Orc!$AH$4:$AH$2002*(Plan_Orc!$D$4:$D$2002=$B3)),0)</f>
        <v>0</v>
      </c>
      <c r="BI3" s="74"/>
      <c r="BJ3" s="75">
        <f>IFERROR((BI6/BH3),0)</f>
        <v>0</v>
      </c>
      <c r="BK3" s="167"/>
      <c r="BL3" s="168">
        <f>IFERROR(SUMPRODUCT(Plan_Orc!$I$4:$I$2002*Plan_Orc!$AI$4:$AI$2002*(Plan_Orc!$D$4:$D$2002=$B3)),0)</f>
        <v>0</v>
      </c>
      <c r="BM3" s="74"/>
      <c r="BN3" s="75">
        <f>IFERROR((BM6/BL3),0)</f>
        <v>0</v>
      </c>
      <c r="BO3" s="167"/>
      <c r="BP3" s="168">
        <f>IFERROR(SUMPRODUCT(Plan_Orc!$I$4:$I$2002*Plan_Orc!$AJ$4:$AJ$2002*(Plan_Orc!$D$4:$D$2002=$B3)),0)</f>
        <v>0</v>
      </c>
      <c r="BQ3" s="74"/>
      <c r="BR3" s="75">
        <f>IFERROR((BQ6/BP3),0)</f>
        <v>0</v>
      </c>
      <c r="BS3" s="167"/>
      <c r="BT3" s="168">
        <f>IFERROR(SUMPRODUCT(Plan_Orc!$I$4:$I$2002*Plan_Orc!$AK$4:$AK$2002*(Plan_Orc!$D$4:$D$2002=$B3)),0)</f>
        <v>0</v>
      </c>
      <c r="BU3" s="74"/>
      <c r="BV3" s="75">
        <f>IFERROR((BU6/BT3),0)</f>
        <v>0</v>
      </c>
      <c r="BW3" s="167"/>
      <c r="BX3" s="168">
        <f>IFERROR(SUMPRODUCT(Plan_Orc!$I$4:$I$2002*Plan_Orc!$AL$4:$AL$2002*(Plan_Orc!$D$4:$D$2002=$B3)),0)</f>
        <v>0</v>
      </c>
      <c r="BY3" s="74"/>
      <c r="BZ3" s="75">
        <f>IFERROR((BY6/BX3),0)</f>
        <v>0</v>
      </c>
      <c r="CA3" s="167"/>
      <c r="CB3" s="168">
        <f>IFERROR(SUMPRODUCT(Plan_Orc!$I$4:$I$2002*Plan_Orc!$AM$4:$AM$2002*(Plan_Orc!$D$4:$D$2002=$B3)),0)</f>
        <v>0</v>
      </c>
      <c r="CC3" s="74"/>
      <c r="CD3" s="75">
        <f>IFERROR((CC6/CB3),0)</f>
        <v>0</v>
      </c>
    </row>
    <row r="4" spans="1:82" x14ac:dyDescent="0.3">
      <c r="B4" s="32"/>
      <c r="K4" s="30"/>
      <c r="M4" s="229" t="s">
        <v>686</v>
      </c>
      <c r="N4" s="230">
        <f>+K24</f>
        <v>1466.1818181818182</v>
      </c>
      <c r="O4" s="235">
        <f>IFERROR(N4/$N$7,0)</f>
        <v>0.42065524504457286</v>
      </c>
      <c r="AE4" s="169"/>
      <c r="AH4" s="30"/>
      <c r="AI4" s="169"/>
      <c r="AL4" s="30"/>
      <c r="AM4" s="169"/>
      <c r="AP4" s="30"/>
      <c r="AQ4" s="169"/>
      <c r="AT4" s="30"/>
      <c r="AU4" s="169"/>
      <c r="AX4" s="30"/>
      <c r="AY4" s="169"/>
      <c r="BB4" s="30"/>
      <c r="BC4" s="169"/>
      <c r="BF4" s="30"/>
      <c r="BG4" s="169"/>
      <c r="BJ4" s="30"/>
      <c r="BK4" s="169"/>
      <c r="BN4" s="30"/>
      <c r="BO4" s="169"/>
      <c r="BR4" s="30"/>
      <c r="BS4" s="169"/>
      <c r="BV4" s="30"/>
      <c r="BW4" s="169"/>
      <c r="BZ4" s="30"/>
      <c r="CA4" s="169"/>
      <c r="CD4" s="30"/>
    </row>
    <row r="5" spans="1:82" x14ac:dyDescent="0.3">
      <c r="B5" s="69" t="s">
        <v>687</v>
      </c>
      <c r="C5" s="72"/>
      <c r="D5" s="72"/>
      <c r="E5" s="72"/>
      <c r="F5" s="70" t="s">
        <v>688</v>
      </c>
      <c r="G5" s="70" t="s">
        <v>689</v>
      </c>
      <c r="H5" s="70" t="s">
        <v>690</v>
      </c>
      <c r="I5" s="70" t="s">
        <v>691</v>
      </c>
      <c r="J5" s="70" t="s">
        <v>683</v>
      </c>
      <c r="K5" s="71" t="s">
        <v>593</v>
      </c>
      <c r="M5" s="229" t="s">
        <v>692</v>
      </c>
      <c r="N5" s="230">
        <f>+K37</f>
        <v>882.92592719486106</v>
      </c>
      <c r="O5" s="235">
        <f>IFERROR(N5/$N$7,0)</f>
        <v>0.2533160742103156</v>
      </c>
      <c r="AE5" s="170"/>
      <c r="AF5" s="70" t="s">
        <v>691</v>
      </c>
      <c r="AG5" s="70" t="s">
        <v>683</v>
      </c>
      <c r="AH5" s="71" t="s">
        <v>593</v>
      </c>
      <c r="AI5" s="170"/>
      <c r="AJ5" s="70" t="s">
        <v>691</v>
      </c>
      <c r="AK5" s="70" t="s">
        <v>683</v>
      </c>
      <c r="AL5" s="71" t="s">
        <v>593</v>
      </c>
      <c r="AM5" s="170"/>
      <c r="AN5" s="70" t="s">
        <v>691</v>
      </c>
      <c r="AO5" s="70" t="s">
        <v>683</v>
      </c>
      <c r="AP5" s="71" t="s">
        <v>593</v>
      </c>
      <c r="AQ5" s="170"/>
      <c r="AR5" s="70" t="s">
        <v>691</v>
      </c>
      <c r="AS5" s="70" t="s">
        <v>683</v>
      </c>
      <c r="AT5" s="71" t="s">
        <v>593</v>
      </c>
      <c r="AU5" s="170"/>
      <c r="AV5" s="70" t="s">
        <v>691</v>
      </c>
      <c r="AW5" s="70" t="s">
        <v>683</v>
      </c>
      <c r="AX5" s="71" t="s">
        <v>593</v>
      </c>
      <c r="AY5" s="170"/>
      <c r="AZ5" s="70" t="s">
        <v>691</v>
      </c>
      <c r="BA5" s="70" t="s">
        <v>683</v>
      </c>
      <c r="BB5" s="71" t="s">
        <v>593</v>
      </c>
      <c r="BC5" s="170"/>
      <c r="BD5" s="70" t="s">
        <v>691</v>
      </c>
      <c r="BE5" s="70" t="s">
        <v>683</v>
      </c>
      <c r="BF5" s="71" t="s">
        <v>593</v>
      </c>
      <c r="BG5" s="170"/>
      <c r="BH5" s="70" t="s">
        <v>691</v>
      </c>
      <c r="BI5" s="70" t="s">
        <v>683</v>
      </c>
      <c r="BJ5" s="71" t="s">
        <v>593</v>
      </c>
      <c r="BK5" s="170"/>
      <c r="BL5" s="70" t="s">
        <v>691</v>
      </c>
      <c r="BM5" s="70" t="s">
        <v>683</v>
      </c>
      <c r="BN5" s="71" t="s">
        <v>593</v>
      </c>
      <c r="BO5" s="170"/>
      <c r="BP5" s="70" t="s">
        <v>691</v>
      </c>
      <c r="BQ5" s="70" t="s">
        <v>683</v>
      </c>
      <c r="BR5" s="71" t="s">
        <v>593</v>
      </c>
      <c r="BS5" s="170"/>
      <c r="BT5" s="70" t="s">
        <v>691</v>
      </c>
      <c r="BU5" s="70" t="s">
        <v>683</v>
      </c>
      <c r="BV5" s="71" t="s">
        <v>593</v>
      </c>
      <c r="BW5" s="170"/>
      <c r="BX5" s="70" t="s">
        <v>691</v>
      </c>
      <c r="BY5" s="70" t="s">
        <v>683</v>
      </c>
      <c r="BZ5" s="71" t="s">
        <v>593</v>
      </c>
      <c r="CA5" s="170"/>
      <c r="CB5" s="70" t="s">
        <v>691</v>
      </c>
      <c r="CC5" s="70" t="s">
        <v>683</v>
      </c>
      <c r="CD5" s="71" t="s">
        <v>593</v>
      </c>
    </row>
    <row r="6" spans="1:82" s="2" customFormat="1" ht="30" customHeight="1" x14ac:dyDescent="0.3">
      <c r="B6" s="345">
        <f>2500*1.33*8*2/10000*0.8</f>
        <v>4.2560000000000002</v>
      </c>
      <c r="C6" s="275"/>
      <c r="D6" s="275"/>
      <c r="E6" s="275"/>
      <c r="F6" s="369" t="s">
        <v>859</v>
      </c>
      <c r="G6" s="35">
        <v>1</v>
      </c>
      <c r="H6" s="81" t="s">
        <v>347</v>
      </c>
      <c r="I6" s="55">
        <f>IFERROR(I7/B7*B6,0)</f>
        <v>0</v>
      </c>
      <c r="J6" s="55">
        <f>K11+K24+K37+K50</f>
        <v>3485.4713817403153</v>
      </c>
      <c r="K6" s="56">
        <f>IFERROR((I6-J6)/I6-PARAMETROS!C19,0)</f>
        <v>0</v>
      </c>
      <c r="M6" s="229" t="s">
        <v>693</v>
      </c>
      <c r="N6" s="230">
        <f>+K50</f>
        <v>0</v>
      </c>
      <c r="O6" s="235">
        <f>IFERROR(N6/$N$7,0)</f>
        <v>0</v>
      </c>
      <c r="AE6" s="171"/>
      <c r="AF6" s="55">
        <f>AJ6+AN6+AR6+AV6+AZ6+BD6+BH6+BL6+BP6+BT6+BX6+CB6</f>
        <v>0</v>
      </c>
      <c r="AG6" s="55">
        <f>AH11+AH24+AH37+AH50</f>
        <v>0</v>
      </c>
      <c r="AH6" s="56">
        <f>IFERROR((AF6-AG6)/AF6,0)</f>
        <v>0</v>
      </c>
      <c r="AI6" s="171"/>
      <c r="AJ6" s="55"/>
      <c r="AK6" s="55">
        <f>AL11+AL24+AL37+AL50</f>
        <v>0</v>
      </c>
      <c r="AL6" s="56">
        <f>IFERROR((AJ6-AK6)/AJ6,0)</f>
        <v>0</v>
      </c>
      <c r="AM6" s="171"/>
      <c r="AN6" s="55"/>
      <c r="AO6" s="55">
        <f>AP11+AP24+AP37+AP50</f>
        <v>0</v>
      </c>
      <c r="AP6" s="56">
        <f>IFERROR((AN6-AO6)/AN6,0)</f>
        <v>0</v>
      </c>
      <c r="AQ6" s="171"/>
      <c r="AR6" s="55"/>
      <c r="AS6" s="55">
        <f>AT11+AT24+AT37+AT50</f>
        <v>0</v>
      </c>
      <c r="AT6" s="56">
        <f>IFERROR((AR6-AS6)/AR6,0)</f>
        <v>0</v>
      </c>
      <c r="AU6" s="171"/>
      <c r="AV6" s="55"/>
      <c r="AW6" s="55">
        <f>AX11+AX24+AX37+AX50</f>
        <v>0</v>
      </c>
      <c r="AX6" s="56">
        <f>IFERROR((AV6-AW6)/AV6,0)</f>
        <v>0</v>
      </c>
      <c r="AY6" s="171"/>
      <c r="AZ6" s="55"/>
      <c r="BA6" s="55">
        <f>BB11+BB24+BB37+BB50</f>
        <v>0</v>
      </c>
      <c r="BB6" s="56">
        <f>IFERROR((AZ6-BA6)/AZ6,0)</f>
        <v>0</v>
      </c>
      <c r="BC6" s="171"/>
      <c r="BD6" s="55"/>
      <c r="BE6" s="55">
        <f>BF11+BF24+BF37+BF50</f>
        <v>0</v>
      </c>
      <c r="BF6" s="56">
        <f>IFERROR((BD6-BE6)/BD6,0)</f>
        <v>0</v>
      </c>
      <c r="BG6" s="171"/>
      <c r="BH6" s="55"/>
      <c r="BI6" s="55">
        <f>BJ11+BJ24+BJ37+BJ50</f>
        <v>0</v>
      </c>
      <c r="BJ6" s="56">
        <f>IFERROR((BH6-BI6)/BH6,0)</f>
        <v>0</v>
      </c>
      <c r="BK6" s="171"/>
      <c r="BL6" s="55"/>
      <c r="BM6" s="55">
        <f>BN11+BN24+BN37+BN50</f>
        <v>0</v>
      </c>
      <c r="BN6" s="56">
        <f>IFERROR((BL6-BM6)/BL6,0)</f>
        <v>0</v>
      </c>
      <c r="BO6" s="171"/>
      <c r="BP6" s="55"/>
      <c r="BQ6" s="55">
        <f>BR11+BR24+BR37+BR50</f>
        <v>0</v>
      </c>
      <c r="BR6" s="56">
        <f>IFERROR((BP6-BQ6)/BP6,0)</f>
        <v>0</v>
      </c>
      <c r="BS6" s="171"/>
      <c r="BT6" s="55"/>
      <c r="BU6" s="55">
        <f>BV11+BV24+BV37+BV50</f>
        <v>0</v>
      </c>
      <c r="BV6" s="56">
        <f>IFERROR((BT6-BU6)/BT6,0)</f>
        <v>0</v>
      </c>
      <c r="BW6" s="171"/>
      <c r="BX6" s="55"/>
      <c r="BY6" s="55">
        <f>BZ11+BZ24+BZ37+BZ50</f>
        <v>0</v>
      </c>
      <c r="BZ6" s="56">
        <f>IFERROR((BX6-BY6)/BX6,0)</f>
        <v>0</v>
      </c>
      <c r="CA6" s="171"/>
      <c r="CB6" s="55"/>
      <c r="CC6" s="55">
        <f>CD11+CD24+CD37+CD50</f>
        <v>0</v>
      </c>
      <c r="CD6" s="56">
        <f>IFERROR((CB6-CC6)/CB6,0)</f>
        <v>0</v>
      </c>
    </row>
    <row r="7" spans="1:82" s="2" customFormat="1" ht="30" customHeight="1" thickBot="1" x14ac:dyDescent="0.35">
      <c r="B7" s="34">
        <f>IFERROR(VLOOKUP(B3,Lucratividade!G4:N853,2,0),0)</f>
        <v>0</v>
      </c>
      <c r="C7" s="276"/>
      <c r="D7" s="276"/>
      <c r="E7" s="276"/>
      <c r="F7" s="371" t="s">
        <v>860</v>
      </c>
      <c r="G7" s="36">
        <f>IFERROR(B7/B6,0)</f>
        <v>0</v>
      </c>
      <c r="H7" s="82" t="s">
        <v>347</v>
      </c>
      <c r="I7" s="57">
        <f>IFERROR(VLOOKUP(B3,Lucratividade!G4:N132,6,0),0)</f>
        <v>0</v>
      </c>
      <c r="J7" s="58">
        <f>B7*K3</f>
        <v>0</v>
      </c>
      <c r="K7" s="59">
        <f>IFERROR((I7-J7)/I7-PARAMETROS!C19,0)</f>
        <v>0</v>
      </c>
      <c r="M7" s="231" t="s">
        <v>694</v>
      </c>
      <c r="N7" s="232">
        <f>SUM(N3:N6)</f>
        <v>3485.4713817403153</v>
      </c>
      <c r="O7" s="236"/>
      <c r="AE7" s="172"/>
      <c r="AF7" s="57"/>
      <c r="AG7" s="58"/>
      <c r="AH7" s="59"/>
      <c r="AI7" s="172"/>
      <c r="AJ7" s="57"/>
      <c r="AK7" s="58"/>
      <c r="AL7" s="59"/>
      <c r="AM7" s="172"/>
      <c r="AN7" s="57"/>
      <c r="AO7" s="58"/>
      <c r="AP7" s="59"/>
      <c r="AQ7" s="172"/>
      <c r="AR7" s="57"/>
      <c r="AS7" s="58"/>
      <c r="AT7" s="59"/>
      <c r="AU7" s="172"/>
      <c r="AV7" s="57"/>
      <c r="AW7" s="58"/>
      <c r="AX7" s="59"/>
      <c r="AY7" s="172"/>
      <c r="AZ7" s="57"/>
      <c r="BA7" s="58"/>
      <c r="BB7" s="59"/>
      <c r="BC7" s="172"/>
      <c r="BD7" s="57"/>
      <c r="BE7" s="58"/>
      <c r="BF7" s="59"/>
      <c r="BG7" s="172"/>
      <c r="BH7" s="57"/>
      <c r="BI7" s="58"/>
      <c r="BJ7" s="59"/>
      <c r="BK7" s="172"/>
      <c r="BL7" s="57"/>
      <c r="BM7" s="58"/>
      <c r="BN7" s="59"/>
      <c r="BO7" s="172"/>
      <c r="BP7" s="57"/>
      <c r="BQ7" s="58"/>
      <c r="BR7" s="59"/>
      <c r="BS7" s="172"/>
      <c r="BT7" s="57"/>
      <c r="BU7" s="58"/>
      <c r="BV7" s="59"/>
      <c r="BW7" s="172"/>
      <c r="BX7" s="57"/>
      <c r="BY7" s="58"/>
      <c r="BZ7" s="59"/>
      <c r="CA7" s="172"/>
      <c r="CB7" s="57"/>
      <c r="CC7" s="58"/>
      <c r="CD7" s="59"/>
    </row>
    <row r="8" spans="1:82" ht="4.2" customHeight="1" x14ac:dyDescent="0.3">
      <c r="AE8" s="28"/>
      <c r="AI8" s="28"/>
      <c r="AM8" s="28"/>
      <c r="AQ8" s="28"/>
      <c r="AU8" s="28"/>
      <c r="AY8" s="28"/>
      <c r="BC8" s="28"/>
      <c r="BG8" s="28"/>
      <c r="BK8" s="28"/>
      <c r="BO8" s="28"/>
      <c r="BS8" s="28"/>
      <c r="BW8" s="28"/>
      <c r="CA8" s="28"/>
    </row>
    <row r="9" spans="1:82" ht="4.95" customHeight="1" thickBot="1" x14ac:dyDescent="0.35">
      <c r="AE9" s="28"/>
      <c r="AI9" s="28"/>
      <c r="AM9" s="28"/>
      <c r="AQ9" s="28"/>
      <c r="AU9" s="28"/>
      <c r="AY9" s="28"/>
      <c r="BC9" s="28"/>
      <c r="BG9" s="28"/>
      <c r="BK9" s="28"/>
      <c r="BO9" s="28"/>
      <c r="BS9" s="28"/>
      <c r="BW9" s="28"/>
      <c r="CA9" s="28"/>
    </row>
    <row r="10" spans="1:82" ht="15" thickBot="1" x14ac:dyDescent="0.35">
      <c r="B10" s="72" t="s">
        <v>695</v>
      </c>
      <c r="C10" s="72" t="s">
        <v>679</v>
      </c>
      <c r="D10" s="72" t="s">
        <v>696</v>
      </c>
      <c r="E10" s="72" t="s">
        <v>697</v>
      </c>
      <c r="F10" s="72" t="s">
        <v>17</v>
      </c>
      <c r="G10" s="70" t="s">
        <v>690</v>
      </c>
      <c r="H10" s="70" t="s">
        <v>698</v>
      </c>
      <c r="I10" s="72" t="s">
        <v>20</v>
      </c>
      <c r="J10" s="72" t="s">
        <v>699</v>
      </c>
      <c r="K10" s="72" t="s">
        <v>700</v>
      </c>
      <c r="M10" s="83" t="s">
        <v>701</v>
      </c>
      <c r="N10" s="87" t="s">
        <v>702</v>
      </c>
      <c r="AD10" s="173" t="s">
        <v>703</v>
      </c>
      <c r="AE10" s="170" t="s">
        <v>698</v>
      </c>
      <c r="AF10" s="70" t="s">
        <v>20</v>
      </c>
      <c r="AG10" s="70" t="s">
        <v>699</v>
      </c>
      <c r="AH10" s="70" t="s">
        <v>700</v>
      </c>
      <c r="AI10" s="173" t="s">
        <v>704</v>
      </c>
      <c r="AJ10" s="174" t="s">
        <v>705</v>
      </c>
      <c r="AK10" s="174" t="s">
        <v>706</v>
      </c>
      <c r="AL10" s="175" t="s">
        <v>707</v>
      </c>
      <c r="AM10" s="173" t="s">
        <v>708</v>
      </c>
      <c r="AN10" s="174" t="s">
        <v>709</v>
      </c>
      <c r="AO10" s="174" t="s">
        <v>710</v>
      </c>
      <c r="AP10" s="175" t="s">
        <v>711</v>
      </c>
      <c r="AQ10" s="173" t="s">
        <v>712</v>
      </c>
      <c r="AR10" s="174" t="s">
        <v>713</v>
      </c>
      <c r="AS10" s="174" t="s">
        <v>714</v>
      </c>
      <c r="AT10" s="175" t="s">
        <v>715</v>
      </c>
      <c r="AU10" s="173" t="s">
        <v>716</v>
      </c>
      <c r="AV10" s="174" t="s">
        <v>717</v>
      </c>
      <c r="AW10" s="174" t="s">
        <v>718</v>
      </c>
      <c r="AX10" s="175" t="s">
        <v>719</v>
      </c>
      <c r="AY10" s="173" t="s">
        <v>720</v>
      </c>
      <c r="AZ10" s="174" t="s">
        <v>721</v>
      </c>
      <c r="BA10" s="174" t="s">
        <v>722</v>
      </c>
      <c r="BB10" s="175" t="s">
        <v>723</v>
      </c>
      <c r="BC10" s="173" t="s">
        <v>724</v>
      </c>
      <c r="BD10" s="174" t="s">
        <v>725</v>
      </c>
      <c r="BE10" s="174" t="s">
        <v>726</v>
      </c>
      <c r="BF10" s="175" t="s">
        <v>727</v>
      </c>
      <c r="BG10" s="173" t="s">
        <v>728</v>
      </c>
      <c r="BH10" s="174" t="s">
        <v>729</v>
      </c>
      <c r="BI10" s="174" t="s">
        <v>730</v>
      </c>
      <c r="BJ10" s="175" t="s">
        <v>731</v>
      </c>
      <c r="BK10" s="173" t="s">
        <v>732</v>
      </c>
      <c r="BL10" s="174" t="s">
        <v>733</v>
      </c>
      <c r="BM10" s="174" t="s">
        <v>734</v>
      </c>
      <c r="BN10" s="175" t="s">
        <v>735</v>
      </c>
      <c r="BO10" s="173" t="s">
        <v>736</v>
      </c>
      <c r="BP10" s="174" t="s">
        <v>737</v>
      </c>
      <c r="BQ10" s="174" t="s">
        <v>738</v>
      </c>
      <c r="BR10" s="175" t="s">
        <v>739</v>
      </c>
      <c r="BS10" s="173" t="s">
        <v>740</v>
      </c>
      <c r="BT10" s="174" t="s">
        <v>741</v>
      </c>
      <c r="BU10" s="174" t="s">
        <v>742</v>
      </c>
      <c r="BV10" s="175" t="s">
        <v>743</v>
      </c>
      <c r="BW10" s="173" t="s">
        <v>744</v>
      </c>
      <c r="BX10" s="174" t="s">
        <v>745</v>
      </c>
      <c r="BY10" s="174" t="s">
        <v>746</v>
      </c>
      <c r="BZ10" s="175" t="s">
        <v>747</v>
      </c>
      <c r="CA10" s="173" t="s">
        <v>748</v>
      </c>
      <c r="CB10" s="174" t="s">
        <v>749</v>
      </c>
      <c r="CC10" s="174" t="s">
        <v>750</v>
      </c>
      <c r="CD10" s="174" t="s">
        <v>751</v>
      </c>
    </row>
    <row r="11" spans="1:82" x14ac:dyDescent="0.3">
      <c r="B11" s="52" t="s">
        <v>752</v>
      </c>
      <c r="C11" s="52" t="str">
        <f t="shared" ref="C11:C62" si="0">$A$3</f>
        <v>CPU_Conserva</v>
      </c>
      <c r="D11" s="277">
        <f t="shared" ref="D11:D62" si="1">$B$6</f>
        <v>4.2560000000000002</v>
      </c>
      <c r="E11" s="277">
        <f t="shared" ref="E11:E62" si="2">$B$7</f>
        <v>0</v>
      </c>
      <c r="F11" s="37"/>
      <c r="G11" s="38"/>
      <c r="H11" s="91"/>
      <c r="I11" s="40"/>
      <c r="J11" s="40">
        <f>IFERROR(K11/$B$6,0)</f>
        <v>267.00273410799724</v>
      </c>
      <c r="K11" s="40">
        <f>SUM(K12:K23)</f>
        <v>1136.3636363636363</v>
      </c>
      <c r="M11" s="294" t="s">
        <v>753</v>
      </c>
      <c r="N11" s="295" t="s">
        <v>754</v>
      </c>
      <c r="O11" s="296" t="s">
        <v>755</v>
      </c>
      <c r="AD11" s="144" t="str">
        <f>$B$3</f>
        <v>Conserva</v>
      </c>
      <c r="AE11" s="176"/>
      <c r="AF11" s="177"/>
      <c r="AG11" s="177">
        <f>IFERROR(AH11/AF$3,0)</f>
        <v>0</v>
      </c>
      <c r="AH11" s="178">
        <f>SUM(AH12:AH23)</f>
        <v>0</v>
      </c>
      <c r="AI11" s="176"/>
      <c r="AJ11" s="177"/>
      <c r="AK11" s="177">
        <f>IFERROR(AL11/AJ$3,0)</f>
        <v>0</v>
      </c>
      <c r="AL11" s="178">
        <f>SUM(AL12:AL23)</f>
        <v>0</v>
      </c>
      <c r="AM11" s="176"/>
      <c r="AN11" s="177"/>
      <c r="AO11" s="177">
        <f>IFERROR(AP11/AN$3,0)</f>
        <v>0</v>
      </c>
      <c r="AP11" s="178">
        <f>SUM(AP12:AP23)</f>
        <v>0</v>
      </c>
      <c r="AQ11" s="176"/>
      <c r="AR11" s="177"/>
      <c r="AS11" s="177">
        <f>IFERROR(AT11/AR$3,0)</f>
        <v>0</v>
      </c>
      <c r="AT11" s="178">
        <f>SUM(AT12:AT23)</f>
        <v>0</v>
      </c>
      <c r="AU11" s="176"/>
      <c r="AV11" s="177"/>
      <c r="AW11" s="177">
        <f>IFERROR(AX11/AV$3,0)</f>
        <v>0</v>
      </c>
      <c r="AX11" s="178">
        <f>SUM(AX12:AX23)</f>
        <v>0</v>
      </c>
      <c r="AY11" s="176"/>
      <c r="AZ11" s="177"/>
      <c r="BA11" s="177">
        <f>IFERROR(BB11/AZ$3,0)</f>
        <v>0</v>
      </c>
      <c r="BB11" s="178">
        <f>SUM(BB12:BB23)</f>
        <v>0</v>
      </c>
      <c r="BC11" s="176"/>
      <c r="BD11" s="177"/>
      <c r="BE11" s="177">
        <f>IFERROR(BF11/BD$3,0)</f>
        <v>0</v>
      </c>
      <c r="BF11" s="178">
        <f>SUM(BF12:BF23)</f>
        <v>0</v>
      </c>
      <c r="BG11" s="176"/>
      <c r="BH11" s="177"/>
      <c r="BI11" s="177">
        <f>IFERROR(BJ11/BH$3,0)</f>
        <v>0</v>
      </c>
      <c r="BJ11" s="178">
        <f>SUM(BJ12:BJ23)</f>
        <v>0</v>
      </c>
      <c r="BK11" s="176"/>
      <c r="BL11" s="177"/>
      <c r="BM11" s="177">
        <f>IFERROR(BN11/BL$3,0)</f>
        <v>0</v>
      </c>
      <c r="BN11" s="178">
        <f>SUM(BN12:BN23)</f>
        <v>0</v>
      </c>
      <c r="BO11" s="176"/>
      <c r="BP11" s="177"/>
      <c r="BQ11" s="177">
        <f>IFERROR(BR11/BP$3,0)</f>
        <v>0</v>
      </c>
      <c r="BR11" s="178">
        <f>SUM(BR12:BR23)</f>
        <v>0</v>
      </c>
      <c r="BS11" s="176"/>
      <c r="BT11" s="177"/>
      <c r="BU11" s="177">
        <f>IFERROR(BV11/BT$3,0)</f>
        <v>0</v>
      </c>
      <c r="BV11" s="178">
        <f>SUM(BV12:BV23)</f>
        <v>0</v>
      </c>
      <c r="BW11" s="176"/>
      <c r="BX11" s="177"/>
      <c r="BY11" s="177">
        <f>IFERROR(BZ11/BX$3,0)</f>
        <v>0</v>
      </c>
      <c r="BZ11" s="178">
        <f>SUM(BZ12:BZ23)</f>
        <v>0</v>
      </c>
      <c r="CA11" s="176"/>
      <c r="CB11" s="177"/>
      <c r="CC11" s="177">
        <f>IFERROR(CD11/CB$3,0)</f>
        <v>0</v>
      </c>
      <c r="CD11" s="178">
        <f>SUM(CD12:CD23)</f>
        <v>0</v>
      </c>
    </row>
    <row r="12" spans="1:82" x14ac:dyDescent="0.3">
      <c r="B12" s="53"/>
      <c r="C12" s="53" t="str">
        <f t="shared" si="0"/>
        <v>CPU_Conserva</v>
      </c>
      <c r="D12" s="278">
        <f t="shared" si="1"/>
        <v>4.2560000000000002</v>
      </c>
      <c r="E12" s="278">
        <f t="shared" si="2"/>
        <v>0</v>
      </c>
      <c r="F12" s="46" t="s">
        <v>861</v>
      </c>
      <c r="G12" s="28" t="str">
        <f>IFERROR(VLOOKUP(F12,Tabela7[[RECURSO]:[CUSTO]],2,FALSE),"")</f>
        <v>DIA</v>
      </c>
      <c r="H12" s="92">
        <v>2</v>
      </c>
      <c r="I12" s="90">
        <f>30/22</f>
        <v>1.3636363636363635</v>
      </c>
      <c r="J12" s="45">
        <f>IFERROR(VLOOKUP(F12,Tabela7[[RECURSO]:[CUSTO]],3,FALSE),0)</f>
        <v>416.66666666666669</v>
      </c>
      <c r="K12" s="45">
        <f>I12*J12*CPU_2053[[#This Row],[Nº]]</f>
        <v>1136.3636363636363</v>
      </c>
      <c r="M12" s="31">
        <f>12*8</f>
        <v>96</v>
      </c>
      <c r="N12" s="297">
        <v>0.8</v>
      </c>
      <c r="O12" s="60">
        <f>IFERROR($B$6/(H12*I12*N12),0)</f>
        <v>1.950666666666667</v>
      </c>
      <c r="AD12" s="144" t="str">
        <f t="shared" ref="AD12:AD62" si="3">$B$3</f>
        <v>Conserva</v>
      </c>
      <c r="AE12" s="179"/>
      <c r="AF12" s="180">
        <f>AJ12+AN12+AR12+AV12+AZ12+BD12+BH12+BL12+BP12+BT12+BX12+CB12</f>
        <v>0</v>
      </c>
      <c r="AG12" s="180">
        <f>IFERROR(AH12/AF12,0)</f>
        <v>0</v>
      </c>
      <c r="AH12" s="181">
        <f>AL12+AP12+AT12+AX12+BB12+BF12+BJ12+BN12+BR12+BV12+BZ12+CD12</f>
        <v>0</v>
      </c>
      <c r="AI12" s="182"/>
      <c r="AJ12" s="90"/>
      <c r="AK12" s="90"/>
      <c r="AL12" s="183">
        <f>AJ12*AK12</f>
        <v>0</v>
      </c>
      <c r="AM12" s="182"/>
      <c r="AN12" s="90"/>
      <c r="AO12" s="90"/>
      <c r="AP12" s="183">
        <f t="shared" ref="AP12:AP23" si="4">AN12*AO12</f>
        <v>0</v>
      </c>
      <c r="AQ12" s="182"/>
      <c r="AR12" s="90"/>
      <c r="AS12" s="90"/>
      <c r="AT12" s="183">
        <f t="shared" ref="AT12:AT23" si="5">AR12*AS12</f>
        <v>0</v>
      </c>
      <c r="AU12" s="182"/>
      <c r="AV12" s="90"/>
      <c r="AW12" s="90"/>
      <c r="AX12" s="183">
        <f t="shared" ref="AX12:AX23" si="6">AV12*AW12</f>
        <v>0</v>
      </c>
      <c r="AY12" s="182"/>
      <c r="AZ12" s="90"/>
      <c r="BA12" s="90"/>
      <c r="BB12" s="183">
        <f t="shared" ref="BB12:BB23" si="7">AZ12*BA12</f>
        <v>0</v>
      </c>
      <c r="BC12" s="182"/>
      <c r="BD12" s="90"/>
      <c r="BE12" s="90"/>
      <c r="BF12" s="183">
        <f t="shared" ref="BF12:BF23" si="8">BD12*BE12</f>
        <v>0</v>
      </c>
      <c r="BG12" s="182"/>
      <c r="BH12" s="90"/>
      <c r="BI12" s="90"/>
      <c r="BJ12" s="183">
        <f t="shared" ref="BJ12:BJ23" si="9">BH12*BI12</f>
        <v>0</v>
      </c>
      <c r="BK12" s="182"/>
      <c r="BL12" s="90"/>
      <c r="BM12" s="90"/>
      <c r="BN12" s="183">
        <f t="shared" ref="BN12:BN23" si="10">BL12*BM12</f>
        <v>0</v>
      </c>
      <c r="BO12" s="182"/>
      <c r="BP12" s="90"/>
      <c r="BQ12" s="90"/>
      <c r="BR12" s="183">
        <f t="shared" ref="BR12:BR23" si="11">BP12*BQ12</f>
        <v>0</v>
      </c>
      <c r="BS12" s="182"/>
      <c r="BT12" s="90"/>
      <c r="BU12" s="90"/>
      <c r="BV12" s="183">
        <f t="shared" ref="BV12:BV23" si="12">BT12*BU12</f>
        <v>0</v>
      </c>
      <c r="BW12" s="182"/>
      <c r="BX12" s="90"/>
      <c r="BY12" s="90"/>
      <c r="BZ12" s="183">
        <f t="shared" ref="BZ12:BZ23" si="13">BX12*BY12</f>
        <v>0</v>
      </c>
      <c r="CA12" s="182"/>
      <c r="CB12" s="90"/>
      <c r="CC12" s="90"/>
      <c r="CD12" s="183">
        <f t="shared" ref="CD12:CD23" si="14">CB12*CC12</f>
        <v>0</v>
      </c>
    </row>
    <row r="13" spans="1:82" x14ac:dyDescent="0.3">
      <c r="B13" s="53"/>
      <c r="C13" s="53" t="str">
        <f t="shared" si="0"/>
        <v>CPU_Conserva</v>
      </c>
      <c r="D13" s="278">
        <f t="shared" si="1"/>
        <v>4.2560000000000002</v>
      </c>
      <c r="E13" s="278">
        <f t="shared" si="2"/>
        <v>0</v>
      </c>
      <c r="F13" s="1" t="s">
        <v>862</v>
      </c>
      <c r="G13" s="28" t="str">
        <f>IFERROR(VLOOKUP(F13,Tabela7[[RECURSO]:[CUSTO]],2,FALSE),"")</f>
        <v>H</v>
      </c>
      <c r="H13" s="92"/>
      <c r="I13" s="90"/>
      <c r="J13" s="45">
        <f>IFERROR(VLOOKUP(F13,Tabela7[[RECURSO]:[CUSTO]],3,FALSE),0)</f>
        <v>0</v>
      </c>
      <c r="K13" s="45">
        <f>I13*J13*CPU_2053[[#This Row],[Nº]]</f>
        <v>0</v>
      </c>
      <c r="M13" s="31"/>
      <c r="N13" s="297"/>
      <c r="O13" s="60">
        <f t="shared" ref="O13:O15" si="15">IFERROR($B$6/(H13*I13*N13),0)</f>
        <v>0</v>
      </c>
      <c r="AD13" s="144" t="str">
        <f t="shared" si="3"/>
        <v>Conserva</v>
      </c>
      <c r="AE13" s="179"/>
      <c r="AF13" s="180">
        <f t="shared" ref="AF13:AF23" si="16">AJ13+AN13+AR13+AV13+AZ13+BD13+BH13+BL13+BP13+BT13+BX13+CB13</f>
        <v>0</v>
      </c>
      <c r="AG13" s="180">
        <f t="shared" ref="AG13:AG62" si="17">IFERROR(AH13/AF13,0)</f>
        <v>0</v>
      </c>
      <c r="AH13" s="181">
        <f t="shared" ref="AH13:AH23" si="18">AL13+AP13+AT13+AX13+BB13+BF13+BJ13+BN13+BR13+BV13+BZ13+CD13</f>
        <v>0</v>
      </c>
      <c r="AI13" s="182"/>
      <c r="AJ13" s="90"/>
      <c r="AK13" s="90"/>
      <c r="AL13" s="183">
        <f t="shared" ref="AL13:AL23" si="19">AJ13*AK13</f>
        <v>0</v>
      </c>
      <c r="AM13" s="182"/>
      <c r="AN13" s="90"/>
      <c r="AO13" s="90"/>
      <c r="AP13" s="183">
        <f t="shared" si="4"/>
        <v>0</v>
      </c>
      <c r="AQ13" s="182"/>
      <c r="AR13" s="90"/>
      <c r="AS13" s="90"/>
      <c r="AT13" s="183">
        <f t="shared" si="5"/>
        <v>0</v>
      </c>
      <c r="AU13" s="182"/>
      <c r="AV13" s="90"/>
      <c r="AW13" s="90"/>
      <c r="AX13" s="183">
        <f t="shared" si="6"/>
        <v>0</v>
      </c>
      <c r="AY13" s="182"/>
      <c r="AZ13" s="90"/>
      <c r="BA13" s="90"/>
      <c r="BB13" s="183">
        <f t="shared" si="7"/>
        <v>0</v>
      </c>
      <c r="BC13" s="182"/>
      <c r="BD13" s="90"/>
      <c r="BE13" s="90"/>
      <c r="BF13" s="183">
        <f t="shared" si="8"/>
        <v>0</v>
      </c>
      <c r="BG13" s="182"/>
      <c r="BH13" s="90"/>
      <c r="BI13" s="90"/>
      <c r="BJ13" s="183">
        <f t="shared" si="9"/>
        <v>0</v>
      </c>
      <c r="BK13" s="182"/>
      <c r="BL13" s="90"/>
      <c r="BM13" s="90"/>
      <c r="BN13" s="183">
        <f t="shared" si="10"/>
        <v>0</v>
      </c>
      <c r="BO13" s="182"/>
      <c r="BP13" s="90"/>
      <c r="BQ13" s="90"/>
      <c r="BR13" s="183">
        <f t="shared" si="11"/>
        <v>0</v>
      </c>
      <c r="BS13" s="182"/>
      <c r="BT13" s="90"/>
      <c r="BU13" s="90"/>
      <c r="BV13" s="183">
        <f t="shared" si="12"/>
        <v>0</v>
      </c>
      <c r="BW13" s="182"/>
      <c r="BX13" s="90"/>
      <c r="BY13" s="90"/>
      <c r="BZ13" s="183">
        <f t="shared" si="13"/>
        <v>0</v>
      </c>
      <c r="CA13" s="182"/>
      <c r="CB13" s="90"/>
      <c r="CC13" s="90"/>
      <c r="CD13" s="183">
        <f t="shared" si="14"/>
        <v>0</v>
      </c>
    </row>
    <row r="14" spans="1:82" x14ac:dyDescent="0.3">
      <c r="B14" s="53"/>
      <c r="C14" s="53" t="str">
        <f t="shared" si="0"/>
        <v>CPU_Conserva</v>
      </c>
      <c r="D14" s="278">
        <f t="shared" si="1"/>
        <v>4.2560000000000002</v>
      </c>
      <c r="E14" s="278">
        <f t="shared" si="2"/>
        <v>0</v>
      </c>
      <c r="F14" s="1" t="s">
        <v>863</v>
      </c>
      <c r="G14" s="28" t="str">
        <f>IFERROR(VLOOKUP(F14,Tabela7[[RECURSO]:[CUSTO]],2,FALSE),"")</f>
        <v>DIA</v>
      </c>
      <c r="H14" s="92">
        <v>0</v>
      </c>
      <c r="I14" s="90">
        <f>200/22</f>
        <v>9.0909090909090917</v>
      </c>
      <c r="J14" s="45">
        <f>IFERROR(VLOOKUP(F14,Tabela7[[RECURSO]:[CUSTO]],3,FALSE),0)</f>
        <v>16.666666666666668</v>
      </c>
      <c r="K14" s="45">
        <f>I14*J14*CPU_2053[[#This Row],[Nº]]</f>
        <v>0</v>
      </c>
      <c r="M14" s="31">
        <f>1*6</f>
        <v>6</v>
      </c>
      <c r="N14" s="297">
        <v>0.8</v>
      </c>
      <c r="O14" s="60">
        <f t="shared" si="15"/>
        <v>0</v>
      </c>
      <c r="AD14" s="144" t="str">
        <f t="shared" si="3"/>
        <v>Conserva</v>
      </c>
      <c r="AE14" s="179"/>
      <c r="AF14" s="180">
        <f t="shared" si="16"/>
        <v>0</v>
      </c>
      <c r="AG14" s="180">
        <f t="shared" si="17"/>
        <v>0</v>
      </c>
      <c r="AH14" s="181">
        <f t="shared" si="18"/>
        <v>0</v>
      </c>
      <c r="AI14" s="182"/>
      <c r="AJ14" s="90"/>
      <c r="AK14" s="90"/>
      <c r="AL14" s="183">
        <f t="shared" si="19"/>
        <v>0</v>
      </c>
      <c r="AM14" s="182"/>
      <c r="AN14" s="90"/>
      <c r="AO14" s="90"/>
      <c r="AP14" s="183">
        <f t="shared" si="4"/>
        <v>0</v>
      </c>
      <c r="AQ14" s="182"/>
      <c r="AR14" s="90"/>
      <c r="AS14" s="90"/>
      <c r="AT14" s="183">
        <f t="shared" si="5"/>
        <v>0</v>
      </c>
      <c r="AU14" s="182"/>
      <c r="AV14" s="90"/>
      <c r="AW14" s="90"/>
      <c r="AX14" s="183">
        <f t="shared" si="6"/>
        <v>0</v>
      </c>
      <c r="AY14" s="182"/>
      <c r="AZ14" s="90"/>
      <c r="BA14" s="90"/>
      <c r="BB14" s="183">
        <f t="shared" si="7"/>
        <v>0</v>
      </c>
      <c r="BC14" s="182"/>
      <c r="BD14" s="90"/>
      <c r="BE14" s="90"/>
      <c r="BF14" s="183">
        <f t="shared" si="8"/>
        <v>0</v>
      </c>
      <c r="BG14" s="182"/>
      <c r="BH14" s="90"/>
      <c r="BI14" s="90"/>
      <c r="BJ14" s="183">
        <f t="shared" si="9"/>
        <v>0</v>
      </c>
      <c r="BK14" s="182"/>
      <c r="BL14" s="90"/>
      <c r="BM14" s="90"/>
      <c r="BN14" s="183">
        <f t="shared" si="10"/>
        <v>0</v>
      </c>
      <c r="BO14" s="182"/>
      <c r="BP14" s="90"/>
      <c r="BQ14" s="90"/>
      <c r="BR14" s="183">
        <f t="shared" si="11"/>
        <v>0</v>
      </c>
      <c r="BS14" s="182"/>
      <c r="BT14" s="90"/>
      <c r="BU14" s="90"/>
      <c r="BV14" s="183">
        <f t="shared" si="12"/>
        <v>0</v>
      </c>
      <c r="BW14" s="182"/>
      <c r="BX14" s="90"/>
      <c r="BY14" s="90"/>
      <c r="BZ14" s="183">
        <f t="shared" si="13"/>
        <v>0</v>
      </c>
      <c r="CA14" s="182"/>
      <c r="CB14" s="90"/>
      <c r="CC14" s="90"/>
      <c r="CD14" s="183">
        <f t="shared" si="14"/>
        <v>0</v>
      </c>
    </row>
    <row r="15" spans="1:82" x14ac:dyDescent="0.3">
      <c r="B15" s="153"/>
      <c r="C15" s="153" t="str">
        <f t="shared" si="0"/>
        <v>CPU_Conserva</v>
      </c>
      <c r="D15" s="279">
        <f t="shared" si="1"/>
        <v>4.2560000000000002</v>
      </c>
      <c r="E15" s="279">
        <f t="shared" si="2"/>
        <v>0</v>
      </c>
      <c r="F15" s="1" t="s">
        <v>757</v>
      </c>
      <c r="G15" s="28" t="str">
        <f>IFERROR(VLOOKUP(F15,Tabela7[[RECURSO]:[CUSTO]],2,FALSE),"")</f>
        <v>DIA</v>
      </c>
      <c r="H15" s="92"/>
      <c r="I15" s="90">
        <f>30/22</f>
        <v>1.3636363636363635</v>
      </c>
      <c r="J15" s="45">
        <f>IFERROR(VLOOKUP(F15,Tabela7[[RECURSO]:[CUSTO]],3,FALSE),0)</f>
        <v>500</v>
      </c>
      <c r="K15" s="45">
        <f>I15*J15*CPU_2053[[#This Row],[Nº]]</f>
        <v>0</v>
      </c>
      <c r="M15" s="31">
        <f>120/6</f>
        <v>20</v>
      </c>
      <c r="N15" s="297">
        <v>1</v>
      </c>
      <c r="O15" s="60">
        <f t="shared" si="15"/>
        <v>0</v>
      </c>
      <c r="AD15" s="144" t="str">
        <f t="shared" si="3"/>
        <v>Conserva</v>
      </c>
      <c r="AE15" s="179"/>
      <c r="AF15" s="180">
        <f t="shared" si="16"/>
        <v>0</v>
      </c>
      <c r="AG15" s="180">
        <f t="shared" si="17"/>
        <v>0</v>
      </c>
      <c r="AH15" s="181">
        <f t="shared" si="18"/>
        <v>0</v>
      </c>
      <c r="AI15" s="182"/>
      <c r="AJ15" s="90"/>
      <c r="AK15" s="90"/>
      <c r="AL15" s="183">
        <f t="shared" si="19"/>
        <v>0</v>
      </c>
      <c r="AM15" s="182"/>
      <c r="AN15" s="90"/>
      <c r="AO15" s="90"/>
      <c r="AP15" s="183">
        <f t="shared" si="4"/>
        <v>0</v>
      </c>
      <c r="AQ15" s="182"/>
      <c r="AR15" s="90"/>
      <c r="AS15" s="90"/>
      <c r="AT15" s="183">
        <f t="shared" si="5"/>
        <v>0</v>
      </c>
      <c r="AU15" s="182"/>
      <c r="AV15" s="90"/>
      <c r="AW15" s="90"/>
      <c r="AX15" s="183">
        <f t="shared" si="6"/>
        <v>0</v>
      </c>
      <c r="AY15" s="182"/>
      <c r="AZ15" s="90"/>
      <c r="BA15" s="90"/>
      <c r="BB15" s="183">
        <f t="shared" si="7"/>
        <v>0</v>
      </c>
      <c r="BC15" s="182"/>
      <c r="BD15" s="90"/>
      <c r="BE15" s="90"/>
      <c r="BF15" s="183">
        <f t="shared" si="8"/>
        <v>0</v>
      </c>
      <c r="BG15" s="182"/>
      <c r="BH15" s="90"/>
      <c r="BI15" s="90"/>
      <c r="BJ15" s="183">
        <f t="shared" si="9"/>
        <v>0</v>
      </c>
      <c r="BK15" s="182"/>
      <c r="BL15" s="90"/>
      <c r="BM15" s="90"/>
      <c r="BN15" s="183">
        <f t="shared" si="10"/>
        <v>0</v>
      </c>
      <c r="BO15" s="182"/>
      <c r="BP15" s="90"/>
      <c r="BQ15" s="90"/>
      <c r="BR15" s="183">
        <f t="shared" si="11"/>
        <v>0</v>
      </c>
      <c r="BS15" s="182"/>
      <c r="BT15" s="90"/>
      <c r="BU15" s="90"/>
      <c r="BV15" s="183">
        <f t="shared" si="12"/>
        <v>0</v>
      </c>
      <c r="BW15" s="182"/>
      <c r="BX15" s="90"/>
      <c r="BY15" s="90"/>
      <c r="BZ15" s="183">
        <f t="shared" si="13"/>
        <v>0</v>
      </c>
      <c r="CA15" s="182"/>
      <c r="CB15" s="90"/>
      <c r="CC15" s="90"/>
      <c r="CD15" s="183">
        <f t="shared" si="14"/>
        <v>0</v>
      </c>
    </row>
    <row r="16" spans="1:82" x14ac:dyDescent="0.3">
      <c r="B16" s="53"/>
      <c r="C16" s="53" t="str">
        <f t="shared" si="0"/>
        <v>CPU_Conserva</v>
      </c>
      <c r="D16" s="278">
        <f t="shared" si="1"/>
        <v>4.2560000000000002</v>
      </c>
      <c r="E16" s="278">
        <f t="shared" si="2"/>
        <v>0</v>
      </c>
      <c r="F16" s="1"/>
      <c r="G16" s="28" t="str">
        <f>IFERROR(VLOOKUP(F16,Tabela7[[RECURSO]:[CUSTO]],2,FALSE),"")</f>
        <v/>
      </c>
      <c r="H16" s="92"/>
      <c r="I16" s="90"/>
      <c r="J16" s="45">
        <f>IFERROR(VLOOKUP(F16,Tabela7[[RECURSO]:[CUSTO]],3,FALSE),0)</f>
        <v>0</v>
      </c>
      <c r="K16" s="45">
        <f>I16*J16*CPU_2053[[#This Row],[Nº]]</f>
        <v>0</v>
      </c>
      <c r="M16" s="31"/>
      <c r="N16" s="297"/>
      <c r="O16" s="60">
        <f t="shared" ref="O16:O23" si="20">IFERROR($B$6/(H16*I16),0)</f>
        <v>0</v>
      </c>
      <c r="AD16" s="144" t="str">
        <f t="shared" si="3"/>
        <v>Conserva</v>
      </c>
      <c r="AE16" s="179"/>
      <c r="AF16" s="180">
        <f t="shared" si="16"/>
        <v>0</v>
      </c>
      <c r="AG16" s="180">
        <f t="shared" si="17"/>
        <v>0</v>
      </c>
      <c r="AH16" s="181">
        <f t="shared" si="18"/>
        <v>0</v>
      </c>
      <c r="AI16" s="182"/>
      <c r="AJ16" s="90"/>
      <c r="AK16" s="90"/>
      <c r="AL16" s="183">
        <f t="shared" si="19"/>
        <v>0</v>
      </c>
      <c r="AM16" s="182"/>
      <c r="AN16" s="90"/>
      <c r="AO16" s="90"/>
      <c r="AP16" s="183">
        <f t="shared" si="4"/>
        <v>0</v>
      </c>
      <c r="AQ16" s="182"/>
      <c r="AR16" s="90"/>
      <c r="AS16" s="90"/>
      <c r="AT16" s="183">
        <f t="shared" si="5"/>
        <v>0</v>
      </c>
      <c r="AU16" s="182"/>
      <c r="AV16" s="90"/>
      <c r="AW16" s="90"/>
      <c r="AX16" s="183">
        <f t="shared" si="6"/>
        <v>0</v>
      </c>
      <c r="AY16" s="182"/>
      <c r="AZ16" s="90"/>
      <c r="BA16" s="90"/>
      <c r="BB16" s="183">
        <f t="shared" si="7"/>
        <v>0</v>
      </c>
      <c r="BC16" s="182"/>
      <c r="BD16" s="90"/>
      <c r="BE16" s="90"/>
      <c r="BF16" s="183">
        <f t="shared" si="8"/>
        <v>0</v>
      </c>
      <c r="BG16" s="182"/>
      <c r="BH16" s="90"/>
      <c r="BI16" s="90"/>
      <c r="BJ16" s="183">
        <f t="shared" si="9"/>
        <v>0</v>
      </c>
      <c r="BK16" s="182"/>
      <c r="BL16" s="90"/>
      <c r="BM16" s="90"/>
      <c r="BN16" s="183">
        <f t="shared" si="10"/>
        <v>0</v>
      </c>
      <c r="BO16" s="182"/>
      <c r="BP16" s="90"/>
      <c r="BQ16" s="90"/>
      <c r="BR16" s="183">
        <f t="shared" si="11"/>
        <v>0</v>
      </c>
      <c r="BS16" s="182"/>
      <c r="BT16" s="90"/>
      <c r="BU16" s="90"/>
      <c r="BV16" s="183">
        <f t="shared" si="12"/>
        <v>0</v>
      </c>
      <c r="BW16" s="182"/>
      <c r="BX16" s="90"/>
      <c r="BY16" s="90"/>
      <c r="BZ16" s="183">
        <f t="shared" si="13"/>
        <v>0</v>
      </c>
      <c r="CA16" s="182"/>
      <c r="CB16" s="90"/>
      <c r="CC16" s="90"/>
      <c r="CD16" s="183">
        <f t="shared" si="14"/>
        <v>0</v>
      </c>
    </row>
    <row r="17" spans="2:82" x14ac:dyDescent="0.3">
      <c r="B17" s="53"/>
      <c r="C17" s="53" t="str">
        <f t="shared" si="0"/>
        <v>CPU_Conserva</v>
      </c>
      <c r="D17" s="278">
        <f t="shared" si="1"/>
        <v>4.2560000000000002</v>
      </c>
      <c r="E17" s="278">
        <f t="shared" si="2"/>
        <v>0</v>
      </c>
      <c r="F17" s="1"/>
      <c r="G17" s="28" t="str">
        <f>IFERROR(VLOOKUP(F17,Tabela7[[RECURSO]:[CUSTO]],2,FALSE),"")</f>
        <v/>
      </c>
      <c r="H17" s="92"/>
      <c r="I17" s="90"/>
      <c r="J17" s="45">
        <f>IFERROR(VLOOKUP(F17,Tabela7[[RECURSO]:[CUSTO]],3,FALSE),0)</f>
        <v>0</v>
      </c>
      <c r="K17" s="45">
        <f>I17*J17*CPU_2053[[#This Row],[Nº]]</f>
        <v>0</v>
      </c>
      <c r="M17" s="31"/>
      <c r="N17" s="297"/>
      <c r="O17" s="60">
        <f t="shared" si="20"/>
        <v>0</v>
      </c>
      <c r="AD17" s="144" t="str">
        <f t="shared" si="3"/>
        <v>Conserva</v>
      </c>
      <c r="AE17" s="179"/>
      <c r="AF17" s="180">
        <f t="shared" si="16"/>
        <v>0</v>
      </c>
      <c r="AG17" s="180">
        <f t="shared" si="17"/>
        <v>0</v>
      </c>
      <c r="AH17" s="181">
        <f t="shared" si="18"/>
        <v>0</v>
      </c>
      <c r="AI17" s="182"/>
      <c r="AJ17" s="90"/>
      <c r="AK17" s="90"/>
      <c r="AL17" s="183">
        <f t="shared" si="19"/>
        <v>0</v>
      </c>
      <c r="AM17" s="182"/>
      <c r="AN17" s="90"/>
      <c r="AO17" s="90"/>
      <c r="AP17" s="183">
        <f t="shared" si="4"/>
        <v>0</v>
      </c>
      <c r="AQ17" s="182"/>
      <c r="AR17" s="90"/>
      <c r="AS17" s="90"/>
      <c r="AT17" s="183">
        <f t="shared" si="5"/>
        <v>0</v>
      </c>
      <c r="AU17" s="182"/>
      <c r="AV17" s="90"/>
      <c r="AW17" s="90"/>
      <c r="AX17" s="183">
        <f t="shared" si="6"/>
        <v>0</v>
      </c>
      <c r="AY17" s="182"/>
      <c r="AZ17" s="90"/>
      <c r="BA17" s="90"/>
      <c r="BB17" s="183">
        <f t="shared" si="7"/>
        <v>0</v>
      </c>
      <c r="BC17" s="182"/>
      <c r="BD17" s="90"/>
      <c r="BE17" s="90"/>
      <c r="BF17" s="183">
        <f t="shared" si="8"/>
        <v>0</v>
      </c>
      <c r="BG17" s="182"/>
      <c r="BH17" s="90"/>
      <c r="BI17" s="90"/>
      <c r="BJ17" s="183">
        <f t="shared" si="9"/>
        <v>0</v>
      </c>
      <c r="BK17" s="182"/>
      <c r="BL17" s="90"/>
      <c r="BM17" s="90"/>
      <c r="BN17" s="183">
        <f t="shared" si="10"/>
        <v>0</v>
      </c>
      <c r="BO17" s="182"/>
      <c r="BP17" s="90"/>
      <c r="BQ17" s="90"/>
      <c r="BR17" s="183">
        <f t="shared" si="11"/>
        <v>0</v>
      </c>
      <c r="BS17" s="182"/>
      <c r="BT17" s="90"/>
      <c r="BU17" s="90"/>
      <c r="BV17" s="183">
        <f t="shared" si="12"/>
        <v>0</v>
      </c>
      <c r="BW17" s="182"/>
      <c r="BX17" s="90"/>
      <c r="BY17" s="90"/>
      <c r="BZ17" s="183">
        <f t="shared" si="13"/>
        <v>0</v>
      </c>
      <c r="CA17" s="182"/>
      <c r="CB17" s="90"/>
      <c r="CC17" s="90"/>
      <c r="CD17" s="183">
        <f t="shared" si="14"/>
        <v>0</v>
      </c>
    </row>
    <row r="18" spans="2:82" x14ac:dyDescent="0.3">
      <c r="B18" s="53"/>
      <c r="C18" s="53" t="str">
        <f t="shared" si="0"/>
        <v>CPU_Conserva</v>
      </c>
      <c r="D18" s="278">
        <f t="shared" si="1"/>
        <v>4.2560000000000002</v>
      </c>
      <c r="E18" s="278">
        <f t="shared" si="2"/>
        <v>0</v>
      </c>
      <c r="F18" s="1"/>
      <c r="G18" s="28" t="str">
        <f>IFERROR(VLOOKUP(F18,Tabela7[[RECURSO]:[CUSTO]],2,FALSE),"")</f>
        <v/>
      </c>
      <c r="H18" s="92"/>
      <c r="I18" s="90"/>
      <c r="J18" s="45">
        <f>IFERROR(VLOOKUP(F18,Tabela7[[RECURSO]:[CUSTO]],3,FALSE),0)</f>
        <v>0</v>
      </c>
      <c r="K18" s="45">
        <f>I18*J18*CPU_2053[[#This Row],[Nº]]</f>
        <v>0</v>
      </c>
      <c r="M18" s="31"/>
      <c r="N18" s="297"/>
      <c r="O18" s="60">
        <f t="shared" si="20"/>
        <v>0</v>
      </c>
      <c r="AD18" s="144" t="str">
        <f t="shared" si="3"/>
        <v>Conserva</v>
      </c>
      <c r="AE18" s="179"/>
      <c r="AF18" s="180">
        <f t="shared" si="16"/>
        <v>0</v>
      </c>
      <c r="AG18" s="180">
        <f t="shared" si="17"/>
        <v>0</v>
      </c>
      <c r="AH18" s="181">
        <f t="shared" si="18"/>
        <v>0</v>
      </c>
      <c r="AI18" s="182"/>
      <c r="AJ18" s="90"/>
      <c r="AK18" s="90"/>
      <c r="AL18" s="183">
        <f t="shared" si="19"/>
        <v>0</v>
      </c>
      <c r="AM18" s="182"/>
      <c r="AN18" s="90"/>
      <c r="AO18" s="90"/>
      <c r="AP18" s="183">
        <f t="shared" si="4"/>
        <v>0</v>
      </c>
      <c r="AQ18" s="182"/>
      <c r="AR18" s="90"/>
      <c r="AS18" s="90"/>
      <c r="AT18" s="183">
        <f t="shared" si="5"/>
        <v>0</v>
      </c>
      <c r="AU18" s="182"/>
      <c r="AV18" s="90"/>
      <c r="AW18" s="90"/>
      <c r="AX18" s="183">
        <f t="shared" si="6"/>
        <v>0</v>
      </c>
      <c r="AY18" s="182"/>
      <c r="AZ18" s="90"/>
      <c r="BA18" s="90"/>
      <c r="BB18" s="183">
        <f t="shared" si="7"/>
        <v>0</v>
      </c>
      <c r="BC18" s="182"/>
      <c r="BD18" s="90"/>
      <c r="BE18" s="90"/>
      <c r="BF18" s="183">
        <f t="shared" si="8"/>
        <v>0</v>
      </c>
      <c r="BG18" s="182"/>
      <c r="BH18" s="90"/>
      <c r="BI18" s="90"/>
      <c r="BJ18" s="183">
        <f t="shared" si="9"/>
        <v>0</v>
      </c>
      <c r="BK18" s="182"/>
      <c r="BL18" s="90"/>
      <c r="BM18" s="90"/>
      <c r="BN18" s="183">
        <f t="shared" si="10"/>
        <v>0</v>
      </c>
      <c r="BO18" s="182"/>
      <c r="BP18" s="90"/>
      <c r="BQ18" s="90"/>
      <c r="BR18" s="183">
        <f t="shared" si="11"/>
        <v>0</v>
      </c>
      <c r="BS18" s="182"/>
      <c r="BT18" s="90"/>
      <c r="BU18" s="90"/>
      <c r="BV18" s="183">
        <f t="shared" si="12"/>
        <v>0</v>
      </c>
      <c r="BW18" s="182"/>
      <c r="BX18" s="90"/>
      <c r="BY18" s="90"/>
      <c r="BZ18" s="183">
        <f t="shared" si="13"/>
        <v>0</v>
      </c>
      <c r="CA18" s="182"/>
      <c r="CB18" s="90"/>
      <c r="CC18" s="90"/>
      <c r="CD18" s="183">
        <f t="shared" si="14"/>
        <v>0</v>
      </c>
    </row>
    <row r="19" spans="2:82" x14ac:dyDescent="0.3">
      <c r="B19" s="53"/>
      <c r="C19" s="53" t="str">
        <f t="shared" si="0"/>
        <v>CPU_Conserva</v>
      </c>
      <c r="D19" s="278">
        <f t="shared" si="1"/>
        <v>4.2560000000000002</v>
      </c>
      <c r="E19" s="278">
        <f t="shared" si="2"/>
        <v>0</v>
      </c>
      <c r="F19" s="1"/>
      <c r="G19" s="28" t="str">
        <f>IFERROR(VLOOKUP(F19,Tabela7[[RECURSO]:[CUSTO]],2,FALSE),"")</f>
        <v/>
      </c>
      <c r="H19" s="92"/>
      <c r="I19" s="90"/>
      <c r="J19" s="45">
        <f>IFERROR(VLOOKUP(F19,Tabela7[[RECURSO]:[CUSTO]],3,FALSE),0)</f>
        <v>0</v>
      </c>
      <c r="K19" s="45">
        <f>I19*J19*CPU_2053[[#This Row],[Nº]]</f>
        <v>0</v>
      </c>
      <c r="M19" s="31"/>
      <c r="N19" s="297"/>
      <c r="O19" s="60">
        <f t="shared" si="20"/>
        <v>0</v>
      </c>
      <c r="AD19" s="144" t="str">
        <f t="shared" si="3"/>
        <v>Conserva</v>
      </c>
      <c r="AE19" s="179"/>
      <c r="AF19" s="180">
        <f t="shared" si="16"/>
        <v>0</v>
      </c>
      <c r="AG19" s="180">
        <f t="shared" si="17"/>
        <v>0</v>
      </c>
      <c r="AH19" s="181">
        <f t="shared" si="18"/>
        <v>0</v>
      </c>
      <c r="AI19" s="182"/>
      <c r="AJ19" s="90"/>
      <c r="AK19" s="90"/>
      <c r="AL19" s="183">
        <f t="shared" si="19"/>
        <v>0</v>
      </c>
      <c r="AM19" s="182"/>
      <c r="AN19" s="90"/>
      <c r="AO19" s="90"/>
      <c r="AP19" s="183">
        <f t="shared" si="4"/>
        <v>0</v>
      </c>
      <c r="AQ19" s="182"/>
      <c r="AR19" s="90"/>
      <c r="AS19" s="90"/>
      <c r="AT19" s="183">
        <f t="shared" si="5"/>
        <v>0</v>
      </c>
      <c r="AU19" s="182"/>
      <c r="AV19" s="90"/>
      <c r="AW19" s="90"/>
      <c r="AX19" s="183">
        <f t="shared" si="6"/>
        <v>0</v>
      </c>
      <c r="AY19" s="182"/>
      <c r="AZ19" s="90"/>
      <c r="BA19" s="90"/>
      <c r="BB19" s="183">
        <f t="shared" si="7"/>
        <v>0</v>
      </c>
      <c r="BC19" s="182"/>
      <c r="BD19" s="90"/>
      <c r="BE19" s="90"/>
      <c r="BF19" s="183">
        <f t="shared" si="8"/>
        <v>0</v>
      </c>
      <c r="BG19" s="182"/>
      <c r="BH19" s="90"/>
      <c r="BI19" s="90"/>
      <c r="BJ19" s="183">
        <f t="shared" si="9"/>
        <v>0</v>
      </c>
      <c r="BK19" s="182"/>
      <c r="BL19" s="90"/>
      <c r="BM19" s="90"/>
      <c r="BN19" s="183">
        <f t="shared" si="10"/>
        <v>0</v>
      </c>
      <c r="BO19" s="182"/>
      <c r="BP19" s="90"/>
      <c r="BQ19" s="90"/>
      <c r="BR19" s="183">
        <f t="shared" si="11"/>
        <v>0</v>
      </c>
      <c r="BS19" s="182"/>
      <c r="BT19" s="90"/>
      <c r="BU19" s="90"/>
      <c r="BV19" s="183">
        <f t="shared" si="12"/>
        <v>0</v>
      </c>
      <c r="BW19" s="182"/>
      <c r="BX19" s="90"/>
      <c r="BY19" s="90"/>
      <c r="BZ19" s="183">
        <f t="shared" si="13"/>
        <v>0</v>
      </c>
      <c r="CA19" s="182"/>
      <c r="CB19" s="90"/>
      <c r="CC19" s="90"/>
      <c r="CD19" s="183">
        <f t="shared" si="14"/>
        <v>0</v>
      </c>
    </row>
    <row r="20" spans="2:82" x14ac:dyDescent="0.3">
      <c r="B20" s="53"/>
      <c r="C20" s="53" t="str">
        <f t="shared" si="0"/>
        <v>CPU_Conserva</v>
      </c>
      <c r="D20" s="278">
        <f t="shared" si="1"/>
        <v>4.2560000000000002</v>
      </c>
      <c r="E20" s="278">
        <f t="shared" si="2"/>
        <v>0</v>
      </c>
      <c r="F20" s="1"/>
      <c r="G20" s="28" t="str">
        <f>IFERROR(VLOOKUP(F20,Tabela7[[RECURSO]:[CUSTO]],2,FALSE),"")</f>
        <v/>
      </c>
      <c r="H20" s="92"/>
      <c r="I20" s="90"/>
      <c r="J20" s="45">
        <f>IFERROR(VLOOKUP(F20,Tabela7[[RECURSO]:[CUSTO]],3,FALSE),0)</f>
        <v>0</v>
      </c>
      <c r="K20" s="45">
        <f>I20*J20*CPU_2053[[#This Row],[Nº]]</f>
        <v>0</v>
      </c>
      <c r="M20" s="31"/>
      <c r="N20" s="297"/>
      <c r="O20" s="60">
        <f t="shared" si="20"/>
        <v>0</v>
      </c>
      <c r="AD20" s="144" t="str">
        <f t="shared" si="3"/>
        <v>Conserva</v>
      </c>
      <c r="AE20" s="179"/>
      <c r="AF20" s="180">
        <f t="shared" si="16"/>
        <v>0</v>
      </c>
      <c r="AG20" s="180">
        <f t="shared" si="17"/>
        <v>0</v>
      </c>
      <c r="AH20" s="181">
        <f t="shared" si="18"/>
        <v>0</v>
      </c>
      <c r="AI20" s="182"/>
      <c r="AJ20" s="90"/>
      <c r="AK20" s="90"/>
      <c r="AL20" s="183">
        <f t="shared" si="19"/>
        <v>0</v>
      </c>
      <c r="AM20" s="182"/>
      <c r="AN20" s="90"/>
      <c r="AO20" s="90"/>
      <c r="AP20" s="183">
        <f t="shared" si="4"/>
        <v>0</v>
      </c>
      <c r="AQ20" s="182"/>
      <c r="AR20" s="90"/>
      <c r="AS20" s="90"/>
      <c r="AT20" s="183">
        <f t="shared" si="5"/>
        <v>0</v>
      </c>
      <c r="AU20" s="182"/>
      <c r="AV20" s="90"/>
      <c r="AW20" s="90"/>
      <c r="AX20" s="183">
        <f t="shared" si="6"/>
        <v>0</v>
      </c>
      <c r="AY20" s="182"/>
      <c r="AZ20" s="90"/>
      <c r="BA20" s="90"/>
      <c r="BB20" s="183">
        <f t="shared" si="7"/>
        <v>0</v>
      </c>
      <c r="BC20" s="182"/>
      <c r="BD20" s="90"/>
      <c r="BE20" s="90"/>
      <c r="BF20" s="183">
        <f t="shared" si="8"/>
        <v>0</v>
      </c>
      <c r="BG20" s="182"/>
      <c r="BH20" s="90"/>
      <c r="BI20" s="90"/>
      <c r="BJ20" s="183">
        <f t="shared" si="9"/>
        <v>0</v>
      </c>
      <c r="BK20" s="182"/>
      <c r="BL20" s="90"/>
      <c r="BM20" s="90"/>
      <c r="BN20" s="183">
        <f t="shared" si="10"/>
        <v>0</v>
      </c>
      <c r="BO20" s="182"/>
      <c r="BP20" s="90"/>
      <c r="BQ20" s="90"/>
      <c r="BR20" s="183">
        <f t="shared" si="11"/>
        <v>0</v>
      </c>
      <c r="BS20" s="182"/>
      <c r="BT20" s="90"/>
      <c r="BU20" s="90"/>
      <c r="BV20" s="183">
        <f t="shared" si="12"/>
        <v>0</v>
      </c>
      <c r="BW20" s="182"/>
      <c r="BX20" s="90"/>
      <c r="BY20" s="90"/>
      <c r="BZ20" s="183">
        <f t="shared" si="13"/>
        <v>0</v>
      </c>
      <c r="CA20" s="182"/>
      <c r="CB20" s="90"/>
      <c r="CC20" s="90"/>
      <c r="CD20" s="183">
        <f t="shared" si="14"/>
        <v>0</v>
      </c>
    </row>
    <row r="21" spans="2:82" x14ac:dyDescent="0.3">
      <c r="B21" s="53"/>
      <c r="C21" s="53" t="str">
        <f t="shared" si="0"/>
        <v>CPU_Conserva</v>
      </c>
      <c r="D21" s="278">
        <f t="shared" si="1"/>
        <v>4.2560000000000002</v>
      </c>
      <c r="E21" s="278">
        <f t="shared" si="2"/>
        <v>0</v>
      </c>
      <c r="F21" s="1"/>
      <c r="G21" s="28" t="str">
        <f>IFERROR(VLOOKUP(F21,Tabela7[[RECURSO]:[CUSTO]],2,FALSE),"")</f>
        <v/>
      </c>
      <c r="H21" s="92"/>
      <c r="I21" s="90"/>
      <c r="J21" s="45">
        <f>IFERROR(VLOOKUP(F21,Tabela7[[RECURSO]:[CUSTO]],3,FALSE),0)</f>
        <v>0</v>
      </c>
      <c r="K21" s="45">
        <f>I21*J21*CPU_2053[[#This Row],[Nº]]</f>
        <v>0</v>
      </c>
      <c r="M21" s="31"/>
      <c r="N21" s="297"/>
      <c r="O21" s="60">
        <f t="shared" si="20"/>
        <v>0</v>
      </c>
      <c r="AD21" s="144" t="str">
        <f t="shared" si="3"/>
        <v>Conserva</v>
      </c>
      <c r="AE21" s="179"/>
      <c r="AF21" s="180">
        <f t="shared" si="16"/>
        <v>0</v>
      </c>
      <c r="AG21" s="180">
        <f t="shared" si="17"/>
        <v>0</v>
      </c>
      <c r="AH21" s="181">
        <f t="shared" si="18"/>
        <v>0</v>
      </c>
      <c r="AI21" s="182"/>
      <c r="AJ21" s="90"/>
      <c r="AK21" s="90"/>
      <c r="AL21" s="183">
        <f t="shared" si="19"/>
        <v>0</v>
      </c>
      <c r="AM21" s="182"/>
      <c r="AN21" s="90"/>
      <c r="AO21" s="90"/>
      <c r="AP21" s="183">
        <f t="shared" si="4"/>
        <v>0</v>
      </c>
      <c r="AQ21" s="182"/>
      <c r="AR21" s="90"/>
      <c r="AS21" s="90"/>
      <c r="AT21" s="183">
        <f t="shared" si="5"/>
        <v>0</v>
      </c>
      <c r="AU21" s="182"/>
      <c r="AV21" s="90"/>
      <c r="AW21" s="90"/>
      <c r="AX21" s="183">
        <f t="shared" si="6"/>
        <v>0</v>
      </c>
      <c r="AY21" s="182"/>
      <c r="AZ21" s="90"/>
      <c r="BA21" s="90"/>
      <c r="BB21" s="183">
        <f t="shared" si="7"/>
        <v>0</v>
      </c>
      <c r="BC21" s="182"/>
      <c r="BD21" s="90"/>
      <c r="BE21" s="90"/>
      <c r="BF21" s="183">
        <f t="shared" si="8"/>
        <v>0</v>
      </c>
      <c r="BG21" s="182"/>
      <c r="BH21" s="90"/>
      <c r="BI21" s="90"/>
      <c r="BJ21" s="183">
        <f t="shared" si="9"/>
        <v>0</v>
      </c>
      <c r="BK21" s="182"/>
      <c r="BL21" s="90"/>
      <c r="BM21" s="90"/>
      <c r="BN21" s="183">
        <f t="shared" si="10"/>
        <v>0</v>
      </c>
      <c r="BO21" s="182"/>
      <c r="BP21" s="90"/>
      <c r="BQ21" s="90"/>
      <c r="BR21" s="183">
        <f t="shared" si="11"/>
        <v>0</v>
      </c>
      <c r="BS21" s="182"/>
      <c r="BT21" s="90"/>
      <c r="BU21" s="90"/>
      <c r="BV21" s="183">
        <f t="shared" si="12"/>
        <v>0</v>
      </c>
      <c r="BW21" s="182"/>
      <c r="BX21" s="90"/>
      <c r="BY21" s="90"/>
      <c r="BZ21" s="183">
        <f t="shared" si="13"/>
        <v>0</v>
      </c>
      <c r="CA21" s="182"/>
      <c r="CB21" s="90"/>
      <c r="CC21" s="90"/>
      <c r="CD21" s="183">
        <f t="shared" si="14"/>
        <v>0</v>
      </c>
    </row>
    <row r="22" spans="2:82" x14ac:dyDescent="0.3">
      <c r="B22" s="53"/>
      <c r="C22" s="53" t="str">
        <f t="shared" si="0"/>
        <v>CPU_Conserva</v>
      </c>
      <c r="D22" s="278">
        <f t="shared" si="1"/>
        <v>4.2560000000000002</v>
      </c>
      <c r="E22" s="278">
        <f t="shared" si="2"/>
        <v>0</v>
      </c>
      <c r="F22" s="1"/>
      <c r="G22" s="28" t="str">
        <f>IFERROR(VLOOKUP(F22,Tabela7[[RECURSO]:[CUSTO]],2,FALSE),"")</f>
        <v/>
      </c>
      <c r="H22" s="92"/>
      <c r="I22" s="90"/>
      <c r="J22" s="45">
        <f>IFERROR(VLOOKUP(F22,Tabela7[[RECURSO]:[CUSTO]],3,FALSE),0)</f>
        <v>0</v>
      </c>
      <c r="K22" s="45">
        <f>I22*J22*CPU_2053[[#This Row],[Nº]]</f>
        <v>0</v>
      </c>
      <c r="M22" s="31"/>
      <c r="N22" s="297"/>
      <c r="O22" s="60">
        <f t="shared" si="20"/>
        <v>0</v>
      </c>
      <c r="AD22" s="144" t="str">
        <f t="shared" si="3"/>
        <v>Conserva</v>
      </c>
      <c r="AE22" s="179"/>
      <c r="AF22" s="180">
        <f t="shared" si="16"/>
        <v>0</v>
      </c>
      <c r="AG22" s="180">
        <f t="shared" si="17"/>
        <v>0</v>
      </c>
      <c r="AH22" s="181">
        <f t="shared" si="18"/>
        <v>0</v>
      </c>
      <c r="AI22" s="182"/>
      <c r="AJ22" s="90"/>
      <c r="AK22" s="90"/>
      <c r="AL22" s="183">
        <f t="shared" si="19"/>
        <v>0</v>
      </c>
      <c r="AM22" s="182"/>
      <c r="AN22" s="90"/>
      <c r="AO22" s="90"/>
      <c r="AP22" s="183">
        <f t="shared" si="4"/>
        <v>0</v>
      </c>
      <c r="AQ22" s="182"/>
      <c r="AR22" s="90"/>
      <c r="AS22" s="90"/>
      <c r="AT22" s="183">
        <f t="shared" si="5"/>
        <v>0</v>
      </c>
      <c r="AU22" s="182"/>
      <c r="AV22" s="90"/>
      <c r="AW22" s="90"/>
      <c r="AX22" s="183">
        <f t="shared" si="6"/>
        <v>0</v>
      </c>
      <c r="AY22" s="182"/>
      <c r="AZ22" s="90"/>
      <c r="BA22" s="90"/>
      <c r="BB22" s="183">
        <f t="shared" si="7"/>
        <v>0</v>
      </c>
      <c r="BC22" s="182"/>
      <c r="BD22" s="90"/>
      <c r="BE22" s="90"/>
      <c r="BF22" s="183">
        <f t="shared" si="8"/>
        <v>0</v>
      </c>
      <c r="BG22" s="182"/>
      <c r="BH22" s="90"/>
      <c r="BI22" s="90"/>
      <c r="BJ22" s="183">
        <f t="shared" si="9"/>
        <v>0</v>
      </c>
      <c r="BK22" s="182"/>
      <c r="BL22" s="90"/>
      <c r="BM22" s="90"/>
      <c r="BN22" s="183">
        <f t="shared" si="10"/>
        <v>0</v>
      </c>
      <c r="BO22" s="182"/>
      <c r="BP22" s="90"/>
      <c r="BQ22" s="90"/>
      <c r="BR22" s="183">
        <f t="shared" si="11"/>
        <v>0</v>
      </c>
      <c r="BS22" s="182"/>
      <c r="BT22" s="90"/>
      <c r="BU22" s="90"/>
      <c r="BV22" s="183">
        <f t="shared" si="12"/>
        <v>0</v>
      </c>
      <c r="BW22" s="182"/>
      <c r="BX22" s="90"/>
      <c r="BY22" s="90"/>
      <c r="BZ22" s="183">
        <f t="shared" si="13"/>
        <v>0</v>
      </c>
      <c r="CA22" s="182"/>
      <c r="CB22" s="90"/>
      <c r="CC22" s="90"/>
      <c r="CD22" s="183">
        <f t="shared" si="14"/>
        <v>0</v>
      </c>
    </row>
    <row r="23" spans="2:82" ht="15" thickBot="1" x14ac:dyDescent="0.35">
      <c r="B23" s="53"/>
      <c r="C23" s="53" t="str">
        <f t="shared" si="0"/>
        <v>CPU_Conserva</v>
      </c>
      <c r="D23" s="278">
        <f t="shared" si="1"/>
        <v>4.2560000000000002</v>
      </c>
      <c r="E23" s="278">
        <f t="shared" si="2"/>
        <v>0</v>
      </c>
      <c r="F23" s="1"/>
      <c r="G23" s="28" t="str">
        <f>IFERROR(VLOOKUP(F23,Tabela7[[RECURSO]:[CUSTO]],2,FALSE),"")</f>
        <v/>
      </c>
      <c r="H23" s="92"/>
      <c r="I23" s="90"/>
      <c r="J23" s="45">
        <f>IFERROR(VLOOKUP(F23,Tabela7[[RECURSO]:[CUSTO]],3,FALSE),0)</f>
        <v>0</v>
      </c>
      <c r="K23" s="45">
        <f>I23*J23*CPU_2053[[#This Row],[Nº]]</f>
        <v>0</v>
      </c>
      <c r="M23" s="51"/>
      <c r="N23" s="298"/>
      <c r="O23" s="61">
        <f t="shared" si="20"/>
        <v>0</v>
      </c>
      <c r="AD23" s="144" t="str">
        <f t="shared" si="3"/>
        <v>Conserva</v>
      </c>
      <c r="AE23" s="179"/>
      <c r="AF23" s="180">
        <f t="shared" si="16"/>
        <v>0</v>
      </c>
      <c r="AG23" s="180">
        <f t="shared" si="17"/>
        <v>0</v>
      </c>
      <c r="AH23" s="181">
        <f t="shared" si="18"/>
        <v>0</v>
      </c>
      <c r="AI23" s="182"/>
      <c r="AJ23" s="90"/>
      <c r="AK23" s="90"/>
      <c r="AL23" s="183">
        <f t="shared" si="19"/>
        <v>0</v>
      </c>
      <c r="AM23" s="182"/>
      <c r="AN23" s="90"/>
      <c r="AO23" s="90"/>
      <c r="AP23" s="183">
        <f t="shared" si="4"/>
        <v>0</v>
      </c>
      <c r="AQ23" s="182"/>
      <c r="AR23" s="90"/>
      <c r="AS23" s="90"/>
      <c r="AT23" s="183">
        <f t="shared" si="5"/>
        <v>0</v>
      </c>
      <c r="AU23" s="182"/>
      <c r="AV23" s="90"/>
      <c r="AW23" s="90"/>
      <c r="AX23" s="183">
        <f t="shared" si="6"/>
        <v>0</v>
      </c>
      <c r="AY23" s="182"/>
      <c r="AZ23" s="90"/>
      <c r="BA23" s="90"/>
      <c r="BB23" s="183">
        <f t="shared" si="7"/>
        <v>0</v>
      </c>
      <c r="BC23" s="182"/>
      <c r="BD23" s="90"/>
      <c r="BE23" s="90"/>
      <c r="BF23" s="183">
        <f t="shared" si="8"/>
        <v>0</v>
      </c>
      <c r="BG23" s="182"/>
      <c r="BH23" s="90"/>
      <c r="BI23" s="90"/>
      <c r="BJ23" s="183">
        <f t="shared" si="9"/>
        <v>0</v>
      </c>
      <c r="BK23" s="182"/>
      <c r="BL23" s="90"/>
      <c r="BM23" s="90"/>
      <c r="BN23" s="183">
        <f t="shared" si="10"/>
        <v>0</v>
      </c>
      <c r="BO23" s="182"/>
      <c r="BP23" s="90"/>
      <c r="BQ23" s="90"/>
      <c r="BR23" s="183">
        <f t="shared" si="11"/>
        <v>0</v>
      </c>
      <c r="BS23" s="182"/>
      <c r="BT23" s="90"/>
      <c r="BU23" s="90"/>
      <c r="BV23" s="183">
        <f t="shared" si="12"/>
        <v>0</v>
      </c>
      <c r="BW23" s="182"/>
      <c r="BX23" s="90"/>
      <c r="BY23" s="90"/>
      <c r="BZ23" s="183">
        <f t="shared" si="13"/>
        <v>0</v>
      </c>
      <c r="CA23" s="182"/>
      <c r="CB23" s="90"/>
      <c r="CC23" s="90"/>
      <c r="CD23" s="183">
        <f t="shared" si="14"/>
        <v>0</v>
      </c>
    </row>
    <row r="24" spans="2:82" x14ac:dyDescent="0.3">
      <c r="B24" s="52" t="s">
        <v>686</v>
      </c>
      <c r="C24" s="52" t="str">
        <f t="shared" si="0"/>
        <v>CPU_Conserva</v>
      </c>
      <c r="D24" s="277">
        <f t="shared" si="1"/>
        <v>4.2560000000000002</v>
      </c>
      <c r="E24" s="277">
        <f t="shared" si="2"/>
        <v>0</v>
      </c>
      <c r="F24" s="37"/>
      <c r="G24" s="38"/>
      <c r="H24" s="91"/>
      <c r="I24" s="40"/>
      <c r="J24" s="40">
        <f>IFERROR(K24/$B$6,0)</f>
        <v>344.49760765550241</v>
      </c>
      <c r="K24" s="40">
        <f>SUM(K25:K36)</f>
        <v>1466.1818181818182</v>
      </c>
      <c r="AD24" s="144" t="str">
        <f t="shared" si="3"/>
        <v>Conserva</v>
      </c>
      <c r="AE24" s="184"/>
      <c r="AF24" s="40"/>
      <c r="AG24" s="40">
        <f>IFERROR(AH24/AF$3,0)</f>
        <v>0</v>
      </c>
      <c r="AH24" s="185">
        <f>SUM(AH25:AH36)</f>
        <v>0</v>
      </c>
      <c r="AI24" s="184"/>
      <c r="AJ24" s="40"/>
      <c r="AK24" s="40">
        <f>IFERROR(AL24/AJ$3,0)</f>
        <v>0</v>
      </c>
      <c r="AL24" s="185">
        <f>SUM(AL25:AL36)</f>
        <v>0</v>
      </c>
      <c r="AM24" s="184"/>
      <c r="AN24" s="40"/>
      <c r="AO24" s="40">
        <f>IFERROR(AP24/AN$3,0)</f>
        <v>0</v>
      </c>
      <c r="AP24" s="185">
        <f>SUM(AP25:AP36)</f>
        <v>0</v>
      </c>
      <c r="AQ24" s="184"/>
      <c r="AR24" s="40"/>
      <c r="AS24" s="40">
        <f>IFERROR(AT24/AR$3,0)</f>
        <v>0</v>
      </c>
      <c r="AT24" s="185">
        <f>SUM(AT25:AT36)</f>
        <v>0</v>
      </c>
      <c r="AU24" s="184"/>
      <c r="AV24" s="40"/>
      <c r="AW24" s="40">
        <f>IFERROR(AX24/AV$3,0)</f>
        <v>0</v>
      </c>
      <c r="AX24" s="185">
        <f>SUM(AX25:AX36)</f>
        <v>0</v>
      </c>
      <c r="AY24" s="184"/>
      <c r="AZ24" s="40"/>
      <c r="BA24" s="40">
        <f>IFERROR(BB24/AZ$3,0)</f>
        <v>0</v>
      </c>
      <c r="BB24" s="185">
        <f>SUM(BB25:BB36)</f>
        <v>0</v>
      </c>
      <c r="BC24" s="184"/>
      <c r="BD24" s="40"/>
      <c r="BE24" s="40">
        <f>IFERROR(BF24/BD$3,0)</f>
        <v>0</v>
      </c>
      <c r="BF24" s="185">
        <f>SUM(BF25:BF36)</f>
        <v>0</v>
      </c>
      <c r="BG24" s="184"/>
      <c r="BH24" s="40"/>
      <c r="BI24" s="40">
        <f>IFERROR(BJ24/BH$3,0)</f>
        <v>0</v>
      </c>
      <c r="BJ24" s="185">
        <f>SUM(BJ25:BJ36)</f>
        <v>0</v>
      </c>
      <c r="BK24" s="184"/>
      <c r="BL24" s="40"/>
      <c r="BM24" s="40">
        <f>IFERROR(BN24/BL$3,0)</f>
        <v>0</v>
      </c>
      <c r="BN24" s="185">
        <f>SUM(BN25:BN36)</f>
        <v>0</v>
      </c>
      <c r="BO24" s="184"/>
      <c r="BP24" s="40"/>
      <c r="BQ24" s="40">
        <f>IFERROR(BR24/BP$3,0)</f>
        <v>0</v>
      </c>
      <c r="BR24" s="185">
        <f>SUM(BR25:BR36)</f>
        <v>0</v>
      </c>
      <c r="BS24" s="184"/>
      <c r="BT24" s="40"/>
      <c r="BU24" s="40">
        <f>IFERROR(BV24/BT$3,0)</f>
        <v>0</v>
      </c>
      <c r="BV24" s="185">
        <f>SUM(BV25:BV36)</f>
        <v>0</v>
      </c>
      <c r="BW24" s="184"/>
      <c r="BX24" s="40"/>
      <c r="BY24" s="40">
        <f>IFERROR(BZ24/BX$3,0)</f>
        <v>0</v>
      </c>
      <c r="BZ24" s="185">
        <f>SUM(BZ25:BZ36)</f>
        <v>0</v>
      </c>
      <c r="CA24" s="184"/>
      <c r="CB24" s="40"/>
      <c r="CC24" s="40">
        <f>IFERROR(CD24/CB$3,0)</f>
        <v>0</v>
      </c>
      <c r="CD24" s="185">
        <f>SUM(CD25:CD36)</f>
        <v>0</v>
      </c>
    </row>
    <row r="25" spans="2:82" x14ac:dyDescent="0.3">
      <c r="B25" s="53"/>
      <c r="C25" s="53" t="str">
        <f t="shared" si="0"/>
        <v>CPU_Conserva</v>
      </c>
      <c r="D25" s="278">
        <f t="shared" si="1"/>
        <v>4.2560000000000002</v>
      </c>
      <c r="E25" s="278">
        <f t="shared" si="2"/>
        <v>0</v>
      </c>
      <c r="F25" s="1" t="s">
        <v>288</v>
      </c>
      <c r="G25" s="28" t="str">
        <f>IFERROR(VLOOKUP(F25,Tabela7[[RECURSO]:[CUSTO]],2,FALSE),"")</f>
        <v>L</v>
      </c>
      <c r="H25" s="93"/>
      <c r="I25" s="90">
        <f>IFERROR(SUMPRODUCT(I12:I23,M12:M23,H12:H23,N12:N23),0)</f>
        <v>209.45454545454547</v>
      </c>
      <c r="J25" s="45">
        <f>IFERROR(VLOOKUP(F25,Tabela7[[RECURSO]:[CUSTO]],3,FALSE),0)</f>
        <v>7</v>
      </c>
      <c r="K25" s="45">
        <f>I25*J25</f>
        <v>1466.1818181818182</v>
      </c>
      <c r="M25" s="154"/>
      <c r="AD25" s="144" t="str">
        <f t="shared" si="3"/>
        <v>Conserva</v>
      </c>
      <c r="AE25" s="179"/>
      <c r="AF25" s="180">
        <f t="shared" ref="AF25:AF36" si="21">AJ25+AN25+AR25+AV25+AZ25+BD25+BH25+BL25+BP25+BT25+BX25+CB25</f>
        <v>0</v>
      </c>
      <c r="AG25" s="180">
        <f t="shared" si="17"/>
        <v>0</v>
      </c>
      <c r="AH25" s="181">
        <f t="shared" ref="AH25:AH36" si="22">AL25+AP25+AT25+AX25+BB25+BF25+BJ25+BN25+BR25+BV25+BZ25+CD25</f>
        <v>0</v>
      </c>
      <c r="AI25" s="182"/>
      <c r="AJ25" s="90"/>
      <c r="AK25" s="90"/>
      <c r="AL25" s="183">
        <f t="shared" ref="AL25:AL36" si="23">AJ25*AK25</f>
        <v>0</v>
      </c>
      <c r="AM25" s="182"/>
      <c r="AN25" s="90"/>
      <c r="AO25" s="90"/>
      <c r="AP25" s="183">
        <f t="shared" ref="AP25:AP62" si="24">AN25*AO25</f>
        <v>0</v>
      </c>
      <c r="AQ25" s="182"/>
      <c r="AR25" s="90"/>
      <c r="AS25" s="90"/>
      <c r="AT25" s="183">
        <f t="shared" ref="AT25:AT62" si="25">AR25*AS25</f>
        <v>0</v>
      </c>
      <c r="AU25" s="182"/>
      <c r="AV25" s="90"/>
      <c r="AW25" s="90"/>
      <c r="AX25" s="183">
        <f t="shared" ref="AX25:AX62" si="26">AV25*AW25</f>
        <v>0</v>
      </c>
      <c r="AY25" s="182"/>
      <c r="AZ25" s="90"/>
      <c r="BA25" s="90"/>
      <c r="BB25" s="183">
        <f t="shared" ref="BB25:BB62" si="27">AZ25*BA25</f>
        <v>0</v>
      </c>
      <c r="BC25" s="182"/>
      <c r="BD25" s="90"/>
      <c r="BE25" s="90"/>
      <c r="BF25" s="183">
        <f t="shared" ref="BF25:BF62" si="28">BD25*BE25</f>
        <v>0</v>
      </c>
      <c r="BG25" s="182"/>
      <c r="BH25" s="90"/>
      <c r="BI25" s="90"/>
      <c r="BJ25" s="183">
        <f t="shared" ref="BJ25:BJ62" si="29">BH25*BI25</f>
        <v>0</v>
      </c>
      <c r="BK25" s="182"/>
      <c r="BL25" s="90"/>
      <c r="BM25" s="90"/>
      <c r="BN25" s="183">
        <f t="shared" ref="BN25:BN62" si="30">BL25*BM25</f>
        <v>0</v>
      </c>
      <c r="BO25" s="182"/>
      <c r="BP25" s="90"/>
      <c r="BQ25" s="90"/>
      <c r="BR25" s="183">
        <f t="shared" ref="BR25:BR62" si="31">BP25*BQ25</f>
        <v>0</v>
      </c>
      <c r="BS25" s="182"/>
      <c r="BT25" s="90"/>
      <c r="BU25" s="90"/>
      <c r="BV25" s="183">
        <f t="shared" ref="BV25:BV62" si="32">BT25*BU25</f>
        <v>0</v>
      </c>
      <c r="BW25" s="182"/>
      <c r="BX25" s="90"/>
      <c r="BY25" s="90"/>
      <c r="BZ25" s="183">
        <f t="shared" ref="BZ25:BZ62" si="33">BX25*BY25</f>
        <v>0</v>
      </c>
      <c r="CA25" s="182"/>
      <c r="CB25" s="90"/>
      <c r="CC25" s="90"/>
      <c r="CD25" s="183">
        <f t="shared" ref="CD25:CD62" si="34">CB25*CC25</f>
        <v>0</v>
      </c>
    </row>
    <row r="26" spans="2:82" x14ac:dyDescent="0.3">
      <c r="B26" s="53"/>
      <c r="C26" s="53" t="str">
        <f t="shared" si="0"/>
        <v>CPU_Conserva</v>
      </c>
      <c r="D26" s="278">
        <f t="shared" si="1"/>
        <v>4.2560000000000002</v>
      </c>
      <c r="E26" s="278">
        <f t="shared" si="2"/>
        <v>0</v>
      </c>
      <c r="F26" s="1"/>
      <c r="G26" s="28" t="str">
        <f>IFERROR(VLOOKUP(F26,Tabela7[[RECURSO]:[CUSTO]],2,FALSE),"")</f>
        <v/>
      </c>
      <c r="H26" s="93"/>
      <c r="I26" s="90"/>
      <c r="J26" s="45">
        <f>IFERROR(VLOOKUP(F26,Tabela7[[RECURSO]:[CUSTO]],3,FALSE),0)</f>
        <v>0</v>
      </c>
      <c r="K26" s="45">
        <f t="shared" ref="K26:K36" si="35">I26*J26</f>
        <v>0</v>
      </c>
      <c r="AD26" s="144" t="str">
        <f t="shared" si="3"/>
        <v>Conserva</v>
      </c>
      <c r="AE26" s="179"/>
      <c r="AF26" s="180">
        <f t="shared" si="21"/>
        <v>0</v>
      </c>
      <c r="AG26" s="180">
        <f t="shared" si="17"/>
        <v>0</v>
      </c>
      <c r="AH26" s="181">
        <f t="shared" si="22"/>
        <v>0</v>
      </c>
      <c r="AI26" s="182"/>
      <c r="AJ26" s="90"/>
      <c r="AK26" s="90"/>
      <c r="AL26" s="183">
        <f t="shared" si="23"/>
        <v>0</v>
      </c>
      <c r="AM26" s="182"/>
      <c r="AN26" s="90"/>
      <c r="AO26" s="90"/>
      <c r="AP26" s="183">
        <f t="shared" si="24"/>
        <v>0</v>
      </c>
      <c r="AQ26" s="182"/>
      <c r="AR26" s="90"/>
      <c r="AS26" s="90"/>
      <c r="AT26" s="183">
        <f t="shared" si="25"/>
        <v>0</v>
      </c>
      <c r="AU26" s="182"/>
      <c r="AV26" s="90"/>
      <c r="AW26" s="90"/>
      <c r="AX26" s="183">
        <f t="shared" si="26"/>
        <v>0</v>
      </c>
      <c r="AY26" s="182"/>
      <c r="AZ26" s="90"/>
      <c r="BA26" s="90"/>
      <c r="BB26" s="183">
        <f t="shared" si="27"/>
        <v>0</v>
      </c>
      <c r="BC26" s="182"/>
      <c r="BD26" s="90"/>
      <c r="BE26" s="90"/>
      <c r="BF26" s="183">
        <f t="shared" si="28"/>
        <v>0</v>
      </c>
      <c r="BG26" s="182"/>
      <c r="BH26" s="90"/>
      <c r="BI26" s="90"/>
      <c r="BJ26" s="183">
        <f t="shared" si="29"/>
        <v>0</v>
      </c>
      <c r="BK26" s="182"/>
      <c r="BL26" s="90"/>
      <c r="BM26" s="90"/>
      <c r="BN26" s="183">
        <f t="shared" si="30"/>
        <v>0</v>
      </c>
      <c r="BO26" s="182"/>
      <c r="BP26" s="90"/>
      <c r="BQ26" s="90"/>
      <c r="BR26" s="183">
        <f t="shared" si="31"/>
        <v>0</v>
      </c>
      <c r="BS26" s="182"/>
      <c r="BT26" s="90"/>
      <c r="BU26" s="90"/>
      <c r="BV26" s="183">
        <f t="shared" si="32"/>
        <v>0</v>
      </c>
      <c r="BW26" s="182"/>
      <c r="BX26" s="90"/>
      <c r="BY26" s="90"/>
      <c r="BZ26" s="183">
        <f t="shared" si="33"/>
        <v>0</v>
      </c>
      <c r="CA26" s="182"/>
      <c r="CB26" s="90"/>
      <c r="CC26" s="90"/>
      <c r="CD26" s="183">
        <f t="shared" si="34"/>
        <v>0</v>
      </c>
    </row>
    <row r="27" spans="2:82" x14ac:dyDescent="0.3">
      <c r="B27" s="53"/>
      <c r="C27" s="53" t="str">
        <f t="shared" si="0"/>
        <v>CPU_Conserva</v>
      </c>
      <c r="D27" s="278">
        <f t="shared" si="1"/>
        <v>4.2560000000000002</v>
      </c>
      <c r="E27" s="278">
        <f t="shared" si="2"/>
        <v>0</v>
      </c>
      <c r="F27" s="1"/>
      <c r="G27" s="28" t="str">
        <f>IFERROR(VLOOKUP(F27,Tabela7[[RECURSO]:[CUSTO]],2,FALSE),"")</f>
        <v/>
      </c>
      <c r="H27" s="93"/>
      <c r="I27" s="90"/>
      <c r="J27" s="45">
        <f>IFERROR(VLOOKUP(F27,Tabela7[[RECURSO]:[CUSTO]],3,FALSE),0)</f>
        <v>0</v>
      </c>
      <c r="K27" s="45">
        <f t="shared" si="35"/>
        <v>0</v>
      </c>
      <c r="AD27" s="144" t="str">
        <f t="shared" si="3"/>
        <v>Conserva</v>
      </c>
      <c r="AE27" s="179"/>
      <c r="AF27" s="180">
        <f t="shared" si="21"/>
        <v>0</v>
      </c>
      <c r="AG27" s="180">
        <f t="shared" si="17"/>
        <v>0</v>
      </c>
      <c r="AH27" s="181">
        <f t="shared" si="22"/>
        <v>0</v>
      </c>
      <c r="AI27" s="182"/>
      <c r="AJ27" s="90"/>
      <c r="AK27" s="90"/>
      <c r="AL27" s="183">
        <f t="shared" si="23"/>
        <v>0</v>
      </c>
      <c r="AM27" s="182"/>
      <c r="AN27" s="90"/>
      <c r="AO27" s="90"/>
      <c r="AP27" s="183">
        <f t="shared" si="24"/>
        <v>0</v>
      </c>
      <c r="AQ27" s="182"/>
      <c r="AR27" s="90"/>
      <c r="AS27" s="90"/>
      <c r="AT27" s="183">
        <f t="shared" si="25"/>
        <v>0</v>
      </c>
      <c r="AU27" s="182"/>
      <c r="AV27" s="90"/>
      <c r="AW27" s="90"/>
      <c r="AX27" s="183">
        <f t="shared" si="26"/>
        <v>0</v>
      </c>
      <c r="AY27" s="182"/>
      <c r="AZ27" s="90"/>
      <c r="BA27" s="90"/>
      <c r="BB27" s="183">
        <f t="shared" si="27"/>
        <v>0</v>
      </c>
      <c r="BC27" s="182"/>
      <c r="BD27" s="90"/>
      <c r="BE27" s="90"/>
      <c r="BF27" s="183">
        <f t="shared" si="28"/>
        <v>0</v>
      </c>
      <c r="BG27" s="182"/>
      <c r="BH27" s="90"/>
      <c r="BI27" s="90"/>
      <c r="BJ27" s="183">
        <f t="shared" si="29"/>
        <v>0</v>
      </c>
      <c r="BK27" s="182"/>
      <c r="BL27" s="90"/>
      <c r="BM27" s="90"/>
      <c r="BN27" s="183">
        <f t="shared" si="30"/>
        <v>0</v>
      </c>
      <c r="BO27" s="182"/>
      <c r="BP27" s="90"/>
      <c r="BQ27" s="90"/>
      <c r="BR27" s="183">
        <f t="shared" si="31"/>
        <v>0</v>
      </c>
      <c r="BS27" s="182"/>
      <c r="BT27" s="90"/>
      <c r="BU27" s="90"/>
      <c r="BV27" s="183">
        <f t="shared" si="32"/>
        <v>0</v>
      </c>
      <c r="BW27" s="182"/>
      <c r="BX27" s="90"/>
      <c r="BY27" s="90"/>
      <c r="BZ27" s="183">
        <f t="shared" si="33"/>
        <v>0</v>
      </c>
      <c r="CA27" s="182"/>
      <c r="CB27" s="90"/>
      <c r="CC27" s="90"/>
      <c r="CD27" s="183">
        <f t="shared" si="34"/>
        <v>0</v>
      </c>
    </row>
    <row r="28" spans="2:82" x14ac:dyDescent="0.3">
      <c r="B28" s="53"/>
      <c r="C28" s="53" t="str">
        <f t="shared" si="0"/>
        <v>CPU_Conserva</v>
      </c>
      <c r="D28" s="278">
        <f t="shared" si="1"/>
        <v>4.2560000000000002</v>
      </c>
      <c r="E28" s="278">
        <f t="shared" si="2"/>
        <v>0</v>
      </c>
      <c r="F28" s="1"/>
      <c r="G28" s="28" t="str">
        <f>IFERROR(VLOOKUP(F28,Tabela7[[RECURSO]:[CUSTO]],2,FALSE),"")</f>
        <v/>
      </c>
      <c r="H28" s="93"/>
      <c r="I28" s="90"/>
      <c r="J28" s="45">
        <f>IFERROR(VLOOKUP(F28,Tabela7[[RECURSO]:[CUSTO]],3,FALSE),0)</f>
        <v>0</v>
      </c>
      <c r="K28" s="45">
        <f t="shared" si="35"/>
        <v>0</v>
      </c>
      <c r="AD28" s="144" t="str">
        <f t="shared" si="3"/>
        <v>Conserva</v>
      </c>
      <c r="AE28" s="179"/>
      <c r="AF28" s="180">
        <f t="shared" si="21"/>
        <v>0</v>
      </c>
      <c r="AG28" s="180">
        <f t="shared" si="17"/>
        <v>0</v>
      </c>
      <c r="AH28" s="181">
        <f t="shared" si="22"/>
        <v>0</v>
      </c>
      <c r="AI28" s="182"/>
      <c r="AJ28" s="90"/>
      <c r="AK28" s="90"/>
      <c r="AL28" s="183">
        <f t="shared" si="23"/>
        <v>0</v>
      </c>
      <c r="AM28" s="182"/>
      <c r="AN28" s="90"/>
      <c r="AO28" s="90"/>
      <c r="AP28" s="183">
        <f t="shared" si="24"/>
        <v>0</v>
      </c>
      <c r="AQ28" s="182"/>
      <c r="AR28" s="90"/>
      <c r="AS28" s="90"/>
      <c r="AT28" s="183">
        <f t="shared" si="25"/>
        <v>0</v>
      </c>
      <c r="AU28" s="182"/>
      <c r="AV28" s="90"/>
      <c r="AW28" s="90"/>
      <c r="AX28" s="183">
        <f t="shared" si="26"/>
        <v>0</v>
      </c>
      <c r="AY28" s="182"/>
      <c r="AZ28" s="90"/>
      <c r="BA28" s="90"/>
      <c r="BB28" s="183">
        <f t="shared" si="27"/>
        <v>0</v>
      </c>
      <c r="BC28" s="182"/>
      <c r="BD28" s="90"/>
      <c r="BE28" s="90"/>
      <c r="BF28" s="183">
        <f t="shared" si="28"/>
        <v>0</v>
      </c>
      <c r="BG28" s="182"/>
      <c r="BH28" s="90"/>
      <c r="BI28" s="90"/>
      <c r="BJ28" s="183">
        <f t="shared" si="29"/>
        <v>0</v>
      </c>
      <c r="BK28" s="182"/>
      <c r="BL28" s="90"/>
      <c r="BM28" s="90"/>
      <c r="BN28" s="183">
        <f t="shared" si="30"/>
        <v>0</v>
      </c>
      <c r="BO28" s="182"/>
      <c r="BP28" s="90"/>
      <c r="BQ28" s="90"/>
      <c r="BR28" s="183">
        <f t="shared" si="31"/>
        <v>0</v>
      </c>
      <c r="BS28" s="182"/>
      <c r="BT28" s="90"/>
      <c r="BU28" s="90"/>
      <c r="BV28" s="183">
        <f t="shared" si="32"/>
        <v>0</v>
      </c>
      <c r="BW28" s="182"/>
      <c r="BX28" s="90"/>
      <c r="BY28" s="90"/>
      <c r="BZ28" s="183">
        <f t="shared" si="33"/>
        <v>0</v>
      </c>
      <c r="CA28" s="182"/>
      <c r="CB28" s="90"/>
      <c r="CC28" s="90"/>
      <c r="CD28" s="183">
        <f t="shared" si="34"/>
        <v>0</v>
      </c>
    </row>
    <row r="29" spans="2:82" x14ac:dyDescent="0.3">
      <c r="B29" s="53"/>
      <c r="C29" s="53" t="str">
        <f t="shared" si="0"/>
        <v>CPU_Conserva</v>
      </c>
      <c r="D29" s="278">
        <f t="shared" si="1"/>
        <v>4.2560000000000002</v>
      </c>
      <c r="E29" s="278">
        <f t="shared" si="2"/>
        <v>0</v>
      </c>
      <c r="F29" s="1"/>
      <c r="G29" s="28" t="str">
        <f>IFERROR(VLOOKUP(F29,Tabela7[[RECURSO]:[CUSTO]],2,FALSE),"")</f>
        <v/>
      </c>
      <c r="H29" s="93"/>
      <c r="I29" s="90"/>
      <c r="J29" s="45">
        <f>IFERROR(VLOOKUP(F29,Tabela7[[RECURSO]:[CUSTO]],3,FALSE),0)</f>
        <v>0</v>
      </c>
      <c r="K29" s="45">
        <f t="shared" si="35"/>
        <v>0</v>
      </c>
      <c r="AD29" s="144" t="str">
        <f t="shared" si="3"/>
        <v>Conserva</v>
      </c>
      <c r="AE29" s="179"/>
      <c r="AF29" s="180">
        <f t="shared" si="21"/>
        <v>0</v>
      </c>
      <c r="AG29" s="180">
        <f t="shared" si="17"/>
        <v>0</v>
      </c>
      <c r="AH29" s="181">
        <f t="shared" si="22"/>
        <v>0</v>
      </c>
      <c r="AI29" s="182"/>
      <c r="AJ29" s="90"/>
      <c r="AK29" s="90"/>
      <c r="AL29" s="183">
        <f t="shared" si="23"/>
        <v>0</v>
      </c>
      <c r="AM29" s="182"/>
      <c r="AN29" s="90"/>
      <c r="AO29" s="90"/>
      <c r="AP29" s="183">
        <f t="shared" si="24"/>
        <v>0</v>
      </c>
      <c r="AQ29" s="182"/>
      <c r="AR29" s="90"/>
      <c r="AS29" s="90"/>
      <c r="AT29" s="183">
        <f t="shared" si="25"/>
        <v>0</v>
      </c>
      <c r="AU29" s="182"/>
      <c r="AV29" s="90"/>
      <c r="AW29" s="90"/>
      <c r="AX29" s="183">
        <f t="shared" si="26"/>
        <v>0</v>
      </c>
      <c r="AY29" s="182"/>
      <c r="AZ29" s="90"/>
      <c r="BA29" s="90"/>
      <c r="BB29" s="183">
        <f t="shared" si="27"/>
        <v>0</v>
      </c>
      <c r="BC29" s="182"/>
      <c r="BD29" s="90"/>
      <c r="BE29" s="90"/>
      <c r="BF29" s="183">
        <f t="shared" si="28"/>
        <v>0</v>
      </c>
      <c r="BG29" s="182"/>
      <c r="BH29" s="90"/>
      <c r="BI29" s="90"/>
      <c r="BJ29" s="183">
        <f t="shared" si="29"/>
        <v>0</v>
      </c>
      <c r="BK29" s="182"/>
      <c r="BL29" s="90"/>
      <c r="BM29" s="90"/>
      <c r="BN29" s="183">
        <f t="shared" si="30"/>
        <v>0</v>
      </c>
      <c r="BO29" s="182"/>
      <c r="BP29" s="90"/>
      <c r="BQ29" s="90"/>
      <c r="BR29" s="183">
        <f t="shared" si="31"/>
        <v>0</v>
      </c>
      <c r="BS29" s="182"/>
      <c r="BT29" s="90"/>
      <c r="BU29" s="90"/>
      <c r="BV29" s="183">
        <f t="shared" si="32"/>
        <v>0</v>
      </c>
      <c r="BW29" s="182"/>
      <c r="BX29" s="90"/>
      <c r="BY29" s="90"/>
      <c r="BZ29" s="183">
        <f t="shared" si="33"/>
        <v>0</v>
      </c>
      <c r="CA29" s="182"/>
      <c r="CB29" s="90"/>
      <c r="CC29" s="90"/>
      <c r="CD29" s="183">
        <f t="shared" si="34"/>
        <v>0</v>
      </c>
    </row>
    <row r="30" spans="2:82" x14ac:dyDescent="0.3">
      <c r="B30" s="53"/>
      <c r="C30" s="53" t="str">
        <f t="shared" si="0"/>
        <v>CPU_Conserva</v>
      </c>
      <c r="D30" s="278">
        <f t="shared" si="1"/>
        <v>4.2560000000000002</v>
      </c>
      <c r="E30" s="278">
        <f t="shared" si="2"/>
        <v>0</v>
      </c>
      <c r="F30" s="1"/>
      <c r="G30" s="28" t="str">
        <f>IFERROR(VLOOKUP(F30,Tabela7[[RECURSO]:[CUSTO]],2,FALSE),"")</f>
        <v/>
      </c>
      <c r="H30" s="93"/>
      <c r="I30" s="90"/>
      <c r="J30" s="45">
        <f>IFERROR(VLOOKUP(F30,Tabela7[[RECURSO]:[CUSTO]],3,FALSE),0)</f>
        <v>0</v>
      </c>
      <c r="K30" s="45">
        <f t="shared" si="35"/>
        <v>0</v>
      </c>
      <c r="AD30" s="144" t="str">
        <f t="shared" si="3"/>
        <v>Conserva</v>
      </c>
      <c r="AE30" s="179"/>
      <c r="AF30" s="180">
        <f t="shared" si="21"/>
        <v>0</v>
      </c>
      <c r="AG30" s="180">
        <f t="shared" si="17"/>
        <v>0</v>
      </c>
      <c r="AH30" s="181">
        <f t="shared" si="22"/>
        <v>0</v>
      </c>
      <c r="AI30" s="182"/>
      <c r="AJ30" s="90"/>
      <c r="AK30" s="90"/>
      <c r="AL30" s="183">
        <f t="shared" si="23"/>
        <v>0</v>
      </c>
      <c r="AM30" s="182"/>
      <c r="AN30" s="90"/>
      <c r="AO30" s="90"/>
      <c r="AP30" s="183">
        <f t="shared" si="24"/>
        <v>0</v>
      </c>
      <c r="AQ30" s="182"/>
      <c r="AR30" s="90"/>
      <c r="AS30" s="90"/>
      <c r="AT30" s="183">
        <f t="shared" si="25"/>
        <v>0</v>
      </c>
      <c r="AU30" s="182"/>
      <c r="AV30" s="90"/>
      <c r="AW30" s="90"/>
      <c r="AX30" s="183">
        <f t="shared" si="26"/>
        <v>0</v>
      </c>
      <c r="AY30" s="182"/>
      <c r="AZ30" s="90"/>
      <c r="BA30" s="90"/>
      <c r="BB30" s="183">
        <f t="shared" si="27"/>
        <v>0</v>
      </c>
      <c r="BC30" s="182"/>
      <c r="BD30" s="90"/>
      <c r="BE30" s="90"/>
      <c r="BF30" s="183">
        <f t="shared" si="28"/>
        <v>0</v>
      </c>
      <c r="BG30" s="182"/>
      <c r="BH30" s="90"/>
      <c r="BI30" s="90"/>
      <c r="BJ30" s="183">
        <f t="shared" si="29"/>
        <v>0</v>
      </c>
      <c r="BK30" s="182"/>
      <c r="BL30" s="90"/>
      <c r="BM30" s="90"/>
      <c r="BN30" s="183">
        <f t="shared" si="30"/>
        <v>0</v>
      </c>
      <c r="BO30" s="182"/>
      <c r="BP30" s="90"/>
      <c r="BQ30" s="90"/>
      <c r="BR30" s="183">
        <f t="shared" si="31"/>
        <v>0</v>
      </c>
      <c r="BS30" s="182"/>
      <c r="BT30" s="90"/>
      <c r="BU30" s="90"/>
      <c r="BV30" s="183">
        <f t="shared" si="32"/>
        <v>0</v>
      </c>
      <c r="BW30" s="182"/>
      <c r="BX30" s="90"/>
      <c r="BY30" s="90"/>
      <c r="BZ30" s="183">
        <f t="shared" si="33"/>
        <v>0</v>
      </c>
      <c r="CA30" s="182"/>
      <c r="CB30" s="90"/>
      <c r="CC30" s="90"/>
      <c r="CD30" s="183">
        <f t="shared" si="34"/>
        <v>0</v>
      </c>
    </row>
    <row r="31" spans="2:82" x14ac:dyDescent="0.3">
      <c r="B31" s="53"/>
      <c r="C31" s="53" t="str">
        <f t="shared" si="0"/>
        <v>CPU_Conserva</v>
      </c>
      <c r="D31" s="278">
        <f t="shared" si="1"/>
        <v>4.2560000000000002</v>
      </c>
      <c r="E31" s="278">
        <f t="shared" si="2"/>
        <v>0</v>
      </c>
      <c r="F31" s="1"/>
      <c r="G31" s="28" t="str">
        <f>IFERROR(VLOOKUP(F31,Tabela7[[RECURSO]:[CUSTO]],2,FALSE),"")</f>
        <v/>
      </c>
      <c r="H31" s="93"/>
      <c r="I31" s="90"/>
      <c r="J31" s="45">
        <f>IFERROR(VLOOKUP(F31,Tabela7[[RECURSO]:[CUSTO]],3,FALSE),0)</f>
        <v>0</v>
      </c>
      <c r="K31" s="45">
        <f t="shared" si="35"/>
        <v>0</v>
      </c>
      <c r="AD31" s="144" t="str">
        <f t="shared" si="3"/>
        <v>Conserva</v>
      </c>
      <c r="AE31" s="179"/>
      <c r="AF31" s="180">
        <f t="shared" si="21"/>
        <v>0</v>
      </c>
      <c r="AG31" s="180">
        <f t="shared" si="17"/>
        <v>0</v>
      </c>
      <c r="AH31" s="181">
        <f t="shared" si="22"/>
        <v>0</v>
      </c>
      <c r="AI31" s="182"/>
      <c r="AJ31" s="90"/>
      <c r="AK31" s="90"/>
      <c r="AL31" s="183">
        <f t="shared" si="23"/>
        <v>0</v>
      </c>
      <c r="AM31" s="182"/>
      <c r="AN31" s="90"/>
      <c r="AO31" s="90"/>
      <c r="AP31" s="183">
        <f t="shared" si="24"/>
        <v>0</v>
      </c>
      <c r="AQ31" s="182"/>
      <c r="AR31" s="90"/>
      <c r="AS31" s="90"/>
      <c r="AT31" s="183">
        <f t="shared" si="25"/>
        <v>0</v>
      </c>
      <c r="AU31" s="182"/>
      <c r="AV31" s="90"/>
      <c r="AW31" s="90"/>
      <c r="AX31" s="183">
        <f t="shared" si="26"/>
        <v>0</v>
      </c>
      <c r="AY31" s="182"/>
      <c r="AZ31" s="90"/>
      <c r="BA31" s="90"/>
      <c r="BB31" s="183">
        <f t="shared" si="27"/>
        <v>0</v>
      </c>
      <c r="BC31" s="182"/>
      <c r="BD31" s="90"/>
      <c r="BE31" s="90"/>
      <c r="BF31" s="183">
        <f t="shared" si="28"/>
        <v>0</v>
      </c>
      <c r="BG31" s="182"/>
      <c r="BH31" s="90"/>
      <c r="BI31" s="90"/>
      <c r="BJ31" s="183">
        <f t="shared" si="29"/>
        <v>0</v>
      </c>
      <c r="BK31" s="182"/>
      <c r="BL31" s="90"/>
      <c r="BM31" s="90"/>
      <c r="BN31" s="183">
        <f t="shared" si="30"/>
        <v>0</v>
      </c>
      <c r="BO31" s="182"/>
      <c r="BP31" s="90"/>
      <c r="BQ31" s="90"/>
      <c r="BR31" s="183">
        <f t="shared" si="31"/>
        <v>0</v>
      </c>
      <c r="BS31" s="182"/>
      <c r="BT31" s="90"/>
      <c r="BU31" s="90"/>
      <c r="BV31" s="183">
        <f t="shared" si="32"/>
        <v>0</v>
      </c>
      <c r="BW31" s="182"/>
      <c r="BX31" s="90"/>
      <c r="BY31" s="90"/>
      <c r="BZ31" s="183">
        <f t="shared" si="33"/>
        <v>0</v>
      </c>
      <c r="CA31" s="182"/>
      <c r="CB31" s="90"/>
      <c r="CC31" s="90"/>
      <c r="CD31" s="183">
        <f t="shared" si="34"/>
        <v>0</v>
      </c>
    </row>
    <row r="32" spans="2:82" x14ac:dyDescent="0.3">
      <c r="B32" s="53"/>
      <c r="C32" s="53" t="str">
        <f t="shared" si="0"/>
        <v>CPU_Conserva</v>
      </c>
      <c r="D32" s="278">
        <f t="shared" si="1"/>
        <v>4.2560000000000002</v>
      </c>
      <c r="E32" s="278">
        <f t="shared" si="2"/>
        <v>0</v>
      </c>
      <c r="F32" s="1"/>
      <c r="G32" s="28" t="str">
        <f>IFERROR(VLOOKUP(F32,Tabela7[[RECURSO]:[CUSTO]],2,FALSE),"")</f>
        <v/>
      </c>
      <c r="H32" s="93"/>
      <c r="I32" s="90"/>
      <c r="J32" s="45">
        <f>IFERROR(VLOOKUP(F32,Tabela7[[RECURSO]:[CUSTO]],3,FALSE),0)</f>
        <v>0</v>
      </c>
      <c r="K32" s="45">
        <f t="shared" si="35"/>
        <v>0</v>
      </c>
      <c r="AD32" s="144" t="str">
        <f t="shared" si="3"/>
        <v>Conserva</v>
      </c>
      <c r="AE32" s="179"/>
      <c r="AF32" s="180">
        <f t="shared" si="21"/>
        <v>0</v>
      </c>
      <c r="AG32" s="180">
        <f t="shared" si="17"/>
        <v>0</v>
      </c>
      <c r="AH32" s="181">
        <f t="shared" si="22"/>
        <v>0</v>
      </c>
      <c r="AI32" s="182"/>
      <c r="AJ32" s="90"/>
      <c r="AK32" s="90"/>
      <c r="AL32" s="183">
        <f t="shared" si="23"/>
        <v>0</v>
      </c>
      <c r="AM32" s="182"/>
      <c r="AN32" s="90"/>
      <c r="AO32" s="90"/>
      <c r="AP32" s="183">
        <f t="shared" si="24"/>
        <v>0</v>
      </c>
      <c r="AQ32" s="182"/>
      <c r="AR32" s="90"/>
      <c r="AS32" s="90"/>
      <c r="AT32" s="183">
        <f t="shared" si="25"/>
        <v>0</v>
      </c>
      <c r="AU32" s="182"/>
      <c r="AV32" s="90"/>
      <c r="AW32" s="90"/>
      <c r="AX32" s="183">
        <f t="shared" si="26"/>
        <v>0</v>
      </c>
      <c r="AY32" s="182"/>
      <c r="AZ32" s="90"/>
      <c r="BA32" s="90"/>
      <c r="BB32" s="183">
        <f t="shared" si="27"/>
        <v>0</v>
      </c>
      <c r="BC32" s="182"/>
      <c r="BD32" s="90"/>
      <c r="BE32" s="90"/>
      <c r="BF32" s="183">
        <f t="shared" si="28"/>
        <v>0</v>
      </c>
      <c r="BG32" s="182"/>
      <c r="BH32" s="90"/>
      <c r="BI32" s="90"/>
      <c r="BJ32" s="183">
        <f t="shared" si="29"/>
        <v>0</v>
      </c>
      <c r="BK32" s="182"/>
      <c r="BL32" s="90"/>
      <c r="BM32" s="90"/>
      <c r="BN32" s="183">
        <f t="shared" si="30"/>
        <v>0</v>
      </c>
      <c r="BO32" s="182"/>
      <c r="BP32" s="90"/>
      <c r="BQ32" s="90"/>
      <c r="BR32" s="183">
        <f t="shared" si="31"/>
        <v>0</v>
      </c>
      <c r="BS32" s="182"/>
      <c r="BT32" s="90"/>
      <c r="BU32" s="90"/>
      <c r="BV32" s="183">
        <f t="shared" si="32"/>
        <v>0</v>
      </c>
      <c r="BW32" s="182"/>
      <c r="BX32" s="90"/>
      <c r="BY32" s="90"/>
      <c r="BZ32" s="183">
        <f t="shared" si="33"/>
        <v>0</v>
      </c>
      <c r="CA32" s="182"/>
      <c r="CB32" s="90"/>
      <c r="CC32" s="90"/>
      <c r="CD32" s="183">
        <f t="shared" si="34"/>
        <v>0</v>
      </c>
    </row>
    <row r="33" spans="2:82" x14ac:dyDescent="0.3">
      <c r="B33" s="53"/>
      <c r="C33" s="53" t="str">
        <f t="shared" si="0"/>
        <v>CPU_Conserva</v>
      </c>
      <c r="D33" s="278">
        <f t="shared" si="1"/>
        <v>4.2560000000000002</v>
      </c>
      <c r="E33" s="278">
        <f t="shared" si="2"/>
        <v>0</v>
      </c>
      <c r="F33" s="1"/>
      <c r="G33" s="28" t="str">
        <f>IFERROR(VLOOKUP(F33,Tabela7[[RECURSO]:[CUSTO]],2,FALSE),"")</f>
        <v/>
      </c>
      <c r="H33" s="93"/>
      <c r="I33" s="90"/>
      <c r="J33" s="45">
        <f>IFERROR(VLOOKUP(F33,Tabela7[[RECURSO]:[CUSTO]],3,FALSE),0)</f>
        <v>0</v>
      </c>
      <c r="K33" s="45">
        <f t="shared" si="35"/>
        <v>0</v>
      </c>
      <c r="O33" s="22"/>
      <c r="AD33" s="144" t="str">
        <f t="shared" si="3"/>
        <v>Conserva</v>
      </c>
      <c r="AE33" s="179"/>
      <c r="AF33" s="180">
        <f t="shared" si="21"/>
        <v>0</v>
      </c>
      <c r="AG33" s="180">
        <f t="shared" si="17"/>
        <v>0</v>
      </c>
      <c r="AH33" s="181">
        <f t="shared" si="22"/>
        <v>0</v>
      </c>
      <c r="AI33" s="182"/>
      <c r="AJ33" s="90"/>
      <c r="AK33" s="90"/>
      <c r="AL33" s="183">
        <f t="shared" si="23"/>
        <v>0</v>
      </c>
      <c r="AM33" s="182"/>
      <c r="AN33" s="90"/>
      <c r="AO33" s="90"/>
      <c r="AP33" s="183">
        <f t="shared" si="24"/>
        <v>0</v>
      </c>
      <c r="AQ33" s="182"/>
      <c r="AR33" s="90"/>
      <c r="AS33" s="90"/>
      <c r="AT33" s="183">
        <f t="shared" si="25"/>
        <v>0</v>
      </c>
      <c r="AU33" s="182"/>
      <c r="AV33" s="90"/>
      <c r="AW33" s="90"/>
      <c r="AX33" s="183">
        <f t="shared" si="26"/>
        <v>0</v>
      </c>
      <c r="AY33" s="182"/>
      <c r="AZ33" s="90"/>
      <c r="BA33" s="90"/>
      <c r="BB33" s="183">
        <f t="shared" si="27"/>
        <v>0</v>
      </c>
      <c r="BC33" s="182"/>
      <c r="BD33" s="90"/>
      <c r="BE33" s="90"/>
      <c r="BF33" s="183">
        <f t="shared" si="28"/>
        <v>0</v>
      </c>
      <c r="BG33" s="182"/>
      <c r="BH33" s="90"/>
      <c r="BI33" s="90"/>
      <c r="BJ33" s="183">
        <f t="shared" si="29"/>
        <v>0</v>
      </c>
      <c r="BK33" s="182"/>
      <c r="BL33" s="90"/>
      <c r="BM33" s="90"/>
      <c r="BN33" s="183">
        <f t="shared" si="30"/>
        <v>0</v>
      </c>
      <c r="BO33" s="182"/>
      <c r="BP33" s="90"/>
      <c r="BQ33" s="90"/>
      <c r="BR33" s="183">
        <f t="shared" si="31"/>
        <v>0</v>
      </c>
      <c r="BS33" s="182"/>
      <c r="BT33" s="90"/>
      <c r="BU33" s="90"/>
      <c r="BV33" s="183">
        <f t="shared" si="32"/>
        <v>0</v>
      </c>
      <c r="BW33" s="182"/>
      <c r="BX33" s="90"/>
      <c r="BY33" s="90"/>
      <c r="BZ33" s="183">
        <f t="shared" si="33"/>
        <v>0</v>
      </c>
      <c r="CA33" s="182"/>
      <c r="CB33" s="90"/>
      <c r="CC33" s="90"/>
      <c r="CD33" s="183">
        <f t="shared" si="34"/>
        <v>0</v>
      </c>
    </row>
    <row r="34" spans="2:82" x14ac:dyDescent="0.3">
      <c r="B34" s="53"/>
      <c r="C34" s="53" t="str">
        <f t="shared" si="0"/>
        <v>CPU_Conserva</v>
      </c>
      <c r="D34" s="278">
        <f t="shared" si="1"/>
        <v>4.2560000000000002</v>
      </c>
      <c r="E34" s="278">
        <f t="shared" si="2"/>
        <v>0</v>
      </c>
      <c r="F34" s="1"/>
      <c r="G34" s="28" t="str">
        <f>IFERROR(VLOOKUP(F34,Tabela7[[RECURSO]:[CUSTO]],2,FALSE),"")</f>
        <v/>
      </c>
      <c r="H34" s="93"/>
      <c r="I34" s="90"/>
      <c r="J34" s="45">
        <f>IFERROR(VLOOKUP(F34,Tabela7[[RECURSO]:[CUSTO]],3,FALSE),0)</f>
        <v>0</v>
      </c>
      <c r="K34" s="45">
        <f t="shared" si="35"/>
        <v>0</v>
      </c>
      <c r="AD34" s="144" t="str">
        <f t="shared" si="3"/>
        <v>Conserva</v>
      </c>
      <c r="AE34" s="179"/>
      <c r="AF34" s="180">
        <f t="shared" si="21"/>
        <v>0</v>
      </c>
      <c r="AG34" s="180">
        <f t="shared" si="17"/>
        <v>0</v>
      </c>
      <c r="AH34" s="181">
        <f t="shared" si="22"/>
        <v>0</v>
      </c>
      <c r="AI34" s="182"/>
      <c r="AJ34" s="90"/>
      <c r="AK34" s="90"/>
      <c r="AL34" s="183">
        <f t="shared" si="23"/>
        <v>0</v>
      </c>
      <c r="AM34" s="182"/>
      <c r="AN34" s="90"/>
      <c r="AO34" s="90"/>
      <c r="AP34" s="183">
        <f t="shared" si="24"/>
        <v>0</v>
      </c>
      <c r="AQ34" s="182"/>
      <c r="AR34" s="90"/>
      <c r="AS34" s="90"/>
      <c r="AT34" s="183">
        <f t="shared" si="25"/>
        <v>0</v>
      </c>
      <c r="AU34" s="182"/>
      <c r="AV34" s="90"/>
      <c r="AW34" s="90"/>
      <c r="AX34" s="183">
        <f t="shared" si="26"/>
        <v>0</v>
      </c>
      <c r="AY34" s="182"/>
      <c r="AZ34" s="90"/>
      <c r="BA34" s="90"/>
      <c r="BB34" s="183">
        <f t="shared" si="27"/>
        <v>0</v>
      </c>
      <c r="BC34" s="182"/>
      <c r="BD34" s="90"/>
      <c r="BE34" s="90"/>
      <c r="BF34" s="183">
        <f t="shared" si="28"/>
        <v>0</v>
      </c>
      <c r="BG34" s="182"/>
      <c r="BH34" s="90"/>
      <c r="BI34" s="90"/>
      <c r="BJ34" s="183">
        <f t="shared" si="29"/>
        <v>0</v>
      </c>
      <c r="BK34" s="182"/>
      <c r="BL34" s="90"/>
      <c r="BM34" s="90"/>
      <c r="BN34" s="183">
        <f t="shared" si="30"/>
        <v>0</v>
      </c>
      <c r="BO34" s="182"/>
      <c r="BP34" s="90"/>
      <c r="BQ34" s="90"/>
      <c r="BR34" s="183">
        <f t="shared" si="31"/>
        <v>0</v>
      </c>
      <c r="BS34" s="182"/>
      <c r="BT34" s="90"/>
      <c r="BU34" s="90"/>
      <c r="BV34" s="183">
        <f t="shared" si="32"/>
        <v>0</v>
      </c>
      <c r="BW34" s="182"/>
      <c r="BX34" s="90"/>
      <c r="BY34" s="90"/>
      <c r="BZ34" s="183">
        <f t="shared" si="33"/>
        <v>0</v>
      </c>
      <c r="CA34" s="182"/>
      <c r="CB34" s="90"/>
      <c r="CC34" s="90"/>
      <c r="CD34" s="183">
        <f t="shared" si="34"/>
        <v>0</v>
      </c>
    </row>
    <row r="35" spans="2:82" x14ac:dyDescent="0.3">
      <c r="B35" s="53"/>
      <c r="C35" s="53" t="str">
        <f t="shared" si="0"/>
        <v>CPU_Conserva</v>
      </c>
      <c r="D35" s="278">
        <f t="shared" si="1"/>
        <v>4.2560000000000002</v>
      </c>
      <c r="E35" s="278">
        <f t="shared" si="2"/>
        <v>0</v>
      </c>
      <c r="F35" s="1"/>
      <c r="G35" s="28" t="str">
        <f>IFERROR(VLOOKUP(F35,Tabela7[[RECURSO]:[CUSTO]],2,FALSE),"")</f>
        <v/>
      </c>
      <c r="H35" s="93"/>
      <c r="I35" s="90"/>
      <c r="J35" s="45">
        <f>IFERROR(VLOOKUP(F35,Tabela7[[RECURSO]:[CUSTO]],3,FALSE),0)</f>
        <v>0</v>
      </c>
      <c r="K35" s="45">
        <f t="shared" si="35"/>
        <v>0</v>
      </c>
      <c r="AD35" s="144" t="str">
        <f t="shared" si="3"/>
        <v>Conserva</v>
      </c>
      <c r="AE35" s="179"/>
      <c r="AF35" s="180">
        <f t="shared" si="21"/>
        <v>0</v>
      </c>
      <c r="AG35" s="180">
        <f t="shared" si="17"/>
        <v>0</v>
      </c>
      <c r="AH35" s="181">
        <f t="shared" si="22"/>
        <v>0</v>
      </c>
      <c r="AI35" s="182"/>
      <c r="AJ35" s="90"/>
      <c r="AK35" s="90"/>
      <c r="AL35" s="183">
        <f t="shared" si="23"/>
        <v>0</v>
      </c>
      <c r="AM35" s="182"/>
      <c r="AN35" s="90"/>
      <c r="AO35" s="90"/>
      <c r="AP35" s="183">
        <f t="shared" si="24"/>
        <v>0</v>
      </c>
      <c r="AQ35" s="182"/>
      <c r="AR35" s="90"/>
      <c r="AS35" s="90"/>
      <c r="AT35" s="183">
        <f t="shared" si="25"/>
        <v>0</v>
      </c>
      <c r="AU35" s="182"/>
      <c r="AV35" s="90"/>
      <c r="AW35" s="90"/>
      <c r="AX35" s="183">
        <f t="shared" si="26"/>
        <v>0</v>
      </c>
      <c r="AY35" s="182"/>
      <c r="AZ35" s="90"/>
      <c r="BA35" s="90"/>
      <c r="BB35" s="183">
        <f t="shared" si="27"/>
        <v>0</v>
      </c>
      <c r="BC35" s="182"/>
      <c r="BD35" s="90"/>
      <c r="BE35" s="90"/>
      <c r="BF35" s="183">
        <f t="shared" si="28"/>
        <v>0</v>
      </c>
      <c r="BG35" s="182"/>
      <c r="BH35" s="90"/>
      <c r="BI35" s="90"/>
      <c r="BJ35" s="183">
        <f t="shared" si="29"/>
        <v>0</v>
      </c>
      <c r="BK35" s="182"/>
      <c r="BL35" s="90"/>
      <c r="BM35" s="90"/>
      <c r="BN35" s="183">
        <f t="shared" si="30"/>
        <v>0</v>
      </c>
      <c r="BO35" s="182"/>
      <c r="BP35" s="90"/>
      <c r="BQ35" s="90"/>
      <c r="BR35" s="183">
        <f t="shared" si="31"/>
        <v>0</v>
      </c>
      <c r="BS35" s="182"/>
      <c r="BT35" s="90"/>
      <c r="BU35" s="90"/>
      <c r="BV35" s="183">
        <f t="shared" si="32"/>
        <v>0</v>
      </c>
      <c r="BW35" s="182"/>
      <c r="BX35" s="90"/>
      <c r="BY35" s="90"/>
      <c r="BZ35" s="183">
        <f t="shared" si="33"/>
        <v>0</v>
      </c>
      <c r="CA35" s="182"/>
      <c r="CB35" s="90"/>
      <c r="CC35" s="90"/>
      <c r="CD35" s="183">
        <f t="shared" si="34"/>
        <v>0</v>
      </c>
    </row>
    <row r="36" spans="2:82" x14ac:dyDescent="0.3">
      <c r="B36" s="53"/>
      <c r="C36" s="53" t="str">
        <f t="shared" si="0"/>
        <v>CPU_Conserva</v>
      </c>
      <c r="D36" s="278">
        <f t="shared" si="1"/>
        <v>4.2560000000000002</v>
      </c>
      <c r="E36" s="278">
        <f t="shared" si="2"/>
        <v>0</v>
      </c>
      <c r="F36" s="1"/>
      <c r="G36" s="28" t="str">
        <f>IFERROR(VLOOKUP(F36,Tabela7[[RECURSO]:[CUSTO]],2,FALSE),"")</f>
        <v/>
      </c>
      <c r="H36" s="93"/>
      <c r="I36" s="90"/>
      <c r="J36" s="45">
        <f>IFERROR(VLOOKUP(F36,Tabela7[[RECURSO]:[CUSTO]],3,FALSE),0)</f>
        <v>0</v>
      </c>
      <c r="K36" s="45">
        <f t="shared" si="35"/>
        <v>0</v>
      </c>
      <c r="AD36" s="144" t="str">
        <f t="shared" si="3"/>
        <v>Conserva</v>
      </c>
      <c r="AE36" s="179"/>
      <c r="AF36" s="180">
        <f t="shared" si="21"/>
        <v>0</v>
      </c>
      <c r="AG36" s="180">
        <f t="shared" si="17"/>
        <v>0</v>
      </c>
      <c r="AH36" s="181">
        <f t="shared" si="22"/>
        <v>0</v>
      </c>
      <c r="AI36" s="182"/>
      <c r="AJ36" s="90"/>
      <c r="AK36" s="90"/>
      <c r="AL36" s="183">
        <f t="shared" si="23"/>
        <v>0</v>
      </c>
      <c r="AM36" s="182"/>
      <c r="AN36" s="90"/>
      <c r="AO36" s="90"/>
      <c r="AP36" s="183">
        <f t="shared" si="24"/>
        <v>0</v>
      </c>
      <c r="AQ36" s="182"/>
      <c r="AR36" s="90"/>
      <c r="AS36" s="90"/>
      <c r="AT36" s="183">
        <f t="shared" si="25"/>
        <v>0</v>
      </c>
      <c r="AU36" s="182"/>
      <c r="AV36" s="90"/>
      <c r="AW36" s="90"/>
      <c r="AX36" s="183">
        <f t="shared" si="26"/>
        <v>0</v>
      </c>
      <c r="AY36" s="182"/>
      <c r="AZ36" s="90"/>
      <c r="BA36" s="90"/>
      <c r="BB36" s="183">
        <f t="shared" si="27"/>
        <v>0</v>
      </c>
      <c r="BC36" s="182"/>
      <c r="BD36" s="90"/>
      <c r="BE36" s="90"/>
      <c r="BF36" s="183">
        <f t="shared" si="28"/>
        <v>0</v>
      </c>
      <c r="BG36" s="182"/>
      <c r="BH36" s="90"/>
      <c r="BI36" s="90"/>
      <c r="BJ36" s="183">
        <f t="shared" si="29"/>
        <v>0</v>
      </c>
      <c r="BK36" s="182"/>
      <c r="BL36" s="90"/>
      <c r="BM36" s="90"/>
      <c r="BN36" s="183">
        <f t="shared" si="30"/>
        <v>0</v>
      </c>
      <c r="BO36" s="182"/>
      <c r="BP36" s="90"/>
      <c r="BQ36" s="90"/>
      <c r="BR36" s="183">
        <f t="shared" si="31"/>
        <v>0</v>
      </c>
      <c r="BS36" s="182"/>
      <c r="BT36" s="90"/>
      <c r="BU36" s="90"/>
      <c r="BV36" s="183">
        <f t="shared" si="32"/>
        <v>0</v>
      </c>
      <c r="BW36" s="182"/>
      <c r="BX36" s="90"/>
      <c r="BY36" s="90"/>
      <c r="BZ36" s="183">
        <f t="shared" si="33"/>
        <v>0</v>
      </c>
      <c r="CA36" s="182"/>
      <c r="CB36" s="90"/>
      <c r="CC36" s="90"/>
      <c r="CD36" s="183">
        <f t="shared" si="34"/>
        <v>0</v>
      </c>
    </row>
    <row r="37" spans="2:82" x14ac:dyDescent="0.3">
      <c r="B37" s="52" t="s">
        <v>692</v>
      </c>
      <c r="C37" s="52" t="str">
        <f t="shared" si="0"/>
        <v>CPU_Conserva</v>
      </c>
      <c r="D37" s="277">
        <f t="shared" si="1"/>
        <v>4.2560000000000002</v>
      </c>
      <c r="E37" s="277">
        <f t="shared" si="2"/>
        <v>0</v>
      </c>
      <c r="F37" s="37"/>
      <c r="G37" s="38"/>
      <c r="H37" s="91"/>
      <c r="I37" s="40"/>
      <c r="J37" s="40">
        <f>IFERROR(K37/$B$6,0)</f>
        <v>207.45440018676246</v>
      </c>
      <c r="K37" s="40">
        <f>SUM(K38:K49)</f>
        <v>882.92592719486106</v>
      </c>
      <c r="N37" s="39"/>
      <c r="AD37" s="144" t="str">
        <f t="shared" si="3"/>
        <v>Conserva</v>
      </c>
      <c r="AE37" s="184"/>
      <c r="AF37" s="40"/>
      <c r="AG37" s="40">
        <f>IFERROR(AH37/AF$3,0)</f>
        <v>0</v>
      </c>
      <c r="AH37" s="185">
        <f>SUM(AH38:AH49)</f>
        <v>0</v>
      </c>
      <c r="AI37" s="184"/>
      <c r="AJ37" s="40"/>
      <c r="AK37" s="40">
        <f>IFERROR(AL37/AJ$3,0)</f>
        <v>0</v>
      </c>
      <c r="AL37" s="185">
        <f>SUM(AL38:AL49)</f>
        <v>0</v>
      </c>
      <c r="AM37" s="184"/>
      <c r="AN37" s="40"/>
      <c r="AO37" s="40">
        <f>IFERROR(AP37/AN$3,0)</f>
        <v>0</v>
      </c>
      <c r="AP37" s="185">
        <f>SUM(AP38:AP49)</f>
        <v>0</v>
      </c>
      <c r="AQ37" s="184"/>
      <c r="AR37" s="40"/>
      <c r="AS37" s="40">
        <f>IFERROR(AT37/AR$3,0)</f>
        <v>0</v>
      </c>
      <c r="AT37" s="185">
        <f>SUM(AT38:AT49)</f>
        <v>0</v>
      </c>
      <c r="AU37" s="184"/>
      <c r="AV37" s="40"/>
      <c r="AW37" s="40">
        <f>IFERROR(AX37/AV$3,0)</f>
        <v>0</v>
      </c>
      <c r="AX37" s="185">
        <f>SUM(AX38:AX49)</f>
        <v>0</v>
      </c>
      <c r="AY37" s="184"/>
      <c r="AZ37" s="40"/>
      <c r="BA37" s="40">
        <f>IFERROR(BB37/AZ$3,0)</f>
        <v>0</v>
      </c>
      <c r="BB37" s="185">
        <f>SUM(BB38:BB49)</f>
        <v>0</v>
      </c>
      <c r="BC37" s="184"/>
      <c r="BD37" s="40"/>
      <c r="BE37" s="40">
        <f>IFERROR(BF37/BD$3,0)</f>
        <v>0</v>
      </c>
      <c r="BF37" s="185">
        <f>SUM(BF38:BF49)</f>
        <v>0</v>
      </c>
      <c r="BG37" s="184"/>
      <c r="BH37" s="40"/>
      <c r="BI37" s="40">
        <f>IFERROR(BJ37/BH$3,0)</f>
        <v>0</v>
      </c>
      <c r="BJ37" s="185">
        <f>SUM(BJ38:BJ49)</f>
        <v>0</v>
      </c>
      <c r="BK37" s="184"/>
      <c r="BL37" s="40"/>
      <c r="BM37" s="40">
        <f>IFERROR(BN37/BL$3,0)</f>
        <v>0</v>
      </c>
      <c r="BN37" s="185">
        <f>SUM(BN38:BN49)</f>
        <v>0</v>
      </c>
      <c r="BO37" s="184"/>
      <c r="BP37" s="40"/>
      <c r="BQ37" s="40">
        <f>IFERROR(BR37/BP$3,0)</f>
        <v>0</v>
      </c>
      <c r="BR37" s="185">
        <f>SUM(BR38:BR49)</f>
        <v>0</v>
      </c>
      <c r="BS37" s="184"/>
      <c r="BT37" s="40"/>
      <c r="BU37" s="40">
        <f>IFERROR(BV37/BT$3,0)</f>
        <v>0</v>
      </c>
      <c r="BV37" s="185">
        <f>SUM(BV38:BV49)</f>
        <v>0</v>
      </c>
      <c r="BW37" s="184"/>
      <c r="BX37" s="40"/>
      <c r="BY37" s="40">
        <f>IFERROR(BZ37/BX$3,0)</f>
        <v>0</v>
      </c>
      <c r="BZ37" s="185">
        <f>SUM(BZ38:BZ49)</f>
        <v>0</v>
      </c>
      <c r="CA37" s="184"/>
      <c r="CB37" s="40"/>
      <c r="CC37" s="40">
        <f>IFERROR(CD37/CB$3,0)</f>
        <v>0</v>
      </c>
      <c r="CD37" s="185">
        <f>SUM(CD38:CD49)</f>
        <v>0</v>
      </c>
    </row>
    <row r="38" spans="2:82" x14ac:dyDescent="0.3">
      <c r="B38" s="54"/>
      <c r="C38" s="54" t="str">
        <f t="shared" si="0"/>
        <v>CPU_Conserva</v>
      </c>
      <c r="D38" s="280">
        <f t="shared" si="1"/>
        <v>4.2560000000000002</v>
      </c>
      <c r="E38" s="280">
        <f t="shared" si="2"/>
        <v>0</v>
      </c>
      <c r="F38" s="1" t="s">
        <v>869</v>
      </c>
      <c r="G38" s="28" t="str">
        <f>IFERROR(VLOOKUP(F38,Tabela7[[RECURSO]:[CUSTO]],2,FALSE),"")</f>
        <v>H</v>
      </c>
      <c r="H38" s="92">
        <f>H12</f>
        <v>2</v>
      </c>
      <c r="I38" s="90">
        <v>13</v>
      </c>
      <c r="J38" s="45">
        <f>IFERROR(VLOOKUP(F38,Tabela7[[RECURSO]:[CUSTO]],3,FALSE),0)</f>
        <v>33.958689507494654</v>
      </c>
      <c r="K38" s="45">
        <f>I38*J38*CPU_2053[[#This Row],[Nº]]</f>
        <v>882.92592719486106</v>
      </c>
      <c r="M38" s="372" t="s">
        <v>872</v>
      </c>
      <c r="N38" s="373">
        <f>CPU_2053[[#This Row],[C. UNIT]]*(CPU_2053[[#This Row],[QUANT.]]-10)/1.8</f>
        <v>56.597815845824421</v>
      </c>
      <c r="O38" s="373">
        <f>N38*22</f>
        <v>1245.1519486081372</v>
      </c>
      <c r="AD38" s="144" t="str">
        <f t="shared" si="3"/>
        <v>Conserva</v>
      </c>
      <c r="AE38" s="186"/>
      <c r="AF38" s="180">
        <f t="shared" ref="AF38:AF49" si="36">AJ38+AN38+AR38+AV38+AZ38+BD38+BH38+BL38+BP38+BT38+BX38+CB38</f>
        <v>0</v>
      </c>
      <c r="AG38" s="180">
        <f t="shared" si="17"/>
        <v>0</v>
      </c>
      <c r="AH38" s="181">
        <f t="shared" ref="AH38:AH49" si="37">AL38+AP38+AT38+AX38+BB38+BF38+BJ38+BN38+BR38+BV38+BZ38+CD38</f>
        <v>0</v>
      </c>
      <c r="AI38" s="187"/>
      <c r="AJ38" s="90"/>
      <c r="AK38" s="90"/>
      <c r="AL38" s="183">
        <f t="shared" ref="AL38:AL49" si="38">AJ38*AK38</f>
        <v>0</v>
      </c>
      <c r="AM38" s="187"/>
      <c r="AN38" s="90"/>
      <c r="AO38" s="90"/>
      <c r="AP38" s="183">
        <f t="shared" si="24"/>
        <v>0</v>
      </c>
      <c r="AQ38" s="187"/>
      <c r="AR38" s="90"/>
      <c r="AS38" s="90"/>
      <c r="AT38" s="183">
        <f t="shared" si="25"/>
        <v>0</v>
      </c>
      <c r="AU38" s="187"/>
      <c r="AV38" s="90"/>
      <c r="AW38" s="90"/>
      <c r="AX38" s="183">
        <f t="shared" si="26"/>
        <v>0</v>
      </c>
      <c r="AY38" s="187"/>
      <c r="AZ38" s="90"/>
      <c r="BA38" s="90"/>
      <c r="BB38" s="183">
        <f t="shared" si="27"/>
        <v>0</v>
      </c>
      <c r="BC38" s="187"/>
      <c r="BD38" s="90"/>
      <c r="BE38" s="90"/>
      <c r="BF38" s="183">
        <f t="shared" si="28"/>
        <v>0</v>
      </c>
      <c r="BG38" s="187"/>
      <c r="BH38" s="90"/>
      <c r="BI38" s="90"/>
      <c r="BJ38" s="183">
        <f t="shared" si="29"/>
        <v>0</v>
      </c>
      <c r="BK38" s="187"/>
      <c r="BL38" s="90"/>
      <c r="BM38" s="90"/>
      <c r="BN38" s="183">
        <f t="shared" si="30"/>
        <v>0</v>
      </c>
      <c r="BO38" s="187"/>
      <c r="BP38" s="90"/>
      <c r="BQ38" s="90"/>
      <c r="BR38" s="183">
        <f t="shared" si="31"/>
        <v>0</v>
      </c>
      <c r="BS38" s="187"/>
      <c r="BT38" s="90"/>
      <c r="BU38" s="90"/>
      <c r="BV38" s="183">
        <f t="shared" si="32"/>
        <v>0</v>
      </c>
      <c r="BW38" s="187"/>
      <c r="BX38" s="90"/>
      <c r="BY38" s="90"/>
      <c r="BZ38" s="183">
        <f t="shared" si="33"/>
        <v>0</v>
      </c>
      <c r="CA38" s="187"/>
      <c r="CB38" s="90"/>
      <c r="CC38" s="90"/>
      <c r="CD38" s="183">
        <f t="shared" si="34"/>
        <v>0</v>
      </c>
    </row>
    <row r="39" spans="2:82" x14ac:dyDescent="0.3">
      <c r="B39" s="54"/>
      <c r="C39" s="54" t="str">
        <f t="shared" si="0"/>
        <v>CPU_Conserva</v>
      </c>
      <c r="D39" s="280">
        <f t="shared" si="1"/>
        <v>4.2560000000000002</v>
      </c>
      <c r="E39" s="280">
        <f t="shared" si="2"/>
        <v>0</v>
      </c>
      <c r="F39" s="1" t="s">
        <v>870</v>
      </c>
      <c r="G39" s="28" t="str">
        <f>IFERROR(VLOOKUP(F39,Tabela7[[RECURSO]:[CUSTO]],2,FALSE),"")</f>
        <v>H</v>
      </c>
      <c r="H39" s="92">
        <f>H15</f>
        <v>0</v>
      </c>
      <c r="I39" s="90">
        <v>10</v>
      </c>
      <c r="J39" s="45">
        <f>IFERROR(VLOOKUP(F39,Tabela7[[RECURSO]:[CUSTO]],3,FALSE),0)</f>
        <v>35.621612998832006</v>
      </c>
      <c r="K39" s="45">
        <f>I39*J39*CPU_2053[[#This Row],[Nº]]</f>
        <v>0</v>
      </c>
      <c r="AD39" s="144" t="str">
        <f t="shared" si="3"/>
        <v>Conserva</v>
      </c>
      <c r="AE39" s="186"/>
      <c r="AF39" s="180">
        <f t="shared" si="36"/>
        <v>0</v>
      </c>
      <c r="AG39" s="180">
        <f t="shared" si="17"/>
        <v>0</v>
      </c>
      <c r="AH39" s="181">
        <f t="shared" si="37"/>
        <v>0</v>
      </c>
      <c r="AI39" s="187"/>
      <c r="AJ39" s="90"/>
      <c r="AK39" s="90"/>
      <c r="AL39" s="183">
        <f t="shared" si="38"/>
        <v>0</v>
      </c>
      <c r="AM39" s="187"/>
      <c r="AN39" s="90"/>
      <c r="AO39" s="90"/>
      <c r="AP39" s="183">
        <f t="shared" si="24"/>
        <v>0</v>
      </c>
      <c r="AQ39" s="187"/>
      <c r="AR39" s="90"/>
      <c r="AS39" s="90"/>
      <c r="AT39" s="183">
        <f t="shared" si="25"/>
        <v>0</v>
      </c>
      <c r="AU39" s="187"/>
      <c r="AV39" s="90"/>
      <c r="AW39" s="90"/>
      <c r="AX39" s="183">
        <f t="shared" si="26"/>
        <v>0</v>
      </c>
      <c r="AY39" s="187"/>
      <c r="AZ39" s="90"/>
      <c r="BA39" s="90"/>
      <c r="BB39" s="183">
        <f t="shared" si="27"/>
        <v>0</v>
      </c>
      <c r="BC39" s="187"/>
      <c r="BD39" s="90"/>
      <c r="BE39" s="90"/>
      <c r="BF39" s="183">
        <f t="shared" si="28"/>
        <v>0</v>
      </c>
      <c r="BG39" s="187"/>
      <c r="BH39" s="90"/>
      <c r="BI39" s="90"/>
      <c r="BJ39" s="183">
        <f t="shared" si="29"/>
        <v>0</v>
      </c>
      <c r="BK39" s="187"/>
      <c r="BL39" s="90"/>
      <c r="BM39" s="90"/>
      <c r="BN39" s="183">
        <f t="shared" si="30"/>
        <v>0</v>
      </c>
      <c r="BO39" s="187"/>
      <c r="BP39" s="90"/>
      <c r="BQ39" s="90"/>
      <c r="BR39" s="183">
        <f t="shared" si="31"/>
        <v>0</v>
      </c>
      <c r="BS39" s="187"/>
      <c r="BT39" s="90"/>
      <c r="BU39" s="90"/>
      <c r="BV39" s="183">
        <f t="shared" si="32"/>
        <v>0</v>
      </c>
      <c r="BW39" s="187"/>
      <c r="BX39" s="90"/>
      <c r="BY39" s="90"/>
      <c r="BZ39" s="183">
        <f t="shared" si="33"/>
        <v>0</v>
      </c>
      <c r="CA39" s="187"/>
      <c r="CB39" s="90"/>
      <c r="CC39" s="90"/>
      <c r="CD39" s="183">
        <f t="shared" si="34"/>
        <v>0</v>
      </c>
    </row>
    <row r="40" spans="2:82" x14ac:dyDescent="0.3">
      <c r="B40" s="54"/>
      <c r="C40" s="54" t="str">
        <f t="shared" si="0"/>
        <v>CPU_Conserva</v>
      </c>
      <c r="D40" s="280">
        <f t="shared" si="1"/>
        <v>4.2560000000000002</v>
      </c>
      <c r="E40" s="280">
        <f t="shared" si="2"/>
        <v>0</v>
      </c>
      <c r="F40" s="1" t="s">
        <v>361</v>
      </c>
      <c r="G40" s="28" t="str">
        <f>IFERROR(VLOOKUP(F40,Tabela7[[RECURSO]:[CUSTO]],2,FALSE),"")</f>
        <v>H</v>
      </c>
      <c r="H40" s="92"/>
      <c r="I40" s="90">
        <v>10</v>
      </c>
      <c r="J40" s="45">
        <f>IFERROR(VLOOKUP(F40,Tabela7[[RECURSO]:[CUSTO]],3,FALSE),0)</f>
        <v>26.579984100642395</v>
      </c>
      <c r="K40" s="45">
        <f>I40*J40*CPU_2053[[#This Row],[Nº]]</f>
        <v>0</v>
      </c>
      <c r="AD40" s="144" t="str">
        <f t="shared" si="3"/>
        <v>Conserva</v>
      </c>
      <c r="AE40" s="186"/>
      <c r="AF40" s="180">
        <f t="shared" si="36"/>
        <v>0</v>
      </c>
      <c r="AG40" s="180">
        <f t="shared" si="17"/>
        <v>0</v>
      </c>
      <c r="AH40" s="181">
        <f t="shared" si="37"/>
        <v>0</v>
      </c>
      <c r="AI40" s="187"/>
      <c r="AJ40" s="90"/>
      <c r="AK40" s="90"/>
      <c r="AL40" s="183">
        <f t="shared" si="38"/>
        <v>0</v>
      </c>
      <c r="AM40" s="187"/>
      <c r="AN40" s="90"/>
      <c r="AO40" s="90"/>
      <c r="AP40" s="183">
        <f t="shared" si="24"/>
        <v>0</v>
      </c>
      <c r="AQ40" s="187"/>
      <c r="AR40" s="90"/>
      <c r="AS40" s="90"/>
      <c r="AT40" s="183">
        <f t="shared" si="25"/>
        <v>0</v>
      </c>
      <c r="AU40" s="187"/>
      <c r="AV40" s="90"/>
      <c r="AW40" s="90"/>
      <c r="AX40" s="183">
        <f t="shared" si="26"/>
        <v>0</v>
      </c>
      <c r="AY40" s="187"/>
      <c r="AZ40" s="90"/>
      <c r="BA40" s="90"/>
      <c r="BB40" s="183">
        <f t="shared" si="27"/>
        <v>0</v>
      </c>
      <c r="BC40" s="187"/>
      <c r="BD40" s="90"/>
      <c r="BE40" s="90"/>
      <c r="BF40" s="183">
        <f t="shared" si="28"/>
        <v>0</v>
      </c>
      <c r="BG40" s="187"/>
      <c r="BH40" s="90"/>
      <c r="BI40" s="90"/>
      <c r="BJ40" s="183">
        <f t="shared" si="29"/>
        <v>0</v>
      </c>
      <c r="BK40" s="187"/>
      <c r="BL40" s="90"/>
      <c r="BM40" s="90"/>
      <c r="BN40" s="183">
        <f t="shared" si="30"/>
        <v>0</v>
      </c>
      <c r="BO40" s="187"/>
      <c r="BP40" s="90"/>
      <c r="BQ40" s="90"/>
      <c r="BR40" s="183">
        <f t="shared" si="31"/>
        <v>0</v>
      </c>
      <c r="BS40" s="187"/>
      <c r="BT40" s="90"/>
      <c r="BU40" s="90"/>
      <c r="BV40" s="183">
        <f t="shared" si="32"/>
        <v>0</v>
      </c>
      <c r="BW40" s="187"/>
      <c r="BX40" s="90"/>
      <c r="BY40" s="90"/>
      <c r="BZ40" s="183">
        <f t="shared" si="33"/>
        <v>0</v>
      </c>
      <c r="CA40" s="187"/>
      <c r="CB40" s="90"/>
      <c r="CC40" s="90"/>
      <c r="CD40" s="183">
        <f t="shared" si="34"/>
        <v>0</v>
      </c>
    </row>
    <row r="41" spans="2:82" x14ac:dyDescent="0.3">
      <c r="B41" s="54"/>
      <c r="C41" s="54" t="str">
        <f t="shared" si="0"/>
        <v>CPU_Conserva</v>
      </c>
      <c r="D41" s="280">
        <f t="shared" si="1"/>
        <v>4.2560000000000002</v>
      </c>
      <c r="E41" s="280">
        <f t="shared" si="2"/>
        <v>0</v>
      </c>
      <c r="F41" s="1" t="s">
        <v>871</v>
      </c>
      <c r="G41" s="28" t="str">
        <f>IFERROR(VLOOKUP(F41,Tabela7[[RECURSO]:[CUSTO]],2,FALSE),"")</f>
        <v>H</v>
      </c>
      <c r="H41" s="92">
        <f>H14</f>
        <v>0</v>
      </c>
      <c r="I41" s="90">
        <v>10</v>
      </c>
      <c r="J41" s="45">
        <f>IFERROR(VLOOKUP(F41,Tabela7[[RECURSO]:[CUSTO]],3,FALSE),0)</f>
        <v>36.981974693400822</v>
      </c>
      <c r="K41" s="45">
        <f>I41*J41*CPU_2053[[#This Row],[Nº]]</f>
        <v>0</v>
      </c>
      <c r="AD41" s="144" t="str">
        <f t="shared" si="3"/>
        <v>Conserva</v>
      </c>
      <c r="AE41" s="186"/>
      <c r="AF41" s="180">
        <f t="shared" si="36"/>
        <v>0</v>
      </c>
      <c r="AG41" s="180">
        <f t="shared" si="17"/>
        <v>0</v>
      </c>
      <c r="AH41" s="181">
        <f t="shared" si="37"/>
        <v>0</v>
      </c>
      <c r="AI41" s="187"/>
      <c r="AJ41" s="90"/>
      <c r="AK41" s="90"/>
      <c r="AL41" s="183">
        <f t="shared" si="38"/>
        <v>0</v>
      </c>
      <c r="AM41" s="187"/>
      <c r="AN41" s="90"/>
      <c r="AO41" s="90"/>
      <c r="AP41" s="183">
        <f t="shared" si="24"/>
        <v>0</v>
      </c>
      <c r="AQ41" s="187"/>
      <c r="AR41" s="90"/>
      <c r="AS41" s="90"/>
      <c r="AT41" s="183">
        <f t="shared" si="25"/>
        <v>0</v>
      </c>
      <c r="AU41" s="187"/>
      <c r="AV41" s="90"/>
      <c r="AW41" s="90"/>
      <c r="AX41" s="183">
        <f t="shared" si="26"/>
        <v>0</v>
      </c>
      <c r="AY41" s="187"/>
      <c r="AZ41" s="90"/>
      <c r="BA41" s="90"/>
      <c r="BB41" s="183">
        <f t="shared" si="27"/>
        <v>0</v>
      </c>
      <c r="BC41" s="187"/>
      <c r="BD41" s="90"/>
      <c r="BE41" s="90"/>
      <c r="BF41" s="183">
        <f t="shared" si="28"/>
        <v>0</v>
      </c>
      <c r="BG41" s="187"/>
      <c r="BH41" s="90"/>
      <c r="BI41" s="90"/>
      <c r="BJ41" s="183">
        <f t="shared" si="29"/>
        <v>0</v>
      </c>
      <c r="BK41" s="187"/>
      <c r="BL41" s="90"/>
      <c r="BM41" s="90"/>
      <c r="BN41" s="183">
        <f t="shared" si="30"/>
        <v>0</v>
      </c>
      <c r="BO41" s="187"/>
      <c r="BP41" s="90"/>
      <c r="BQ41" s="90"/>
      <c r="BR41" s="183">
        <f t="shared" si="31"/>
        <v>0</v>
      </c>
      <c r="BS41" s="187"/>
      <c r="BT41" s="90"/>
      <c r="BU41" s="90"/>
      <c r="BV41" s="183">
        <f t="shared" si="32"/>
        <v>0</v>
      </c>
      <c r="BW41" s="187"/>
      <c r="BX41" s="90"/>
      <c r="BY41" s="90"/>
      <c r="BZ41" s="183">
        <f t="shared" si="33"/>
        <v>0</v>
      </c>
      <c r="CA41" s="187"/>
      <c r="CB41" s="90"/>
      <c r="CC41" s="90"/>
      <c r="CD41" s="183">
        <f t="shared" si="34"/>
        <v>0</v>
      </c>
    </row>
    <row r="42" spans="2:82" x14ac:dyDescent="0.3">
      <c r="B42" s="54"/>
      <c r="C42" s="54" t="str">
        <f t="shared" si="0"/>
        <v>CPU_Conserva</v>
      </c>
      <c r="D42" s="280">
        <f t="shared" si="1"/>
        <v>4.2560000000000002</v>
      </c>
      <c r="E42" s="280">
        <f t="shared" si="2"/>
        <v>0</v>
      </c>
      <c r="F42" s="1"/>
      <c r="G42" s="28" t="str">
        <f>IFERROR(VLOOKUP(F42,Tabela7[[RECURSO]:[CUSTO]],2,FALSE),"")</f>
        <v/>
      </c>
      <c r="H42" s="92"/>
      <c r="I42" s="90"/>
      <c r="J42" s="45">
        <f>IFERROR(VLOOKUP(F42,Tabela7[[RECURSO]:[CUSTO]],3,FALSE),0)</f>
        <v>0</v>
      </c>
      <c r="K42" s="45">
        <f>I42*J42*CPU_2053[[#This Row],[Nº]]</f>
        <v>0</v>
      </c>
      <c r="AD42" s="144" t="str">
        <f t="shared" si="3"/>
        <v>Conserva</v>
      </c>
      <c r="AE42" s="186"/>
      <c r="AF42" s="180">
        <f t="shared" si="36"/>
        <v>0</v>
      </c>
      <c r="AG42" s="180">
        <f t="shared" si="17"/>
        <v>0</v>
      </c>
      <c r="AH42" s="181">
        <f t="shared" si="37"/>
        <v>0</v>
      </c>
      <c r="AI42" s="187"/>
      <c r="AJ42" s="90"/>
      <c r="AK42" s="90"/>
      <c r="AL42" s="183">
        <f t="shared" si="38"/>
        <v>0</v>
      </c>
      <c r="AM42" s="187"/>
      <c r="AN42" s="90"/>
      <c r="AO42" s="90"/>
      <c r="AP42" s="183">
        <f t="shared" si="24"/>
        <v>0</v>
      </c>
      <c r="AQ42" s="187"/>
      <c r="AR42" s="90"/>
      <c r="AS42" s="90"/>
      <c r="AT42" s="183">
        <f t="shared" si="25"/>
        <v>0</v>
      </c>
      <c r="AU42" s="187"/>
      <c r="AV42" s="90"/>
      <c r="AW42" s="90"/>
      <c r="AX42" s="183">
        <f t="shared" si="26"/>
        <v>0</v>
      </c>
      <c r="AY42" s="187"/>
      <c r="AZ42" s="90"/>
      <c r="BA42" s="90"/>
      <c r="BB42" s="183">
        <f t="shared" si="27"/>
        <v>0</v>
      </c>
      <c r="BC42" s="187"/>
      <c r="BD42" s="90"/>
      <c r="BE42" s="90"/>
      <c r="BF42" s="183">
        <f t="shared" si="28"/>
        <v>0</v>
      </c>
      <c r="BG42" s="187"/>
      <c r="BH42" s="90"/>
      <c r="BI42" s="90"/>
      <c r="BJ42" s="183">
        <f t="shared" si="29"/>
        <v>0</v>
      </c>
      <c r="BK42" s="187"/>
      <c r="BL42" s="90"/>
      <c r="BM42" s="90"/>
      <c r="BN42" s="183">
        <f t="shared" si="30"/>
        <v>0</v>
      </c>
      <c r="BO42" s="187"/>
      <c r="BP42" s="90"/>
      <c r="BQ42" s="90"/>
      <c r="BR42" s="183">
        <f t="shared" si="31"/>
        <v>0</v>
      </c>
      <c r="BS42" s="187"/>
      <c r="BT42" s="90"/>
      <c r="BU42" s="90"/>
      <c r="BV42" s="183">
        <f t="shared" si="32"/>
        <v>0</v>
      </c>
      <c r="BW42" s="187"/>
      <c r="BX42" s="90"/>
      <c r="BY42" s="90"/>
      <c r="BZ42" s="183">
        <f t="shared" si="33"/>
        <v>0</v>
      </c>
      <c r="CA42" s="187"/>
      <c r="CB42" s="90"/>
      <c r="CC42" s="90"/>
      <c r="CD42" s="183">
        <f t="shared" si="34"/>
        <v>0</v>
      </c>
    </row>
    <row r="43" spans="2:82" x14ac:dyDescent="0.3">
      <c r="B43" s="54"/>
      <c r="C43" s="54" t="str">
        <f t="shared" si="0"/>
        <v>CPU_Conserva</v>
      </c>
      <c r="D43" s="280">
        <f t="shared" si="1"/>
        <v>4.2560000000000002</v>
      </c>
      <c r="E43" s="280">
        <f t="shared" si="2"/>
        <v>0</v>
      </c>
      <c r="F43" s="1"/>
      <c r="G43" s="28" t="str">
        <f>IFERROR(VLOOKUP(F43,Tabela7[[RECURSO]:[CUSTO]],2,FALSE),"")</f>
        <v/>
      </c>
      <c r="H43" s="92"/>
      <c r="I43" s="90"/>
      <c r="J43" s="45">
        <f>IFERROR(VLOOKUP(F43,Tabela7[[RECURSO]:[CUSTO]],3,FALSE),0)</f>
        <v>0</v>
      </c>
      <c r="K43" s="45">
        <f>I43*J43*CPU_2053[[#This Row],[Nº]]</f>
        <v>0</v>
      </c>
      <c r="AD43" s="144" t="str">
        <f t="shared" si="3"/>
        <v>Conserva</v>
      </c>
      <c r="AE43" s="186"/>
      <c r="AF43" s="180">
        <f t="shared" si="36"/>
        <v>0</v>
      </c>
      <c r="AG43" s="180">
        <f t="shared" si="17"/>
        <v>0</v>
      </c>
      <c r="AH43" s="181">
        <f t="shared" si="37"/>
        <v>0</v>
      </c>
      <c r="AI43" s="187"/>
      <c r="AJ43" s="90"/>
      <c r="AK43" s="90"/>
      <c r="AL43" s="183">
        <f t="shared" si="38"/>
        <v>0</v>
      </c>
      <c r="AM43" s="187"/>
      <c r="AN43" s="90"/>
      <c r="AO43" s="90"/>
      <c r="AP43" s="183">
        <f t="shared" si="24"/>
        <v>0</v>
      </c>
      <c r="AQ43" s="187"/>
      <c r="AR43" s="90"/>
      <c r="AS43" s="90"/>
      <c r="AT43" s="183">
        <f t="shared" si="25"/>
        <v>0</v>
      </c>
      <c r="AU43" s="187"/>
      <c r="AV43" s="90"/>
      <c r="AW43" s="90"/>
      <c r="AX43" s="183">
        <f t="shared" si="26"/>
        <v>0</v>
      </c>
      <c r="AY43" s="187"/>
      <c r="AZ43" s="90"/>
      <c r="BA43" s="90"/>
      <c r="BB43" s="183">
        <f t="shared" si="27"/>
        <v>0</v>
      </c>
      <c r="BC43" s="187"/>
      <c r="BD43" s="90"/>
      <c r="BE43" s="90"/>
      <c r="BF43" s="183">
        <f t="shared" si="28"/>
        <v>0</v>
      </c>
      <c r="BG43" s="187"/>
      <c r="BH43" s="90"/>
      <c r="BI43" s="90"/>
      <c r="BJ43" s="183">
        <f t="shared" si="29"/>
        <v>0</v>
      </c>
      <c r="BK43" s="187"/>
      <c r="BL43" s="90"/>
      <c r="BM43" s="90"/>
      <c r="BN43" s="183">
        <f t="shared" si="30"/>
        <v>0</v>
      </c>
      <c r="BO43" s="187"/>
      <c r="BP43" s="90"/>
      <c r="BQ43" s="90"/>
      <c r="BR43" s="183">
        <f t="shared" si="31"/>
        <v>0</v>
      </c>
      <c r="BS43" s="187"/>
      <c r="BT43" s="90"/>
      <c r="BU43" s="90"/>
      <c r="BV43" s="183">
        <f t="shared" si="32"/>
        <v>0</v>
      </c>
      <c r="BW43" s="187"/>
      <c r="BX43" s="90"/>
      <c r="BY43" s="90"/>
      <c r="BZ43" s="183">
        <f t="shared" si="33"/>
        <v>0</v>
      </c>
      <c r="CA43" s="187"/>
      <c r="CB43" s="90"/>
      <c r="CC43" s="90"/>
      <c r="CD43" s="183">
        <f t="shared" si="34"/>
        <v>0</v>
      </c>
    </row>
    <row r="44" spans="2:82" x14ac:dyDescent="0.3">
      <c r="B44" s="54"/>
      <c r="C44" s="54" t="str">
        <f t="shared" si="0"/>
        <v>CPU_Conserva</v>
      </c>
      <c r="D44" s="280">
        <f t="shared" si="1"/>
        <v>4.2560000000000002</v>
      </c>
      <c r="E44" s="280">
        <f t="shared" si="2"/>
        <v>0</v>
      </c>
      <c r="F44" s="1"/>
      <c r="G44" s="28" t="str">
        <f>IFERROR(VLOOKUP(F44,Tabela7[[RECURSO]:[CUSTO]],2,FALSE),"")</f>
        <v/>
      </c>
      <c r="H44" s="92"/>
      <c r="I44" s="90"/>
      <c r="J44" s="45">
        <f>IFERROR(VLOOKUP(F44,Tabela7[[RECURSO]:[CUSTO]],3,FALSE),0)</f>
        <v>0</v>
      </c>
      <c r="K44" s="45">
        <f>I44*J44*CPU_2053[[#This Row],[Nº]]</f>
        <v>0</v>
      </c>
      <c r="AD44" s="144" t="str">
        <f t="shared" si="3"/>
        <v>Conserva</v>
      </c>
      <c r="AE44" s="186"/>
      <c r="AF44" s="180">
        <f t="shared" si="36"/>
        <v>0</v>
      </c>
      <c r="AG44" s="180">
        <f t="shared" si="17"/>
        <v>0</v>
      </c>
      <c r="AH44" s="181">
        <f t="shared" si="37"/>
        <v>0</v>
      </c>
      <c r="AI44" s="187"/>
      <c r="AJ44" s="90"/>
      <c r="AK44" s="90"/>
      <c r="AL44" s="183">
        <f t="shared" si="38"/>
        <v>0</v>
      </c>
      <c r="AM44" s="187"/>
      <c r="AN44" s="90"/>
      <c r="AO44" s="90"/>
      <c r="AP44" s="183">
        <f t="shared" si="24"/>
        <v>0</v>
      </c>
      <c r="AQ44" s="187"/>
      <c r="AR44" s="90"/>
      <c r="AS44" s="90"/>
      <c r="AT44" s="183">
        <f t="shared" si="25"/>
        <v>0</v>
      </c>
      <c r="AU44" s="187"/>
      <c r="AV44" s="90"/>
      <c r="AW44" s="90"/>
      <c r="AX44" s="183">
        <f t="shared" si="26"/>
        <v>0</v>
      </c>
      <c r="AY44" s="187"/>
      <c r="AZ44" s="90"/>
      <c r="BA44" s="90"/>
      <c r="BB44" s="183">
        <f t="shared" si="27"/>
        <v>0</v>
      </c>
      <c r="BC44" s="187"/>
      <c r="BD44" s="90"/>
      <c r="BE44" s="90"/>
      <c r="BF44" s="183">
        <f t="shared" si="28"/>
        <v>0</v>
      </c>
      <c r="BG44" s="187"/>
      <c r="BH44" s="90"/>
      <c r="BI44" s="90"/>
      <c r="BJ44" s="183">
        <f t="shared" si="29"/>
        <v>0</v>
      </c>
      <c r="BK44" s="187"/>
      <c r="BL44" s="90"/>
      <c r="BM44" s="90"/>
      <c r="BN44" s="183">
        <f t="shared" si="30"/>
        <v>0</v>
      </c>
      <c r="BO44" s="187"/>
      <c r="BP44" s="90"/>
      <c r="BQ44" s="90"/>
      <c r="BR44" s="183">
        <f t="shared" si="31"/>
        <v>0</v>
      </c>
      <c r="BS44" s="187"/>
      <c r="BT44" s="90"/>
      <c r="BU44" s="90"/>
      <c r="BV44" s="183">
        <f t="shared" si="32"/>
        <v>0</v>
      </c>
      <c r="BW44" s="187"/>
      <c r="BX44" s="90"/>
      <c r="BY44" s="90"/>
      <c r="BZ44" s="183">
        <f t="shared" si="33"/>
        <v>0</v>
      </c>
      <c r="CA44" s="187"/>
      <c r="CB44" s="90"/>
      <c r="CC44" s="90"/>
      <c r="CD44" s="183">
        <f t="shared" si="34"/>
        <v>0</v>
      </c>
    </row>
    <row r="45" spans="2:82" x14ac:dyDescent="0.3">
      <c r="B45" s="53"/>
      <c r="C45" s="53" t="str">
        <f t="shared" si="0"/>
        <v>CPU_Conserva</v>
      </c>
      <c r="D45" s="278">
        <f t="shared" si="1"/>
        <v>4.2560000000000002</v>
      </c>
      <c r="E45" s="278">
        <f t="shared" si="2"/>
        <v>0</v>
      </c>
      <c r="F45" s="1"/>
      <c r="G45" s="28" t="str">
        <f>IFERROR(VLOOKUP(F45,Tabela7[[RECURSO]:[CUSTO]],2,FALSE),"")</f>
        <v/>
      </c>
      <c r="H45" s="92"/>
      <c r="I45" s="90"/>
      <c r="J45" s="45">
        <f>IFERROR(VLOOKUP(F45,Tabela7[[RECURSO]:[CUSTO]],3,FALSE),0)</f>
        <v>0</v>
      </c>
      <c r="K45" s="45">
        <f>I45*J45*CPU_2053[[#This Row],[Nº]]</f>
        <v>0</v>
      </c>
      <c r="AD45" s="144" t="str">
        <f t="shared" si="3"/>
        <v>Conserva</v>
      </c>
      <c r="AE45" s="188"/>
      <c r="AF45" s="180">
        <f t="shared" si="36"/>
        <v>0</v>
      </c>
      <c r="AG45" s="180">
        <f t="shared" si="17"/>
        <v>0</v>
      </c>
      <c r="AH45" s="181">
        <f t="shared" si="37"/>
        <v>0</v>
      </c>
      <c r="AI45" s="189"/>
      <c r="AJ45" s="90"/>
      <c r="AK45" s="90"/>
      <c r="AL45" s="183">
        <f t="shared" si="38"/>
        <v>0</v>
      </c>
      <c r="AM45" s="189"/>
      <c r="AN45" s="90"/>
      <c r="AO45" s="90"/>
      <c r="AP45" s="183">
        <f t="shared" si="24"/>
        <v>0</v>
      </c>
      <c r="AQ45" s="189"/>
      <c r="AR45" s="90"/>
      <c r="AS45" s="90"/>
      <c r="AT45" s="183">
        <f t="shared" si="25"/>
        <v>0</v>
      </c>
      <c r="AU45" s="189"/>
      <c r="AV45" s="90"/>
      <c r="AW45" s="90"/>
      <c r="AX45" s="183">
        <f t="shared" si="26"/>
        <v>0</v>
      </c>
      <c r="AY45" s="189"/>
      <c r="AZ45" s="90"/>
      <c r="BA45" s="90"/>
      <c r="BB45" s="183">
        <f t="shared" si="27"/>
        <v>0</v>
      </c>
      <c r="BC45" s="189"/>
      <c r="BD45" s="90"/>
      <c r="BE45" s="90"/>
      <c r="BF45" s="183">
        <f t="shared" si="28"/>
        <v>0</v>
      </c>
      <c r="BG45" s="189"/>
      <c r="BH45" s="90"/>
      <c r="BI45" s="90"/>
      <c r="BJ45" s="183">
        <f t="shared" si="29"/>
        <v>0</v>
      </c>
      <c r="BK45" s="189"/>
      <c r="BL45" s="90"/>
      <c r="BM45" s="90"/>
      <c r="BN45" s="183">
        <f t="shared" si="30"/>
        <v>0</v>
      </c>
      <c r="BO45" s="189"/>
      <c r="BP45" s="90"/>
      <c r="BQ45" s="90"/>
      <c r="BR45" s="183">
        <f t="shared" si="31"/>
        <v>0</v>
      </c>
      <c r="BS45" s="189"/>
      <c r="BT45" s="90"/>
      <c r="BU45" s="90"/>
      <c r="BV45" s="183">
        <f t="shared" si="32"/>
        <v>0</v>
      </c>
      <c r="BW45" s="189"/>
      <c r="BX45" s="90"/>
      <c r="BY45" s="90"/>
      <c r="BZ45" s="183">
        <f t="shared" si="33"/>
        <v>0</v>
      </c>
      <c r="CA45" s="189"/>
      <c r="CB45" s="90"/>
      <c r="CC45" s="90"/>
      <c r="CD45" s="183">
        <f t="shared" si="34"/>
        <v>0</v>
      </c>
    </row>
    <row r="46" spans="2:82" x14ac:dyDescent="0.3">
      <c r="B46" s="53"/>
      <c r="C46" s="53" t="str">
        <f t="shared" si="0"/>
        <v>CPU_Conserva</v>
      </c>
      <c r="D46" s="278">
        <f t="shared" si="1"/>
        <v>4.2560000000000002</v>
      </c>
      <c r="E46" s="278">
        <f t="shared" si="2"/>
        <v>0</v>
      </c>
      <c r="F46" s="1"/>
      <c r="G46" s="28" t="str">
        <f>IFERROR(VLOOKUP(F46,Tabela7[[RECURSO]:[CUSTO]],2,FALSE),"")</f>
        <v/>
      </c>
      <c r="H46" s="92"/>
      <c r="I46" s="90"/>
      <c r="J46" s="45">
        <f>IFERROR(VLOOKUP(F46,Tabela7[[RECURSO]:[CUSTO]],3,FALSE),0)</f>
        <v>0</v>
      </c>
      <c r="K46" s="45">
        <f>I46*J46*CPU_2053[[#This Row],[Nº]]</f>
        <v>0</v>
      </c>
      <c r="AD46" s="144" t="str">
        <f t="shared" si="3"/>
        <v>Conserva</v>
      </c>
      <c r="AE46" s="188"/>
      <c r="AF46" s="180">
        <f t="shared" si="36"/>
        <v>0</v>
      </c>
      <c r="AG46" s="180">
        <f t="shared" si="17"/>
        <v>0</v>
      </c>
      <c r="AH46" s="181">
        <f t="shared" si="37"/>
        <v>0</v>
      </c>
      <c r="AI46" s="189"/>
      <c r="AJ46" s="90"/>
      <c r="AK46" s="90"/>
      <c r="AL46" s="183">
        <f t="shared" si="38"/>
        <v>0</v>
      </c>
      <c r="AM46" s="189"/>
      <c r="AN46" s="90"/>
      <c r="AO46" s="90"/>
      <c r="AP46" s="183">
        <f t="shared" si="24"/>
        <v>0</v>
      </c>
      <c r="AQ46" s="189"/>
      <c r="AR46" s="90"/>
      <c r="AS46" s="90"/>
      <c r="AT46" s="183">
        <f t="shared" si="25"/>
        <v>0</v>
      </c>
      <c r="AU46" s="189"/>
      <c r="AV46" s="90"/>
      <c r="AW46" s="90"/>
      <c r="AX46" s="183">
        <f t="shared" si="26"/>
        <v>0</v>
      </c>
      <c r="AY46" s="189"/>
      <c r="AZ46" s="90"/>
      <c r="BA46" s="90"/>
      <c r="BB46" s="183">
        <f t="shared" si="27"/>
        <v>0</v>
      </c>
      <c r="BC46" s="189"/>
      <c r="BD46" s="90"/>
      <c r="BE46" s="90"/>
      <c r="BF46" s="183">
        <f t="shared" si="28"/>
        <v>0</v>
      </c>
      <c r="BG46" s="189"/>
      <c r="BH46" s="90"/>
      <c r="BI46" s="90"/>
      <c r="BJ46" s="183">
        <f t="shared" si="29"/>
        <v>0</v>
      </c>
      <c r="BK46" s="189"/>
      <c r="BL46" s="90"/>
      <c r="BM46" s="90"/>
      <c r="BN46" s="183">
        <f t="shared" si="30"/>
        <v>0</v>
      </c>
      <c r="BO46" s="189"/>
      <c r="BP46" s="90"/>
      <c r="BQ46" s="90"/>
      <c r="BR46" s="183">
        <f t="shared" si="31"/>
        <v>0</v>
      </c>
      <c r="BS46" s="189"/>
      <c r="BT46" s="90"/>
      <c r="BU46" s="90"/>
      <c r="BV46" s="183">
        <f t="shared" si="32"/>
        <v>0</v>
      </c>
      <c r="BW46" s="189"/>
      <c r="BX46" s="90"/>
      <c r="BY46" s="90"/>
      <c r="BZ46" s="183">
        <f t="shared" si="33"/>
        <v>0</v>
      </c>
      <c r="CA46" s="189"/>
      <c r="CB46" s="90"/>
      <c r="CC46" s="90"/>
      <c r="CD46" s="183">
        <f t="shared" si="34"/>
        <v>0</v>
      </c>
    </row>
    <row r="47" spans="2:82" x14ac:dyDescent="0.3">
      <c r="B47" s="53"/>
      <c r="C47" s="53" t="str">
        <f t="shared" si="0"/>
        <v>CPU_Conserva</v>
      </c>
      <c r="D47" s="278">
        <f t="shared" si="1"/>
        <v>4.2560000000000002</v>
      </c>
      <c r="E47" s="278">
        <f t="shared" si="2"/>
        <v>0</v>
      </c>
      <c r="F47" s="1"/>
      <c r="G47" s="28" t="str">
        <f>IFERROR(VLOOKUP(F47,Tabela7[[RECURSO]:[CUSTO]],2,FALSE),"")</f>
        <v/>
      </c>
      <c r="H47" s="92"/>
      <c r="I47" s="90"/>
      <c r="J47" s="45">
        <f>IFERROR(VLOOKUP(F47,Tabela7[[RECURSO]:[CUSTO]],3,FALSE),0)</f>
        <v>0</v>
      </c>
      <c r="K47" s="45">
        <f>I47*J47*CPU_2053[[#This Row],[Nº]]</f>
        <v>0</v>
      </c>
      <c r="AD47" s="144" t="str">
        <f t="shared" si="3"/>
        <v>Conserva</v>
      </c>
      <c r="AE47" s="188"/>
      <c r="AF47" s="180">
        <f t="shared" si="36"/>
        <v>0</v>
      </c>
      <c r="AG47" s="180">
        <f t="shared" si="17"/>
        <v>0</v>
      </c>
      <c r="AH47" s="181">
        <f t="shared" si="37"/>
        <v>0</v>
      </c>
      <c r="AI47" s="189"/>
      <c r="AJ47" s="90"/>
      <c r="AK47" s="90"/>
      <c r="AL47" s="183">
        <f t="shared" si="38"/>
        <v>0</v>
      </c>
      <c r="AM47" s="189"/>
      <c r="AN47" s="90"/>
      <c r="AO47" s="90"/>
      <c r="AP47" s="183">
        <f t="shared" si="24"/>
        <v>0</v>
      </c>
      <c r="AQ47" s="189"/>
      <c r="AR47" s="90"/>
      <c r="AS47" s="90"/>
      <c r="AT47" s="183">
        <f t="shared" si="25"/>
        <v>0</v>
      </c>
      <c r="AU47" s="189"/>
      <c r="AV47" s="90"/>
      <c r="AW47" s="90"/>
      <c r="AX47" s="183">
        <f t="shared" si="26"/>
        <v>0</v>
      </c>
      <c r="AY47" s="189"/>
      <c r="AZ47" s="90"/>
      <c r="BA47" s="90"/>
      <c r="BB47" s="183">
        <f t="shared" si="27"/>
        <v>0</v>
      </c>
      <c r="BC47" s="189"/>
      <c r="BD47" s="90"/>
      <c r="BE47" s="90"/>
      <c r="BF47" s="183">
        <f t="shared" si="28"/>
        <v>0</v>
      </c>
      <c r="BG47" s="189"/>
      <c r="BH47" s="90"/>
      <c r="BI47" s="90"/>
      <c r="BJ47" s="183">
        <f t="shared" si="29"/>
        <v>0</v>
      </c>
      <c r="BK47" s="189"/>
      <c r="BL47" s="90"/>
      <c r="BM47" s="90"/>
      <c r="BN47" s="183">
        <f t="shared" si="30"/>
        <v>0</v>
      </c>
      <c r="BO47" s="189"/>
      <c r="BP47" s="90"/>
      <c r="BQ47" s="90"/>
      <c r="BR47" s="183">
        <f t="shared" si="31"/>
        <v>0</v>
      </c>
      <c r="BS47" s="189"/>
      <c r="BT47" s="90"/>
      <c r="BU47" s="90"/>
      <c r="BV47" s="183">
        <f t="shared" si="32"/>
        <v>0</v>
      </c>
      <c r="BW47" s="189"/>
      <c r="BX47" s="90"/>
      <c r="BY47" s="90"/>
      <c r="BZ47" s="183">
        <f t="shared" si="33"/>
        <v>0</v>
      </c>
      <c r="CA47" s="189"/>
      <c r="CB47" s="90"/>
      <c r="CC47" s="90"/>
      <c r="CD47" s="183">
        <f t="shared" si="34"/>
        <v>0</v>
      </c>
    </row>
    <row r="48" spans="2:82" x14ac:dyDescent="0.3">
      <c r="B48" s="53"/>
      <c r="C48" s="53" t="str">
        <f t="shared" si="0"/>
        <v>CPU_Conserva</v>
      </c>
      <c r="D48" s="278">
        <f t="shared" si="1"/>
        <v>4.2560000000000002</v>
      </c>
      <c r="E48" s="278">
        <f t="shared" si="2"/>
        <v>0</v>
      </c>
      <c r="F48" s="1"/>
      <c r="G48" s="28" t="str">
        <f>IFERROR(VLOOKUP(F48,Tabela7[[RECURSO]:[CUSTO]],2,FALSE),"")</f>
        <v/>
      </c>
      <c r="H48" s="92"/>
      <c r="I48" s="90"/>
      <c r="J48" s="45">
        <f>IFERROR(VLOOKUP(F48,Tabela7[[RECURSO]:[CUSTO]],3,FALSE),0)</f>
        <v>0</v>
      </c>
      <c r="K48" s="45">
        <f>I48*J48*CPU_2053[[#This Row],[Nº]]</f>
        <v>0</v>
      </c>
      <c r="AD48" s="144" t="str">
        <f t="shared" si="3"/>
        <v>Conserva</v>
      </c>
      <c r="AE48" s="188"/>
      <c r="AF48" s="180">
        <f t="shared" si="36"/>
        <v>0</v>
      </c>
      <c r="AG48" s="180">
        <f t="shared" si="17"/>
        <v>0</v>
      </c>
      <c r="AH48" s="181">
        <f t="shared" si="37"/>
        <v>0</v>
      </c>
      <c r="AI48" s="189"/>
      <c r="AJ48" s="90"/>
      <c r="AK48" s="90"/>
      <c r="AL48" s="183">
        <f t="shared" si="38"/>
        <v>0</v>
      </c>
      <c r="AM48" s="189"/>
      <c r="AN48" s="90"/>
      <c r="AO48" s="90"/>
      <c r="AP48" s="183">
        <f t="shared" si="24"/>
        <v>0</v>
      </c>
      <c r="AQ48" s="189"/>
      <c r="AR48" s="90"/>
      <c r="AS48" s="90"/>
      <c r="AT48" s="183">
        <f t="shared" si="25"/>
        <v>0</v>
      </c>
      <c r="AU48" s="189"/>
      <c r="AV48" s="90"/>
      <c r="AW48" s="90"/>
      <c r="AX48" s="183">
        <f t="shared" si="26"/>
        <v>0</v>
      </c>
      <c r="AY48" s="189"/>
      <c r="AZ48" s="90"/>
      <c r="BA48" s="90"/>
      <c r="BB48" s="183">
        <f t="shared" si="27"/>
        <v>0</v>
      </c>
      <c r="BC48" s="189"/>
      <c r="BD48" s="90"/>
      <c r="BE48" s="90"/>
      <c r="BF48" s="183">
        <f t="shared" si="28"/>
        <v>0</v>
      </c>
      <c r="BG48" s="189"/>
      <c r="BH48" s="90"/>
      <c r="BI48" s="90"/>
      <c r="BJ48" s="183">
        <f t="shared" si="29"/>
        <v>0</v>
      </c>
      <c r="BK48" s="189"/>
      <c r="BL48" s="90"/>
      <c r="BM48" s="90"/>
      <c r="BN48" s="183">
        <f t="shared" si="30"/>
        <v>0</v>
      </c>
      <c r="BO48" s="189"/>
      <c r="BP48" s="90"/>
      <c r="BQ48" s="90"/>
      <c r="BR48" s="183">
        <f t="shared" si="31"/>
        <v>0</v>
      </c>
      <c r="BS48" s="189"/>
      <c r="BT48" s="90"/>
      <c r="BU48" s="90"/>
      <c r="BV48" s="183">
        <f t="shared" si="32"/>
        <v>0</v>
      </c>
      <c r="BW48" s="189"/>
      <c r="BX48" s="90"/>
      <c r="BY48" s="90"/>
      <c r="BZ48" s="183">
        <f t="shared" si="33"/>
        <v>0</v>
      </c>
      <c r="CA48" s="189"/>
      <c r="CB48" s="90"/>
      <c r="CC48" s="90"/>
      <c r="CD48" s="183">
        <f t="shared" si="34"/>
        <v>0</v>
      </c>
    </row>
    <row r="49" spans="2:82" ht="15" thickBot="1" x14ac:dyDescent="0.35">
      <c r="B49" s="53"/>
      <c r="C49" s="53" t="str">
        <f t="shared" si="0"/>
        <v>CPU_Conserva</v>
      </c>
      <c r="D49" s="278">
        <f t="shared" si="1"/>
        <v>4.2560000000000002</v>
      </c>
      <c r="E49" s="278">
        <f t="shared" si="2"/>
        <v>0</v>
      </c>
      <c r="F49" s="1"/>
      <c r="G49" s="28" t="str">
        <f>IFERROR(VLOOKUP(F49,Tabela7[[RECURSO]:[CUSTO]],2,FALSE),"")</f>
        <v/>
      </c>
      <c r="H49" s="92"/>
      <c r="I49" s="90"/>
      <c r="J49" s="45">
        <f>IFERROR(VLOOKUP(F49,Tabela7[[RECURSO]:[CUSTO]],3,FALSE),0)</f>
        <v>0</v>
      </c>
      <c r="K49" s="45">
        <f>I49*J49*CPU_2053[[#This Row],[Nº]]</f>
        <v>0</v>
      </c>
      <c r="M49" s="83" t="s">
        <v>701</v>
      </c>
      <c r="N49" s="87" t="s">
        <v>702</v>
      </c>
      <c r="AD49" s="144" t="str">
        <f t="shared" si="3"/>
        <v>Conserva</v>
      </c>
      <c r="AE49" s="188"/>
      <c r="AF49" s="180">
        <f t="shared" si="36"/>
        <v>0</v>
      </c>
      <c r="AG49" s="180">
        <f t="shared" si="17"/>
        <v>0</v>
      </c>
      <c r="AH49" s="181">
        <f t="shared" si="37"/>
        <v>0</v>
      </c>
      <c r="AI49" s="189"/>
      <c r="AJ49" s="90"/>
      <c r="AK49" s="90"/>
      <c r="AL49" s="183">
        <f t="shared" si="38"/>
        <v>0</v>
      </c>
      <c r="AM49" s="189"/>
      <c r="AN49" s="90"/>
      <c r="AO49" s="90"/>
      <c r="AP49" s="183">
        <f t="shared" si="24"/>
        <v>0</v>
      </c>
      <c r="AQ49" s="189"/>
      <c r="AR49" s="90"/>
      <c r="AS49" s="90"/>
      <c r="AT49" s="183">
        <f t="shared" si="25"/>
        <v>0</v>
      </c>
      <c r="AU49" s="189"/>
      <c r="AV49" s="90"/>
      <c r="AW49" s="90"/>
      <c r="AX49" s="183">
        <f t="shared" si="26"/>
        <v>0</v>
      </c>
      <c r="AY49" s="189"/>
      <c r="AZ49" s="90"/>
      <c r="BA49" s="90"/>
      <c r="BB49" s="183">
        <f t="shared" si="27"/>
        <v>0</v>
      </c>
      <c r="BC49" s="189"/>
      <c r="BD49" s="90"/>
      <c r="BE49" s="90"/>
      <c r="BF49" s="183">
        <f t="shared" si="28"/>
        <v>0</v>
      </c>
      <c r="BG49" s="189"/>
      <c r="BH49" s="90"/>
      <c r="BI49" s="90"/>
      <c r="BJ49" s="183">
        <f t="shared" si="29"/>
        <v>0</v>
      </c>
      <c r="BK49" s="189"/>
      <c r="BL49" s="90"/>
      <c r="BM49" s="90"/>
      <c r="BN49" s="183">
        <f t="shared" si="30"/>
        <v>0</v>
      </c>
      <c r="BO49" s="189"/>
      <c r="BP49" s="90"/>
      <c r="BQ49" s="90"/>
      <c r="BR49" s="183">
        <f t="shared" si="31"/>
        <v>0</v>
      </c>
      <c r="BS49" s="189"/>
      <c r="BT49" s="90"/>
      <c r="BU49" s="90"/>
      <c r="BV49" s="183">
        <f t="shared" si="32"/>
        <v>0</v>
      </c>
      <c r="BW49" s="189"/>
      <c r="BX49" s="90"/>
      <c r="BY49" s="90"/>
      <c r="BZ49" s="183">
        <f t="shared" si="33"/>
        <v>0</v>
      </c>
      <c r="CA49" s="189"/>
      <c r="CB49" s="90"/>
      <c r="CC49" s="90"/>
      <c r="CD49" s="183">
        <f t="shared" si="34"/>
        <v>0</v>
      </c>
    </row>
    <row r="50" spans="2:82" x14ac:dyDescent="0.3">
      <c r="B50" s="52" t="s">
        <v>693</v>
      </c>
      <c r="C50" s="52" t="str">
        <f t="shared" si="0"/>
        <v>CPU_Conserva</v>
      </c>
      <c r="D50" s="277">
        <f t="shared" si="1"/>
        <v>4.2560000000000002</v>
      </c>
      <c r="E50" s="277">
        <f t="shared" si="2"/>
        <v>0</v>
      </c>
      <c r="F50" s="37"/>
      <c r="G50" s="38"/>
      <c r="H50" s="38"/>
      <c r="I50" s="37"/>
      <c r="J50" s="40">
        <f>IFERROR(K50/$B$6,0)</f>
        <v>0</v>
      </c>
      <c r="K50" s="40">
        <f>SUM(K51:K62)</f>
        <v>0</v>
      </c>
      <c r="M50" s="84" t="str">
        <f>"Consumo por "&amp;J3</f>
        <v>Consumo por HÁ</v>
      </c>
      <c r="N50" s="89"/>
      <c r="AD50" s="144" t="str">
        <f t="shared" si="3"/>
        <v>Conserva</v>
      </c>
      <c r="AE50" s="190"/>
      <c r="AF50" s="191"/>
      <c r="AG50" s="40">
        <f>IFERROR(AH50/AF$3,0)</f>
        <v>0</v>
      </c>
      <c r="AH50" s="185">
        <f>SUM(AH51:AH62)</f>
        <v>0</v>
      </c>
      <c r="AI50" s="190"/>
      <c r="AJ50" s="37"/>
      <c r="AK50" s="40">
        <f>IFERROR(AL50/AJ$3,0)</f>
        <v>0</v>
      </c>
      <c r="AL50" s="185">
        <f>SUM(AL51:AL62)</f>
        <v>0</v>
      </c>
      <c r="AM50" s="190"/>
      <c r="AN50" s="37"/>
      <c r="AO50" s="40">
        <f>IFERROR(AP50/AN$3,0)</f>
        <v>0</v>
      </c>
      <c r="AP50" s="185">
        <f>SUM(AP51:AP62)</f>
        <v>0</v>
      </c>
      <c r="AQ50" s="190"/>
      <c r="AR50" s="37"/>
      <c r="AS50" s="40">
        <f>IFERROR(AT50/AR$3,0)</f>
        <v>0</v>
      </c>
      <c r="AT50" s="185">
        <f>SUM(AT51:AT62)</f>
        <v>0</v>
      </c>
      <c r="AU50" s="190"/>
      <c r="AV50" s="37"/>
      <c r="AW50" s="40">
        <f>IFERROR(AX50/AV$3,0)</f>
        <v>0</v>
      </c>
      <c r="AX50" s="185">
        <f>SUM(AX51:AX62)</f>
        <v>0</v>
      </c>
      <c r="AY50" s="190"/>
      <c r="AZ50" s="37"/>
      <c r="BA50" s="40">
        <f>IFERROR(BB50/AZ$3,0)</f>
        <v>0</v>
      </c>
      <c r="BB50" s="185">
        <f>SUM(BB51:BB62)</f>
        <v>0</v>
      </c>
      <c r="BC50" s="190"/>
      <c r="BD50" s="37"/>
      <c r="BE50" s="40">
        <f>IFERROR(BF50/BD$3,0)</f>
        <v>0</v>
      </c>
      <c r="BF50" s="185">
        <f>SUM(BF51:BF62)</f>
        <v>0</v>
      </c>
      <c r="BG50" s="190"/>
      <c r="BH50" s="37"/>
      <c r="BI50" s="40">
        <f>IFERROR(BJ50/BH$3,0)</f>
        <v>0</v>
      </c>
      <c r="BJ50" s="185">
        <f>SUM(BJ51:BJ62)</f>
        <v>0</v>
      </c>
      <c r="BK50" s="190"/>
      <c r="BL50" s="37"/>
      <c r="BM50" s="40">
        <f>IFERROR(BN50/BL$3,0)</f>
        <v>0</v>
      </c>
      <c r="BN50" s="185">
        <f>SUM(BN51:BN62)</f>
        <v>0</v>
      </c>
      <c r="BO50" s="190"/>
      <c r="BP50" s="37"/>
      <c r="BQ50" s="40">
        <f>IFERROR(BR50/BP$3,0)</f>
        <v>0</v>
      </c>
      <c r="BR50" s="185">
        <f>SUM(BR51:BR62)</f>
        <v>0</v>
      </c>
      <c r="BS50" s="190"/>
      <c r="BT50" s="37"/>
      <c r="BU50" s="40">
        <f>IFERROR(BV50/BT$3,0)</f>
        <v>0</v>
      </c>
      <c r="BV50" s="185">
        <f>SUM(BV51:BV62)</f>
        <v>0</v>
      </c>
      <c r="BW50" s="190"/>
      <c r="BX50" s="37"/>
      <c r="BY50" s="40">
        <f>IFERROR(BZ50/BX$3,0)</f>
        <v>0</v>
      </c>
      <c r="BZ50" s="185">
        <f>SUM(BZ51:BZ62)</f>
        <v>0</v>
      </c>
      <c r="CA50" s="190"/>
      <c r="CB50" s="37"/>
      <c r="CC50" s="40">
        <f>IFERROR(CD50/CB$3,0)</f>
        <v>0</v>
      </c>
      <c r="CD50" s="185">
        <f>SUM(CD51:CD62)</f>
        <v>0</v>
      </c>
    </row>
    <row r="51" spans="2:82" x14ac:dyDescent="0.3">
      <c r="B51" s="53"/>
      <c r="C51" s="53" t="str">
        <f t="shared" si="0"/>
        <v>CPU_Conserva</v>
      </c>
      <c r="D51" s="278">
        <f t="shared" si="1"/>
        <v>4.2560000000000002</v>
      </c>
      <c r="E51" s="278">
        <f t="shared" si="2"/>
        <v>0</v>
      </c>
      <c r="F51" s="1"/>
      <c r="G51" s="28" t="str">
        <f>IFERROR(VLOOKUP(F51,Tabela7[[RECURSO]:[CUSTO]],2,FALSE),"")</f>
        <v/>
      </c>
      <c r="I51" s="90">
        <f>IFERROR(M51*$B$6,0)</f>
        <v>0</v>
      </c>
      <c r="J51" s="45">
        <f>IFERROR(VLOOKUP(F51,Tabela7[[RECURSO]:[CUSTO]],3,FALSE),0)</f>
        <v>0</v>
      </c>
      <c r="K51" s="45">
        <f>I51*J51</f>
        <v>0</v>
      </c>
      <c r="M51" s="85"/>
      <c r="N51" s="88"/>
      <c r="AD51" s="144" t="str">
        <f t="shared" si="3"/>
        <v>Conserva</v>
      </c>
      <c r="AE51" s="192"/>
      <c r="AF51" s="180">
        <f t="shared" ref="AF51:AF62" si="39">AJ51+AN51+AR51+AV51+AZ51+BD51+BH51+BL51+BP51+BT51+BX51+CB51</f>
        <v>0</v>
      </c>
      <c r="AG51" s="180">
        <f t="shared" si="17"/>
        <v>0</v>
      </c>
      <c r="AH51" s="181">
        <f t="shared" ref="AH51:AH62" si="40">AL51+AP51+AT51+AX51+BB51+BF51+BJ51+BN51+BR51+BV51+BZ51+CD51</f>
        <v>0</v>
      </c>
      <c r="AI51" s="193"/>
      <c r="AJ51" s="90"/>
      <c r="AK51" s="90"/>
      <c r="AL51" s="183">
        <f t="shared" ref="AL51:AL62" si="41">AJ51*AK51</f>
        <v>0</v>
      </c>
      <c r="AM51" s="193"/>
      <c r="AN51" s="90"/>
      <c r="AO51" s="90"/>
      <c r="AP51" s="183">
        <f t="shared" si="24"/>
        <v>0</v>
      </c>
      <c r="AQ51" s="193"/>
      <c r="AR51" s="90"/>
      <c r="AS51" s="90"/>
      <c r="AT51" s="183">
        <f t="shared" si="25"/>
        <v>0</v>
      </c>
      <c r="AU51" s="193"/>
      <c r="AV51" s="90"/>
      <c r="AW51" s="90"/>
      <c r="AX51" s="183">
        <f t="shared" si="26"/>
        <v>0</v>
      </c>
      <c r="AY51" s="193"/>
      <c r="AZ51" s="90"/>
      <c r="BA51" s="90"/>
      <c r="BB51" s="183">
        <f t="shared" si="27"/>
        <v>0</v>
      </c>
      <c r="BC51" s="193"/>
      <c r="BD51" s="90"/>
      <c r="BE51" s="90"/>
      <c r="BF51" s="183">
        <f t="shared" si="28"/>
        <v>0</v>
      </c>
      <c r="BG51" s="193"/>
      <c r="BH51" s="90"/>
      <c r="BI51" s="90"/>
      <c r="BJ51" s="183">
        <f t="shared" si="29"/>
        <v>0</v>
      </c>
      <c r="BK51" s="193"/>
      <c r="BL51" s="90"/>
      <c r="BM51" s="90"/>
      <c r="BN51" s="183">
        <f t="shared" si="30"/>
        <v>0</v>
      </c>
      <c r="BO51" s="193"/>
      <c r="BP51" s="90"/>
      <c r="BQ51" s="90"/>
      <c r="BR51" s="183">
        <f t="shared" si="31"/>
        <v>0</v>
      </c>
      <c r="BS51" s="193"/>
      <c r="BT51" s="90"/>
      <c r="BU51" s="90"/>
      <c r="BV51" s="183">
        <f t="shared" si="32"/>
        <v>0</v>
      </c>
      <c r="BW51" s="193"/>
      <c r="BX51" s="90"/>
      <c r="BY51" s="90"/>
      <c r="BZ51" s="183">
        <f t="shared" si="33"/>
        <v>0</v>
      </c>
      <c r="CA51" s="193"/>
      <c r="CB51" s="90"/>
      <c r="CC51" s="90"/>
      <c r="CD51" s="183">
        <f t="shared" si="34"/>
        <v>0</v>
      </c>
    </row>
    <row r="52" spans="2:82" x14ac:dyDescent="0.3">
      <c r="B52" s="53"/>
      <c r="C52" s="53" t="str">
        <f t="shared" si="0"/>
        <v>CPU_Conserva</v>
      </c>
      <c r="D52" s="278">
        <f t="shared" si="1"/>
        <v>4.2560000000000002</v>
      </c>
      <c r="E52" s="278">
        <f t="shared" si="2"/>
        <v>0</v>
      </c>
      <c r="F52" s="1"/>
      <c r="G52" s="28" t="str">
        <f>IFERROR(VLOOKUP(F52,Tabela7[[RECURSO]:[CUSTO]],2,FALSE),"")</f>
        <v/>
      </c>
      <c r="I52" s="90">
        <f t="shared" ref="I52:I62" si="42">IFERROR(M52*$B$6,0)</f>
        <v>0</v>
      </c>
      <c r="J52" s="45">
        <f>IFERROR(VLOOKUP(F52,Tabela7[[RECURSO]:[CUSTO]],3,FALSE),0)</f>
        <v>0</v>
      </c>
      <c r="K52" s="45">
        <f t="shared" ref="K52:K62" si="43">I52*J52</f>
        <v>0</v>
      </c>
      <c r="M52" s="85"/>
      <c r="N52" s="88"/>
      <c r="AD52" s="144" t="str">
        <f t="shared" si="3"/>
        <v>Conserva</v>
      </c>
      <c r="AE52" s="192"/>
      <c r="AF52" s="180">
        <f t="shared" si="39"/>
        <v>0</v>
      </c>
      <c r="AG52" s="180">
        <f t="shared" si="17"/>
        <v>0</v>
      </c>
      <c r="AH52" s="181">
        <f t="shared" si="40"/>
        <v>0</v>
      </c>
      <c r="AI52" s="193"/>
      <c r="AJ52" s="90"/>
      <c r="AK52" s="90"/>
      <c r="AL52" s="183">
        <f t="shared" si="41"/>
        <v>0</v>
      </c>
      <c r="AM52" s="193"/>
      <c r="AN52" s="90"/>
      <c r="AO52" s="90"/>
      <c r="AP52" s="183">
        <f t="shared" si="24"/>
        <v>0</v>
      </c>
      <c r="AQ52" s="193"/>
      <c r="AR52" s="90"/>
      <c r="AS52" s="90"/>
      <c r="AT52" s="183">
        <f t="shared" si="25"/>
        <v>0</v>
      </c>
      <c r="AU52" s="193"/>
      <c r="AV52" s="90"/>
      <c r="AW52" s="90"/>
      <c r="AX52" s="183">
        <f t="shared" si="26"/>
        <v>0</v>
      </c>
      <c r="AY52" s="193"/>
      <c r="AZ52" s="90"/>
      <c r="BA52" s="90"/>
      <c r="BB52" s="183">
        <f t="shared" si="27"/>
        <v>0</v>
      </c>
      <c r="BC52" s="193"/>
      <c r="BD52" s="90"/>
      <c r="BE52" s="90"/>
      <c r="BF52" s="183">
        <f t="shared" si="28"/>
        <v>0</v>
      </c>
      <c r="BG52" s="193"/>
      <c r="BH52" s="90"/>
      <c r="BI52" s="90"/>
      <c r="BJ52" s="183">
        <f t="shared" si="29"/>
        <v>0</v>
      </c>
      <c r="BK52" s="193"/>
      <c r="BL52" s="90"/>
      <c r="BM52" s="90"/>
      <c r="BN52" s="183">
        <f t="shared" si="30"/>
        <v>0</v>
      </c>
      <c r="BO52" s="193"/>
      <c r="BP52" s="90"/>
      <c r="BQ52" s="90"/>
      <c r="BR52" s="183">
        <f t="shared" si="31"/>
        <v>0</v>
      </c>
      <c r="BS52" s="193"/>
      <c r="BT52" s="90"/>
      <c r="BU52" s="90"/>
      <c r="BV52" s="183">
        <f t="shared" si="32"/>
        <v>0</v>
      </c>
      <c r="BW52" s="193"/>
      <c r="BX52" s="90"/>
      <c r="BY52" s="90"/>
      <c r="BZ52" s="183">
        <f t="shared" si="33"/>
        <v>0</v>
      </c>
      <c r="CA52" s="193"/>
      <c r="CB52" s="90"/>
      <c r="CC52" s="90"/>
      <c r="CD52" s="183">
        <f t="shared" si="34"/>
        <v>0</v>
      </c>
    </row>
    <row r="53" spans="2:82" x14ac:dyDescent="0.3">
      <c r="B53" s="53"/>
      <c r="C53" s="53" t="str">
        <f t="shared" si="0"/>
        <v>CPU_Conserva</v>
      </c>
      <c r="D53" s="278">
        <f t="shared" si="1"/>
        <v>4.2560000000000002</v>
      </c>
      <c r="E53" s="278">
        <f t="shared" si="2"/>
        <v>0</v>
      </c>
      <c r="F53" s="1"/>
      <c r="G53" s="28" t="str">
        <f>IFERROR(VLOOKUP(F53,Tabela7[[RECURSO]:[CUSTO]],2,FALSE),"")</f>
        <v/>
      </c>
      <c r="I53" s="90">
        <f t="shared" si="42"/>
        <v>0</v>
      </c>
      <c r="J53" s="45">
        <f>IFERROR(VLOOKUP(F53,Tabela7[[RECURSO]:[CUSTO]],3,FALSE),0)</f>
        <v>0</v>
      </c>
      <c r="K53" s="45">
        <f t="shared" si="43"/>
        <v>0</v>
      </c>
      <c r="M53" s="85"/>
      <c r="N53" s="88"/>
      <c r="AD53" s="144" t="str">
        <f t="shared" si="3"/>
        <v>Conserva</v>
      </c>
      <c r="AE53" s="192"/>
      <c r="AF53" s="180">
        <f t="shared" si="39"/>
        <v>0</v>
      </c>
      <c r="AG53" s="180">
        <f t="shared" si="17"/>
        <v>0</v>
      </c>
      <c r="AH53" s="181">
        <f t="shared" si="40"/>
        <v>0</v>
      </c>
      <c r="AI53" s="193"/>
      <c r="AJ53" s="90"/>
      <c r="AK53" s="90"/>
      <c r="AL53" s="183">
        <f t="shared" si="41"/>
        <v>0</v>
      </c>
      <c r="AM53" s="193"/>
      <c r="AN53" s="90"/>
      <c r="AO53" s="90"/>
      <c r="AP53" s="183">
        <f t="shared" si="24"/>
        <v>0</v>
      </c>
      <c r="AQ53" s="193"/>
      <c r="AR53" s="90"/>
      <c r="AS53" s="90"/>
      <c r="AT53" s="183">
        <f t="shared" si="25"/>
        <v>0</v>
      </c>
      <c r="AU53" s="193"/>
      <c r="AV53" s="90"/>
      <c r="AW53" s="90"/>
      <c r="AX53" s="183">
        <f t="shared" si="26"/>
        <v>0</v>
      </c>
      <c r="AY53" s="193"/>
      <c r="AZ53" s="90"/>
      <c r="BA53" s="90"/>
      <c r="BB53" s="183">
        <f t="shared" si="27"/>
        <v>0</v>
      </c>
      <c r="BC53" s="193"/>
      <c r="BD53" s="90"/>
      <c r="BE53" s="90"/>
      <c r="BF53" s="183">
        <f t="shared" si="28"/>
        <v>0</v>
      </c>
      <c r="BG53" s="193"/>
      <c r="BH53" s="90"/>
      <c r="BI53" s="90"/>
      <c r="BJ53" s="183">
        <f t="shared" si="29"/>
        <v>0</v>
      </c>
      <c r="BK53" s="193"/>
      <c r="BL53" s="90"/>
      <c r="BM53" s="90"/>
      <c r="BN53" s="183">
        <f t="shared" si="30"/>
        <v>0</v>
      </c>
      <c r="BO53" s="193"/>
      <c r="BP53" s="90"/>
      <c r="BQ53" s="90"/>
      <c r="BR53" s="183">
        <f t="shared" si="31"/>
        <v>0</v>
      </c>
      <c r="BS53" s="193"/>
      <c r="BT53" s="90"/>
      <c r="BU53" s="90"/>
      <c r="BV53" s="183">
        <f t="shared" si="32"/>
        <v>0</v>
      </c>
      <c r="BW53" s="193"/>
      <c r="BX53" s="90"/>
      <c r="BY53" s="90"/>
      <c r="BZ53" s="183">
        <f t="shared" si="33"/>
        <v>0</v>
      </c>
      <c r="CA53" s="193"/>
      <c r="CB53" s="90"/>
      <c r="CC53" s="90"/>
      <c r="CD53" s="183">
        <f t="shared" si="34"/>
        <v>0</v>
      </c>
    </row>
    <row r="54" spans="2:82" x14ac:dyDescent="0.3">
      <c r="B54" s="53"/>
      <c r="C54" s="53" t="str">
        <f t="shared" si="0"/>
        <v>CPU_Conserva</v>
      </c>
      <c r="D54" s="278">
        <f t="shared" si="1"/>
        <v>4.2560000000000002</v>
      </c>
      <c r="E54" s="278">
        <f t="shared" si="2"/>
        <v>0</v>
      </c>
      <c r="F54" s="1"/>
      <c r="G54" s="28" t="str">
        <f>IFERROR(VLOOKUP(F54,Tabela7[[RECURSO]:[CUSTO]],2,FALSE),"")</f>
        <v/>
      </c>
      <c r="I54" s="90">
        <f t="shared" si="42"/>
        <v>0</v>
      </c>
      <c r="J54" s="45">
        <f>IFERROR(VLOOKUP(F54,Tabela7[[RECURSO]:[CUSTO]],3,FALSE),0)</f>
        <v>0</v>
      </c>
      <c r="K54" s="45">
        <f>I54*J54</f>
        <v>0</v>
      </c>
      <c r="M54" s="85"/>
      <c r="N54" s="88"/>
      <c r="AD54" s="144" t="str">
        <f>$B$3</f>
        <v>Conserva</v>
      </c>
      <c r="AE54" s="192"/>
      <c r="AF54" s="180">
        <f t="shared" si="39"/>
        <v>0</v>
      </c>
      <c r="AG54" s="180">
        <f t="shared" si="17"/>
        <v>0</v>
      </c>
      <c r="AH54" s="181">
        <f t="shared" si="40"/>
        <v>0</v>
      </c>
      <c r="AI54" s="193"/>
      <c r="AJ54" s="90"/>
      <c r="AK54" s="90"/>
      <c r="AL54" s="183">
        <f t="shared" si="41"/>
        <v>0</v>
      </c>
      <c r="AM54" s="193"/>
      <c r="AN54" s="90"/>
      <c r="AO54" s="90"/>
      <c r="AP54" s="183">
        <f t="shared" si="24"/>
        <v>0</v>
      </c>
      <c r="AQ54" s="193"/>
      <c r="AR54" s="90"/>
      <c r="AS54" s="90"/>
      <c r="AT54" s="183">
        <f t="shared" si="25"/>
        <v>0</v>
      </c>
      <c r="AU54" s="193"/>
      <c r="AV54" s="90"/>
      <c r="AW54" s="90"/>
      <c r="AX54" s="183">
        <f t="shared" si="26"/>
        <v>0</v>
      </c>
      <c r="AY54" s="193"/>
      <c r="AZ54" s="90"/>
      <c r="BA54" s="90"/>
      <c r="BB54" s="183">
        <f t="shared" si="27"/>
        <v>0</v>
      </c>
      <c r="BC54" s="193"/>
      <c r="BD54" s="90"/>
      <c r="BE54" s="90"/>
      <c r="BF54" s="183">
        <f t="shared" si="28"/>
        <v>0</v>
      </c>
      <c r="BG54" s="193"/>
      <c r="BH54" s="90"/>
      <c r="BI54" s="90"/>
      <c r="BJ54" s="183">
        <f t="shared" si="29"/>
        <v>0</v>
      </c>
      <c r="BK54" s="193"/>
      <c r="BL54" s="90"/>
      <c r="BM54" s="90"/>
      <c r="BN54" s="183">
        <f t="shared" si="30"/>
        <v>0</v>
      </c>
      <c r="BO54" s="193"/>
      <c r="BP54" s="90"/>
      <c r="BQ54" s="90"/>
      <c r="BR54" s="183">
        <f t="shared" si="31"/>
        <v>0</v>
      </c>
      <c r="BS54" s="193"/>
      <c r="BT54" s="90"/>
      <c r="BU54" s="90"/>
      <c r="BV54" s="183">
        <f t="shared" si="32"/>
        <v>0</v>
      </c>
      <c r="BW54" s="193"/>
      <c r="BX54" s="90"/>
      <c r="BY54" s="90"/>
      <c r="BZ54" s="183">
        <f t="shared" si="33"/>
        <v>0</v>
      </c>
      <c r="CA54" s="193"/>
      <c r="CB54" s="90"/>
      <c r="CC54" s="90"/>
      <c r="CD54" s="183">
        <f t="shared" si="34"/>
        <v>0</v>
      </c>
    </row>
    <row r="55" spans="2:82" x14ac:dyDescent="0.3">
      <c r="B55" s="53"/>
      <c r="C55" s="53" t="str">
        <f t="shared" si="0"/>
        <v>CPU_Conserva</v>
      </c>
      <c r="D55" s="278">
        <f t="shared" si="1"/>
        <v>4.2560000000000002</v>
      </c>
      <c r="E55" s="278">
        <f t="shared" si="2"/>
        <v>0</v>
      </c>
      <c r="F55" s="1"/>
      <c r="G55" s="28" t="str">
        <f>IFERROR(VLOOKUP(F55,Tabela7[[RECURSO]:[CUSTO]],2,FALSE),"")</f>
        <v/>
      </c>
      <c r="I55" s="90">
        <f t="shared" si="42"/>
        <v>0</v>
      </c>
      <c r="J55" s="45">
        <f>IFERROR(VLOOKUP(F55,Tabela7[[RECURSO]:[CUSTO]],3,FALSE),0)</f>
        <v>0</v>
      </c>
      <c r="K55" s="45">
        <f t="shared" si="43"/>
        <v>0</v>
      </c>
      <c r="M55" s="85"/>
      <c r="N55" s="88"/>
      <c r="AD55" s="144" t="str">
        <f t="shared" si="3"/>
        <v>Conserva</v>
      </c>
      <c r="AE55" s="192"/>
      <c r="AF55" s="180">
        <f t="shared" si="39"/>
        <v>0</v>
      </c>
      <c r="AG55" s="180">
        <f t="shared" si="17"/>
        <v>0</v>
      </c>
      <c r="AH55" s="181">
        <f t="shared" si="40"/>
        <v>0</v>
      </c>
      <c r="AI55" s="193"/>
      <c r="AJ55" s="90"/>
      <c r="AK55" s="90"/>
      <c r="AL55" s="183">
        <f t="shared" si="41"/>
        <v>0</v>
      </c>
      <c r="AM55" s="193"/>
      <c r="AN55" s="90"/>
      <c r="AO55" s="90"/>
      <c r="AP55" s="183">
        <f t="shared" si="24"/>
        <v>0</v>
      </c>
      <c r="AQ55" s="193"/>
      <c r="AR55" s="90"/>
      <c r="AS55" s="90"/>
      <c r="AT55" s="183">
        <f t="shared" si="25"/>
        <v>0</v>
      </c>
      <c r="AU55" s="193"/>
      <c r="AV55" s="90"/>
      <c r="AW55" s="90"/>
      <c r="AX55" s="183">
        <f t="shared" si="26"/>
        <v>0</v>
      </c>
      <c r="AY55" s="193"/>
      <c r="AZ55" s="90"/>
      <c r="BA55" s="90"/>
      <c r="BB55" s="183">
        <f t="shared" si="27"/>
        <v>0</v>
      </c>
      <c r="BC55" s="193"/>
      <c r="BD55" s="90"/>
      <c r="BE55" s="90"/>
      <c r="BF55" s="183">
        <f t="shared" si="28"/>
        <v>0</v>
      </c>
      <c r="BG55" s="193"/>
      <c r="BH55" s="90"/>
      <c r="BI55" s="90"/>
      <c r="BJ55" s="183">
        <f t="shared" si="29"/>
        <v>0</v>
      </c>
      <c r="BK55" s="193"/>
      <c r="BL55" s="90"/>
      <c r="BM55" s="90"/>
      <c r="BN55" s="183">
        <f t="shared" si="30"/>
        <v>0</v>
      </c>
      <c r="BO55" s="193"/>
      <c r="BP55" s="90"/>
      <c r="BQ55" s="90"/>
      <c r="BR55" s="183">
        <f t="shared" si="31"/>
        <v>0</v>
      </c>
      <c r="BS55" s="193"/>
      <c r="BT55" s="90"/>
      <c r="BU55" s="90"/>
      <c r="BV55" s="183">
        <f t="shared" si="32"/>
        <v>0</v>
      </c>
      <c r="BW55" s="193"/>
      <c r="BX55" s="90"/>
      <c r="BY55" s="90"/>
      <c r="BZ55" s="183">
        <f t="shared" si="33"/>
        <v>0</v>
      </c>
      <c r="CA55" s="193"/>
      <c r="CB55" s="90"/>
      <c r="CC55" s="90"/>
      <c r="CD55" s="183">
        <f t="shared" si="34"/>
        <v>0</v>
      </c>
    </row>
    <row r="56" spans="2:82" x14ac:dyDescent="0.3">
      <c r="B56" s="53"/>
      <c r="C56" s="53" t="str">
        <f t="shared" si="0"/>
        <v>CPU_Conserva</v>
      </c>
      <c r="D56" s="278">
        <f t="shared" si="1"/>
        <v>4.2560000000000002</v>
      </c>
      <c r="E56" s="278">
        <f t="shared" si="2"/>
        <v>0</v>
      </c>
      <c r="F56" s="1"/>
      <c r="G56" s="28" t="str">
        <f>IFERROR(VLOOKUP(F56,Tabela7[[RECURSO]:[CUSTO]],2,FALSE),"")</f>
        <v/>
      </c>
      <c r="I56" s="90">
        <f t="shared" si="42"/>
        <v>0</v>
      </c>
      <c r="J56" s="45">
        <f>IFERROR(VLOOKUP(F56,Tabela7[[RECURSO]:[CUSTO]],3,FALSE),0)</f>
        <v>0</v>
      </c>
      <c r="K56" s="45">
        <f t="shared" si="43"/>
        <v>0</v>
      </c>
      <c r="M56" s="85"/>
      <c r="N56" s="88"/>
      <c r="AD56" s="144" t="str">
        <f t="shared" si="3"/>
        <v>Conserva</v>
      </c>
      <c r="AE56" s="192"/>
      <c r="AF56" s="180">
        <f t="shared" si="39"/>
        <v>0</v>
      </c>
      <c r="AG56" s="180">
        <f t="shared" si="17"/>
        <v>0</v>
      </c>
      <c r="AH56" s="181">
        <f t="shared" si="40"/>
        <v>0</v>
      </c>
      <c r="AI56" s="193"/>
      <c r="AJ56" s="90"/>
      <c r="AK56" s="90"/>
      <c r="AL56" s="183">
        <f t="shared" si="41"/>
        <v>0</v>
      </c>
      <c r="AM56" s="193"/>
      <c r="AN56" s="90"/>
      <c r="AO56" s="90"/>
      <c r="AP56" s="183">
        <f t="shared" si="24"/>
        <v>0</v>
      </c>
      <c r="AQ56" s="193"/>
      <c r="AR56" s="90"/>
      <c r="AS56" s="90"/>
      <c r="AT56" s="183">
        <f t="shared" si="25"/>
        <v>0</v>
      </c>
      <c r="AU56" s="193"/>
      <c r="AV56" s="90"/>
      <c r="AW56" s="90"/>
      <c r="AX56" s="183">
        <f t="shared" si="26"/>
        <v>0</v>
      </c>
      <c r="AY56" s="193"/>
      <c r="AZ56" s="90"/>
      <c r="BA56" s="90"/>
      <c r="BB56" s="183">
        <f t="shared" si="27"/>
        <v>0</v>
      </c>
      <c r="BC56" s="193"/>
      <c r="BD56" s="90"/>
      <c r="BE56" s="90"/>
      <c r="BF56" s="183">
        <f t="shared" si="28"/>
        <v>0</v>
      </c>
      <c r="BG56" s="193"/>
      <c r="BH56" s="90"/>
      <c r="BI56" s="90"/>
      <c r="BJ56" s="183">
        <f t="shared" si="29"/>
        <v>0</v>
      </c>
      <c r="BK56" s="193"/>
      <c r="BL56" s="90"/>
      <c r="BM56" s="90"/>
      <c r="BN56" s="183">
        <f t="shared" si="30"/>
        <v>0</v>
      </c>
      <c r="BO56" s="193"/>
      <c r="BP56" s="90"/>
      <c r="BQ56" s="90"/>
      <c r="BR56" s="183">
        <f t="shared" si="31"/>
        <v>0</v>
      </c>
      <c r="BS56" s="193"/>
      <c r="BT56" s="90"/>
      <c r="BU56" s="90"/>
      <c r="BV56" s="183">
        <f t="shared" si="32"/>
        <v>0</v>
      </c>
      <c r="BW56" s="193"/>
      <c r="BX56" s="90"/>
      <c r="BY56" s="90"/>
      <c r="BZ56" s="183">
        <f t="shared" si="33"/>
        <v>0</v>
      </c>
      <c r="CA56" s="193"/>
      <c r="CB56" s="90"/>
      <c r="CC56" s="90"/>
      <c r="CD56" s="183">
        <f t="shared" si="34"/>
        <v>0</v>
      </c>
    </row>
    <row r="57" spans="2:82" x14ac:dyDescent="0.3">
      <c r="B57" s="53"/>
      <c r="C57" s="53" t="str">
        <f t="shared" si="0"/>
        <v>CPU_Conserva</v>
      </c>
      <c r="D57" s="278">
        <f t="shared" si="1"/>
        <v>4.2560000000000002</v>
      </c>
      <c r="E57" s="278">
        <f t="shared" si="2"/>
        <v>0</v>
      </c>
      <c r="F57" s="1"/>
      <c r="G57" s="28" t="str">
        <f>IFERROR(VLOOKUP(F57,Tabela7[[RECURSO]:[CUSTO]],2,FALSE),"")</f>
        <v/>
      </c>
      <c r="I57" s="90">
        <f t="shared" si="42"/>
        <v>0</v>
      </c>
      <c r="J57" s="45">
        <f>IFERROR(VLOOKUP(F57,Tabela7[[RECURSO]:[CUSTO]],3,FALSE),0)</f>
        <v>0</v>
      </c>
      <c r="K57" s="45">
        <f t="shared" si="43"/>
        <v>0</v>
      </c>
      <c r="M57" s="85"/>
      <c r="N57" s="88"/>
      <c r="AD57" s="144" t="str">
        <f t="shared" si="3"/>
        <v>Conserva</v>
      </c>
      <c r="AE57" s="192"/>
      <c r="AF57" s="180">
        <f t="shared" si="39"/>
        <v>0</v>
      </c>
      <c r="AG57" s="180">
        <f t="shared" si="17"/>
        <v>0</v>
      </c>
      <c r="AH57" s="181">
        <f t="shared" si="40"/>
        <v>0</v>
      </c>
      <c r="AI57" s="193"/>
      <c r="AJ57" s="90"/>
      <c r="AK57" s="90"/>
      <c r="AL57" s="183">
        <f t="shared" si="41"/>
        <v>0</v>
      </c>
      <c r="AM57" s="193"/>
      <c r="AN57" s="90"/>
      <c r="AO57" s="90"/>
      <c r="AP57" s="183">
        <f t="shared" si="24"/>
        <v>0</v>
      </c>
      <c r="AQ57" s="193"/>
      <c r="AR57" s="90"/>
      <c r="AS57" s="90"/>
      <c r="AT57" s="183">
        <f t="shared" si="25"/>
        <v>0</v>
      </c>
      <c r="AU57" s="193"/>
      <c r="AV57" s="90"/>
      <c r="AW57" s="90"/>
      <c r="AX57" s="183">
        <f t="shared" si="26"/>
        <v>0</v>
      </c>
      <c r="AY57" s="193"/>
      <c r="AZ57" s="90"/>
      <c r="BA57" s="90"/>
      <c r="BB57" s="183">
        <f t="shared" si="27"/>
        <v>0</v>
      </c>
      <c r="BC57" s="193"/>
      <c r="BD57" s="90"/>
      <c r="BE57" s="90"/>
      <c r="BF57" s="183">
        <f t="shared" si="28"/>
        <v>0</v>
      </c>
      <c r="BG57" s="193"/>
      <c r="BH57" s="90"/>
      <c r="BI57" s="90"/>
      <c r="BJ57" s="183">
        <f t="shared" si="29"/>
        <v>0</v>
      </c>
      <c r="BK57" s="193"/>
      <c r="BL57" s="90"/>
      <c r="BM57" s="90"/>
      <c r="BN57" s="183">
        <f t="shared" si="30"/>
        <v>0</v>
      </c>
      <c r="BO57" s="193"/>
      <c r="BP57" s="90"/>
      <c r="BQ57" s="90"/>
      <c r="BR57" s="183">
        <f t="shared" si="31"/>
        <v>0</v>
      </c>
      <c r="BS57" s="193"/>
      <c r="BT57" s="90"/>
      <c r="BU57" s="90"/>
      <c r="BV57" s="183">
        <f t="shared" si="32"/>
        <v>0</v>
      </c>
      <c r="BW57" s="193"/>
      <c r="BX57" s="90"/>
      <c r="BY57" s="90"/>
      <c r="BZ57" s="183">
        <f t="shared" si="33"/>
        <v>0</v>
      </c>
      <c r="CA57" s="193"/>
      <c r="CB57" s="90"/>
      <c r="CC57" s="90"/>
      <c r="CD57" s="183">
        <f t="shared" si="34"/>
        <v>0</v>
      </c>
    </row>
    <row r="58" spans="2:82" x14ac:dyDescent="0.3">
      <c r="B58" s="53"/>
      <c r="C58" s="53" t="str">
        <f t="shared" si="0"/>
        <v>CPU_Conserva</v>
      </c>
      <c r="D58" s="278">
        <f t="shared" si="1"/>
        <v>4.2560000000000002</v>
      </c>
      <c r="E58" s="278">
        <f t="shared" si="2"/>
        <v>0</v>
      </c>
      <c r="F58" s="1"/>
      <c r="G58" s="28" t="str">
        <f>IFERROR(VLOOKUP(F58,Tabela7[[RECURSO]:[CUSTO]],2,FALSE),"")</f>
        <v/>
      </c>
      <c r="I58" s="90">
        <f t="shared" si="42"/>
        <v>0</v>
      </c>
      <c r="J58" s="45">
        <f>IFERROR(VLOOKUP(F58,Tabela7[[RECURSO]:[CUSTO]],3,FALSE),0)</f>
        <v>0</v>
      </c>
      <c r="K58" s="45">
        <f t="shared" si="43"/>
        <v>0</v>
      </c>
      <c r="M58" s="85"/>
      <c r="N58" s="88"/>
      <c r="AD58" s="144" t="str">
        <f t="shared" si="3"/>
        <v>Conserva</v>
      </c>
      <c r="AE58" s="192"/>
      <c r="AF58" s="180">
        <f t="shared" si="39"/>
        <v>0</v>
      </c>
      <c r="AG58" s="180">
        <f t="shared" si="17"/>
        <v>0</v>
      </c>
      <c r="AH58" s="181">
        <f t="shared" si="40"/>
        <v>0</v>
      </c>
      <c r="AI58" s="193"/>
      <c r="AJ58" s="90"/>
      <c r="AK58" s="90"/>
      <c r="AL58" s="183">
        <f t="shared" si="41"/>
        <v>0</v>
      </c>
      <c r="AM58" s="193"/>
      <c r="AN58" s="90"/>
      <c r="AO58" s="90"/>
      <c r="AP58" s="183">
        <f t="shared" si="24"/>
        <v>0</v>
      </c>
      <c r="AQ58" s="193"/>
      <c r="AR58" s="90"/>
      <c r="AS58" s="90"/>
      <c r="AT58" s="183">
        <f t="shared" si="25"/>
        <v>0</v>
      </c>
      <c r="AU58" s="193"/>
      <c r="AV58" s="90"/>
      <c r="AW58" s="90"/>
      <c r="AX58" s="183">
        <f t="shared" si="26"/>
        <v>0</v>
      </c>
      <c r="AY58" s="193"/>
      <c r="AZ58" s="90"/>
      <c r="BA58" s="90"/>
      <c r="BB58" s="183">
        <f t="shared" si="27"/>
        <v>0</v>
      </c>
      <c r="BC58" s="193"/>
      <c r="BD58" s="90"/>
      <c r="BE58" s="90"/>
      <c r="BF58" s="183">
        <f t="shared" si="28"/>
        <v>0</v>
      </c>
      <c r="BG58" s="193"/>
      <c r="BH58" s="90"/>
      <c r="BI58" s="90"/>
      <c r="BJ58" s="183">
        <f t="shared" si="29"/>
        <v>0</v>
      </c>
      <c r="BK58" s="193"/>
      <c r="BL58" s="90"/>
      <c r="BM58" s="90"/>
      <c r="BN58" s="183">
        <f t="shared" si="30"/>
        <v>0</v>
      </c>
      <c r="BO58" s="193"/>
      <c r="BP58" s="90"/>
      <c r="BQ58" s="90"/>
      <c r="BR58" s="183">
        <f t="shared" si="31"/>
        <v>0</v>
      </c>
      <c r="BS58" s="193"/>
      <c r="BT58" s="90"/>
      <c r="BU58" s="90"/>
      <c r="BV58" s="183">
        <f t="shared" si="32"/>
        <v>0</v>
      </c>
      <c r="BW58" s="193"/>
      <c r="BX58" s="90"/>
      <c r="BY58" s="90"/>
      <c r="BZ58" s="183">
        <f t="shared" si="33"/>
        <v>0</v>
      </c>
      <c r="CA58" s="193"/>
      <c r="CB58" s="90"/>
      <c r="CC58" s="90"/>
      <c r="CD58" s="183">
        <f t="shared" si="34"/>
        <v>0</v>
      </c>
    </row>
    <row r="59" spans="2:82" x14ac:dyDescent="0.3">
      <c r="B59" s="53"/>
      <c r="C59" s="53" t="str">
        <f t="shared" si="0"/>
        <v>CPU_Conserva</v>
      </c>
      <c r="D59" s="278">
        <f t="shared" si="1"/>
        <v>4.2560000000000002</v>
      </c>
      <c r="E59" s="278">
        <f t="shared" si="2"/>
        <v>0</v>
      </c>
      <c r="F59" s="1"/>
      <c r="G59" s="28" t="str">
        <f>IFERROR(VLOOKUP(F59,Tabela7[[RECURSO]:[CUSTO]],2,FALSE),"")</f>
        <v/>
      </c>
      <c r="I59" s="90">
        <f t="shared" si="42"/>
        <v>0</v>
      </c>
      <c r="J59" s="45">
        <f>IFERROR(VLOOKUP(F59,Tabela7[[RECURSO]:[CUSTO]],3,FALSE),0)</f>
        <v>0</v>
      </c>
      <c r="K59" s="45">
        <f t="shared" si="43"/>
        <v>0</v>
      </c>
      <c r="M59" s="85"/>
      <c r="N59" s="88"/>
      <c r="AD59" s="144" t="str">
        <f t="shared" si="3"/>
        <v>Conserva</v>
      </c>
      <c r="AE59" s="192"/>
      <c r="AF59" s="180">
        <f t="shared" si="39"/>
        <v>0</v>
      </c>
      <c r="AG59" s="180">
        <f t="shared" si="17"/>
        <v>0</v>
      </c>
      <c r="AH59" s="181">
        <f t="shared" si="40"/>
        <v>0</v>
      </c>
      <c r="AI59" s="193"/>
      <c r="AJ59" s="90"/>
      <c r="AK59" s="90"/>
      <c r="AL59" s="183">
        <f t="shared" si="41"/>
        <v>0</v>
      </c>
      <c r="AM59" s="193"/>
      <c r="AN59" s="90"/>
      <c r="AO59" s="90"/>
      <c r="AP59" s="183">
        <f t="shared" si="24"/>
        <v>0</v>
      </c>
      <c r="AQ59" s="193"/>
      <c r="AR59" s="90"/>
      <c r="AS59" s="90"/>
      <c r="AT59" s="183">
        <f t="shared" si="25"/>
        <v>0</v>
      </c>
      <c r="AU59" s="193"/>
      <c r="AV59" s="90"/>
      <c r="AW59" s="90"/>
      <c r="AX59" s="183">
        <f t="shared" si="26"/>
        <v>0</v>
      </c>
      <c r="AY59" s="193"/>
      <c r="AZ59" s="90"/>
      <c r="BA59" s="90"/>
      <c r="BB59" s="183">
        <f t="shared" si="27"/>
        <v>0</v>
      </c>
      <c r="BC59" s="193"/>
      <c r="BD59" s="90"/>
      <c r="BE59" s="90"/>
      <c r="BF59" s="183">
        <f t="shared" si="28"/>
        <v>0</v>
      </c>
      <c r="BG59" s="193"/>
      <c r="BH59" s="90"/>
      <c r="BI59" s="90"/>
      <c r="BJ59" s="183">
        <f t="shared" si="29"/>
        <v>0</v>
      </c>
      <c r="BK59" s="193"/>
      <c r="BL59" s="90"/>
      <c r="BM59" s="90"/>
      <c r="BN59" s="183">
        <f t="shared" si="30"/>
        <v>0</v>
      </c>
      <c r="BO59" s="193"/>
      <c r="BP59" s="90"/>
      <c r="BQ59" s="90"/>
      <c r="BR59" s="183">
        <f t="shared" si="31"/>
        <v>0</v>
      </c>
      <c r="BS59" s="193"/>
      <c r="BT59" s="90"/>
      <c r="BU59" s="90"/>
      <c r="BV59" s="183">
        <f t="shared" si="32"/>
        <v>0</v>
      </c>
      <c r="BW59" s="193"/>
      <c r="BX59" s="90"/>
      <c r="BY59" s="90"/>
      <c r="BZ59" s="183">
        <f t="shared" si="33"/>
        <v>0</v>
      </c>
      <c r="CA59" s="193"/>
      <c r="CB59" s="90"/>
      <c r="CC59" s="90"/>
      <c r="CD59" s="183">
        <f t="shared" si="34"/>
        <v>0</v>
      </c>
    </row>
    <row r="60" spans="2:82" x14ac:dyDescent="0.3">
      <c r="B60" s="53"/>
      <c r="C60" s="53" t="str">
        <f t="shared" si="0"/>
        <v>CPU_Conserva</v>
      </c>
      <c r="D60" s="278">
        <f t="shared" si="1"/>
        <v>4.2560000000000002</v>
      </c>
      <c r="E60" s="278">
        <f t="shared" si="2"/>
        <v>0</v>
      </c>
      <c r="F60" s="1"/>
      <c r="G60" s="28" t="str">
        <f>IFERROR(VLOOKUP(F60,Tabela7[[RECURSO]:[CUSTO]],2,FALSE),"")</f>
        <v/>
      </c>
      <c r="I60" s="90">
        <f t="shared" si="42"/>
        <v>0</v>
      </c>
      <c r="J60" s="45">
        <f>IFERROR(VLOOKUP(F60,Tabela7[[RECURSO]:[CUSTO]],3,FALSE),0)</f>
        <v>0</v>
      </c>
      <c r="K60" s="45">
        <f t="shared" si="43"/>
        <v>0</v>
      </c>
      <c r="M60" s="85"/>
      <c r="N60" s="88"/>
      <c r="AD60" s="144" t="str">
        <f t="shared" si="3"/>
        <v>Conserva</v>
      </c>
      <c r="AE60" s="192"/>
      <c r="AF60" s="180">
        <f t="shared" si="39"/>
        <v>0</v>
      </c>
      <c r="AG60" s="180">
        <f t="shared" si="17"/>
        <v>0</v>
      </c>
      <c r="AH60" s="181">
        <f t="shared" si="40"/>
        <v>0</v>
      </c>
      <c r="AI60" s="193"/>
      <c r="AJ60" s="90"/>
      <c r="AK60" s="90"/>
      <c r="AL60" s="183">
        <f t="shared" si="41"/>
        <v>0</v>
      </c>
      <c r="AM60" s="193"/>
      <c r="AN60" s="90"/>
      <c r="AO60" s="90"/>
      <c r="AP60" s="183">
        <f t="shared" si="24"/>
        <v>0</v>
      </c>
      <c r="AQ60" s="193"/>
      <c r="AR60" s="90"/>
      <c r="AS60" s="90"/>
      <c r="AT60" s="183">
        <f t="shared" si="25"/>
        <v>0</v>
      </c>
      <c r="AU60" s="193"/>
      <c r="AV60" s="90"/>
      <c r="AW60" s="90"/>
      <c r="AX60" s="183">
        <f t="shared" si="26"/>
        <v>0</v>
      </c>
      <c r="AY60" s="193"/>
      <c r="AZ60" s="90"/>
      <c r="BA60" s="90"/>
      <c r="BB60" s="183">
        <f t="shared" si="27"/>
        <v>0</v>
      </c>
      <c r="BC60" s="193"/>
      <c r="BD60" s="90"/>
      <c r="BE60" s="90"/>
      <c r="BF60" s="183">
        <f t="shared" si="28"/>
        <v>0</v>
      </c>
      <c r="BG60" s="193"/>
      <c r="BH60" s="90"/>
      <c r="BI60" s="90"/>
      <c r="BJ60" s="183">
        <f t="shared" si="29"/>
        <v>0</v>
      </c>
      <c r="BK60" s="193"/>
      <c r="BL60" s="90"/>
      <c r="BM60" s="90"/>
      <c r="BN60" s="183">
        <f t="shared" si="30"/>
        <v>0</v>
      </c>
      <c r="BO60" s="193"/>
      <c r="BP60" s="90"/>
      <c r="BQ60" s="90"/>
      <c r="BR60" s="183">
        <f t="shared" si="31"/>
        <v>0</v>
      </c>
      <c r="BS60" s="193"/>
      <c r="BT60" s="90"/>
      <c r="BU60" s="90"/>
      <c r="BV60" s="183">
        <f t="shared" si="32"/>
        <v>0</v>
      </c>
      <c r="BW60" s="193"/>
      <c r="BX60" s="90"/>
      <c r="BY60" s="90"/>
      <c r="BZ60" s="183">
        <f t="shared" si="33"/>
        <v>0</v>
      </c>
      <c r="CA60" s="193"/>
      <c r="CB60" s="90"/>
      <c r="CC60" s="90"/>
      <c r="CD60" s="183">
        <f t="shared" si="34"/>
        <v>0</v>
      </c>
    </row>
    <row r="61" spans="2:82" x14ac:dyDescent="0.3">
      <c r="B61" s="53"/>
      <c r="C61" s="53" t="str">
        <f t="shared" si="0"/>
        <v>CPU_Conserva</v>
      </c>
      <c r="D61" s="278">
        <f t="shared" si="1"/>
        <v>4.2560000000000002</v>
      </c>
      <c r="E61" s="278">
        <f t="shared" si="2"/>
        <v>0</v>
      </c>
      <c r="F61" s="1"/>
      <c r="G61" s="28" t="str">
        <f>IFERROR(VLOOKUP(F61,Tabela7[[RECURSO]:[CUSTO]],2,FALSE),"")</f>
        <v/>
      </c>
      <c r="I61" s="90">
        <f t="shared" si="42"/>
        <v>0</v>
      </c>
      <c r="J61" s="45">
        <f>IFERROR(VLOOKUP(F61,Tabela7[[RECURSO]:[CUSTO]],3,FALSE),0)</f>
        <v>0</v>
      </c>
      <c r="K61" s="45">
        <f t="shared" si="43"/>
        <v>0</v>
      </c>
      <c r="M61" s="85"/>
      <c r="N61" s="88"/>
      <c r="AD61" s="144" t="str">
        <f t="shared" si="3"/>
        <v>Conserva</v>
      </c>
      <c r="AE61" s="192"/>
      <c r="AF61" s="180">
        <f t="shared" si="39"/>
        <v>0</v>
      </c>
      <c r="AG61" s="180">
        <f t="shared" si="17"/>
        <v>0</v>
      </c>
      <c r="AH61" s="181">
        <f t="shared" si="40"/>
        <v>0</v>
      </c>
      <c r="AI61" s="193"/>
      <c r="AJ61" s="90"/>
      <c r="AK61" s="90"/>
      <c r="AL61" s="183">
        <f t="shared" si="41"/>
        <v>0</v>
      </c>
      <c r="AM61" s="193"/>
      <c r="AN61" s="90"/>
      <c r="AO61" s="90"/>
      <c r="AP61" s="183">
        <f t="shared" si="24"/>
        <v>0</v>
      </c>
      <c r="AQ61" s="193"/>
      <c r="AR61" s="90"/>
      <c r="AS61" s="90"/>
      <c r="AT61" s="183">
        <f t="shared" si="25"/>
        <v>0</v>
      </c>
      <c r="AU61" s="193"/>
      <c r="AV61" s="90"/>
      <c r="AW61" s="90"/>
      <c r="AX61" s="183">
        <f t="shared" si="26"/>
        <v>0</v>
      </c>
      <c r="AY61" s="193"/>
      <c r="AZ61" s="90"/>
      <c r="BA61" s="90"/>
      <c r="BB61" s="183">
        <f t="shared" si="27"/>
        <v>0</v>
      </c>
      <c r="BC61" s="193"/>
      <c r="BD61" s="90"/>
      <c r="BE61" s="90"/>
      <c r="BF61" s="183">
        <f t="shared" si="28"/>
        <v>0</v>
      </c>
      <c r="BG61" s="193"/>
      <c r="BH61" s="90"/>
      <c r="BI61" s="90"/>
      <c r="BJ61" s="183">
        <f t="shared" si="29"/>
        <v>0</v>
      </c>
      <c r="BK61" s="193"/>
      <c r="BL61" s="90"/>
      <c r="BM61" s="90"/>
      <c r="BN61" s="183">
        <f t="shared" si="30"/>
        <v>0</v>
      </c>
      <c r="BO61" s="193"/>
      <c r="BP61" s="90"/>
      <c r="BQ61" s="90"/>
      <c r="BR61" s="183">
        <f t="shared" si="31"/>
        <v>0</v>
      </c>
      <c r="BS61" s="193"/>
      <c r="BT61" s="90"/>
      <c r="BU61" s="90"/>
      <c r="BV61" s="183">
        <f t="shared" si="32"/>
        <v>0</v>
      </c>
      <c r="BW61" s="193"/>
      <c r="BX61" s="90"/>
      <c r="BY61" s="90"/>
      <c r="BZ61" s="183">
        <f t="shared" si="33"/>
        <v>0</v>
      </c>
      <c r="CA61" s="193"/>
      <c r="CB61" s="90"/>
      <c r="CC61" s="90"/>
      <c r="CD61" s="183">
        <f t="shared" si="34"/>
        <v>0</v>
      </c>
    </row>
    <row r="62" spans="2:82" ht="15" thickBot="1" x14ac:dyDescent="0.35">
      <c r="B62" s="53"/>
      <c r="C62" s="53" t="str">
        <f t="shared" si="0"/>
        <v>CPU_Conserva</v>
      </c>
      <c r="D62" s="278">
        <f t="shared" si="1"/>
        <v>4.2560000000000002</v>
      </c>
      <c r="E62" s="278">
        <f t="shared" si="2"/>
        <v>0</v>
      </c>
      <c r="F62" s="1"/>
      <c r="G62" s="28" t="str">
        <f>IFERROR(VLOOKUP(F62,Tabela7[[RECURSO]:[CUSTO]],2,FALSE),"")</f>
        <v/>
      </c>
      <c r="I62" s="90">
        <f t="shared" si="42"/>
        <v>0</v>
      </c>
      <c r="J62" s="45">
        <f>IFERROR(VLOOKUP(F62,Tabela7[[RECURSO]:[CUSTO]],3,FALSE),0)</f>
        <v>0</v>
      </c>
      <c r="K62" s="45">
        <f t="shared" si="43"/>
        <v>0</v>
      </c>
      <c r="M62" s="86"/>
      <c r="N62" s="88"/>
      <c r="AD62" s="144" t="str">
        <f t="shared" si="3"/>
        <v>Conserva</v>
      </c>
      <c r="AE62" s="194"/>
      <c r="AF62" s="195">
        <f t="shared" si="39"/>
        <v>0</v>
      </c>
      <c r="AG62" s="195">
        <f t="shared" si="17"/>
        <v>0</v>
      </c>
      <c r="AH62" s="196">
        <f t="shared" si="40"/>
        <v>0</v>
      </c>
      <c r="AI62" s="197"/>
      <c r="AJ62" s="198"/>
      <c r="AK62" s="198"/>
      <c r="AL62" s="199">
        <f t="shared" si="41"/>
        <v>0</v>
      </c>
      <c r="AM62" s="197"/>
      <c r="AN62" s="198"/>
      <c r="AO62" s="198"/>
      <c r="AP62" s="199">
        <f t="shared" si="24"/>
        <v>0</v>
      </c>
      <c r="AQ62" s="197"/>
      <c r="AR62" s="198"/>
      <c r="AS62" s="198"/>
      <c r="AT62" s="199">
        <f t="shared" si="25"/>
        <v>0</v>
      </c>
      <c r="AU62" s="197"/>
      <c r="AV62" s="198"/>
      <c r="AW62" s="198"/>
      <c r="AX62" s="199">
        <f t="shared" si="26"/>
        <v>0</v>
      </c>
      <c r="AY62" s="197"/>
      <c r="AZ62" s="198"/>
      <c r="BA62" s="198"/>
      <c r="BB62" s="199">
        <f t="shared" si="27"/>
        <v>0</v>
      </c>
      <c r="BC62" s="197"/>
      <c r="BD62" s="198"/>
      <c r="BE62" s="198"/>
      <c r="BF62" s="199">
        <f t="shared" si="28"/>
        <v>0</v>
      </c>
      <c r="BG62" s="197"/>
      <c r="BH62" s="198"/>
      <c r="BI62" s="198"/>
      <c r="BJ62" s="199">
        <f t="shared" si="29"/>
        <v>0</v>
      </c>
      <c r="BK62" s="197"/>
      <c r="BL62" s="198"/>
      <c r="BM62" s="198"/>
      <c r="BN62" s="199">
        <f t="shared" si="30"/>
        <v>0</v>
      </c>
      <c r="BO62" s="197"/>
      <c r="BP62" s="198"/>
      <c r="BQ62" s="198"/>
      <c r="BR62" s="199">
        <f t="shared" si="31"/>
        <v>0</v>
      </c>
      <c r="BS62" s="197"/>
      <c r="BT62" s="198"/>
      <c r="BU62" s="198"/>
      <c r="BV62" s="199">
        <f t="shared" si="32"/>
        <v>0</v>
      </c>
      <c r="BW62" s="197"/>
      <c r="BX62" s="198"/>
      <c r="BY62" s="198"/>
      <c r="BZ62" s="199">
        <f t="shared" si="33"/>
        <v>0</v>
      </c>
      <c r="CA62" s="197"/>
      <c r="CB62" s="198"/>
      <c r="CC62" s="198"/>
      <c r="CD62" s="199">
        <f t="shared" si="34"/>
        <v>0</v>
      </c>
    </row>
  </sheetData>
  <conditionalFormatting sqref="K6:K7">
    <cfRule type="iconSet" priority="14">
      <iconSet>
        <cfvo type="percent" val="0"/>
        <cfvo type="num" val="0"/>
        <cfvo type="num" val="0.02"/>
      </iconSet>
    </cfRule>
  </conditionalFormatting>
  <conditionalFormatting sqref="AH6:AH7">
    <cfRule type="iconSet" priority="13">
      <iconSet>
        <cfvo type="percent" val="0"/>
        <cfvo type="num" val="0"/>
        <cfvo type="num" val="0.02"/>
      </iconSet>
    </cfRule>
  </conditionalFormatting>
  <conditionalFormatting sqref="AL6:AL7">
    <cfRule type="iconSet" priority="12">
      <iconSet>
        <cfvo type="percent" val="0"/>
        <cfvo type="num" val="0"/>
        <cfvo type="num" val="0.02"/>
      </iconSet>
    </cfRule>
  </conditionalFormatting>
  <conditionalFormatting sqref="AP6:AP7">
    <cfRule type="iconSet" priority="11">
      <iconSet>
        <cfvo type="percent" val="0"/>
        <cfvo type="num" val="0"/>
        <cfvo type="num" val="0.02"/>
      </iconSet>
    </cfRule>
  </conditionalFormatting>
  <conditionalFormatting sqref="AT6:AT7">
    <cfRule type="iconSet" priority="10">
      <iconSet>
        <cfvo type="percent" val="0"/>
        <cfvo type="num" val="0"/>
        <cfvo type="num" val="0.02"/>
      </iconSet>
    </cfRule>
  </conditionalFormatting>
  <conditionalFormatting sqref="AX6:AX7">
    <cfRule type="iconSet" priority="9">
      <iconSet>
        <cfvo type="percent" val="0"/>
        <cfvo type="num" val="0"/>
        <cfvo type="num" val="0.02"/>
      </iconSet>
    </cfRule>
  </conditionalFormatting>
  <conditionalFormatting sqref="BB6:BB7">
    <cfRule type="iconSet" priority="8">
      <iconSet>
        <cfvo type="percent" val="0"/>
        <cfvo type="num" val="0"/>
        <cfvo type="num" val="0.02"/>
      </iconSet>
    </cfRule>
  </conditionalFormatting>
  <conditionalFormatting sqref="BF6:BF7">
    <cfRule type="iconSet" priority="7">
      <iconSet>
        <cfvo type="percent" val="0"/>
        <cfvo type="num" val="0"/>
        <cfvo type="num" val="0.02"/>
      </iconSet>
    </cfRule>
  </conditionalFormatting>
  <conditionalFormatting sqref="BJ6:BJ7">
    <cfRule type="iconSet" priority="6">
      <iconSet>
        <cfvo type="percent" val="0"/>
        <cfvo type="num" val="0"/>
        <cfvo type="num" val="0.02"/>
      </iconSet>
    </cfRule>
  </conditionalFormatting>
  <conditionalFormatting sqref="BN6:BN7">
    <cfRule type="iconSet" priority="5">
      <iconSet>
        <cfvo type="percent" val="0"/>
        <cfvo type="num" val="0"/>
        <cfvo type="num" val="0.02"/>
      </iconSet>
    </cfRule>
  </conditionalFormatting>
  <conditionalFormatting sqref="BR6:BR7">
    <cfRule type="iconSet" priority="4">
      <iconSet>
        <cfvo type="percent" val="0"/>
        <cfvo type="num" val="0"/>
        <cfvo type="num" val="0.02"/>
      </iconSet>
    </cfRule>
  </conditionalFormatting>
  <conditionalFormatting sqref="BV6:BV7">
    <cfRule type="iconSet" priority="3">
      <iconSet>
        <cfvo type="percent" val="0"/>
        <cfvo type="num" val="0"/>
        <cfvo type="num" val="0.02"/>
      </iconSet>
    </cfRule>
  </conditionalFormatting>
  <conditionalFormatting sqref="BZ6:BZ7">
    <cfRule type="iconSet" priority="2">
      <iconSet>
        <cfvo type="percent" val="0"/>
        <cfvo type="num" val="0"/>
        <cfvo type="num" val="0.02"/>
      </iconSet>
    </cfRule>
  </conditionalFormatting>
  <conditionalFormatting sqref="CD6:CD7">
    <cfRule type="iconSet" priority="1">
      <iconSet>
        <cfvo type="percent" val="0"/>
        <cfvo type="num" val="0"/>
        <cfvo type="num" val="0.02"/>
      </iconSet>
    </cfRule>
  </conditionalFormatting>
  <dataValidations count="5">
    <dataValidation type="list" allowBlank="1" showInputMessage="1" showErrorMessage="1" sqref="B3:E3" xr:uid="{444A5962-FB57-4EEF-A7CF-8AEFC831D6B5}">
      <formula1>INDIRECT($B$2)</formula1>
    </dataValidation>
    <dataValidation type="list" allowBlank="1" showInputMessage="1" showErrorMessage="1" sqref="F12:F23" xr:uid="{20F66F05-3025-4480-9654-0B22CA80C395}">
      <formula1>INDIRECT($B$11)</formula1>
    </dataValidation>
    <dataValidation type="list" allowBlank="1" showInputMessage="1" showErrorMessage="1" sqref="F25:F36" xr:uid="{339F22E0-1EBF-435C-9172-106609E0B005}">
      <formula1>INDIRECT($B$24)</formula1>
    </dataValidation>
    <dataValidation type="list" allowBlank="1" showInputMessage="1" showErrorMessage="1" sqref="F38:F49" xr:uid="{00AE5C71-71EF-4B7D-B6CC-8CCBD7244E2C}">
      <formula1>INDIRECT($B$37)</formula1>
    </dataValidation>
    <dataValidation type="list" allowBlank="1" showInputMessage="1" showErrorMessage="1" sqref="F51:F62" xr:uid="{195415A8-2C92-41FE-91DF-723B9CD6A297}">
      <formula1>INDIRECT($B$50)</formula1>
    </dataValidation>
  </dataValidations>
  <pageMargins left="0.51181102362204722" right="0.51181102362204722" top="0.19685039370078741" bottom="0.19685039370078741" header="0.31496062992125984" footer="0.31496062992125984"/>
  <pageSetup paperSize="9" scale="82" orientation="portrait" r:id="rId1"/>
  <colBreaks count="1" manualBreakCount="1">
    <brk id="11" max="1048575" man="1"/>
  </colBreaks>
  <drawing r:id="rId2"/>
  <legacyDrawing r:id="rId3"/>
  <tableParts count="2">
    <tablePart r:id="rId4"/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F08CD-A459-482B-82EB-25CB73EB47BD}">
  <sheetPr codeName="Plan36"/>
  <dimension ref="A1:CD62"/>
  <sheetViews>
    <sheetView showGridLines="0" zoomScale="70" zoomScaleNormal="70" workbookViewId="0">
      <pane xSplit="14" ySplit="10" topLeftCell="O11" activePane="bottomRight" state="frozen"/>
      <selection pane="topRight" activeCell="C28" activeCellId="1" sqref="E13 C28"/>
      <selection pane="bottomLeft" activeCell="C28" activeCellId="1" sqref="E13 C28"/>
      <selection pane="bottomRight" activeCell="I41" sqref="I41"/>
    </sheetView>
  </sheetViews>
  <sheetFormatPr defaultRowHeight="14.4" x14ac:dyDescent="0.3"/>
  <cols>
    <col min="1" max="1" width="4.109375" customWidth="1"/>
    <col min="2" max="2" width="16.109375" customWidth="1"/>
    <col min="3" max="5" width="16.109375" hidden="1" customWidth="1"/>
    <col min="6" max="6" width="40.6640625" customWidth="1"/>
    <col min="7" max="7" width="10.6640625" style="28" customWidth="1"/>
    <col min="8" max="8" width="7.6640625" style="28" customWidth="1"/>
    <col min="9" max="10" width="10.6640625" customWidth="1"/>
    <col min="11" max="11" width="14" bestFit="1" customWidth="1"/>
    <col min="12" max="12" width="2.33203125" customWidth="1"/>
    <col min="13" max="14" width="12.6640625" customWidth="1"/>
    <col min="15" max="15" width="14" bestFit="1" customWidth="1"/>
    <col min="30" max="30" width="12.44140625" bestFit="1" customWidth="1"/>
    <col min="31" max="31" width="7.6640625" customWidth="1"/>
    <col min="32" max="32" width="9.33203125" bestFit="1" customWidth="1"/>
    <col min="33" max="34" width="10.6640625" customWidth="1"/>
    <col min="35" max="35" width="7.6640625" customWidth="1"/>
    <col min="36" max="36" width="9.33203125" customWidth="1"/>
    <col min="37" max="38" width="10.6640625" customWidth="1"/>
    <col min="40" max="40" width="9.33203125" customWidth="1"/>
    <col min="42" max="42" width="9.6640625" customWidth="1"/>
    <col min="44" max="44" width="9.33203125" customWidth="1"/>
    <col min="46" max="46" width="9.6640625" customWidth="1"/>
    <col min="48" max="48" width="9.33203125" customWidth="1"/>
    <col min="50" max="50" width="9.6640625" customWidth="1"/>
    <col min="52" max="52" width="9.33203125" customWidth="1"/>
    <col min="54" max="54" width="9.6640625" customWidth="1"/>
    <col min="56" max="56" width="9.33203125" customWidth="1"/>
    <col min="58" max="58" width="9.6640625" customWidth="1"/>
    <col min="60" max="60" width="9.33203125" customWidth="1"/>
    <col min="62" max="62" width="9.6640625" customWidth="1"/>
    <col min="64" max="64" width="9.33203125" customWidth="1"/>
    <col min="66" max="66" width="9.6640625" customWidth="1"/>
    <col min="68" max="68" width="9.33203125" customWidth="1"/>
    <col min="70" max="70" width="9.6640625" customWidth="1"/>
    <col min="72" max="72" width="10" customWidth="1"/>
    <col min="73" max="73" width="9.5546875" customWidth="1"/>
    <col min="74" max="74" width="10.44140625" customWidth="1"/>
    <col min="76" max="76" width="10" customWidth="1"/>
    <col min="77" max="77" width="9.5546875" customWidth="1"/>
    <col min="78" max="78" width="10.44140625" customWidth="1"/>
    <col min="80" max="80" width="10" customWidth="1"/>
    <col min="81" max="81" width="9.5546875" customWidth="1"/>
    <col min="82" max="82" width="10.44140625" customWidth="1"/>
  </cols>
  <sheetData>
    <row r="1" spans="1:82" ht="26.4" customHeight="1" thickBot="1" x14ac:dyDescent="0.35">
      <c r="AE1" s="163" t="s">
        <v>678</v>
      </c>
    </row>
    <row r="2" spans="1:82" x14ac:dyDescent="0.3">
      <c r="B2" s="64" t="s">
        <v>679</v>
      </c>
      <c r="C2" s="67"/>
      <c r="D2" s="67"/>
      <c r="E2" s="67"/>
      <c r="F2" s="65"/>
      <c r="G2" s="66"/>
      <c r="H2" s="66"/>
      <c r="I2" s="65"/>
      <c r="J2" s="67" t="s">
        <v>680</v>
      </c>
      <c r="K2" s="68" t="s">
        <v>681</v>
      </c>
      <c r="M2" s="227" t="s">
        <v>682</v>
      </c>
      <c r="N2" s="228" t="s">
        <v>683</v>
      </c>
      <c r="O2" s="234" t="s">
        <v>684</v>
      </c>
      <c r="AE2" s="164" t="s">
        <v>590</v>
      </c>
      <c r="AF2" s="165" t="s">
        <v>20</v>
      </c>
      <c r="AG2" s="67"/>
      <c r="AH2" s="68" t="s">
        <v>681</v>
      </c>
      <c r="AI2" s="166">
        <v>44927</v>
      </c>
      <c r="AJ2" s="165" t="s">
        <v>20</v>
      </c>
      <c r="AK2" s="67"/>
      <c r="AL2" s="68" t="s">
        <v>681</v>
      </c>
      <c r="AM2" s="166">
        <v>44958</v>
      </c>
      <c r="AN2" s="165" t="s">
        <v>20</v>
      </c>
      <c r="AO2" s="67"/>
      <c r="AP2" s="68" t="s">
        <v>681</v>
      </c>
      <c r="AQ2" s="166">
        <v>44986</v>
      </c>
      <c r="AR2" s="165" t="s">
        <v>20</v>
      </c>
      <c r="AS2" s="67"/>
      <c r="AT2" s="68" t="s">
        <v>681</v>
      </c>
      <c r="AU2" s="166">
        <v>45017</v>
      </c>
      <c r="AV2" s="165" t="s">
        <v>20</v>
      </c>
      <c r="AW2" s="67"/>
      <c r="AX2" s="68" t="s">
        <v>681</v>
      </c>
      <c r="AY2" s="166">
        <v>45047</v>
      </c>
      <c r="AZ2" s="165" t="s">
        <v>20</v>
      </c>
      <c r="BA2" s="67"/>
      <c r="BB2" s="68" t="s">
        <v>681</v>
      </c>
      <c r="BC2" s="166">
        <v>45078</v>
      </c>
      <c r="BD2" s="165" t="s">
        <v>20</v>
      </c>
      <c r="BE2" s="67"/>
      <c r="BF2" s="68" t="s">
        <v>681</v>
      </c>
      <c r="BG2" s="166">
        <v>45108</v>
      </c>
      <c r="BH2" s="165" t="s">
        <v>20</v>
      </c>
      <c r="BI2" s="67"/>
      <c r="BJ2" s="68" t="s">
        <v>681</v>
      </c>
      <c r="BK2" s="166">
        <v>45139</v>
      </c>
      <c r="BL2" s="165" t="s">
        <v>20</v>
      </c>
      <c r="BM2" s="67"/>
      <c r="BN2" s="68" t="s">
        <v>681</v>
      </c>
      <c r="BO2" s="166">
        <v>45170</v>
      </c>
      <c r="BP2" s="165" t="s">
        <v>20</v>
      </c>
      <c r="BQ2" s="67"/>
      <c r="BR2" s="68" t="s">
        <v>681</v>
      </c>
      <c r="BS2" s="166">
        <v>45200</v>
      </c>
      <c r="BT2" s="165" t="s">
        <v>20</v>
      </c>
      <c r="BU2" s="67"/>
      <c r="BV2" s="68" t="s">
        <v>681</v>
      </c>
      <c r="BW2" s="166">
        <v>45231</v>
      </c>
      <c r="BX2" s="165" t="s">
        <v>20</v>
      </c>
      <c r="BY2" s="67"/>
      <c r="BZ2" s="68" t="s">
        <v>681</v>
      </c>
      <c r="CA2" s="166">
        <v>45261</v>
      </c>
      <c r="CB2" s="165" t="s">
        <v>20</v>
      </c>
      <c r="CC2" s="67"/>
      <c r="CD2" s="68" t="s">
        <v>681</v>
      </c>
    </row>
    <row r="3" spans="1:82" x14ac:dyDescent="0.3">
      <c r="A3" s="42" t="str">
        <f>"CPU_"&amp;LEFT(SUBSTITUTE(SUBSTITUTE(B3," ",""),"-",""),20)</f>
        <v>CPU_Conserva</v>
      </c>
      <c r="B3" s="31" t="s">
        <v>858</v>
      </c>
      <c r="C3" s="1"/>
      <c r="D3" s="1"/>
      <c r="E3" s="1"/>
      <c r="F3" s="73"/>
      <c r="G3" s="74"/>
      <c r="H3" s="74"/>
      <c r="I3" s="73"/>
      <c r="J3" s="74" t="str">
        <f>IFERROR(VLOOKUP(B3,Tabela1[[NOME SERVIÇO]:[UNID]],4,0),"")</f>
        <v>HÁ</v>
      </c>
      <c r="K3" s="75">
        <f>IFERROR(J6/B6,0)</f>
        <v>2147.613240536371</v>
      </c>
      <c r="M3" s="229" t="s">
        <v>685</v>
      </c>
      <c r="N3" s="230">
        <f>K11</f>
        <v>90.909090909090907</v>
      </c>
      <c r="O3" s="235">
        <f>IFERROR(N3/$N$7,0)</f>
        <v>3.9784106980649867E-2</v>
      </c>
      <c r="AE3" s="167"/>
      <c r="AF3" s="168">
        <f>AJ3+AN3+AR3+AV3+AZ3+BD3+BH3+BL3+BP3+BT3+BX3+CB3</f>
        <v>0</v>
      </c>
      <c r="AG3" s="74"/>
      <c r="AH3" s="75">
        <f>IFERROR((AG6/AF3),0)</f>
        <v>0</v>
      </c>
      <c r="AI3" s="167"/>
      <c r="AJ3" s="168">
        <f>IFERROR(SUMPRODUCT(Plan_Orc!$I$4:$I$2002*Plan_Orc!$AB$4:$AB$2002*(Plan_Orc!$D$4:$D$2002=$B3)),0)</f>
        <v>0</v>
      </c>
      <c r="AK3" s="74"/>
      <c r="AL3" s="75">
        <f>IFERROR((AK6/AJ3),0)</f>
        <v>0</v>
      </c>
      <c r="AM3" s="167"/>
      <c r="AN3" s="168">
        <f>IFERROR(SUMPRODUCT(Plan_Orc!$I$4:$I$2002*Plan_Orc!$AC$4:$AC$2002*(Plan_Orc!$D$4:$D$2002=$B3)),0)</f>
        <v>0</v>
      </c>
      <c r="AO3" s="74"/>
      <c r="AP3" s="75">
        <f>IFERROR((AO6/AN3),0)</f>
        <v>0</v>
      </c>
      <c r="AQ3" s="167"/>
      <c r="AR3" s="168">
        <f>IFERROR(SUMPRODUCT(Plan_Orc!$I$4:$I$2002*Plan_Orc!$AD$4:$AD$2002*(Plan_Orc!$D$4:$D$2002=$B3)),0)</f>
        <v>0</v>
      </c>
      <c r="AS3" s="74"/>
      <c r="AT3" s="75">
        <f>IFERROR((AS6/AR3),0)</f>
        <v>0</v>
      </c>
      <c r="AU3" s="167"/>
      <c r="AV3" s="168">
        <f>IFERROR(SUMPRODUCT(Plan_Orc!$I$4:$I$2002*Plan_Orc!$AE$4:$AE$2002*(Plan_Orc!$D$4:$D$2002=$B3)),0)</f>
        <v>0</v>
      </c>
      <c r="AW3" s="74"/>
      <c r="AX3" s="75">
        <f>IFERROR((AW6/AV3),0)</f>
        <v>0</v>
      </c>
      <c r="AY3" s="167"/>
      <c r="AZ3" s="168">
        <f>IFERROR(SUMPRODUCT(Plan_Orc!$I$4:$I$2002*Plan_Orc!$AF$4:$AF$2002*(Plan_Orc!$D$4:$D$2002=$B3)),0)</f>
        <v>0</v>
      </c>
      <c r="BA3" s="74"/>
      <c r="BB3" s="75">
        <f>IFERROR((BA6/AZ3),0)</f>
        <v>0</v>
      </c>
      <c r="BC3" s="167"/>
      <c r="BD3" s="168">
        <f>IFERROR(SUMPRODUCT(Plan_Orc!$I$4:$I$2002*Plan_Orc!$AG$4:$AG$2002*(Plan_Orc!$D$4:$D$2002=$B3)),0)</f>
        <v>0</v>
      </c>
      <c r="BE3" s="74"/>
      <c r="BF3" s="75">
        <f>IFERROR((BE6/BD3),0)</f>
        <v>0</v>
      </c>
      <c r="BG3" s="167"/>
      <c r="BH3" s="168">
        <f>IFERROR(SUMPRODUCT(Plan_Orc!$I$4:$I$2002*Plan_Orc!$AH$4:$AH$2002*(Plan_Orc!$D$4:$D$2002=$B3)),0)</f>
        <v>0</v>
      </c>
      <c r="BI3" s="74"/>
      <c r="BJ3" s="75">
        <f>IFERROR((BI6/BH3),0)</f>
        <v>0</v>
      </c>
      <c r="BK3" s="167"/>
      <c r="BL3" s="168">
        <f>IFERROR(SUMPRODUCT(Plan_Orc!$I$4:$I$2002*Plan_Orc!$AI$4:$AI$2002*(Plan_Orc!$D$4:$D$2002=$B3)),0)</f>
        <v>0</v>
      </c>
      <c r="BM3" s="74"/>
      <c r="BN3" s="75">
        <f>IFERROR((BM6/BL3),0)</f>
        <v>0</v>
      </c>
      <c r="BO3" s="167"/>
      <c r="BP3" s="168">
        <f>IFERROR(SUMPRODUCT(Plan_Orc!$I$4:$I$2002*Plan_Orc!$AJ$4:$AJ$2002*(Plan_Orc!$D$4:$D$2002=$B3)),0)</f>
        <v>0</v>
      </c>
      <c r="BQ3" s="74"/>
      <c r="BR3" s="75">
        <f>IFERROR((BQ6/BP3),0)</f>
        <v>0</v>
      </c>
      <c r="BS3" s="167"/>
      <c r="BT3" s="168">
        <f>IFERROR(SUMPRODUCT(Plan_Orc!$I$4:$I$2002*Plan_Orc!$AK$4:$AK$2002*(Plan_Orc!$D$4:$D$2002=$B3)),0)</f>
        <v>0</v>
      </c>
      <c r="BU3" s="74"/>
      <c r="BV3" s="75">
        <f>IFERROR((BU6/BT3),0)</f>
        <v>0</v>
      </c>
      <c r="BW3" s="167"/>
      <c r="BX3" s="168">
        <f>IFERROR(SUMPRODUCT(Plan_Orc!$I$4:$I$2002*Plan_Orc!$AL$4:$AL$2002*(Plan_Orc!$D$4:$D$2002=$B3)),0)</f>
        <v>0</v>
      </c>
      <c r="BY3" s="74"/>
      <c r="BZ3" s="75">
        <f>IFERROR((BY6/BX3),0)</f>
        <v>0</v>
      </c>
      <c r="CA3" s="167"/>
      <c r="CB3" s="168">
        <f>IFERROR(SUMPRODUCT(Plan_Orc!$I$4:$I$2002*Plan_Orc!$AM$4:$AM$2002*(Plan_Orc!$D$4:$D$2002=$B3)),0)</f>
        <v>0</v>
      </c>
      <c r="CC3" s="74"/>
      <c r="CD3" s="75">
        <f>IFERROR((CC6/CB3),0)</f>
        <v>0</v>
      </c>
    </row>
    <row r="4" spans="1:82" x14ac:dyDescent="0.3">
      <c r="B4" s="32"/>
      <c r="K4" s="30"/>
      <c r="M4" s="229" t="s">
        <v>686</v>
      </c>
      <c r="N4" s="230">
        <f>+K24</f>
        <v>183.27272727272728</v>
      </c>
      <c r="O4" s="235">
        <f>IFERROR(N4/$N$7,0)</f>
        <v>8.0204759672990136E-2</v>
      </c>
      <c r="AE4" s="169"/>
      <c r="AH4" s="30"/>
      <c r="AI4" s="169"/>
      <c r="AL4" s="30"/>
      <c r="AM4" s="169"/>
      <c r="AP4" s="30"/>
      <c r="AQ4" s="169"/>
      <c r="AT4" s="30"/>
      <c r="AU4" s="169"/>
      <c r="AX4" s="30"/>
      <c r="AY4" s="169"/>
      <c r="BB4" s="30"/>
      <c r="BC4" s="169"/>
      <c r="BF4" s="30"/>
      <c r="BG4" s="169"/>
      <c r="BJ4" s="30"/>
      <c r="BK4" s="169"/>
      <c r="BN4" s="30"/>
      <c r="BO4" s="169"/>
      <c r="BR4" s="30"/>
      <c r="BS4" s="169"/>
      <c r="BV4" s="30"/>
      <c r="BW4" s="169"/>
      <c r="BZ4" s="30"/>
      <c r="CA4" s="169"/>
      <c r="CD4" s="30"/>
    </row>
    <row r="5" spans="1:82" x14ac:dyDescent="0.3">
      <c r="B5" s="69" t="s">
        <v>687</v>
      </c>
      <c r="C5" s="72"/>
      <c r="D5" s="72"/>
      <c r="E5" s="72"/>
      <c r="F5" s="70" t="s">
        <v>688</v>
      </c>
      <c r="G5" s="70" t="s">
        <v>689</v>
      </c>
      <c r="H5" s="70" t="s">
        <v>690</v>
      </c>
      <c r="I5" s="70" t="s">
        <v>691</v>
      </c>
      <c r="J5" s="70" t="s">
        <v>683</v>
      </c>
      <c r="K5" s="71" t="s">
        <v>593</v>
      </c>
      <c r="M5" s="229" t="s">
        <v>692</v>
      </c>
      <c r="N5" s="230">
        <f>+K37</f>
        <v>2010.8786697488808</v>
      </c>
      <c r="O5" s="235">
        <f>IFERROR(N5/$N$7,0)</f>
        <v>0.88001113334636005</v>
      </c>
      <c r="AE5" s="170"/>
      <c r="AF5" s="70" t="s">
        <v>691</v>
      </c>
      <c r="AG5" s="70" t="s">
        <v>683</v>
      </c>
      <c r="AH5" s="71" t="s">
        <v>593</v>
      </c>
      <c r="AI5" s="170"/>
      <c r="AJ5" s="70" t="s">
        <v>691</v>
      </c>
      <c r="AK5" s="70" t="s">
        <v>683</v>
      </c>
      <c r="AL5" s="71" t="s">
        <v>593</v>
      </c>
      <c r="AM5" s="170"/>
      <c r="AN5" s="70" t="s">
        <v>691</v>
      </c>
      <c r="AO5" s="70" t="s">
        <v>683</v>
      </c>
      <c r="AP5" s="71" t="s">
        <v>593</v>
      </c>
      <c r="AQ5" s="170"/>
      <c r="AR5" s="70" t="s">
        <v>691</v>
      </c>
      <c r="AS5" s="70" t="s">
        <v>683</v>
      </c>
      <c r="AT5" s="71" t="s">
        <v>593</v>
      </c>
      <c r="AU5" s="170"/>
      <c r="AV5" s="70" t="s">
        <v>691</v>
      </c>
      <c r="AW5" s="70" t="s">
        <v>683</v>
      </c>
      <c r="AX5" s="71" t="s">
        <v>593</v>
      </c>
      <c r="AY5" s="170"/>
      <c r="AZ5" s="70" t="s">
        <v>691</v>
      </c>
      <c r="BA5" s="70" t="s">
        <v>683</v>
      </c>
      <c r="BB5" s="71" t="s">
        <v>593</v>
      </c>
      <c r="BC5" s="170"/>
      <c r="BD5" s="70" t="s">
        <v>691</v>
      </c>
      <c r="BE5" s="70" t="s">
        <v>683</v>
      </c>
      <c r="BF5" s="71" t="s">
        <v>593</v>
      </c>
      <c r="BG5" s="170"/>
      <c r="BH5" s="70" t="s">
        <v>691</v>
      </c>
      <c r="BI5" s="70" t="s">
        <v>683</v>
      </c>
      <c r="BJ5" s="71" t="s">
        <v>593</v>
      </c>
      <c r="BK5" s="170"/>
      <c r="BL5" s="70" t="s">
        <v>691</v>
      </c>
      <c r="BM5" s="70" t="s">
        <v>683</v>
      </c>
      <c r="BN5" s="71" t="s">
        <v>593</v>
      </c>
      <c r="BO5" s="170"/>
      <c r="BP5" s="70" t="s">
        <v>691</v>
      </c>
      <c r="BQ5" s="70" t="s">
        <v>683</v>
      </c>
      <c r="BR5" s="71" t="s">
        <v>593</v>
      </c>
      <c r="BS5" s="170"/>
      <c r="BT5" s="70" t="s">
        <v>691</v>
      </c>
      <c r="BU5" s="70" t="s">
        <v>683</v>
      </c>
      <c r="BV5" s="71" t="s">
        <v>593</v>
      </c>
      <c r="BW5" s="170"/>
      <c r="BX5" s="70" t="s">
        <v>691</v>
      </c>
      <c r="BY5" s="70" t="s">
        <v>683</v>
      </c>
      <c r="BZ5" s="71" t="s">
        <v>593</v>
      </c>
      <c r="CA5" s="170"/>
      <c r="CB5" s="70" t="s">
        <v>691</v>
      </c>
      <c r="CC5" s="70" t="s">
        <v>683</v>
      </c>
      <c r="CD5" s="71" t="s">
        <v>593</v>
      </c>
    </row>
    <row r="6" spans="1:82" s="2" customFormat="1" ht="30" customHeight="1" x14ac:dyDescent="0.3">
      <c r="B6" s="345">
        <f>CPU_ConservaMec!B6/0.8*0.2</f>
        <v>1.0640000000000001</v>
      </c>
      <c r="C6" s="275"/>
      <c r="D6" s="275"/>
      <c r="E6" s="275"/>
      <c r="F6" s="27" t="s">
        <v>873</v>
      </c>
      <c r="G6" s="35">
        <v>1</v>
      </c>
      <c r="H6" s="81" t="s">
        <v>347</v>
      </c>
      <c r="I6" s="55">
        <f>IFERROR(I7/B7*B6,0)</f>
        <v>0</v>
      </c>
      <c r="J6" s="55">
        <f>K11+K24+K37+K50</f>
        <v>2285.0604879306989</v>
      </c>
      <c r="K6" s="56">
        <f>IFERROR((I6-J6)/I6-PARAMETROS!C19,0)</f>
        <v>0</v>
      </c>
      <c r="M6" s="229" t="s">
        <v>693</v>
      </c>
      <c r="N6" s="230">
        <f>+K50</f>
        <v>0</v>
      </c>
      <c r="O6" s="235">
        <f>IFERROR(N6/$N$7,0)</f>
        <v>0</v>
      </c>
      <c r="AE6" s="171"/>
      <c r="AF6" s="55">
        <f>AJ6+AN6+AR6+AV6+AZ6+BD6+BH6+BL6+BP6+BT6+BX6+CB6</f>
        <v>0</v>
      </c>
      <c r="AG6" s="55">
        <f>AH11+AH24+AH37+AH50</f>
        <v>0</v>
      </c>
      <c r="AH6" s="56">
        <f>IFERROR((AF6-AG6)/AF6,0)</f>
        <v>0</v>
      </c>
      <c r="AI6" s="171"/>
      <c r="AJ6" s="55"/>
      <c r="AK6" s="55">
        <f>AL11+AL24+AL37+AL50</f>
        <v>0</v>
      </c>
      <c r="AL6" s="56">
        <f>IFERROR((AJ6-AK6)/AJ6,0)</f>
        <v>0</v>
      </c>
      <c r="AM6" s="171"/>
      <c r="AN6" s="55"/>
      <c r="AO6" s="55">
        <f>AP11+AP24+AP37+AP50</f>
        <v>0</v>
      </c>
      <c r="AP6" s="56">
        <f>IFERROR((AN6-AO6)/AN6,0)</f>
        <v>0</v>
      </c>
      <c r="AQ6" s="171"/>
      <c r="AR6" s="55"/>
      <c r="AS6" s="55">
        <f>AT11+AT24+AT37+AT50</f>
        <v>0</v>
      </c>
      <c r="AT6" s="56">
        <f>IFERROR((AR6-AS6)/AR6,0)</f>
        <v>0</v>
      </c>
      <c r="AU6" s="171"/>
      <c r="AV6" s="55"/>
      <c r="AW6" s="55">
        <f>AX11+AX24+AX37+AX50</f>
        <v>0</v>
      </c>
      <c r="AX6" s="56">
        <f>IFERROR((AV6-AW6)/AV6,0)</f>
        <v>0</v>
      </c>
      <c r="AY6" s="171"/>
      <c r="AZ6" s="55"/>
      <c r="BA6" s="55">
        <f>BB11+BB24+BB37+BB50</f>
        <v>0</v>
      </c>
      <c r="BB6" s="56">
        <f>IFERROR((AZ6-BA6)/AZ6,0)</f>
        <v>0</v>
      </c>
      <c r="BC6" s="171"/>
      <c r="BD6" s="55"/>
      <c r="BE6" s="55">
        <f>BF11+BF24+BF37+BF50</f>
        <v>0</v>
      </c>
      <c r="BF6" s="56">
        <f>IFERROR((BD6-BE6)/BD6,0)</f>
        <v>0</v>
      </c>
      <c r="BG6" s="171"/>
      <c r="BH6" s="55"/>
      <c r="BI6" s="55">
        <f>BJ11+BJ24+BJ37+BJ50</f>
        <v>0</v>
      </c>
      <c r="BJ6" s="56">
        <f>IFERROR((BH6-BI6)/BH6,0)</f>
        <v>0</v>
      </c>
      <c r="BK6" s="171"/>
      <c r="BL6" s="55"/>
      <c r="BM6" s="55">
        <f>BN11+BN24+BN37+BN50</f>
        <v>0</v>
      </c>
      <c r="BN6" s="56">
        <f>IFERROR((BL6-BM6)/BL6,0)</f>
        <v>0</v>
      </c>
      <c r="BO6" s="171"/>
      <c r="BP6" s="55"/>
      <c r="BQ6" s="55">
        <f>BR11+BR24+BR37+BR50</f>
        <v>0</v>
      </c>
      <c r="BR6" s="56">
        <f>IFERROR((BP6-BQ6)/BP6,0)</f>
        <v>0</v>
      </c>
      <c r="BS6" s="171"/>
      <c r="BT6" s="55"/>
      <c r="BU6" s="55">
        <f>BV11+BV24+BV37+BV50</f>
        <v>0</v>
      </c>
      <c r="BV6" s="56">
        <f>IFERROR((BT6-BU6)/BT6,0)</f>
        <v>0</v>
      </c>
      <c r="BW6" s="171"/>
      <c r="BX6" s="55"/>
      <c r="BY6" s="55">
        <f>BZ11+BZ24+BZ37+BZ50</f>
        <v>0</v>
      </c>
      <c r="BZ6" s="56">
        <f>IFERROR((BX6-BY6)/BX6,0)</f>
        <v>0</v>
      </c>
      <c r="CA6" s="171"/>
      <c r="CB6" s="55"/>
      <c r="CC6" s="55">
        <f>CD11+CD24+CD37+CD50</f>
        <v>0</v>
      </c>
      <c r="CD6" s="56">
        <f>IFERROR((CB6-CC6)/CB6,0)</f>
        <v>0</v>
      </c>
    </row>
    <row r="7" spans="1:82" s="2" customFormat="1" ht="30" customHeight="1" thickBot="1" x14ac:dyDescent="0.35">
      <c r="B7" s="34">
        <f>IFERROR(VLOOKUP(B3,Lucratividade!G4:N853,2,0),0)</f>
        <v>0</v>
      </c>
      <c r="C7" s="276"/>
      <c r="D7" s="276"/>
      <c r="E7" s="276"/>
      <c r="F7" s="50" t="s">
        <v>874</v>
      </c>
      <c r="G7" s="36">
        <f>IFERROR(B7/B6,0)</f>
        <v>0</v>
      </c>
      <c r="H7" s="82" t="s">
        <v>347</v>
      </c>
      <c r="I7" s="57">
        <f>IFERROR(VLOOKUP(B3,Lucratividade!G4:N132,6,0),0)</f>
        <v>0</v>
      </c>
      <c r="J7" s="58">
        <f>B7*K3</f>
        <v>0</v>
      </c>
      <c r="K7" s="59">
        <f>IFERROR((I7-J7)/I7-PARAMETROS!C19,0)</f>
        <v>0</v>
      </c>
      <c r="M7" s="231" t="s">
        <v>694</v>
      </c>
      <c r="N7" s="232">
        <f>SUM(N3:N6)</f>
        <v>2285.0604879306989</v>
      </c>
      <c r="O7" s="236"/>
      <c r="AE7" s="172"/>
      <c r="AF7" s="57"/>
      <c r="AG7" s="58"/>
      <c r="AH7" s="59"/>
      <c r="AI7" s="172"/>
      <c r="AJ7" s="57"/>
      <c r="AK7" s="58"/>
      <c r="AL7" s="59"/>
      <c r="AM7" s="172"/>
      <c r="AN7" s="57"/>
      <c r="AO7" s="58"/>
      <c r="AP7" s="59"/>
      <c r="AQ7" s="172"/>
      <c r="AR7" s="57"/>
      <c r="AS7" s="58"/>
      <c r="AT7" s="59"/>
      <c r="AU7" s="172"/>
      <c r="AV7" s="57"/>
      <c r="AW7" s="58"/>
      <c r="AX7" s="59"/>
      <c r="AY7" s="172"/>
      <c r="AZ7" s="57"/>
      <c r="BA7" s="58"/>
      <c r="BB7" s="59"/>
      <c r="BC7" s="172"/>
      <c r="BD7" s="57"/>
      <c r="BE7" s="58"/>
      <c r="BF7" s="59"/>
      <c r="BG7" s="172"/>
      <c r="BH7" s="57"/>
      <c r="BI7" s="58"/>
      <c r="BJ7" s="59"/>
      <c r="BK7" s="172"/>
      <c r="BL7" s="57"/>
      <c r="BM7" s="58"/>
      <c r="BN7" s="59"/>
      <c r="BO7" s="172"/>
      <c r="BP7" s="57"/>
      <c r="BQ7" s="58"/>
      <c r="BR7" s="59"/>
      <c r="BS7" s="172"/>
      <c r="BT7" s="57"/>
      <c r="BU7" s="58"/>
      <c r="BV7" s="59"/>
      <c r="BW7" s="172"/>
      <c r="BX7" s="57"/>
      <c r="BY7" s="58"/>
      <c r="BZ7" s="59"/>
      <c r="CA7" s="172"/>
      <c r="CB7" s="57"/>
      <c r="CC7" s="58"/>
      <c r="CD7" s="59"/>
    </row>
    <row r="8" spans="1:82" ht="4.2" customHeight="1" x14ac:dyDescent="0.3">
      <c r="AE8" s="28"/>
      <c r="AI8" s="28"/>
      <c r="AM8" s="28"/>
      <c r="AQ8" s="28"/>
      <c r="AU8" s="28"/>
      <c r="AY8" s="28"/>
      <c r="BC8" s="28"/>
      <c r="BG8" s="28"/>
      <c r="BK8" s="28"/>
      <c r="BO8" s="28"/>
      <c r="BS8" s="28"/>
      <c r="BW8" s="28"/>
      <c r="CA8" s="28"/>
    </row>
    <row r="9" spans="1:82" ht="4.95" customHeight="1" thickBot="1" x14ac:dyDescent="0.35">
      <c r="AE9" s="28"/>
      <c r="AI9" s="28"/>
      <c r="AM9" s="28"/>
      <c r="AQ9" s="28"/>
      <c r="AU9" s="28"/>
      <c r="AY9" s="28"/>
      <c r="BC9" s="28"/>
      <c r="BG9" s="28"/>
      <c r="BK9" s="28"/>
      <c r="BO9" s="28"/>
      <c r="BS9" s="28"/>
      <c r="BW9" s="28"/>
      <c r="CA9" s="28"/>
    </row>
    <row r="10" spans="1:82" ht="15" thickBot="1" x14ac:dyDescent="0.35">
      <c r="B10" s="72" t="s">
        <v>695</v>
      </c>
      <c r="C10" s="72" t="s">
        <v>679</v>
      </c>
      <c r="D10" s="72" t="s">
        <v>696</v>
      </c>
      <c r="E10" s="72" t="s">
        <v>697</v>
      </c>
      <c r="F10" s="72" t="s">
        <v>17</v>
      </c>
      <c r="G10" s="70" t="s">
        <v>690</v>
      </c>
      <c r="H10" s="70" t="s">
        <v>698</v>
      </c>
      <c r="I10" s="72" t="s">
        <v>20</v>
      </c>
      <c r="J10" s="72" t="s">
        <v>699</v>
      </c>
      <c r="K10" s="72" t="s">
        <v>700</v>
      </c>
      <c r="M10" s="83" t="s">
        <v>701</v>
      </c>
      <c r="N10" s="87" t="s">
        <v>702</v>
      </c>
      <c r="AD10" s="173" t="s">
        <v>703</v>
      </c>
      <c r="AE10" s="170" t="s">
        <v>698</v>
      </c>
      <c r="AF10" s="70" t="s">
        <v>20</v>
      </c>
      <c r="AG10" s="70" t="s">
        <v>699</v>
      </c>
      <c r="AH10" s="70" t="s">
        <v>700</v>
      </c>
      <c r="AI10" s="173" t="s">
        <v>704</v>
      </c>
      <c r="AJ10" s="174" t="s">
        <v>705</v>
      </c>
      <c r="AK10" s="174" t="s">
        <v>706</v>
      </c>
      <c r="AL10" s="175" t="s">
        <v>707</v>
      </c>
      <c r="AM10" s="173" t="s">
        <v>708</v>
      </c>
      <c r="AN10" s="174" t="s">
        <v>709</v>
      </c>
      <c r="AO10" s="174" t="s">
        <v>710</v>
      </c>
      <c r="AP10" s="175" t="s">
        <v>711</v>
      </c>
      <c r="AQ10" s="173" t="s">
        <v>712</v>
      </c>
      <c r="AR10" s="174" t="s">
        <v>713</v>
      </c>
      <c r="AS10" s="174" t="s">
        <v>714</v>
      </c>
      <c r="AT10" s="175" t="s">
        <v>715</v>
      </c>
      <c r="AU10" s="173" t="s">
        <v>716</v>
      </c>
      <c r="AV10" s="174" t="s">
        <v>717</v>
      </c>
      <c r="AW10" s="174" t="s">
        <v>718</v>
      </c>
      <c r="AX10" s="175" t="s">
        <v>719</v>
      </c>
      <c r="AY10" s="173" t="s">
        <v>720</v>
      </c>
      <c r="AZ10" s="174" t="s">
        <v>721</v>
      </c>
      <c r="BA10" s="174" t="s">
        <v>722</v>
      </c>
      <c r="BB10" s="175" t="s">
        <v>723</v>
      </c>
      <c r="BC10" s="173" t="s">
        <v>724</v>
      </c>
      <c r="BD10" s="174" t="s">
        <v>725</v>
      </c>
      <c r="BE10" s="174" t="s">
        <v>726</v>
      </c>
      <c r="BF10" s="175" t="s">
        <v>727</v>
      </c>
      <c r="BG10" s="173" t="s">
        <v>728</v>
      </c>
      <c r="BH10" s="174" t="s">
        <v>729</v>
      </c>
      <c r="BI10" s="174" t="s">
        <v>730</v>
      </c>
      <c r="BJ10" s="175" t="s">
        <v>731</v>
      </c>
      <c r="BK10" s="173" t="s">
        <v>732</v>
      </c>
      <c r="BL10" s="174" t="s">
        <v>733</v>
      </c>
      <c r="BM10" s="174" t="s">
        <v>734</v>
      </c>
      <c r="BN10" s="175" t="s">
        <v>735</v>
      </c>
      <c r="BO10" s="173" t="s">
        <v>736</v>
      </c>
      <c r="BP10" s="174" t="s">
        <v>737</v>
      </c>
      <c r="BQ10" s="174" t="s">
        <v>738</v>
      </c>
      <c r="BR10" s="175" t="s">
        <v>739</v>
      </c>
      <c r="BS10" s="173" t="s">
        <v>740</v>
      </c>
      <c r="BT10" s="174" t="s">
        <v>741</v>
      </c>
      <c r="BU10" s="174" t="s">
        <v>742</v>
      </c>
      <c r="BV10" s="175" t="s">
        <v>743</v>
      </c>
      <c r="BW10" s="173" t="s">
        <v>744</v>
      </c>
      <c r="BX10" s="174" t="s">
        <v>745</v>
      </c>
      <c r="BY10" s="174" t="s">
        <v>746</v>
      </c>
      <c r="BZ10" s="175" t="s">
        <v>747</v>
      </c>
      <c r="CA10" s="173" t="s">
        <v>748</v>
      </c>
      <c r="CB10" s="174" t="s">
        <v>749</v>
      </c>
      <c r="CC10" s="174" t="s">
        <v>750</v>
      </c>
      <c r="CD10" s="174" t="s">
        <v>751</v>
      </c>
    </row>
    <row r="11" spans="1:82" x14ac:dyDescent="0.3">
      <c r="B11" s="52" t="s">
        <v>752</v>
      </c>
      <c r="C11" s="52" t="str">
        <f t="shared" ref="C11:C62" si="0">$A$3</f>
        <v>CPU_Conserva</v>
      </c>
      <c r="D11" s="277">
        <f t="shared" ref="D11:D62" si="1">$B$6</f>
        <v>1.0640000000000001</v>
      </c>
      <c r="E11" s="277">
        <f t="shared" ref="E11:E62" si="2">$B$7</f>
        <v>0</v>
      </c>
      <c r="F11" s="37"/>
      <c r="G11" s="38"/>
      <c r="H11" s="91"/>
      <c r="I11" s="40"/>
      <c r="J11" s="40">
        <f>IFERROR(K11/$B$6,0)</f>
        <v>85.440874914559117</v>
      </c>
      <c r="K11" s="40">
        <f>SUM(K12:K23)</f>
        <v>90.909090909090907</v>
      </c>
      <c r="M11" s="294" t="s">
        <v>753</v>
      </c>
      <c r="N11" s="295" t="s">
        <v>754</v>
      </c>
      <c r="O11" s="296" t="s">
        <v>755</v>
      </c>
      <c r="AD11" s="144" t="str">
        <f>$B$3</f>
        <v>Conserva</v>
      </c>
      <c r="AE11" s="176"/>
      <c r="AF11" s="177"/>
      <c r="AG11" s="177">
        <f>IFERROR(AH11/AF$3,0)</f>
        <v>0</v>
      </c>
      <c r="AH11" s="178">
        <f>SUM(AH12:AH23)</f>
        <v>0</v>
      </c>
      <c r="AI11" s="176"/>
      <c r="AJ11" s="177"/>
      <c r="AK11" s="177">
        <f>IFERROR(AL11/AJ$3,0)</f>
        <v>0</v>
      </c>
      <c r="AL11" s="178">
        <f>SUM(AL12:AL23)</f>
        <v>0</v>
      </c>
      <c r="AM11" s="176"/>
      <c r="AN11" s="177"/>
      <c r="AO11" s="177">
        <f>IFERROR(AP11/AN$3,0)</f>
        <v>0</v>
      </c>
      <c r="AP11" s="178">
        <f>SUM(AP12:AP23)</f>
        <v>0</v>
      </c>
      <c r="AQ11" s="176"/>
      <c r="AR11" s="177"/>
      <c r="AS11" s="177">
        <f>IFERROR(AT11/AR$3,0)</f>
        <v>0</v>
      </c>
      <c r="AT11" s="178">
        <f>SUM(AT12:AT23)</f>
        <v>0</v>
      </c>
      <c r="AU11" s="176"/>
      <c r="AV11" s="177"/>
      <c r="AW11" s="177">
        <f>IFERROR(AX11/AV$3,0)</f>
        <v>0</v>
      </c>
      <c r="AX11" s="178">
        <f>SUM(AX12:AX23)</f>
        <v>0</v>
      </c>
      <c r="AY11" s="176"/>
      <c r="AZ11" s="177"/>
      <c r="BA11" s="177">
        <f>IFERROR(BB11/AZ$3,0)</f>
        <v>0</v>
      </c>
      <c r="BB11" s="178">
        <f>SUM(BB12:BB23)</f>
        <v>0</v>
      </c>
      <c r="BC11" s="176"/>
      <c r="BD11" s="177"/>
      <c r="BE11" s="177">
        <f>IFERROR(BF11/BD$3,0)</f>
        <v>0</v>
      </c>
      <c r="BF11" s="178">
        <f>SUM(BF12:BF23)</f>
        <v>0</v>
      </c>
      <c r="BG11" s="176"/>
      <c r="BH11" s="177"/>
      <c r="BI11" s="177">
        <f>IFERROR(BJ11/BH$3,0)</f>
        <v>0</v>
      </c>
      <c r="BJ11" s="178">
        <f>SUM(BJ12:BJ23)</f>
        <v>0</v>
      </c>
      <c r="BK11" s="176"/>
      <c r="BL11" s="177"/>
      <c r="BM11" s="177">
        <f>IFERROR(BN11/BL$3,0)</f>
        <v>0</v>
      </c>
      <c r="BN11" s="178">
        <f>SUM(BN12:BN23)</f>
        <v>0</v>
      </c>
      <c r="BO11" s="176"/>
      <c r="BP11" s="177"/>
      <c r="BQ11" s="177">
        <f>IFERROR(BR11/BP$3,0)</f>
        <v>0</v>
      </c>
      <c r="BR11" s="178">
        <f>SUM(BR12:BR23)</f>
        <v>0</v>
      </c>
      <c r="BS11" s="176"/>
      <c r="BT11" s="177"/>
      <c r="BU11" s="177">
        <f>IFERROR(BV11/BT$3,0)</f>
        <v>0</v>
      </c>
      <c r="BV11" s="178">
        <f>SUM(BV12:BV23)</f>
        <v>0</v>
      </c>
      <c r="BW11" s="176"/>
      <c r="BX11" s="177"/>
      <c r="BY11" s="177">
        <f>IFERROR(BZ11/BX$3,0)</f>
        <v>0</v>
      </c>
      <c r="BZ11" s="178">
        <f>SUM(BZ12:BZ23)</f>
        <v>0</v>
      </c>
      <c r="CA11" s="176"/>
      <c r="CB11" s="177"/>
      <c r="CC11" s="177">
        <f>IFERROR(CD11/CB$3,0)</f>
        <v>0</v>
      </c>
      <c r="CD11" s="178">
        <f>SUM(CD12:CD23)</f>
        <v>0</v>
      </c>
    </row>
    <row r="12" spans="1:82" x14ac:dyDescent="0.3">
      <c r="B12" s="53"/>
      <c r="C12" s="53" t="str">
        <f t="shared" si="0"/>
        <v>CPU_Conserva</v>
      </c>
      <c r="D12" s="278">
        <f t="shared" si="1"/>
        <v>1.0640000000000001</v>
      </c>
      <c r="E12" s="278">
        <f t="shared" si="2"/>
        <v>0</v>
      </c>
      <c r="F12" s="46" t="s">
        <v>861</v>
      </c>
      <c r="G12" s="28" t="str">
        <f>IFERROR(VLOOKUP(F12,Tabela7[[RECURSO]:[CUSTO]],2,FALSE),"")</f>
        <v>DIA</v>
      </c>
      <c r="H12" s="92"/>
      <c r="I12" s="90">
        <f>30/22</f>
        <v>1.3636363636363635</v>
      </c>
      <c r="J12" s="45">
        <f>IFERROR(VLOOKUP(F12,Tabela7[[RECURSO]:[CUSTO]],3,FALSE),0)</f>
        <v>416.66666666666669</v>
      </c>
      <c r="K12" s="45">
        <f>I12*J12*CPU_2055[[#This Row],[Nº]]</f>
        <v>0</v>
      </c>
      <c r="M12" s="31">
        <f>12*8</f>
        <v>96</v>
      </c>
      <c r="N12" s="297">
        <v>0.8</v>
      </c>
      <c r="O12" s="60">
        <f>IFERROR($B$6/(H12*I12*N12),0)</f>
        <v>0</v>
      </c>
      <c r="AD12" s="144" t="str">
        <f t="shared" ref="AD12:AD62" si="3">$B$3</f>
        <v>Conserva</v>
      </c>
      <c r="AE12" s="179"/>
      <c r="AF12" s="180">
        <f>AJ12+AN12+AR12+AV12+AZ12+BD12+BH12+BL12+BP12+BT12+BX12+CB12</f>
        <v>0</v>
      </c>
      <c r="AG12" s="180">
        <f>IFERROR(AH12/AF12,0)</f>
        <v>0</v>
      </c>
      <c r="AH12" s="181">
        <f>AL12+AP12+AT12+AX12+BB12+BF12+BJ12+BN12+BR12+BV12+BZ12+CD12</f>
        <v>0</v>
      </c>
      <c r="AI12" s="182"/>
      <c r="AJ12" s="90"/>
      <c r="AK12" s="90"/>
      <c r="AL12" s="183">
        <f>AJ12*AK12</f>
        <v>0</v>
      </c>
      <c r="AM12" s="182"/>
      <c r="AN12" s="90"/>
      <c r="AO12" s="90"/>
      <c r="AP12" s="183">
        <f t="shared" ref="AP12:AP23" si="4">AN12*AO12</f>
        <v>0</v>
      </c>
      <c r="AQ12" s="182"/>
      <c r="AR12" s="90"/>
      <c r="AS12" s="90"/>
      <c r="AT12" s="183">
        <f t="shared" ref="AT12:AT23" si="5">AR12*AS12</f>
        <v>0</v>
      </c>
      <c r="AU12" s="182"/>
      <c r="AV12" s="90"/>
      <c r="AW12" s="90"/>
      <c r="AX12" s="183">
        <f t="shared" ref="AX12:AX23" si="6">AV12*AW12</f>
        <v>0</v>
      </c>
      <c r="AY12" s="182"/>
      <c r="AZ12" s="90"/>
      <c r="BA12" s="90"/>
      <c r="BB12" s="183">
        <f t="shared" ref="BB12:BB23" si="7">AZ12*BA12</f>
        <v>0</v>
      </c>
      <c r="BC12" s="182"/>
      <c r="BD12" s="90"/>
      <c r="BE12" s="90"/>
      <c r="BF12" s="183">
        <f t="shared" ref="BF12:BF23" si="8">BD12*BE12</f>
        <v>0</v>
      </c>
      <c r="BG12" s="182"/>
      <c r="BH12" s="90"/>
      <c r="BI12" s="90"/>
      <c r="BJ12" s="183">
        <f t="shared" ref="BJ12:BJ23" si="9">BH12*BI12</f>
        <v>0</v>
      </c>
      <c r="BK12" s="182"/>
      <c r="BL12" s="90"/>
      <c r="BM12" s="90"/>
      <c r="BN12" s="183">
        <f t="shared" ref="BN12:BN23" si="10">BL12*BM12</f>
        <v>0</v>
      </c>
      <c r="BO12" s="182"/>
      <c r="BP12" s="90"/>
      <c r="BQ12" s="90"/>
      <c r="BR12" s="183">
        <f t="shared" ref="BR12:BR23" si="11">BP12*BQ12</f>
        <v>0</v>
      </c>
      <c r="BS12" s="182"/>
      <c r="BT12" s="90"/>
      <c r="BU12" s="90"/>
      <c r="BV12" s="183">
        <f t="shared" ref="BV12:BV23" si="12">BT12*BU12</f>
        <v>0</v>
      </c>
      <c r="BW12" s="182"/>
      <c r="BX12" s="90"/>
      <c r="BY12" s="90"/>
      <c r="BZ12" s="183">
        <f t="shared" ref="BZ12:BZ23" si="13">BX12*BY12</f>
        <v>0</v>
      </c>
      <c r="CA12" s="182"/>
      <c r="CB12" s="90"/>
      <c r="CC12" s="90"/>
      <c r="CD12" s="183">
        <f t="shared" ref="CD12:CD23" si="14">CB12*CC12</f>
        <v>0</v>
      </c>
    </row>
    <row r="13" spans="1:82" x14ac:dyDescent="0.3">
      <c r="B13" s="53"/>
      <c r="C13" s="53" t="str">
        <f t="shared" si="0"/>
        <v>CPU_Conserva</v>
      </c>
      <c r="D13" s="278">
        <f t="shared" si="1"/>
        <v>1.0640000000000001</v>
      </c>
      <c r="E13" s="278">
        <f t="shared" si="2"/>
        <v>0</v>
      </c>
      <c r="F13" s="1" t="s">
        <v>862</v>
      </c>
      <c r="G13" s="28" t="str">
        <f>IFERROR(VLOOKUP(F13,Tabela7[[RECURSO]:[CUSTO]],2,FALSE),"")</f>
        <v>H</v>
      </c>
      <c r="H13" s="92"/>
      <c r="I13" s="90"/>
      <c r="J13" s="45">
        <f>IFERROR(VLOOKUP(F13,Tabela7[[RECURSO]:[CUSTO]],3,FALSE),0)</f>
        <v>0</v>
      </c>
      <c r="K13" s="45">
        <f>I13*J13*CPU_2055[[#This Row],[Nº]]</f>
        <v>0</v>
      </c>
      <c r="M13" s="31"/>
      <c r="N13" s="297"/>
      <c r="O13" s="60">
        <f t="shared" ref="O13:O23" si="15">IFERROR($B$6/(H13*I13),0)</f>
        <v>0</v>
      </c>
      <c r="AD13" s="144" t="str">
        <f t="shared" si="3"/>
        <v>Conserva</v>
      </c>
      <c r="AE13" s="179"/>
      <c r="AF13" s="180">
        <f t="shared" ref="AF13:AF23" si="16">AJ13+AN13+AR13+AV13+AZ13+BD13+BH13+BL13+BP13+BT13+BX13+CB13</f>
        <v>0</v>
      </c>
      <c r="AG13" s="180">
        <f t="shared" ref="AG13:AG62" si="17">IFERROR(AH13/AF13,0)</f>
        <v>0</v>
      </c>
      <c r="AH13" s="181">
        <f t="shared" ref="AH13:AH23" si="18">AL13+AP13+AT13+AX13+BB13+BF13+BJ13+BN13+BR13+BV13+BZ13+CD13</f>
        <v>0</v>
      </c>
      <c r="AI13" s="182"/>
      <c r="AJ13" s="90"/>
      <c r="AK13" s="90"/>
      <c r="AL13" s="183">
        <f t="shared" ref="AL13:AL23" si="19">AJ13*AK13</f>
        <v>0</v>
      </c>
      <c r="AM13" s="182"/>
      <c r="AN13" s="90"/>
      <c r="AO13" s="90"/>
      <c r="AP13" s="183">
        <f t="shared" si="4"/>
        <v>0</v>
      </c>
      <c r="AQ13" s="182"/>
      <c r="AR13" s="90"/>
      <c r="AS13" s="90"/>
      <c r="AT13" s="183">
        <f t="shared" si="5"/>
        <v>0</v>
      </c>
      <c r="AU13" s="182"/>
      <c r="AV13" s="90"/>
      <c r="AW13" s="90"/>
      <c r="AX13" s="183">
        <f t="shared" si="6"/>
        <v>0</v>
      </c>
      <c r="AY13" s="182"/>
      <c r="AZ13" s="90"/>
      <c r="BA13" s="90"/>
      <c r="BB13" s="183">
        <f t="shared" si="7"/>
        <v>0</v>
      </c>
      <c r="BC13" s="182"/>
      <c r="BD13" s="90"/>
      <c r="BE13" s="90"/>
      <c r="BF13" s="183">
        <f t="shared" si="8"/>
        <v>0</v>
      </c>
      <c r="BG13" s="182"/>
      <c r="BH13" s="90"/>
      <c r="BI13" s="90"/>
      <c r="BJ13" s="183">
        <f t="shared" si="9"/>
        <v>0</v>
      </c>
      <c r="BK13" s="182"/>
      <c r="BL13" s="90"/>
      <c r="BM13" s="90"/>
      <c r="BN13" s="183">
        <f t="shared" si="10"/>
        <v>0</v>
      </c>
      <c r="BO13" s="182"/>
      <c r="BP13" s="90"/>
      <c r="BQ13" s="90"/>
      <c r="BR13" s="183">
        <f t="shared" si="11"/>
        <v>0</v>
      </c>
      <c r="BS13" s="182"/>
      <c r="BT13" s="90"/>
      <c r="BU13" s="90"/>
      <c r="BV13" s="183">
        <f t="shared" si="12"/>
        <v>0</v>
      </c>
      <c r="BW13" s="182"/>
      <c r="BX13" s="90"/>
      <c r="BY13" s="90"/>
      <c r="BZ13" s="183">
        <f t="shared" si="13"/>
        <v>0</v>
      </c>
      <c r="CA13" s="182"/>
      <c r="CB13" s="90"/>
      <c r="CC13" s="90"/>
      <c r="CD13" s="183">
        <f t="shared" si="14"/>
        <v>0</v>
      </c>
    </row>
    <row r="14" spans="1:82" x14ac:dyDescent="0.3">
      <c r="B14" s="53"/>
      <c r="C14" s="53" t="str">
        <f t="shared" si="0"/>
        <v>CPU_Conserva</v>
      </c>
      <c r="D14" s="278">
        <f t="shared" si="1"/>
        <v>1.0640000000000001</v>
      </c>
      <c r="E14" s="278">
        <f t="shared" si="2"/>
        <v>0</v>
      </c>
      <c r="F14" s="1" t="s">
        <v>863</v>
      </c>
      <c r="G14" s="28" t="str">
        <f>IFERROR(VLOOKUP(F14,Tabela7[[RECURSO]:[CUSTO]],2,FALSE),"")</f>
        <v>DIA</v>
      </c>
      <c r="H14" s="92">
        <v>4</v>
      </c>
      <c r="I14" s="90">
        <f>30/22</f>
        <v>1.3636363636363635</v>
      </c>
      <c r="J14" s="45">
        <f>IFERROR(VLOOKUP(F14,Tabela7[[RECURSO]:[CUSTO]],3,FALSE),0)</f>
        <v>16.666666666666668</v>
      </c>
      <c r="K14" s="45">
        <f>I14*J14*CPU_2055[[#This Row],[Nº]]</f>
        <v>90.909090909090907</v>
      </c>
      <c r="M14" s="31">
        <f>1*6</f>
        <v>6</v>
      </c>
      <c r="N14" s="297">
        <v>0.8</v>
      </c>
      <c r="O14" s="60">
        <f t="shared" si="15"/>
        <v>0.19506666666666669</v>
      </c>
      <c r="AD14" s="144" t="str">
        <f t="shared" si="3"/>
        <v>Conserva</v>
      </c>
      <c r="AE14" s="179"/>
      <c r="AF14" s="180">
        <f t="shared" si="16"/>
        <v>0</v>
      </c>
      <c r="AG14" s="180">
        <f t="shared" si="17"/>
        <v>0</v>
      </c>
      <c r="AH14" s="181">
        <f t="shared" si="18"/>
        <v>0</v>
      </c>
      <c r="AI14" s="182"/>
      <c r="AJ14" s="90"/>
      <c r="AK14" s="90"/>
      <c r="AL14" s="183">
        <f t="shared" si="19"/>
        <v>0</v>
      </c>
      <c r="AM14" s="182"/>
      <c r="AN14" s="90"/>
      <c r="AO14" s="90"/>
      <c r="AP14" s="183">
        <f t="shared" si="4"/>
        <v>0</v>
      </c>
      <c r="AQ14" s="182"/>
      <c r="AR14" s="90"/>
      <c r="AS14" s="90"/>
      <c r="AT14" s="183">
        <f t="shared" si="5"/>
        <v>0</v>
      </c>
      <c r="AU14" s="182"/>
      <c r="AV14" s="90"/>
      <c r="AW14" s="90"/>
      <c r="AX14" s="183">
        <f t="shared" si="6"/>
        <v>0</v>
      </c>
      <c r="AY14" s="182"/>
      <c r="AZ14" s="90"/>
      <c r="BA14" s="90"/>
      <c r="BB14" s="183">
        <f t="shared" si="7"/>
        <v>0</v>
      </c>
      <c r="BC14" s="182"/>
      <c r="BD14" s="90"/>
      <c r="BE14" s="90"/>
      <c r="BF14" s="183">
        <f t="shared" si="8"/>
        <v>0</v>
      </c>
      <c r="BG14" s="182"/>
      <c r="BH14" s="90"/>
      <c r="BI14" s="90"/>
      <c r="BJ14" s="183">
        <f t="shared" si="9"/>
        <v>0</v>
      </c>
      <c r="BK14" s="182"/>
      <c r="BL14" s="90"/>
      <c r="BM14" s="90"/>
      <c r="BN14" s="183">
        <f t="shared" si="10"/>
        <v>0</v>
      </c>
      <c r="BO14" s="182"/>
      <c r="BP14" s="90"/>
      <c r="BQ14" s="90"/>
      <c r="BR14" s="183">
        <f t="shared" si="11"/>
        <v>0</v>
      </c>
      <c r="BS14" s="182"/>
      <c r="BT14" s="90"/>
      <c r="BU14" s="90"/>
      <c r="BV14" s="183">
        <f t="shared" si="12"/>
        <v>0</v>
      </c>
      <c r="BW14" s="182"/>
      <c r="BX14" s="90"/>
      <c r="BY14" s="90"/>
      <c r="BZ14" s="183">
        <f t="shared" si="13"/>
        <v>0</v>
      </c>
      <c r="CA14" s="182"/>
      <c r="CB14" s="90"/>
      <c r="CC14" s="90"/>
      <c r="CD14" s="183">
        <f t="shared" si="14"/>
        <v>0</v>
      </c>
    </row>
    <row r="15" spans="1:82" x14ac:dyDescent="0.3">
      <c r="B15" s="153"/>
      <c r="C15" s="153" t="str">
        <f t="shared" si="0"/>
        <v>CPU_Conserva</v>
      </c>
      <c r="D15" s="279">
        <f t="shared" si="1"/>
        <v>1.0640000000000001</v>
      </c>
      <c r="E15" s="279">
        <f t="shared" si="2"/>
        <v>0</v>
      </c>
      <c r="F15" s="1" t="s">
        <v>757</v>
      </c>
      <c r="G15" s="28" t="str">
        <f>IFERROR(VLOOKUP(F15,Tabela7[[RECURSO]:[CUSTO]],2,FALSE),"")</f>
        <v>DIA</v>
      </c>
      <c r="H15" s="92"/>
      <c r="I15" s="90">
        <f>30/22</f>
        <v>1.3636363636363635</v>
      </c>
      <c r="J15" s="45">
        <f>IFERROR(VLOOKUP(F15,Tabela7[[RECURSO]:[CUSTO]],3,FALSE),0)</f>
        <v>500</v>
      </c>
      <c r="K15" s="45">
        <f>I15*J15*CPU_2055[[#This Row],[Nº]]</f>
        <v>0</v>
      </c>
      <c r="M15" s="31">
        <f>120/6</f>
        <v>20</v>
      </c>
      <c r="N15" s="297">
        <v>1</v>
      </c>
      <c r="O15" s="60">
        <f t="shared" si="15"/>
        <v>0</v>
      </c>
      <c r="AD15" s="144" t="str">
        <f t="shared" si="3"/>
        <v>Conserva</v>
      </c>
      <c r="AE15" s="179"/>
      <c r="AF15" s="180">
        <f t="shared" si="16"/>
        <v>0</v>
      </c>
      <c r="AG15" s="180">
        <f t="shared" si="17"/>
        <v>0</v>
      </c>
      <c r="AH15" s="181">
        <f t="shared" si="18"/>
        <v>0</v>
      </c>
      <c r="AI15" s="182"/>
      <c r="AJ15" s="90"/>
      <c r="AK15" s="90"/>
      <c r="AL15" s="183">
        <f t="shared" si="19"/>
        <v>0</v>
      </c>
      <c r="AM15" s="182"/>
      <c r="AN15" s="90"/>
      <c r="AO15" s="90"/>
      <c r="AP15" s="183">
        <f t="shared" si="4"/>
        <v>0</v>
      </c>
      <c r="AQ15" s="182"/>
      <c r="AR15" s="90"/>
      <c r="AS15" s="90"/>
      <c r="AT15" s="183">
        <f t="shared" si="5"/>
        <v>0</v>
      </c>
      <c r="AU15" s="182"/>
      <c r="AV15" s="90"/>
      <c r="AW15" s="90"/>
      <c r="AX15" s="183">
        <f t="shared" si="6"/>
        <v>0</v>
      </c>
      <c r="AY15" s="182"/>
      <c r="AZ15" s="90"/>
      <c r="BA15" s="90"/>
      <c r="BB15" s="183">
        <f t="shared" si="7"/>
        <v>0</v>
      </c>
      <c r="BC15" s="182"/>
      <c r="BD15" s="90"/>
      <c r="BE15" s="90"/>
      <c r="BF15" s="183">
        <f t="shared" si="8"/>
        <v>0</v>
      </c>
      <c r="BG15" s="182"/>
      <c r="BH15" s="90"/>
      <c r="BI15" s="90"/>
      <c r="BJ15" s="183">
        <f t="shared" si="9"/>
        <v>0</v>
      </c>
      <c r="BK15" s="182"/>
      <c r="BL15" s="90"/>
      <c r="BM15" s="90"/>
      <c r="BN15" s="183">
        <f t="shared" si="10"/>
        <v>0</v>
      </c>
      <c r="BO15" s="182"/>
      <c r="BP15" s="90"/>
      <c r="BQ15" s="90"/>
      <c r="BR15" s="183">
        <f t="shared" si="11"/>
        <v>0</v>
      </c>
      <c r="BS15" s="182"/>
      <c r="BT15" s="90"/>
      <c r="BU15" s="90"/>
      <c r="BV15" s="183">
        <f t="shared" si="12"/>
        <v>0</v>
      </c>
      <c r="BW15" s="182"/>
      <c r="BX15" s="90"/>
      <c r="BY15" s="90"/>
      <c r="BZ15" s="183">
        <f t="shared" si="13"/>
        <v>0</v>
      </c>
      <c r="CA15" s="182"/>
      <c r="CB15" s="90"/>
      <c r="CC15" s="90"/>
      <c r="CD15" s="183">
        <f t="shared" si="14"/>
        <v>0</v>
      </c>
    </row>
    <row r="16" spans="1:82" x14ac:dyDescent="0.3">
      <c r="B16" s="53"/>
      <c r="C16" s="53" t="str">
        <f t="shared" si="0"/>
        <v>CPU_Conserva</v>
      </c>
      <c r="D16" s="278">
        <f t="shared" si="1"/>
        <v>1.0640000000000001</v>
      </c>
      <c r="E16" s="278">
        <f t="shared" si="2"/>
        <v>0</v>
      </c>
      <c r="F16" s="1"/>
      <c r="G16" s="28" t="str">
        <f>IFERROR(VLOOKUP(F16,Tabela7[[RECURSO]:[CUSTO]],2,FALSE),"")</f>
        <v/>
      </c>
      <c r="H16" s="92"/>
      <c r="I16" s="90"/>
      <c r="J16" s="45">
        <f>IFERROR(VLOOKUP(F16,Tabela7[[RECURSO]:[CUSTO]],3,FALSE),0)</f>
        <v>0</v>
      </c>
      <c r="K16" s="45">
        <f>I16*J16*CPU_2055[[#This Row],[Nº]]</f>
        <v>0</v>
      </c>
      <c r="M16" s="31"/>
      <c r="N16" s="297"/>
      <c r="O16" s="60">
        <f t="shared" si="15"/>
        <v>0</v>
      </c>
      <c r="AD16" s="144" t="str">
        <f t="shared" si="3"/>
        <v>Conserva</v>
      </c>
      <c r="AE16" s="179"/>
      <c r="AF16" s="180">
        <f t="shared" si="16"/>
        <v>0</v>
      </c>
      <c r="AG16" s="180">
        <f t="shared" si="17"/>
        <v>0</v>
      </c>
      <c r="AH16" s="181">
        <f t="shared" si="18"/>
        <v>0</v>
      </c>
      <c r="AI16" s="182"/>
      <c r="AJ16" s="90"/>
      <c r="AK16" s="90"/>
      <c r="AL16" s="183">
        <f t="shared" si="19"/>
        <v>0</v>
      </c>
      <c r="AM16" s="182"/>
      <c r="AN16" s="90"/>
      <c r="AO16" s="90"/>
      <c r="AP16" s="183">
        <f t="shared" si="4"/>
        <v>0</v>
      </c>
      <c r="AQ16" s="182"/>
      <c r="AR16" s="90"/>
      <c r="AS16" s="90"/>
      <c r="AT16" s="183">
        <f t="shared" si="5"/>
        <v>0</v>
      </c>
      <c r="AU16" s="182"/>
      <c r="AV16" s="90"/>
      <c r="AW16" s="90"/>
      <c r="AX16" s="183">
        <f t="shared" si="6"/>
        <v>0</v>
      </c>
      <c r="AY16" s="182"/>
      <c r="AZ16" s="90"/>
      <c r="BA16" s="90"/>
      <c r="BB16" s="183">
        <f t="shared" si="7"/>
        <v>0</v>
      </c>
      <c r="BC16" s="182"/>
      <c r="BD16" s="90"/>
      <c r="BE16" s="90"/>
      <c r="BF16" s="183">
        <f t="shared" si="8"/>
        <v>0</v>
      </c>
      <c r="BG16" s="182"/>
      <c r="BH16" s="90"/>
      <c r="BI16" s="90"/>
      <c r="BJ16" s="183">
        <f t="shared" si="9"/>
        <v>0</v>
      </c>
      <c r="BK16" s="182"/>
      <c r="BL16" s="90"/>
      <c r="BM16" s="90"/>
      <c r="BN16" s="183">
        <f t="shared" si="10"/>
        <v>0</v>
      </c>
      <c r="BO16" s="182"/>
      <c r="BP16" s="90"/>
      <c r="BQ16" s="90"/>
      <c r="BR16" s="183">
        <f t="shared" si="11"/>
        <v>0</v>
      </c>
      <c r="BS16" s="182"/>
      <c r="BT16" s="90"/>
      <c r="BU16" s="90"/>
      <c r="BV16" s="183">
        <f t="shared" si="12"/>
        <v>0</v>
      </c>
      <c r="BW16" s="182"/>
      <c r="BX16" s="90"/>
      <c r="BY16" s="90"/>
      <c r="BZ16" s="183">
        <f t="shared" si="13"/>
        <v>0</v>
      </c>
      <c r="CA16" s="182"/>
      <c r="CB16" s="90"/>
      <c r="CC16" s="90"/>
      <c r="CD16" s="183">
        <f t="shared" si="14"/>
        <v>0</v>
      </c>
    </row>
    <row r="17" spans="2:82" x14ac:dyDescent="0.3">
      <c r="B17" s="53"/>
      <c r="C17" s="53" t="str">
        <f t="shared" si="0"/>
        <v>CPU_Conserva</v>
      </c>
      <c r="D17" s="278">
        <f t="shared" si="1"/>
        <v>1.0640000000000001</v>
      </c>
      <c r="E17" s="278">
        <f t="shared" si="2"/>
        <v>0</v>
      </c>
      <c r="F17" s="1"/>
      <c r="G17" s="28" t="str">
        <f>IFERROR(VLOOKUP(F17,Tabela7[[RECURSO]:[CUSTO]],2,FALSE),"")</f>
        <v/>
      </c>
      <c r="H17" s="92"/>
      <c r="I17" s="90"/>
      <c r="J17" s="45">
        <f>IFERROR(VLOOKUP(F17,Tabela7[[RECURSO]:[CUSTO]],3,FALSE),0)</f>
        <v>0</v>
      </c>
      <c r="K17" s="45">
        <f>I17*J17*CPU_2055[[#This Row],[Nº]]</f>
        <v>0</v>
      </c>
      <c r="M17" s="31"/>
      <c r="N17" s="297"/>
      <c r="O17" s="60">
        <f t="shared" si="15"/>
        <v>0</v>
      </c>
      <c r="AD17" s="144" t="str">
        <f t="shared" si="3"/>
        <v>Conserva</v>
      </c>
      <c r="AE17" s="179"/>
      <c r="AF17" s="180">
        <f t="shared" si="16"/>
        <v>0</v>
      </c>
      <c r="AG17" s="180">
        <f t="shared" si="17"/>
        <v>0</v>
      </c>
      <c r="AH17" s="181">
        <f t="shared" si="18"/>
        <v>0</v>
      </c>
      <c r="AI17" s="182"/>
      <c r="AJ17" s="90"/>
      <c r="AK17" s="90"/>
      <c r="AL17" s="183">
        <f t="shared" si="19"/>
        <v>0</v>
      </c>
      <c r="AM17" s="182"/>
      <c r="AN17" s="90"/>
      <c r="AO17" s="90"/>
      <c r="AP17" s="183">
        <f t="shared" si="4"/>
        <v>0</v>
      </c>
      <c r="AQ17" s="182"/>
      <c r="AR17" s="90"/>
      <c r="AS17" s="90"/>
      <c r="AT17" s="183">
        <f t="shared" si="5"/>
        <v>0</v>
      </c>
      <c r="AU17" s="182"/>
      <c r="AV17" s="90"/>
      <c r="AW17" s="90"/>
      <c r="AX17" s="183">
        <f t="shared" si="6"/>
        <v>0</v>
      </c>
      <c r="AY17" s="182"/>
      <c r="AZ17" s="90"/>
      <c r="BA17" s="90"/>
      <c r="BB17" s="183">
        <f t="shared" si="7"/>
        <v>0</v>
      </c>
      <c r="BC17" s="182"/>
      <c r="BD17" s="90"/>
      <c r="BE17" s="90"/>
      <c r="BF17" s="183">
        <f t="shared" si="8"/>
        <v>0</v>
      </c>
      <c r="BG17" s="182"/>
      <c r="BH17" s="90"/>
      <c r="BI17" s="90"/>
      <c r="BJ17" s="183">
        <f t="shared" si="9"/>
        <v>0</v>
      </c>
      <c r="BK17" s="182"/>
      <c r="BL17" s="90"/>
      <c r="BM17" s="90"/>
      <c r="BN17" s="183">
        <f t="shared" si="10"/>
        <v>0</v>
      </c>
      <c r="BO17" s="182"/>
      <c r="BP17" s="90"/>
      <c r="BQ17" s="90"/>
      <c r="BR17" s="183">
        <f t="shared" si="11"/>
        <v>0</v>
      </c>
      <c r="BS17" s="182"/>
      <c r="BT17" s="90"/>
      <c r="BU17" s="90"/>
      <c r="BV17" s="183">
        <f t="shared" si="12"/>
        <v>0</v>
      </c>
      <c r="BW17" s="182"/>
      <c r="BX17" s="90"/>
      <c r="BY17" s="90"/>
      <c r="BZ17" s="183">
        <f t="shared" si="13"/>
        <v>0</v>
      </c>
      <c r="CA17" s="182"/>
      <c r="CB17" s="90"/>
      <c r="CC17" s="90"/>
      <c r="CD17" s="183">
        <f t="shared" si="14"/>
        <v>0</v>
      </c>
    </row>
    <row r="18" spans="2:82" x14ac:dyDescent="0.3">
      <c r="B18" s="53"/>
      <c r="C18" s="53" t="str">
        <f t="shared" si="0"/>
        <v>CPU_Conserva</v>
      </c>
      <c r="D18" s="278">
        <f t="shared" si="1"/>
        <v>1.0640000000000001</v>
      </c>
      <c r="E18" s="278">
        <f t="shared" si="2"/>
        <v>0</v>
      </c>
      <c r="F18" s="1"/>
      <c r="G18" s="28" t="str">
        <f>IFERROR(VLOOKUP(F18,Tabela7[[RECURSO]:[CUSTO]],2,FALSE),"")</f>
        <v/>
      </c>
      <c r="H18" s="92"/>
      <c r="I18" s="90"/>
      <c r="J18" s="45">
        <f>IFERROR(VLOOKUP(F18,Tabela7[[RECURSO]:[CUSTO]],3,FALSE),0)</f>
        <v>0</v>
      </c>
      <c r="K18" s="45">
        <f>I18*J18*CPU_2055[[#This Row],[Nº]]</f>
        <v>0</v>
      </c>
      <c r="M18" s="31"/>
      <c r="N18" s="297"/>
      <c r="O18" s="60">
        <f t="shared" si="15"/>
        <v>0</v>
      </c>
      <c r="AD18" s="144" t="str">
        <f t="shared" si="3"/>
        <v>Conserva</v>
      </c>
      <c r="AE18" s="179"/>
      <c r="AF18" s="180">
        <f t="shared" si="16"/>
        <v>0</v>
      </c>
      <c r="AG18" s="180">
        <f t="shared" si="17"/>
        <v>0</v>
      </c>
      <c r="AH18" s="181">
        <f t="shared" si="18"/>
        <v>0</v>
      </c>
      <c r="AI18" s="182"/>
      <c r="AJ18" s="90"/>
      <c r="AK18" s="90"/>
      <c r="AL18" s="183">
        <f t="shared" si="19"/>
        <v>0</v>
      </c>
      <c r="AM18" s="182"/>
      <c r="AN18" s="90"/>
      <c r="AO18" s="90"/>
      <c r="AP18" s="183">
        <f t="shared" si="4"/>
        <v>0</v>
      </c>
      <c r="AQ18" s="182"/>
      <c r="AR18" s="90"/>
      <c r="AS18" s="90"/>
      <c r="AT18" s="183">
        <f t="shared" si="5"/>
        <v>0</v>
      </c>
      <c r="AU18" s="182"/>
      <c r="AV18" s="90"/>
      <c r="AW18" s="90"/>
      <c r="AX18" s="183">
        <f t="shared" si="6"/>
        <v>0</v>
      </c>
      <c r="AY18" s="182"/>
      <c r="AZ18" s="90"/>
      <c r="BA18" s="90"/>
      <c r="BB18" s="183">
        <f t="shared" si="7"/>
        <v>0</v>
      </c>
      <c r="BC18" s="182"/>
      <c r="BD18" s="90"/>
      <c r="BE18" s="90"/>
      <c r="BF18" s="183">
        <f t="shared" si="8"/>
        <v>0</v>
      </c>
      <c r="BG18" s="182"/>
      <c r="BH18" s="90"/>
      <c r="BI18" s="90"/>
      <c r="BJ18" s="183">
        <f t="shared" si="9"/>
        <v>0</v>
      </c>
      <c r="BK18" s="182"/>
      <c r="BL18" s="90"/>
      <c r="BM18" s="90"/>
      <c r="BN18" s="183">
        <f t="shared" si="10"/>
        <v>0</v>
      </c>
      <c r="BO18" s="182"/>
      <c r="BP18" s="90"/>
      <c r="BQ18" s="90"/>
      <c r="BR18" s="183">
        <f t="shared" si="11"/>
        <v>0</v>
      </c>
      <c r="BS18" s="182"/>
      <c r="BT18" s="90"/>
      <c r="BU18" s="90"/>
      <c r="BV18" s="183">
        <f t="shared" si="12"/>
        <v>0</v>
      </c>
      <c r="BW18" s="182"/>
      <c r="BX18" s="90"/>
      <c r="BY18" s="90"/>
      <c r="BZ18" s="183">
        <f t="shared" si="13"/>
        <v>0</v>
      </c>
      <c r="CA18" s="182"/>
      <c r="CB18" s="90"/>
      <c r="CC18" s="90"/>
      <c r="CD18" s="183">
        <f t="shared" si="14"/>
        <v>0</v>
      </c>
    </row>
    <row r="19" spans="2:82" x14ac:dyDescent="0.3">
      <c r="B19" s="53"/>
      <c r="C19" s="53" t="str">
        <f t="shared" si="0"/>
        <v>CPU_Conserva</v>
      </c>
      <c r="D19" s="278">
        <f t="shared" si="1"/>
        <v>1.0640000000000001</v>
      </c>
      <c r="E19" s="278">
        <f t="shared" si="2"/>
        <v>0</v>
      </c>
      <c r="F19" s="1"/>
      <c r="G19" s="28" t="str">
        <f>IFERROR(VLOOKUP(F19,Tabela7[[RECURSO]:[CUSTO]],2,FALSE),"")</f>
        <v/>
      </c>
      <c r="H19" s="92"/>
      <c r="I19" s="90"/>
      <c r="J19" s="45">
        <f>IFERROR(VLOOKUP(F19,Tabela7[[RECURSO]:[CUSTO]],3,FALSE),0)</f>
        <v>0</v>
      </c>
      <c r="K19" s="45">
        <f>I19*J19*CPU_2055[[#This Row],[Nº]]</f>
        <v>0</v>
      </c>
      <c r="M19" s="31"/>
      <c r="N19" s="297"/>
      <c r="O19" s="60">
        <f t="shared" si="15"/>
        <v>0</v>
      </c>
      <c r="AD19" s="144" t="str">
        <f t="shared" si="3"/>
        <v>Conserva</v>
      </c>
      <c r="AE19" s="179"/>
      <c r="AF19" s="180">
        <f t="shared" si="16"/>
        <v>0</v>
      </c>
      <c r="AG19" s="180">
        <f t="shared" si="17"/>
        <v>0</v>
      </c>
      <c r="AH19" s="181">
        <f t="shared" si="18"/>
        <v>0</v>
      </c>
      <c r="AI19" s="182"/>
      <c r="AJ19" s="90"/>
      <c r="AK19" s="90"/>
      <c r="AL19" s="183">
        <f t="shared" si="19"/>
        <v>0</v>
      </c>
      <c r="AM19" s="182"/>
      <c r="AN19" s="90"/>
      <c r="AO19" s="90"/>
      <c r="AP19" s="183">
        <f t="shared" si="4"/>
        <v>0</v>
      </c>
      <c r="AQ19" s="182"/>
      <c r="AR19" s="90"/>
      <c r="AS19" s="90"/>
      <c r="AT19" s="183">
        <f t="shared" si="5"/>
        <v>0</v>
      </c>
      <c r="AU19" s="182"/>
      <c r="AV19" s="90"/>
      <c r="AW19" s="90"/>
      <c r="AX19" s="183">
        <f t="shared" si="6"/>
        <v>0</v>
      </c>
      <c r="AY19" s="182"/>
      <c r="AZ19" s="90"/>
      <c r="BA19" s="90"/>
      <c r="BB19" s="183">
        <f t="shared" si="7"/>
        <v>0</v>
      </c>
      <c r="BC19" s="182"/>
      <c r="BD19" s="90"/>
      <c r="BE19" s="90"/>
      <c r="BF19" s="183">
        <f t="shared" si="8"/>
        <v>0</v>
      </c>
      <c r="BG19" s="182"/>
      <c r="BH19" s="90"/>
      <c r="BI19" s="90"/>
      <c r="BJ19" s="183">
        <f t="shared" si="9"/>
        <v>0</v>
      </c>
      <c r="BK19" s="182"/>
      <c r="BL19" s="90"/>
      <c r="BM19" s="90"/>
      <c r="BN19" s="183">
        <f t="shared" si="10"/>
        <v>0</v>
      </c>
      <c r="BO19" s="182"/>
      <c r="BP19" s="90"/>
      <c r="BQ19" s="90"/>
      <c r="BR19" s="183">
        <f t="shared" si="11"/>
        <v>0</v>
      </c>
      <c r="BS19" s="182"/>
      <c r="BT19" s="90"/>
      <c r="BU19" s="90"/>
      <c r="BV19" s="183">
        <f t="shared" si="12"/>
        <v>0</v>
      </c>
      <c r="BW19" s="182"/>
      <c r="BX19" s="90"/>
      <c r="BY19" s="90"/>
      <c r="BZ19" s="183">
        <f t="shared" si="13"/>
        <v>0</v>
      </c>
      <c r="CA19" s="182"/>
      <c r="CB19" s="90"/>
      <c r="CC19" s="90"/>
      <c r="CD19" s="183">
        <f t="shared" si="14"/>
        <v>0</v>
      </c>
    </row>
    <row r="20" spans="2:82" x14ac:dyDescent="0.3">
      <c r="B20" s="53"/>
      <c r="C20" s="53" t="str">
        <f t="shared" si="0"/>
        <v>CPU_Conserva</v>
      </c>
      <c r="D20" s="278">
        <f t="shared" si="1"/>
        <v>1.0640000000000001</v>
      </c>
      <c r="E20" s="278">
        <f t="shared" si="2"/>
        <v>0</v>
      </c>
      <c r="F20" s="1"/>
      <c r="G20" s="28" t="str">
        <f>IFERROR(VLOOKUP(F20,Tabela7[[RECURSO]:[CUSTO]],2,FALSE),"")</f>
        <v/>
      </c>
      <c r="H20" s="92"/>
      <c r="I20" s="90"/>
      <c r="J20" s="45">
        <f>IFERROR(VLOOKUP(F20,Tabela7[[RECURSO]:[CUSTO]],3,FALSE),0)</f>
        <v>0</v>
      </c>
      <c r="K20" s="45">
        <f>I20*J20*CPU_2055[[#This Row],[Nº]]</f>
        <v>0</v>
      </c>
      <c r="M20" s="31"/>
      <c r="N20" s="297"/>
      <c r="O20" s="60">
        <f t="shared" si="15"/>
        <v>0</v>
      </c>
      <c r="AD20" s="144" t="str">
        <f t="shared" si="3"/>
        <v>Conserva</v>
      </c>
      <c r="AE20" s="179"/>
      <c r="AF20" s="180">
        <f t="shared" si="16"/>
        <v>0</v>
      </c>
      <c r="AG20" s="180">
        <f t="shared" si="17"/>
        <v>0</v>
      </c>
      <c r="AH20" s="181">
        <f t="shared" si="18"/>
        <v>0</v>
      </c>
      <c r="AI20" s="182"/>
      <c r="AJ20" s="90"/>
      <c r="AK20" s="90"/>
      <c r="AL20" s="183">
        <f t="shared" si="19"/>
        <v>0</v>
      </c>
      <c r="AM20" s="182"/>
      <c r="AN20" s="90"/>
      <c r="AO20" s="90"/>
      <c r="AP20" s="183">
        <f t="shared" si="4"/>
        <v>0</v>
      </c>
      <c r="AQ20" s="182"/>
      <c r="AR20" s="90"/>
      <c r="AS20" s="90"/>
      <c r="AT20" s="183">
        <f t="shared" si="5"/>
        <v>0</v>
      </c>
      <c r="AU20" s="182"/>
      <c r="AV20" s="90"/>
      <c r="AW20" s="90"/>
      <c r="AX20" s="183">
        <f t="shared" si="6"/>
        <v>0</v>
      </c>
      <c r="AY20" s="182"/>
      <c r="AZ20" s="90"/>
      <c r="BA20" s="90"/>
      <c r="BB20" s="183">
        <f t="shared" si="7"/>
        <v>0</v>
      </c>
      <c r="BC20" s="182"/>
      <c r="BD20" s="90"/>
      <c r="BE20" s="90"/>
      <c r="BF20" s="183">
        <f t="shared" si="8"/>
        <v>0</v>
      </c>
      <c r="BG20" s="182"/>
      <c r="BH20" s="90"/>
      <c r="BI20" s="90"/>
      <c r="BJ20" s="183">
        <f t="shared" si="9"/>
        <v>0</v>
      </c>
      <c r="BK20" s="182"/>
      <c r="BL20" s="90"/>
      <c r="BM20" s="90"/>
      <c r="BN20" s="183">
        <f t="shared" si="10"/>
        <v>0</v>
      </c>
      <c r="BO20" s="182"/>
      <c r="BP20" s="90"/>
      <c r="BQ20" s="90"/>
      <c r="BR20" s="183">
        <f t="shared" si="11"/>
        <v>0</v>
      </c>
      <c r="BS20" s="182"/>
      <c r="BT20" s="90"/>
      <c r="BU20" s="90"/>
      <c r="BV20" s="183">
        <f t="shared" si="12"/>
        <v>0</v>
      </c>
      <c r="BW20" s="182"/>
      <c r="BX20" s="90"/>
      <c r="BY20" s="90"/>
      <c r="BZ20" s="183">
        <f t="shared" si="13"/>
        <v>0</v>
      </c>
      <c r="CA20" s="182"/>
      <c r="CB20" s="90"/>
      <c r="CC20" s="90"/>
      <c r="CD20" s="183">
        <f t="shared" si="14"/>
        <v>0</v>
      </c>
    </row>
    <row r="21" spans="2:82" x14ac:dyDescent="0.3">
      <c r="B21" s="53"/>
      <c r="C21" s="53" t="str">
        <f t="shared" si="0"/>
        <v>CPU_Conserva</v>
      </c>
      <c r="D21" s="278">
        <f t="shared" si="1"/>
        <v>1.0640000000000001</v>
      </c>
      <c r="E21" s="278">
        <f t="shared" si="2"/>
        <v>0</v>
      </c>
      <c r="F21" s="1"/>
      <c r="G21" s="28" t="str">
        <f>IFERROR(VLOOKUP(F21,Tabela7[[RECURSO]:[CUSTO]],2,FALSE),"")</f>
        <v/>
      </c>
      <c r="H21" s="92"/>
      <c r="I21" s="90"/>
      <c r="J21" s="45">
        <f>IFERROR(VLOOKUP(F21,Tabela7[[RECURSO]:[CUSTO]],3,FALSE),0)</f>
        <v>0</v>
      </c>
      <c r="K21" s="45">
        <f>I21*J21*CPU_2055[[#This Row],[Nº]]</f>
        <v>0</v>
      </c>
      <c r="M21" s="31"/>
      <c r="N21" s="297"/>
      <c r="O21" s="60">
        <f t="shared" si="15"/>
        <v>0</v>
      </c>
      <c r="AD21" s="144" t="str">
        <f t="shared" si="3"/>
        <v>Conserva</v>
      </c>
      <c r="AE21" s="179"/>
      <c r="AF21" s="180">
        <f t="shared" si="16"/>
        <v>0</v>
      </c>
      <c r="AG21" s="180">
        <f t="shared" si="17"/>
        <v>0</v>
      </c>
      <c r="AH21" s="181">
        <f t="shared" si="18"/>
        <v>0</v>
      </c>
      <c r="AI21" s="182"/>
      <c r="AJ21" s="90"/>
      <c r="AK21" s="90"/>
      <c r="AL21" s="183">
        <f t="shared" si="19"/>
        <v>0</v>
      </c>
      <c r="AM21" s="182"/>
      <c r="AN21" s="90"/>
      <c r="AO21" s="90"/>
      <c r="AP21" s="183">
        <f t="shared" si="4"/>
        <v>0</v>
      </c>
      <c r="AQ21" s="182"/>
      <c r="AR21" s="90"/>
      <c r="AS21" s="90"/>
      <c r="AT21" s="183">
        <f t="shared" si="5"/>
        <v>0</v>
      </c>
      <c r="AU21" s="182"/>
      <c r="AV21" s="90"/>
      <c r="AW21" s="90"/>
      <c r="AX21" s="183">
        <f t="shared" si="6"/>
        <v>0</v>
      </c>
      <c r="AY21" s="182"/>
      <c r="AZ21" s="90"/>
      <c r="BA21" s="90"/>
      <c r="BB21" s="183">
        <f t="shared" si="7"/>
        <v>0</v>
      </c>
      <c r="BC21" s="182"/>
      <c r="BD21" s="90"/>
      <c r="BE21" s="90"/>
      <c r="BF21" s="183">
        <f t="shared" si="8"/>
        <v>0</v>
      </c>
      <c r="BG21" s="182"/>
      <c r="BH21" s="90"/>
      <c r="BI21" s="90"/>
      <c r="BJ21" s="183">
        <f t="shared" si="9"/>
        <v>0</v>
      </c>
      <c r="BK21" s="182"/>
      <c r="BL21" s="90"/>
      <c r="BM21" s="90"/>
      <c r="BN21" s="183">
        <f t="shared" si="10"/>
        <v>0</v>
      </c>
      <c r="BO21" s="182"/>
      <c r="BP21" s="90"/>
      <c r="BQ21" s="90"/>
      <c r="BR21" s="183">
        <f t="shared" si="11"/>
        <v>0</v>
      </c>
      <c r="BS21" s="182"/>
      <c r="BT21" s="90"/>
      <c r="BU21" s="90"/>
      <c r="BV21" s="183">
        <f t="shared" si="12"/>
        <v>0</v>
      </c>
      <c r="BW21" s="182"/>
      <c r="BX21" s="90"/>
      <c r="BY21" s="90"/>
      <c r="BZ21" s="183">
        <f t="shared" si="13"/>
        <v>0</v>
      </c>
      <c r="CA21" s="182"/>
      <c r="CB21" s="90"/>
      <c r="CC21" s="90"/>
      <c r="CD21" s="183">
        <f t="shared" si="14"/>
        <v>0</v>
      </c>
    </row>
    <row r="22" spans="2:82" x14ac:dyDescent="0.3">
      <c r="B22" s="53"/>
      <c r="C22" s="53" t="str">
        <f t="shared" si="0"/>
        <v>CPU_Conserva</v>
      </c>
      <c r="D22" s="278">
        <f t="shared" si="1"/>
        <v>1.0640000000000001</v>
      </c>
      <c r="E22" s="278">
        <f t="shared" si="2"/>
        <v>0</v>
      </c>
      <c r="F22" s="1"/>
      <c r="G22" s="28" t="str">
        <f>IFERROR(VLOOKUP(F22,Tabela7[[RECURSO]:[CUSTO]],2,FALSE),"")</f>
        <v/>
      </c>
      <c r="H22" s="92"/>
      <c r="I22" s="90"/>
      <c r="J22" s="45">
        <f>IFERROR(VLOOKUP(F22,Tabela7[[RECURSO]:[CUSTO]],3,FALSE),0)</f>
        <v>0</v>
      </c>
      <c r="K22" s="45">
        <f>I22*J22*CPU_2055[[#This Row],[Nº]]</f>
        <v>0</v>
      </c>
      <c r="M22" s="31"/>
      <c r="N22" s="297"/>
      <c r="O22" s="60">
        <f t="shared" si="15"/>
        <v>0</v>
      </c>
      <c r="AD22" s="144" t="str">
        <f t="shared" si="3"/>
        <v>Conserva</v>
      </c>
      <c r="AE22" s="179"/>
      <c r="AF22" s="180">
        <f t="shared" si="16"/>
        <v>0</v>
      </c>
      <c r="AG22" s="180">
        <f t="shared" si="17"/>
        <v>0</v>
      </c>
      <c r="AH22" s="181">
        <f t="shared" si="18"/>
        <v>0</v>
      </c>
      <c r="AI22" s="182"/>
      <c r="AJ22" s="90"/>
      <c r="AK22" s="90"/>
      <c r="AL22" s="183">
        <f t="shared" si="19"/>
        <v>0</v>
      </c>
      <c r="AM22" s="182"/>
      <c r="AN22" s="90"/>
      <c r="AO22" s="90"/>
      <c r="AP22" s="183">
        <f t="shared" si="4"/>
        <v>0</v>
      </c>
      <c r="AQ22" s="182"/>
      <c r="AR22" s="90"/>
      <c r="AS22" s="90"/>
      <c r="AT22" s="183">
        <f t="shared" si="5"/>
        <v>0</v>
      </c>
      <c r="AU22" s="182"/>
      <c r="AV22" s="90"/>
      <c r="AW22" s="90"/>
      <c r="AX22" s="183">
        <f t="shared" si="6"/>
        <v>0</v>
      </c>
      <c r="AY22" s="182"/>
      <c r="AZ22" s="90"/>
      <c r="BA22" s="90"/>
      <c r="BB22" s="183">
        <f t="shared" si="7"/>
        <v>0</v>
      </c>
      <c r="BC22" s="182"/>
      <c r="BD22" s="90"/>
      <c r="BE22" s="90"/>
      <c r="BF22" s="183">
        <f t="shared" si="8"/>
        <v>0</v>
      </c>
      <c r="BG22" s="182"/>
      <c r="BH22" s="90"/>
      <c r="BI22" s="90"/>
      <c r="BJ22" s="183">
        <f t="shared" si="9"/>
        <v>0</v>
      </c>
      <c r="BK22" s="182"/>
      <c r="BL22" s="90"/>
      <c r="BM22" s="90"/>
      <c r="BN22" s="183">
        <f t="shared" si="10"/>
        <v>0</v>
      </c>
      <c r="BO22" s="182"/>
      <c r="BP22" s="90"/>
      <c r="BQ22" s="90"/>
      <c r="BR22" s="183">
        <f t="shared" si="11"/>
        <v>0</v>
      </c>
      <c r="BS22" s="182"/>
      <c r="BT22" s="90"/>
      <c r="BU22" s="90"/>
      <c r="BV22" s="183">
        <f t="shared" si="12"/>
        <v>0</v>
      </c>
      <c r="BW22" s="182"/>
      <c r="BX22" s="90"/>
      <c r="BY22" s="90"/>
      <c r="BZ22" s="183">
        <f t="shared" si="13"/>
        <v>0</v>
      </c>
      <c r="CA22" s="182"/>
      <c r="CB22" s="90"/>
      <c r="CC22" s="90"/>
      <c r="CD22" s="183">
        <f t="shared" si="14"/>
        <v>0</v>
      </c>
    </row>
    <row r="23" spans="2:82" ht="15" thickBot="1" x14ac:dyDescent="0.35">
      <c r="B23" s="53"/>
      <c r="C23" s="53" t="str">
        <f t="shared" si="0"/>
        <v>CPU_Conserva</v>
      </c>
      <c r="D23" s="278">
        <f t="shared" si="1"/>
        <v>1.0640000000000001</v>
      </c>
      <c r="E23" s="278">
        <f t="shared" si="2"/>
        <v>0</v>
      </c>
      <c r="F23" s="1"/>
      <c r="G23" s="28" t="str">
        <f>IFERROR(VLOOKUP(F23,Tabela7[[RECURSO]:[CUSTO]],2,FALSE),"")</f>
        <v/>
      </c>
      <c r="H23" s="92"/>
      <c r="I23" s="90"/>
      <c r="J23" s="45">
        <f>IFERROR(VLOOKUP(F23,Tabela7[[RECURSO]:[CUSTO]],3,FALSE),0)</f>
        <v>0</v>
      </c>
      <c r="K23" s="45">
        <f>I23*J23*CPU_2055[[#This Row],[Nº]]</f>
        <v>0</v>
      </c>
      <c r="M23" s="51"/>
      <c r="N23" s="298"/>
      <c r="O23" s="61">
        <f t="shared" si="15"/>
        <v>0</v>
      </c>
      <c r="AD23" s="144" t="str">
        <f t="shared" si="3"/>
        <v>Conserva</v>
      </c>
      <c r="AE23" s="179"/>
      <c r="AF23" s="180">
        <f t="shared" si="16"/>
        <v>0</v>
      </c>
      <c r="AG23" s="180">
        <f t="shared" si="17"/>
        <v>0</v>
      </c>
      <c r="AH23" s="181">
        <f t="shared" si="18"/>
        <v>0</v>
      </c>
      <c r="AI23" s="182"/>
      <c r="AJ23" s="90"/>
      <c r="AK23" s="90"/>
      <c r="AL23" s="183">
        <f t="shared" si="19"/>
        <v>0</v>
      </c>
      <c r="AM23" s="182"/>
      <c r="AN23" s="90"/>
      <c r="AO23" s="90"/>
      <c r="AP23" s="183">
        <f t="shared" si="4"/>
        <v>0</v>
      </c>
      <c r="AQ23" s="182"/>
      <c r="AR23" s="90"/>
      <c r="AS23" s="90"/>
      <c r="AT23" s="183">
        <f t="shared" si="5"/>
        <v>0</v>
      </c>
      <c r="AU23" s="182"/>
      <c r="AV23" s="90"/>
      <c r="AW23" s="90"/>
      <c r="AX23" s="183">
        <f t="shared" si="6"/>
        <v>0</v>
      </c>
      <c r="AY23" s="182"/>
      <c r="AZ23" s="90"/>
      <c r="BA23" s="90"/>
      <c r="BB23" s="183">
        <f t="shared" si="7"/>
        <v>0</v>
      </c>
      <c r="BC23" s="182"/>
      <c r="BD23" s="90"/>
      <c r="BE23" s="90"/>
      <c r="BF23" s="183">
        <f t="shared" si="8"/>
        <v>0</v>
      </c>
      <c r="BG23" s="182"/>
      <c r="BH23" s="90"/>
      <c r="BI23" s="90"/>
      <c r="BJ23" s="183">
        <f t="shared" si="9"/>
        <v>0</v>
      </c>
      <c r="BK23" s="182"/>
      <c r="BL23" s="90"/>
      <c r="BM23" s="90"/>
      <c r="BN23" s="183">
        <f t="shared" si="10"/>
        <v>0</v>
      </c>
      <c r="BO23" s="182"/>
      <c r="BP23" s="90"/>
      <c r="BQ23" s="90"/>
      <c r="BR23" s="183">
        <f t="shared" si="11"/>
        <v>0</v>
      </c>
      <c r="BS23" s="182"/>
      <c r="BT23" s="90"/>
      <c r="BU23" s="90"/>
      <c r="BV23" s="183">
        <f t="shared" si="12"/>
        <v>0</v>
      </c>
      <c r="BW23" s="182"/>
      <c r="BX23" s="90"/>
      <c r="BY23" s="90"/>
      <c r="BZ23" s="183">
        <f t="shared" si="13"/>
        <v>0</v>
      </c>
      <c r="CA23" s="182"/>
      <c r="CB23" s="90"/>
      <c r="CC23" s="90"/>
      <c r="CD23" s="183">
        <f t="shared" si="14"/>
        <v>0</v>
      </c>
    </row>
    <row r="24" spans="2:82" x14ac:dyDescent="0.3">
      <c r="B24" s="52" t="s">
        <v>686</v>
      </c>
      <c r="C24" s="52" t="str">
        <f t="shared" si="0"/>
        <v>CPU_Conserva</v>
      </c>
      <c r="D24" s="277">
        <f t="shared" si="1"/>
        <v>1.0640000000000001</v>
      </c>
      <c r="E24" s="277">
        <f t="shared" si="2"/>
        <v>0</v>
      </c>
      <c r="F24" s="37"/>
      <c r="G24" s="38"/>
      <c r="H24" s="91"/>
      <c r="I24" s="40"/>
      <c r="J24" s="40">
        <f>IFERROR(K24/$B$6,0)</f>
        <v>172.2488038277512</v>
      </c>
      <c r="K24" s="40">
        <f>SUM(K25:K36)</f>
        <v>183.27272727272728</v>
      </c>
      <c r="AD24" s="144" t="str">
        <f t="shared" si="3"/>
        <v>Conserva</v>
      </c>
      <c r="AE24" s="184"/>
      <c r="AF24" s="40"/>
      <c r="AG24" s="40">
        <f>IFERROR(AH24/AF$3,0)</f>
        <v>0</v>
      </c>
      <c r="AH24" s="185">
        <f>SUM(AH25:AH36)</f>
        <v>0</v>
      </c>
      <c r="AI24" s="184"/>
      <c r="AJ24" s="40"/>
      <c r="AK24" s="40">
        <f>IFERROR(AL24/AJ$3,0)</f>
        <v>0</v>
      </c>
      <c r="AL24" s="185">
        <f>SUM(AL25:AL36)</f>
        <v>0</v>
      </c>
      <c r="AM24" s="184"/>
      <c r="AN24" s="40"/>
      <c r="AO24" s="40">
        <f>IFERROR(AP24/AN$3,0)</f>
        <v>0</v>
      </c>
      <c r="AP24" s="185">
        <f>SUM(AP25:AP36)</f>
        <v>0</v>
      </c>
      <c r="AQ24" s="184"/>
      <c r="AR24" s="40"/>
      <c r="AS24" s="40">
        <f>IFERROR(AT24/AR$3,0)</f>
        <v>0</v>
      </c>
      <c r="AT24" s="185">
        <f>SUM(AT25:AT36)</f>
        <v>0</v>
      </c>
      <c r="AU24" s="184"/>
      <c r="AV24" s="40"/>
      <c r="AW24" s="40">
        <f>IFERROR(AX24/AV$3,0)</f>
        <v>0</v>
      </c>
      <c r="AX24" s="185">
        <f>SUM(AX25:AX36)</f>
        <v>0</v>
      </c>
      <c r="AY24" s="184"/>
      <c r="AZ24" s="40"/>
      <c r="BA24" s="40">
        <f>IFERROR(BB24/AZ$3,0)</f>
        <v>0</v>
      </c>
      <c r="BB24" s="185">
        <f>SUM(BB25:BB36)</f>
        <v>0</v>
      </c>
      <c r="BC24" s="184"/>
      <c r="BD24" s="40"/>
      <c r="BE24" s="40">
        <f>IFERROR(BF24/BD$3,0)</f>
        <v>0</v>
      </c>
      <c r="BF24" s="185">
        <f>SUM(BF25:BF36)</f>
        <v>0</v>
      </c>
      <c r="BG24" s="184"/>
      <c r="BH24" s="40"/>
      <c r="BI24" s="40">
        <f>IFERROR(BJ24/BH$3,0)</f>
        <v>0</v>
      </c>
      <c r="BJ24" s="185">
        <f>SUM(BJ25:BJ36)</f>
        <v>0</v>
      </c>
      <c r="BK24" s="184"/>
      <c r="BL24" s="40"/>
      <c r="BM24" s="40">
        <f>IFERROR(BN24/BL$3,0)</f>
        <v>0</v>
      </c>
      <c r="BN24" s="185">
        <f>SUM(BN25:BN36)</f>
        <v>0</v>
      </c>
      <c r="BO24" s="184"/>
      <c r="BP24" s="40"/>
      <c r="BQ24" s="40">
        <f>IFERROR(BR24/BP$3,0)</f>
        <v>0</v>
      </c>
      <c r="BR24" s="185">
        <f>SUM(BR25:BR36)</f>
        <v>0</v>
      </c>
      <c r="BS24" s="184"/>
      <c r="BT24" s="40"/>
      <c r="BU24" s="40">
        <f>IFERROR(BV24/BT$3,0)</f>
        <v>0</v>
      </c>
      <c r="BV24" s="185">
        <f>SUM(BV25:BV36)</f>
        <v>0</v>
      </c>
      <c r="BW24" s="184"/>
      <c r="BX24" s="40"/>
      <c r="BY24" s="40">
        <f>IFERROR(BZ24/BX$3,0)</f>
        <v>0</v>
      </c>
      <c r="BZ24" s="185">
        <f>SUM(BZ25:BZ36)</f>
        <v>0</v>
      </c>
      <c r="CA24" s="184"/>
      <c r="CB24" s="40"/>
      <c r="CC24" s="40">
        <f>IFERROR(CD24/CB$3,0)</f>
        <v>0</v>
      </c>
      <c r="CD24" s="185">
        <f>SUM(CD25:CD36)</f>
        <v>0</v>
      </c>
    </row>
    <row r="25" spans="2:82" x14ac:dyDescent="0.3">
      <c r="B25" s="53"/>
      <c r="C25" s="53" t="str">
        <f t="shared" si="0"/>
        <v>CPU_Conserva</v>
      </c>
      <c r="D25" s="278">
        <f t="shared" si="1"/>
        <v>1.0640000000000001</v>
      </c>
      <c r="E25" s="278">
        <f t="shared" si="2"/>
        <v>0</v>
      </c>
      <c r="F25" s="1" t="s">
        <v>288</v>
      </c>
      <c r="G25" s="28" t="str">
        <f>IFERROR(VLOOKUP(F25,Tabela7[[RECURSO]:[CUSTO]],2,FALSE),"")</f>
        <v>L</v>
      </c>
      <c r="H25" s="93"/>
      <c r="I25" s="90">
        <f>IFERROR(SUMPRODUCT(I12:I23,M12:M23,H12:H23,N12:N23),0)</f>
        <v>26.181818181818183</v>
      </c>
      <c r="J25" s="45">
        <f>IFERROR(VLOOKUP(F25,Tabela7[[RECURSO]:[CUSTO]],3,FALSE),0)</f>
        <v>7</v>
      </c>
      <c r="K25" s="45">
        <f>I25*J25</f>
        <v>183.27272727272728</v>
      </c>
      <c r="M25" s="154"/>
      <c r="AD25" s="144" t="str">
        <f t="shared" si="3"/>
        <v>Conserva</v>
      </c>
      <c r="AE25" s="179"/>
      <c r="AF25" s="180">
        <f t="shared" ref="AF25:AF36" si="20">AJ25+AN25+AR25+AV25+AZ25+BD25+BH25+BL25+BP25+BT25+BX25+CB25</f>
        <v>0</v>
      </c>
      <c r="AG25" s="180">
        <f t="shared" si="17"/>
        <v>0</v>
      </c>
      <c r="AH25" s="181">
        <f t="shared" ref="AH25:AH36" si="21">AL25+AP25+AT25+AX25+BB25+BF25+BJ25+BN25+BR25+BV25+BZ25+CD25</f>
        <v>0</v>
      </c>
      <c r="AI25" s="182"/>
      <c r="AJ25" s="90"/>
      <c r="AK25" s="90"/>
      <c r="AL25" s="183">
        <f t="shared" ref="AL25:AL36" si="22">AJ25*AK25</f>
        <v>0</v>
      </c>
      <c r="AM25" s="182"/>
      <c r="AN25" s="90"/>
      <c r="AO25" s="90"/>
      <c r="AP25" s="183">
        <f t="shared" ref="AP25:AP62" si="23">AN25*AO25</f>
        <v>0</v>
      </c>
      <c r="AQ25" s="182"/>
      <c r="AR25" s="90"/>
      <c r="AS25" s="90"/>
      <c r="AT25" s="183">
        <f t="shared" ref="AT25:AT62" si="24">AR25*AS25</f>
        <v>0</v>
      </c>
      <c r="AU25" s="182"/>
      <c r="AV25" s="90"/>
      <c r="AW25" s="90"/>
      <c r="AX25" s="183">
        <f t="shared" ref="AX25:AX62" si="25">AV25*AW25</f>
        <v>0</v>
      </c>
      <c r="AY25" s="182"/>
      <c r="AZ25" s="90"/>
      <c r="BA25" s="90"/>
      <c r="BB25" s="183">
        <f t="shared" ref="BB25:BB62" si="26">AZ25*BA25</f>
        <v>0</v>
      </c>
      <c r="BC25" s="182"/>
      <c r="BD25" s="90"/>
      <c r="BE25" s="90"/>
      <c r="BF25" s="183">
        <f t="shared" ref="BF25:BF62" si="27">BD25*BE25</f>
        <v>0</v>
      </c>
      <c r="BG25" s="182"/>
      <c r="BH25" s="90"/>
      <c r="BI25" s="90"/>
      <c r="BJ25" s="183">
        <f t="shared" ref="BJ25:BJ62" si="28">BH25*BI25</f>
        <v>0</v>
      </c>
      <c r="BK25" s="182"/>
      <c r="BL25" s="90"/>
      <c r="BM25" s="90"/>
      <c r="BN25" s="183">
        <f t="shared" ref="BN25:BN62" si="29">BL25*BM25</f>
        <v>0</v>
      </c>
      <c r="BO25" s="182"/>
      <c r="BP25" s="90"/>
      <c r="BQ25" s="90"/>
      <c r="BR25" s="183">
        <f t="shared" ref="BR25:BR62" si="30">BP25*BQ25</f>
        <v>0</v>
      </c>
      <c r="BS25" s="182"/>
      <c r="BT25" s="90"/>
      <c r="BU25" s="90"/>
      <c r="BV25" s="183">
        <f t="shared" ref="BV25:BV62" si="31">BT25*BU25</f>
        <v>0</v>
      </c>
      <c r="BW25" s="182"/>
      <c r="BX25" s="90"/>
      <c r="BY25" s="90"/>
      <c r="BZ25" s="183">
        <f t="shared" ref="BZ25:BZ62" si="32">BX25*BY25</f>
        <v>0</v>
      </c>
      <c r="CA25" s="182"/>
      <c r="CB25" s="90"/>
      <c r="CC25" s="90"/>
      <c r="CD25" s="183">
        <f t="shared" ref="CD25:CD62" si="33">CB25*CC25</f>
        <v>0</v>
      </c>
    </row>
    <row r="26" spans="2:82" x14ac:dyDescent="0.3">
      <c r="B26" s="53"/>
      <c r="C26" s="53" t="str">
        <f t="shared" si="0"/>
        <v>CPU_Conserva</v>
      </c>
      <c r="D26" s="278">
        <f t="shared" si="1"/>
        <v>1.0640000000000001</v>
      </c>
      <c r="E26" s="278">
        <f t="shared" si="2"/>
        <v>0</v>
      </c>
      <c r="F26" s="1"/>
      <c r="G26" s="28" t="str">
        <f>IFERROR(VLOOKUP(F26,Tabela7[[RECURSO]:[CUSTO]],2,FALSE),"")</f>
        <v/>
      </c>
      <c r="H26" s="93"/>
      <c r="I26" s="90"/>
      <c r="J26" s="45">
        <f>IFERROR(VLOOKUP(F26,Tabela7[[RECURSO]:[CUSTO]],3,FALSE),0)</f>
        <v>0</v>
      </c>
      <c r="K26" s="45">
        <f t="shared" ref="K26:K36" si="34">I26*J26</f>
        <v>0</v>
      </c>
      <c r="AD26" s="144" t="str">
        <f t="shared" si="3"/>
        <v>Conserva</v>
      </c>
      <c r="AE26" s="179"/>
      <c r="AF26" s="180">
        <f t="shared" si="20"/>
        <v>0</v>
      </c>
      <c r="AG26" s="180">
        <f t="shared" si="17"/>
        <v>0</v>
      </c>
      <c r="AH26" s="181">
        <f t="shared" si="21"/>
        <v>0</v>
      </c>
      <c r="AI26" s="182"/>
      <c r="AJ26" s="90"/>
      <c r="AK26" s="90"/>
      <c r="AL26" s="183">
        <f t="shared" si="22"/>
        <v>0</v>
      </c>
      <c r="AM26" s="182"/>
      <c r="AN26" s="90"/>
      <c r="AO26" s="90"/>
      <c r="AP26" s="183">
        <f t="shared" si="23"/>
        <v>0</v>
      </c>
      <c r="AQ26" s="182"/>
      <c r="AR26" s="90"/>
      <c r="AS26" s="90"/>
      <c r="AT26" s="183">
        <f t="shared" si="24"/>
        <v>0</v>
      </c>
      <c r="AU26" s="182"/>
      <c r="AV26" s="90"/>
      <c r="AW26" s="90"/>
      <c r="AX26" s="183">
        <f t="shared" si="25"/>
        <v>0</v>
      </c>
      <c r="AY26" s="182"/>
      <c r="AZ26" s="90"/>
      <c r="BA26" s="90"/>
      <c r="BB26" s="183">
        <f t="shared" si="26"/>
        <v>0</v>
      </c>
      <c r="BC26" s="182"/>
      <c r="BD26" s="90"/>
      <c r="BE26" s="90"/>
      <c r="BF26" s="183">
        <f t="shared" si="27"/>
        <v>0</v>
      </c>
      <c r="BG26" s="182"/>
      <c r="BH26" s="90"/>
      <c r="BI26" s="90"/>
      <c r="BJ26" s="183">
        <f t="shared" si="28"/>
        <v>0</v>
      </c>
      <c r="BK26" s="182"/>
      <c r="BL26" s="90"/>
      <c r="BM26" s="90"/>
      <c r="BN26" s="183">
        <f t="shared" si="29"/>
        <v>0</v>
      </c>
      <c r="BO26" s="182"/>
      <c r="BP26" s="90"/>
      <c r="BQ26" s="90"/>
      <c r="BR26" s="183">
        <f t="shared" si="30"/>
        <v>0</v>
      </c>
      <c r="BS26" s="182"/>
      <c r="BT26" s="90"/>
      <c r="BU26" s="90"/>
      <c r="BV26" s="183">
        <f t="shared" si="31"/>
        <v>0</v>
      </c>
      <c r="BW26" s="182"/>
      <c r="BX26" s="90"/>
      <c r="BY26" s="90"/>
      <c r="BZ26" s="183">
        <f t="shared" si="32"/>
        <v>0</v>
      </c>
      <c r="CA26" s="182"/>
      <c r="CB26" s="90"/>
      <c r="CC26" s="90"/>
      <c r="CD26" s="183">
        <f t="shared" si="33"/>
        <v>0</v>
      </c>
    </row>
    <row r="27" spans="2:82" x14ac:dyDescent="0.3">
      <c r="B27" s="53"/>
      <c r="C27" s="53" t="str">
        <f t="shared" si="0"/>
        <v>CPU_Conserva</v>
      </c>
      <c r="D27" s="278">
        <f t="shared" si="1"/>
        <v>1.0640000000000001</v>
      </c>
      <c r="E27" s="278">
        <f t="shared" si="2"/>
        <v>0</v>
      </c>
      <c r="F27" s="1"/>
      <c r="G27" s="28" t="str">
        <f>IFERROR(VLOOKUP(F27,Tabela7[[RECURSO]:[CUSTO]],2,FALSE),"")</f>
        <v/>
      </c>
      <c r="H27" s="93"/>
      <c r="I27" s="90"/>
      <c r="J27" s="45">
        <f>IFERROR(VLOOKUP(F27,Tabela7[[RECURSO]:[CUSTO]],3,FALSE),0)</f>
        <v>0</v>
      </c>
      <c r="K27" s="45">
        <f t="shared" si="34"/>
        <v>0</v>
      </c>
      <c r="AD27" s="144" t="str">
        <f t="shared" si="3"/>
        <v>Conserva</v>
      </c>
      <c r="AE27" s="179"/>
      <c r="AF27" s="180">
        <f t="shared" si="20"/>
        <v>0</v>
      </c>
      <c r="AG27" s="180">
        <f t="shared" si="17"/>
        <v>0</v>
      </c>
      <c r="AH27" s="181">
        <f t="shared" si="21"/>
        <v>0</v>
      </c>
      <c r="AI27" s="182"/>
      <c r="AJ27" s="90"/>
      <c r="AK27" s="90"/>
      <c r="AL27" s="183">
        <f t="shared" si="22"/>
        <v>0</v>
      </c>
      <c r="AM27" s="182"/>
      <c r="AN27" s="90"/>
      <c r="AO27" s="90"/>
      <c r="AP27" s="183">
        <f t="shared" si="23"/>
        <v>0</v>
      </c>
      <c r="AQ27" s="182"/>
      <c r="AR27" s="90"/>
      <c r="AS27" s="90"/>
      <c r="AT27" s="183">
        <f t="shared" si="24"/>
        <v>0</v>
      </c>
      <c r="AU27" s="182"/>
      <c r="AV27" s="90"/>
      <c r="AW27" s="90"/>
      <c r="AX27" s="183">
        <f t="shared" si="25"/>
        <v>0</v>
      </c>
      <c r="AY27" s="182"/>
      <c r="AZ27" s="90"/>
      <c r="BA27" s="90"/>
      <c r="BB27" s="183">
        <f t="shared" si="26"/>
        <v>0</v>
      </c>
      <c r="BC27" s="182"/>
      <c r="BD27" s="90"/>
      <c r="BE27" s="90"/>
      <c r="BF27" s="183">
        <f t="shared" si="27"/>
        <v>0</v>
      </c>
      <c r="BG27" s="182"/>
      <c r="BH27" s="90"/>
      <c r="BI27" s="90"/>
      <c r="BJ27" s="183">
        <f t="shared" si="28"/>
        <v>0</v>
      </c>
      <c r="BK27" s="182"/>
      <c r="BL27" s="90"/>
      <c r="BM27" s="90"/>
      <c r="BN27" s="183">
        <f t="shared" si="29"/>
        <v>0</v>
      </c>
      <c r="BO27" s="182"/>
      <c r="BP27" s="90"/>
      <c r="BQ27" s="90"/>
      <c r="BR27" s="183">
        <f t="shared" si="30"/>
        <v>0</v>
      </c>
      <c r="BS27" s="182"/>
      <c r="BT27" s="90"/>
      <c r="BU27" s="90"/>
      <c r="BV27" s="183">
        <f t="shared" si="31"/>
        <v>0</v>
      </c>
      <c r="BW27" s="182"/>
      <c r="BX27" s="90"/>
      <c r="BY27" s="90"/>
      <c r="BZ27" s="183">
        <f t="shared" si="32"/>
        <v>0</v>
      </c>
      <c r="CA27" s="182"/>
      <c r="CB27" s="90"/>
      <c r="CC27" s="90"/>
      <c r="CD27" s="183">
        <f t="shared" si="33"/>
        <v>0</v>
      </c>
    </row>
    <row r="28" spans="2:82" x14ac:dyDescent="0.3">
      <c r="B28" s="53"/>
      <c r="C28" s="53" t="str">
        <f t="shared" si="0"/>
        <v>CPU_Conserva</v>
      </c>
      <c r="D28" s="278">
        <f t="shared" si="1"/>
        <v>1.0640000000000001</v>
      </c>
      <c r="E28" s="278">
        <f t="shared" si="2"/>
        <v>0</v>
      </c>
      <c r="F28" s="1"/>
      <c r="G28" s="28" t="str">
        <f>IFERROR(VLOOKUP(F28,Tabela7[[RECURSO]:[CUSTO]],2,FALSE),"")</f>
        <v/>
      </c>
      <c r="H28" s="93"/>
      <c r="I28" s="90"/>
      <c r="J28" s="45">
        <f>IFERROR(VLOOKUP(F28,Tabela7[[RECURSO]:[CUSTO]],3,FALSE),0)</f>
        <v>0</v>
      </c>
      <c r="K28" s="45">
        <f t="shared" si="34"/>
        <v>0</v>
      </c>
      <c r="AD28" s="144" t="str">
        <f t="shared" si="3"/>
        <v>Conserva</v>
      </c>
      <c r="AE28" s="179"/>
      <c r="AF28" s="180">
        <f t="shared" si="20"/>
        <v>0</v>
      </c>
      <c r="AG28" s="180">
        <f t="shared" si="17"/>
        <v>0</v>
      </c>
      <c r="AH28" s="181">
        <f t="shared" si="21"/>
        <v>0</v>
      </c>
      <c r="AI28" s="182"/>
      <c r="AJ28" s="90"/>
      <c r="AK28" s="90"/>
      <c r="AL28" s="183">
        <f t="shared" si="22"/>
        <v>0</v>
      </c>
      <c r="AM28" s="182"/>
      <c r="AN28" s="90"/>
      <c r="AO28" s="90"/>
      <c r="AP28" s="183">
        <f t="shared" si="23"/>
        <v>0</v>
      </c>
      <c r="AQ28" s="182"/>
      <c r="AR28" s="90"/>
      <c r="AS28" s="90"/>
      <c r="AT28" s="183">
        <f t="shared" si="24"/>
        <v>0</v>
      </c>
      <c r="AU28" s="182"/>
      <c r="AV28" s="90"/>
      <c r="AW28" s="90"/>
      <c r="AX28" s="183">
        <f t="shared" si="25"/>
        <v>0</v>
      </c>
      <c r="AY28" s="182"/>
      <c r="AZ28" s="90"/>
      <c r="BA28" s="90"/>
      <c r="BB28" s="183">
        <f t="shared" si="26"/>
        <v>0</v>
      </c>
      <c r="BC28" s="182"/>
      <c r="BD28" s="90"/>
      <c r="BE28" s="90"/>
      <c r="BF28" s="183">
        <f t="shared" si="27"/>
        <v>0</v>
      </c>
      <c r="BG28" s="182"/>
      <c r="BH28" s="90"/>
      <c r="BI28" s="90"/>
      <c r="BJ28" s="183">
        <f t="shared" si="28"/>
        <v>0</v>
      </c>
      <c r="BK28" s="182"/>
      <c r="BL28" s="90"/>
      <c r="BM28" s="90"/>
      <c r="BN28" s="183">
        <f t="shared" si="29"/>
        <v>0</v>
      </c>
      <c r="BO28" s="182"/>
      <c r="BP28" s="90"/>
      <c r="BQ28" s="90"/>
      <c r="BR28" s="183">
        <f t="shared" si="30"/>
        <v>0</v>
      </c>
      <c r="BS28" s="182"/>
      <c r="BT28" s="90"/>
      <c r="BU28" s="90"/>
      <c r="BV28" s="183">
        <f t="shared" si="31"/>
        <v>0</v>
      </c>
      <c r="BW28" s="182"/>
      <c r="BX28" s="90"/>
      <c r="BY28" s="90"/>
      <c r="BZ28" s="183">
        <f t="shared" si="32"/>
        <v>0</v>
      </c>
      <c r="CA28" s="182"/>
      <c r="CB28" s="90"/>
      <c r="CC28" s="90"/>
      <c r="CD28" s="183">
        <f t="shared" si="33"/>
        <v>0</v>
      </c>
    </row>
    <row r="29" spans="2:82" x14ac:dyDescent="0.3">
      <c r="B29" s="53"/>
      <c r="C29" s="53" t="str">
        <f t="shared" si="0"/>
        <v>CPU_Conserva</v>
      </c>
      <c r="D29" s="278">
        <f t="shared" si="1"/>
        <v>1.0640000000000001</v>
      </c>
      <c r="E29" s="278">
        <f t="shared" si="2"/>
        <v>0</v>
      </c>
      <c r="F29" s="1"/>
      <c r="G29" s="28" t="str">
        <f>IFERROR(VLOOKUP(F29,Tabela7[[RECURSO]:[CUSTO]],2,FALSE),"")</f>
        <v/>
      </c>
      <c r="H29" s="93"/>
      <c r="I29" s="90"/>
      <c r="J29" s="45">
        <f>IFERROR(VLOOKUP(F29,Tabela7[[RECURSO]:[CUSTO]],3,FALSE),0)</f>
        <v>0</v>
      </c>
      <c r="K29" s="45">
        <f t="shared" si="34"/>
        <v>0</v>
      </c>
      <c r="AD29" s="144" t="str">
        <f t="shared" si="3"/>
        <v>Conserva</v>
      </c>
      <c r="AE29" s="179"/>
      <c r="AF29" s="180">
        <f t="shared" si="20"/>
        <v>0</v>
      </c>
      <c r="AG29" s="180">
        <f t="shared" si="17"/>
        <v>0</v>
      </c>
      <c r="AH29" s="181">
        <f t="shared" si="21"/>
        <v>0</v>
      </c>
      <c r="AI29" s="182"/>
      <c r="AJ29" s="90"/>
      <c r="AK29" s="90"/>
      <c r="AL29" s="183">
        <f t="shared" si="22"/>
        <v>0</v>
      </c>
      <c r="AM29" s="182"/>
      <c r="AN29" s="90"/>
      <c r="AO29" s="90"/>
      <c r="AP29" s="183">
        <f t="shared" si="23"/>
        <v>0</v>
      </c>
      <c r="AQ29" s="182"/>
      <c r="AR29" s="90"/>
      <c r="AS29" s="90"/>
      <c r="AT29" s="183">
        <f t="shared" si="24"/>
        <v>0</v>
      </c>
      <c r="AU29" s="182"/>
      <c r="AV29" s="90"/>
      <c r="AW29" s="90"/>
      <c r="AX29" s="183">
        <f t="shared" si="25"/>
        <v>0</v>
      </c>
      <c r="AY29" s="182"/>
      <c r="AZ29" s="90"/>
      <c r="BA29" s="90"/>
      <c r="BB29" s="183">
        <f t="shared" si="26"/>
        <v>0</v>
      </c>
      <c r="BC29" s="182"/>
      <c r="BD29" s="90"/>
      <c r="BE29" s="90"/>
      <c r="BF29" s="183">
        <f t="shared" si="27"/>
        <v>0</v>
      </c>
      <c r="BG29" s="182"/>
      <c r="BH29" s="90"/>
      <c r="BI29" s="90"/>
      <c r="BJ29" s="183">
        <f t="shared" si="28"/>
        <v>0</v>
      </c>
      <c r="BK29" s="182"/>
      <c r="BL29" s="90"/>
      <c r="BM29" s="90"/>
      <c r="BN29" s="183">
        <f t="shared" si="29"/>
        <v>0</v>
      </c>
      <c r="BO29" s="182"/>
      <c r="BP29" s="90"/>
      <c r="BQ29" s="90"/>
      <c r="BR29" s="183">
        <f t="shared" si="30"/>
        <v>0</v>
      </c>
      <c r="BS29" s="182"/>
      <c r="BT29" s="90"/>
      <c r="BU29" s="90"/>
      <c r="BV29" s="183">
        <f t="shared" si="31"/>
        <v>0</v>
      </c>
      <c r="BW29" s="182"/>
      <c r="BX29" s="90"/>
      <c r="BY29" s="90"/>
      <c r="BZ29" s="183">
        <f t="shared" si="32"/>
        <v>0</v>
      </c>
      <c r="CA29" s="182"/>
      <c r="CB29" s="90"/>
      <c r="CC29" s="90"/>
      <c r="CD29" s="183">
        <f t="shared" si="33"/>
        <v>0</v>
      </c>
    </row>
    <row r="30" spans="2:82" x14ac:dyDescent="0.3">
      <c r="B30" s="53"/>
      <c r="C30" s="53" t="str">
        <f t="shared" si="0"/>
        <v>CPU_Conserva</v>
      </c>
      <c r="D30" s="278">
        <f t="shared" si="1"/>
        <v>1.0640000000000001</v>
      </c>
      <c r="E30" s="278">
        <f t="shared" si="2"/>
        <v>0</v>
      </c>
      <c r="F30" s="1"/>
      <c r="G30" s="28" t="str">
        <f>IFERROR(VLOOKUP(F30,Tabela7[[RECURSO]:[CUSTO]],2,FALSE),"")</f>
        <v/>
      </c>
      <c r="H30" s="93"/>
      <c r="I30" s="90"/>
      <c r="J30" s="45">
        <f>IFERROR(VLOOKUP(F30,Tabela7[[RECURSO]:[CUSTO]],3,FALSE),0)</f>
        <v>0</v>
      </c>
      <c r="K30" s="45">
        <f t="shared" si="34"/>
        <v>0</v>
      </c>
      <c r="AD30" s="144" t="str">
        <f t="shared" si="3"/>
        <v>Conserva</v>
      </c>
      <c r="AE30" s="179"/>
      <c r="AF30" s="180">
        <f t="shared" si="20"/>
        <v>0</v>
      </c>
      <c r="AG30" s="180">
        <f t="shared" si="17"/>
        <v>0</v>
      </c>
      <c r="AH30" s="181">
        <f t="shared" si="21"/>
        <v>0</v>
      </c>
      <c r="AI30" s="182"/>
      <c r="AJ30" s="90"/>
      <c r="AK30" s="90"/>
      <c r="AL30" s="183">
        <f t="shared" si="22"/>
        <v>0</v>
      </c>
      <c r="AM30" s="182"/>
      <c r="AN30" s="90"/>
      <c r="AO30" s="90"/>
      <c r="AP30" s="183">
        <f t="shared" si="23"/>
        <v>0</v>
      </c>
      <c r="AQ30" s="182"/>
      <c r="AR30" s="90"/>
      <c r="AS30" s="90"/>
      <c r="AT30" s="183">
        <f t="shared" si="24"/>
        <v>0</v>
      </c>
      <c r="AU30" s="182"/>
      <c r="AV30" s="90"/>
      <c r="AW30" s="90"/>
      <c r="AX30" s="183">
        <f t="shared" si="25"/>
        <v>0</v>
      </c>
      <c r="AY30" s="182"/>
      <c r="AZ30" s="90"/>
      <c r="BA30" s="90"/>
      <c r="BB30" s="183">
        <f t="shared" si="26"/>
        <v>0</v>
      </c>
      <c r="BC30" s="182"/>
      <c r="BD30" s="90"/>
      <c r="BE30" s="90"/>
      <c r="BF30" s="183">
        <f t="shared" si="27"/>
        <v>0</v>
      </c>
      <c r="BG30" s="182"/>
      <c r="BH30" s="90"/>
      <c r="BI30" s="90"/>
      <c r="BJ30" s="183">
        <f t="shared" si="28"/>
        <v>0</v>
      </c>
      <c r="BK30" s="182"/>
      <c r="BL30" s="90"/>
      <c r="BM30" s="90"/>
      <c r="BN30" s="183">
        <f t="shared" si="29"/>
        <v>0</v>
      </c>
      <c r="BO30" s="182"/>
      <c r="BP30" s="90"/>
      <c r="BQ30" s="90"/>
      <c r="BR30" s="183">
        <f t="shared" si="30"/>
        <v>0</v>
      </c>
      <c r="BS30" s="182"/>
      <c r="BT30" s="90"/>
      <c r="BU30" s="90"/>
      <c r="BV30" s="183">
        <f t="shared" si="31"/>
        <v>0</v>
      </c>
      <c r="BW30" s="182"/>
      <c r="BX30" s="90"/>
      <c r="BY30" s="90"/>
      <c r="BZ30" s="183">
        <f t="shared" si="32"/>
        <v>0</v>
      </c>
      <c r="CA30" s="182"/>
      <c r="CB30" s="90"/>
      <c r="CC30" s="90"/>
      <c r="CD30" s="183">
        <f t="shared" si="33"/>
        <v>0</v>
      </c>
    </row>
    <row r="31" spans="2:82" x14ac:dyDescent="0.3">
      <c r="B31" s="53"/>
      <c r="C31" s="53" t="str">
        <f t="shared" si="0"/>
        <v>CPU_Conserva</v>
      </c>
      <c r="D31" s="278">
        <f t="shared" si="1"/>
        <v>1.0640000000000001</v>
      </c>
      <c r="E31" s="278">
        <f t="shared" si="2"/>
        <v>0</v>
      </c>
      <c r="F31" s="1"/>
      <c r="G31" s="28" t="str">
        <f>IFERROR(VLOOKUP(F31,Tabela7[[RECURSO]:[CUSTO]],2,FALSE),"")</f>
        <v/>
      </c>
      <c r="H31" s="93"/>
      <c r="I31" s="90"/>
      <c r="J31" s="45">
        <f>IFERROR(VLOOKUP(F31,Tabela7[[RECURSO]:[CUSTO]],3,FALSE),0)</f>
        <v>0</v>
      </c>
      <c r="K31" s="45">
        <f t="shared" si="34"/>
        <v>0</v>
      </c>
      <c r="N31">
        <f>G7/20</f>
        <v>0</v>
      </c>
      <c r="AD31" s="144" t="str">
        <f t="shared" si="3"/>
        <v>Conserva</v>
      </c>
      <c r="AE31" s="179"/>
      <c r="AF31" s="180">
        <f t="shared" si="20"/>
        <v>0</v>
      </c>
      <c r="AG31" s="180">
        <f t="shared" si="17"/>
        <v>0</v>
      </c>
      <c r="AH31" s="181">
        <f t="shared" si="21"/>
        <v>0</v>
      </c>
      <c r="AI31" s="182"/>
      <c r="AJ31" s="90"/>
      <c r="AK31" s="90"/>
      <c r="AL31" s="183">
        <f t="shared" si="22"/>
        <v>0</v>
      </c>
      <c r="AM31" s="182"/>
      <c r="AN31" s="90"/>
      <c r="AO31" s="90"/>
      <c r="AP31" s="183">
        <f t="shared" si="23"/>
        <v>0</v>
      </c>
      <c r="AQ31" s="182"/>
      <c r="AR31" s="90"/>
      <c r="AS31" s="90"/>
      <c r="AT31" s="183">
        <f t="shared" si="24"/>
        <v>0</v>
      </c>
      <c r="AU31" s="182"/>
      <c r="AV31" s="90"/>
      <c r="AW31" s="90"/>
      <c r="AX31" s="183">
        <f t="shared" si="25"/>
        <v>0</v>
      </c>
      <c r="AY31" s="182"/>
      <c r="AZ31" s="90"/>
      <c r="BA31" s="90"/>
      <c r="BB31" s="183">
        <f t="shared" si="26"/>
        <v>0</v>
      </c>
      <c r="BC31" s="182"/>
      <c r="BD31" s="90"/>
      <c r="BE31" s="90"/>
      <c r="BF31" s="183">
        <f t="shared" si="27"/>
        <v>0</v>
      </c>
      <c r="BG31" s="182"/>
      <c r="BH31" s="90"/>
      <c r="BI31" s="90"/>
      <c r="BJ31" s="183">
        <f t="shared" si="28"/>
        <v>0</v>
      </c>
      <c r="BK31" s="182"/>
      <c r="BL31" s="90"/>
      <c r="BM31" s="90"/>
      <c r="BN31" s="183">
        <f t="shared" si="29"/>
        <v>0</v>
      </c>
      <c r="BO31" s="182"/>
      <c r="BP31" s="90"/>
      <c r="BQ31" s="90"/>
      <c r="BR31" s="183">
        <f t="shared" si="30"/>
        <v>0</v>
      </c>
      <c r="BS31" s="182"/>
      <c r="BT31" s="90"/>
      <c r="BU31" s="90"/>
      <c r="BV31" s="183">
        <f t="shared" si="31"/>
        <v>0</v>
      </c>
      <c r="BW31" s="182"/>
      <c r="BX31" s="90"/>
      <c r="BY31" s="90"/>
      <c r="BZ31" s="183">
        <f t="shared" si="32"/>
        <v>0</v>
      </c>
      <c r="CA31" s="182"/>
      <c r="CB31" s="90"/>
      <c r="CC31" s="90"/>
      <c r="CD31" s="183">
        <f t="shared" si="33"/>
        <v>0</v>
      </c>
    </row>
    <row r="32" spans="2:82" x14ac:dyDescent="0.3">
      <c r="B32" s="53"/>
      <c r="C32" s="53" t="str">
        <f t="shared" si="0"/>
        <v>CPU_Conserva</v>
      </c>
      <c r="D32" s="278">
        <f t="shared" si="1"/>
        <v>1.0640000000000001</v>
      </c>
      <c r="E32" s="278">
        <f t="shared" si="2"/>
        <v>0</v>
      </c>
      <c r="F32" s="1"/>
      <c r="G32" s="28" t="str">
        <f>IFERROR(VLOOKUP(F32,Tabela7[[RECURSO]:[CUSTO]],2,FALSE),"")</f>
        <v/>
      </c>
      <c r="H32" s="93"/>
      <c r="I32" s="90"/>
      <c r="J32" s="45">
        <f>IFERROR(VLOOKUP(F32,Tabela7[[RECURSO]:[CUSTO]],3,FALSE),0)</f>
        <v>0</v>
      </c>
      <c r="K32" s="45">
        <f t="shared" si="34"/>
        <v>0</v>
      </c>
      <c r="AD32" s="144" t="str">
        <f t="shared" si="3"/>
        <v>Conserva</v>
      </c>
      <c r="AE32" s="179"/>
      <c r="AF32" s="180">
        <f t="shared" si="20"/>
        <v>0</v>
      </c>
      <c r="AG32" s="180">
        <f t="shared" si="17"/>
        <v>0</v>
      </c>
      <c r="AH32" s="181">
        <f t="shared" si="21"/>
        <v>0</v>
      </c>
      <c r="AI32" s="182"/>
      <c r="AJ32" s="90"/>
      <c r="AK32" s="90"/>
      <c r="AL32" s="183">
        <f t="shared" si="22"/>
        <v>0</v>
      </c>
      <c r="AM32" s="182"/>
      <c r="AN32" s="90"/>
      <c r="AO32" s="90"/>
      <c r="AP32" s="183">
        <f t="shared" si="23"/>
        <v>0</v>
      </c>
      <c r="AQ32" s="182"/>
      <c r="AR32" s="90"/>
      <c r="AS32" s="90"/>
      <c r="AT32" s="183">
        <f t="shared" si="24"/>
        <v>0</v>
      </c>
      <c r="AU32" s="182"/>
      <c r="AV32" s="90"/>
      <c r="AW32" s="90"/>
      <c r="AX32" s="183">
        <f t="shared" si="25"/>
        <v>0</v>
      </c>
      <c r="AY32" s="182"/>
      <c r="AZ32" s="90"/>
      <c r="BA32" s="90"/>
      <c r="BB32" s="183">
        <f t="shared" si="26"/>
        <v>0</v>
      </c>
      <c r="BC32" s="182"/>
      <c r="BD32" s="90"/>
      <c r="BE32" s="90"/>
      <c r="BF32" s="183">
        <f t="shared" si="27"/>
        <v>0</v>
      </c>
      <c r="BG32" s="182"/>
      <c r="BH32" s="90"/>
      <c r="BI32" s="90"/>
      <c r="BJ32" s="183">
        <f t="shared" si="28"/>
        <v>0</v>
      </c>
      <c r="BK32" s="182"/>
      <c r="BL32" s="90"/>
      <c r="BM32" s="90"/>
      <c r="BN32" s="183">
        <f t="shared" si="29"/>
        <v>0</v>
      </c>
      <c r="BO32" s="182"/>
      <c r="BP32" s="90"/>
      <c r="BQ32" s="90"/>
      <c r="BR32" s="183">
        <f t="shared" si="30"/>
        <v>0</v>
      </c>
      <c r="BS32" s="182"/>
      <c r="BT32" s="90"/>
      <c r="BU32" s="90"/>
      <c r="BV32" s="183">
        <f t="shared" si="31"/>
        <v>0</v>
      </c>
      <c r="BW32" s="182"/>
      <c r="BX32" s="90"/>
      <c r="BY32" s="90"/>
      <c r="BZ32" s="183">
        <f t="shared" si="32"/>
        <v>0</v>
      </c>
      <c r="CA32" s="182"/>
      <c r="CB32" s="90"/>
      <c r="CC32" s="90"/>
      <c r="CD32" s="183">
        <f t="shared" si="33"/>
        <v>0</v>
      </c>
    </row>
    <row r="33" spans="2:82" x14ac:dyDescent="0.3">
      <c r="B33" s="53"/>
      <c r="C33" s="53" t="str">
        <f t="shared" si="0"/>
        <v>CPU_Conserva</v>
      </c>
      <c r="D33" s="278">
        <f t="shared" si="1"/>
        <v>1.0640000000000001</v>
      </c>
      <c r="E33" s="278">
        <f t="shared" si="2"/>
        <v>0</v>
      </c>
      <c r="F33" s="1"/>
      <c r="G33" s="28" t="str">
        <f>IFERROR(VLOOKUP(F33,Tabela7[[RECURSO]:[CUSTO]],2,FALSE),"")</f>
        <v/>
      </c>
      <c r="H33" s="93"/>
      <c r="I33" s="90"/>
      <c r="J33" s="45">
        <f>IFERROR(VLOOKUP(F33,Tabela7[[RECURSO]:[CUSTO]],3,FALSE),0)</f>
        <v>0</v>
      </c>
      <c r="K33" s="45">
        <f t="shared" si="34"/>
        <v>0</v>
      </c>
      <c r="AD33" s="144" t="str">
        <f t="shared" si="3"/>
        <v>Conserva</v>
      </c>
      <c r="AE33" s="179"/>
      <c r="AF33" s="180">
        <f t="shared" si="20"/>
        <v>0</v>
      </c>
      <c r="AG33" s="180">
        <f t="shared" si="17"/>
        <v>0</v>
      </c>
      <c r="AH33" s="181">
        <f t="shared" si="21"/>
        <v>0</v>
      </c>
      <c r="AI33" s="182"/>
      <c r="AJ33" s="90"/>
      <c r="AK33" s="90"/>
      <c r="AL33" s="183">
        <f t="shared" si="22"/>
        <v>0</v>
      </c>
      <c r="AM33" s="182"/>
      <c r="AN33" s="90"/>
      <c r="AO33" s="90"/>
      <c r="AP33" s="183">
        <f t="shared" si="23"/>
        <v>0</v>
      </c>
      <c r="AQ33" s="182"/>
      <c r="AR33" s="90"/>
      <c r="AS33" s="90"/>
      <c r="AT33" s="183">
        <f t="shared" si="24"/>
        <v>0</v>
      </c>
      <c r="AU33" s="182"/>
      <c r="AV33" s="90"/>
      <c r="AW33" s="90"/>
      <c r="AX33" s="183">
        <f t="shared" si="25"/>
        <v>0</v>
      </c>
      <c r="AY33" s="182"/>
      <c r="AZ33" s="90"/>
      <c r="BA33" s="90"/>
      <c r="BB33" s="183">
        <f t="shared" si="26"/>
        <v>0</v>
      </c>
      <c r="BC33" s="182"/>
      <c r="BD33" s="90"/>
      <c r="BE33" s="90"/>
      <c r="BF33" s="183">
        <f t="shared" si="27"/>
        <v>0</v>
      </c>
      <c r="BG33" s="182"/>
      <c r="BH33" s="90"/>
      <c r="BI33" s="90"/>
      <c r="BJ33" s="183">
        <f t="shared" si="28"/>
        <v>0</v>
      </c>
      <c r="BK33" s="182"/>
      <c r="BL33" s="90"/>
      <c r="BM33" s="90"/>
      <c r="BN33" s="183">
        <f t="shared" si="29"/>
        <v>0</v>
      </c>
      <c r="BO33" s="182"/>
      <c r="BP33" s="90"/>
      <c r="BQ33" s="90"/>
      <c r="BR33" s="183">
        <f t="shared" si="30"/>
        <v>0</v>
      </c>
      <c r="BS33" s="182"/>
      <c r="BT33" s="90"/>
      <c r="BU33" s="90"/>
      <c r="BV33" s="183">
        <f t="shared" si="31"/>
        <v>0</v>
      </c>
      <c r="BW33" s="182"/>
      <c r="BX33" s="90"/>
      <c r="BY33" s="90"/>
      <c r="BZ33" s="183">
        <f t="shared" si="32"/>
        <v>0</v>
      </c>
      <c r="CA33" s="182"/>
      <c r="CB33" s="90"/>
      <c r="CC33" s="90"/>
      <c r="CD33" s="183">
        <f t="shared" si="33"/>
        <v>0</v>
      </c>
    </row>
    <row r="34" spans="2:82" x14ac:dyDescent="0.3">
      <c r="B34" s="53"/>
      <c r="C34" s="53" t="str">
        <f t="shared" si="0"/>
        <v>CPU_Conserva</v>
      </c>
      <c r="D34" s="278">
        <f t="shared" si="1"/>
        <v>1.0640000000000001</v>
      </c>
      <c r="E34" s="278">
        <f t="shared" si="2"/>
        <v>0</v>
      </c>
      <c r="F34" s="1"/>
      <c r="G34" s="28" t="str">
        <f>IFERROR(VLOOKUP(F34,Tabela7[[RECURSO]:[CUSTO]],2,FALSE),"")</f>
        <v/>
      </c>
      <c r="H34" s="93"/>
      <c r="I34" s="90"/>
      <c r="J34" s="45">
        <f>IFERROR(VLOOKUP(F34,Tabela7[[RECURSO]:[CUSTO]],3,FALSE),0)</f>
        <v>0</v>
      </c>
      <c r="K34" s="45">
        <f t="shared" si="34"/>
        <v>0</v>
      </c>
      <c r="AD34" s="144" t="str">
        <f t="shared" si="3"/>
        <v>Conserva</v>
      </c>
      <c r="AE34" s="179"/>
      <c r="AF34" s="180">
        <f t="shared" si="20"/>
        <v>0</v>
      </c>
      <c r="AG34" s="180">
        <f t="shared" si="17"/>
        <v>0</v>
      </c>
      <c r="AH34" s="181">
        <f t="shared" si="21"/>
        <v>0</v>
      </c>
      <c r="AI34" s="182"/>
      <c r="AJ34" s="90"/>
      <c r="AK34" s="90"/>
      <c r="AL34" s="183">
        <f t="shared" si="22"/>
        <v>0</v>
      </c>
      <c r="AM34" s="182"/>
      <c r="AN34" s="90"/>
      <c r="AO34" s="90"/>
      <c r="AP34" s="183">
        <f t="shared" si="23"/>
        <v>0</v>
      </c>
      <c r="AQ34" s="182"/>
      <c r="AR34" s="90"/>
      <c r="AS34" s="90"/>
      <c r="AT34" s="183">
        <f t="shared" si="24"/>
        <v>0</v>
      </c>
      <c r="AU34" s="182"/>
      <c r="AV34" s="90"/>
      <c r="AW34" s="90"/>
      <c r="AX34" s="183">
        <f t="shared" si="25"/>
        <v>0</v>
      </c>
      <c r="AY34" s="182"/>
      <c r="AZ34" s="90"/>
      <c r="BA34" s="90"/>
      <c r="BB34" s="183">
        <f t="shared" si="26"/>
        <v>0</v>
      </c>
      <c r="BC34" s="182"/>
      <c r="BD34" s="90"/>
      <c r="BE34" s="90"/>
      <c r="BF34" s="183">
        <f t="shared" si="27"/>
        <v>0</v>
      </c>
      <c r="BG34" s="182"/>
      <c r="BH34" s="90"/>
      <c r="BI34" s="90"/>
      <c r="BJ34" s="183">
        <f t="shared" si="28"/>
        <v>0</v>
      </c>
      <c r="BK34" s="182"/>
      <c r="BL34" s="90"/>
      <c r="BM34" s="90"/>
      <c r="BN34" s="183">
        <f t="shared" si="29"/>
        <v>0</v>
      </c>
      <c r="BO34" s="182"/>
      <c r="BP34" s="90"/>
      <c r="BQ34" s="90"/>
      <c r="BR34" s="183">
        <f t="shared" si="30"/>
        <v>0</v>
      </c>
      <c r="BS34" s="182"/>
      <c r="BT34" s="90"/>
      <c r="BU34" s="90"/>
      <c r="BV34" s="183">
        <f t="shared" si="31"/>
        <v>0</v>
      </c>
      <c r="BW34" s="182"/>
      <c r="BX34" s="90"/>
      <c r="BY34" s="90"/>
      <c r="BZ34" s="183">
        <f t="shared" si="32"/>
        <v>0</v>
      </c>
      <c r="CA34" s="182"/>
      <c r="CB34" s="90"/>
      <c r="CC34" s="90"/>
      <c r="CD34" s="183">
        <f t="shared" si="33"/>
        <v>0</v>
      </c>
    </row>
    <row r="35" spans="2:82" x14ac:dyDescent="0.3">
      <c r="B35" s="53"/>
      <c r="C35" s="53" t="str">
        <f t="shared" si="0"/>
        <v>CPU_Conserva</v>
      </c>
      <c r="D35" s="278">
        <f t="shared" si="1"/>
        <v>1.0640000000000001</v>
      </c>
      <c r="E35" s="278">
        <f t="shared" si="2"/>
        <v>0</v>
      </c>
      <c r="F35" s="1"/>
      <c r="G35" s="28" t="str">
        <f>IFERROR(VLOOKUP(F35,Tabela7[[RECURSO]:[CUSTO]],2,FALSE),"")</f>
        <v/>
      </c>
      <c r="H35" s="93"/>
      <c r="I35" s="90"/>
      <c r="J35" s="45">
        <f>IFERROR(VLOOKUP(F35,Tabela7[[RECURSO]:[CUSTO]],3,FALSE),0)</f>
        <v>0</v>
      </c>
      <c r="K35" s="45">
        <f t="shared" si="34"/>
        <v>0</v>
      </c>
      <c r="AD35" s="144" t="str">
        <f t="shared" si="3"/>
        <v>Conserva</v>
      </c>
      <c r="AE35" s="179"/>
      <c r="AF35" s="180">
        <f t="shared" si="20"/>
        <v>0</v>
      </c>
      <c r="AG35" s="180">
        <f t="shared" si="17"/>
        <v>0</v>
      </c>
      <c r="AH35" s="181">
        <f t="shared" si="21"/>
        <v>0</v>
      </c>
      <c r="AI35" s="182"/>
      <c r="AJ35" s="90"/>
      <c r="AK35" s="90"/>
      <c r="AL35" s="183">
        <f t="shared" si="22"/>
        <v>0</v>
      </c>
      <c r="AM35" s="182"/>
      <c r="AN35" s="90"/>
      <c r="AO35" s="90"/>
      <c r="AP35" s="183">
        <f t="shared" si="23"/>
        <v>0</v>
      </c>
      <c r="AQ35" s="182"/>
      <c r="AR35" s="90"/>
      <c r="AS35" s="90"/>
      <c r="AT35" s="183">
        <f t="shared" si="24"/>
        <v>0</v>
      </c>
      <c r="AU35" s="182"/>
      <c r="AV35" s="90"/>
      <c r="AW35" s="90"/>
      <c r="AX35" s="183">
        <f t="shared" si="25"/>
        <v>0</v>
      </c>
      <c r="AY35" s="182"/>
      <c r="AZ35" s="90"/>
      <c r="BA35" s="90"/>
      <c r="BB35" s="183">
        <f t="shared" si="26"/>
        <v>0</v>
      </c>
      <c r="BC35" s="182"/>
      <c r="BD35" s="90"/>
      <c r="BE35" s="90"/>
      <c r="BF35" s="183">
        <f t="shared" si="27"/>
        <v>0</v>
      </c>
      <c r="BG35" s="182"/>
      <c r="BH35" s="90"/>
      <c r="BI35" s="90"/>
      <c r="BJ35" s="183">
        <f t="shared" si="28"/>
        <v>0</v>
      </c>
      <c r="BK35" s="182"/>
      <c r="BL35" s="90"/>
      <c r="BM35" s="90"/>
      <c r="BN35" s="183">
        <f t="shared" si="29"/>
        <v>0</v>
      </c>
      <c r="BO35" s="182"/>
      <c r="BP35" s="90"/>
      <c r="BQ35" s="90"/>
      <c r="BR35" s="183">
        <f t="shared" si="30"/>
        <v>0</v>
      </c>
      <c r="BS35" s="182"/>
      <c r="BT35" s="90"/>
      <c r="BU35" s="90"/>
      <c r="BV35" s="183">
        <f t="shared" si="31"/>
        <v>0</v>
      </c>
      <c r="BW35" s="182"/>
      <c r="BX35" s="90"/>
      <c r="BY35" s="90"/>
      <c r="BZ35" s="183">
        <f t="shared" si="32"/>
        <v>0</v>
      </c>
      <c r="CA35" s="182"/>
      <c r="CB35" s="90"/>
      <c r="CC35" s="90"/>
      <c r="CD35" s="183">
        <f t="shared" si="33"/>
        <v>0</v>
      </c>
    </row>
    <row r="36" spans="2:82" x14ac:dyDescent="0.3">
      <c r="B36" s="53"/>
      <c r="C36" s="53" t="str">
        <f t="shared" si="0"/>
        <v>CPU_Conserva</v>
      </c>
      <c r="D36" s="278">
        <f t="shared" si="1"/>
        <v>1.0640000000000001</v>
      </c>
      <c r="E36" s="278">
        <f t="shared" si="2"/>
        <v>0</v>
      </c>
      <c r="F36" s="1"/>
      <c r="G36" s="28" t="str">
        <f>IFERROR(VLOOKUP(F36,Tabela7[[RECURSO]:[CUSTO]],2,FALSE),"")</f>
        <v/>
      </c>
      <c r="H36" s="93"/>
      <c r="I36" s="90"/>
      <c r="J36" s="45">
        <f>IFERROR(VLOOKUP(F36,Tabela7[[RECURSO]:[CUSTO]],3,FALSE),0)</f>
        <v>0</v>
      </c>
      <c r="K36" s="45">
        <f t="shared" si="34"/>
        <v>0</v>
      </c>
      <c r="AD36" s="144" t="str">
        <f t="shared" si="3"/>
        <v>Conserva</v>
      </c>
      <c r="AE36" s="179"/>
      <c r="AF36" s="180">
        <f t="shared" si="20"/>
        <v>0</v>
      </c>
      <c r="AG36" s="180">
        <f t="shared" si="17"/>
        <v>0</v>
      </c>
      <c r="AH36" s="181">
        <f t="shared" si="21"/>
        <v>0</v>
      </c>
      <c r="AI36" s="182"/>
      <c r="AJ36" s="90"/>
      <c r="AK36" s="90"/>
      <c r="AL36" s="183">
        <f t="shared" si="22"/>
        <v>0</v>
      </c>
      <c r="AM36" s="182"/>
      <c r="AN36" s="90"/>
      <c r="AO36" s="90"/>
      <c r="AP36" s="183">
        <f t="shared" si="23"/>
        <v>0</v>
      </c>
      <c r="AQ36" s="182"/>
      <c r="AR36" s="90"/>
      <c r="AS36" s="90"/>
      <c r="AT36" s="183">
        <f t="shared" si="24"/>
        <v>0</v>
      </c>
      <c r="AU36" s="182"/>
      <c r="AV36" s="90"/>
      <c r="AW36" s="90"/>
      <c r="AX36" s="183">
        <f t="shared" si="25"/>
        <v>0</v>
      </c>
      <c r="AY36" s="182"/>
      <c r="AZ36" s="90"/>
      <c r="BA36" s="90"/>
      <c r="BB36" s="183">
        <f t="shared" si="26"/>
        <v>0</v>
      </c>
      <c r="BC36" s="182"/>
      <c r="BD36" s="90"/>
      <c r="BE36" s="90"/>
      <c r="BF36" s="183">
        <f t="shared" si="27"/>
        <v>0</v>
      </c>
      <c r="BG36" s="182"/>
      <c r="BH36" s="90"/>
      <c r="BI36" s="90"/>
      <c r="BJ36" s="183">
        <f t="shared" si="28"/>
        <v>0</v>
      </c>
      <c r="BK36" s="182"/>
      <c r="BL36" s="90"/>
      <c r="BM36" s="90"/>
      <c r="BN36" s="183">
        <f t="shared" si="29"/>
        <v>0</v>
      </c>
      <c r="BO36" s="182"/>
      <c r="BP36" s="90"/>
      <c r="BQ36" s="90"/>
      <c r="BR36" s="183">
        <f t="shared" si="30"/>
        <v>0</v>
      </c>
      <c r="BS36" s="182"/>
      <c r="BT36" s="90"/>
      <c r="BU36" s="90"/>
      <c r="BV36" s="183">
        <f t="shared" si="31"/>
        <v>0</v>
      </c>
      <c r="BW36" s="182"/>
      <c r="BX36" s="90"/>
      <c r="BY36" s="90"/>
      <c r="BZ36" s="183">
        <f t="shared" si="32"/>
        <v>0</v>
      </c>
      <c r="CA36" s="182"/>
      <c r="CB36" s="90"/>
      <c r="CC36" s="90"/>
      <c r="CD36" s="183">
        <f t="shared" si="33"/>
        <v>0</v>
      </c>
    </row>
    <row r="37" spans="2:82" x14ac:dyDescent="0.3">
      <c r="B37" s="52" t="s">
        <v>692</v>
      </c>
      <c r="C37" s="52" t="str">
        <f t="shared" si="0"/>
        <v>CPU_Conserva</v>
      </c>
      <c r="D37" s="277">
        <f t="shared" si="1"/>
        <v>1.0640000000000001</v>
      </c>
      <c r="E37" s="277">
        <f t="shared" si="2"/>
        <v>0</v>
      </c>
      <c r="F37" s="37"/>
      <c r="G37" s="38"/>
      <c r="H37" s="91"/>
      <c r="I37" s="40"/>
      <c r="J37" s="40">
        <f>IFERROR(K37/$B$6,0)</f>
        <v>1889.9235617940608</v>
      </c>
      <c r="K37" s="40">
        <f>SUM(K38:K49)</f>
        <v>2010.8786697488808</v>
      </c>
      <c r="N37" s="39"/>
      <c r="AD37" s="144" t="str">
        <f t="shared" si="3"/>
        <v>Conserva</v>
      </c>
      <c r="AE37" s="184"/>
      <c r="AF37" s="40"/>
      <c r="AG37" s="40">
        <f>IFERROR(AH37/AF$3,0)</f>
        <v>0</v>
      </c>
      <c r="AH37" s="185">
        <f>SUM(AH38:AH49)</f>
        <v>0</v>
      </c>
      <c r="AI37" s="184"/>
      <c r="AJ37" s="40"/>
      <c r="AK37" s="40">
        <f>IFERROR(AL37/AJ$3,0)</f>
        <v>0</v>
      </c>
      <c r="AL37" s="185">
        <f>SUM(AL38:AL49)</f>
        <v>0</v>
      </c>
      <c r="AM37" s="184"/>
      <c r="AN37" s="40"/>
      <c r="AO37" s="40">
        <f>IFERROR(AP37/AN$3,0)</f>
        <v>0</v>
      </c>
      <c r="AP37" s="185">
        <f>SUM(AP38:AP49)</f>
        <v>0</v>
      </c>
      <c r="AQ37" s="184"/>
      <c r="AR37" s="40"/>
      <c r="AS37" s="40">
        <f>IFERROR(AT37/AR$3,0)</f>
        <v>0</v>
      </c>
      <c r="AT37" s="185">
        <f>SUM(AT38:AT49)</f>
        <v>0</v>
      </c>
      <c r="AU37" s="184"/>
      <c r="AV37" s="40"/>
      <c r="AW37" s="40">
        <f>IFERROR(AX37/AV$3,0)</f>
        <v>0</v>
      </c>
      <c r="AX37" s="185">
        <f>SUM(AX38:AX49)</f>
        <v>0</v>
      </c>
      <c r="AY37" s="184"/>
      <c r="AZ37" s="40"/>
      <c r="BA37" s="40">
        <f>IFERROR(BB37/AZ$3,0)</f>
        <v>0</v>
      </c>
      <c r="BB37" s="185">
        <f>SUM(BB38:BB49)</f>
        <v>0</v>
      </c>
      <c r="BC37" s="184"/>
      <c r="BD37" s="40"/>
      <c r="BE37" s="40">
        <f>IFERROR(BF37/BD$3,0)</f>
        <v>0</v>
      </c>
      <c r="BF37" s="185">
        <f>SUM(BF38:BF49)</f>
        <v>0</v>
      </c>
      <c r="BG37" s="184"/>
      <c r="BH37" s="40"/>
      <c r="BI37" s="40">
        <f>IFERROR(BJ37/BH$3,0)</f>
        <v>0</v>
      </c>
      <c r="BJ37" s="185">
        <f>SUM(BJ38:BJ49)</f>
        <v>0</v>
      </c>
      <c r="BK37" s="184"/>
      <c r="BL37" s="40"/>
      <c r="BM37" s="40">
        <f>IFERROR(BN37/BL$3,0)</f>
        <v>0</v>
      </c>
      <c r="BN37" s="185">
        <f>SUM(BN38:BN49)</f>
        <v>0</v>
      </c>
      <c r="BO37" s="184"/>
      <c r="BP37" s="40"/>
      <c r="BQ37" s="40">
        <f>IFERROR(BR37/BP$3,0)</f>
        <v>0</v>
      </c>
      <c r="BR37" s="185">
        <f>SUM(BR38:BR49)</f>
        <v>0</v>
      </c>
      <c r="BS37" s="184"/>
      <c r="BT37" s="40"/>
      <c r="BU37" s="40">
        <f>IFERROR(BV37/BT$3,0)</f>
        <v>0</v>
      </c>
      <c r="BV37" s="185">
        <f>SUM(BV38:BV49)</f>
        <v>0</v>
      </c>
      <c r="BW37" s="184"/>
      <c r="BX37" s="40"/>
      <c r="BY37" s="40">
        <f>IFERROR(BZ37/BX$3,0)</f>
        <v>0</v>
      </c>
      <c r="BZ37" s="185">
        <f>SUM(BZ38:BZ49)</f>
        <v>0</v>
      </c>
      <c r="CA37" s="184"/>
      <c r="CB37" s="40"/>
      <c r="CC37" s="40">
        <f>IFERROR(CD37/CB$3,0)</f>
        <v>0</v>
      </c>
      <c r="CD37" s="185">
        <f>SUM(CD38:CD49)</f>
        <v>0</v>
      </c>
    </row>
    <row r="38" spans="2:82" x14ac:dyDescent="0.3">
      <c r="B38" s="54"/>
      <c r="C38" s="54" t="str">
        <f t="shared" si="0"/>
        <v>CPU_Conserva</v>
      </c>
      <c r="D38" s="280">
        <f t="shared" si="1"/>
        <v>1.0640000000000001</v>
      </c>
      <c r="E38" s="280">
        <f t="shared" si="2"/>
        <v>0</v>
      </c>
      <c r="F38" s="1" t="s">
        <v>869</v>
      </c>
      <c r="G38" s="28" t="str">
        <f>IFERROR(VLOOKUP(F38,Tabela7[[RECURSO]:[CUSTO]],2,FALSE),"")</f>
        <v>H</v>
      </c>
      <c r="H38" s="92">
        <f>H12</f>
        <v>0</v>
      </c>
      <c r="I38" s="90">
        <v>10</v>
      </c>
      <c r="J38" s="45">
        <f>IFERROR(VLOOKUP(F38,Tabela7[[RECURSO]:[CUSTO]],3,FALSE),0)</f>
        <v>33.958689507494654</v>
      </c>
      <c r="K38" s="45">
        <f>I38*J38*CPU_2055[[#This Row],[Nº]]</f>
        <v>0</v>
      </c>
      <c r="AD38" s="144" t="str">
        <f t="shared" si="3"/>
        <v>Conserva</v>
      </c>
      <c r="AE38" s="186"/>
      <c r="AF38" s="180">
        <f t="shared" ref="AF38:AF49" si="35">AJ38+AN38+AR38+AV38+AZ38+BD38+BH38+BL38+BP38+BT38+BX38+CB38</f>
        <v>0</v>
      </c>
      <c r="AG38" s="180">
        <f t="shared" si="17"/>
        <v>0</v>
      </c>
      <c r="AH38" s="181">
        <f t="shared" ref="AH38:AH49" si="36">AL38+AP38+AT38+AX38+BB38+BF38+BJ38+BN38+BR38+BV38+BZ38+CD38</f>
        <v>0</v>
      </c>
      <c r="AI38" s="187"/>
      <c r="AJ38" s="90"/>
      <c r="AK38" s="90"/>
      <c r="AL38" s="183">
        <f t="shared" ref="AL38:AL49" si="37">AJ38*AK38</f>
        <v>0</v>
      </c>
      <c r="AM38" s="187"/>
      <c r="AN38" s="90"/>
      <c r="AO38" s="90"/>
      <c r="AP38" s="183">
        <f t="shared" si="23"/>
        <v>0</v>
      </c>
      <c r="AQ38" s="187"/>
      <c r="AR38" s="90"/>
      <c r="AS38" s="90"/>
      <c r="AT38" s="183">
        <f t="shared" si="24"/>
        <v>0</v>
      </c>
      <c r="AU38" s="187"/>
      <c r="AV38" s="90"/>
      <c r="AW38" s="90"/>
      <c r="AX38" s="183">
        <f t="shared" si="25"/>
        <v>0</v>
      </c>
      <c r="AY38" s="187"/>
      <c r="AZ38" s="90"/>
      <c r="BA38" s="90"/>
      <c r="BB38" s="183">
        <f t="shared" si="26"/>
        <v>0</v>
      </c>
      <c r="BC38" s="187"/>
      <c r="BD38" s="90"/>
      <c r="BE38" s="90"/>
      <c r="BF38" s="183">
        <f t="shared" si="27"/>
        <v>0</v>
      </c>
      <c r="BG38" s="187"/>
      <c r="BH38" s="90"/>
      <c r="BI38" s="90"/>
      <c r="BJ38" s="183">
        <f t="shared" si="28"/>
        <v>0</v>
      </c>
      <c r="BK38" s="187"/>
      <c r="BL38" s="90"/>
      <c r="BM38" s="90"/>
      <c r="BN38" s="183">
        <f t="shared" si="29"/>
        <v>0</v>
      </c>
      <c r="BO38" s="187"/>
      <c r="BP38" s="90"/>
      <c r="BQ38" s="90"/>
      <c r="BR38" s="183">
        <f t="shared" si="30"/>
        <v>0</v>
      </c>
      <c r="BS38" s="187"/>
      <c r="BT38" s="90"/>
      <c r="BU38" s="90"/>
      <c r="BV38" s="183">
        <f t="shared" si="31"/>
        <v>0</v>
      </c>
      <c r="BW38" s="187"/>
      <c r="BX38" s="90"/>
      <c r="BY38" s="90"/>
      <c r="BZ38" s="183">
        <f t="shared" si="32"/>
        <v>0</v>
      </c>
      <c r="CA38" s="187"/>
      <c r="CB38" s="90"/>
      <c r="CC38" s="90"/>
      <c r="CD38" s="183">
        <f t="shared" si="33"/>
        <v>0</v>
      </c>
    </row>
    <row r="39" spans="2:82" x14ac:dyDescent="0.3">
      <c r="B39" s="54"/>
      <c r="C39" s="54" t="str">
        <f t="shared" si="0"/>
        <v>CPU_Conserva</v>
      </c>
      <c r="D39" s="280">
        <f t="shared" si="1"/>
        <v>1.0640000000000001</v>
      </c>
      <c r="E39" s="280">
        <f t="shared" si="2"/>
        <v>0</v>
      </c>
      <c r="F39" s="1" t="s">
        <v>870</v>
      </c>
      <c r="G39" s="28" t="str">
        <f>IFERROR(VLOOKUP(F39,Tabela7[[RECURSO]:[CUSTO]],2,FALSE),"")</f>
        <v>H</v>
      </c>
      <c r="H39" s="92">
        <f>H15</f>
        <v>0</v>
      </c>
      <c r="I39" s="90">
        <v>10</v>
      </c>
      <c r="J39" s="45">
        <f>IFERROR(VLOOKUP(F39,Tabela7[[RECURSO]:[CUSTO]],3,FALSE),0)</f>
        <v>35.621612998832006</v>
      </c>
      <c r="K39" s="45">
        <f>I39*J39*CPU_2055[[#This Row],[Nº]]</f>
        <v>0</v>
      </c>
      <c r="AD39" s="144" t="str">
        <f t="shared" si="3"/>
        <v>Conserva</v>
      </c>
      <c r="AE39" s="186"/>
      <c r="AF39" s="180">
        <f t="shared" si="35"/>
        <v>0</v>
      </c>
      <c r="AG39" s="180">
        <f t="shared" si="17"/>
        <v>0</v>
      </c>
      <c r="AH39" s="181">
        <f t="shared" si="36"/>
        <v>0</v>
      </c>
      <c r="AI39" s="187"/>
      <c r="AJ39" s="90"/>
      <c r="AK39" s="90"/>
      <c r="AL39" s="183">
        <f t="shared" si="37"/>
        <v>0</v>
      </c>
      <c r="AM39" s="187"/>
      <c r="AN39" s="90"/>
      <c r="AO39" s="90"/>
      <c r="AP39" s="183">
        <f t="shared" si="23"/>
        <v>0</v>
      </c>
      <c r="AQ39" s="187"/>
      <c r="AR39" s="90"/>
      <c r="AS39" s="90"/>
      <c r="AT39" s="183">
        <f t="shared" si="24"/>
        <v>0</v>
      </c>
      <c r="AU39" s="187"/>
      <c r="AV39" s="90"/>
      <c r="AW39" s="90"/>
      <c r="AX39" s="183">
        <f t="shared" si="25"/>
        <v>0</v>
      </c>
      <c r="AY39" s="187"/>
      <c r="AZ39" s="90"/>
      <c r="BA39" s="90"/>
      <c r="BB39" s="183">
        <f t="shared" si="26"/>
        <v>0</v>
      </c>
      <c r="BC39" s="187"/>
      <c r="BD39" s="90"/>
      <c r="BE39" s="90"/>
      <c r="BF39" s="183">
        <f t="shared" si="27"/>
        <v>0</v>
      </c>
      <c r="BG39" s="187"/>
      <c r="BH39" s="90"/>
      <c r="BI39" s="90"/>
      <c r="BJ39" s="183">
        <f t="shared" si="28"/>
        <v>0</v>
      </c>
      <c r="BK39" s="187"/>
      <c r="BL39" s="90"/>
      <c r="BM39" s="90"/>
      <c r="BN39" s="183">
        <f t="shared" si="29"/>
        <v>0</v>
      </c>
      <c r="BO39" s="187"/>
      <c r="BP39" s="90"/>
      <c r="BQ39" s="90"/>
      <c r="BR39" s="183">
        <f t="shared" si="30"/>
        <v>0</v>
      </c>
      <c r="BS39" s="187"/>
      <c r="BT39" s="90"/>
      <c r="BU39" s="90"/>
      <c r="BV39" s="183">
        <f t="shared" si="31"/>
        <v>0</v>
      </c>
      <c r="BW39" s="187"/>
      <c r="BX39" s="90"/>
      <c r="BY39" s="90"/>
      <c r="BZ39" s="183">
        <f t="shared" si="32"/>
        <v>0</v>
      </c>
      <c r="CA39" s="187"/>
      <c r="CB39" s="90"/>
      <c r="CC39" s="90"/>
      <c r="CD39" s="183">
        <f t="shared" si="33"/>
        <v>0</v>
      </c>
    </row>
    <row r="40" spans="2:82" x14ac:dyDescent="0.3">
      <c r="B40" s="54"/>
      <c r="C40" s="54" t="str">
        <f t="shared" si="0"/>
        <v>CPU_Conserva</v>
      </c>
      <c r="D40" s="280">
        <f t="shared" si="1"/>
        <v>1.0640000000000001</v>
      </c>
      <c r="E40" s="280">
        <f t="shared" si="2"/>
        <v>0</v>
      </c>
      <c r="F40" s="1" t="s">
        <v>361</v>
      </c>
      <c r="G40" s="28" t="str">
        <f>IFERROR(VLOOKUP(F40,Tabela7[[RECURSO]:[CUSTO]],2,FALSE),"")</f>
        <v>H</v>
      </c>
      <c r="H40" s="92">
        <v>2</v>
      </c>
      <c r="I40" s="90">
        <v>10</v>
      </c>
      <c r="J40" s="45">
        <f>IFERROR(VLOOKUP(F40,Tabela7[[RECURSO]:[CUSTO]],3,FALSE),0)</f>
        <v>26.579984100642395</v>
      </c>
      <c r="K40" s="45">
        <f>I40*J40*CPU_2055[[#This Row],[Nº]]</f>
        <v>531.59968201284789</v>
      </c>
      <c r="AD40" s="144" t="str">
        <f t="shared" si="3"/>
        <v>Conserva</v>
      </c>
      <c r="AE40" s="186"/>
      <c r="AF40" s="180">
        <f t="shared" si="35"/>
        <v>0</v>
      </c>
      <c r="AG40" s="180">
        <f t="shared" si="17"/>
        <v>0</v>
      </c>
      <c r="AH40" s="181">
        <f t="shared" si="36"/>
        <v>0</v>
      </c>
      <c r="AI40" s="187"/>
      <c r="AJ40" s="90"/>
      <c r="AK40" s="90"/>
      <c r="AL40" s="183">
        <f t="shared" si="37"/>
        <v>0</v>
      </c>
      <c r="AM40" s="187"/>
      <c r="AN40" s="90"/>
      <c r="AO40" s="90"/>
      <c r="AP40" s="183">
        <f t="shared" si="23"/>
        <v>0</v>
      </c>
      <c r="AQ40" s="187"/>
      <c r="AR40" s="90"/>
      <c r="AS40" s="90"/>
      <c r="AT40" s="183">
        <f t="shared" si="24"/>
        <v>0</v>
      </c>
      <c r="AU40" s="187"/>
      <c r="AV40" s="90"/>
      <c r="AW40" s="90"/>
      <c r="AX40" s="183">
        <f t="shared" si="25"/>
        <v>0</v>
      </c>
      <c r="AY40" s="187"/>
      <c r="AZ40" s="90"/>
      <c r="BA40" s="90"/>
      <c r="BB40" s="183">
        <f t="shared" si="26"/>
        <v>0</v>
      </c>
      <c r="BC40" s="187"/>
      <c r="BD40" s="90"/>
      <c r="BE40" s="90"/>
      <c r="BF40" s="183">
        <f t="shared" si="27"/>
        <v>0</v>
      </c>
      <c r="BG40" s="187"/>
      <c r="BH40" s="90"/>
      <c r="BI40" s="90"/>
      <c r="BJ40" s="183">
        <f t="shared" si="28"/>
        <v>0</v>
      </c>
      <c r="BK40" s="187"/>
      <c r="BL40" s="90"/>
      <c r="BM40" s="90"/>
      <c r="BN40" s="183">
        <f t="shared" si="29"/>
        <v>0</v>
      </c>
      <c r="BO40" s="187"/>
      <c r="BP40" s="90"/>
      <c r="BQ40" s="90"/>
      <c r="BR40" s="183">
        <f t="shared" si="30"/>
        <v>0</v>
      </c>
      <c r="BS40" s="187"/>
      <c r="BT40" s="90"/>
      <c r="BU40" s="90"/>
      <c r="BV40" s="183">
        <f t="shared" si="31"/>
        <v>0</v>
      </c>
      <c r="BW40" s="187"/>
      <c r="BX40" s="90"/>
      <c r="BY40" s="90"/>
      <c r="BZ40" s="183">
        <f t="shared" si="32"/>
        <v>0</v>
      </c>
      <c r="CA40" s="187"/>
      <c r="CB40" s="90"/>
      <c r="CC40" s="90"/>
      <c r="CD40" s="183">
        <f t="shared" si="33"/>
        <v>0</v>
      </c>
    </row>
    <row r="41" spans="2:82" x14ac:dyDescent="0.3">
      <c r="B41" s="54"/>
      <c r="C41" s="54" t="str">
        <f t="shared" si="0"/>
        <v>CPU_Conserva</v>
      </c>
      <c r="D41" s="280">
        <f t="shared" si="1"/>
        <v>1.0640000000000001</v>
      </c>
      <c r="E41" s="280">
        <f t="shared" si="2"/>
        <v>0</v>
      </c>
      <c r="F41" s="1" t="s">
        <v>871</v>
      </c>
      <c r="G41" s="28" t="str">
        <f>IFERROR(VLOOKUP(F41,Tabela7[[RECURSO]:[CUSTO]],2,FALSE),"")</f>
        <v>H</v>
      </c>
      <c r="H41" s="92">
        <f>H14</f>
        <v>4</v>
      </c>
      <c r="I41" s="90">
        <v>10</v>
      </c>
      <c r="J41" s="45">
        <f>IFERROR(VLOOKUP(F41,Tabela7[[RECURSO]:[CUSTO]],3,FALSE),0)</f>
        <v>36.981974693400822</v>
      </c>
      <c r="K41" s="45">
        <f>I41*J41*CPU_2055[[#This Row],[Nº]]</f>
        <v>1479.2789877360328</v>
      </c>
      <c r="AD41" s="144" t="str">
        <f t="shared" si="3"/>
        <v>Conserva</v>
      </c>
      <c r="AE41" s="186"/>
      <c r="AF41" s="180">
        <f t="shared" si="35"/>
        <v>0</v>
      </c>
      <c r="AG41" s="180">
        <f t="shared" si="17"/>
        <v>0</v>
      </c>
      <c r="AH41" s="181">
        <f t="shared" si="36"/>
        <v>0</v>
      </c>
      <c r="AI41" s="187"/>
      <c r="AJ41" s="90"/>
      <c r="AK41" s="90"/>
      <c r="AL41" s="183">
        <f t="shared" si="37"/>
        <v>0</v>
      </c>
      <c r="AM41" s="187"/>
      <c r="AN41" s="90"/>
      <c r="AO41" s="90"/>
      <c r="AP41" s="183">
        <f t="shared" si="23"/>
        <v>0</v>
      </c>
      <c r="AQ41" s="187"/>
      <c r="AR41" s="90"/>
      <c r="AS41" s="90"/>
      <c r="AT41" s="183">
        <f t="shared" si="24"/>
        <v>0</v>
      </c>
      <c r="AU41" s="187"/>
      <c r="AV41" s="90"/>
      <c r="AW41" s="90"/>
      <c r="AX41" s="183">
        <f t="shared" si="25"/>
        <v>0</v>
      </c>
      <c r="AY41" s="187"/>
      <c r="AZ41" s="90"/>
      <c r="BA41" s="90"/>
      <c r="BB41" s="183">
        <f t="shared" si="26"/>
        <v>0</v>
      </c>
      <c r="BC41" s="187"/>
      <c r="BD41" s="90"/>
      <c r="BE41" s="90"/>
      <c r="BF41" s="183">
        <f t="shared" si="27"/>
        <v>0</v>
      </c>
      <c r="BG41" s="187"/>
      <c r="BH41" s="90"/>
      <c r="BI41" s="90"/>
      <c r="BJ41" s="183">
        <f t="shared" si="28"/>
        <v>0</v>
      </c>
      <c r="BK41" s="187"/>
      <c r="BL41" s="90"/>
      <c r="BM41" s="90"/>
      <c r="BN41" s="183">
        <f t="shared" si="29"/>
        <v>0</v>
      </c>
      <c r="BO41" s="187"/>
      <c r="BP41" s="90"/>
      <c r="BQ41" s="90"/>
      <c r="BR41" s="183">
        <f t="shared" si="30"/>
        <v>0</v>
      </c>
      <c r="BS41" s="187"/>
      <c r="BT41" s="90"/>
      <c r="BU41" s="90"/>
      <c r="BV41" s="183">
        <f t="shared" si="31"/>
        <v>0</v>
      </c>
      <c r="BW41" s="187"/>
      <c r="BX41" s="90"/>
      <c r="BY41" s="90"/>
      <c r="BZ41" s="183">
        <f t="shared" si="32"/>
        <v>0</v>
      </c>
      <c r="CA41" s="187"/>
      <c r="CB41" s="90"/>
      <c r="CC41" s="90"/>
      <c r="CD41" s="183">
        <f t="shared" si="33"/>
        <v>0</v>
      </c>
    </row>
    <row r="42" spans="2:82" x14ac:dyDescent="0.3">
      <c r="B42" s="54"/>
      <c r="C42" s="54" t="str">
        <f t="shared" si="0"/>
        <v>CPU_Conserva</v>
      </c>
      <c r="D42" s="280">
        <f t="shared" si="1"/>
        <v>1.0640000000000001</v>
      </c>
      <c r="E42" s="280">
        <f t="shared" si="2"/>
        <v>0</v>
      </c>
      <c r="F42" s="1"/>
      <c r="G42" s="28" t="str">
        <f>IFERROR(VLOOKUP(F42,Tabela7[[RECURSO]:[CUSTO]],2,FALSE),"")</f>
        <v/>
      </c>
      <c r="H42" s="92"/>
      <c r="I42" s="90"/>
      <c r="J42" s="45">
        <f>IFERROR(VLOOKUP(F42,Tabela7[[RECURSO]:[CUSTO]],3,FALSE),0)</f>
        <v>0</v>
      </c>
      <c r="K42" s="45">
        <f>I42*J42*CPU_2055[[#This Row],[Nº]]</f>
        <v>0</v>
      </c>
      <c r="AD42" s="144" t="str">
        <f t="shared" si="3"/>
        <v>Conserva</v>
      </c>
      <c r="AE42" s="186"/>
      <c r="AF42" s="180">
        <f t="shared" si="35"/>
        <v>0</v>
      </c>
      <c r="AG42" s="180">
        <f t="shared" si="17"/>
        <v>0</v>
      </c>
      <c r="AH42" s="181">
        <f t="shared" si="36"/>
        <v>0</v>
      </c>
      <c r="AI42" s="187"/>
      <c r="AJ42" s="90"/>
      <c r="AK42" s="90"/>
      <c r="AL42" s="183">
        <f t="shared" si="37"/>
        <v>0</v>
      </c>
      <c r="AM42" s="187"/>
      <c r="AN42" s="90"/>
      <c r="AO42" s="90"/>
      <c r="AP42" s="183">
        <f t="shared" si="23"/>
        <v>0</v>
      </c>
      <c r="AQ42" s="187"/>
      <c r="AR42" s="90"/>
      <c r="AS42" s="90"/>
      <c r="AT42" s="183">
        <f t="shared" si="24"/>
        <v>0</v>
      </c>
      <c r="AU42" s="187"/>
      <c r="AV42" s="90"/>
      <c r="AW42" s="90"/>
      <c r="AX42" s="183">
        <f t="shared" si="25"/>
        <v>0</v>
      </c>
      <c r="AY42" s="187"/>
      <c r="AZ42" s="90"/>
      <c r="BA42" s="90"/>
      <c r="BB42" s="183">
        <f t="shared" si="26"/>
        <v>0</v>
      </c>
      <c r="BC42" s="187"/>
      <c r="BD42" s="90"/>
      <c r="BE42" s="90"/>
      <c r="BF42" s="183">
        <f t="shared" si="27"/>
        <v>0</v>
      </c>
      <c r="BG42" s="187"/>
      <c r="BH42" s="90"/>
      <c r="BI42" s="90"/>
      <c r="BJ42" s="183">
        <f t="shared" si="28"/>
        <v>0</v>
      </c>
      <c r="BK42" s="187"/>
      <c r="BL42" s="90"/>
      <c r="BM42" s="90"/>
      <c r="BN42" s="183">
        <f t="shared" si="29"/>
        <v>0</v>
      </c>
      <c r="BO42" s="187"/>
      <c r="BP42" s="90"/>
      <c r="BQ42" s="90"/>
      <c r="BR42" s="183">
        <f t="shared" si="30"/>
        <v>0</v>
      </c>
      <c r="BS42" s="187"/>
      <c r="BT42" s="90"/>
      <c r="BU42" s="90"/>
      <c r="BV42" s="183">
        <f t="shared" si="31"/>
        <v>0</v>
      </c>
      <c r="BW42" s="187"/>
      <c r="BX42" s="90"/>
      <c r="BY42" s="90"/>
      <c r="BZ42" s="183">
        <f t="shared" si="32"/>
        <v>0</v>
      </c>
      <c r="CA42" s="187"/>
      <c r="CB42" s="90"/>
      <c r="CC42" s="90"/>
      <c r="CD42" s="183">
        <f t="shared" si="33"/>
        <v>0</v>
      </c>
    </row>
    <row r="43" spans="2:82" x14ac:dyDescent="0.3">
      <c r="B43" s="54"/>
      <c r="C43" s="54" t="str">
        <f t="shared" si="0"/>
        <v>CPU_Conserva</v>
      </c>
      <c r="D43" s="280">
        <f t="shared" si="1"/>
        <v>1.0640000000000001</v>
      </c>
      <c r="E43" s="280">
        <f t="shared" si="2"/>
        <v>0</v>
      </c>
      <c r="F43" s="1"/>
      <c r="G43" s="28" t="str">
        <f>IFERROR(VLOOKUP(F43,Tabela7[[RECURSO]:[CUSTO]],2,FALSE),"")</f>
        <v/>
      </c>
      <c r="H43" s="92"/>
      <c r="I43" s="90"/>
      <c r="J43" s="45">
        <f>IFERROR(VLOOKUP(F43,Tabela7[[RECURSO]:[CUSTO]],3,FALSE),0)</f>
        <v>0</v>
      </c>
      <c r="K43" s="45">
        <f>I43*J43*CPU_2055[[#This Row],[Nº]]</f>
        <v>0</v>
      </c>
      <c r="AD43" s="144" t="str">
        <f t="shared" si="3"/>
        <v>Conserva</v>
      </c>
      <c r="AE43" s="186"/>
      <c r="AF43" s="180">
        <f t="shared" si="35"/>
        <v>0</v>
      </c>
      <c r="AG43" s="180">
        <f t="shared" si="17"/>
        <v>0</v>
      </c>
      <c r="AH43" s="181">
        <f t="shared" si="36"/>
        <v>0</v>
      </c>
      <c r="AI43" s="187"/>
      <c r="AJ43" s="90"/>
      <c r="AK43" s="90"/>
      <c r="AL43" s="183">
        <f t="shared" si="37"/>
        <v>0</v>
      </c>
      <c r="AM43" s="187"/>
      <c r="AN43" s="90"/>
      <c r="AO43" s="90"/>
      <c r="AP43" s="183">
        <f t="shared" si="23"/>
        <v>0</v>
      </c>
      <c r="AQ43" s="187"/>
      <c r="AR43" s="90"/>
      <c r="AS43" s="90"/>
      <c r="AT43" s="183">
        <f t="shared" si="24"/>
        <v>0</v>
      </c>
      <c r="AU43" s="187"/>
      <c r="AV43" s="90"/>
      <c r="AW43" s="90"/>
      <c r="AX43" s="183">
        <f t="shared" si="25"/>
        <v>0</v>
      </c>
      <c r="AY43" s="187"/>
      <c r="AZ43" s="90"/>
      <c r="BA43" s="90"/>
      <c r="BB43" s="183">
        <f t="shared" si="26"/>
        <v>0</v>
      </c>
      <c r="BC43" s="187"/>
      <c r="BD43" s="90"/>
      <c r="BE43" s="90"/>
      <c r="BF43" s="183">
        <f t="shared" si="27"/>
        <v>0</v>
      </c>
      <c r="BG43" s="187"/>
      <c r="BH43" s="90"/>
      <c r="BI43" s="90"/>
      <c r="BJ43" s="183">
        <f t="shared" si="28"/>
        <v>0</v>
      </c>
      <c r="BK43" s="187"/>
      <c r="BL43" s="90"/>
      <c r="BM43" s="90"/>
      <c r="BN43" s="183">
        <f t="shared" si="29"/>
        <v>0</v>
      </c>
      <c r="BO43" s="187"/>
      <c r="BP43" s="90"/>
      <c r="BQ43" s="90"/>
      <c r="BR43" s="183">
        <f t="shared" si="30"/>
        <v>0</v>
      </c>
      <c r="BS43" s="187"/>
      <c r="BT43" s="90"/>
      <c r="BU43" s="90"/>
      <c r="BV43" s="183">
        <f t="shared" si="31"/>
        <v>0</v>
      </c>
      <c r="BW43" s="187"/>
      <c r="BX43" s="90"/>
      <c r="BY43" s="90"/>
      <c r="BZ43" s="183">
        <f t="shared" si="32"/>
        <v>0</v>
      </c>
      <c r="CA43" s="187"/>
      <c r="CB43" s="90"/>
      <c r="CC43" s="90"/>
      <c r="CD43" s="183">
        <f t="shared" si="33"/>
        <v>0</v>
      </c>
    </row>
    <row r="44" spans="2:82" x14ac:dyDescent="0.3">
      <c r="B44" s="54"/>
      <c r="C44" s="54" t="str">
        <f t="shared" si="0"/>
        <v>CPU_Conserva</v>
      </c>
      <c r="D44" s="280">
        <f t="shared" si="1"/>
        <v>1.0640000000000001</v>
      </c>
      <c r="E44" s="280">
        <f t="shared" si="2"/>
        <v>0</v>
      </c>
      <c r="F44" s="1"/>
      <c r="G44" s="28" t="str">
        <f>IFERROR(VLOOKUP(F44,Tabela7[[RECURSO]:[CUSTO]],2,FALSE),"")</f>
        <v/>
      </c>
      <c r="H44" s="92"/>
      <c r="I44" s="90"/>
      <c r="J44" s="45">
        <f>IFERROR(VLOOKUP(F44,Tabela7[[RECURSO]:[CUSTO]],3,FALSE),0)</f>
        <v>0</v>
      </c>
      <c r="K44" s="45">
        <f>I44*J44*CPU_2055[[#This Row],[Nº]]</f>
        <v>0</v>
      </c>
      <c r="AD44" s="144" t="str">
        <f t="shared" si="3"/>
        <v>Conserva</v>
      </c>
      <c r="AE44" s="186"/>
      <c r="AF44" s="180">
        <f t="shared" si="35"/>
        <v>0</v>
      </c>
      <c r="AG44" s="180">
        <f t="shared" si="17"/>
        <v>0</v>
      </c>
      <c r="AH44" s="181">
        <f t="shared" si="36"/>
        <v>0</v>
      </c>
      <c r="AI44" s="187"/>
      <c r="AJ44" s="90"/>
      <c r="AK44" s="90"/>
      <c r="AL44" s="183">
        <f t="shared" si="37"/>
        <v>0</v>
      </c>
      <c r="AM44" s="187"/>
      <c r="AN44" s="90"/>
      <c r="AO44" s="90"/>
      <c r="AP44" s="183">
        <f t="shared" si="23"/>
        <v>0</v>
      </c>
      <c r="AQ44" s="187"/>
      <c r="AR44" s="90"/>
      <c r="AS44" s="90"/>
      <c r="AT44" s="183">
        <f t="shared" si="24"/>
        <v>0</v>
      </c>
      <c r="AU44" s="187"/>
      <c r="AV44" s="90"/>
      <c r="AW44" s="90"/>
      <c r="AX44" s="183">
        <f t="shared" si="25"/>
        <v>0</v>
      </c>
      <c r="AY44" s="187"/>
      <c r="AZ44" s="90"/>
      <c r="BA44" s="90"/>
      <c r="BB44" s="183">
        <f t="shared" si="26"/>
        <v>0</v>
      </c>
      <c r="BC44" s="187"/>
      <c r="BD44" s="90"/>
      <c r="BE44" s="90"/>
      <c r="BF44" s="183">
        <f t="shared" si="27"/>
        <v>0</v>
      </c>
      <c r="BG44" s="187"/>
      <c r="BH44" s="90"/>
      <c r="BI44" s="90"/>
      <c r="BJ44" s="183">
        <f t="shared" si="28"/>
        <v>0</v>
      </c>
      <c r="BK44" s="187"/>
      <c r="BL44" s="90"/>
      <c r="BM44" s="90"/>
      <c r="BN44" s="183">
        <f t="shared" si="29"/>
        <v>0</v>
      </c>
      <c r="BO44" s="187"/>
      <c r="BP44" s="90"/>
      <c r="BQ44" s="90"/>
      <c r="BR44" s="183">
        <f t="shared" si="30"/>
        <v>0</v>
      </c>
      <c r="BS44" s="187"/>
      <c r="BT44" s="90"/>
      <c r="BU44" s="90"/>
      <c r="BV44" s="183">
        <f t="shared" si="31"/>
        <v>0</v>
      </c>
      <c r="BW44" s="187"/>
      <c r="BX44" s="90"/>
      <c r="BY44" s="90"/>
      <c r="BZ44" s="183">
        <f t="shared" si="32"/>
        <v>0</v>
      </c>
      <c r="CA44" s="187"/>
      <c r="CB44" s="90"/>
      <c r="CC44" s="90"/>
      <c r="CD44" s="183">
        <f t="shared" si="33"/>
        <v>0</v>
      </c>
    </row>
    <row r="45" spans="2:82" x14ac:dyDescent="0.3">
      <c r="B45" s="53"/>
      <c r="C45" s="53" t="str">
        <f t="shared" si="0"/>
        <v>CPU_Conserva</v>
      </c>
      <c r="D45" s="278">
        <f t="shared" si="1"/>
        <v>1.0640000000000001</v>
      </c>
      <c r="E45" s="278">
        <f t="shared" si="2"/>
        <v>0</v>
      </c>
      <c r="F45" s="1"/>
      <c r="G45" s="28" t="str">
        <f>IFERROR(VLOOKUP(F45,Tabela7[[RECURSO]:[CUSTO]],2,FALSE),"")</f>
        <v/>
      </c>
      <c r="H45" s="92"/>
      <c r="I45" s="90"/>
      <c r="J45" s="45">
        <f>IFERROR(VLOOKUP(F45,Tabela7[[RECURSO]:[CUSTO]],3,FALSE),0)</f>
        <v>0</v>
      </c>
      <c r="K45" s="45">
        <f>I45*J45*CPU_2055[[#This Row],[Nº]]</f>
        <v>0</v>
      </c>
      <c r="AD45" s="144" t="str">
        <f t="shared" si="3"/>
        <v>Conserva</v>
      </c>
      <c r="AE45" s="188"/>
      <c r="AF45" s="180">
        <f t="shared" si="35"/>
        <v>0</v>
      </c>
      <c r="AG45" s="180">
        <f t="shared" si="17"/>
        <v>0</v>
      </c>
      <c r="AH45" s="181">
        <f t="shared" si="36"/>
        <v>0</v>
      </c>
      <c r="AI45" s="189"/>
      <c r="AJ45" s="90"/>
      <c r="AK45" s="90"/>
      <c r="AL45" s="183">
        <f t="shared" si="37"/>
        <v>0</v>
      </c>
      <c r="AM45" s="189"/>
      <c r="AN45" s="90"/>
      <c r="AO45" s="90"/>
      <c r="AP45" s="183">
        <f t="shared" si="23"/>
        <v>0</v>
      </c>
      <c r="AQ45" s="189"/>
      <c r="AR45" s="90"/>
      <c r="AS45" s="90"/>
      <c r="AT45" s="183">
        <f t="shared" si="24"/>
        <v>0</v>
      </c>
      <c r="AU45" s="189"/>
      <c r="AV45" s="90"/>
      <c r="AW45" s="90"/>
      <c r="AX45" s="183">
        <f t="shared" si="25"/>
        <v>0</v>
      </c>
      <c r="AY45" s="189"/>
      <c r="AZ45" s="90"/>
      <c r="BA45" s="90"/>
      <c r="BB45" s="183">
        <f t="shared" si="26"/>
        <v>0</v>
      </c>
      <c r="BC45" s="189"/>
      <c r="BD45" s="90"/>
      <c r="BE45" s="90"/>
      <c r="BF45" s="183">
        <f t="shared" si="27"/>
        <v>0</v>
      </c>
      <c r="BG45" s="189"/>
      <c r="BH45" s="90"/>
      <c r="BI45" s="90"/>
      <c r="BJ45" s="183">
        <f t="shared" si="28"/>
        <v>0</v>
      </c>
      <c r="BK45" s="189"/>
      <c r="BL45" s="90"/>
      <c r="BM45" s="90"/>
      <c r="BN45" s="183">
        <f t="shared" si="29"/>
        <v>0</v>
      </c>
      <c r="BO45" s="189"/>
      <c r="BP45" s="90"/>
      <c r="BQ45" s="90"/>
      <c r="BR45" s="183">
        <f t="shared" si="30"/>
        <v>0</v>
      </c>
      <c r="BS45" s="189"/>
      <c r="BT45" s="90"/>
      <c r="BU45" s="90"/>
      <c r="BV45" s="183">
        <f t="shared" si="31"/>
        <v>0</v>
      </c>
      <c r="BW45" s="189"/>
      <c r="BX45" s="90"/>
      <c r="BY45" s="90"/>
      <c r="BZ45" s="183">
        <f t="shared" si="32"/>
        <v>0</v>
      </c>
      <c r="CA45" s="189"/>
      <c r="CB45" s="90"/>
      <c r="CC45" s="90"/>
      <c r="CD45" s="183">
        <f t="shared" si="33"/>
        <v>0</v>
      </c>
    </row>
    <row r="46" spans="2:82" x14ac:dyDescent="0.3">
      <c r="B46" s="53"/>
      <c r="C46" s="53" t="str">
        <f t="shared" si="0"/>
        <v>CPU_Conserva</v>
      </c>
      <c r="D46" s="278">
        <f t="shared" si="1"/>
        <v>1.0640000000000001</v>
      </c>
      <c r="E46" s="278">
        <f t="shared" si="2"/>
        <v>0</v>
      </c>
      <c r="F46" s="1"/>
      <c r="G46" s="28" t="str">
        <f>IFERROR(VLOOKUP(F46,Tabela7[[RECURSO]:[CUSTO]],2,FALSE),"")</f>
        <v/>
      </c>
      <c r="H46" s="92"/>
      <c r="I46" s="90"/>
      <c r="J46" s="45">
        <f>IFERROR(VLOOKUP(F46,Tabela7[[RECURSO]:[CUSTO]],3,FALSE),0)</f>
        <v>0</v>
      </c>
      <c r="K46" s="45">
        <f>I46*J46*CPU_2055[[#This Row],[Nº]]</f>
        <v>0</v>
      </c>
      <c r="AD46" s="144" t="str">
        <f t="shared" si="3"/>
        <v>Conserva</v>
      </c>
      <c r="AE46" s="188"/>
      <c r="AF46" s="180">
        <f t="shared" si="35"/>
        <v>0</v>
      </c>
      <c r="AG46" s="180">
        <f t="shared" si="17"/>
        <v>0</v>
      </c>
      <c r="AH46" s="181">
        <f t="shared" si="36"/>
        <v>0</v>
      </c>
      <c r="AI46" s="189"/>
      <c r="AJ46" s="90"/>
      <c r="AK46" s="90"/>
      <c r="AL46" s="183">
        <f t="shared" si="37"/>
        <v>0</v>
      </c>
      <c r="AM46" s="189"/>
      <c r="AN46" s="90"/>
      <c r="AO46" s="90"/>
      <c r="AP46" s="183">
        <f t="shared" si="23"/>
        <v>0</v>
      </c>
      <c r="AQ46" s="189"/>
      <c r="AR46" s="90"/>
      <c r="AS46" s="90"/>
      <c r="AT46" s="183">
        <f t="shared" si="24"/>
        <v>0</v>
      </c>
      <c r="AU46" s="189"/>
      <c r="AV46" s="90"/>
      <c r="AW46" s="90"/>
      <c r="AX46" s="183">
        <f t="shared" si="25"/>
        <v>0</v>
      </c>
      <c r="AY46" s="189"/>
      <c r="AZ46" s="90"/>
      <c r="BA46" s="90"/>
      <c r="BB46" s="183">
        <f t="shared" si="26"/>
        <v>0</v>
      </c>
      <c r="BC46" s="189"/>
      <c r="BD46" s="90"/>
      <c r="BE46" s="90"/>
      <c r="BF46" s="183">
        <f t="shared" si="27"/>
        <v>0</v>
      </c>
      <c r="BG46" s="189"/>
      <c r="BH46" s="90"/>
      <c r="BI46" s="90"/>
      <c r="BJ46" s="183">
        <f t="shared" si="28"/>
        <v>0</v>
      </c>
      <c r="BK46" s="189"/>
      <c r="BL46" s="90"/>
      <c r="BM46" s="90"/>
      <c r="BN46" s="183">
        <f t="shared" si="29"/>
        <v>0</v>
      </c>
      <c r="BO46" s="189"/>
      <c r="BP46" s="90"/>
      <c r="BQ46" s="90"/>
      <c r="BR46" s="183">
        <f t="shared" si="30"/>
        <v>0</v>
      </c>
      <c r="BS46" s="189"/>
      <c r="BT46" s="90"/>
      <c r="BU46" s="90"/>
      <c r="BV46" s="183">
        <f t="shared" si="31"/>
        <v>0</v>
      </c>
      <c r="BW46" s="189"/>
      <c r="BX46" s="90"/>
      <c r="BY46" s="90"/>
      <c r="BZ46" s="183">
        <f t="shared" si="32"/>
        <v>0</v>
      </c>
      <c r="CA46" s="189"/>
      <c r="CB46" s="90"/>
      <c r="CC46" s="90"/>
      <c r="CD46" s="183">
        <f t="shared" si="33"/>
        <v>0</v>
      </c>
    </row>
    <row r="47" spans="2:82" x14ac:dyDescent="0.3">
      <c r="B47" s="53"/>
      <c r="C47" s="53" t="str">
        <f t="shared" si="0"/>
        <v>CPU_Conserva</v>
      </c>
      <c r="D47" s="278">
        <f t="shared" si="1"/>
        <v>1.0640000000000001</v>
      </c>
      <c r="E47" s="278">
        <f t="shared" si="2"/>
        <v>0</v>
      </c>
      <c r="F47" s="1"/>
      <c r="G47" s="28" t="str">
        <f>IFERROR(VLOOKUP(F47,Tabela7[[RECURSO]:[CUSTO]],2,FALSE),"")</f>
        <v/>
      </c>
      <c r="H47" s="92"/>
      <c r="I47" s="90"/>
      <c r="J47" s="45">
        <f>IFERROR(VLOOKUP(F47,Tabela7[[RECURSO]:[CUSTO]],3,FALSE),0)</f>
        <v>0</v>
      </c>
      <c r="K47" s="45">
        <f>I47*J47*CPU_2055[[#This Row],[Nº]]</f>
        <v>0</v>
      </c>
      <c r="AD47" s="144" t="str">
        <f t="shared" si="3"/>
        <v>Conserva</v>
      </c>
      <c r="AE47" s="188"/>
      <c r="AF47" s="180">
        <f t="shared" si="35"/>
        <v>0</v>
      </c>
      <c r="AG47" s="180">
        <f t="shared" si="17"/>
        <v>0</v>
      </c>
      <c r="AH47" s="181">
        <f t="shared" si="36"/>
        <v>0</v>
      </c>
      <c r="AI47" s="189"/>
      <c r="AJ47" s="90"/>
      <c r="AK47" s="90"/>
      <c r="AL47" s="183">
        <f t="shared" si="37"/>
        <v>0</v>
      </c>
      <c r="AM47" s="189"/>
      <c r="AN47" s="90"/>
      <c r="AO47" s="90"/>
      <c r="AP47" s="183">
        <f t="shared" si="23"/>
        <v>0</v>
      </c>
      <c r="AQ47" s="189"/>
      <c r="AR47" s="90"/>
      <c r="AS47" s="90"/>
      <c r="AT47" s="183">
        <f t="shared" si="24"/>
        <v>0</v>
      </c>
      <c r="AU47" s="189"/>
      <c r="AV47" s="90"/>
      <c r="AW47" s="90"/>
      <c r="AX47" s="183">
        <f t="shared" si="25"/>
        <v>0</v>
      </c>
      <c r="AY47" s="189"/>
      <c r="AZ47" s="90"/>
      <c r="BA47" s="90"/>
      <c r="BB47" s="183">
        <f t="shared" si="26"/>
        <v>0</v>
      </c>
      <c r="BC47" s="189"/>
      <c r="BD47" s="90"/>
      <c r="BE47" s="90"/>
      <c r="BF47" s="183">
        <f t="shared" si="27"/>
        <v>0</v>
      </c>
      <c r="BG47" s="189"/>
      <c r="BH47" s="90"/>
      <c r="BI47" s="90"/>
      <c r="BJ47" s="183">
        <f t="shared" si="28"/>
        <v>0</v>
      </c>
      <c r="BK47" s="189"/>
      <c r="BL47" s="90"/>
      <c r="BM47" s="90"/>
      <c r="BN47" s="183">
        <f t="shared" si="29"/>
        <v>0</v>
      </c>
      <c r="BO47" s="189"/>
      <c r="BP47" s="90"/>
      <c r="BQ47" s="90"/>
      <c r="BR47" s="183">
        <f t="shared" si="30"/>
        <v>0</v>
      </c>
      <c r="BS47" s="189"/>
      <c r="BT47" s="90"/>
      <c r="BU47" s="90"/>
      <c r="BV47" s="183">
        <f t="shared" si="31"/>
        <v>0</v>
      </c>
      <c r="BW47" s="189"/>
      <c r="BX47" s="90"/>
      <c r="BY47" s="90"/>
      <c r="BZ47" s="183">
        <f t="shared" si="32"/>
        <v>0</v>
      </c>
      <c r="CA47" s="189"/>
      <c r="CB47" s="90"/>
      <c r="CC47" s="90"/>
      <c r="CD47" s="183">
        <f t="shared" si="33"/>
        <v>0</v>
      </c>
    </row>
    <row r="48" spans="2:82" x14ac:dyDescent="0.3">
      <c r="B48" s="53"/>
      <c r="C48" s="53" t="str">
        <f t="shared" si="0"/>
        <v>CPU_Conserva</v>
      </c>
      <c r="D48" s="278">
        <f t="shared" si="1"/>
        <v>1.0640000000000001</v>
      </c>
      <c r="E48" s="278">
        <f t="shared" si="2"/>
        <v>0</v>
      </c>
      <c r="F48" s="1"/>
      <c r="G48" s="28" t="str">
        <f>IFERROR(VLOOKUP(F48,Tabela7[[RECURSO]:[CUSTO]],2,FALSE),"")</f>
        <v/>
      </c>
      <c r="H48" s="92"/>
      <c r="I48" s="90"/>
      <c r="J48" s="45">
        <f>IFERROR(VLOOKUP(F48,Tabela7[[RECURSO]:[CUSTO]],3,FALSE),0)</f>
        <v>0</v>
      </c>
      <c r="K48" s="45">
        <f>I48*J48*CPU_2055[[#This Row],[Nº]]</f>
        <v>0</v>
      </c>
      <c r="AD48" s="144" t="str">
        <f t="shared" si="3"/>
        <v>Conserva</v>
      </c>
      <c r="AE48" s="188"/>
      <c r="AF48" s="180">
        <f t="shared" si="35"/>
        <v>0</v>
      </c>
      <c r="AG48" s="180">
        <f t="shared" si="17"/>
        <v>0</v>
      </c>
      <c r="AH48" s="181">
        <f t="shared" si="36"/>
        <v>0</v>
      </c>
      <c r="AI48" s="189"/>
      <c r="AJ48" s="90"/>
      <c r="AK48" s="90"/>
      <c r="AL48" s="183">
        <f t="shared" si="37"/>
        <v>0</v>
      </c>
      <c r="AM48" s="189"/>
      <c r="AN48" s="90"/>
      <c r="AO48" s="90"/>
      <c r="AP48" s="183">
        <f t="shared" si="23"/>
        <v>0</v>
      </c>
      <c r="AQ48" s="189"/>
      <c r="AR48" s="90"/>
      <c r="AS48" s="90"/>
      <c r="AT48" s="183">
        <f t="shared" si="24"/>
        <v>0</v>
      </c>
      <c r="AU48" s="189"/>
      <c r="AV48" s="90"/>
      <c r="AW48" s="90"/>
      <c r="AX48" s="183">
        <f t="shared" si="25"/>
        <v>0</v>
      </c>
      <c r="AY48" s="189"/>
      <c r="AZ48" s="90"/>
      <c r="BA48" s="90"/>
      <c r="BB48" s="183">
        <f t="shared" si="26"/>
        <v>0</v>
      </c>
      <c r="BC48" s="189"/>
      <c r="BD48" s="90"/>
      <c r="BE48" s="90"/>
      <c r="BF48" s="183">
        <f t="shared" si="27"/>
        <v>0</v>
      </c>
      <c r="BG48" s="189"/>
      <c r="BH48" s="90"/>
      <c r="BI48" s="90"/>
      <c r="BJ48" s="183">
        <f t="shared" si="28"/>
        <v>0</v>
      </c>
      <c r="BK48" s="189"/>
      <c r="BL48" s="90"/>
      <c r="BM48" s="90"/>
      <c r="BN48" s="183">
        <f t="shared" si="29"/>
        <v>0</v>
      </c>
      <c r="BO48" s="189"/>
      <c r="BP48" s="90"/>
      <c r="BQ48" s="90"/>
      <c r="BR48" s="183">
        <f t="shared" si="30"/>
        <v>0</v>
      </c>
      <c r="BS48" s="189"/>
      <c r="BT48" s="90"/>
      <c r="BU48" s="90"/>
      <c r="BV48" s="183">
        <f t="shared" si="31"/>
        <v>0</v>
      </c>
      <c r="BW48" s="189"/>
      <c r="BX48" s="90"/>
      <c r="BY48" s="90"/>
      <c r="BZ48" s="183">
        <f t="shared" si="32"/>
        <v>0</v>
      </c>
      <c r="CA48" s="189"/>
      <c r="CB48" s="90"/>
      <c r="CC48" s="90"/>
      <c r="CD48" s="183">
        <f t="shared" si="33"/>
        <v>0</v>
      </c>
    </row>
    <row r="49" spans="2:82" ht="15" thickBot="1" x14ac:dyDescent="0.35">
      <c r="B49" s="53"/>
      <c r="C49" s="53" t="str">
        <f t="shared" si="0"/>
        <v>CPU_Conserva</v>
      </c>
      <c r="D49" s="278">
        <f t="shared" si="1"/>
        <v>1.0640000000000001</v>
      </c>
      <c r="E49" s="278">
        <f t="shared" si="2"/>
        <v>0</v>
      </c>
      <c r="F49" s="1"/>
      <c r="G49" s="28" t="str">
        <f>IFERROR(VLOOKUP(F49,Tabela7[[RECURSO]:[CUSTO]],2,FALSE),"")</f>
        <v/>
      </c>
      <c r="H49" s="92"/>
      <c r="I49" s="90"/>
      <c r="J49" s="45">
        <f>IFERROR(VLOOKUP(F49,Tabela7[[RECURSO]:[CUSTO]],3,FALSE),0)</f>
        <v>0</v>
      </c>
      <c r="K49" s="45">
        <f>I49*J49*CPU_2055[[#This Row],[Nº]]</f>
        <v>0</v>
      </c>
      <c r="M49" s="83" t="s">
        <v>701</v>
      </c>
      <c r="N49" s="87" t="s">
        <v>702</v>
      </c>
      <c r="AD49" s="144" t="str">
        <f t="shared" si="3"/>
        <v>Conserva</v>
      </c>
      <c r="AE49" s="188"/>
      <c r="AF49" s="180">
        <f t="shared" si="35"/>
        <v>0</v>
      </c>
      <c r="AG49" s="180">
        <f t="shared" si="17"/>
        <v>0</v>
      </c>
      <c r="AH49" s="181">
        <f t="shared" si="36"/>
        <v>0</v>
      </c>
      <c r="AI49" s="189"/>
      <c r="AJ49" s="90"/>
      <c r="AK49" s="90"/>
      <c r="AL49" s="183">
        <f t="shared" si="37"/>
        <v>0</v>
      </c>
      <c r="AM49" s="189"/>
      <c r="AN49" s="90"/>
      <c r="AO49" s="90"/>
      <c r="AP49" s="183">
        <f t="shared" si="23"/>
        <v>0</v>
      </c>
      <c r="AQ49" s="189"/>
      <c r="AR49" s="90"/>
      <c r="AS49" s="90"/>
      <c r="AT49" s="183">
        <f t="shared" si="24"/>
        <v>0</v>
      </c>
      <c r="AU49" s="189"/>
      <c r="AV49" s="90"/>
      <c r="AW49" s="90"/>
      <c r="AX49" s="183">
        <f t="shared" si="25"/>
        <v>0</v>
      </c>
      <c r="AY49" s="189"/>
      <c r="AZ49" s="90"/>
      <c r="BA49" s="90"/>
      <c r="BB49" s="183">
        <f t="shared" si="26"/>
        <v>0</v>
      </c>
      <c r="BC49" s="189"/>
      <c r="BD49" s="90"/>
      <c r="BE49" s="90"/>
      <c r="BF49" s="183">
        <f t="shared" si="27"/>
        <v>0</v>
      </c>
      <c r="BG49" s="189"/>
      <c r="BH49" s="90"/>
      <c r="BI49" s="90"/>
      <c r="BJ49" s="183">
        <f t="shared" si="28"/>
        <v>0</v>
      </c>
      <c r="BK49" s="189"/>
      <c r="BL49" s="90"/>
      <c r="BM49" s="90"/>
      <c r="BN49" s="183">
        <f t="shared" si="29"/>
        <v>0</v>
      </c>
      <c r="BO49" s="189"/>
      <c r="BP49" s="90"/>
      <c r="BQ49" s="90"/>
      <c r="BR49" s="183">
        <f t="shared" si="30"/>
        <v>0</v>
      </c>
      <c r="BS49" s="189"/>
      <c r="BT49" s="90"/>
      <c r="BU49" s="90"/>
      <c r="BV49" s="183">
        <f t="shared" si="31"/>
        <v>0</v>
      </c>
      <c r="BW49" s="189"/>
      <c r="BX49" s="90"/>
      <c r="BY49" s="90"/>
      <c r="BZ49" s="183">
        <f t="shared" si="32"/>
        <v>0</v>
      </c>
      <c r="CA49" s="189"/>
      <c r="CB49" s="90"/>
      <c r="CC49" s="90"/>
      <c r="CD49" s="183">
        <f t="shared" si="33"/>
        <v>0</v>
      </c>
    </row>
    <row r="50" spans="2:82" x14ac:dyDescent="0.3">
      <c r="B50" s="52" t="s">
        <v>693</v>
      </c>
      <c r="C50" s="52" t="str">
        <f t="shared" si="0"/>
        <v>CPU_Conserva</v>
      </c>
      <c r="D50" s="277">
        <f t="shared" si="1"/>
        <v>1.0640000000000001</v>
      </c>
      <c r="E50" s="277">
        <f t="shared" si="2"/>
        <v>0</v>
      </c>
      <c r="F50" s="37"/>
      <c r="G50" s="38"/>
      <c r="H50" s="38"/>
      <c r="I50" s="37"/>
      <c r="J50" s="40">
        <f>IFERROR(K50/$B$6,0)</f>
        <v>0</v>
      </c>
      <c r="K50" s="40">
        <f>SUM(K51:K62)</f>
        <v>0</v>
      </c>
      <c r="M50" s="84" t="str">
        <f>"Consumo por "&amp;J3</f>
        <v>Consumo por HÁ</v>
      </c>
      <c r="N50" s="89"/>
      <c r="AD50" s="144" t="str">
        <f t="shared" si="3"/>
        <v>Conserva</v>
      </c>
      <c r="AE50" s="190"/>
      <c r="AF50" s="191"/>
      <c r="AG50" s="40">
        <f>IFERROR(AH50/AF$3,0)</f>
        <v>0</v>
      </c>
      <c r="AH50" s="185">
        <f>SUM(AH51:AH62)</f>
        <v>0</v>
      </c>
      <c r="AI50" s="190"/>
      <c r="AJ50" s="37"/>
      <c r="AK50" s="40">
        <f>IFERROR(AL50/AJ$3,0)</f>
        <v>0</v>
      </c>
      <c r="AL50" s="185">
        <f>SUM(AL51:AL62)</f>
        <v>0</v>
      </c>
      <c r="AM50" s="190"/>
      <c r="AN50" s="37"/>
      <c r="AO50" s="40">
        <f>IFERROR(AP50/AN$3,0)</f>
        <v>0</v>
      </c>
      <c r="AP50" s="185">
        <f>SUM(AP51:AP62)</f>
        <v>0</v>
      </c>
      <c r="AQ50" s="190"/>
      <c r="AR50" s="37"/>
      <c r="AS50" s="40">
        <f>IFERROR(AT50/AR$3,0)</f>
        <v>0</v>
      </c>
      <c r="AT50" s="185">
        <f>SUM(AT51:AT62)</f>
        <v>0</v>
      </c>
      <c r="AU50" s="190"/>
      <c r="AV50" s="37"/>
      <c r="AW50" s="40">
        <f>IFERROR(AX50/AV$3,0)</f>
        <v>0</v>
      </c>
      <c r="AX50" s="185">
        <f>SUM(AX51:AX62)</f>
        <v>0</v>
      </c>
      <c r="AY50" s="190"/>
      <c r="AZ50" s="37"/>
      <c r="BA50" s="40">
        <f>IFERROR(BB50/AZ$3,0)</f>
        <v>0</v>
      </c>
      <c r="BB50" s="185">
        <f>SUM(BB51:BB62)</f>
        <v>0</v>
      </c>
      <c r="BC50" s="190"/>
      <c r="BD50" s="37"/>
      <c r="BE50" s="40">
        <f>IFERROR(BF50/BD$3,0)</f>
        <v>0</v>
      </c>
      <c r="BF50" s="185">
        <f>SUM(BF51:BF62)</f>
        <v>0</v>
      </c>
      <c r="BG50" s="190"/>
      <c r="BH50" s="37"/>
      <c r="BI50" s="40">
        <f>IFERROR(BJ50/BH$3,0)</f>
        <v>0</v>
      </c>
      <c r="BJ50" s="185">
        <f>SUM(BJ51:BJ62)</f>
        <v>0</v>
      </c>
      <c r="BK50" s="190"/>
      <c r="BL50" s="37"/>
      <c r="BM50" s="40">
        <f>IFERROR(BN50/BL$3,0)</f>
        <v>0</v>
      </c>
      <c r="BN50" s="185">
        <f>SUM(BN51:BN62)</f>
        <v>0</v>
      </c>
      <c r="BO50" s="190"/>
      <c r="BP50" s="37"/>
      <c r="BQ50" s="40">
        <f>IFERROR(BR50/BP$3,0)</f>
        <v>0</v>
      </c>
      <c r="BR50" s="185">
        <f>SUM(BR51:BR62)</f>
        <v>0</v>
      </c>
      <c r="BS50" s="190"/>
      <c r="BT50" s="37"/>
      <c r="BU50" s="40">
        <f>IFERROR(BV50/BT$3,0)</f>
        <v>0</v>
      </c>
      <c r="BV50" s="185">
        <f>SUM(BV51:BV62)</f>
        <v>0</v>
      </c>
      <c r="BW50" s="190"/>
      <c r="BX50" s="37"/>
      <c r="BY50" s="40">
        <f>IFERROR(BZ50/BX$3,0)</f>
        <v>0</v>
      </c>
      <c r="BZ50" s="185">
        <f>SUM(BZ51:BZ62)</f>
        <v>0</v>
      </c>
      <c r="CA50" s="190"/>
      <c r="CB50" s="37"/>
      <c r="CC50" s="40">
        <f>IFERROR(CD50/CB$3,0)</f>
        <v>0</v>
      </c>
      <c r="CD50" s="185">
        <f>SUM(CD51:CD62)</f>
        <v>0</v>
      </c>
    </row>
    <row r="51" spans="2:82" x14ac:dyDescent="0.3">
      <c r="B51" s="53"/>
      <c r="C51" s="53" t="str">
        <f t="shared" si="0"/>
        <v>CPU_Conserva</v>
      </c>
      <c r="D51" s="278">
        <f t="shared" si="1"/>
        <v>1.0640000000000001</v>
      </c>
      <c r="E51" s="278">
        <f t="shared" si="2"/>
        <v>0</v>
      </c>
      <c r="F51" s="1"/>
      <c r="G51" s="28" t="str">
        <f>IFERROR(VLOOKUP(F51,Tabela7[[RECURSO]:[CUSTO]],2,FALSE),"")</f>
        <v/>
      </c>
      <c r="I51" s="90">
        <f>IFERROR(M51*$B$6,0)</f>
        <v>0</v>
      </c>
      <c r="J51" s="45">
        <f>IFERROR(VLOOKUP(F51,Tabela7[[RECURSO]:[CUSTO]],3,FALSE),0)</f>
        <v>0</v>
      </c>
      <c r="K51" s="45">
        <f>I51*J51</f>
        <v>0</v>
      </c>
      <c r="M51" s="85"/>
      <c r="N51" s="88"/>
      <c r="AD51" s="144" t="str">
        <f t="shared" si="3"/>
        <v>Conserva</v>
      </c>
      <c r="AE51" s="192"/>
      <c r="AF51" s="180">
        <f t="shared" ref="AF51:AF62" si="38">AJ51+AN51+AR51+AV51+AZ51+BD51+BH51+BL51+BP51+BT51+BX51+CB51</f>
        <v>0</v>
      </c>
      <c r="AG51" s="180">
        <f t="shared" si="17"/>
        <v>0</v>
      </c>
      <c r="AH51" s="181">
        <f t="shared" ref="AH51:AH62" si="39">AL51+AP51+AT51+AX51+BB51+BF51+BJ51+BN51+BR51+BV51+BZ51+CD51</f>
        <v>0</v>
      </c>
      <c r="AI51" s="193"/>
      <c r="AJ51" s="90"/>
      <c r="AK51" s="90"/>
      <c r="AL51" s="183">
        <f t="shared" ref="AL51:AL62" si="40">AJ51*AK51</f>
        <v>0</v>
      </c>
      <c r="AM51" s="193"/>
      <c r="AN51" s="90"/>
      <c r="AO51" s="90"/>
      <c r="AP51" s="183">
        <f t="shared" si="23"/>
        <v>0</v>
      </c>
      <c r="AQ51" s="193"/>
      <c r="AR51" s="90"/>
      <c r="AS51" s="90"/>
      <c r="AT51" s="183">
        <f t="shared" si="24"/>
        <v>0</v>
      </c>
      <c r="AU51" s="193"/>
      <c r="AV51" s="90"/>
      <c r="AW51" s="90"/>
      <c r="AX51" s="183">
        <f t="shared" si="25"/>
        <v>0</v>
      </c>
      <c r="AY51" s="193"/>
      <c r="AZ51" s="90"/>
      <c r="BA51" s="90"/>
      <c r="BB51" s="183">
        <f t="shared" si="26"/>
        <v>0</v>
      </c>
      <c r="BC51" s="193"/>
      <c r="BD51" s="90"/>
      <c r="BE51" s="90"/>
      <c r="BF51" s="183">
        <f t="shared" si="27"/>
        <v>0</v>
      </c>
      <c r="BG51" s="193"/>
      <c r="BH51" s="90"/>
      <c r="BI51" s="90"/>
      <c r="BJ51" s="183">
        <f t="shared" si="28"/>
        <v>0</v>
      </c>
      <c r="BK51" s="193"/>
      <c r="BL51" s="90"/>
      <c r="BM51" s="90"/>
      <c r="BN51" s="183">
        <f t="shared" si="29"/>
        <v>0</v>
      </c>
      <c r="BO51" s="193"/>
      <c r="BP51" s="90"/>
      <c r="BQ51" s="90"/>
      <c r="BR51" s="183">
        <f t="shared" si="30"/>
        <v>0</v>
      </c>
      <c r="BS51" s="193"/>
      <c r="BT51" s="90"/>
      <c r="BU51" s="90"/>
      <c r="BV51" s="183">
        <f t="shared" si="31"/>
        <v>0</v>
      </c>
      <c r="BW51" s="193"/>
      <c r="BX51" s="90"/>
      <c r="BY51" s="90"/>
      <c r="BZ51" s="183">
        <f t="shared" si="32"/>
        <v>0</v>
      </c>
      <c r="CA51" s="193"/>
      <c r="CB51" s="90"/>
      <c r="CC51" s="90"/>
      <c r="CD51" s="183">
        <f t="shared" si="33"/>
        <v>0</v>
      </c>
    </row>
    <row r="52" spans="2:82" x14ac:dyDescent="0.3">
      <c r="B52" s="53"/>
      <c r="C52" s="53" t="str">
        <f t="shared" si="0"/>
        <v>CPU_Conserva</v>
      </c>
      <c r="D52" s="278">
        <f t="shared" si="1"/>
        <v>1.0640000000000001</v>
      </c>
      <c r="E52" s="278">
        <f t="shared" si="2"/>
        <v>0</v>
      </c>
      <c r="F52" s="1"/>
      <c r="G52" s="28" t="str">
        <f>IFERROR(VLOOKUP(F52,Tabela7[[RECURSO]:[CUSTO]],2,FALSE),"")</f>
        <v/>
      </c>
      <c r="I52" s="90">
        <f t="shared" ref="I52:I62" si="41">IFERROR(M52*$B$6,0)</f>
        <v>0</v>
      </c>
      <c r="J52" s="45">
        <f>IFERROR(VLOOKUP(F52,Tabela7[[RECURSO]:[CUSTO]],3,FALSE),0)</f>
        <v>0</v>
      </c>
      <c r="K52" s="45">
        <f t="shared" ref="K52:K62" si="42">I52*J52</f>
        <v>0</v>
      </c>
      <c r="M52" s="85"/>
      <c r="N52" s="88"/>
      <c r="AD52" s="144" t="str">
        <f t="shared" si="3"/>
        <v>Conserva</v>
      </c>
      <c r="AE52" s="192"/>
      <c r="AF52" s="180">
        <f t="shared" si="38"/>
        <v>0</v>
      </c>
      <c r="AG52" s="180">
        <f t="shared" si="17"/>
        <v>0</v>
      </c>
      <c r="AH52" s="181">
        <f t="shared" si="39"/>
        <v>0</v>
      </c>
      <c r="AI52" s="193"/>
      <c r="AJ52" s="90"/>
      <c r="AK52" s="90"/>
      <c r="AL52" s="183">
        <f t="shared" si="40"/>
        <v>0</v>
      </c>
      <c r="AM52" s="193"/>
      <c r="AN52" s="90"/>
      <c r="AO52" s="90"/>
      <c r="AP52" s="183">
        <f t="shared" si="23"/>
        <v>0</v>
      </c>
      <c r="AQ52" s="193"/>
      <c r="AR52" s="90"/>
      <c r="AS52" s="90"/>
      <c r="AT52" s="183">
        <f t="shared" si="24"/>
        <v>0</v>
      </c>
      <c r="AU52" s="193"/>
      <c r="AV52" s="90"/>
      <c r="AW52" s="90"/>
      <c r="AX52" s="183">
        <f t="shared" si="25"/>
        <v>0</v>
      </c>
      <c r="AY52" s="193"/>
      <c r="AZ52" s="90"/>
      <c r="BA52" s="90"/>
      <c r="BB52" s="183">
        <f t="shared" si="26"/>
        <v>0</v>
      </c>
      <c r="BC52" s="193"/>
      <c r="BD52" s="90"/>
      <c r="BE52" s="90"/>
      <c r="BF52" s="183">
        <f t="shared" si="27"/>
        <v>0</v>
      </c>
      <c r="BG52" s="193"/>
      <c r="BH52" s="90"/>
      <c r="BI52" s="90"/>
      <c r="BJ52" s="183">
        <f t="shared" si="28"/>
        <v>0</v>
      </c>
      <c r="BK52" s="193"/>
      <c r="BL52" s="90"/>
      <c r="BM52" s="90"/>
      <c r="BN52" s="183">
        <f t="shared" si="29"/>
        <v>0</v>
      </c>
      <c r="BO52" s="193"/>
      <c r="BP52" s="90"/>
      <c r="BQ52" s="90"/>
      <c r="BR52" s="183">
        <f t="shared" si="30"/>
        <v>0</v>
      </c>
      <c r="BS52" s="193"/>
      <c r="BT52" s="90"/>
      <c r="BU52" s="90"/>
      <c r="BV52" s="183">
        <f t="shared" si="31"/>
        <v>0</v>
      </c>
      <c r="BW52" s="193"/>
      <c r="BX52" s="90"/>
      <c r="BY52" s="90"/>
      <c r="BZ52" s="183">
        <f t="shared" si="32"/>
        <v>0</v>
      </c>
      <c r="CA52" s="193"/>
      <c r="CB52" s="90"/>
      <c r="CC52" s="90"/>
      <c r="CD52" s="183">
        <f t="shared" si="33"/>
        <v>0</v>
      </c>
    </row>
    <row r="53" spans="2:82" x14ac:dyDescent="0.3">
      <c r="B53" s="53"/>
      <c r="C53" s="53" t="str">
        <f t="shared" si="0"/>
        <v>CPU_Conserva</v>
      </c>
      <c r="D53" s="278">
        <f t="shared" si="1"/>
        <v>1.0640000000000001</v>
      </c>
      <c r="E53" s="278">
        <f t="shared" si="2"/>
        <v>0</v>
      </c>
      <c r="F53" s="1"/>
      <c r="G53" s="28" t="str">
        <f>IFERROR(VLOOKUP(F53,Tabela7[[RECURSO]:[CUSTO]],2,FALSE),"")</f>
        <v/>
      </c>
      <c r="I53" s="90">
        <f t="shared" si="41"/>
        <v>0</v>
      </c>
      <c r="J53" s="45">
        <f>IFERROR(VLOOKUP(F53,Tabela7[[RECURSO]:[CUSTO]],3,FALSE),0)</f>
        <v>0</v>
      </c>
      <c r="K53" s="45">
        <f t="shared" si="42"/>
        <v>0</v>
      </c>
      <c r="M53" s="85"/>
      <c r="N53" s="88"/>
      <c r="AD53" s="144" t="str">
        <f t="shared" si="3"/>
        <v>Conserva</v>
      </c>
      <c r="AE53" s="192"/>
      <c r="AF53" s="180">
        <f t="shared" si="38"/>
        <v>0</v>
      </c>
      <c r="AG53" s="180">
        <f t="shared" si="17"/>
        <v>0</v>
      </c>
      <c r="AH53" s="181">
        <f t="shared" si="39"/>
        <v>0</v>
      </c>
      <c r="AI53" s="193"/>
      <c r="AJ53" s="90"/>
      <c r="AK53" s="90"/>
      <c r="AL53" s="183">
        <f t="shared" si="40"/>
        <v>0</v>
      </c>
      <c r="AM53" s="193"/>
      <c r="AN53" s="90"/>
      <c r="AO53" s="90"/>
      <c r="AP53" s="183">
        <f t="shared" si="23"/>
        <v>0</v>
      </c>
      <c r="AQ53" s="193"/>
      <c r="AR53" s="90"/>
      <c r="AS53" s="90"/>
      <c r="AT53" s="183">
        <f t="shared" si="24"/>
        <v>0</v>
      </c>
      <c r="AU53" s="193"/>
      <c r="AV53" s="90"/>
      <c r="AW53" s="90"/>
      <c r="AX53" s="183">
        <f t="shared" si="25"/>
        <v>0</v>
      </c>
      <c r="AY53" s="193"/>
      <c r="AZ53" s="90"/>
      <c r="BA53" s="90"/>
      <c r="BB53" s="183">
        <f t="shared" si="26"/>
        <v>0</v>
      </c>
      <c r="BC53" s="193"/>
      <c r="BD53" s="90"/>
      <c r="BE53" s="90"/>
      <c r="BF53" s="183">
        <f t="shared" si="27"/>
        <v>0</v>
      </c>
      <c r="BG53" s="193"/>
      <c r="BH53" s="90"/>
      <c r="BI53" s="90"/>
      <c r="BJ53" s="183">
        <f t="shared" si="28"/>
        <v>0</v>
      </c>
      <c r="BK53" s="193"/>
      <c r="BL53" s="90"/>
      <c r="BM53" s="90"/>
      <c r="BN53" s="183">
        <f t="shared" si="29"/>
        <v>0</v>
      </c>
      <c r="BO53" s="193"/>
      <c r="BP53" s="90"/>
      <c r="BQ53" s="90"/>
      <c r="BR53" s="183">
        <f t="shared" si="30"/>
        <v>0</v>
      </c>
      <c r="BS53" s="193"/>
      <c r="BT53" s="90"/>
      <c r="BU53" s="90"/>
      <c r="BV53" s="183">
        <f t="shared" si="31"/>
        <v>0</v>
      </c>
      <c r="BW53" s="193"/>
      <c r="BX53" s="90"/>
      <c r="BY53" s="90"/>
      <c r="BZ53" s="183">
        <f t="shared" si="32"/>
        <v>0</v>
      </c>
      <c r="CA53" s="193"/>
      <c r="CB53" s="90"/>
      <c r="CC53" s="90"/>
      <c r="CD53" s="183">
        <f t="shared" si="33"/>
        <v>0</v>
      </c>
    </row>
    <row r="54" spans="2:82" x14ac:dyDescent="0.3">
      <c r="B54" s="53"/>
      <c r="C54" s="53" t="str">
        <f t="shared" si="0"/>
        <v>CPU_Conserva</v>
      </c>
      <c r="D54" s="278">
        <f t="shared" si="1"/>
        <v>1.0640000000000001</v>
      </c>
      <c r="E54" s="278">
        <f t="shared" si="2"/>
        <v>0</v>
      </c>
      <c r="F54" s="1"/>
      <c r="G54" s="28" t="str">
        <f>IFERROR(VLOOKUP(F54,Tabela7[[RECURSO]:[CUSTO]],2,FALSE),"")</f>
        <v/>
      </c>
      <c r="I54" s="90">
        <f t="shared" si="41"/>
        <v>0</v>
      </c>
      <c r="J54" s="45">
        <f>IFERROR(VLOOKUP(F54,Tabela7[[RECURSO]:[CUSTO]],3,FALSE),0)</f>
        <v>0</v>
      </c>
      <c r="K54" s="45">
        <f>I54*J54</f>
        <v>0</v>
      </c>
      <c r="M54" s="85"/>
      <c r="N54" s="88"/>
      <c r="AD54" s="144" t="str">
        <f>$B$3</f>
        <v>Conserva</v>
      </c>
      <c r="AE54" s="192"/>
      <c r="AF54" s="180">
        <f t="shared" si="38"/>
        <v>0</v>
      </c>
      <c r="AG54" s="180">
        <f t="shared" si="17"/>
        <v>0</v>
      </c>
      <c r="AH54" s="181">
        <f t="shared" si="39"/>
        <v>0</v>
      </c>
      <c r="AI54" s="193"/>
      <c r="AJ54" s="90"/>
      <c r="AK54" s="90"/>
      <c r="AL54" s="183">
        <f t="shared" si="40"/>
        <v>0</v>
      </c>
      <c r="AM54" s="193"/>
      <c r="AN54" s="90"/>
      <c r="AO54" s="90"/>
      <c r="AP54" s="183">
        <f t="shared" si="23"/>
        <v>0</v>
      </c>
      <c r="AQ54" s="193"/>
      <c r="AR54" s="90"/>
      <c r="AS54" s="90"/>
      <c r="AT54" s="183">
        <f t="shared" si="24"/>
        <v>0</v>
      </c>
      <c r="AU54" s="193"/>
      <c r="AV54" s="90"/>
      <c r="AW54" s="90"/>
      <c r="AX54" s="183">
        <f t="shared" si="25"/>
        <v>0</v>
      </c>
      <c r="AY54" s="193"/>
      <c r="AZ54" s="90"/>
      <c r="BA54" s="90"/>
      <c r="BB54" s="183">
        <f t="shared" si="26"/>
        <v>0</v>
      </c>
      <c r="BC54" s="193"/>
      <c r="BD54" s="90"/>
      <c r="BE54" s="90"/>
      <c r="BF54" s="183">
        <f t="shared" si="27"/>
        <v>0</v>
      </c>
      <c r="BG54" s="193"/>
      <c r="BH54" s="90"/>
      <c r="BI54" s="90"/>
      <c r="BJ54" s="183">
        <f t="shared" si="28"/>
        <v>0</v>
      </c>
      <c r="BK54" s="193"/>
      <c r="BL54" s="90"/>
      <c r="BM54" s="90"/>
      <c r="BN54" s="183">
        <f t="shared" si="29"/>
        <v>0</v>
      </c>
      <c r="BO54" s="193"/>
      <c r="BP54" s="90"/>
      <c r="BQ54" s="90"/>
      <c r="BR54" s="183">
        <f t="shared" si="30"/>
        <v>0</v>
      </c>
      <c r="BS54" s="193"/>
      <c r="BT54" s="90"/>
      <c r="BU54" s="90"/>
      <c r="BV54" s="183">
        <f t="shared" si="31"/>
        <v>0</v>
      </c>
      <c r="BW54" s="193"/>
      <c r="BX54" s="90"/>
      <c r="BY54" s="90"/>
      <c r="BZ54" s="183">
        <f t="shared" si="32"/>
        <v>0</v>
      </c>
      <c r="CA54" s="193"/>
      <c r="CB54" s="90"/>
      <c r="CC54" s="90"/>
      <c r="CD54" s="183">
        <f t="shared" si="33"/>
        <v>0</v>
      </c>
    </row>
    <row r="55" spans="2:82" x14ac:dyDescent="0.3">
      <c r="B55" s="53"/>
      <c r="C55" s="53" t="str">
        <f t="shared" si="0"/>
        <v>CPU_Conserva</v>
      </c>
      <c r="D55" s="278">
        <f t="shared" si="1"/>
        <v>1.0640000000000001</v>
      </c>
      <c r="E55" s="278">
        <f t="shared" si="2"/>
        <v>0</v>
      </c>
      <c r="F55" s="1"/>
      <c r="G55" s="28" t="str">
        <f>IFERROR(VLOOKUP(F55,Tabela7[[RECURSO]:[CUSTO]],2,FALSE),"")</f>
        <v/>
      </c>
      <c r="I55" s="90">
        <f t="shared" si="41"/>
        <v>0</v>
      </c>
      <c r="J55" s="45">
        <f>IFERROR(VLOOKUP(F55,Tabela7[[RECURSO]:[CUSTO]],3,FALSE),0)</f>
        <v>0</v>
      </c>
      <c r="K55" s="45">
        <f t="shared" si="42"/>
        <v>0</v>
      </c>
      <c r="M55" s="85"/>
      <c r="N55" s="88"/>
      <c r="AD55" s="144" t="str">
        <f t="shared" si="3"/>
        <v>Conserva</v>
      </c>
      <c r="AE55" s="192"/>
      <c r="AF55" s="180">
        <f t="shared" si="38"/>
        <v>0</v>
      </c>
      <c r="AG55" s="180">
        <f t="shared" si="17"/>
        <v>0</v>
      </c>
      <c r="AH55" s="181">
        <f t="shared" si="39"/>
        <v>0</v>
      </c>
      <c r="AI55" s="193"/>
      <c r="AJ55" s="90"/>
      <c r="AK55" s="90"/>
      <c r="AL55" s="183">
        <f t="shared" si="40"/>
        <v>0</v>
      </c>
      <c r="AM55" s="193"/>
      <c r="AN55" s="90"/>
      <c r="AO55" s="90"/>
      <c r="AP55" s="183">
        <f t="shared" si="23"/>
        <v>0</v>
      </c>
      <c r="AQ55" s="193"/>
      <c r="AR55" s="90"/>
      <c r="AS55" s="90"/>
      <c r="AT55" s="183">
        <f t="shared" si="24"/>
        <v>0</v>
      </c>
      <c r="AU55" s="193"/>
      <c r="AV55" s="90"/>
      <c r="AW55" s="90"/>
      <c r="AX55" s="183">
        <f t="shared" si="25"/>
        <v>0</v>
      </c>
      <c r="AY55" s="193"/>
      <c r="AZ55" s="90"/>
      <c r="BA55" s="90"/>
      <c r="BB55" s="183">
        <f t="shared" si="26"/>
        <v>0</v>
      </c>
      <c r="BC55" s="193"/>
      <c r="BD55" s="90"/>
      <c r="BE55" s="90"/>
      <c r="BF55" s="183">
        <f t="shared" si="27"/>
        <v>0</v>
      </c>
      <c r="BG55" s="193"/>
      <c r="BH55" s="90"/>
      <c r="BI55" s="90"/>
      <c r="BJ55" s="183">
        <f t="shared" si="28"/>
        <v>0</v>
      </c>
      <c r="BK55" s="193"/>
      <c r="BL55" s="90"/>
      <c r="BM55" s="90"/>
      <c r="BN55" s="183">
        <f t="shared" si="29"/>
        <v>0</v>
      </c>
      <c r="BO55" s="193"/>
      <c r="BP55" s="90"/>
      <c r="BQ55" s="90"/>
      <c r="BR55" s="183">
        <f t="shared" si="30"/>
        <v>0</v>
      </c>
      <c r="BS55" s="193"/>
      <c r="BT55" s="90"/>
      <c r="BU55" s="90"/>
      <c r="BV55" s="183">
        <f t="shared" si="31"/>
        <v>0</v>
      </c>
      <c r="BW55" s="193"/>
      <c r="BX55" s="90"/>
      <c r="BY55" s="90"/>
      <c r="BZ55" s="183">
        <f t="shared" si="32"/>
        <v>0</v>
      </c>
      <c r="CA55" s="193"/>
      <c r="CB55" s="90"/>
      <c r="CC55" s="90"/>
      <c r="CD55" s="183">
        <f t="shared" si="33"/>
        <v>0</v>
      </c>
    </row>
    <row r="56" spans="2:82" x14ac:dyDescent="0.3">
      <c r="B56" s="53"/>
      <c r="C56" s="53" t="str">
        <f t="shared" si="0"/>
        <v>CPU_Conserva</v>
      </c>
      <c r="D56" s="278">
        <f t="shared" si="1"/>
        <v>1.0640000000000001</v>
      </c>
      <c r="E56" s="278">
        <f t="shared" si="2"/>
        <v>0</v>
      </c>
      <c r="F56" s="1"/>
      <c r="G56" s="28" t="str">
        <f>IFERROR(VLOOKUP(F56,Tabela7[[RECURSO]:[CUSTO]],2,FALSE),"")</f>
        <v/>
      </c>
      <c r="I56" s="90">
        <f t="shared" si="41"/>
        <v>0</v>
      </c>
      <c r="J56" s="45">
        <f>IFERROR(VLOOKUP(F56,Tabela7[[RECURSO]:[CUSTO]],3,FALSE),0)</f>
        <v>0</v>
      </c>
      <c r="K56" s="45">
        <f t="shared" si="42"/>
        <v>0</v>
      </c>
      <c r="M56" s="85"/>
      <c r="N56" s="88"/>
      <c r="AD56" s="144" t="str">
        <f t="shared" si="3"/>
        <v>Conserva</v>
      </c>
      <c r="AE56" s="192"/>
      <c r="AF56" s="180">
        <f t="shared" si="38"/>
        <v>0</v>
      </c>
      <c r="AG56" s="180">
        <f t="shared" si="17"/>
        <v>0</v>
      </c>
      <c r="AH56" s="181">
        <f t="shared" si="39"/>
        <v>0</v>
      </c>
      <c r="AI56" s="193"/>
      <c r="AJ56" s="90"/>
      <c r="AK56" s="90"/>
      <c r="AL56" s="183">
        <f t="shared" si="40"/>
        <v>0</v>
      </c>
      <c r="AM56" s="193"/>
      <c r="AN56" s="90"/>
      <c r="AO56" s="90"/>
      <c r="AP56" s="183">
        <f t="shared" si="23"/>
        <v>0</v>
      </c>
      <c r="AQ56" s="193"/>
      <c r="AR56" s="90"/>
      <c r="AS56" s="90"/>
      <c r="AT56" s="183">
        <f t="shared" si="24"/>
        <v>0</v>
      </c>
      <c r="AU56" s="193"/>
      <c r="AV56" s="90"/>
      <c r="AW56" s="90"/>
      <c r="AX56" s="183">
        <f t="shared" si="25"/>
        <v>0</v>
      </c>
      <c r="AY56" s="193"/>
      <c r="AZ56" s="90"/>
      <c r="BA56" s="90"/>
      <c r="BB56" s="183">
        <f t="shared" si="26"/>
        <v>0</v>
      </c>
      <c r="BC56" s="193"/>
      <c r="BD56" s="90"/>
      <c r="BE56" s="90"/>
      <c r="BF56" s="183">
        <f t="shared" si="27"/>
        <v>0</v>
      </c>
      <c r="BG56" s="193"/>
      <c r="BH56" s="90"/>
      <c r="BI56" s="90"/>
      <c r="BJ56" s="183">
        <f t="shared" si="28"/>
        <v>0</v>
      </c>
      <c r="BK56" s="193"/>
      <c r="BL56" s="90"/>
      <c r="BM56" s="90"/>
      <c r="BN56" s="183">
        <f t="shared" si="29"/>
        <v>0</v>
      </c>
      <c r="BO56" s="193"/>
      <c r="BP56" s="90"/>
      <c r="BQ56" s="90"/>
      <c r="BR56" s="183">
        <f t="shared" si="30"/>
        <v>0</v>
      </c>
      <c r="BS56" s="193"/>
      <c r="BT56" s="90"/>
      <c r="BU56" s="90"/>
      <c r="BV56" s="183">
        <f t="shared" si="31"/>
        <v>0</v>
      </c>
      <c r="BW56" s="193"/>
      <c r="BX56" s="90"/>
      <c r="BY56" s="90"/>
      <c r="BZ56" s="183">
        <f t="shared" si="32"/>
        <v>0</v>
      </c>
      <c r="CA56" s="193"/>
      <c r="CB56" s="90"/>
      <c r="CC56" s="90"/>
      <c r="CD56" s="183">
        <f t="shared" si="33"/>
        <v>0</v>
      </c>
    </row>
    <row r="57" spans="2:82" x14ac:dyDescent="0.3">
      <c r="B57" s="53"/>
      <c r="C57" s="53" t="str">
        <f t="shared" si="0"/>
        <v>CPU_Conserva</v>
      </c>
      <c r="D57" s="278">
        <f t="shared" si="1"/>
        <v>1.0640000000000001</v>
      </c>
      <c r="E57" s="278">
        <f t="shared" si="2"/>
        <v>0</v>
      </c>
      <c r="F57" s="1"/>
      <c r="G57" s="28" t="str">
        <f>IFERROR(VLOOKUP(F57,Tabela7[[RECURSO]:[CUSTO]],2,FALSE),"")</f>
        <v/>
      </c>
      <c r="I57" s="90">
        <f t="shared" si="41"/>
        <v>0</v>
      </c>
      <c r="J57" s="45">
        <f>IFERROR(VLOOKUP(F57,Tabela7[[RECURSO]:[CUSTO]],3,FALSE),0)</f>
        <v>0</v>
      </c>
      <c r="K57" s="45">
        <f t="shared" si="42"/>
        <v>0</v>
      </c>
      <c r="M57" s="85"/>
      <c r="N57" s="88"/>
      <c r="AD57" s="144" t="str">
        <f t="shared" si="3"/>
        <v>Conserva</v>
      </c>
      <c r="AE57" s="192"/>
      <c r="AF57" s="180">
        <f t="shared" si="38"/>
        <v>0</v>
      </c>
      <c r="AG57" s="180">
        <f t="shared" si="17"/>
        <v>0</v>
      </c>
      <c r="AH57" s="181">
        <f t="shared" si="39"/>
        <v>0</v>
      </c>
      <c r="AI57" s="193"/>
      <c r="AJ57" s="90"/>
      <c r="AK57" s="90"/>
      <c r="AL57" s="183">
        <f t="shared" si="40"/>
        <v>0</v>
      </c>
      <c r="AM57" s="193"/>
      <c r="AN57" s="90"/>
      <c r="AO57" s="90"/>
      <c r="AP57" s="183">
        <f t="shared" si="23"/>
        <v>0</v>
      </c>
      <c r="AQ57" s="193"/>
      <c r="AR57" s="90"/>
      <c r="AS57" s="90"/>
      <c r="AT57" s="183">
        <f t="shared" si="24"/>
        <v>0</v>
      </c>
      <c r="AU57" s="193"/>
      <c r="AV57" s="90"/>
      <c r="AW57" s="90"/>
      <c r="AX57" s="183">
        <f t="shared" si="25"/>
        <v>0</v>
      </c>
      <c r="AY57" s="193"/>
      <c r="AZ57" s="90"/>
      <c r="BA57" s="90"/>
      <c r="BB57" s="183">
        <f t="shared" si="26"/>
        <v>0</v>
      </c>
      <c r="BC57" s="193"/>
      <c r="BD57" s="90"/>
      <c r="BE57" s="90"/>
      <c r="BF57" s="183">
        <f t="shared" si="27"/>
        <v>0</v>
      </c>
      <c r="BG57" s="193"/>
      <c r="BH57" s="90"/>
      <c r="BI57" s="90"/>
      <c r="BJ57" s="183">
        <f t="shared" si="28"/>
        <v>0</v>
      </c>
      <c r="BK57" s="193"/>
      <c r="BL57" s="90"/>
      <c r="BM57" s="90"/>
      <c r="BN57" s="183">
        <f t="shared" si="29"/>
        <v>0</v>
      </c>
      <c r="BO57" s="193"/>
      <c r="BP57" s="90"/>
      <c r="BQ57" s="90"/>
      <c r="BR57" s="183">
        <f t="shared" si="30"/>
        <v>0</v>
      </c>
      <c r="BS57" s="193"/>
      <c r="BT57" s="90"/>
      <c r="BU57" s="90"/>
      <c r="BV57" s="183">
        <f t="shared" si="31"/>
        <v>0</v>
      </c>
      <c r="BW57" s="193"/>
      <c r="BX57" s="90"/>
      <c r="BY57" s="90"/>
      <c r="BZ57" s="183">
        <f t="shared" si="32"/>
        <v>0</v>
      </c>
      <c r="CA57" s="193"/>
      <c r="CB57" s="90"/>
      <c r="CC57" s="90"/>
      <c r="CD57" s="183">
        <f t="shared" si="33"/>
        <v>0</v>
      </c>
    </row>
    <row r="58" spans="2:82" x14ac:dyDescent="0.3">
      <c r="B58" s="53"/>
      <c r="C58" s="53" t="str">
        <f t="shared" si="0"/>
        <v>CPU_Conserva</v>
      </c>
      <c r="D58" s="278">
        <f t="shared" si="1"/>
        <v>1.0640000000000001</v>
      </c>
      <c r="E58" s="278">
        <f t="shared" si="2"/>
        <v>0</v>
      </c>
      <c r="F58" s="1"/>
      <c r="G58" s="28" t="str">
        <f>IFERROR(VLOOKUP(F58,Tabela7[[RECURSO]:[CUSTO]],2,FALSE),"")</f>
        <v/>
      </c>
      <c r="I58" s="90">
        <f t="shared" si="41"/>
        <v>0</v>
      </c>
      <c r="J58" s="45">
        <f>IFERROR(VLOOKUP(F58,Tabela7[[RECURSO]:[CUSTO]],3,FALSE),0)</f>
        <v>0</v>
      </c>
      <c r="K58" s="45">
        <f t="shared" si="42"/>
        <v>0</v>
      </c>
      <c r="M58" s="85"/>
      <c r="N58" s="88"/>
      <c r="AD58" s="144" t="str">
        <f t="shared" si="3"/>
        <v>Conserva</v>
      </c>
      <c r="AE58" s="192"/>
      <c r="AF58" s="180">
        <f t="shared" si="38"/>
        <v>0</v>
      </c>
      <c r="AG58" s="180">
        <f t="shared" si="17"/>
        <v>0</v>
      </c>
      <c r="AH58" s="181">
        <f t="shared" si="39"/>
        <v>0</v>
      </c>
      <c r="AI58" s="193"/>
      <c r="AJ58" s="90"/>
      <c r="AK58" s="90"/>
      <c r="AL58" s="183">
        <f t="shared" si="40"/>
        <v>0</v>
      </c>
      <c r="AM58" s="193"/>
      <c r="AN58" s="90"/>
      <c r="AO58" s="90"/>
      <c r="AP58" s="183">
        <f t="shared" si="23"/>
        <v>0</v>
      </c>
      <c r="AQ58" s="193"/>
      <c r="AR58" s="90"/>
      <c r="AS58" s="90"/>
      <c r="AT58" s="183">
        <f t="shared" si="24"/>
        <v>0</v>
      </c>
      <c r="AU58" s="193"/>
      <c r="AV58" s="90"/>
      <c r="AW58" s="90"/>
      <c r="AX58" s="183">
        <f t="shared" si="25"/>
        <v>0</v>
      </c>
      <c r="AY58" s="193"/>
      <c r="AZ58" s="90"/>
      <c r="BA58" s="90"/>
      <c r="BB58" s="183">
        <f t="shared" si="26"/>
        <v>0</v>
      </c>
      <c r="BC58" s="193"/>
      <c r="BD58" s="90"/>
      <c r="BE58" s="90"/>
      <c r="BF58" s="183">
        <f t="shared" si="27"/>
        <v>0</v>
      </c>
      <c r="BG58" s="193"/>
      <c r="BH58" s="90"/>
      <c r="BI58" s="90"/>
      <c r="BJ58" s="183">
        <f t="shared" si="28"/>
        <v>0</v>
      </c>
      <c r="BK58" s="193"/>
      <c r="BL58" s="90"/>
      <c r="BM58" s="90"/>
      <c r="BN58" s="183">
        <f t="shared" si="29"/>
        <v>0</v>
      </c>
      <c r="BO58" s="193"/>
      <c r="BP58" s="90"/>
      <c r="BQ58" s="90"/>
      <c r="BR58" s="183">
        <f t="shared" si="30"/>
        <v>0</v>
      </c>
      <c r="BS58" s="193"/>
      <c r="BT58" s="90"/>
      <c r="BU58" s="90"/>
      <c r="BV58" s="183">
        <f t="shared" si="31"/>
        <v>0</v>
      </c>
      <c r="BW58" s="193"/>
      <c r="BX58" s="90"/>
      <c r="BY58" s="90"/>
      <c r="BZ58" s="183">
        <f t="shared" si="32"/>
        <v>0</v>
      </c>
      <c r="CA58" s="193"/>
      <c r="CB58" s="90"/>
      <c r="CC58" s="90"/>
      <c r="CD58" s="183">
        <f t="shared" si="33"/>
        <v>0</v>
      </c>
    </row>
    <row r="59" spans="2:82" x14ac:dyDescent="0.3">
      <c r="B59" s="53"/>
      <c r="C59" s="53" t="str">
        <f t="shared" si="0"/>
        <v>CPU_Conserva</v>
      </c>
      <c r="D59" s="278">
        <f t="shared" si="1"/>
        <v>1.0640000000000001</v>
      </c>
      <c r="E59" s="278">
        <f t="shared" si="2"/>
        <v>0</v>
      </c>
      <c r="F59" s="1"/>
      <c r="G59" s="28" t="str">
        <f>IFERROR(VLOOKUP(F59,Tabela7[[RECURSO]:[CUSTO]],2,FALSE),"")</f>
        <v/>
      </c>
      <c r="I59" s="90">
        <f t="shared" si="41"/>
        <v>0</v>
      </c>
      <c r="J59" s="45">
        <f>IFERROR(VLOOKUP(F59,Tabela7[[RECURSO]:[CUSTO]],3,FALSE),0)</f>
        <v>0</v>
      </c>
      <c r="K59" s="45">
        <f t="shared" si="42"/>
        <v>0</v>
      </c>
      <c r="M59" s="85"/>
      <c r="N59" s="88"/>
      <c r="AD59" s="144" t="str">
        <f t="shared" si="3"/>
        <v>Conserva</v>
      </c>
      <c r="AE59" s="192"/>
      <c r="AF59" s="180">
        <f t="shared" si="38"/>
        <v>0</v>
      </c>
      <c r="AG59" s="180">
        <f t="shared" si="17"/>
        <v>0</v>
      </c>
      <c r="AH59" s="181">
        <f t="shared" si="39"/>
        <v>0</v>
      </c>
      <c r="AI59" s="193"/>
      <c r="AJ59" s="90"/>
      <c r="AK59" s="90"/>
      <c r="AL59" s="183">
        <f t="shared" si="40"/>
        <v>0</v>
      </c>
      <c r="AM59" s="193"/>
      <c r="AN59" s="90"/>
      <c r="AO59" s="90"/>
      <c r="AP59" s="183">
        <f t="shared" si="23"/>
        <v>0</v>
      </c>
      <c r="AQ59" s="193"/>
      <c r="AR59" s="90"/>
      <c r="AS59" s="90"/>
      <c r="AT59" s="183">
        <f t="shared" si="24"/>
        <v>0</v>
      </c>
      <c r="AU59" s="193"/>
      <c r="AV59" s="90"/>
      <c r="AW59" s="90"/>
      <c r="AX59" s="183">
        <f t="shared" si="25"/>
        <v>0</v>
      </c>
      <c r="AY59" s="193"/>
      <c r="AZ59" s="90"/>
      <c r="BA59" s="90"/>
      <c r="BB59" s="183">
        <f t="shared" si="26"/>
        <v>0</v>
      </c>
      <c r="BC59" s="193"/>
      <c r="BD59" s="90"/>
      <c r="BE59" s="90"/>
      <c r="BF59" s="183">
        <f t="shared" si="27"/>
        <v>0</v>
      </c>
      <c r="BG59" s="193"/>
      <c r="BH59" s="90"/>
      <c r="BI59" s="90"/>
      <c r="BJ59" s="183">
        <f t="shared" si="28"/>
        <v>0</v>
      </c>
      <c r="BK59" s="193"/>
      <c r="BL59" s="90"/>
      <c r="BM59" s="90"/>
      <c r="BN59" s="183">
        <f t="shared" si="29"/>
        <v>0</v>
      </c>
      <c r="BO59" s="193"/>
      <c r="BP59" s="90"/>
      <c r="BQ59" s="90"/>
      <c r="BR59" s="183">
        <f t="shared" si="30"/>
        <v>0</v>
      </c>
      <c r="BS59" s="193"/>
      <c r="BT59" s="90"/>
      <c r="BU59" s="90"/>
      <c r="BV59" s="183">
        <f t="shared" si="31"/>
        <v>0</v>
      </c>
      <c r="BW59" s="193"/>
      <c r="BX59" s="90"/>
      <c r="BY59" s="90"/>
      <c r="BZ59" s="183">
        <f t="shared" si="32"/>
        <v>0</v>
      </c>
      <c r="CA59" s="193"/>
      <c r="CB59" s="90"/>
      <c r="CC59" s="90"/>
      <c r="CD59" s="183">
        <f t="shared" si="33"/>
        <v>0</v>
      </c>
    </row>
    <row r="60" spans="2:82" x14ac:dyDescent="0.3">
      <c r="B60" s="53"/>
      <c r="C60" s="53" t="str">
        <f t="shared" si="0"/>
        <v>CPU_Conserva</v>
      </c>
      <c r="D60" s="278">
        <f t="shared" si="1"/>
        <v>1.0640000000000001</v>
      </c>
      <c r="E60" s="278">
        <f t="shared" si="2"/>
        <v>0</v>
      </c>
      <c r="F60" s="1"/>
      <c r="G60" s="28" t="str">
        <f>IFERROR(VLOOKUP(F60,Tabela7[[RECURSO]:[CUSTO]],2,FALSE),"")</f>
        <v/>
      </c>
      <c r="I60" s="90">
        <f t="shared" si="41"/>
        <v>0</v>
      </c>
      <c r="J60" s="45">
        <f>IFERROR(VLOOKUP(F60,Tabela7[[RECURSO]:[CUSTO]],3,FALSE),0)</f>
        <v>0</v>
      </c>
      <c r="K60" s="45">
        <f t="shared" si="42"/>
        <v>0</v>
      </c>
      <c r="M60" s="85"/>
      <c r="N60" s="88"/>
      <c r="AD60" s="144" t="str">
        <f t="shared" si="3"/>
        <v>Conserva</v>
      </c>
      <c r="AE60" s="192"/>
      <c r="AF60" s="180">
        <f t="shared" si="38"/>
        <v>0</v>
      </c>
      <c r="AG60" s="180">
        <f t="shared" si="17"/>
        <v>0</v>
      </c>
      <c r="AH60" s="181">
        <f t="shared" si="39"/>
        <v>0</v>
      </c>
      <c r="AI60" s="193"/>
      <c r="AJ60" s="90"/>
      <c r="AK60" s="90"/>
      <c r="AL60" s="183">
        <f t="shared" si="40"/>
        <v>0</v>
      </c>
      <c r="AM60" s="193"/>
      <c r="AN60" s="90"/>
      <c r="AO60" s="90"/>
      <c r="AP60" s="183">
        <f t="shared" si="23"/>
        <v>0</v>
      </c>
      <c r="AQ60" s="193"/>
      <c r="AR60" s="90"/>
      <c r="AS60" s="90"/>
      <c r="AT60" s="183">
        <f t="shared" si="24"/>
        <v>0</v>
      </c>
      <c r="AU60" s="193"/>
      <c r="AV60" s="90"/>
      <c r="AW60" s="90"/>
      <c r="AX60" s="183">
        <f t="shared" si="25"/>
        <v>0</v>
      </c>
      <c r="AY60" s="193"/>
      <c r="AZ60" s="90"/>
      <c r="BA60" s="90"/>
      <c r="BB60" s="183">
        <f t="shared" si="26"/>
        <v>0</v>
      </c>
      <c r="BC60" s="193"/>
      <c r="BD60" s="90"/>
      <c r="BE60" s="90"/>
      <c r="BF60" s="183">
        <f t="shared" si="27"/>
        <v>0</v>
      </c>
      <c r="BG60" s="193"/>
      <c r="BH60" s="90"/>
      <c r="BI60" s="90"/>
      <c r="BJ60" s="183">
        <f t="shared" si="28"/>
        <v>0</v>
      </c>
      <c r="BK60" s="193"/>
      <c r="BL60" s="90"/>
      <c r="BM60" s="90"/>
      <c r="BN60" s="183">
        <f t="shared" si="29"/>
        <v>0</v>
      </c>
      <c r="BO60" s="193"/>
      <c r="BP60" s="90"/>
      <c r="BQ60" s="90"/>
      <c r="BR60" s="183">
        <f t="shared" si="30"/>
        <v>0</v>
      </c>
      <c r="BS60" s="193"/>
      <c r="BT60" s="90"/>
      <c r="BU60" s="90"/>
      <c r="BV60" s="183">
        <f t="shared" si="31"/>
        <v>0</v>
      </c>
      <c r="BW60" s="193"/>
      <c r="BX60" s="90"/>
      <c r="BY60" s="90"/>
      <c r="BZ60" s="183">
        <f t="shared" si="32"/>
        <v>0</v>
      </c>
      <c r="CA60" s="193"/>
      <c r="CB60" s="90"/>
      <c r="CC60" s="90"/>
      <c r="CD60" s="183">
        <f t="shared" si="33"/>
        <v>0</v>
      </c>
    </row>
    <row r="61" spans="2:82" x14ac:dyDescent="0.3">
      <c r="B61" s="53"/>
      <c r="C61" s="53" t="str">
        <f t="shared" si="0"/>
        <v>CPU_Conserva</v>
      </c>
      <c r="D61" s="278">
        <f t="shared" si="1"/>
        <v>1.0640000000000001</v>
      </c>
      <c r="E61" s="278">
        <f t="shared" si="2"/>
        <v>0</v>
      </c>
      <c r="F61" s="1"/>
      <c r="G61" s="28" t="str">
        <f>IFERROR(VLOOKUP(F61,Tabela7[[RECURSO]:[CUSTO]],2,FALSE),"")</f>
        <v/>
      </c>
      <c r="I61" s="90">
        <f t="shared" si="41"/>
        <v>0</v>
      </c>
      <c r="J61" s="45">
        <f>IFERROR(VLOOKUP(F61,Tabela7[[RECURSO]:[CUSTO]],3,FALSE),0)</f>
        <v>0</v>
      </c>
      <c r="K61" s="45">
        <f t="shared" si="42"/>
        <v>0</v>
      </c>
      <c r="M61" s="85"/>
      <c r="N61" s="88"/>
      <c r="AD61" s="144" t="str">
        <f t="shared" si="3"/>
        <v>Conserva</v>
      </c>
      <c r="AE61" s="192"/>
      <c r="AF61" s="180">
        <f t="shared" si="38"/>
        <v>0</v>
      </c>
      <c r="AG61" s="180">
        <f t="shared" si="17"/>
        <v>0</v>
      </c>
      <c r="AH61" s="181">
        <f t="shared" si="39"/>
        <v>0</v>
      </c>
      <c r="AI61" s="193"/>
      <c r="AJ61" s="90"/>
      <c r="AK61" s="90"/>
      <c r="AL61" s="183">
        <f t="shared" si="40"/>
        <v>0</v>
      </c>
      <c r="AM61" s="193"/>
      <c r="AN61" s="90"/>
      <c r="AO61" s="90"/>
      <c r="AP61" s="183">
        <f t="shared" si="23"/>
        <v>0</v>
      </c>
      <c r="AQ61" s="193"/>
      <c r="AR61" s="90"/>
      <c r="AS61" s="90"/>
      <c r="AT61" s="183">
        <f t="shared" si="24"/>
        <v>0</v>
      </c>
      <c r="AU61" s="193"/>
      <c r="AV61" s="90"/>
      <c r="AW61" s="90"/>
      <c r="AX61" s="183">
        <f t="shared" si="25"/>
        <v>0</v>
      </c>
      <c r="AY61" s="193"/>
      <c r="AZ61" s="90"/>
      <c r="BA61" s="90"/>
      <c r="BB61" s="183">
        <f t="shared" si="26"/>
        <v>0</v>
      </c>
      <c r="BC61" s="193"/>
      <c r="BD61" s="90"/>
      <c r="BE61" s="90"/>
      <c r="BF61" s="183">
        <f t="shared" si="27"/>
        <v>0</v>
      </c>
      <c r="BG61" s="193"/>
      <c r="BH61" s="90"/>
      <c r="BI61" s="90"/>
      <c r="BJ61" s="183">
        <f t="shared" si="28"/>
        <v>0</v>
      </c>
      <c r="BK61" s="193"/>
      <c r="BL61" s="90"/>
      <c r="BM61" s="90"/>
      <c r="BN61" s="183">
        <f t="shared" si="29"/>
        <v>0</v>
      </c>
      <c r="BO61" s="193"/>
      <c r="BP61" s="90"/>
      <c r="BQ61" s="90"/>
      <c r="BR61" s="183">
        <f t="shared" si="30"/>
        <v>0</v>
      </c>
      <c r="BS61" s="193"/>
      <c r="BT61" s="90"/>
      <c r="BU61" s="90"/>
      <c r="BV61" s="183">
        <f t="shared" si="31"/>
        <v>0</v>
      </c>
      <c r="BW61" s="193"/>
      <c r="BX61" s="90"/>
      <c r="BY61" s="90"/>
      <c r="BZ61" s="183">
        <f t="shared" si="32"/>
        <v>0</v>
      </c>
      <c r="CA61" s="193"/>
      <c r="CB61" s="90"/>
      <c r="CC61" s="90"/>
      <c r="CD61" s="183">
        <f t="shared" si="33"/>
        <v>0</v>
      </c>
    </row>
    <row r="62" spans="2:82" ht="15" thickBot="1" x14ac:dyDescent="0.35">
      <c r="B62" s="53"/>
      <c r="C62" s="53" t="str">
        <f t="shared" si="0"/>
        <v>CPU_Conserva</v>
      </c>
      <c r="D62" s="278">
        <f t="shared" si="1"/>
        <v>1.0640000000000001</v>
      </c>
      <c r="E62" s="278">
        <f t="shared" si="2"/>
        <v>0</v>
      </c>
      <c r="F62" s="1"/>
      <c r="G62" s="28" t="str">
        <f>IFERROR(VLOOKUP(F62,Tabela7[[RECURSO]:[CUSTO]],2,FALSE),"")</f>
        <v/>
      </c>
      <c r="I62" s="90">
        <f t="shared" si="41"/>
        <v>0</v>
      </c>
      <c r="J62" s="45">
        <f>IFERROR(VLOOKUP(F62,Tabela7[[RECURSO]:[CUSTO]],3,FALSE),0)</f>
        <v>0</v>
      </c>
      <c r="K62" s="45">
        <f t="shared" si="42"/>
        <v>0</v>
      </c>
      <c r="M62" s="86"/>
      <c r="N62" s="88"/>
      <c r="AD62" s="144" t="str">
        <f t="shared" si="3"/>
        <v>Conserva</v>
      </c>
      <c r="AE62" s="194"/>
      <c r="AF62" s="195">
        <f t="shared" si="38"/>
        <v>0</v>
      </c>
      <c r="AG62" s="195">
        <f t="shared" si="17"/>
        <v>0</v>
      </c>
      <c r="AH62" s="196">
        <f t="shared" si="39"/>
        <v>0</v>
      </c>
      <c r="AI62" s="197"/>
      <c r="AJ62" s="198"/>
      <c r="AK62" s="198"/>
      <c r="AL62" s="199">
        <f t="shared" si="40"/>
        <v>0</v>
      </c>
      <c r="AM62" s="197"/>
      <c r="AN62" s="198"/>
      <c r="AO62" s="198"/>
      <c r="AP62" s="199">
        <f t="shared" si="23"/>
        <v>0</v>
      </c>
      <c r="AQ62" s="197"/>
      <c r="AR62" s="198"/>
      <c r="AS62" s="198"/>
      <c r="AT62" s="199">
        <f t="shared" si="24"/>
        <v>0</v>
      </c>
      <c r="AU62" s="197"/>
      <c r="AV62" s="198"/>
      <c r="AW62" s="198"/>
      <c r="AX62" s="199">
        <f t="shared" si="25"/>
        <v>0</v>
      </c>
      <c r="AY62" s="197"/>
      <c r="AZ62" s="198"/>
      <c r="BA62" s="198"/>
      <c r="BB62" s="199">
        <f t="shared" si="26"/>
        <v>0</v>
      </c>
      <c r="BC62" s="197"/>
      <c r="BD62" s="198"/>
      <c r="BE62" s="198"/>
      <c r="BF62" s="199">
        <f t="shared" si="27"/>
        <v>0</v>
      </c>
      <c r="BG62" s="197"/>
      <c r="BH62" s="198"/>
      <c r="BI62" s="198"/>
      <c r="BJ62" s="199">
        <f t="shared" si="28"/>
        <v>0</v>
      </c>
      <c r="BK62" s="197"/>
      <c r="BL62" s="198"/>
      <c r="BM62" s="198"/>
      <c r="BN62" s="199">
        <f t="shared" si="29"/>
        <v>0</v>
      </c>
      <c r="BO62" s="197"/>
      <c r="BP62" s="198"/>
      <c r="BQ62" s="198"/>
      <c r="BR62" s="199">
        <f t="shared" si="30"/>
        <v>0</v>
      </c>
      <c r="BS62" s="197"/>
      <c r="BT62" s="198"/>
      <c r="BU62" s="198"/>
      <c r="BV62" s="199">
        <f t="shared" si="31"/>
        <v>0</v>
      </c>
      <c r="BW62" s="197"/>
      <c r="BX62" s="198"/>
      <c r="BY62" s="198"/>
      <c r="BZ62" s="199">
        <f t="shared" si="32"/>
        <v>0</v>
      </c>
      <c r="CA62" s="197"/>
      <c r="CB62" s="198"/>
      <c r="CC62" s="198"/>
      <c r="CD62" s="199">
        <f t="shared" si="33"/>
        <v>0</v>
      </c>
    </row>
  </sheetData>
  <conditionalFormatting sqref="K6:K7">
    <cfRule type="iconSet" priority="14">
      <iconSet>
        <cfvo type="percent" val="0"/>
        <cfvo type="num" val="0"/>
        <cfvo type="num" val="0.02"/>
      </iconSet>
    </cfRule>
  </conditionalFormatting>
  <conditionalFormatting sqref="AH6:AH7">
    <cfRule type="iconSet" priority="13">
      <iconSet>
        <cfvo type="percent" val="0"/>
        <cfvo type="num" val="0"/>
        <cfvo type="num" val="0.02"/>
      </iconSet>
    </cfRule>
  </conditionalFormatting>
  <conditionalFormatting sqref="AL6:AL7">
    <cfRule type="iconSet" priority="12">
      <iconSet>
        <cfvo type="percent" val="0"/>
        <cfvo type="num" val="0"/>
        <cfvo type="num" val="0.02"/>
      </iconSet>
    </cfRule>
  </conditionalFormatting>
  <conditionalFormatting sqref="AP6:AP7">
    <cfRule type="iconSet" priority="11">
      <iconSet>
        <cfvo type="percent" val="0"/>
        <cfvo type="num" val="0"/>
        <cfvo type="num" val="0.02"/>
      </iconSet>
    </cfRule>
  </conditionalFormatting>
  <conditionalFormatting sqref="AT6:AT7">
    <cfRule type="iconSet" priority="10">
      <iconSet>
        <cfvo type="percent" val="0"/>
        <cfvo type="num" val="0"/>
        <cfvo type="num" val="0.02"/>
      </iconSet>
    </cfRule>
  </conditionalFormatting>
  <conditionalFormatting sqref="AX6:AX7">
    <cfRule type="iconSet" priority="9">
      <iconSet>
        <cfvo type="percent" val="0"/>
        <cfvo type="num" val="0"/>
        <cfvo type="num" val="0.02"/>
      </iconSet>
    </cfRule>
  </conditionalFormatting>
  <conditionalFormatting sqref="BB6:BB7">
    <cfRule type="iconSet" priority="8">
      <iconSet>
        <cfvo type="percent" val="0"/>
        <cfvo type="num" val="0"/>
        <cfvo type="num" val="0.02"/>
      </iconSet>
    </cfRule>
  </conditionalFormatting>
  <conditionalFormatting sqref="BF6:BF7">
    <cfRule type="iconSet" priority="7">
      <iconSet>
        <cfvo type="percent" val="0"/>
        <cfvo type="num" val="0"/>
        <cfvo type="num" val="0.02"/>
      </iconSet>
    </cfRule>
  </conditionalFormatting>
  <conditionalFormatting sqref="BJ6:BJ7">
    <cfRule type="iconSet" priority="6">
      <iconSet>
        <cfvo type="percent" val="0"/>
        <cfvo type="num" val="0"/>
        <cfvo type="num" val="0.02"/>
      </iconSet>
    </cfRule>
  </conditionalFormatting>
  <conditionalFormatting sqref="BN6:BN7">
    <cfRule type="iconSet" priority="5">
      <iconSet>
        <cfvo type="percent" val="0"/>
        <cfvo type="num" val="0"/>
        <cfvo type="num" val="0.02"/>
      </iconSet>
    </cfRule>
  </conditionalFormatting>
  <conditionalFormatting sqref="BR6:BR7">
    <cfRule type="iconSet" priority="4">
      <iconSet>
        <cfvo type="percent" val="0"/>
        <cfvo type="num" val="0"/>
        <cfvo type="num" val="0.02"/>
      </iconSet>
    </cfRule>
  </conditionalFormatting>
  <conditionalFormatting sqref="BV6:BV7">
    <cfRule type="iconSet" priority="3">
      <iconSet>
        <cfvo type="percent" val="0"/>
        <cfvo type="num" val="0"/>
        <cfvo type="num" val="0.02"/>
      </iconSet>
    </cfRule>
  </conditionalFormatting>
  <conditionalFormatting sqref="BZ6:BZ7">
    <cfRule type="iconSet" priority="2">
      <iconSet>
        <cfvo type="percent" val="0"/>
        <cfvo type="num" val="0"/>
        <cfvo type="num" val="0.02"/>
      </iconSet>
    </cfRule>
  </conditionalFormatting>
  <conditionalFormatting sqref="CD6:CD7">
    <cfRule type="iconSet" priority="1">
      <iconSet>
        <cfvo type="percent" val="0"/>
        <cfvo type="num" val="0"/>
        <cfvo type="num" val="0.02"/>
      </iconSet>
    </cfRule>
  </conditionalFormatting>
  <dataValidations count="5">
    <dataValidation type="list" allowBlank="1" showInputMessage="1" showErrorMessage="1" sqref="B3:E3" xr:uid="{33E0E4BA-3422-4720-8674-FF5B08821563}">
      <formula1>INDIRECT($B$2)</formula1>
    </dataValidation>
    <dataValidation type="list" allowBlank="1" showInputMessage="1" showErrorMessage="1" sqref="F12:F23" xr:uid="{8FCBE555-58E3-45FB-AFF2-9D530DC62E52}">
      <formula1>INDIRECT($B$11)</formula1>
    </dataValidation>
    <dataValidation type="list" allowBlank="1" showInputMessage="1" showErrorMessage="1" sqref="F25:F36" xr:uid="{743E1749-1D0A-409A-AD11-B08A92F99C10}">
      <formula1>INDIRECT($B$24)</formula1>
    </dataValidation>
    <dataValidation type="list" allowBlank="1" showInputMessage="1" showErrorMessage="1" sqref="F38:F49" xr:uid="{068E469A-2818-4677-AB1B-CAF241C2FFB4}">
      <formula1>INDIRECT($B$37)</formula1>
    </dataValidation>
    <dataValidation type="list" allowBlank="1" showInputMessage="1" showErrorMessage="1" sqref="F51:F62" xr:uid="{BC75CCEE-AEFB-425F-8DEE-E96473081A24}">
      <formula1>INDIRECT($B$50)</formula1>
    </dataValidation>
  </dataValidations>
  <pageMargins left="0.51181102362204722" right="0.51181102362204722" top="0.19685039370078741" bottom="0.19685039370078741" header="0.31496062992125984" footer="0.31496062992125984"/>
  <pageSetup paperSize="9" scale="82" orientation="portrait" r:id="rId1"/>
  <colBreaks count="1" manualBreakCount="1">
    <brk id="11" max="1048575" man="1"/>
  </colBreaks>
  <drawing r:id="rId2"/>
  <legacyDrawing r:id="rId3"/>
  <tableParts count="2">
    <tablePart r:id="rId4"/>
    <tablePart r:id="rId5"/>
  </tablePart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A2390-7AFB-4C0F-9812-26114362D134}">
  <sheetPr codeName="Plan18"/>
  <dimension ref="A1:CD62"/>
  <sheetViews>
    <sheetView showGridLines="0" zoomScaleNormal="100" workbookViewId="0">
      <pane xSplit="14" ySplit="10" topLeftCell="O18" activePane="bottomRight" state="frozen"/>
      <selection pane="topRight" activeCell="C28" activeCellId="1" sqref="E13 C28"/>
      <selection pane="bottomLeft" activeCell="C28" activeCellId="1" sqref="E13 C28"/>
      <selection pane="bottomRight" activeCell="B7" sqref="B7"/>
    </sheetView>
  </sheetViews>
  <sheetFormatPr defaultRowHeight="14.4" x14ac:dyDescent="0.3"/>
  <cols>
    <col min="1" max="1" width="4.109375" customWidth="1"/>
    <col min="2" max="2" width="16.109375" customWidth="1"/>
    <col min="3" max="5" width="16.109375" hidden="1" customWidth="1"/>
    <col min="6" max="6" width="40.6640625" customWidth="1"/>
    <col min="7" max="7" width="10.6640625" style="28" customWidth="1"/>
    <col min="8" max="8" width="7.6640625" style="28" customWidth="1"/>
    <col min="9" max="9" width="12.88671875" bestFit="1" customWidth="1"/>
    <col min="10" max="10" width="12.44140625" bestFit="1" customWidth="1"/>
    <col min="11" max="11" width="12.88671875" bestFit="1" customWidth="1"/>
    <col min="12" max="12" width="2.33203125" customWidth="1"/>
    <col min="13" max="14" width="12.6640625" customWidth="1"/>
    <col min="15" max="15" width="14" bestFit="1" customWidth="1"/>
    <col min="30" max="30" width="12.44140625" bestFit="1" customWidth="1"/>
    <col min="31" max="31" width="7.6640625" customWidth="1"/>
    <col min="32" max="32" width="9.33203125" bestFit="1" customWidth="1"/>
    <col min="33" max="34" width="10.6640625" customWidth="1"/>
    <col min="35" max="35" width="7.6640625" customWidth="1"/>
    <col min="36" max="36" width="9.33203125" customWidth="1"/>
    <col min="37" max="38" width="10.6640625" customWidth="1"/>
    <col min="40" max="40" width="9.33203125" customWidth="1"/>
    <col min="42" max="42" width="9.6640625" customWidth="1"/>
    <col min="44" max="44" width="9.33203125" customWidth="1"/>
    <col min="46" max="46" width="9.6640625" customWidth="1"/>
    <col min="48" max="48" width="9.33203125" customWidth="1"/>
    <col min="50" max="50" width="9.6640625" customWidth="1"/>
    <col min="52" max="52" width="9.33203125" customWidth="1"/>
    <col min="54" max="54" width="9.6640625" customWidth="1"/>
    <col min="56" max="56" width="9.33203125" customWidth="1"/>
    <col min="58" max="58" width="9.6640625" customWidth="1"/>
    <col min="60" max="60" width="9.33203125" customWidth="1"/>
    <col min="62" max="62" width="9.6640625" customWidth="1"/>
    <col min="64" max="64" width="9.33203125" customWidth="1"/>
    <col min="66" max="66" width="9.6640625" customWidth="1"/>
    <col min="68" max="68" width="9.33203125" customWidth="1"/>
    <col min="70" max="70" width="9.6640625" customWidth="1"/>
    <col min="72" max="72" width="10" customWidth="1"/>
    <col min="73" max="73" width="9.5546875" customWidth="1"/>
    <col min="74" max="74" width="10.44140625" customWidth="1"/>
    <col min="76" max="76" width="10" customWidth="1"/>
    <col min="77" max="77" width="9.5546875" customWidth="1"/>
    <col min="78" max="78" width="10.44140625" customWidth="1"/>
    <col min="80" max="80" width="10" customWidth="1"/>
    <col min="81" max="81" width="9.5546875" customWidth="1"/>
    <col min="82" max="82" width="10.44140625" customWidth="1"/>
  </cols>
  <sheetData>
    <row r="1" spans="1:82" ht="26.4" customHeight="1" thickBot="1" x14ac:dyDescent="0.35">
      <c r="AE1" s="163" t="s">
        <v>678</v>
      </c>
    </row>
    <row r="2" spans="1:82" x14ac:dyDescent="0.3">
      <c r="B2" s="64" t="s">
        <v>679</v>
      </c>
      <c r="C2" s="67"/>
      <c r="D2" s="67"/>
      <c r="E2" s="67"/>
      <c r="F2" s="65"/>
      <c r="G2" s="66"/>
      <c r="H2" s="66"/>
      <c r="I2" s="65"/>
      <c r="J2" s="67" t="s">
        <v>680</v>
      </c>
      <c r="K2" s="68" t="s">
        <v>681</v>
      </c>
      <c r="M2" s="227" t="s">
        <v>682</v>
      </c>
      <c r="N2" s="228" t="s">
        <v>683</v>
      </c>
      <c r="O2" s="234" t="s">
        <v>684</v>
      </c>
      <c r="AE2" s="164" t="s">
        <v>590</v>
      </c>
      <c r="AF2" s="165" t="s">
        <v>20</v>
      </c>
      <c r="AG2" s="67"/>
      <c r="AH2" s="68" t="s">
        <v>681</v>
      </c>
      <c r="AI2" s="166">
        <v>44927</v>
      </c>
      <c r="AJ2" s="165" t="s">
        <v>20</v>
      </c>
      <c r="AK2" s="67"/>
      <c r="AL2" s="68" t="s">
        <v>681</v>
      </c>
      <c r="AM2" s="166">
        <v>44958</v>
      </c>
      <c r="AN2" s="165" t="s">
        <v>20</v>
      </c>
      <c r="AO2" s="67"/>
      <c r="AP2" s="68" t="s">
        <v>681</v>
      </c>
      <c r="AQ2" s="166">
        <v>44986</v>
      </c>
      <c r="AR2" s="165" t="s">
        <v>20</v>
      </c>
      <c r="AS2" s="67"/>
      <c r="AT2" s="68" t="s">
        <v>681</v>
      </c>
      <c r="AU2" s="166">
        <v>45017</v>
      </c>
      <c r="AV2" s="165" t="s">
        <v>20</v>
      </c>
      <c r="AW2" s="67"/>
      <c r="AX2" s="68" t="s">
        <v>681</v>
      </c>
      <c r="AY2" s="166">
        <v>45047</v>
      </c>
      <c r="AZ2" s="165" t="s">
        <v>20</v>
      </c>
      <c r="BA2" s="67"/>
      <c r="BB2" s="68" t="s">
        <v>681</v>
      </c>
      <c r="BC2" s="166">
        <v>45078</v>
      </c>
      <c r="BD2" s="165" t="s">
        <v>20</v>
      </c>
      <c r="BE2" s="67"/>
      <c r="BF2" s="68" t="s">
        <v>681</v>
      </c>
      <c r="BG2" s="166">
        <v>45108</v>
      </c>
      <c r="BH2" s="165" t="s">
        <v>20</v>
      </c>
      <c r="BI2" s="67"/>
      <c r="BJ2" s="68" t="s">
        <v>681</v>
      </c>
      <c r="BK2" s="166">
        <v>45139</v>
      </c>
      <c r="BL2" s="165" t="s">
        <v>20</v>
      </c>
      <c r="BM2" s="67"/>
      <c r="BN2" s="68" t="s">
        <v>681</v>
      </c>
      <c r="BO2" s="166">
        <v>45170</v>
      </c>
      <c r="BP2" s="165" t="s">
        <v>20</v>
      </c>
      <c r="BQ2" s="67"/>
      <c r="BR2" s="68" t="s">
        <v>681</v>
      </c>
      <c r="BS2" s="166">
        <v>45200</v>
      </c>
      <c r="BT2" s="165" t="s">
        <v>20</v>
      </c>
      <c r="BU2" s="67"/>
      <c r="BV2" s="68" t="s">
        <v>681</v>
      </c>
      <c r="BW2" s="166">
        <v>45231</v>
      </c>
      <c r="BX2" s="165" t="s">
        <v>20</v>
      </c>
      <c r="BY2" s="67"/>
      <c r="BZ2" s="68" t="s">
        <v>681</v>
      </c>
      <c r="CA2" s="166">
        <v>45261</v>
      </c>
      <c r="CB2" s="165" t="s">
        <v>20</v>
      </c>
      <c r="CC2" s="67"/>
      <c r="CD2" s="68" t="s">
        <v>681</v>
      </c>
    </row>
    <row r="3" spans="1:82" x14ac:dyDescent="0.3">
      <c r="A3" s="42" t="str">
        <f>"CPU_"&amp;LEFT(SUBSTITUTE(SUBSTITUTE(B3," ",""),"-",""),20)</f>
        <v>CPU_Administracaolocaldi</v>
      </c>
      <c r="B3" s="31" t="s">
        <v>875</v>
      </c>
      <c r="C3" s="1"/>
      <c r="D3" s="1"/>
      <c r="E3" s="1"/>
      <c r="F3" s="73"/>
      <c r="G3" s="74"/>
      <c r="H3" s="74"/>
      <c r="I3" s="73"/>
      <c r="J3" s="74" t="str">
        <f>IFERROR(VLOOKUP(B3,Tabela1[[NOME SERVIÇO]:[UNID]],4,0),"")</f>
        <v>VB</v>
      </c>
      <c r="K3" s="315">
        <f>IFERROR(J6/B6,0)</f>
        <v>1059620.6621999999</v>
      </c>
      <c r="M3" s="229" t="s">
        <v>685</v>
      </c>
      <c r="N3" s="230">
        <f>K11</f>
        <v>0</v>
      </c>
      <c r="O3" s="235">
        <f>IFERROR(N3/$N$7,0)</f>
        <v>0</v>
      </c>
      <c r="AE3" s="167"/>
      <c r="AF3" s="168">
        <f>AJ3+AN3+AR3+AV3+AZ3+BD3+BH3+BL3+BP3+BT3+BX3+CB3</f>
        <v>0</v>
      </c>
      <c r="AG3" s="74"/>
      <c r="AH3" s="75">
        <f>IFERROR((AG6/AF3),0)</f>
        <v>0</v>
      </c>
      <c r="AI3" s="167"/>
      <c r="AJ3" s="168">
        <f>IFERROR(SUMPRODUCT(Plan_Orc!$I$4:$I$2002*Plan_Orc!$AB$4:$AB$2002*(Plan_Orc!$D$4:$D$2002=$B3)),0)</f>
        <v>0</v>
      </c>
      <c r="AK3" s="74"/>
      <c r="AL3" s="75">
        <f>IFERROR((AK6/AJ3),0)</f>
        <v>0</v>
      </c>
      <c r="AM3" s="167"/>
      <c r="AN3" s="168">
        <f>IFERROR(SUMPRODUCT(Plan_Orc!$I$4:$I$2002*Plan_Orc!$AC$4:$AC$2002*(Plan_Orc!$D$4:$D$2002=$B3)),0)</f>
        <v>0</v>
      </c>
      <c r="AO3" s="74"/>
      <c r="AP3" s="75">
        <f>IFERROR((AO6/AN3),0)</f>
        <v>0</v>
      </c>
      <c r="AQ3" s="167"/>
      <c r="AR3" s="168">
        <f>IFERROR(SUMPRODUCT(Plan_Orc!$I$4:$I$2002*Plan_Orc!$AD$4:$AD$2002*(Plan_Orc!$D$4:$D$2002=$B3)),0)</f>
        <v>0</v>
      </c>
      <c r="AS3" s="74"/>
      <c r="AT3" s="75">
        <f>IFERROR((AS6/AR3),0)</f>
        <v>0</v>
      </c>
      <c r="AU3" s="167"/>
      <c r="AV3" s="168">
        <f>IFERROR(SUMPRODUCT(Plan_Orc!$I$4:$I$2002*Plan_Orc!$AE$4:$AE$2002*(Plan_Orc!$D$4:$D$2002=$B3)),0)</f>
        <v>0</v>
      </c>
      <c r="AW3" s="74"/>
      <c r="AX3" s="75">
        <f>IFERROR((AW6/AV3),0)</f>
        <v>0</v>
      </c>
      <c r="AY3" s="167"/>
      <c r="AZ3" s="168">
        <f>IFERROR(SUMPRODUCT(Plan_Orc!$I$4:$I$2002*Plan_Orc!$AF$4:$AF$2002*(Plan_Orc!$D$4:$D$2002=$B3)),0)</f>
        <v>0</v>
      </c>
      <c r="BA3" s="74"/>
      <c r="BB3" s="75">
        <f>IFERROR((BA6/AZ3),0)</f>
        <v>0</v>
      </c>
      <c r="BC3" s="167"/>
      <c r="BD3" s="168">
        <f>IFERROR(SUMPRODUCT(Plan_Orc!$I$4:$I$2002*Plan_Orc!$AG$4:$AG$2002*(Plan_Orc!$D$4:$D$2002=$B3)),0)</f>
        <v>0</v>
      </c>
      <c r="BE3" s="74"/>
      <c r="BF3" s="75">
        <f>IFERROR((BE6/BD3),0)</f>
        <v>0</v>
      </c>
      <c r="BG3" s="167"/>
      <c r="BH3" s="168">
        <f>IFERROR(SUMPRODUCT(Plan_Orc!$I$4:$I$2002*Plan_Orc!$AH$4:$AH$2002*(Plan_Orc!$D$4:$D$2002=$B3)),0)</f>
        <v>0</v>
      </c>
      <c r="BI3" s="74"/>
      <c r="BJ3" s="75">
        <f>IFERROR((BI6/BH3),0)</f>
        <v>0</v>
      </c>
      <c r="BK3" s="167"/>
      <c r="BL3" s="168">
        <f>IFERROR(SUMPRODUCT(Plan_Orc!$I$4:$I$2002*Plan_Orc!$AI$4:$AI$2002*(Plan_Orc!$D$4:$D$2002=$B3)),0)</f>
        <v>0</v>
      </c>
      <c r="BM3" s="74"/>
      <c r="BN3" s="75">
        <f>IFERROR((BM6/BL3),0)</f>
        <v>0</v>
      </c>
      <c r="BO3" s="167"/>
      <c r="BP3" s="168">
        <f>IFERROR(SUMPRODUCT(Plan_Orc!$I$4:$I$2002*Plan_Orc!$AJ$4:$AJ$2002*(Plan_Orc!$D$4:$D$2002=$B3)),0)</f>
        <v>0</v>
      </c>
      <c r="BQ3" s="74"/>
      <c r="BR3" s="75">
        <f>IFERROR((BQ6/BP3),0)</f>
        <v>0</v>
      </c>
      <c r="BS3" s="167"/>
      <c r="BT3" s="168">
        <f>IFERROR(SUMPRODUCT(Plan_Orc!$I$4:$I$2002*Plan_Orc!$AK$4:$AK$2002*(Plan_Orc!$D$4:$D$2002=$B3)),0)</f>
        <v>0</v>
      </c>
      <c r="BU3" s="74"/>
      <c r="BV3" s="75">
        <f>IFERROR((BU6/BT3),0)</f>
        <v>0</v>
      </c>
      <c r="BW3" s="167"/>
      <c r="BX3" s="168">
        <f>IFERROR(SUMPRODUCT(Plan_Orc!$I$4:$I$2002*Plan_Orc!$AL$4:$AL$2002*(Plan_Orc!$D$4:$D$2002=$B3)),0)</f>
        <v>0</v>
      </c>
      <c r="BY3" s="74"/>
      <c r="BZ3" s="75">
        <f>IFERROR((BY6/BX3),0)</f>
        <v>0</v>
      </c>
      <c r="CA3" s="167"/>
      <c r="CB3" s="168">
        <f>IFERROR(SUMPRODUCT(Plan_Orc!$I$4:$I$2002*Plan_Orc!$AM$4:$AM$2002*(Plan_Orc!$D$4:$D$2002=$B3)),0)</f>
        <v>0</v>
      </c>
      <c r="CC3" s="74"/>
      <c r="CD3" s="75">
        <f>IFERROR((CC6/CB3),0)</f>
        <v>0</v>
      </c>
    </row>
    <row r="4" spans="1:82" x14ac:dyDescent="0.3">
      <c r="B4" s="32"/>
      <c r="K4" s="30"/>
      <c r="M4" s="229" t="s">
        <v>686</v>
      </c>
      <c r="N4" s="230">
        <f>+K24</f>
        <v>0</v>
      </c>
      <c r="O4" s="235">
        <f>IFERROR(N4/$N$7,0)</f>
        <v>0</v>
      </c>
      <c r="AE4" s="169"/>
      <c r="AH4" s="30"/>
      <c r="AI4" s="169"/>
      <c r="AL4" s="30"/>
      <c r="AM4" s="169"/>
      <c r="AP4" s="30"/>
      <c r="AQ4" s="169"/>
      <c r="AT4" s="30"/>
      <c r="AU4" s="169"/>
      <c r="AX4" s="30"/>
      <c r="AY4" s="169"/>
      <c r="BB4" s="30"/>
      <c r="BC4" s="169"/>
      <c r="BF4" s="30"/>
      <c r="BG4" s="169"/>
      <c r="BJ4" s="30"/>
      <c r="BK4" s="169"/>
      <c r="BN4" s="30"/>
      <c r="BO4" s="169"/>
      <c r="BR4" s="30"/>
      <c r="BS4" s="169"/>
      <c r="BV4" s="30"/>
      <c r="BW4" s="169"/>
      <c r="BZ4" s="30"/>
      <c r="CA4" s="169"/>
      <c r="CD4" s="30"/>
    </row>
    <row r="5" spans="1:82" x14ac:dyDescent="0.3">
      <c r="B5" s="69" t="s">
        <v>687</v>
      </c>
      <c r="C5" s="72"/>
      <c r="D5" s="72"/>
      <c r="E5" s="72"/>
      <c r="F5" s="70" t="s">
        <v>688</v>
      </c>
      <c r="G5" s="70" t="s">
        <v>689</v>
      </c>
      <c r="H5" s="70" t="s">
        <v>690</v>
      </c>
      <c r="I5" s="70" t="s">
        <v>691</v>
      </c>
      <c r="J5" s="70" t="s">
        <v>683</v>
      </c>
      <c r="K5" s="71" t="s">
        <v>593</v>
      </c>
      <c r="M5" s="229" t="s">
        <v>692</v>
      </c>
      <c r="N5" s="230">
        <f>+K37</f>
        <v>0</v>
      </c>
      <c r="O5" s="235">
        <f>IFERROR(N5/$N$7,0)</f>
        <v>0</v>
      </c>
      <c r="AE5" s="170"/>
      <c r="AF5" s="70" t="s">
        <v>691</v>
      </c>
      <c r="AG5" s="70" t="s">
        <v>683</v>
      </c>
      <c r="AH5" s="71" t="s">
        <v>593</v>
      </c>
      <c r="AI5" s="170"/>
      <c r="AJ5" s="70" t="s">
        <v>691</v>
      </c>
      <c r="AK5" s="70" t="s">
        <v>683</v>
      </c>
      <c r="AL5" s="71" t="s">
        <v>593</v>
      </c>
      <c r="AM5" s="170"/>
      <c r="AN5" s="70" t="s">
        <v>691</v>
      </c>
      <c r="AO5" s="70" t="s">
        <v>683</v>
      </c>
      <c r="AP5" s="71" t="s">
        <v>593</v>
      </c>
      <c r="AQ5" s="170"/>
      <c r="AR5" s="70" t="s">
        <v>691</v>
      </c>
      <c r="AS5" s="70" t="s">
        <v>683</v>
      </c>
      <c r="AT5" s="71" t="s">
        <v>593</v>
      </c>
      <c r="AU5" s="170"/>
      <c r="AV5" s="70" t="s">
        <v>691</v>
      </c>
      <c r="AW5" s="70" t="s">
        <v>683</v>
      </c>
      <c r="AX5" s="71" t="s">
        <v>593</v>
      </c>
      <c r="AY5" s="170"/>
      <c r="AZ5" s="70" t="s">
        <v>691</v>
      </c>
      <c r="BA5" s="70" t="s">
        <v>683</v>
      </c>
      <c r="BB5" s="71" t="s">
        <v>593</v>
      </c>
      <c r="BC5" s="170"/>
      <c r="BD5" s="70" t="s">
        <v>691</v>
      </c>
      <c r="BE5" s="70" t="s">
        <v>683</v>
      </c>
      <c r="BF5" s="71" t="s">
        <v>593</v>
      </c>
      <c r="BG5" s="170"/>
      <c r="BH5" s="70" t="s">
        <v>691</v>
      </c>
      <c r="BI5" s="70" t="s">
        <v>683</v>
      </c>
      <c r="BJ5" s="71" t="s">
        <v>593</v>
      </c>
      <c r="BK5" s="170"/>
      <c r="BL5" s="70" t="s">
        <v>691</v>
      </c>
      <c r="BM5" s="70" t="s">
        <v>683</v>
      </c>
      <c r="BN5" s="71" t="s">
        <v>593</v>
      </c>
      <c r="BO5" s="170"/>
      <c r="BP5" s="70" t="s">
        <v>691</v>
      </c>
      <c r="BQ5" s="70" t="s">
        <v>683</v>
      </c>
      <c r="BR5" s="71" t="s">
        <v>593</v>
      </c>
      <c r="BS5" s="170"/>
      <c r="BT5" s="70" t="s">
        <v>691</v>
      </c>
      <c r="BU5" s="70" t="s">
        <v>683</v>
      </c>
      <c r="BV5" s="71" t="s">
        <v>593</v>
      </c>
      <c r="BW5" s="170"/>
      <c r="BX5" s="70" t="s">
        <v>691</v>
      </c>
      <c r="BY5" s="70" t="s">
        <v>683</v>
      </c>
      <c r="BZ5" s="71" t="s">
        <v>593</v>
      </c>
      <c r="CA5" s="170"/>
      <c r="CB5" s="70" t="s">
        <v>691</v>
      </c>
      <c r="CC5" s="70" t="s">
        <v>683</v>
      </c>
      <c r="CD5" s="71" t="s">
        <v>593</v>
      </c>
    </row>
    <row r="6" spans="1:82" s="2" customFormat="1" ht="30" customHeight="1" x14ac:dyDescent="0.3">
      <c r="B6" s="33">
        <v>3</v>
      </c>
      <c r="C6" s="275"/>
      <c r="D6" s="275"/>
      <c r="E6" s="275"/>
      <c r="F6" s="27"/>
      <c r="G6" s="35">
        <v>1</v>
      </c>
      <c r="H6" s="81" t="s">
        <v>347</v>
      </c>
      <c r="I6" s="55">
        <f>IFERROR(I7/B7*B6,0)</f>
        <v>4521740.9248799998</v>
      </c>
      <c r="J6" s="55">
        <f>K11+K24+K37+K50</f>
        <v>3178861.9865999995</v>
      </c>
      <c r="K6" s="56">
        <f>IFERROR((I6-J6)/I6-PARAMETROS!C19,0)</f>
        <v>0.14618272426247822</v>
      </c>
      <c r="M6" s="229" t="s">
        <v>693</v>
      </c>
      <c r="N6" s="230">
        <f>+K50</f>
        <v>3178861.9865999995</v>
      </c>
      <c r="O6" s="235">
        <f>IFERROR(N6/$N$7,0)</f>
        <v>1</v>
      </c>
      <c r="AE6" s="171"/>
      <c r="AF6" s="55">
        <f>AJ6+AN6+AR6+AV6+AZ6+BD6+BH6+BL6+BP6+BT6+BX6+CB6</f>
        <v>0</v>
      </c>
      <c r="AG6" s="55">
        <f>AH11+AH24+AH37+AH50</f>
        <v>0</v>
      </c>
      <c r="AH6" s="56">
        <f>IFERROR((AF6-AG6)/AF6,0)</f>
        <v>0</v>
      </c>
      <c r="AI6" s="171"/>
      <c r="AJ6" s="55"/>
      <c r="AK6" s="55">
        <f>AL11+AL24+AL37+AL50</f>
        <v>0</v>
      </c>
      <c r="AL6" s="56">
        <f>IFERROR((AJ6-AK6)/AJ6,0)</f>
        <v>0</v>
      </c>
      <c r="AM6" s="171"/>
      <c r="AN6" s="55"/>
      <c r="AO6" s="55">
        <f>AP11+AP24+AP37+AP50</f>
        <v>0</v>
      </c>
      <c r="AP6" s="56">
        <f>IFERROR((AN6-AO6)/AN6,0)</f>
        <v>0</v>
      </c>
      <c r="AQ6" s="171"/>
      <c r="AR6" s="55"/>
      <c r="AS6" s="55">
        <f>AT11+AT24+AT37+AT50</f>
        <v>0</v>
      </c>
      <c r="AT6" s="56">
        <f>IFERROR((AR6-AS6)/AR6,0)</f>
        <v>0</v>
      </c>
      <c r="AU6" s="171"/>
      <c r="AV6" s="55"/>
      <c r="AW6" s="55">
        <f>AX11+AX24+AX37+AX50</f>
        <v>0</v>
      </c>
      <c r="AX6" s="56">
        <f>IFERROR((AV6-AW6)/AV6,0)</f>
        <v>0</v>
      </c>
      <c r="AY6" s="171"/>
      <c r="AZ6" s="55"/>
      <c r="BA6" s="55">
        <f>BB11+BB24+BB37+BB50</f>
        <v>0</v>
      </c>
      <c r="BB6" s="56">
        <f>IFERROR((AZ6-BA6)/AZ6,0)</f>
        <v>0</v>
      </c>
      <c r="BC6" s="171"/>
      <c r="BD6" s="55"/>
      <c r="BE6" s="55">
        <f>BF11+BF24+BF37+BF50</f>
        <v>0</v>
      </c>
      <c r="BF6" s="56">
        <f>IFERROR((BD6-BE6)/BD6,0)</f>
        <v>0</v>
      </c>
      <c r="BG6" s="171"/>
      <c r="BH6" s="55"/>
      <c r="BI6" s="55">
        <f>BJ11+BJ24+BJ37+BJ50</f>
        <v>0</v>
      </c>
      <c r="BJ6" s="56">
        <f>IFERROR((BH6-BI6)/BH6,0)</f>
        <v>0</v>
      </c>
      <c r="BK6" s="171"/>
      <c r="BL6" s="55"/>
      <c r="BM6" s="55">
        <f>BN11+BN24+BN37+BN50</f>
        <v>0</v>
      </c>
      <c r="BN6" s="56">
        <f>IFERROR((BL6-BM6)/BL6,0)</f>
        <v>0</v>
      </c>
      <c r="BO6" s="171"/>
      <c r="BP6" s="55"/>
      <c r="BQ6" s="55">
        <f>BR11+BR24+BR37+BR50</f>
        <v>0</v>
      </c>
      <c r="BR6" s="56">
        <f>IFERROR((BP6-BQ6)/BP6,0)</f>
        <v>0</v>
      </c>
      <c r="BS6" s="171"/>
      <c r="BT6" s="55"/>
      <c r="BU6" s="55">
        <f>BV11+BV24+BV37+BV50</f>
        <v>0</v>
      </c>
      <c r="BV6" s="56">
        <f>IFERROR((BT6-BU6)/BT6,0)</f>
        <v>0</v>
      </c>
      <c r="BW6" s="171"/>
      <c r="BX6" s="55"/>
      <c r="BY6" s="55">
        <f>BZ11+BZ24+BZ37+BZ50</f>
        <v>0</v>
      </c>
      <c r="BZ6" s="56">
        <f>IFERROR((BX6-BY6)/BX6,0)</f>
        <v>0</v>
      </c>
      <c r="CA6" s="171"/>
      <c r="CB6" s="55"/>
      <c r="CC6" s="55">
        <f>CD11+CD24+CD37+CD50</f>
        <v>0</v>
      </c>
      <c r="CD6" s="56">
        <f>IFERROR((CB6-CC6)/CB6,0)</f>
        <v>0</v>
      </c>
    </row>
    <row r="7" spans="1:82" s="2" customFormat="1" ht="30" customHeight="1" thickBot="1" x14ac:dyDescent="0.35">
      <c r="B7" s="313">
        <f>IFERROR(VLOOKUP(B3,Lucratividade!G4:N853,2,0),0)</f>
        <v>4</v>
      </c>
      <c r="C7" s="276"/>
      <c r="D7" s="276"/>
      <c r="E7" s="276"/>
      <c r="F7" s="50"/>
      <c r="G7" s="36">
        <f>IFERROR(B7/B6,0)</f>
        <v>1.3333333333333333</v>
      </c>
      <c r="H7" s="82" t="s">
        <v>347</v>
      </c>
      <c r="I7" s="57">
        <f>IFERROR(VLOOKUP(B3,Lucratividade!G4:N132,6,0),0)</f>
        <v>6028987.8998399992</v>
      </c>
      <c r="J7" s="58">
        <f>B7*K3</f>
        <v>4238482.6487999996</v>
      </c>
      <c r="K7" s="59">
        <f>IFERROR((I7-J7)/I7-PARAMETROS!C19,0)</f>
        <v>0.14618272426247811</v>
      </c>
      <c r="M7" s="231" t="s">
        <v>694</v>
      </c>
      <c r="N7" s="232">
        <f>SUM(N3:N6)</f>
        <v>3178861.9865999995</v>
      </c>
      <c r="O7" s="236"/>
      <c r="AE7" s="172"/>
      <c r="AF7" s="57"/>
      <c r="AG7" s="58"/>
      <c r="AH7" s="59"/>
      <c r="AI7" s="172"/>
      <c r="AJ7" s="57"/>
      <c r="AK7" s="58"/>
      <c r="AL7" s="59"/>
      <c r="AM7" s="172"/>
      <c r="AN7" s="57"/>
      <c r="AO7" s="58"/>
      <c r="AP7" s="59"/>
      <c r="AQ7" s="172"/>
      <c r="AR7" s="57"/>
      <c r="AS7" s="58"/>
      <c r="AT7" s="59"/>
      <c r="AU7" s="172"/>
      <c r="AV7" s="57"/>
      <c r="AW7" s="58"/>
      <c r="AX7" s="59"/>
      <c r="AY7" s="172"/>
      <c r="AZ7" s="57"/>
      <c r="BA7" s="58"/>
      <c r="BB7" s="59"/>
      <c r="BC7" s="172"/>
      <c r="BD7" s="57"/>
      <c r="BE7" s="58"/>
      <c r="BF7" s="59"/>
      <c r="BG7" s="172"/>
      <c r="BH7" s="57"/>
      <c r="BI7" s="58"/>
      <c r="BJ7" s="59"/>
      <c r="BK7" s="172"/>
      <c r="BL7" s="57"/>
      <c r="BM7" s="58"/>
      <c r="BN7" s="59"/>
      <c r="BO7" s="172"/>
      <c r="BP7" s="57"/>
      <c r="BQ7" s="58"/>
      <c r="BR7" s="59"/>
      <c r="BS7" s="172"/>
      <c r="BT7" s="57"/>
      <c r="BU7" s="58"/>
      <c r="BV7" s="59"/>
      <c r="BW7" s="172"/>
      <c r="BX7" s="57"/>
      <c r="BY7" s="58"/>
      <c r="BZ7" s="59"/>
      <c r="CA7" s="172"/>
      <c r="CB7" s="57"/>
      <c r="CC7" s="58"/>
      <c r="CD7" s="59"/>
    </row>
    <row r="8" spans="1:82" ht="4.2" customHeight="1" x14ac:dyDescent="0.3">
      <c r="AE8" s="28"/>
      <c r="AI8" s="28"/>
      <c r="AM8" s="28"/>
      <c r="AQ8" s="28"/>
      <c r="AU8" s="28"/>
      <c r="AY8" s="28"/>
      <c r="BC8" s="28"/>
      <c r="BG8" s="28"/>
      <c r="BK8" s="28"/>
      <c r="BO8" s="28"/>
      <c r="BS8" s="28"/>
      <c r="BW8" s="28"/>
      <c r="CA8" s="28"/>
    </row>
    <row r="9" spans="1:82" ht="4.95" customHeight="1" thickBot="1" x14ac:dyDescent="0.35">
      <c r="AE9" s="28"/>
      <c r="AI9" s="28"/>
      <c r="AM9" s="28"/>
      <c r="AQ9" s="28"/>
      <c r="AU9" s="28"/>
      <c r="AY9" s="28"/>
      <c r="BC9" s="28"/>
      <c r="BG9" s="28"/>
      <c r="BK9" s="28"/>
      <c r="BO9" s="28"/>
      <c r="BS9" s="28"/>
      <c r="BW9" s="28"/>
      <c r="CA9" s="28"/>
    </row>
    <row r="10" spans="1:82" ht="15" thickBot="1" x14ac:dyDescent="0.35">
      <c r="B10" s="72" t="s">
        <v>695</v>
      </c>
      <c r="C10" s="72" t="s">
        <v>679</v>
      </c>
      <c r="D10" s="72" t="s">
        <v>696</v>
      </c>
      <c r="E10" s="72" t="s">
        <v>697</v>
      </c>
      <c r="F10" s="72" t="s">
        <v>17</v>
      </c>
      <c r="G10" s="70" t="s">
        <v>690</v>
      </c>
      <c r="H10" s="70" t="s">
        <v>698</v>
      </c>
      <c r="I10" s="72" t="s">
        <v>20</v>
      </c>
      <c r="J10" s="72" t="s">
        <v>699</v>
      </c>
      <c r="K10" s="72" t="s">
        <v>700</v>
      </c>
      <c r="M10" s="83" t="s">
        <v>701</v>
      </c>
      <c r="N10" s="87" t="s">
        <v>702</v>
      </c>
      <c r="AD10" s="173" t="s">
        <v>703</v>
      </c>
      <c r="AE10" s="170" t="s">
        <v>698</v>
      </c>
      <c r="AF10" s="70" t="s">
        <v>20</v>
      </c>
      <c r="AG10" s="70" t="s">
        <v>699</v>
      </c>
      <c r="AH10" s="70" t="s">
        <v>700</v>
      </c>
      <c r="AI10" s="173" t="s">
        <v>704</v>
      </c>
      <c r="AJ10" s="174" t="s">
        <v>705</v>
      </c>
      <c r="AK10" s="174" t="s">
        <v>706</v>
      </c>
      <c r="AL10" s="175" t="s">
        <v>707</v>
      </c>
      <c r="AM10" s="173" t="s">
        <v>708</v>
      </c>
      <c r="AN10" s="174" t="s">
        <v>709</v>
      </c>
      <c r="AO10" s="174" t="s">
        <v>710</v>
      </c>
      <c r="AP10" s="175" t="s">
        <v>711</v>
      </c>
      <c r="AQ10" s="173" t="s">
        <v>712</v>
      </c>
      <c r="AR10" s="174" t="s">
        <v>713</v>
      </c>
      <c r="AS10" s="174" t="s">
        <v>714</v>
      </c>
      <c r="AT10" s="175" t="s">
        <v>715</v>
      </c>
      <c r="AU10" s="173" t="s">
        <v>716</v>
      </c>
      <c r="AV10" s="174" t="s">
        <v>717</v>
      </c>
      <c r="AW10" s="174" t="s">
        <v>718</v>
      </c>
      <c r="AX10" s="175" t="s">
        <v>719</v>
      </c>
      <c r="AY10" s="173" t="s">
        <v>720</v>
      </c>
      <c r="AZ10" s="174" t="s">
        <v>721</v>
      </c>
      <c r="BA10" s="174" t="s">
        <v>722</v>
      </c>
      <c r="BB10" s="175" t="s">
        <v>723</v>
      </c>
      <c r="BC10" s="173" t="s">
        <v>724</v>
      </c>
      <c r="BD10" s="174" t="s">
        <v>725</v>
      </c>
      <c r="BE10" s="174" t="s">
        <v>726</v>
      </c>
      <c r="BF10" s="175" t="s">
        <v>727</v>
      </c>
      <c r="BG10" s="173" t="s">
        <v>728</v>
      </c>
      <c r="BH10" s="174" t="s">
        <v>729</v>
      </c>
      <c r="BI10" s="174" t="s">
        <v>730</v>
      </c>
      <c r="BJ10" s="175" t="s">
        <v>731</v>
      </c>
      <c r="BK10" s="173" t="s">
        <v>732</v>
      </c>
      <c r="BL10" s="174" t="s">
        <v>733</v>
      </c>
      <c r="BM10" s="174" t="s">
        <v>734</v>
      </c>
      <c r="BN10" s="175" t="s">
        <v>735</v>
      </c>
      <c r="BO10" s="173" t="s">
        <v>736</v>
      </c>
      <c r="BP10" s="174" t="s">
        <v>737</v>
      </c>
      <c r="BQ10" s="174" t="s">
        <v>738</v>
      </c>
      <c r="BR10" s="175" t="s">
        <v>739</v>
      </c>
      <c r="BS10" s="173" t="s">
        <v>740</v>
      </c>
      <c r="BT10" s="174" t="s">
        <v>741</v>
      </c>
      <c r="BU10" s="174" t="s">
        <v>742</v>
      </c>
      <c r="BV10" s="175" t="s">
        <v>743</v>
      </c>
      <c r="BW10" s="173" t="s">
        <v>744</v>
      </c>
      <c r="BX10" s="174" t="s">
        <v>745</v>
      </c>
      <c r="BY10" s="174" t="s">
        <v>746</v>
      </c>
      <c r="BZ10" s="175" t="s">
        <v>747</v>
      </c>
      <c r="CA10" s="173" t="s">
        <v>748</v>
      </c>
      <c r="CB10" s="174" t="s">
        <v>749</v>
      </c>
      <c r="CC10" s="174" t="s">
        <v>750</v>
      </c>
      <c r="CD10" s="174" t="s">
        <v>751</v>
      </c>
    </row>
    <row r="11" spans="1:82" x14ac:dyDescent="0.3">
      <c r="B11" s="52" t="s">
        <v>752</v>
      </c>
      <c r="C11" s="52" t="str">
        <f t="shared" ref="C11:C62" si="0">$A$3</f>
        <v>CPU_Administracaolocaldi</v>
      </c>
      <c r="D11" s="277">
        <f t="shared" ref="D11:D62" si="1">$B$6</f>
        <v>3</v>
      </c>
      <c r="E11" s="277">
        <f t="shared" ref="E11:E62" si="2">$B$7</f>
        <v>4</v>
      </c>
      <c r="F11" s="37"/>
      <c r="G11" s="38"/>
      <c r="H11" s="91"/>
      <c r="I11" s="40"/>
      <c r="J11" s="40">
        <f>IFERROR(K11/$B$6,0)</f>
        <v>0</v>
      </c>
      <c r="K11" s="40">
        <f>SUM(K12:K23)</f>
        <v>0</v>
      </c>
      <c r="M11" s="294" t="s">
        <v>753</v>
      </c>
      <c r="N11" s="295" t="s">
        <v>754</v>
      </c>
      <c r="O11" s="296" t="s">
        <v>755</v>
      </c>
      <c r="AD11" s="144" t="str">
        <f>$B$3</f>
        <v>Administracao local diversos</v>
      </c>
      <c r="AE11" s="176"/>
      <c r="AF11" s="177"/>
      <c r="AG11" s="177">
        <f>IFERROR(AH11/AF$3,0)</f>
        <v>0</v>
      </c>
      <c r="AH11" s="178">
        <f>SUM(AH12:AH23)</f>
        <v>0</v>
      </c>
      <c r="AI11" s="176"/>
      <c r="AJ11" s="177"/>
      <c r="AK11" s="177">
        <f>IFERROR(AL11/AJ$3,0)</f>
        <v>0</v>
      </c>
      <c r="AL11" s="178">
        <f>SUM(AL12:AL23)</f>
        <v>0</v>
      </c>
      <c r="AM11" s="176"/>
      <c r="AN11" s="177"/>
      <c r="AO11" s="177">
        <f>IFERROR(AP11/AN$3,0)</f>
        <v>0</v>
      </c>
      <c r="AP11" s="178">
        <f>SUM(AP12:AP23)</f>
        <v>0</v>
      </c>
      <c r="AQ11" s="176"/>
      <c r="AR11" s="177"/>
      <c r="AS11" s="177">
        <f>IFERROR(AT11/AR$3,0)</f>
        <v>0</v>
      </c>
      <c r="AT11" s="178">
        <f>SUM(AT12:AT23)</f>
        <v>0</v>
      </c>
      <c r="AU11" s="176"/>
      <c r="AV11" s="177"/>
      <c r="AW11" s="177">
        <f>IFERROR(AX11/AV$3,0)</f>
        <v>0</v>
      </c>
      <c r="AX11" s="178">
        <f>SUM(AX12:AX23)</f>
        <v>0</v>
      </c>
      <c r="AY11" s="176"/>
      <c r="AZ11" s="177"/>
      <c r="BA11" s="177">
        <f>IFERROR(BB11/AZ$3,0)</f>
        <v>0</v>
      </c>
      <c r="BB11" s="178">
        <f>SUM(BB12:BB23)</f>
        <v>0</v>
      </c>
      <c r="BC11" s="176"/>
      <c r="BD11" s="177"/>
      <c r="BE11" s="177">
        <f>IFERROR(BF11/BD$3,0)</f>
        <v>0</v>
      </c>
      <c r="BF11" s="178">
        <f>SUM(BF12:BF23)</f>
        <v>0</v>
      </c>
      <c r="BG11" s="176"/>
      <c r="BH11" s="177"/>
      <c r="BI11" s="177">
        <f>IFERROR(BJ11/BH$3,0)</f>
        <v>0</v>
      </c>
      <c r="BJ11" s="178">
        <f>SUM(BJ12:BJ23)</f>
        <v>0</v>
      </c>
      <c r="BK11" s="176"/>
      <c r="BL11" s="177"/>
      <c r="BM11" s="177">
        <f>IFERROR(BN11/BL$3,0)</f>
        <v>0</v>
      </c>
      <c r="BN11" s="178">
        <f>SUM(BN12:BN23)</f>
        <v>0</v>
      </c>
      <c r="BO11" s="176"/>
      <c r="BP11" s="177"/>
      <c r="BQ11" s="177">
        <f>IFERROR(BR11/BP$3,0)</f>
        <v>0</v>
      </c>
      <c r="BR11" s="178">
        <f>SUM(BR12:BR23)</f>
        <v>0</v>
      </c>
      <c r="BS11" s="176"/>
      <c r="BT11" s="177"/>
      <c r="BU11" s="177">
        <f>IFERROR(BV11/BT$3,0)</f>
        <v>0</v>
      </c>
      <c r="BV11" s="178">
        <f>SUM(BV12:BV23)</f>
        <v>0</v>
      </c>
      <c r="BW11" s="176"/>
      <c r="BX11" s="177"/>
      <c r="BY11" s="177">
        <f>IFERROR(BZ11/BX$3,0)</f>
        <v>0</v>
      </c>
      <c r="BZ11" s="178">
        <f>SUM(BZ12:BZ23)</f>
        <v>0</v>
      </c>
      <c r="CA11" s="176"/>
      <c r="CB11" s="177"/>
      <c r="CC11" s="177">
        <f>IFERROR(CD11/CB$3,0)</f>
        <v>0</v>
      </c>
      <c r="CD11" s="178">
        <f>SUM(CD12:CD23)</f>
        <v>0</v>
      </c>
    </row>
    <row r="12" spans="1:82" x14ac:dyDescent="0.3">
      <c r="B12" s="53"/>
      <c r="C12" s="53" t="str">
        <f t="shared" si="0"/>
        <v>CPU_Administracaolocaldi</v>
      </c>
      <c r="D12" s="278">
        <f t="shared" si="1"/>
        <v>3</v>
      </c>
      <c r="E12" s="278">
        <f t="shared" si="2"/>
        <v>4</v>
      </c>
      <c r="F12" s="46"/>
      <c r="G12" s="28" t="str">
        <f>IFERROR(VLOOKUP(F12,Tabela7[[RECURSO]:[CUSTO]],2,FALSE),"")</f>
        <v/>
      </c>
      <c r="H12" s="92"/>
      <c r="I12" s="90"/>
      <c r="J12" s="45">
        <f>IFERROR(VLOOKUP(F12,Tabela7[[RECURSO]:[CUSTO]],3,FALSE),0)</f>
        <v>0</v>
      </c>
      <c r="K12" s="45">
        <f>I12*J12*CPU_18[[#This Row],[Nº]]</f>
        <v>0</v>
      </c>
      <c r="M12" s="31"/>
      <c r="N12" s="297"/>
      <c r="O12" s="60">
        <f>IFERROR($B$6/(H12*I12*N12),0)</f>
        <v>0</v>
      </c>
      <c r="AD12" s="144" t="str">
        <f t="shared" ref="AD12:AD62" si="3">$B$3</f>
        <v>Administracao local diversos</v>
      </c>
      <c r="AE12" s="179"/>
      <c r="AF12" s="180">
        <f>AJ12+AN12+AR12+AV12+AZ12+BD12+BH12+BL12+BP12+BT12+BX12+CB12</f>
        <v>0</v>
      </c>
      <c r="AG12" s="180">
        <f>IFERROR(AH12/AF12,0)</f>
        <v>0</v>
      </c>
      <c r="AH12" s="181">
        <f>AL12+AP12+AT12+AX12+BB12+BF12+BJ12+BN12+BR12+BV12+BZ12+CD12</f>
        <v>0</v>
      </c>
      <c r="AI12" s="182"/>
      <c r="AJ12" s="90"/>
      <c r="AK12" s="90"/>
      <c r="AL12" s="183">
        <f>AJ12*AK12</f>
        <v>0</v>
      </c>
      <c r="AM12" s="182"/>
      <c r="AN12" s="90"/>
      <c r="AO12" s="90"/>
      <c r="AP12" s="183">
        <f t="shared" ref="AP12:AP23" si="4">AN12*AO12</f>
        <v>0</v>
      </c>
      <c r="AQ12" s="182"/>
      <c r="AR12" s="90"/>
      <c r="AS12" s="90"/>
      <c r="AT12" s="183">
        <f t="shared" ref="AT12:AT23" si="5">AR12*AS12</f>
        <v>0</v>
      </c>
      <c r="AU12" s="182"/>
      <c r="AV12" s="90"/>
      <c r="AW12" s="90"/>
      <c r="AX12" s="183">
        <f t="shared" ref="AX12:AX23" si="6">AV12*AW12</f>
        <v>0</v>
      </c>
      <c r="AY12" s="182"/>
      <c r="AZ12" s="90"/>
      <c r="BA12" s="90"/>
      <c r="BB12" s="183">
        <f t="shared" ref="BB12:BB23" si="7">AZ12*BA12</f>
        <v>0</v>
      </c>
      <c r="BC12" s="182"/>
      <c r="BD12" s="90"/>
      <c r="BE12" s="90"/>
      <c r="BF12" s="183">
        <f t="shared" ref="BF12:BF23" si="8">BD12*BE12</f>
        <v>0</v>
      </c>
      <c r="BG12" s="182"/>
      <c r="BH12" s="90"/>
      <c r="BI12" s="90"/>
      <c r="BJ12" s="183">
        <f t="shared" ref="BJ12:BJ23" si="9">BH12*BI12</f>
        <v>0</v>
      </c>
      <c r="BK12" s="182"/>
      <c r="BL12" s="90"/>
      <c r="BM12" s="90"/>
      <c r="BN12" s="183">
        <f t="shared" ref="BN12:BN23" si="10">BL12*BM12</f>
        <v>0</v>
      </c>
      <c r="BO12" s="182"/>
      <c r="BP12" s="90"/>
      <c r="BQ12" s="90"/>
      <c r="BR12" s="183">
        <f t="shared" ref="BR12:BR23" si="11">BP12*BQ12</f>
        <v>0</v>
      </c>
      <c r="BS12" s="182"/>
      <c r="BT12" s="90"/>
      <c r="BU12" s="90"/>
      <c r="BV12" s="183">
        <f t="shared" ref="BV12:BV23" si="12">BT12*BU12</f>
        <v>0</v>
      </c>
      <c r="BW12" s="182"/>
      <c r="BX12" s="90"/>
      <c r="BY12" s="90"/>
      <c r="BZ12" s="183">
        <f t="shared" ref="BZ12:BZ23" si="13">BX12*BY12</f>
        <v>0</v>
      </c>
      <c r="CA12" s="182"/>
      <c r="CB12" s="90"/>
      <c r="CC12" s="90"/>
      <c r="CD12" s="183">
        <f t="shared" ref="CD12:CD23" si="14">CB12*CC12</f>
        <v>0</v>
      </c>
    </row>
    <row r="13" spans="1:82" x14ac:dyDescent="0.3">
      <c r="B13" s="53"/>
      <c r="C13" s="53" t="str">
        <f t="shared" si="0"/>
        <v>CPU_Administracaolocaldi</v>
      </c>
      <c r="D13" s="278">
        <f t="shared" si="1"/>
        <v>3</v>
      </c>
      <c r="E13" s="278">
        <f t="shared" si="2"/>
        <v>4</v>
      </c>
      <c r="F13" s="1"/>
      <c r="G13" s="28" t="str">
        <f>IFERROR(VLOOKUP(F13,Tabela7[[RECURSO]:[CUSTO]],2,FALSE),"")</f>
        <v/>
      </c>
      <c r="H13" s="92"/>
      <c r="I13" s="90"/>
      <c r="J13" s="45">
        <f>IFERROR(VLOOKUP(F13,Tabela7[[RECURSO]:[CUSTO]],3,FALSE),0)</f>
        <v>0</v>
      </c>
      <c r="K13" s="45">
        <f>I13*J13*CPU_18[[#This Row],[Nº]]</f>
        <v>0</v>
      </c>
      <c r="M13" s="31"/>
      <c r="N13" s="297"/>
      <c r="O13" s="60">
        <f t="shared" ref="O13:O23" si="15">IFERROR($B$6/(H13*I13),0)</f>
        <v>0</v>
      </c>
      <c r="AD13" s="144" t="str">
        <f t="shared" si="3"/>
        <v>Administracao local diversos</v>
      </c>
      <c r="AE13" s="179"/>
      <c r="AF13" s="180">
        <f t="shared" ref="AF13:AF23" si="16">AJ13+AN13+AR13+AV13+AZ13+BD13+BH13+BL13+BP13+BT13+BX13+CB13</f>
        <v>0</v>
      </c>
      <c r="AG13" s="180">
        <f t="shared" ref="AG13:AG62" si="17">IFERROR(AH13/AF13,0)</f>
        <v>0</v>
      </c>
      <c r="AH13" s="181">
        <f t="shared" ref="AH13:AH23" si="18">AL13+AP13+AT13+AX13+BB13+BF13+BJ13+BN13+BR13+BV13+BZ13+CD13</f>
        <v>0</v>
      </c>
      <c r="AI13" s="182"/>
      <c r="AJ13" s="90"/>
      <c r="AK13" s="90"/>
      <c r="AL13" s="183">
        <f t="shared" ref="AL13:AL23" si="19">AJ13*AK13</f>
        <v>0</v>
      </c>
      <c r="AM13" s="182"/>
      <c r="AN13" s="90"/>
      <c r="AO13" s="90"/>
      <c r="AP13" s="183">
        <f t="shared" si="4"/>
        <v>0</v>
      </c>
      <c r="AQ13" s="182"/>
      <c r="AR13" s="90"/>
      <c r="AS13" s="90"/>
      <c r="AT13" s="183">
        <f t="shared" si="5"/>
        <v>0</v>
      </c>
      <c r="AU13" s="182"/>
      <c r="AV13" s="90"/>
      <c r="AW13" s="90"/>
      <c r="AX13" s="183">
        <f t="shared" si="6"/>
        <v>0</v>
      </c>
      <c r="AY13" s="182"/>
      <c r="AZ13" s="90"/>
      <c r="BA13" s="90"/>
      <c r="BB13" s="183">
        <f t="shared" si="7"/>
        <v>0</v>
      </c>
      <c r="BC13" s="182"/>
      <c r="BD13" s="90"/>
      <c r="BE13" s="90"/>
      <c r="BF13" s="183">
        <f t="shared" si="8"/>
        <v>0</v>
      </c>
      <c r="BG13" s="182"/>
      <c r="BH13" s="90"/>
      <c r="BI13" s="90"/>
      <c r="BJ13" s="183">
        <f t="shared" si="9"/>
        <v>0</v>
      </c>
      <c r="BK13" s="182"/>
      <c r="BL13" s="90"/>
      <c r="BM13" s="90"/>
      <c r="BN13" s="183">
        <f t="shared" si="10"/>
        <v>0</v>
      </c>
      <c r="BO13" s="182"/>
      <c r="BP13" s="90"/>
      <c r="BQ13" s="90"/>
      <c r="BR13" s="183">
        <f t="shared" si="11"/>
        <v>0</v>
      </c>
      <c r="BS13" s="182"/>
      <c r="BT13" s="90"/>
      <c r="BU13" s="90"/>
      <c r="BV13" s="183">
        <f t="shared" si="12"/>
        <v>0</v>
      </c>
      <c r="BW13" s="182"/>
      <c r="BX13" s="90"/>
      <c r="BY13" s="90"/>
      <c r="BZ13" s="183">
        <f t="shared" si="13"/>
        <v>0</v>
      </c>
      <c r="CA13" s="182"/>
      <c r="CB13" s="90"/>
      <c r="CC13" s="90"/>
      <c r="CD13" s="183">
        <f t="shared" si="14"/>
        <v>0</v>
      </c>
    </row>
    <row r="14" spans="1:82" x14ac:dyDescent="0.3">
      <c r="B14" s="53"/>
      <c r="C14" s="53" t="str">
        <f t="shared" si="0"/>
        <v>CPU_Administracaolocaldi</v>
      </c>
      <c r="D14" s="278">
        <f t="shared" si="1"/>
        <v>3</v>
      </c>
      <c r="E14" s="278">
        <f t="shared" si="2"/>
        <v>4</v>
      </c>
      <c r="F14" s="1"/>
      <c r="G14" s="28" t="str">
        <f>IFERROR(VLOOKUP(F14,Tabela7[[RECURSO]:[CUSTO]],2,FALSE),"")</f>
        <v/>
      </c>
      <c r="H14" s="92"/>
      <c r="I14" s="90"/>
      <c r="J14" s="45">
        <f>IFERROR(VLOOKUP(F14,Tabela7[[RECURSO]:[CUSTO]],3,FALSE),0)</f>
        <v>0</v>
      </c>
      <c r="K14" s="45">
        <f>I14*J14*CPU_18[[#This Row],[Nº]]</f>
        <v>0</v>
      </c>
      <c r="M14" s="31"/>
      <c r="N14" s="297"/>
      <c r="O14" s="60">
        <f t="shared" si="15"/>
        <v>0</v>
      </c>
      <c r="AD14" s="144" t="str">
        <f t="shared" si="3"/>
        <v>Administracao local diversos</v>
      </c>
      <c r="AE14" s="179"/>
      <c r="AF14" s="180">
        <f t="shared" si="16"/>
        <v>0</v>
      </c>
      <c r="AG14" s="180">
        <f t="shared" si="17"/>
        <v>0</v>
      </c>
      <c r="AH14" s="181">
        <f t="shared" si="18"/>
        <v>0</v>
      </c>
      <c r="AI14" s="182"/>
      <c r="AJ14" s="90"/>
      <c r="AK14" s="90"/>
      <c r="AL14" s="183">
        <f t="shared" si="19"/>
        <v>0</v>
      </c>
      <c r="AM14" s="182"/>
      <c r="AN14" s="90"/>
      <c r="AO14" s="90"/>
      <c r="AP14" s="183">
        <f t="shared" si="4"/>
        <v>0</v>
      </c>
      <c r="AQ14" s="182"/>
      <c r="AR14" s="90"/>
      <c r="AS14" s="90"/>
      <c r="AT14" s="183">
        <f t="shared" si="5"/>
        <v>0</v>
      </c>
      <c r="AU14" s="182"/>
      <c r="AV14" s="90"/>
      <c r="AW14" s="90"/>
      <c r="AX14" s="183">
        <f t="shared" si="6"/>
        <v>0</v>
      </c>
      <c r="AY14" s="182"/>
      <c r="AZ14" s="90"/>
      <c r="BA14" s="90"/>
      <c r="BB14" s="183">
        <f t="shared" si="7"/>
        <v>0</v>
      </c>
      <c r="BC14" s="182"/>
      <c r="BD14" s="90"/>
      <c r="BE14" s="90"/>
      <c r="BF14" s="183">
        <f t="shared" si="8"/>
        <v>0</v>
      </c>
      <c r="BG14" s="182"/>
      <c r="BH14" s="90"/>
      <c r="BI14" s="90"/>
      <c r="BJ14" s="183">
        <f t="shared" si="9"/>
        <v>0</v>
      </c>
      <c r="BK14" s="182"/>
      <c r="BL14" s="90"/>
      <c r="BM14" s="90"/>
      <c r="BN14" s="183">
        <f t="shared" si="10"/>
        <v>0</v>
      </c>
      <c r="BO14" s="182"/>
      <c r="BP14" s="90"/>
      <c r="BQ14" s="90"/>
      <c r="BR14" s="183">
        <f t="shared" si="11"/>
        <v>0</v>
      </c>
      <c r="BS14" s="182"/>
      <c r="BT14" s="90"/>
      <c r="BU14" s="90"/>
      <c r="BV14" s="183">
        <f t="shared" si="12"/>
        <v>0</v>
      </c>
      <c r="BW14" s="182"/>
      <c r="BX14" s="90"/>
      <c r="BY14" s="90"/>
      <c r="BZ14" s="183">
        <f t="shared" si="13"/>
        <v>0</v>
      </c>
      <c r="CA14" s="182"/>
      <c r="CB14" s="90"/>
      <c r="CC14" s="90"/>
      <c r="CD14" s="183">
        <f t="shared" si="14"/>
        <v>0</v>
      </c>
    </row>
    <row r="15" spans="1:82" x14ac:dyDescent="0.3">
      <c r="B15" s="153"/>
      <c r="C15" s="153" t="str">
        <f t="shared" si="0"/>
        <v>CPU_Administracaolocaldi</v>
      </c>
      <c r="D15" s="279">
        <f t="shared" si="1"/>
        <v>3</v>
      </c>
      <c r="E15" s="279">
        <f t="shared" si="2"/>
        <v>4</v>
      </c>
      <c r="F15" s="1"/>
      <c r="G15" s="28" t="str">
        <f>IFERROR(VLOOKUP(F15,Tabela7[[RECURSO]:[CUSTO]],2,FALSE),"")</f>
        <v/>
      </c>
      <c r="H15" s="92"/>
      <c r="I15" s="90"/>
      <c r="J15" s="45">
        <f>IFERROR(VLOOKUP(F15,Tabela7[[RECURSO]:[CUSTO]],3,FALSE),0)</f>
        <v>0</v>
      </c>
      <c r="K15" s="45">
        <f>I15*J15*CPU_18[[#This Row],[Nº]]</f>
        <v>0</v>
      </c>
      <c r="M15" s="31"/>
      <c r="N15" s="297"/>
      <c r="O15" s="60">
        <f t="shared" si="15"/>
        <v>0</v>
      </c>
      <c r="AD15" s="144" t="str">
        <f t="shared" si="3"/>
        <v>Administracao local diversos</v>
      </c>
      <c r="AE15" s="179"/>
      <c r="AF15" s="180">
        <f t="shared" si="16"/>
        <v>0</v>
      </c>
      <c r="AG15" s="180">
        <f t="shared" si="17"/>
        <v>0</v>
      </c>
      <c r="AH15" s="181">
        <f t="shared" si="18"/>
        <v>0</v>
      </c>
      <c r="AI15" s="182"/>
      <c r="AJ15" s="90"/>
      <c r="AK15" s="90"/>
      <c r="AL15" s="183">
        <f t="shared" si="19"/>
        <v>0</v>
      </c>
      <c r="AM15" s="182"/>
      <c r="AN15" s="90"/>
      <c r="AO15" s="90"/>
      <c r="AP15" s="183">
        <f t="shared" si="4"/>
        <v>0</v>
      </c>
      <c r="AQ15" s="182"/>
      <c r="AR15" s="90"/>
      <c r="AS15" s="90"/>
      <c r="AT15" s="183">
        <f t="shared" si="5"/>
        <v>0</v>
      </c>
      <c r="AU15" s="182"/>
      <c r="AV15" s="90"/>
      <c r="AW15" s="90"/>
      <c r="AX15" s="183">
        <f t="shared" si="6"/>
        <v>0</v>
      </c>
      <c r="AY15" s="182"/>
      <c r="AZ15" s="90"/>
      <c r="BA15" s="90"/>
      <c r="BB15" s="183">
        <f t="shared" si="7"/>
        <v>0</v>
      </c>
      <c r="BC15" s="182"/>
      <c r="BD15" s="90"/>
      <c r="BE15" s="90"/>
      <c r="BF15" s="183">
        <f t="shared" si="8"/>
        <v>0</v>
      </c>
      <c r="BG15" s="182"/>
      <c r="BH15" s="90"/>
      <c r="BI15" s="90"/>
      <c r="BJ15" s="183">
        <f t="shared" si="9"/>
        <v>0</v>
      </c>
      <c r="BK15" s="182"/>
      <c r="BL15" s="90"/>
      <c r="BM15" s="90"/>
      <c r="BN15" s="183">
        <f t="shared" si="10"/>
        <v>0</v>
      </c>
      <c r="BO15" s="182"/>
      <c r="BP15" s="90"/>
      <c r="BQ15" s="90"/>
      <c r="BR15" s="183">
        <f t="shared" si="11"/>
        <v>0</v>
      </c>
      <c r="BS15" s="182"/>
      <c r="BT15" s="90"/>
      <c r="BU15" s="90"/>
      <c r="BV15" s="183">
        <f t="shared" si="12"/>
        <v>0</v>
      </c>
      <c r="BW15" s="182"/>
      <c r="BX15" s="90"/>
      <c r="BY15" s="90"/>
      <c r="BZ15" s="183">
        <f t="shared" si="13"/>
        <v>0</v>
      </c>
      <c r="CA15" s="182"/>
      <c r="CB15" s="90"/>
      <c r="CC15" s="90"/>
      <c r="CD15" s="183">
        <f t="shared" si="14"/>
        <v>0</v>
      </c>
    </row>
    <row r="16" spans="1:82" x14ac:dyDescent="0.3">
      <c r="B16" s="53"/>
      <c r="C16" s="53" t="str">
        <f t="shared" si="0"/>
        <v>CPU_Administracaolocaldi</v>
      </c>
      <c r="D16" s="278">
        <f t="shared" si="1"/>
        <v>3</v>
      </c>
      <c r="E16" s="278">
        <f t="shared" si="2"/>
        <v>4</v>
      </c>
      <c r="F16" s="1"/>
      <c r="G16" s="28" t="str">
        <f>IFERROR(VLOOKUP(F16,Tabela7[[RECURSO]:[CUSTO]],2,FALSE),"")</f>
        <v/>
      </c>
      <c r="H16" s="92"/>
      <c r="I16" s="90"/>
      <c r="J16" s="45">
        <f>IFERROR(VLOOKUP(F16,Tabela7[[RECURSO]:[CUSTO]],3,FALSE),0)</f>
        <v>0</v>
      </c>
      <c r="K16" s="45">
        <f>I16*J16*CPU_18[[#This Row],[Nº]]</f>
        <v>0</v>
      </c>
      <c r="M16" s="31"/>
      <c r="N16" s="297"/>
      <c r="O16" s="60">
        <f t="shared" si="15"/>
        <v>0</v>
      </c>
      <c r="AD16" s="144" t="str">
        <f t="shared" si="3"/>
        <v>Administracao local diversos</v>
      </c>
      <c r="AE16" s="179"/>
      <c r="AF16" s="180">
        <f t="shared" si="16"/>
        <v>0</v>
      </c>
      <c r="AG16" s="180">
        <f t="shared" si="17"/>
        <v>0</v>
      </c>
      <c r="AH16" s="181">
        <f t="shared" si="18"/>
        <v>0</v>
      </c>
      <c r="AI16" s="182"/>
      <c r="AJ16" s="90"/>
      <c r="AK16" s="90"/>
      <c r="AL16" s="183">
        <f t="shared" si="19"/>
        <v>0</v>
      </c>
      <c r="AM16" s="182"/>
      <c r="AN16" s="90"/>
      <c r="AO16" s="90"/>
      <c r="AP16" s="183">
        <f t="shared" si="4"/>
        <v>0</v>
      </c>
      <c r="AQ16" s="182"/>
      <c r="AR16" s="90"/>
      <c r="AS16" s="90"/>
      <c r="AT16" s="183">
        <f t="shared" si="5"/>
        <v>0</v>
      </c>
      <c r="AU16" s="182"/>
      <c r="AV16" s="90"/>
      <c r="AW16" s="90"/>
      <c r="AX16" s="183">
        <f t="shared" si="6"/>
        <v>0</v>
      </c>
      <c r="AY16" s="182"/>
      <c r="AZ16" s="90"/>
      <c r="BA16" s="90"/>
      <c r="BB16" s="183">
        <f t="shared" si="7"/>
        <v>0</v>
      </c>
      <c r="BC16" s="182"/>
      <c r="BD16" s="90"/>
      <c r="BE16" s="90"/>
      <c r="BF16" s="183">
        <f t="shared" si="8"/>
        <v>0</v>
      </c>
      <c r="BG16" s="182"/>
      <c r="BH16" s="90"/>
      <c r="BI16" s="90"/>
      <c r="BJ16" s="183">
        <f t="shared" si="9"/>
        <v>0</v>
      </c>
      <c r="BK16" s="182"/>
      <c r="BL16" s="90"/>
      <c r="BM16" s="90"/>
      <c r="BN16" s="183">
        <f t="shared" si="10"/>
        <v>0</v>
      </c>
      <c r="BO16" s="182"/>
      <c r="BP16" s="90"/>
      <c r="BQ16" s="90"/>
      <c r="BR16" s="183">
        <f t="shared" si="11"/>
        <v>0</v>
      </c>
      <c r="BS16" s="182"/>
      <c r="BT16" s="90"/>
      <c r="BU16" s="90"/>
      <c r="BV16" s="183">
        <f t="shared" si="12"/>
        <v>0</v>
      </c>
      <c r="BW16" s="182"/>
      <c r="BX16" s="90"/>
      <c r="BY16" s="90"/>
      <c r="BZ16" s="183">
        <f t="shared" si="13"/>
        <v>0</v>
      </c>
      <c r="CA16" s="182"/>
      <c r="CB16" s="90"/>
      <c r="CC16" s="90"/>
      <c r="CD16" s="183">
        <f t="shared" si="14"/>
        <v>0</v>
      </c>
    </row>
    <row r="17" spans="2:82" x14ac:dyDescent="0.3">
      <c r="B17" s="53"/>
      <c r="C17" s="53" t="str">
        <f t="shared" si="0"/>
        <v>CPU_Administracaolocaldi</v>
      </c>
      <c r="D17" s="278">
        <f t="shared" si="1"/>
        <v>3</v>
      </c>
      <c r="E17" s="278">
        <f t="shared" si="2"/>
        <v>4</v>
      </c>
      <c r="F17" s="1"/>
      <c r="G17" s="28" t="str">
        <f>IFERROR(VLOOKUP(F17,Tabela7[[RECURSO]:[CUSTO]],2,FALSE),"")</f>
        <v/>
      </c>
      <c r="H17" s="92"/>
      <c r="I17" s="90"/>
      <c r="J17" s="45">
        <f>IFERROR(VLOOKUP(F17,Tabela7[[RECURSO]:[CUSTO]],3,FALSE),0)</f>
        <v>0</v>
      </c>
      <c r="K17" s="45">
        <f>I17*J17*CPU_18[[#This Row],[Nº]]</f>
        <v>0</v>
      </c>
      <c r="M17" s="31"/>
      <c r="N17" s="297"/>
      <c r="O17" s="60">
        <f t="shared" si="15"/>
        <v>0</v>
      </c>
      <c r="AD17" s="144" t="str">
        <f t="shared" si="3"/>
        <v>Administracao local diversos</v>
      </c>
      <c r="AE17" s="179"/>
      <c r="AF17" s="180">
        <f t="shared" si="16"/>
        <v>0</v>
      </c>
      <c r="AG17" s="180">
        <f t="shared" si="17"/>
        <v>0</v>
      </c>
      <c r="AH17" s="181">
        <f t="shared" si="18"/>
        <v>0</v>
      </c>
      <c r="AI17" s="182"/>
      <c r="AJ17" s="90"/>
      <c r="AK17" s="90"/>
      <c r="AL17" s="183">
        <f t="shared" si="19"/>
        <v>0</v>
      </c>
      <c r="AM17" s="182"/>
      <c r="AN17" s="90"/>
      <c r="AO17" s="90"/>
      <c r="AP17" s="183">
        <f t="shared" si="4"/>
        <v>0</v>
      </c>
      <c r="AQ17" s="182"/>
      <c r="AR17" s="90"/>
      <c r="AS17" s="90"/>
      <c r="AT17" s="183">
        <f t="shared" si="5"/>
        <v>0</v>
      </c>
      <c r="AU17" s="182"/>
      <c r="AV17" s="90"/>
      <c r="AW17" s="90"/>
      <c r="AX17" s="183">
        <f t="shared" si="6"/>
        <v>0</v>
      </c>
      <c r="AY17" s="182"/>
      <c r="AZ17" s="90"/>
      <c r="BA17" s="90"/>
      <c r="BB17" s="183">
        <f t="shared" si="7"/>
        <v>0</v>
      </c>
      <c r="BC17" s="182"/>
      <c r="BD17" s="90"/>
      <c r="BE17" s="90"/>
      <c r="BF17" s="183">
        <f t="shared" si="8"/>
        <v>0</v>
      </c>
      <c r="BG17" s="182"/>
      <c r="BH17" s="90"/>
      <c r="BI17" s="90"/>
      <c r="BJ17" s="183">
        <f t="shared" si="9"/>
        <v>0</v>
      </c>
      <c r="BK17" s="182"/>
      <c r="BL17" s="90"/>
      <c r="BM17" s="90"/>
      <c r="BN17" s="183">
        <f t="shared" si="10"/>
        <v>0</v>
      </c>
      <c r="BO17" s="182"/>
      <c r="BP17" s="90"/>
      <c r="BQ17" s="90"/>
      <c r="BR17" s="183">
        <f t="shared" si="11"/>
        <v>0</v>
      </c>
      <c r="BS17" s="182"/>
      <c r="BT17" s="90"/>
      <c r="BU17" s="90"/>
      <c r="BV17" s="183">
        <f t="shared" si="12"/>
        <v>0</v>
      </c>
      <c r="BW17" s="182"/>
      <c r="BX17" s="90"/>
      <c r="BY17" s="90"/>
      <c r="BZ17" s="183">
        <f t="shared" si="13"/>
        <v>0</v>
      </c>
      <c r="CA17" s="182"/>
      <c r="CB17" s="90"/>
      <c r="CC17" s="90"/>
      <c r="CD17" s="183">
        <f t="shared" si="14"/>
        <v>0</v>
      </c>
    </row>
    <row r="18" spans="2:82" x14ac:dyDescent="0.3">
      <c r="B18" s="53"/>
      <c r="C18" s="53" t="str">
        <f t="shared" si="0"/>
        <v>CPU_Administracaolocaldi</v>
      </c>
      <c r="D18" s="278">
        <f t="shared" si="1"/>
        <v>3</v>
      </c>
      <c r="E18" s="278">
        <f t="shared" si="2"/>
        <v>4</v>
      </c>
      <c r="F18" s="1"/>
      <c r="G18" s="28" t="str">
        <f>IFERROR(VLOOKUP(F18,Tabela7[[RECURSO]:[CUSTO]],2,FALSE),"")</f>
        <v/>
      </c>
      <c r="H18" s="92"/>
      <c r="I18" s="90"/>
      <c r="J18" s="45">
        <f>IFERROR(VLOOKUP(F18,Tabela7[[RECURSO]:[CUSTO]],3,FALSE),0)</f>
        <v>0</v>
      </c>
      <c r="K18" s="45">
        <f>I18*J18*CPU_18[[#This Row],[Nº]]</f>
        <v>0</v>
      </c>
      <c r="M18" s="31"/>
      <c r="N18" s="297"/>
      <c r="O18" s="60">
        <f t="shared" si="15"/>
        <v>0</v>
      </c>
      <c r="AD18" s="144" t="str">
        <f t="shared" si="3"/>
        <v>Administracao local diversos</v>
      </c>
      <c r="AE18" s="179"/>
      <c r="AF18" s="180">
        <f t="shared" si="16"/>
        <v>0</v>
      </c>
      <c r="AG18" s="180">
        <f t="shared" si="17"/>
        <v>0</v>
      </c>
      <c r="AH18" s="181">
        <f t="shared" si="18"/>
        <v>0</v>
      </c>
      <c r="AI18" s="182"/>
      <c r="AJ18" s="90"/>
      <c r="AK18" s="90"/>
      <c r="AL18" s="183">
        <f t="shared" si="19"/>
        <v>0</v>
      </c>
      <c r="AM18" s="182"/>
      <c r="AN18" s="90"/>
      <c r="AO18" s="90"/>
      <c r="AP18" s="183">
        <f t="shared" si="4"/>
        <v>0</v>
      </c>
      <c r="AQ18" s="182"/>
      <c r="AR18" s="90"/>
      <c r="AS18" s="90"/>
      <c r="AT18" s="183">
        <f t="shared" si="5"/>
        <v>0</v>
      </c>
      <c r="AU18" s="182"/>
      <c r="AV18" s="90"/>
      <c r="AW18" s="90"/>
      <c r="AX18" s="183">
        <f t="shared" si="6"/>
        <v>0</v>
      </c>
      <c r="AY18" s="182"/>
      <c r="AZ18" s="90"/>
      <c r="BA18" s="90"/>
      <c r="BB18" s="183">
        <f t="shared" si="7"/>
        <v>0</v>
      </c>
      <c r="BC18" s="182"/>
      <c r="BD18" s="90"/>
      <c r="BE18" s="90"/>
      <c r="BF18" s="183">
        <f t="shared" si="8"/>
        <v>0</v>
      </c>
      <c r="BG18" s="182"/>
      <c r="BH18" s="90"/>
      <c r="BI18" s="90"/>
      <c r="BJ18" s="183">
        <f t="shared" si="9"/>
        <v>0</v>
      </c>
      <c r="BK18" s="182"/>
      <c r="BL18" s="90"/>
      <c r="BM18" s="90"/>
      <c r="BN18" s="183">
        <f t="shared" si="10"/>
        <v>0</v>
      </c>
      <c r="BO18" s="182"/>
      <c r="BP18" s="90"/>
      <c r="BQ18" s="90"/>
      <c r="BR18" s="183">
        <f t="shared" si="11"/>
        <v>0</v>
      </c>
      <c r="BS18" s="182"/>
      <c r="BT18" s="90"/>
      <c r="BU18" s="90"/>
      <c r="BV18" s="183">
        <f t="shared" si="12"/>
        <v>0</v>
      </c>
      <c r="BW18" s="182"/>
      <c r="BX18" s="90"/>
      <c r="BY18" s="90"/>
      <c r="BZ18" s="183">
        <f t="shared" si="13"/>
        <v>0</v>
      </c>
      <c r="CA18" s="182"/>
      <c r="CB18" s="90"/>
      <c r="CC18" s="90"/>
      <c r="CD18" s="183">
        <f t="shared" si="14"/>
        <v>0</v>
      </c>
    </row>
    <row r="19" spans="2:82" x14ac:dyDescent="0.3">
      <c r="B19" s="53"/>
      <c r="C19" s="53" t="str">
        <f t="shared" si="0"/>
        <v>CPU_Administracaolocaldi</v>
      </c>
      <c r="D19" s="278">
        <f t="shared" si="1"/>
        <v>3</v>
      </c>
      <c r="E19" s="278">
        <f t="shared" si="2"/>
        <v>4</v>
      </c>
      <c r="F19" s="1"/>
      <c r="G19" s="28" t="str">
        <f>IFERROR(VLOOKUP(F19,Tabela7[[RECURSO]:[CUSTO]],2,FALSE),"")</f>
        <v/>
      </c>
      <c r="H19" s="92"/>
      <c r="I19" s="90"/>
      <c r="J19" s="45">
        <f>IFERROR(VLOOKUP(F19,Tabela7[[RECURSO]:[CUSTO]],3,FALSE),0)</f>
        <v>0</v>
      </c>
      <c r="K19" s="45">
        <f>I19*J19*CPU_18[[#This Row],[Nº]]</f>
        <v>0</v>
      </c>
      <c r="M19" s="31"/>
      <c r="N19" s="297"/>
      <c r="O19" s="60">
        <f t="shared" si="15"/>
        <v>0</v>
      </c>
      <c r="AD19" s="144" t="str">
        <f t="shared" si="3"/>
        <v>Administracao local diversos</v>
      </c>
      <c r="AE19" s="179"/>
      <c r="AF19" s="180">
        <f t="shared" si="16"/>
        <v>0</v>
      </c>
      <c r="AG19" s="180">
        <f t="shared" si="17"/>
        <v>0</v>
      </c>
      <c r="AH19" s="181">
        <f t="shared" si="18"/>
        <v>0</v>
      </c>
      <c r="AI19" s="182"/>
      <c r="AJ19" s="90"/>
      <c r="AK19" s="90"/>
      <c r="AL19" s="183">
        <f t="shared" si="19"/>
        <v>0</v>
      </c>
      <c r="AM19" s="182"/>
      <c r="AN19" s="90"/>
      <c r="AO19" s="90"/>
      <c r="AP19" s="183">
        <f t="shared" si="4"/>
        <v>0</v>
      </c>
      <c r="AQ19" s="182"/>
      <c r="AR19" s="90"/>
      <c r="AS19" s="90"/>
      <c r="AT19" s="183">
        <f t="shared" si="5"/>
        <v>0</v>
      </c>
      <c r="AU19" s="182"/>
      <c r="AV19" s="90"/>
      <c r="AW19" s="90"/>
      <c r="AX19" s="183">
        <f t="shared" si="6"/>
        <v>0</v>
      </c>
      <c r="AY19" s="182"/>
      <c r="AZ19" s="90"/>
      <c r="BA19" s="90"/>
      <c r="BB19" s="183">
        <f t="shared" si="7"/>
        <v>0</v>
      </c>
      <c r="BC19" s="182"/>
      <c r="BD19" s="90"/>
      <c r="BE19" s="90"/>
      <c r="BF19" s="183">
        <f t="shared" si="8"/>
        <v>0</v>
      </c>
      <c r="BG19" s="182"/>
      <c r="BH19" s="90"/>
      <c r="BI19" s="90"/>
      <c r="BJ19" s="183">
        <f t="shared" si="9"/>
        <v>0</v>
      </c>
      <c r="BK19" s="182"/>
      <c r="BL19" s="90"/>
      <c r="BM19" s="90"/>
      <c r="BN19" s="183">
        <f t="shared" si="10"/>
        <v>0</v>
      </c>
      <c r="BO19" s="182"/>
      <c r="BP19" s="90"/>
      <c r="BQ19" s="90"/>
      <c r="BR19" s="183">
        <f t="shared" si="11"/>
        <v>0</v>
      </c>
      <c r="BS19" s="182"/>
      <c r="BT19" s="90"/>
      <c r="BU19" s="90"/>
      <c r="BV19" s="183">
        <f t="shared" si="12"/>
        <v>0</v>
      </c>
      <c r="BW19" s="182"/>
      <c r="BX19" s="90"/>
      <c r="BY19" s="90"/>
      <c r="BZ19" s="183">
        <f t="shared" si="13"/>
        <v>0</v>
      </c>
      <c r="CA19" s="182"/>
      <c r="CB19" s="90"/>
      <c r="CC19" s="90"/>
      <c r="CD19" s="183">
        <f t="shared" si="14"/>
        <v>0</v>
      </c>
    </row>
    <row r="20" spans="2:82" x14ac:dyDescent="0.3">
      <c r="B20" s="53"/>
      <c r="C20" s="53" t="str">
        <f t="shared" si="0"/>
        <v>CPU_Administracaolocaldi</v>
      </c>
      <c r="D20" s="278">
        <f t="shared" si="1"/>
        <v>3</v>
      </c>
      <c r="E20" s="278">
        <f t="shared" si="2"/>
        <v>4</v>
      </c>
      <c r="F20" s="1"/>
      <c r="G20" s="28" t="str">
        <f>IFERROR(VLOOKUP(F20,Tabela7[[RECURSO]:[CUSTO]],2,FALSE),"")</f>
        <v/>
      </c>
      <c r="H20" s="92"/>
      <c r="I20" s="90"/>
      <c r="J20" s="45">
        <f>IFERROR(VLOOKUP(F20,Tabela7[[RECURSO]:[CUSTO]],3,FALSE),0)</f>
        <v>0</v>
      </c>
      <c r="K20" s="45">
        <f>I20*J20*CPU_18[[#This Row],[Nº]]</f>
        <v>0</v>
      </c>
      <c r="M20" s="31"/>
      <c r="N20" s="297"/>
      <c r="O20" s="60">
        <f t="shared" si="15"/>
        <v>0</v>
      </c>
      <c r="AD20" s="144" t="str">
        <f t="shared" si="3"/>
        <v>Administracao local diversos</v>
      </c>
      <c r="AE20" s="179"/>
      <c r="AF20" s="180">
        <f t="shared" si="16"/>
        <v>0</v>
      </c>
      <c r="AG20" s="180">
        <f t="shared" si="17"/>
        <v>0</v>
      </c>
      <c r="AH20" s="181">
        <f t="shared" si="18"/>
        <v>0</v>
      </c>
      <c r="AI20" s="182"/>
      <c r="AJ20" s="90"/>
      <c r="AK20" s="90"/>
      <c r="AL20" s="183">
        <f t="shared" si="19"/>
        <v>0</v>
      </c>
      <c r="AM20" s="182"/>
      <c r="AN20" s="90"/>
      <c r="AO20" s="90"/>
      <c r="AP20" s="183">
        <f t="shared" si="4"/>
        <v>0</v>
      </c>
      <c r="AQ20" s="182"/>
      <c r="AR20" s="90"/>
      <c r="AS20" s="90"/>
      <c r="AT20" s="183">
        <f t="shared" si="5"/>
        <v>0</v>
      </c>
      <c r="AU20" s="182"/>
      <c r="AV20" s="90"/>
      <c r="AW20" s="90"/>
      <c r="AX20" s="183">
        <f t="shared" si="6"/>
        <v>0</v>
      </c>
      <c r="AY20" s="182"/>
      <c r="AZ20" s="90"/>
      <c r="BA20" s="90"/>
      <c r="BB20" s="183">
        <f t="shared" si="7"/>
        <v>0</v>
      </c>
      <c r="BC20" s="182"/>
      <c r="BD20" s="90"/>
      <c r="BE20" s="90"/>
      <c r="BF20" s="183">
        <f t="shared" si="8"/>
        <v>0</v>
      </c>
      <c r="BG20" s="182"/>
      <c r="BH20" s="90"/>
      <c r="BI20" s="90"/>
      <c r="BJ20" s="183">
        <f t="shared" si="9"/>
        <v>0</v>
      </c>
      <c r="BK20" s="182"/>
      <c r="BL20" s="90"/>
      <c r="BM20" s="90"/>
      <c r="BN20" s="183">
        <f t="shared" si="10"/>
        <v>0</v>
      </c>
      <c r="BO20" s="182"/>
      <c r="BP20" s="90"/>
      <c r="BQ20" s="90"/>
      <c r="BR20" s="183">
        <f t="shared" si="11"/>
        <v>0</v>
      </c>
      <c r="BS20" s="182"/>
      <c r="BT20" s="90"/>
      <c r="BU20" s="90"/>
      <c r="BV20" s="183">
        <f t="shared" si="12"/>
        <v>0</v>
      </c>
      <c r="BW20" s="182"/>
      <c r="BX20" s="90"/>
      <c r="BY20" s="90"/>
      <c r="BZ20" s="183">
        <f t="shared" si="13"/>
        <v>0</v>
      </c>
      <c r="CA20" s="182"/>
      <c r="CB20" s="90"/>
      <c r="CC20" s="90"/>
      <c r="CD20" s="183">
        <f t="shared" si="14"/>
        <v>0</v>
      </c>
    </row>
    <row r="21" spans="2:82" x14ac:dyDescent="0.3">
      <c r="B21" s="53"/>
      <c r="C21" s="53" t="str">
        <f t="shared" si="0"/>
        <v>CPU_Administracaolocaldi</v>
      </c>
      <c r="D21" s="278">
        <f t="shared" si="1"/>
        <v>3</v>
      </c>
      <c r="E21" s="278">
        <f t="shared" si="2"/>
        <v>4</v>
      </c>
      <c r="F21" s="1"/>
      <c r="G21" s="28" t="str">
        <f>IFERROR(VLOOKUP(F21,Tabela7[[RECURSO]:[CUSTO]],2,FALSE),"")</f>
        <v/>
      </c>
      <c r="H21" s="92"/>
      <c r="I21" s="90"/>
      <c r="J21" s="45">
        <f>IFERROR(VLOOKUP(F21,Tabela7[[RECURSO]:[CUSTO]],3,FALSE),0)</f>
        <v>0</v>
      </c>
      <c r="K21" s="45">
        <f>I21*J21*CPU_18[[#This Row],[Nº]]</f>
        <v>0</v>
      </c>
      <c r="M21" s="31"/>
      <c r="N21" s="297"/>
      <c r="O21" s="60">
        <f t="shared" si="15"/>
        <v>0</v>
      </c>
      <c r="AD21" s="144" t="str">
        <f t="shared" si="3"/>
        <v>Administracao local diversos</v>
      </c>
      <c r="AE21" s="179"/>
      <c r="AF21" s="180">
        <f t="shared" si="16"/>
        <v>0</v>
      </c>
      <c r="AG21" s="180">
        <f t="shared" si="17"/>
        <v>0</v>
      </c>
      <c r="AH21" s="181">
        <f t="shared" si="18"/>
        <v>0</v>
      </c>
      <c r="AI21" s="182"/>
      <c r="AJ21" s="90"/>
      <c r="AK21" s="90"/>
      <c r="AL21" s="183">
        <f t="shared" si="19"/>
        <v>0</v>
      </c>
      <c r="AM21" s="182"/>
      <c r="AN21" s="90"/>
      <c r="AO21" s="90"/>
      <c r="AP21" s="183">
        <f t="shared" si="4"/>
        <v>0</v>
      </c>
      <c r="AQ21" s="182"/>
      <c r="AR21" s="90"/>
      <c r="AS21" s="90"/>
      <c r="AT21" s="183">
        <f t="shared" si="5"/>
        <v>0</v>
      </c>
      <c r="AU21" s="182"/>
      <c r="AV21" s="90"/>
      <c r="AW21" s="90"/>
      <c r="AX21" s="183">
        <f t="shared" si="6"/>
        <v>0</v>
      </c>
      <c r="AY21" s="182"/>
      <c r="AZ21" s="90"/>
      <c r="BA21" s="90"/>
      <c r="BB21" s="183">
        <f t="shared" si="7"/>
        <v>0</v>
      </c>
      <c r="BC21" s="182"/>
      <c r="BD21" s="90"/>
      <c r="BE21" s="90"/>
      <c r="BF21" s="183">
        <f t="shared" si="8"/>
        <v>0</v>
      </c>
      <c r="BG21" s="182"/>
      <c r="BH21" s="90"/>
      <c r="BI21" s="90"/>
      <c r="BJ21" s="183">
        <f t="shared" si="9"/>
        <v>0</v>
      </c>
      <c r="BK21" s="182"/>
      <c r="BL21" s="90"/>
      <c r="BM21" s="90"/>
      <c r="BN21" s="183">
        <f t="shared" si="10"/>
        <v>0</v>
      </c>
      <c r="BO21" s="182"/>
      <c r="BP21" s="90"/>
      <c r="BQ21" s="90"/>
      <c r="BR21" s="183">
        <f t="shared" si="11"/>
        <v>0</v>
      </c>
      <c r="BS21" s="182"/>
      <c r="BT21" s="90"/>
      <c r="BU21" s="90"/>
      <c r="BV21" s="183">
        <f t="shared" si="12"/>
        <v>0</v>
      </c>
      <c r="BW21" s="182"/>
      <c r="BX21" s="90"/>
      <c r="BY21" s="90"/>
      <c r="BZ21" s="183">
        <f t="shared" si="13"/>
        <v>0</v>
      </c>
      <c r="CA21" s="182"/>
      <c r="CB21" s="90"/>
      <c r="CC21" s="90"/>
      <c r="CD21" s="183">
        <f t="shared" si="14"/>
        <v>0</v>
      </c>
    </row>
    <row r="22" spans="2:82" x14ac:dyDescent="0.3">
      <c r="B22" s="53"/>
      <c r="C22" s="53" t="str">
        <f t="shared" si="0"/>
        <v>CPU_Administracaolocaldi</v>
      </c>
      <c r="D22" s="278">
        <f t="shared" si="1"/>
        <v>3</v>
      </c>
      <c r="E22" s="278">
        <f t="shared" si="2"/>
        <v>4</v>
      </c>
      <c r="F22" s="1"/>
      <c r="G22" s="28" t="str">
        <f>IFERROR(VLOOKUP(F22,Tabela7[[RECURSO]:[CUSTO]],2,FALSE),"")</f>
        <v/>
      </c>
      <c r="H22" s="92"/>
      <c r="I22" s="90"/>
      <c r="J22" s="45">
        <f>IFERROR(VLOOKUP(F22,Tabela7[[RECURSO]:[CUSTO]],3,FALSE),0)</f>
        <v>0</v>
      </c>
      <c r="K22" s="45">
        <f>I22*J22*CPU_18[[#This Row],[Nº]]</f>
        <v>0</v>
      </c>
      <c r="M22" s="31"/>
      <c r="N22" s="297"/>
      <c r="O22" s="60">
        <f t="shared" si="15"/>
        <v>0</v>
      </c>
      <c r="AD22" s="144" t="str">
        <f t="shared" si="3"/>
        <v>Administracao local diversos</v>
      </c>
      <c r="AE22" s="179"/>
      <c r="AF22" s="180">
        <f t="shared" si="16"/>
        <v>0</v>
      </c>
      <c r="AG22" s="180">
        <f t="shared" si="17"/>
        <v>0</v>
      </c>
      <c r="AH22" s="181">
        <f t="shared" si="18"/>
        <v>0</v>
      </c>
      <c r="AI22" s="182"/>
      <c r="AJ22" s="90"/>
      <c r="AK22" s="90"/>
      <c r="AL22" s="183">
        <f t="shared" si="19"/>
        <v>0</v>
      </c>
      <c r="AM22" s="182"/>
      <c r="AN22" s="90"/>
      <c r="AO22" s="90"/>
      <c r="AP22" s="183">
        <f t="shared" si="4"/>
        <v>0</v>
      </c>
      <c r="AQ22" s="182"/>
      <c r="AR22" s="90"/>
      <c r="AS22" s="90"/>
      <c r="AT22" s="183">
        <f t="shared" si="5"/>
        <v>0</v>
      </c>
      <c r="AU22" s="182"/>
      <c r="AV22" s="90"/>
      <c r="AW22" s="90"/>
      <c r="AX22" s="183">
        <f t="shared" si="6"/>
        <v>0</v>
      </c>
      <c r="AY22" s="182"/>
      <c r="AZ22" s="90"/>
      <c r="BA22" s="90"/>
      <c r="BB22" s="183">
        <f t="shared" si="7"/>
        <v>0</v>
      </c>
      <c r="BC22" s="182"/>
      <c r="BD22" s="90"/>
      <c r="BE22" s="90"/>
      <c r="BF22" s="183">
        <f t="shared" si="8"/>
        <v>0</v>
      </c>
      <c r="BG22" s="182"/>
      <c r="BH22" s="90"/>
      <c r="BI22" s="90"/>
      <c r="BJ22" s="183">
        <f t="shared" si="9"/>
        <v>0</v>
      </c>
      <c r="BK22" s="182"/>
      <c r="BL22" s="90"/>
      <c r="BM22" s="90"/>
      <c r="BN22" s="183">
        <f t="shared" si="10"/>
        <v>0</v>
      </c>
      <c r="BO22" s="182"/>
      <c r="BP22" s="90"/>
      <c r="BQ22" s="90"/>
      <c r="BR22" s="183">
        <f t="shared" si="11"/>
        <v>0</v>
      </c>
      <c r="BS22" s="182"/>
      <c r="BT22" s="90"/>
      <c r="BU22" s="90"/>
      <c r="BV22" s="183">
        <f t="shared" si="12"/>
        <v>0</v>
      </c>
      <c r="BW22" s="182"/>
      <c r="BX22" s="90"/>
      <c r="BY22" s="90"/>
      <c r="BZ22" s="183">
        <f t="shared" si="13"/>
        <v>0</v>
      </c>
      <c r="CA22" s="182"/>
      <c r="CB22" s="90"/>
      <c r="CC22" s="90"/>
      <c r="CD22" s="183">
        <f t="shared" si="14"/>
        <v>0</v>
      </c>
    </row>
    <row r="23" spans="2:82" ht="15" thickBot="1" x14ac:dyDescent="0.35">
      <c r="B23" s="53"/>
      <c r="C23" s="53" t="str">
        <f t="shared" si="0"/>
        <v>CPU_Administracaolocaldi</v>
      </c>
      <c r="D23" s="278">
        <f t="shared" si="1"/>
        <v>3</v>
      </c>
      <c r="E23" s="278">
        <f t="shared" si="2"/>
        <v>4</v>
      </c>
      <c r="F23" s="1"/>
      <c r="G23" s="28" t="str">
        <f>IFERROR(VLOOKUP(F23,Tabela7[[RECURSO]:[CUSTO]],2,FALSE),"")</f>
        <v/>
      </c>
      <c r="H23" s="92"/>
      <c r="I23" s="90"/>
      <c r="J23" s="45">
        <f>IFERROR(VLOOKUP(F23,Tabela7[[RECURSO]:[CUSTO]],3,FALSE),0)</f>
        <v>0</v>
      </c>
      <c r="K23" s="45">
        <f>I23*J23*CPU_18[[#This Row],[Nº]]</f>
        <v>0</v>
      </c>
      <c r="M23" s="51"/>
      <c r="N23" s="298"/>
      <c r="O23" s="61">
        <f t="shared" si="15"/>
        <v>0</v>
      </c>
      <c r="AD23" s="144" t="str">
        <f t="shared" si="3"/>
        <v>Administracao local diversos</v>
      </c>
      <c r="AE23" s="179"/>
      <c r="AF23" s="180">
        <f t="shared" si="16"/>
        <v>0</v>
      </c>
      <c r="AG23" s="180">
        <f t="shared" si="17"/>
        <v>0</v>
      </c>
      <c r="AH23" s="181">
        <f t="shared" si="18"/>
        <v>0</v>
      </c>
      <c r="AI23" s="182"/>
      <c r="AJ23" s="90"/>
      <c r="AK23" s="90"/>
      <c r="AL23" s="183">
        <f t="shared" si="19"/>
        <v>0</v>
      </c>
      <c r="AM23" s="182"/>
      <c r="AN23" s="90"/>
      <c r="AO23" s="90"/>
      <c r="AP23" s="183">
        <f t="shared" si="4"/>
        <v>0</v>
      </c>
      <c r="AQ23" s="182"/>
      <c r="AR23" s="90"/>
      <c r="AS23" s="90"/>
      <c r="AT23" s="183">
        <f t="shared" si="5"/>
        <v>0</v>
      </c>
      <c r="AU23" s="182"/>
      <c r="AV23" s="90"/>
      <c r="AW23" s="90"/>
      <c r="AX23" s="183">
        <f t="shared" si="6"/>
        <v>0</v>
      </c>
      <c r="AY23" s="182"/>
      <c r="AZ23" s="90"/>
      <c r="BA23" s="90"/>
      <c r="BB23" s="183">
        <f t="shared" si="7"/>
        <v>0</v>
      </c>
      <c r="BC23" s="182"/>
      <c r="BD23" s="90"/>
      <c r="BE23" s="90"/>
      <c r="BF23" s="183">
        <f t="shared" si="8"/>
        <v>0</v>
      </c>
      <c r="BG23" s="182"/>
      <c r="BH23" s="90"/>
      <c r="BI23" s="90"/>
      <c r="BJ23" s="183">
        <f t="shared" si="9"/>
        <v>0</v>
      </c>
      <c r="BK23" s="182"/>
      <c r="BL23" s="90"/>
      <c r="BM23" s="90"/>
      <c r="BN23" s="183">
        <f t="shared" si="10"/>
        <v>0</v>
      </c>
      <c r="BO23" s="182"/>
      <c r="BP23" s="90"/>
      <c r="BQ23" s="90"/>
      <c r="BR23" s="183">
        <f t="shared" si="11"/>
        <v>0</v>
      </c>
      <c r="BS23" s="182"/>
      <c r="BT23" s="90"/>
      <c r="BU23" s="90"/>
      <c r="BV23" s="183">
        <f t="shared" si="12"/>
        <v>0</v>
      </c>
      <c r="BW23" s="182"/>
      <c r="BX23" s="90"/>
      <c r="BY23" s="90"/>
      <c r="BZ23" s="183">
        <f t="shared" si="13"/>
        <v>0</v>
      </c>
      <c r="CA23" s="182"/>
      <c r="CB23" s="90"/>
      <c r="CC23" s="90"/>
      <c r="CD23" s="183">
        <f t="shared" si="14"/>
        <v>0</v>
      </c>
    </row>
    <row r="24" spans="2:82" x14ac:dyDescent="0.3">
      <c r="B24" s="52" t="s">
        <v>686</v>
      </c>
      <c r="C24" s="52" t="str">
        <f t="shared" si="0"/>
        <v>CPU_Administracaolocaldi</v>
      </c>
      <c r="D24" s="277">
        <f t="shared" si="1"/>
        <v>3</v>
      </c>
      <c r="E24" s="277">
        <f t="shared" si="2"/>
        <v>4</v>
      </c>
      <c r="F24" s="37"/>
      <c r="G24" s="38"/>
      <c r="H24" s="91"/>
      <c r="I24" s="40"/>
      <c r="J24" s="40">
        <f>IFERROR(K24/$B$6,0)</f>
        <v>0</v>
      </c>
      <c r="K24" s="40">
        <f>SUM(K25:K36)</f>
        <v>0</v>
      </c>
      <c r="AD24" s="144" t="str">
        <f t="shared" si="3"/>
        <v>Administracao local diversos</v>
      </c>
      <c r="AE24" s="184"/>
      <c r="AF24" s="40"/>
      <c r="AG24" s="40">
        <f>IFERROR(AH24/AF$3,0)</f>
        <v>0</v>
      </c>
      <c r="AH24" s="185">
        <f>SUM(AH25:AH36)</f>
        <v>0</v>
      </c>
      <c r="AI24" s="184"/>
      <c r="AJ24" s="40"/>
      <c r="AK24" s="40">
        <f>IFERROR(AL24/AJ$3,0)</f>
        <v>0</v>
      </c>
      <c r="AL24" s="185">
        <f>SUM(AL25:AL36)</f>
        <v>0</v>
      </c>
      <c r="AM24" s="184"/>
      <c r="AN24" s="40"/>
      <c r="AO24" s="40">
        <f>IFERROR(AP24/AN$3,0)</f>
        <v>0</v>
      </c>
      <c r="AP24" s="185">
        <f>SUM(AP25:AP36)</f>
        <v>0</v>
      </c>
      <c r="AQ24" s="184"/>
      <c r="AR24" s="40"/>
      <c r="AS24" s="40">
        <f>IFERROR(AT24/AR$3,0)</f>
        <v>0</v>
      </c>
      <c r="AT24" s="185">
        <f>SUM(AT25:AT36)</f>
        <v>0</v>
      </c>
      <c r="AU24" s="184"/>
      <c r="AV24" s="40"/>
      <c r="AW24" s="40">
        <f>IFERROR(AX24/AV$3,0)</f>
        <v>0</v>
      </c>
      <c r="AX24" s="185">
        <f>SUM(AX25:AX36)</f>
        <v>0</v>
      </c>
      <c r="AY24" s="184"/>
      <c r="AZ24" s="40"/>
      <c r="BA24" s="40">
        <f>IFERROR(BB24/AZ$3,0)</f>
        <v>0</v>
      </c>
      <c r="BB24" s="185">
        <f>SUM(BB25:BB36)</f>
        <v>0</v>
      </c>
      <c r="BC24" s="184"/>
      <c r="BD24" s="40"/>
      <c r="BE24" s="40">
        <f>IFERROR(BF24/BD$3,0)</f>
        <v>0</v>
      </c>
      <c r="BF24" s="185">
        <f>SUM(BF25:BF36)</f>
        <v>0</v>
      </c>
      <c r="BG24" s="184"/>
      <c r="BH24" s="40"/>
      <c r="BI24" s="40">
        <f>IFERROR(BJ24/BH$3,0)</f>
        <v>0</v>
      </c>
      <c r="BJ24" s="185">
        <f>SUM(BJ25:BJ36)</f>
        <v>0</v>
      </c>
      <c r="BK24" s="184"/>
      <c r="BL24" s="40"/>
      <c r="BM24" s="40">
        <f>IFERROR(BN24/BL$3,0)</f>
        <v>0</v>
      </c>
      <c r="BN24" s="185">
        <f>SUM(BN25:BN36)</f>
        <v>0</v>
      </c>
      <c r="BO24" s="184"/>
      <c r="BP24" s="40"/>
      <c r="BQ24" s="40">
        <f>IFERROR(BR24/BP$3,0)</f>
        <v>0</v>
      </c>
      <c r="BR24" s="185">
        <f>SUM(BR25:BR36)</f>
        <v>0</v>
      </c>
      <c r="BS24" s="184"/>
      <c r="BT24" s="40"/>
      <c r="BU24" s="40">
        <f>IFERROR(BV24/BT$3,0)</f>
        <v>0</v>
      </c>
      <c r="BV24" s="185">
        <f>SUM(BV25:BV36)</f>
        <v>0</v>
      </c>
      <c r="BW24" s="184"/>
      <c r="BX24" s="40"/>
      <c r="BY24" s="40">
        <f>IFERROR(BZ24/BX$3,0)</f>
        <v>0</v>
      </c>
      <c r="BZ24" s="185">
        <f>SUM(BZ25:BZ36)</f>
        <v>0</v>
      </c>
      <c r="CA24" s="184"/>
      <c r="CB24" s="40"/>
      <c r="CC24" s="40">
        <f>IFERROR(CD24/CB$3,0)</f>
        <v>0</v>
      </c>
      <c r="CD24" s="185">
        <f>SUM(CD25:CD36)</f>
        <v>0</v>
      </c>
    </row>
    <row r="25" spans="2:82" x14ac:dyDescent="0.3">
      <c r="B25" s="53"/>
      <c r="C25" s="53" t="str">
        <f t="shared" si="0"/>
        <v>CPU_Administracaolocaldi</v>
      </c>
      <c r="D25" s="278">
        <f t="shared" si="1"/>
        <v>3</v>
      </c>
      <c r="E25" s="278">
        <f t="shared" si="2"/>
        <v>4</v>
      </c>
      <c r="F25" s="1"/>
      <c r="G25" s="28" t="str">
        <f>IFERROR(VLOOKUP(F25,Tabela7[[RECURSO]:[CUSTO]],2,FALSE),"")</f>
        <v/>
      </c>
      <c r="H25" s="93"/>
      <c r="I25" s="90">
        <f>IFERROR(SUMPRODUCT(I12:I23,M12:M23,H12:H23,N12:N23),0)</f>
        <v>0</v>
      </c>
      <c r="J25" s="45">
        <f>IFERROR(VLOOKUP(F25,Tabela7[[RECURSO]:[CUSTO]],3,FALSE),0)</f>
        <v>0</v>
      </c>
      <c r="K25" s="45">
        <f>I25*J25</f>
        <v>0</v>
      </c>
      <c r="AD25" s="144" t="str">
        <f t="shared" si="3"/>
        <v>Administracao local diversos</v>
      </c>
      <c r="AE25" s="179"/>
      <c r="AF25" s="180">
        <f t="shared" ref="AF25:AF36" si="20">AJ25+AN25+AR25+AV25+AZ25+BD25+BH25+BL25+BP25+BT25+BX25+CB25</f>
        <v>0</v>
      </c>
      <c r="AG25" s="180">
        <f t="shared" si="17"/>
        <v>0</v>
      </c>
      <c r="AH25" s="181">
        <f t="shared" ref="AH25:AH36" si="21">AL25+AP25+AT25+AX25+BB25+BF25+BJ25+BN25+BR25+BV25+BZ25+CD25</f>
        <v>0</v>
      </c>
      <c r="AI25" s="182"/>
      <c r="AJ25" s="90"/>
      <c r="AK25" s="90"/>
      <c r="AL25" s="183">
        <f t="shared" ref="AL25:AL36" si="22">AJ25*AK25</f>
        <v>0</v>
      </c>
      <c r="AM25" s="182"/>
      <c r="AN25" s="90"/>
      <c r="AO25" s="90"/>
      <c r="AP25" s="183">
        <f t="shared" ref="AP25:AP62" si="23">AN25*AO25</f>
        <v>0</v>
      </c>
      <c r="AQ25" s="182"/>
      <c r="AR25" s="90"/>
      <c r="AS25" s="90"/>
      <c r="AT25" s="183">
        <f t="shared" ref="AT25:AT62" si="24">AR25*AS25</f>
        <v>0</v>
      </c>
      <c r="AU25" s="182"/>
      <c r="AV25" s="90"/>
      <c r="AW25" s="90"/>
      <c r="AX25" s="183">
        <f t="shared" ref="AX25:AX62" si="25">AV25*AW25</f>
        <v>0</v>
      </c>
      <c r="AY25" s="182"/>
      <c r="AZ25" s="90"/>
      <c r="BA25" s="90"/>
      <c r="BB25" s="183">
        <f t="shared" ref="BB25:BB62" si="26">AZ25*BA25</f>
        <v>0</v>
      </c>
      <c r="BC25" s="182"/>
      <c r="BD25" s="90"/>
      <c r="BE25" s="90"/>
      <c r="BF25" s="183">
        <f t="shared" ref="BF25:BF62" si="27">BD25*BE25</f>
        <v>0</v>
      </c>
      <c r="BG25" s="182"/>
      <c r="BH25" s="90"/>
      <c r="BI25" s="90"/>
      <c r="BJ25" s="183">
        <f t="shared" ref="BJ25:BJ62" si="28">BH25*BI25</f>
        <v>0</v>
      </c>
      <c r="BK25" s="182"/>
      <c r="BL25" s="90"/>
      <c r="BM25" s="90"/>
      <c r="BN25" s="183">
        <f t="shared" ref="BN25:BN62" si="29">BL25*BM25</f>
        <v>0</v>
      </c>
      <c r="BO25" s="182"/>
      <c r="BP25" s="90"/>
      <c r="BQ25" s="90"/>
      <c r="BR25" s="183">
        <f t="shared" ref="BR25:BR62" si="30">BP25*BQ25</f>
        <v>0</v>
      </c>
      <c r="BS25" s="182"/>
      <c r="BT25" s="90"/>
      <c r="BU25" s="90"/>
      <c r="BV25" s="183">
        <f t="shared" ref="BV25:BV62" si="31">BT25*BU25</f>
        <v>0</v>
      </c>
      <c r="BW25" s="182"/>
      <c r="BX25" s="90"/>
      <c r="BY25" s="90"/>
      <c r="BZ25" s="183">
        <f t="shared" ref="BZ25:BZ62" si="32">BX25*BY25</f>
        <v>0</v>
      </c>
      <c r="CA25" s="182"/>
      <c r="CB25" s="90"/>
      <c r="CC25" s="90"/>
      <c r="CD25" s="183">
        <f t="shared" ref="CD25:CD62" si="33">CB25*CC25</f>
        <v>0</v>
      </c>
    </row>
    <row r="26" spans="2:82" x14ac:dyDescent="0.3">
      <c r="B26" s="53"/>
      <c r="C26" s="53" t="str">
        <f t="shared" si="0"/>
        <v>CPU_Administracaolocaldi</v>
      </c>
      <c r="D26" s="278">
        <f t="shared" si="1"/>
        <v>3</v>
      </c>
      <c r="E26" s="278">
        <f t="shared" si="2"/>
        <v>4</v>
      </c>
      <c r="F26" s="1"/>
      <c r="G26" s="28" t="str">
        <f>IFERROR(VLOOKUP(F26,Tabela7[[RECURSO]:[CUSTO]],2,FALSE),"")</f>
        <v/>
      </c>
      <c r="H26" s="93"/>
      <c r="I26" s="90"/>
      <c r="J26" s="45">
        <f>IFERROR(VLOOKUP(F26,Tabela7[[RECURSO]:[CUSTO]],3,FALSE),0)</f>
        <v>0</v>
      </c>
      <c r="K26" s="45">
        <f t="shared" ref="K26:K36" si="34">I26*J26</f>
        <v>0</v>
      </c>
      <c r="AD26" s="144" t="str">
        <f t="shared" si="3"/>
        <v>Administracao local diversos</v>
      </c>
      <c r="AE26" s="179"/>
      <c r="AF26" s="180">
        <f t="shared" si="20"/>
        <v>0</v>
      </c>
      <c r="AG26" s="180">
        <f t="shared" si="17"/>
        <v>0</v>
      </c>
      <c r="AH26" s="181">
        <f t="shared" si="21"/>
        <v>0</v>
      </c>
      <c r="AI26" s="182"/>
      <c r="AJ26" s="90"/>
      <c r="AK26" s="90"/>
      <c r="AL26" s="183">
        <f t="shared" si="22"/>
        <v>0</v>
      </c>
      <c r="AM26" s="182"/>
      <c r="AN26" s="90"/>
      <c r="AO26" s="90"/>
      <c r="AP26" s="183">
        <f t="shared" si="23"/>
        <v>0</v>
      </c>
      <c r="AQ26" s="182"/>
      <c r="AR26" s="90"/>
      <c r="AS26" s="90"/>
      <c r="AT26" s="183">
        <f t="shared" si="24"/>
        <v>0</v>
      </c>
      <c r="AU26" s="182"/>
      <c r="AV26" s="90"/>
      <c r="AW26" s="90"/>
      <c r="AX26" s="183">
        <f t="shared" si="25"/>
        <v>0</v>
      </c>
      <c r="AY26" s="182"/>
      <c r="AZ26" s="90"/>
      <c r="BA26" s="90"/>
      <c r="BB26" s="183">
        <f t="shared" si="26"/>
        <v>0</v>
      </c>
      <c r="BC26" s="182"/>
      <c r="BD26" s="90"/>
      <c r="BE26" s="90"/>
      <c r="BF26" s="183">
        <f t="shared" si="27"/>
        <v>0</v>
      </c>
      <c r="BG26" s="182"/>
      <c r="BH26" s="90"/>
      <c r="BI26" s="90"/>
      <c r="BJ26" s="183">
        <f t="shared" si="28"/>
        <v>0</v>
      </c>
      <c r="BK26" s="182"/>
      <c r="BL26" s="90"/>
      <c r="BM26" s="90"/>
      <c r="BN26" s="183">
        <f t="shared" si="29"/>
        <v>0</v>
      </c>
      <c r="BO26" s="182"/>
      <c r="BP26" s="90"/>
      <c r="BQ26" s="90"/>
      <c r="BR26" s="183">
        <f t="shared" si="30"/>
        <v>0</v>
      </c>
      <c r="BS26" s="182"/>
      <c r="BT26" s="90"/>
      <c r="BU26" s="90"/>
      <c r="BV26" s="183">
        <f t="shared" si="31"/>
        <v>0</v>
      </c>
      <c r="BW26" s="182"/>
      <c r="BX26" s="90"/>
      <c r="BY26" s="90"/>
      <c r="BZ26" s="183">
        <f t="shared" si="32"/>
        <v>0</v>
      </c>
      <c r="CA26" s="182"/>
      <c r="CB26" s="90"/>
      <c r="CC26" s="90"/>
      <c r="CD26" s="183">
        <f t="shared" si="33"/>
        <v>0</v>
      </c>
    </row>
    <row r="27" spans="2:82" x14ac:dyDescent="0.3">
      <c r="B27" s="53"/>
      <c r="C27" s="53" t="str">
        <f t="shared" si="0"/>
        <v>CPU_Administracaolocaldi</v>
      </c>
      <c r="D27" s="278">
        <f t="shared" si="1"/>
        <v>3</v>
      </c>
      <c r="E27" s="278">
        <f t="shared" si="2"/>
        <v>4</v>
      </c>
      <c r="F27" s="1"/>
      <c r="G27" s="28" t="str">
        <f>IFERROR(VLOOKUP(F27,Tabela7[[RECURSO]:[CUSTO]],2,FALSE),"")</f>
        <v/>
      </c>
      <c r="H27" s="93"/>
      <c r="I27" s="90"/>
      <c r="J27" s="45">
        <f>IFERROR(VLOOKUP(F27,Tabela7[[RECURSO]:[CUSTO]],3,FALSE),0)</f>
        <v>0</v>
      </c>
      <c r="K27" s="45">
        <f t="shared" si="34"/>
        <v>0</v>
      </c>
      <c r="AD27" s="144" t="str">
        <f t="shared" si="3"/>
        <v>Administracao local diversos</v>
      </c>
      <c r="AE27" s="179"/>
      <c r="AF27" s="180">
        <f t="shared" si="20"/>
        <v>0</v>
      </c>
      <c r="AG27" s="180">
        <f t="shared" si="17"/>
        <v>0</v>
      </c>
      <c r="AH27" s="181">
        <f t="shared" si="21"/>
        <v>0</v>
      </c>
      <c r="AI27" s="182"/>
      <c r="AJ27" s="90"/>
      <c r="AK27" s="90"/>
      <c r="AL27" s="183">
        <f t="shared" si="22"/>
        <v>0</v>
      </c>
      <c r="AM27" s="182"/>
      <c r="AN27" s="90"/>
      <c r="AO27" s="90"/>
      <c r="AP27" s="183">
        <f t="shared" si="23"/>
        <v>0</v>
      </c>
      <c r="AQ27" s="182"/>
      <c r="AR27" s="90"/>
      <c r="AS27" s="90"/>
      <c r="AT27" s="183">
        <f t="shared" si="24"/>
        <v>0</v>
      </c>
      <c r="AU27" s="182"/>
      <c r="AV27" s="90"/>
      <c r="AW27" s="90"/>
      <c r="AX27" s="183">
        <f t="shared" si="25"/>
        <v>0</v>
      </c>
      <c r="AY27" s="182"/>
      <c r="AZ27" s="90"/>
      <c r="BA27" s="90"/>
      <c r="BB27" s="183">
        <f t="shared" si="26"/>
        <v>0</v>
      </c>
      <c r="BC27" s="182"/>
      <c r="BD27" s="90"/>
      <c r="BE27" s="90"/>
      <c r="BF27" s="183">
        <f t="shared" si="27"/>
        <v>0</v>
      </c>
      <c r="BG27" s="182"/>
      <c r="BH27" s="90"/>
      <c r="BI27" s="90"/>
      <c r="BJ27" s="183">
        <f t="shared" si="28"/>
        <v>0</v>
      </c>
      <c r="BK27" s="182"/>
      <c r="BL27" s="90"/>
      <c r="BM27" s="90"/>
      <c r="BN27" s="183">
        <f t="shared" si="29"/>
        <v>0</v>
      </c>
      <c r="BO27" s="182"/>
      <c r="BP27" s="90"/>
      <c r="BQ27" s="90"/>
      <c r="BR27" s="183">
        <f t="shared" si="30"/>
        <v>0</v>
      </c>
      <c r="BS27" s="182"/>
      <c r="BT27" s="90"/>
      <c r="BU27" s="90"/>
      <c r="BV27" s="183">
        <f t="shared" si="31"/>
        <v>0</v>
      </c>
      <c r="BW27" s="182"/>
      <c r="BX27" s="90"/>
      <c r="BY27" s="90"/>
      <c r="BZ27" s="183">
        <f t="shared" si="32"/>
        <v>0</v>
      </c>
      <c r="CA27" s="182"/>
      <c r="CB27" s="90"/>
      <c r="CC27" s="90"/>
      <c r="CD27" s="183">
        <f t="shared" si="33"/>
        <v>0</v>
      </c>
    </row>
    <row r="28" spans="2:82" x14ac:dyDescent="0.3">
      <c r="B28" s="53"/>
      <c r="C28" s="53" t="str">
        <f t="shared" si="0"/>
        <v>CPU_Administracaolocaldi</v>
      </c>
      <c r="D28" s="278">
        <f t="shared" si="1"/>
        <v>3</v>
      </c>
      <c r="E28" s="278">
        <f t="shared" si="2"/>
        <v>4</v>
      </c>
      <c r="F28" s="1"/>
      <c r="G28" s="28" t="str">
        <f>IFERROR(VLOOKUP(F28,Tabela7[[RECURSO]:[CUSTO]],2,FALSE),"")</f>
        <v/>
      </c>
      <c r="H28" s="93"/>
      <c r="I28" s="90"/>
      <c r="J28" s="45">
        <f>IFERROR(VLOOKUP(F28,Tabela7[[RECURSO]:[CUSTO]],3,FALSE),0)</f>
        <v>0</v>
      </c>
      <c r="K28" s="45">
        <f t="shared" si="34"/>
        <v>0</v>
      </c>
      <c r="AD28" s="144" t="str">
        <f t="shared" si="3"/>
        <v>Administracao local diversos</v>
      </c>
      <c r="AE28" s="179"/>
      <c r="AF28" s="180">
        <f t="shared" si="20"/>
        <v>0</v>
      </c>
      <c r="AG28" s="180">
        <f t="shared" si="17"/>
        <v>0</v>
      </c>
      <c r="AH28" s="181">
        <f t="shared" si="21"/>
        <v>0</v>
      </c>
      <c r="AI28" s="182"/>
      <c r="AJ28" s="90"/>
      <c r="AK28" s="90"/>
      <c r="AL28" s="183">
        <f t="shared" si="22"/>
        <v>0</v>
      </c>
      <c r="AM28" s="182"/>
      <c r="AN28" s="90"/>
      <c r="AO28" s="90"/>
      <c r="AP28" s="183">
        <f t="shared" si="23"/>
        <v>0</v>
      </c>
      <c r="AQ28" s="182"/>
      <c r="AR28" s="90"/>
      <c r="AS28" s="90"/>
      <c r="AT28" s="183">
        <f t="shared" si="24"/>
        <v>0</v>
      </c>
      <c r="AU28" s="182"/>
      <c r="AV28" s="90"/>
      <c r="AW28" s="90"/>
      <c r="AX28" s="183">
        <f t="shared" si="25"/>
        <v>0</v>
      </c>
      <c r="AY28" s="182"/>
      <c r="AZ28" s="90"/>
      <c r="BA28" s="90"/>
      <c r="BB28" s="183">
        <f t="shared" si="26"/>
        <v>0</v>
      </c>
      <c r="BC28" s="182"/>
      <c r="BD28" s="90"/>
      <c r="BE28" s="90"/>
      <c r="BF28" s="183">
        <f t="shared" si="27"/>
        <v>0</v>
      </c>
      <c r="BG28" s="182"/>
      <c r="BH28" s="90"/>
      <c r="BI28" s="90"/>
      <c r="BJ28" s="183">
        <f t="shared" si="28"/>
        <v>0</v>
      </c>
      <c r="BK28" s="182"/>
      <c r="BL28" s="90"/>
      <c r="BM28" s="90"/>
      <c r="BN28" s="183">
        <f t="shared" si="29"/>
        <v>0</v>
      </c>
      <c r="BO28" s="182"/>
      <c r="BP28" s="90"/>
      <c r="BQ28" s="90"/>
      <c r="BR28" s="183">
        <f t="shared" si="30"/>
        <v>0</v>
      </c>
      <c r="BS28" s="182"/>
      <c r="BT28" s="90"/>
      <c r="BU28" s="90"/>
      <c r="BV28" s="183">
        <f t="shared" si="31"/>
        <v>0</v>
      </c>
      <c r="BW28" s="182"/>
      <c r="BX28" s="90"/>
      <c r="BY28" s="90"/>
      <c r="BZ28" s="183">
        <f t="shared" si="32"/>
        <v>0</v>
      </c>
      <c r="CA28" s="182"/>
      <c r="CB28" s="90"/>
      <c r="CC28" s="90"/>
      <c r="CD28" s="183">
        <f t="shared" si="33"/>
        <v>0</v>
      </c>
    </row>
    <row r="29" spans="2:82" x14ac:dyDescent="0.3">
      <c r="B29" s="53"/>
      <c r="C29" s="53" t="str">
        <f t="shared" si="0"/>
        <v>CPU_Administracaolocaldi</v>
      </c>
      <c r="D29" s="278">
        <f t="shared" si="1"/>
        <v>3</v>
      </c>
      <c r="E29" s="278">
        <f t="shared" si="2"/>
        <v>4</v>
      </c>
      <c r="F29" s="1"/>
      <c r="G29" s="28" t="str">
        <f>IFERROR(VLOOKUP(F29,Tabela7[[RECURSO]:[CUSTO]],2,FALSE),"")</f>
        <v/>
      </c>
      <c r="H29" s="93"/>
      <c r="I29" s="90"/>
      <c r="J29" s="45">
        <f>IFERROR(VLOOKUP(F29,Tabela7[[RECURSO]:[CUSTO]],3,FALSE),0)</f>
        <v>0</v>
      </c>
      <c r="K29" s="45">
        <f t="shared" si="34"/>
        <v>0</v>
      </c>
      <c r="AD29" s="144" t="str">
        <f t="shared" si="3"/>
        <v>Administracao local diversos</v>
      </c>
      <c r="AE29" s="179"/>
      <c r="AF29" s="180">
        <f t="shared" si="20"/>
        <v>0</v>
      </c>
      <c r="AG29" s="180">
        <f t="shared" si="17"/>
        <v>0</v>
      </c>
      <c r="AH29" s="181">
        <f t="shared" si="21"/>
        <v>0</v>
      </c>
      <c r="AI29" s="182"/>
      <c r="AJ29" s="90"/>
      <c r="AK29" s="90"/>
      <c r="AL29" s="183">
        <f t="shared" si="22"/>
        <v>0</v>
      </c>
      <c r="AM29" s="182"/>
      <c r="AN29" s="90"/>
      <c r="AO29" s="90"/>
      <c r="AP29" s="183">
        <f t="shared" si="23"/>
        <v>0</v>
      </c>
      <c r="AQ29" s="182"/>
      <c r="AR29" s="90"/>
      <c r="AS29" s="90"/>
      <c r="AT29" s="183">
        <f t="shared" si="24"/>
        <v>0</v>
      </c>
      <c r="AU29" s="182"/>
      <c r="AV29" s="90"/>
      <c r="AW29" s="90"/>
      <c r="AX29" s="183">
        <f t="shared" si="25"/>
        <v>0</v>
      </c>
      <c r="AY29" s="182"/>
      <c r="AZ29" s="90"/>
      <c r="BA29" s="90"/>
      <c r="BB29" s="183">
        <f t="shared" si="26"/>
        <v>0</v>
      </c>
      <c r="BC29" s="182"/>
      <c r="BD29" s="90"/>
      <c r="BE29" s="90"/>
      <c r="BF29" s="183">
        <f t="shared" si="27"/>
        <v>0</v>
      </c>
      <c r="BG29" s="182"/>
      <c r="BH29" s="90"/>
      <c r="BI29" s="90"/>
      <c r="BJ29" s="183">
        <f t="shared" si="28"/>
        <v>0</v>
      </c>
      <c r="BK29" s="182"/>
      <c r="BL29" s="90"/>
      <c r="BM29" s="90"/>
      <c r="BN29" s="183">
        <f t="shared" si="29"/>
        <v>0</v>
      </c>
      <c r="BO29" s="182"/>
      <c r="BP29" s="90"/>
      <c r="BQ29" s="90"/>
      <c r="BR29" s="183">
        <f t="shared" si="30"/>
        <v>0</v>
      </c>
      <c r="BS29" s="182"/>
      <c r="BT29" s="90"/>
      <c r="BU29" s="90"/>
      <c r="BV29" s="183">
        <f t="shared" si="31"/>
        <v>0</v>
      </c>
      <c r="BW29" s="182"/>
      <c r="BX29" s="90"/>
      <c r="BY29" s="90"/>
      <c r="BZ29" s="183">
        <f t="shared" si="32"/>
        <v>0</v>
      </c>
      <c r="CA29" s="182"/>
      <c r="CB29" s="90"/>
      <c r="CC29" s="90"/>
      <c r="CD29" s="183">
        <f t="shared" si="33"/>
        <v>0</v>
      </c>
    </row>
    <row r="30" spans="2:82" x14ac:dyDescent="0.3">
      <c r="B30" s="53"/>
      <c r="C30" s="53" t="str">
        <f t="shared" si="0"/>
        <v>CPU_Administracaolocaldi</v>
      </c>
      <c r="D30" s="278">
        <f t="shared" si="1"/>
        <v>3</v>
      </c>
      <c r="E30" s="278">
        <f t="shared" si="2"/>
        <v>4</v>
      </c>
      <c r="F30" s="1"/>
      <c r="G30" s="28" t="str">
        <f>IFERROR(VLOOKUP(F30,Tabela7[[RECURSO]:[CUSTO]],2,FALSE),"")</f>
        <v/>
      </c>
      <c r="H30" s="93"/>
      <c r="I30" s="90"/>
      <c r="J30" s="45">
        <f>IFERROR(VLOOKUP(F30,Tabela7[[RECURSO]:[CUSTO]],3,FALSE),0)</f>
        <v>0</v>
      </c>
      <c r="K30" s="45">
        <f t="shared" si="34"/>
        <v>0</v>
      </c>
      <c r="AD30" s="144" t="str">
        <f t="shared" si="3"/>
        <v>Administracao local diversos</v>
      </c>
      <c r="AE30" s="179"/>
      <c r="AF30" s="180">
        <f t="shared" si="20"/>
        <v>0</v>
      </c>
      <c r="AG30" s="180">
        <f t="shared" si="17"/>
        <v>0</v>
      </c>
      <c r="AH30" s="181">
        <f t="shared" si="21"/>
        <v>0</v>
      </c>
      <c r="AI30" s="182"/>
      <c r="AJ30" s="90"/>
      <c r="AK30" s="90"/>
      <c r="AL30" s="183">
        <f t="shared" si="22"/>
        <v>0</v>
      </c>
      <c r="AM30" s="182"/>
      <c r="AN30" s="90"/>
      <c r="AO30" s="90"/>
      <c r="AP30" s="183">
        <f t="shared" si="23"/>
        <v>0</v>
      </c>
      <c r="AQ30" s="182"/>
      <c r="AR30" s="90"/>
      <c r="AS30" s="90"/>
      <c r="AT30" s="183">
        <f t="shared" si="24"/>
        <v>0</v>
      </c>
      <c r="AU30" s="182"/>
      <c r="AV30" s="90"/>
      <c r="AW30" s="90"/>
      <c r="AX30" s="183">
        <f t="shared" si="25"/>
        <v>0</v>
      </c>
      <c r="AY30" s="182"/>
      <c r="AZ30" s="90"/>
      <c r="BA30" s="90"/>
      <c r="BB30" s="183">
        <f t="shared" si="26"/>
        <v>0</v>
      </c>
      <c r="BC30" s="182"/>
      <c r="BD30" s="90"/>
      <c r="BE30" s="90"/>
      <c r="BF30" s="183">
        <f t="shared" si="27"/>
        <v>0</v>
      </c>
      <c r="BG30" s="182"/>
      <c r="BH30" s="90"/>
      <c r="BI30" s="90"/>
      <c r="BJ30" s="183">
        <f t="shared" si="28"/>
        <v>0</v>
      </c>
      <c r="BK30" s="182"/>
      <c r="BL30" s="90"/>
      <c r="BM30" s="90"/>
      <c r="BN30" s="183">
        <f t="shared" si="29"/>
        <v>0</v>
      </c>
      <c r="BO30" s="182"/>
      <c r="BP30" s="90"/>
      <c r="BQ30" s="90"/>
      <c r="BR30" s="183">
        <f t="shared" si="30"/>
        <v>0</v>
      </c>
      <c r="BS30" s="182"/>
      <c r="BT30" s="90"/>
      <c r="BU30" s="90"/>
      <c r="BV30" s="183">
        <f t="shared" si="31"/>
        <v>0</v>
      </c>
      <c r="BW30" s="182"/>
      <c r="BX30" s="90"/>
      <c r="BY30" s="90"/>
      <c r="BZ30" s="183">
        <f t="shared" si="32"/>
        <v>0</v>
      </c>
      <c r="CA30" s="182"/>
      <c r="CB30" s="90"/>
      <c r="CC30" s="90"/>
      <c r="CD30" s="183">
        <f t="shared" si="33"/>
        <v>0</v>
      </c>
    </row>
    <row r="31" spans="2:82" x14ac:dyDescent="0.3">
      <c r="B31" s="53"/>
      <c r="C31" s="53" t="str">
        <f t="shared" si="0"/>
        <v>CPU_Administracaolocaldi</v>
      </c>
      <c r="D31" s="278">
        <f t="shared" si="1"/>
        <v>3</v>
      </c>
      <c r="E31" s="278">
        <f t="shared" si="2"/>
        <v>4</v>
      </c>
      <c r="F31" s="1"/>
      <c r="G31" s="28" t="str">
        <f>IFERROR(VLOOKUP(F31,Tabela7[[RECURSO]:[CUSTO]],2,FALSE),"")</f>
        <v/>
      </c>
      <c r="H31" s="93"/>
      <c r="I31" s="90"/>
      <c r="J31" s="45">
        <f>IFERROR(VLOOKUP(F31,Tabela7[[RECURSO]:[CUSTO]],3,FALSE),0)</f>
        <v>0</v>
      </c>
      <c r="K31" s="45">
        <f t="shared" si="34"/>
        <v>0</v>
      </c>
      <c r="AD31" s="144" t="str">
        <f t="shared" si="3"/>
        <v>Administracao local diversos</v>
      </c>
      <c r="AE31" s="179"/>
      <c r="AF31" s="180">
        <f t="shared" si="20"/>
        <v>0</v>
      </c>
      <c r="AG31" s="180">
        <f t="shared" si="17"/>
        <v>0</v>
      </c>
      <c r="AH31" s="181">
        <f t="shared" si="21"/>
        <v>0</v>
      </c>
      <c r="AI31" s="182"/>
      <c r="AJ31" s="90"/>
      <c r="AK31" s="90"/>
      <c r="AL31" s="183">
        <f t="shared" si="22"/>
        <v>0</v>
      </c>
      <c r="AM31" s="182"/>
      <c r="AN31" s="90"/>
      <c r="AO31" s="90"/>
      <c r="AP31" s="183">
        <f t="shared" si="23"/>
        <v>0</v>
      </c>
      <c r="AQ31" s="182"/>
      <c r="AR31" s="90"/>
      <c r="AS31" s="90"/>
      <c r="AT31" s="183">
        <f t="shared" si="24"/>
        <v>0</v>
      </c>
      <c r="AU31" s="182"/>
      <c r="AV31" s="90"/>
      <c r="AW31" s="90"/>
      <c r="AX31" s="183">
        <f t="shared" si="25"/>
        <v>0</v>
      </c>
      <c r="AY31" s="182"/>
      <c r="AZ31" s="90"/>
      <c r="BA31" s="90"/>
      <c r="BB31" s="183">
        <f t="shared" si="26"/>
        <v>0</v>
      </c>
      <c r="BC31" s="182"/>
      <c r="BD31" s="90"/>
      <c r="BE31" s="90"/>
      <c r="BF31" s="183">
        <f t="shared" si="27"/>
        <v>0</v>
      </c>
      <c r="BG31" s="182"/>
      <c r="BH31" s="90"/>
      <c r="BI31" s="90"/>
      <c r="BJ31" s="183">
        <f t="shared" si="28"/>
        <v>0</v>
      </c>
      <c r="BK31" s="182"/>
      <c r="BL31" s="90"/>
      <c r="BM31" s="90"/>
      <c r="BN31" s="183">
        <f t="shared" si="29"/>
        <v>0</v>
      </c>
      <c r="BO31" s="182"/>
      <c r="BP31" s="90"/>
      <c r="BQ31" s="90"/>
      <c r="BR31" s="183">
        <f t="shared" si="30"/>
        <v>0</v>
      </c>
      <c r="BS31" s="182"/>
      <c r="BT31" s="90"/>
      <c r="BU31" s="90"/>
      <c r="BV31" s="183">
        <f t="shared" si="31"/>
        <v>0</v>
      </c>
      <c r="BW31" s="182"/>
      <c r="BX31" s="90"/>
      <c r="BY31" s="90"/>
      <c r="BZ31" s="183">
        <f t="shared" si="32"/>
        <v>0</v>
      </c>
      <c r="CA31" s="182"/>
      <c r="CB31" s="90"/>
      <c r="CC31" s="90"/>
      <c r="CD31" s="183">
        <f t="shared" si="33"/>
        <v>0</v>
      </c>
    </row>
    <row r="32" spans="2:82" x14ac:dyDescent="0.3">
      <c r="B32" s="53"/>
      <c r="C32" s="53" t="str">
        <f t="shared" si="0"/>
        <v>CPU_Administracaolocaldi</v>
      </c>
      <c r="D32" s="278">
        <f t="shared" si="1"/>
        <v>3</v>
      </c>
      <c r="E32" s="278">
        <f t="shared" si="2"/>
        <v>4</v>
      </c>
      <c r="F32" s="1"/>
      <c r="G32" s="28" t="str">
        <f>IFERROR(VLOOKUP(F32,Tabela7[[RECURSO]:[CUSTO]],2,FALSE),"")</f>
        <v/>
      </c>
      <c r="H32" s="93"/>
      <c r="I32" s="90"/>
      <c r="J32" s="45">
        <f>IFERROR(VLOOKUP(F32,Tabela7[[RECURSO]:[CUSTO]],3,FALSE),0)</f>
        <v>0</v>
      </c>
      <c r="K32" s="45">
        <f t="shared" si="34"/>
        <v>0</v>
      </c>
      <c r="AD32" s="144" t="str">
        <f t="shared" si="3"/>
        <v>Administracao local diversos</v>
      </c>
      <c r="AE32" s="179"/>
      <c r="AF32" s="180">
        <f t="shared" si="20"/>
        <v>0</v>
      </c>
      <c r="AG32" s="180">
        <f t="shared" si="17"/>
        <v>0</v>
      </c>
      <c r="AH32" s="181">
        <f t="shared" si="21"/>
        <v>0</v>
      </c>
      <c r="AI32" s="182"/>
      <c r="AJ32" s="90"/>
      <c r="AK32" s="90"/>
      <c r="AL32" s="183">
        <f t="shared" si="22"/>
        <v>0</v>
      </c>
      <c r="AM32" s="182"/>
      <c r="AN32" s="90"/>
      <c r="AO32" s="90"/>
      <c r="AP32" s="183">
        <f t="shared" si="23"/>
        <v>0</v>
      </c>
      <c r="AQ32" s="182"/>
      <c r="AR32" s="90"/>
      <c r="AS32" s="90"/>
      <c r="AT32" s="183">
        <f t="shared" si="24"/>
        <v>0</v>
      </c>
      <c r="AU32" s="182"/>
      <c r="AV32" s="90"/>
      <c r="AW32" s="90"/>
      <c r="AX32" s="183">
        <f t="shared" si="25"/>
        <v>0</v>
      </c>
      <c r="AY32" s="182"/>
      <c r="AZ32" s="90"/>
      <c r="BA32" s="90"/>
      <c r="BB32" s="183">
        <f t="shared" si="26"/>
        <v>0</v>
      </c>
      <c r="BC32" s="182"/>
      <c r="BD32" s="90"/>
      <c r="BE32" s="90"/>
      <c r="BF32" s="183">
        <f t="shared" si="27"/>
        <v>0</v>
      </c>
      <c r="BG32" s="182"/>
      <c r="BH32" s="90"/>
      <c r="BI32" s="90"/>
      <c r="BJ32" s="183">
        <f t="shared" si="28"/>
        <v>0</v>
      </c>
      <c r="BK32" s="182"/>
      <c r="BL32" s="90"/>
      <c r="BM32" s="90"/>
      <c r="BN32" s="183">
        <f t="shared" si="29"/>
        <v>0</v>
      </c>
      <c r="BO32" s="182"/>
      <c r="BP32" s="90"/>
      <c r="BQ32" s="90"/>
      <c r="BR32" s="183">
        <f t="shared" si="30"/>
        <v>0</v>
      </c>
      <c r="BS32" s="182"/>
      <c r="BT32" s="90"/>
      <c r="BU32" s="90"/>
      <c r="BV32" s="183">
        <f t="shared" si="31"/>
        <v>0</v>
      </c>
      <c r="BW32" s="182"/>
      <c r="BX32" s="90"/>
      <c r="BY32" s="90"/>
      <c r="BZ32" s="183">
        <f t="shared" si="32"/>
        <v>0</v>
      </c>
      <c r="CA32" s="182"/>
      <c r="CB32" s="90"/>
      <c r="CC32" s="90"/>
      <c r="CD32" s="183">
        <f t="shared" si="33"/>
        <v>0</v>
      </c>
    </row>
    <row r="33" spans="2:82" x14ac:dyDescent="0.3">
      <c r="B33" s="53"/>
      <c r="C33" s="53" t="str">
        <f t="shared" si="0"/>
        <v>CPU_Administracaolocaldi</v>
      </c>
      <c r="D33" s="278">
        <f t="shared" si="1"/>
        <v>3</v>
      </c>
      <c r="E33" s="278">
        <f t="shared" si="2"/>
        <v>4</v>
      </c>
      <c r="F33" s="1"/>
      <c r="G33" s="28" t="str">
        <f>IFERROR(VLOOKUP(F33,Tabela7[[RECURSO]:[CUSTO]],2,FALSE),"")</f>
        <v/>
      </c>
      <c r="H33" s="93"/>
      <c r="I33" s="90"/>
      <c r="J33" s="45">
        <f>IFERROR(VLOOKUP(F33,Tabela7[[RECURSO]:[CUSTO]],3,FALSE),0)</f>
        <v>0</v>
      </c>
      <c r="K33" s="45">
        <f t="shared" si="34"/>
        <v>0</v>
      </c>
      <c r="AD33" s="144" t="str">
        <f t="shared" si="3"/>
        <v>Administracao local diversos</v>
      </c>
      <c r="AE33" s="179"/>
      <c r="AF33" s="180">
        <f t="shared" si="20"/>
        <v>0</v>
      </c>
      <c r="AG33" s="180">
        <f t="shared" si="17"/>
        <v>0</v>
      </c>
      <c r="AH33" s="181">
        <f t="shared" si="21"/>
        <v>0</v>
      </c>
      <c r="AI33" s="182"/>
      <c r="AJ33" s="90"/>
      <c r="AK33" s="90"/>
      <c r="AL33" s="183">
        <f t="shared" si="22"/>
        <v>0</v>
      </c>
      <c r="AM33" s="182"/>
      <c r="AN33" s="90"/>
      <c r="AO33" s="90"/>
      <c r="AP33" s="183">
        <f t="shared" si="23"/>
        <v>0</v>
      </c>
      <c r="AQ33" s="182"/>
      <c r="AR33" s="90"/>
      <c r="AS33" s="90"/>
      <c r="AT33" s="183">
        <f t="shared" si="24"/>
        <v>0</v>
      </c>
      <c r="AU33" s="182"/>
      <c r="AV33" s="90"/>
      <c r="AW33" s="90"/>
      <c r="AX33" s="183">
        <f t="shared" si="25"/>
        <v>0</v>
      </c>
      <c r="AY33" s="182"/>
      <c r="AZ33" s="90"/>
      <c r="BA33" s="90"/>
      <c r="BB33" s="183">
        <f t="shared" si="26"/>
        <v>0</v>
      </c>
      <c r="BC33" s="182"/>
      <c r="BD33" s="90"/>
      <c r="BE33" s="90"/>
      <c r="BF33" s="183">
        <f t="shared" si="27"/>
        <v>0</v>
      </c>
      <c r="BG33" s="182"/>
      <c r="BH33" s="90"/>
      <c r="BI33" s="90"/>
      <c r="BJ33" s="183">
        <f t="shared" si="28"/>
        <v>0</v>
      </c>
      <c r="BK33" s="182"/>
      <c r="BL33" s="90"/>
      <c r="BM33" s="90"/>
      <c r="BN33" s="183">
        <f t="shared" si="29"/>
        <v>0</v>
      </c>
      <c r="BO33" s="182"/>
      <c r="BP33" s="90"/>
      <c r="BQ33" s="90"/>
      <c r="BR33" s="183">
        <f t="shared" si="30"/>
        <v>0</v>
      </c>
      <c r="BS33" s="182"/>
      <c r="BT33" s="90"/>
      <c r="BU33" s="90"/>
      <c r="BV33" s="183">
        <f t="shared" si="31"/>
        <v>0</v>
      </c>
      <c r="BW33" s="182"/>
      <c r="BX33" s="90"/>
      <c r="BY33" s="90"/>
      <c r="BZ33" s="183">
        <f t="shared" si="32"/>
        <v>0</v>
      </c>
      <c r="CA33" s="182"/>
      <c r="CB33" s="90"/>
      <c r="CC33" s="90"/>
      <c r="CD33" s="183">
        <f t="shared" si="33"/>
        <v>0</v>
      </c>
    </row>
    <row r="34" spans="2:82" x14ac:dyDescent="0.3">
      <c r="B34" s="53"/>
      <c r="C34" s="53" t="str">
        <f t="shared" si="0"/>
        <v>CPU_Administracaolocaldi</v>
      </c>
      <c r="D34" s="278">
        <f t="shared" si="1"/>
        <v>3</v>
      </c>
      <c r="E34" s="278">
        <f t="shared" si="2"/>
        <v>4</v>
      </c>
      <c r="F34" s="1"/>
      <c r="G34" s="28" t="str">
        <f>IFERROR(VLOOKUP(F34,Tabela7[[RECURSO]:[CUSTO]],2,FALSE),"")</f>
        <v/>
      </c>
      <c r="H34" s="93"/>
      <c r="I34" s="90"/>
      <c r="J34" s="45">
        <f>IFERROR(VLOOKUP(F34,Tabela7[[RECURSO]:[CUSTO]],3,FALSE),0)</f>
        <v>0</v>
      </c>
      <c r="K34" s="45">
        <f t="shared" si="34"/>
        <v>0</v>
      </c>
      <c r="AD34" s="144" t="str">
        <f t="shared" si="3"/>
        <v>Administracao local diversos</v>
      </c>
      <c r="AE34" s="179"/>
      <c r="AF34" s="180">
        <f t="shared" si="20"/>
        <v>0</v>
      </c>
      <c r="AG34" s="180">
        <f t="shared" si="17"/>
        <v>0</v>
      </c>
      <c r="AH34" s="181">
        <f t="shared" si="21"/>
        <v>0</v>
      </c>
      <c r="AI34" s="182"/>
      <c r="AJ34" s="90"/>
      <c r="AK34" s="90"/>
      <c r="AL34" s="183">
        <f t="shared" si="22"/>
        <v>0</v>
      </c>
      <c r="AM34" s="182"/>
      <c r="AN34" s="90"/>
      <c r="AO34" s="90"/>
      <c r="AP34" s="183">
        <f t="shared" si="23"/>
        <v>0</v>
      </c>
      <c r="AQ34" s="182"/>
      <c r="AR34" s="90"/>
      <c r="AS34" s="90"/>
      <c r="AT34" s="183">
        <f t="shared" si="24"/>
        <v>0</v>
      </c>
      <c r="AU34" s="182"/>
      <c r="AV34" s="90"/>
      <c r="AW34" s="90"/>
      <c r="AX34" s="183">
        <f t="shared" si="25"/>
        <v>0</v>
      </c>
      <c r="AY34" s="182"/>
      <c r="AZ34" s="90"/>
      <c r="BA34" s="90"/>
      <c r="BB34" s="183">
        <f t="shared" si="26"/>
        <v>0</v>
      </c>
      <c r="BC34" s="182"/>
      <c r="BD34" s="90"/>
      <c r="BE34" s="90"/>
      <c r="BF34" s="183">
        <f t="shared" si="27"/>
        <v>0</v>
      </c>
      <c r="BG34" s="182"/>
      <c r="BH34" s="90"/>
      <c r="BI34" s="90"/>
      <c r="BJ34" s="183">
        <f t="shared" si="28"/>
        <v>0</v>
      </c>
      <c r="BK34" s="182"/>
      <c r="BL34" s="90"/>
      <c r="BM34" s="90"/>
      <c r="BN34" s="183">
        <f t="shared" si="29"/>
        <v>0</v>
      </c>
      <c r="BO34" s="182"/>
      <c r="BP34" s="90"/>
      <c r="BQ34" s="90"/>
      <c r="BR34" s="183">
        <f t="shared" si="30"/>
        <v>0</v>
      </c>
      <c r="BS34" s="182"/>
      <c r="BT34" s="90"/>
      <c r="BU34" s="90"/>
      <c r="BV34" s="183">
        <f t="shared" si="31"/>
        <v>0</v>
      </c>
      <c r="BW34" s="182"/>
      <c r="BX34" s="90"/>
      <c r="BY34" s="90"/>
      <c r="BZ34" s="183">
        <f t="shared" si="32"/>
        <v>0</v>
      </c>
      <c r="CA34" s="182"/>
      <c r="CB34" s="90"/>
      <c r="CC34" s="90"/>
      <c r="CD34" s="183">
        <f t="shared" si="33"/>
        <v>0</v>
      </c>
    </row>
    <row r="35" spans="2:82" x14ac:dyDescent="0.3">
      <c r="B35" s="53"/>
      <c r="C35" s="53" t="str">
        <f t="shared" si="0"/>
        <v>CPU_Administracaolocaldi</v>
      </c>
      <c r="D35" s="278">
        <f t="shared" si="1"/>
        <v>3</v>
      </c>
      <c r="E35" s="278">
        <f t="shared" si="2"/>
        <v>4</v>
      </c>
      <c r="F35" s="1"/>
      <c r="G35" s="28" t="str">
        <f>IFERROR(VLOOKUP(F35,Tabela7[[RECURSO]:[CUSTO]],2,FALSE),"")</f>
        <v/>
      </c>
      <c r="H35" s="93"/>
      <c r="I35" s="90"/>
      <c r="J35" s="45">
        <f>IFERROR(VLOOKUP(F35,Tabela7[[RECURSO]:[CUSTO]],3,FALSE),0)</f>
        <v>0</v>
      </c>
      <c r="K35" s="45">
        <f t="shared" si="34"/>
        <v>0</v>
      </c>
      <c r="AD35" s="144" t="str">
        <f t="shared" si="3"/>
        <v>Administracao local diversos</v>
      </c>
      <c r="AE35" s="179"/>
      <c r="AF35" s="180">
        <f t="shared" si="20"/>
        <v>0</v>
      </c>
      <c r="AG35" s="180">
        <f t="shared" si="17"/>
        <v>0</v>
      </c>
      <c r="AH35" s="181">
        <f t="shared" si="21"/>
        <v>0</v>
      </c>
      <c r="AI35" s="182"/>
      <c r="AJ35" s="90"/>
      <c r="AK35" s="90"/>
      <c r="AL35" s="183">
        <f t="shared" si="22"/>
        <v>0</v>
      </c>
      <c r="AM35" s="182"/>
      <c r="AN35" s="90"/>
      <c r="AO35" s="90"/>
      <c r="AP35" s="183">
        <f t="shared" si="23"/>
        <v>0</v>
      </c>
      <c r="AQ35" s="182"/>
      <c r="AR35" s="90"/>
      <c r="AS35" s="90"/>
      <c r="AT35" s="183">
        <f t="shared" si="24"/>
        <v>0</v>
      </c>
      <c r="AU35" s="182"/>
      <c r="AV35" s="90"/>
      <c r="AW35" s="90"/>
      <c r="AX35" s="183">
        <f t="shared" si="25"/>
        <v>0</v>
      </c>
      <c r="AY35" s="182"/>
      <c r="AZ35" s="90"/>
      <c r="BA35" s="90"/>
      <c r="BB35" s="183">
        <f t="shared" si="26"/>
        <v>0</v>
      </c>
      <c r="BC35" s="182"/>
      <c r="BD35" s="90"/>
      <c r="BE35" s="90"/>
      <c r="BF35" s="183">
        <f t="shared" si="27"/>
        <v>0</v>
      </c>
      <c r="BG35" s="182"/>
      <c r="BH35" s="90"/>
      <c r="BI35" s="90"/>
      <c r="BJ35" s="183">
        <f t="shared" si="28"/>
        <v>0</v>
      </c>
      <c r="BK35" s="182"/>
      <c r="BL35" s="90"/>
      <c r="BM35" s="90"/>
      <c r="BN35" s="183">
        <f t="shared" si="29"/>
        <v>0</v>
      </c>
      <c r="BO35" s="182"/>
      <c r="BP35" s="90"/>
      <c r="BQ35" s="90"/>
      <c r="BR35" s="183">
        <f t="shared" si="30"/>
        <v>0</v>
      </c>
      <c r="BS35" s="182"/>
      <c r="BT35" s="90"/>
      <c r="BU35" s="90"/>
      <c r="BV35" s="183">
        <f t="shared" si="31"/>
        <v>0</v>
      </c>
      <c r="BW35" s="182"/>
      <c r="BX35" s="90"/>
      <c r="BY35" s="90"/>
      <c r="BZ35" s="183">
        <f t="shared" si="32"/>
        <v>0</v>
      </c>
      <c r="CA35" s="182"/>
      <c r="CB35" s="90"/>
      <c r="CC35" s="90"/>
      <c r="CD35" s="183">
        <f t="shared" si="33"/>
        <v>0</v>
      </c>
    </row>
    <row r="36" spans="2:82" x14ac:dyDescent="0.3">
      <c r="B36" s="53"/>
      <c r="C36" s="53" t="str">
        <f t="shared" si="0"/>
        <v>CPU_Administracaolocaldi</v>
      </c>
      <c r="D36" s="278">
        <f t="shared" si="1"/>
        <v>3</v>
      </c>
      <c r="E36" s="278">
        <f t="shared" si="2"/>
        <v>4</v>
      </c>
      <c r="F36" s="1"/>
      <c r="G36" s="28" t="str">
        <f>IFERROR(VLOOKUP(F36,Tabela7[[RECURSO]:[CUSTO]],2,FALSE),"")</f>
        <v/>
      </c>
      <c r="H36" s="93"/>
      <c r="I36" s="90"/>
      <c r="J36" s="45">
        <f>IFERROR(VLOOKUP(F36,Tabela7[[RECURSO]:[CUSTO]],3,FALSE),0)</f>
        <v>0</v>
      </c>
      <c r="K36" s="45">
        <f t="shared" si="34"/>
        <v>0</v>
      </c>
      <c r="AD36" s="144" t="str">
        <f t="shared" si="3"/>
        <v>Administracao local diversos</v>
      </c>
      <c r="AE36" s="179"/>
      <c r="AF36" s="180">
        <f t="shared" si="20"/>
        <v>0</v>
      </c>
      <c r="AG36" s="180">
        <f t="shared" si="17"/>
        <v>0</v>
      </c>
      <c r="AH36" s="181">
        <f t="shared" si="21"/>
        <v>0</v>
      </c>
      <c r="AI36" s="182"/>
      <c r="AJ36" s="90"/>
      <c r="AK36" s="90"/>
      <c r="AL36" s="183">
        <f t="shared" si="22"/>
        <v>0</v>
      </c>
      <c r="AM36" s="182"/>
      <c r="AN36" s="90"/>
      <c r="AO36" s="90"/>
      <c r="AP36" s="183">
        <f t="shared" si="23"/>
        <v>0</v>
      </c>
      <c r="AQ36" s="182"/>
      <c r="AR36" s="90"/>
      <c r="AS36" s="90"/>
      <c r="AT36" s="183">
        <f t="shared" si="24"/>
        <v>0</v>
      </c>
      <c r="AU36" s="182"/>
      <c r="AV36" s="90"/>
      <c r="AW36" s="90"/>
      <c r="AX36" s="183">
        <f t="shared" si="25"/>
        <v>0</v>
      </c>
      <c r="AY36" s="182"/>
      <c r="AZ36" s="90"/>
      <c r="BA36" s="90"/>
      <c r="BB36" s="183">
        <f t="shared" si="26"/>
        <v>0</v>
      </c>
      <c r="BC36" s="182"/>
      <c r="BD36" s="90"/>
      <c r="BE36" s="90"/>
      <c r="BF36" s="183">
        <f t="shared" si="27"/>
        <v>0</v>
      </c>
      <c r="BG36" s="182"/>
      <c r="BH36" s="90"/>
      <c r="BI36" s="90"/>
      <c r="BJ36" s="183">
        <f t="shared" si="28"/>
        <v>0</v>
      </c>
      <c r="BK36" s="182"/>
      <c r="BL36" s="90"/>
      <c r="BM36" s="90"/>
      <c r="BN36" s="183">
        <f t="shared" si="29"/>
        <v>0</v>
      </c>
      <c r="BO36" s="182"/>
      <c r="BP36" s="90"/>
      <c r="BQ36" s="90"/>
      <c r="BR36" s="183">
        <f t="shared" si="30"/>
        <v>0</v>
      </c>
      <c r="BS36" s="182"/>
      <c r="BT36" s="90"/>
      <c r="BU36" s="90"/>
      <c r="BV36" s="183">
        <f t="shared" si="31"/>
        <v>0</v>
      </c>
      <c r="BW36" s="182"/>
      <c r="BX36" s="90"/>
      <c r="BY36" s="90"/>
      <c r="BZ36" s="183">
        <f t="shared" si="32"/>
        <v>0</v>
      </c>
      <c r="CA36" s="182"/>
      <c r="CB36" s="90"/>
      <c r="CC36" s="90"/>
      <c r="CD36" s="183">
        <f t="shared" si="33"/>
        <v>0</v>
      </c>
    </row>
    <row r="37" spans="2:82" x14ac:dyDescent="0.3">
      <c r="B37" s="52" t="s">
        <v>692</v>
      </c>
      <c r="C37" s="52" t="str">
        <f t="shared" si="0"/>
        <v>CPU_Administracaolocaldi</v>
      </c>
      <c r="D37" s="277">
        <f t="shared" si="1"/>
        <v>3</v>
      </c>
      <c r="E37" s="277">
        <f t="shared" si="2"/>
        <v>4</v>
      </c>
      <c r="F37" s="37"/>
      <c r="G37" s="38"/>
      <c r="H37" s="91"/>
      <c r="I37" s="40"/>
      <c r="J37" s="40">
        <f>IFERROR(K37/$B$6,0)</f>
        <v>0</v>
      </c>
      <c r="K37" s="40">
        <f>SUM(K38:K49)</f>
        <v>0</v>
      </c>
      <c r="N37" s="39"/>
      <c r="AD37" s="144" t="str">
        <f t="shared" si="3"/>
        <v>Administracao local diversos</v>
      </c>
      <c r="AE37" s="184"/>
      <c r="AF37" s="40"/>
      <c r="AG37" s="40">
        <f>IFERROR(AH37/AF$3,0)</f>
        <v>0</v>
      </c>
      <c r="AH37" s="185">
        <f>SUM(AH38:AH49)</f>
        <v>0</v>
      </c>
      <c r="AI37" s="184"/>
      <c r="AJ37" s="40"/>
      <c r="AK37" s="40">
        <f>IFERROR(AL37/AJ$3,0)</f>
        <v>0</v>
      </c>
      <c r="AL37" s="185">
        <f>SUM(AL38:AL49)</f>
        <v>0</v>
      </c>
      <c r="AM37" s="184"/>
      <c r="AN37" s="40"/>
      <c r="AO37" s="40">
        <f>IFERROR(AP37/AN$3,0)</f>
        <v>0</v>
      </c>
      <c r="AP37" s="185">
        <f>SUM(AP38:AP49)</f>
        <v>0</v>
      </c>
      <c r="AQ37" s="184"/>
      <c r="AR37" s="40"/>
      <c r="AS37" s="40">
        <f>IFERROR(AT37/AR$3,0)</f>
        <v>0</v>
      </c>
      <c r="AT37" s="185">
        <f>SUM(AT38:AT49)</f>
        <v>0</v>
      </c>
      <c r="AU37" s="184"/>
      <c r="AV37" s="40"/>
      <c r="AW37" s="40">
        <f>IFERROR(AX37/AV$3,0)</f>
        <v>0</v>
      </c>
      <c r="AX37" s="185">
        <f>SUM(AX38:AX49)</f>
        <v>0</v>
      </c>
      <c r="AY37" s="184"/>
      <c r="AZ37" s="40"/>
      <c r="BA37" s="40">
        <f>IFERROR(BB37/AZ$3,0)</f>
        <v>0</v>
      </c>
      <c r="BB37" s="185">
        <f>SUM(BB38:BB49)</f>
        <v>0</v>
      </c>
      <c r="BC37" s="184"/>
      <c r="BD37" s="40"/>
      <c r="BE37" s="40">
        <f>IFERROR(BF37/BD$3,0)</f>
        <v>0</v>
      </c>
      <c r="BF37" s="185">
        <f>SUM(BF38:BF49)</f>
        <v>0</v>
      </c>
      <c r="BG37" s="184"/>
      <c r="BH37" s="40"/>
      <c r="BI37" s="40">
        <f>IFERROR(BJ37/BH$3,0)</f>
        <v>0</v>
      </c>
      <c r="BJ37" s="185">
        <f>SUM(BJ38:BJ49)</f>
        <v>0</v>
      </c>
      <c r="BK37" s="184"/>
      <c r="BL37" s="40"/>
      <c r="BM37" s="40">
        <f>IFERROR(BN37/BL$3,0)</f>
        <v>0</v>
      </c>
      <c r="BN37" s="185">
        <f>SUM(BN38:BN49)</f>
        <v>0</v>
      </c>
      <c r="BO37" s="184"/>
      <c r="BP37" s="40"/>
      <c r="BQ37" s="40">
        <f>IFERROR(BR37/BP$3,0)</f>
        <v>0</v>
      </c>
      <c r="BR37" s="185">
        <f>SUM(BR38:BR49)</f>
        <v>0</v>
      </c>
      <c r="BS37" s="184"/>
      <c r="BT37" s="40"/>
      <c r="BU37" s="40">
        <f>IFERROR(BV37/BT$3,0)</f>
        <v>0</v>
      </c>
      <c r="BV37" s="185">
        <f>SUM(BV38:BV49)</f>
        <v>0</v>
      </c>
      <c r="BW37" s="184"/>
      <c r="BX37" s="40"/>
      <c r="BY37" s="40">
        <f>IFERROR(BZ37/BX$3,0)</f>
        <v>0</v>
      </c>
      <c r="BZ37" s="185">
        <f>SUM(BZ38:BZ49)</f>
        <v>0</v>
      </c>
      <c r="CA37" s="184"/>
      <c r="CB37" s="40"/>
      <c r="CC37" s="40">
        <f>IFERROR(CD37/CB$3,0)</f>
        <v>0</v>
      </c>
      <c r="CD37" s="185">
        <f>SUM(CD38:CD49)</f>
        <v>0</v>
      </c>
    </row>
    <row r="38" spans="2:82" x14ac:dyDescent="0.3">
      <c r="B38" s="54"/>
      <c r="C38" s="54" t="str">
        <f t="shared" si="0"/>
        <v>CPU_Administracaolocaldi</v>
      </c>
      <c r="D38" s="280">
        <f t="shared" si="1"/>
        <v>3</v>
      </c>
      <c r="E38" s="280">
        <f t="shared" si="2"/>
        <v>4</v>
      </c>
      <c r="F38" s="1"/>
      <c r="G38" s="28" t="str">
        <f>IFERROR(VLOOKUP(F38,Tabela7[[RECURSO]:[CUSTO]],2,FALSE),"")</f>
        <v/>
      </c>
      <c r="H38" s="92"/>
      <c r="I38" s="90"/>
      <c r="J38" s="45">
        <f>IFERROR(VLOOKUP(F38,Tabela7[[RECURSO]:[CUSTO]],3,FALSE),0)</f>
        <v>0</v>
      </c>
      <c r="K38" s="45">
        <f>I38*J38*CPU_18[[#This Row],[Nº]]</f>
        <v>0</v>
      </c>
      <c r="AD38" s="144" t="str">
        <f t="shared" si="3"/>
        <v>Administracao local diversos</v>
      </c>
      <c r="AE38" s="186"/>
      <c r="AF38" s="180">
        <f t="shared" ref="AF38:AF49" si="35">AJ38+AN38+AR38+AV38+AZ38+BD38+BH38+BL38+BP38+BT38+BX38+CB38</f>
        <v>0</v>
      </c>
      <c r="AG38" s="180">
        <f t="shared" si="17"/>
        <v>0</v>
      </c>
      <c r="AH38" s="181">
        <f t="shared" ref="AH38:AH49" si="36">AL38+AP38+AT38+AX38+BB38+BF38+BJ38+BN38+BR38+BV38+BZ38+CD38</f>
        <v>0</v>
      </c>
      <c r="AI38" s="187"/>
      <c r="AJ38" s="90"/>
      <c r="AK38" s="90"/>
      <c r="AL38" s="183">
        <f t="shared" ref="AL38:AL49" si="37">AJ38*AK38</f>
        <v>0</v>
      </c>
      <c r="AM38" s="187"/>
      <c r="AN38" s="90"/>
      <c r="AO38" s="90"/>
      <c r="AP38" s="183">
        <f t="shared" si="23"/>
        <v>0</v>
      </c>
      <c r="AQ38" s="187"/>
      <c r="AR38" s="90"/>
      <c r="AS38" s="90"/>
      <c r="AT38" s="183">
        <f t="shared" si="24"/>
        <v>0</v>
      </c>
      <c r="AU38" s="187"/>
      <c r="AV38" s="90"/>
      <c r="AW38" s="90"/>
      <c r="AX38" s="183">
        <f t="shared" si="25"/>
        <v>0</v>
      </c>
      <c r="AY38" s="187"/>
      <c r="AZ38" s="90"/>
      <c r="BA38" s="90"/>
      <c r="BB38" s="183">
        <f t="shared" si="26"/>
        <v>0</v>
      </c>
      <c r="BC38" s="187"/>
      <c r="BD38" s="90"/>
      <c r="BE38" s="90"/>
      <c r="BF38" s="183">
        <f t="shared" si="27"/>
        <v>0</v>
      </c>
      <c r="BG38" s="187"/>
      <c r="BH38" s="90"/>
      <c r="BI38" s="90"/>
      <c r="BJ38" s="183">
        <f t="shared" si="28"/>
        <v>0</v>
      </c>
      <c r="BK38" s="187"/>
      <c r="BL38" s="90"/>
      <c r="BM38" s="90"/>
      <c r="BN38" s="183">
        <f t="shared" si="29"/>
        <v>0</v>
      </c>
      <c r="BO38" s="187"/>
      <c r="BP38" s="90"/>
      <c r="BQ38" s="90"/>
      <c r="BR38" s="183">
        <f t="shared" si="30"/>
        <v>0</v>
      </c>
      <c r="BS38" s="187"/>
      <c r="BT38" s="90"/>
      <c r="BU38" s="90"/>
      <c r="BV38" s="183">
        <f t="shared" si="31"/>
        <v>0</v>
      </c>
      <c r="BW38" s="187"/>
      <c r="BX38" s="90"/>
      <c r="BY38" s="90"/>
      <c r="BZ38" s="183">
        <f t="shared" si="32"/>
        <v>0</v>
      </c>
      <c r="CA38" s="187"/>
      <c r="CB38" s="90"/>
      <c r="CC38" s="90"/>
      <c r="CD38" s="183">
        <f t="shared" si="33"/>
        <v>0</v>
      </c>
    </row>
    <row r="39" spans="2:82" x14ac:dyDescent="0.3">
      <c r="B39" s="54"/>
      <c r="C39" s="54" t="str">
        <f t="shared" si="0"/>
        <v>CPU_Administracaolocaldi</v>
      </c>
      <c r="D39" s="280">
        <f t="shared" si="1"/>
        <v>3</v>
      </c>
      <c r="E39" s="280">
        <f t="shared" si="2"/>
        <v>4</v>
      </c>
      <c r="F39" s="1"/>
      <c r="G39" s="28" t="str">
        <f>IFERROR(VLOOKUP(F39,Tabela7[[RECURSO]:[CUSTO]],2,FALSE),"")</f>
        <v/>
      </c>
      <c r="H39" s="92"/>
      <c r="I39" s="90"/>
      <c r="J39" s="45">
        <f>IFERROR(VLOOKUP(F39,Tabela7[[RECURSO]:[CUSTO]],3,FALSE),0)</f>
        <v>0</v>
      </c>
      <c r="K39" s="45">
        <f>I39*J39*CPU_18[[#This Row],[Nº]]</f>
        <v>0</v>
      </c>
      <c r="AD39" s="144" t="str">
        <f t="shared" si="3"/>
        <v>Administracao local diversos</v>
      </c>
      <c r="AE39" s="186"/>
      <c r="AF39" s="180">
        <f t="shared" si="35"/>
        <v>0</v>
      </c>
      <c r="AG39" s="180">
        <f t="shared" si="17"/>
        <v>0</v>
      </c>
      <c r="AH39" s="181">
        <f t="shared" si="36"/>
        <v>0</v>
      </c>
      <c r="AI39" s="187"/>
      <c r="AJ39" s="90"/>
      <c r="AK39" s="90"/>
      <c r="AL39" s="183">
        <f t="shared" si="37"/>
        <v>0</v>
      </c>
      <c r="AM39" s="187"/>
      <c r="AN39" s="90"/>
      <c r="AO39" s="90"/>
      <c r="AP39" s="183">
        <f t="shared" si="23"/>
        <v>0</v>
      </c>
      <c r="AQ39" s="187"/>
      <c r="AR39" s="90"/>
      <c r="AS39" s="90"/>
      <c r="AT39" s="183">
        <f t="shared" si="24"/>
        <v>0</v>
      </c>
      <c r="AU39" s="187"/>
      <c r="AV39" s="90"/>
      <c r="AW39" s="90"/>
      <c r="AX39" s="183">
        <f t="shared" si="25"/>
        <v>0</v>
      </c>
      <c r="AY39" s="187"/>
      <c r="AZ39" s="90"/>
      <c r="BA39" s="90"/>
      <c r="BB39" s="183">
        <f t="shared" si="26"/>
        <v>0</v>
      </c>
      <c r="BC39" s="187"/>
      <c r="BD39" s="90"/>
      <c r="BE39" s="90"/>
      <c r="BF39" s="183">
        <f t="shared" si="27"/>
        <v>0</v>
      </c>
      <c r="BG39" s="187"/>
      <c r="BH39" s="90"/>
      <c r="BI39" s="90"/>
      <c r="BJ39" s="183">
        <f t="shared" si="28"/>
        <v>0</v>
      </c>
      <c r="BK39" s="187"/>
      <c r="BL39" s="90"/>
      <c r="BM39" s="90"/>
      <c r="BN39" s="183">
        <f t="shared" si="29"/>
        <v>0</v>
      </c>
      <c r="BO39" s="187"/>
      <c r="BP39" s="90"/>
      <c r="BQ39" s="90"/>
      <c r="BR39" s="183">
        <f t="shared" si="30"/>
        <v>0</v>
      </c>
      <c r="BS39" s="187"/>
      <c r="BT39" s="90"/>
      <c r="BU39" s="90"/>
      <c r="BV39" s="183">
        <f t="shared" si="31"/>
        <v>0</v>
      </c>
      <c r="BW39" s="187"/>
      <c r="BX39" s="90"/>
      <c r="BY39" s="90"/>
      <c r="BZ39" s="183">
        <f t="shared" si="32"/>
        <v>0</v>
      </c>
      <c r="CA39" s="187"/>
      <c r="CB39" s="90"/>
      <c r="CC39" s="90"/>
      <c r="CD39" s="183">
        <f t="shared" si="33"/>
        <v>0</v>
      </c>
    </row>
    <row r="40" spans="2:82" x14ac:dyDescent="0.3">
      <c r="B40" s="54"/>
      <c r="C40" s="54" t="str">
        <f t="shared" si="0"/>
        <v>CPU_Administracaolocaldi</v>
      </c>
      <c r="D40" s="280">
        <f t="shared" si="1"/>
        <v>3</v>
      </c>
      <c r="E40" s="280">
        <f t="shared" si="2"/>
        <v>4</v>
      </c>
      <c r="F40" s="1"/>
      <c r="G40" s="28" t="str">
        <f>IFERROR(VLOOKUP(F40,Tabela7[[RECURSO]:[CUSTO]],2,FALSE),"")</f>
        <v/>
      </c>
      <c r="H40" s="92"/>
      <c r="I40" s="90"/>
      <c r="J40" s="45">
        <f>IFERROR(VLOOKUP(F40,Tabela7[[RECURSO]:[CUSTO]],3,FALSE),0)</f>
        <v>0</v>
      </c>
      <c r="K40" s="45">
        <f>I40*J40*CPU_18[[#This Row],[Nº]]</f>
        <v>0</v>
      </c>
      <c r="AD40" s="144" t="str">
        <f t="shared" si="3"/>
        <v>Administracao local diversos</v>
      </c>
      <c r="AE40" s="186"/>
      <c r="AF40" s="180">
        <f t="shared" si="35"/>
        <v>0</v>
      </c>
      <c r="AG40" s="180">
        <f t="shared" si="17"/>
        <v>0</v>
      </c>
      <c r="AH40" s="181">
        <f t="shared" si="36"/>
        <v>0</v>
      </c>
      <c r="AI40" s="187"/>
      <c r="AJ40" s="90"/>
      <c r="AK40" s="90"/>
      <c r="AL40" s="183">
        <f t="shared" si="37"/>
        <v>0</v>
      </c>
      <c r="AM40" s="187"/>
      <c r="AN40" s="90"/>
      <c r="AO40" s="90"/>
      <c r="AP40" s="183">
        <f t="shared" si="23"/>
        <v>0</v>
      </c>
      <c r="AQ40" s="187"/>
      <c r="AR40" s="90"/>
      <c r="AS40" s="90"/>
      <c r="AT40" s="183">
        <f t="shared" si="24"/>
        <v>0</v>
      </c>
      <c r="AU40" s="187"/>
      <c r="AV40" s="90"/>
      <c r="AW40" s="90"/>
      <c r="AX40" s="183">
        <f t="shared" si="25"/>
        <v>0</v>
      </c>
      <c r="AY40" s="187"/>
      <c r="AZ40" s="90"/>
      <c r="BA40" s="90"/>
      <c r="BB40" s="183">
        <f t="shared" si="26"/>
        <v>0</v>
      </c>
      <c r="BC40" s="187"/>
      <c r="BD40" s="90"/>
      <c r="BE40" s="90"/>
      <c r="BF40" s="183">
        <f t="shared" si="27"/>
        <v>0</v>
      </c>
      <c r="BG40" s="187"/>
      <c r="BH40" s="90"/>
      <c r="BI40" s="90"/>
      <c r="BJ40" s="183">
        <f t="shared" si="28"/>
        <v>0</v>
      </c>
      <c r="BK40" s="187"/>
      <c r="BL40" s="90"/>
      <c r="BM40" s="90"/>
      <c r="BN40" s="183">
        <f t="shared" si="29"/>
        <v>0</v>
      </c>
      <c r="BO40" s="187"/>
      <c r="BP40" s="90"/>
      <c r="BQ40" s="90"/>
      <c r="BR40" s="183">
        <f t="shared" si="30"/>
        <v>0</v>
      </c>
      <c r="BS40" s="187"/>
      <c r="BT40" s="90"/>
      <c r="BU40" s="90"/>
      <c r="BV40" s="183">
        <f t="shared" si="31"/>
        <v>0</v>
      </c>
      <c r="BW40" s="187"/>
      <c r="BX40" s="90"/>
      <c r="BY40" s="90"/>
      <c r="BZ40" s="183">
        <f t="shared" si="32"/>
        <v>0</v>
      </c>
      <c r="CA40" s="187"/>
      <c r="CB40" s="90"/>
      <c r="CC40" s="90"/>
      <c r="CD40" s="183">
        <f t="shared" si="33"/>
        <v>0</v>
      </c>
    </row>
    <row r="41" spans="2:82" x14ac:dyDescent="0.3">
      <c r="B41" s="54"/>
      <c r="C41" s="54" t="str">
        <f t="shared" si="0"/>
        <v>CPU_Administracaolocaldi</v>
      </c>
      <c r="D41" s="280">
        <f t="shared" si="1"/>
        <v>3</v>
      </c>
      <c r="E41" s="280">
        <f t="shared" si="2"/>
        <v>4</v>
      </c>
      <c r="F41" s="1"/>
      <c r="G41" s="28" t="str">
        <f>IFERROR(VLOOKUP(F41,Tabela7[[RECURSO]:[CUSTO]],2,FALSE),"")</f>
        <v/>
      </c>
      <c r="H41" s="92"/>
      <c r="I41" s="90"/>
      <c r="J41" s="45">
        <f>IFERROR(VLOOKUP(F41,Tabela7[[RECURSO]:[CUSTO]],3,FALSE),0)</f>
        <v>0</v>
      </c>
      <c r="K41" s="45">
        <f>I41*J41*CPU_18[[#This Row],[Nº]]</f>
        <v>0</v>
      </c>
      <c r="AD41" s="144" t="str">
        <f t="shared" si="3"/>
        <v>Administracao local diversos</v>
      </c>
      <c r="AE41" s="186"/>
      <c r="AF41" s="180">
        <f t="shared" si="35"/>
        <v>0</v>
      </c>
      <c r="AG41" s="180">
        <f t="shared" si="17"/>
        <v>0</v>
      </c>
      <c r="AH41" s="181">
        <f t="shared" si="36"/>
        <v>0</v>
      </c>
      <c r="AI41" s="187"/>
      <c r="AJ41" s="90"/>
      <c r="AK41" s="90"/>
      <c r="AL41" s="183">
        <f t="shared" si="37"/>
        <v>0</v>
      </c>
      <c r="AM41" s="187"/>
      <c r="AN41" s="90"/>
      <c r="AO41" s="90"/>
      <c r="AP41" s="183">
        <f t="shared" si="23"/>
        <v>0</v>
      </c>
      <c r="AQ41" s="187"/>
      <c r="AR41" s="90"/>
      <c r="AS41" s="90"/>
      <c r="AT41" s="183">
        <f t="shared" si="24"/>
        <v>0</v>
      </c>
      <c r="AU41" s="187"/>
      <c r="AV41" s="90"/>
      <c r="AW41" s="90"/>
      <c r="AX41" s="183">
        <f t="shared" si="25"/>
        <v>0</v>
      </c>
      <c r="AY41" s="187"/>
      <c r="AZ41" s="90"/>
      <c r="BA41" s="90"/>
      <c r="BB41" s="183">
        <f t="shared" si="26"/>
        <v>0</v>
      </c>
      <c r="BC41" s="187"/>
      <c r="BD41" s="90"/>
      <c r="BE41" s="90"/>
      <c r="BF41" s="183">
        <f t="shared" si="27"/>
        <v>0</v>
      </c>
      <c r="BG41" s="187"/>
      <c r="BH41" s="90"/>
      <c r="BI41" s="90"/>
      <c r="BJ41" s="183">
        <f t="shared" si="28"/>
        <v>0</v>
      </c>
      <c r="BK41" s="187"/>
      <c r="BL41" s="90"/>
      <c r="BM41" s="90"/>
      <c r="BN41" s="183">
        <f t="shared" si="29"/>
        <v>0</v>
      </c>
      <c r="BO41" s="187"/>
      <c r="BP41" s="90"/>
      <c r="BQ41" s="90"/>
      <c r="BR41" s="183">
        <f t="shared" si="30"/>
        <v>0</v>
      </c>
      <c r="BS41" s="187"/>
      <c r="BT41" s="90"/>
      <c r="BU41" s="90"/>
      <c r="BV41" s="183">
        <f t="shared" si="31"/>
        <v>0</v>
      </c>
      <c r="BW41" s="187"/>
      <c r="BX41" s="90"/>
      <c r="BY41" s="90"/>
      <c r="BZ41" s="183">
        <f t="shared" si="32"/>
        <v>0</v>
      </c>
      <c r="CA41" s="187"/>
      <c r="CB41" s="90"/>
      <c r="CC41" s="90"/>
      <c r="CD41" s="183">
        <f t="shared" si="33"/>
        <v>0</v>
      </c>
    </row>
    <row r="42" spans="2:82" x14ac:dyDescent="0.3">
      <c r="B42" s="54"/>
      <c r="C42" s="54" t="str">
        <f t="shared" si="0"/>
        <v>CPU_Administracaolocaldi</v>
      </c>
      <c r="D42" s="280">
        <f t="shared" si="1"/>
        <v>3</v>
      </c>
      <c r="E42" s="280">
        <f t="shared" si="2"/>
        <v>4</v>
      </c>
      <c r="F42" s="1"/>
      <c r="G42" s="28" t="str">
        <f>IFERROR(VLOOKUP(F42,Tabela7[[RECURSO]:[CUSTO]],2,FALSE),"")</f>
        <v/>
      </c>
      <c r="H42" s="92"/>
      <c r="I42" s="90"/>
      <c r="J42" s="45">
        <f>IFERROR(VLOOKUP(F42,Tabela7[[RECURSO]:[CUSTO]],3,FALSE),0)</f>
        <v>0</v>
      </c>
      <c r="K42" s="45">
        <f>I42*J42*CPU_18[[#This Row],[Nº]]</f>
        <v>0</v>
      </c>
      <c r="AD42" s="144" t="str">
        <f t="shared" si="3"/>
        <v>Administracao local diversos</v>
      </c>
      <c r="AE42" s="186"/>
      <c r="AF42" s="180">
        <f t="shared" si="35"/>
        <v>0</v>
      </c>
      <c r="AG42" s="180">
        <f t="shared" si="17"/>
        <v>0</v>
      </c>
      <c r="AH42" s="181">
        <f t="shared" si="36"/>
        <v>0</v>
      </c>
      <c r="AI42" s="187"/>
      <c r="AJ42" s="90"/>
      <c r="AK42" s="90"/>
      <c r="AL42" s="183">
        <f t="shared" si="37"/>
        <v>0</v>
      </c>
      <c r="AM42" s="187"/>
      <c r="AN42" s="90"/>
      <c r="AO42" s="90"/>
      <c r="AP42" s="183">
        <f t="shared" si="23"/>
        <v>0</v>
      </c>
      <c r="AQ42" s="187"/>
      <c r="AR42" s="90"/>
      <c r="AS42" s="90"/>
      <c r="AT42" s="183">
        <f t="shared" si="24"/>
        <v>0</v>
      </c>
      <c r="AU42" s="187"/>
      <c r="AV42" s="90"/>
      <c r="AW42" s="90"/>
      <c r="AX42" s="183">
        <f t="shared" si="25"/>
        <v>0</v>
      </c>
      <c r="AY42" s="187"/>
      <c r="AZ42" s="90"/>
      <c r="BA42" s="90"/>
      <c r="BB42" s="183">
        <f t="shared" si="26"/>
        <v>0</v>
      </c>
      <c r="BC42" s="187"/>
      <c r="BD42" s="90"/>
      <c r="BE42" s="90"/>
      <c r="BF42" s="183">
        <f t="shared" si="27"/>
        <v>0</v>
      </c>
      <c r="BG42" s="187"/>
      <c r="BH42" s="90"/>
      <c r="BI42" s="90"/>
      <c r="BJ42" s="183">
        <f t="shared" si="28"/>
        <v>0</v>
      </c>
      <c r="BK42" s="187"/>
      <c r="BL42" s="90"/>
      <c r="BM42" s="90"/>
      <c r="BN42" s="183">
        <f t="shared" si="29"/>
        <v>0</v>
      </c>
      <c r="BO42" s="187"/>
      <c r="BP42" s="90"/>
      <c r="BQ42" s="90"/>
      <c r="BR42" s="183">
        <f t="shared" si="30"/>
        <v>0</v>
      </c>
      <c r="BS42" s="187"/>
      <c r="BT42" s="90"/>
      <c r="BU42" s="90"/>
      <c r="BV42" s="183">
        <f t="shared" si="31"/>
        <v>0</v>
      </c>
      <c r="BW42" s="187"/>
      <c r="BX42" s="90"/>
      <c r="BY42" s="90"/>
      <c r="BZ42" s="183">
        <f t="shared" si="32"/>
        <v>0</v>
      </c>
      <c r="CA42" s="187"/>
      <c r="CB42" s="90"/>
      <c r="CC42" s="90"/>
      <c r="CD42" s="183">
        <f t="shared" si="33"/>
        <v>0</v>
      </c>
    </row>
    <row r="43" spans="2:82" x14ac:dyDescent="0.3">
      <c r="B43" s="54"/>
      <c r="C43" s="54" t="str">
        <f t="shared" si="0"/>
        <v>CPU_Administracaolocaldi</v>
      </c>
      <c r="D43" s="280">
        <f t="shared" si="1"/>
        <v>3</v>
      </c>
      <c r="E43" s="280">
        <f t="shared" si="2"/>
        <v>4</v>
      </c>
      <c r="F43" s="1"/>
      <c r="G43" s="28" t="str">
        <f>IFERROR(VLOOKUP(F43,Tabela7[[RECURSO]:[CUSTO]],2,FALSE),"")</f>
        <v/>
      </c>
      <c r="H43" s="92"/>
      <c r="I43" s="90"/>
      <c r="J43" s="45">
        <f>IFERROR(VLOOKUP(F43,Tabela7[[RECURSO]:[CUSTO]],3,FALSE),0)</f>
        <v>0</v>
      </c>
      <c r="K43" s="45">
        <f>I43*J43*CPU_18[[#This Row],[Nº]]</f>
        <v>0</v>
      </c>
      <c r="AD43" s="144" t="str">
        <f t="shared" si="3"/>
        <v>Administracao local diversos</v>
      </c>
      <c r="AE43" s="186"/>
      <c r="AF43" s="180">
        <f t="shared" si="35"/>
        <v>0</v>
      </c>
      <c r="AG43" s="180">
        <f t="shared" si="17"/>
        <v>0</v>
      </c>
      <c r="AH43" s="181">
        <f t="shared" si="36"/>
        <v>0</v>
      </c>
      <c r="AI43" s="187"/>
      <c r="AJ43" s="90"/>
      <c r="AK43" s="90"/>
      <c r="AL43" s="183">
        <f t="shared" si="37"/>
        <v>0</v>
      </c>
      <c r="AM43" s="187"/>
      <c r="AN43" s="90"/>
      <c r="AO43" s="90"/>
      <c r="AP43" s="183">
        <f t="shared" si="23"/>
        <v>0</v>
      </c>
      <c r="AQ43" s="187"/>
      <c r="AR43" s="90"/>
      <c r="AS43" s="90"/>
      <c r="AT43" s="183">
        <f t="shared" si="24"/>
        <v>0</v>
      </c>
      <c r="AU43" s="187"/>
      <c r="AV43" s="90"/>
      <c r="AW43" s="90"/>
      <c r="AX43" s="183">
        <f t="shared" si="25"/>
        <v>0</v>
      </c>
      <c r="AY43" s="187"/>
      <c r="AZ43" s="90"/>
      <c r="BA43" s="90"/>
      <c r="BB43" s="183">
        <f t="shared" si="26"/>
        <v>0</v>
      </c>
      <c r="BC43" s="187"/>
      <c r="BD43" s="90"/>
      <c r="BE43" s="90"/>
      <c r="BF43" s="183">
        <f t="shared" si="27"/>
        <v>0</v>
      </c>
      <c r="BG43" s="187"/>
      <c r="BH43" s="90"/>
      <c r="BI43" s="90"/>
      <c r="BJ43" s="183">
        <f t="shared" si="28"/>
        <v>0</v>
      </c>
      <c r="BK43" s="187"/>
      <c r="BL43" s="90"/>
      <c r="BM43" s="90"/>
      <c r="BN43" s="183">
        <f t="shared" si="29"/>
        <v>0</v>
      </c>
      <c r="BO43" s="187"/>
      <c r="BP43" s="90"/>
      <c r="BQ43" s="90"/>
      <c r="BR43" s="183">
        <f t="shared" si="30"/>
        <v>0</v>
      </c>
      <c r="BS43" s="187"/>
      <c r="BT43" s="90"/>
      <c r="BU43" s="90"/>
      <c r="BV43" s="183">
        <f t="shared" si="31"/>
        <v>0</v>
      </c>
      <c r="BW43" s="187"/>
      <c r="BX43" s="90"/>
      <c r="BY43" s="90"/>
      <c r="BZ43" s="183">
        <f t="shared" si="32"/>
        <v>0</v>
      </c>
      <c r="CA43" s="187"/>
      <c r="CB43" s="90"/>
      <c r="CC43" s="90"/>
      <c r="CD43" s="183">
        <f t="shared" si="33"/>
        <v>0</v>
      </c>
    </row>
    <row r="44" spans="2:82" x14ac:dyDescent="0.3">
      <c r="B44" s="54"/>
      <c r="C44" s="54" t="str">
        <f t="shared" si="0"/>
        <v>CPU_Administracaolocaldi</v>
      </c>
      <c r="D44" s="280">
        <f t="shared" si="1"/>
        <v>3</v>
      </c>
      <c r="E44" s="280">
        <f t="shared" si="2"/>
        <v>4</v>
      </c>
      <c r="F44" s="1"/>
      <c r="G44" s="28" t="str">
        <f>IFERROR(VLOOKUP(F44,Tabela7[[RECURSO]:[CUSTO]],2,FALSE),"")</f>
        <v/>
      </c>
      <c r="H44" s="92"/>
      <c r="I44" s="90"/>
      <c r="J44" s="45">
        <f>IFERROR(VLOOKUP(F44,Tabela7[[RECURSO]:[CUSTO]],3,FALSE),0)</f>
        <v>0</v>
      </c>
      <c r="K44" s="45">
        <f>I44*J44*CPU_18[[#This Row],[Nº]]</f>
        <v>0</v>
      </c>
      <c r="AD44" s="144" t="str">
        <f t="shared" si="3"/>
        <v>Administracao local diversos</v>
      </c>
      <c r="AE44" s="186"/>
      <c r="AF44" s="180">
        <f t="shared" si="35"/>
        <v>0</v>
      </c>
      <c r="AG44" s="180">
        <f t="shared" si="17"/>
        <v>0</v>
      </c>
      <c r="AH44" s="181">
        <f t="shared" si="36"/>
        <v>0</v>
      </c>
      <c r="AI44" s="187"/>
      <c r="AJ44" s="90"/>
      <c r="AK44" s="90"/>
      <c r="AL44" s="183">
        <f t="shared" si="37"/>
        <v>0</v>
      </c>
      <c r="AM44" s="187"/>
      <c r="AN44" s="90"/>
      <c r="AO44" s="90"/>
      <c r="AP44" s="183">
        <f t="shared" si="23"/>
        <v>0</v>
      </c>
      <c r="AQ44" s="187"/>
      <c r="AR44" s="90"/>
      <c r="AS44" s="90"/>
      <c r="AT44" s="183">
        <f t="shared" si="24"/>
        <v>0</v>
      </c>
      <c r="AU44" s="187"/>
      <c r="AV44" s="90"/>
      <c r="AW44" s="90"/>
      <c r="AX44" s="183">
        <f t="shared" si="25"/>
        <v>0</v>
      </c>
      <c r="AY44" s="187"/>
      <c r="AZ44" s="90"/>
      <c r="BA44" s="90"/>
      <c r="BB44" s="183">
        <f t="shared" si="26"/>
        <v>0</v>
      </c>
      <c r="BC44" s="187"/>
      <c r="BD44" s="90"/>
      <c r="BE44" s="90"/>
      <c r="BF44" s="183">
        <f t="shared" si="27"/>
        <v>0</v>
      </c>
      <c r="BG44" s="187"/>
      <c r="BH44" s="90"/>
      <c r="BI44" s="90"/>
      <c r="BJ44" s="183">
        <f t="shared" si="28"/>
        <v>0</v>
      </c>
      <c r="BK44" s="187"/>
      <c r="BL44" s="90"/>
      <c r="BM44" s="90"/>
      <c r="BN44" s="183">
        <f t="shared" si="29"/>
        <v>0</v>
      </c>
      <c r="BO44" s="187"/>
      <c r="BP44" s="90"/>
      <c r="BQ44" s="90"/>
      <c r="BR44" s="183">
        <f t="shared" si="30"/>
        <v>0</v>
      </c>
      <c r="BS44" s="187"/>
      <c r="BT44" s="90"/>
      <c r="BU44" s="90"/>
      <c r="BV44" s="183">
        <f t="shared" si="31"/>
        <v>0</v>
      </c>
      <c r="BW44" s="187"/>
      <c r="BX44" s="90"/>
      <c r="BY44" s="90"/>
      <c r="BZ44" s="183">
        <f t="shared" si="32"/>
        <v>0</v>
      </c>
      <c r="CA44" s="187"/>
      <c r="CB44" s="90"/>
      <c r="CC44" s="90"/>
      <c r="CD44" s="183">
        <f t="shared" si="33"/>
        <v>0</v>
      </c>
    </row>
    <row r="45" spans="2:82" x14ac:dyDescent="0.3">
      <c r="B45" s="53"/>
      <c r="C45" s="53" t="str">
        <f t="shared" si="0"/>
        <v>CPU_Administracaolocaldi</v>
      </c>
      <c r="D45" s="278">
        <f t="shared" si="1"/>
        <v>3</v>
      </c>
      <c r="E45" s="278">
        <f t="shared" si="2"/>
        <v>4</v>
      </c>
      <c r="F45" s="1"/>
      <c r="G45" s="28" t="str">
        <f>IFERROR(VLOOKUP(F45,Tabela7[[RECURSO]:[CUSTO]],2,FALSE),"")</f>
        <v/>
      </c>
      <c r="H45" s="92"/>
      <c r="I45" s="90"/>
      <c r="J45" s="45">
        <f>IFERROR(VLOOKUP(F45,Tabela7[[RECURSO]:[CUSTO]],3,FALSE),0)</f>
        <v>0</v>
      </c>
      <c r="K45" s="45">
        <f>I45*J45*CPU_18[[#This Row],[Nº]]</f>
        <v>0</v>
      </c>
      <c r="AD45" s="144" t="str">
        <f t="shared" si="3"/>
        <v>Administracao local diversos</v>
      </c>
      <c r="AE45" s="188"/>
      <c r="AF45" s="180">
        <f t="shared" si="35"/>
        <v>0</v>
      </c>
      <c r="AG45" s="180">
        <f t="shared" si="17"/>
        <v>0</v>
      </c>
      <c r="AH45" s="181">
        <f t="shared" si="36"/>
        <v>0</v>
      </c>
      <c r="AI45" s="189"/>
      <c r="AJ45" s="90"/>
      <c r="AK45" s="90"/>
      <c r="AL45" s="183">
        <f t="shared" si="37"/>
        <v>0</v>
      </c>
      <c r="AM45" s="189"/>
      <c r="AN45" s="90"/>
      <c r="AO45" s="90"/>
      <c r="AP45" s="183">
        <f t="shared" si="23"/>
        <v>0</v>
      </c>
      <c r="AQ45" s="189"/>
      <c r="AR45" s="90"/>
      <c r="AS45" s="90"/>
      <c r="AT45" s="183">
        <f t="shared" si="24"/>
        <v>0</v>
      </c>
      <c r="AU45" s="189"/>
      <c r="AV45" s="90"/>
      <c r="AW45" s="90"/>
      <c r="AX45" s="183">
        <f t="shared" si="25"/>
        <v>0</v>
      </c>
      <c r="AY45" s="189"/>
      <c r="AZ45" s="90"/>
      <c r="BA45" s="90"/>
      <c r="BB45" s="183">
        <f t="shared" si="26"/>
        <v>0</v>
      </c>
      <c r="BC45" s="189"/>
      <c r="BD45" s="90"/>
      <c r="BE45" s="90"/>
      <c r="BF45" s="183">
        <f t="shared" si="27"/>
        <v>0</v>
      </c>
      <c r="BG45" s="189"/>
      <c r="BH45" s="90"/>
      <c r="BI45" s="90"/>
      <c r="BJ45" s="183">
        <f t="shared" si="28"/>
        <v>0</v>
      </c>
      <c r="BK45" s="189"/>
      <c r="BL45" s="90"/>
      <c r="BM45" s="90"/>
      <c r="BN45" s="183">
        <f t="shared" si="29"/>
        <v>0</v>
      </c>
      <c r="BO45" s="189"/>
      <c r="BP45" s="90"/>
      <c r="BQ45" s="90"/>
      <c r="BR45" s="183">
        <f t="shared" si="30"/>
        <v>0</v>
      </c>
      <c r="BS45" s="189"/>
      <c r="BT45" s="90"/>
      <c r="BU45" s="90"/>
      <c r="BV45" s="183">
        <f t="shared" si="31"/>
        <v>0</v>
      </c>
      <c r="BW45" s="189"/>
      <c r="BX45" s="90"/>
      <c r="BY45" s="90"/>
      <c r="BZ45" s="183">
        <f t="shared" si="32"/>
        <v>0</v>
      </c>
      <c r="CA45" s="189"/>
      <c r="CB45" s="90"/>
      <c r="CC45" s="90"/>
      <c r="CD45" s="183">
        <f t="shared" si="33"/>
        <v>0</v>
      </c>
    </row>
    <row r="46" spans="2:82" x14ac:dyDescent="0.3">
      <c r="B46" s="53"/>
      <c r="C46" s="53" t="str">
        <f t="shared" si="0"/>
        <v>CPU_Administracaolocaldi</v>
      </c>
      <c r="D46" s="278">
        <f t="shared" si="1"/>
        <v>3</v>
      </c>
      <c r="E46" s="278">
        <f t="shared" si="2"/>
        <v>4</v>
      </c>
      <c r="F46" s="1"/>
      <c r="G46" s="28" t="str">
        <f>IFERROR(VLOOKUP(F46,Tabela7[[RECURSO]:[CUSTO]],2,FALSE),"")</f>
        <v/>
      </c>
      <c r="H46" s="92"/>
      <c r="I46" s="90"/>
      <c r="J46" s="45">
        <f>IFERROR(VLOOKUP(F46,Tabela7[[RECURSO]:[CUSTO]],3,FALSE),0)</f>
        <v>0</v>
      </c>
      <c r="K46" s="45">
        <f>I46*J46*CPU_18[[#This Row],[Nº]]</f>
        <v>0</v>
      </c>
      <c r="AD46" s="144" t="str">
        <f t="shared" si="3"/>
        <v>Administracao local diversos</v>
      </c>
      <c r="AE46" s="188"/>
      <c r="AF46" s="180">
        <f t="shared" si="35"/>
        <v>0</v>
      </c>
      <c r="AG46" s="180">
        <f t="shared" si="17"/>
        <v>0</v>
      </c>
      <c r="AH46" s="181">
        <f t="shared" si="36"/>
        <v>0</v>
      </c>
      <c r="AI46" s="189"/>
      <c r="AJ46" s="90"/>
      <c r="AK46" s="90"/>
      <c r="AL46" s="183">
        <f t="shared" si="37"/>
        <v>0</v>
      </c>
      <c r="AM46" s="189"/>
      <c r="AN46" s="90"/>
      <c r="AO46" s="90"/>
      <c r="AP46" s="183">
        <f t="shared" si="23"/>
        <v>0</v>
      </c>
      <c r="AQ46" s="189"/>
      <c r="AR46" s="90"/>
      <c r="AS46" s="90"/>
      <c r="AT46" s="183">
        <f t="shared" si="24"/>
        <v>0</v>
      </c>
      <c r="AU46" s="189"/>
      <c r="AV46" s="90"/>
      <c r="AW46" s="90"/>
      <c r="AX46" s="183">
        <f t="shared" si="25"/>
        <v>0</v>
      </c>
      <c r="AY46" s="189"/>
      <c r="AZ46" s="90"/>
      <c r="BA46" s="90"/>
      <c r="BB46" s="183">
        <f t="shared" si="26"/>
        <v>0</v>
      </c>
      <c r="BC46" s="189"/>
      <c r="BD46" s="90"/>
      <c r="BE46" s="90"/>
      <c r="BF46" s="183">
        <f t="shared" si="27"/>
        <v>0</v>
      </c>
      <c r="BG46" s="189"/>
      <c r="BH46" s="90"/>
      <c r="BI46" s="90"/>
      <c r="BJ46" s="183">
        <f t="shared" si="28"/>
        <v>0</v>
      </c>
      <c r="BK46" s="189"/>
      <c r="BL46" s="90"/>
      <c r="BM46" s="90"/>
      <c r="BN46" s="183">
        <f t="shared" si="29"/>
        <v>0</v>
      </c>
      <c r="BO46" s="189"/>
      <c r="BP46" s="90"/>
      <c r="BQ46" s="90"/>
      <c r="BR46" s="183">
        <f t="shared" si="30"/>
        <v>0</v>
      </c>
      <c r="BS46" s="189"/>
      <c r="BT46" s="90"/>
      <c r="BU46" s="90"/>
      <c r="BV46" s="183">
        <f t="shared" si="31"/>
        <v>0</v>
      </c>
      <c r="BW46" s="189"/>
      <c r="BX46" s="90"/>
      <c r="BY46" s="90"/>
      <c r="BZ46" s="183">
        <f t="shared" si="32"/>
        <v>0</v>
      </c>
      <c r="CA46" s="189"/>
      <c r="CB46" s="90"/>
      <c r="CC46" s="90"/>
      <c r="CD46" s="183">
        <f t="shared" si="33"/>
        <v>0</v>
      </c>
    </row>
    <row r="47" spans="2:82" x14ac:dyDescent="0.3">
      <c r="B47" s="53"/>
      <c r="C47" s="53" t="str">
        <f t="shared" si="0"/>
        <v>CPU_Administracaolocaldi</v>
      </c>
      <c r="D47" s="278">
        <f t="shared" si="1"/>
        <v>3</v>
      </c>
      <c r="E47" s="278">
        <f t="shared" si="2"/>
        <v>4</v>
      </c>
      <c r="F47" s="1"/>
      <c r="G47" s="28" t="str">
        <f>IFERROR(VLOOKUP(F47,Tabela7[[RECURSO]:[CUSTO]],2,FALSE),"")</f>
        <v/>
      </c>
      <c r="H47" s="92"/>
      <c r="I47" s="90"/>
      <c r="J47" s="45">
        <f>IFERROR(VLOOKUP(F47,Tabela7[[RECURSO]:[CUSTO]],3,FALSE),0)</f>
        <v>0</v>
      </c>
      <c r="K47" s="45">
        <f>I47*J47*CPU_18[[#This Row],[Nº]]</f>
        <v>0</v>
      </c>
      <c r="AD47" s="144" t="str">
        <f t="shared" si="3"/>
        <v>Administracao local diversos</v>
      </c>
      <c r="AE47" s="188"/>
      <c r="AF47" s="180">
        <f t="shared" si="35"/>
        <v>0</v>
      </c>
      <c r="AG47" s="180">
        <f t="shared" si="17"/>
        <v>0</v>
      </c>
      <c r="AH47" s="181">
        <f t="shared" si="36"/>
        <v>0</v>
      </c>
      <c r="AI47" s="189"/>
      <c r="AJ47" s="90"/>
      <c r="AK47" s="90"/>
      <c r="AL47" s="183">
        <f t="shared" si="37"/>
        <v>0</v>
      </c>
      <c r="AM47" s="189"/>
      <c r="AN47" s="90"/>
      <c r="AO47" s="90"/>
      <c r="AP47" s="183">
        <f t="shared" si="23"/>
        <v>0</v>
      </c>
      <c r="AQ47" s="189"/>
      <c r="AR47" s="90"/>
      <c r="AS47" s="90"/>
      <c r="AT47" s="183">
        <f t="shared" si="24"/>
        <v>0</v>
      </c>
      <c r="AU47" s="189"/>
      <c r="AV47" s="90"/>
      <c r="AW47" s="90"/>
      <c r="AX47" s="183">
        <f t="shared" si="25"/>
        <v>0</v>
      </c>
      <c r="AY47" s="189"/>
      <c r="AZ47" s="90"/>
      <c r="BA47" s="90"/>
      <c r="BB47" s="183">
        <f t="shared" si="26"/>
        <v>0</v>
      </c>
      <c r="BC47" s="189"/>
      <c r="BD47" s="90"/>
      <c r="BE47" s="90"/>
      <c r="BF47" s="183">
        <f t="shared" si="27"/>
        <v>0</v>
      </c>
      <c r="BG47" s="189"/>
      <c r="BH47" s="90"/>
      <c r="BI47" s="90"/>
      <c r="BJ47" s="183">
        <f t="shared" si="28"/>
        <v>0</v>
      </c>
      <c r="BK47" s="189"/>
      <c r="BL47" s="90"/>
      <c r="BM47" s="90"/>
      <c r="BN47" s="183">
        <f t="shared" si="29"/>
        <v>0</v>
      </c>
      <c r="BO47" s="189"/>
      <c r="BP47" s="90"/>
      <c r="BQ47" s="90"/>
      <c r="BR47" s="183">
        <f t="shared" si="30"/>
        <v>0</v>
      </c>
      <c r="BS47" s="189"/>
      <c r="BT47" s="90"/>
      <c r="BU47" s="90"/>
      <c r="BV47" s="183">
        <f t="shared" si="31"/>
        <v>0</v>
      </c>
      <c r="BW47" s="189"/>
      <c r="BX47" s="90"/>
      <c r="BY47" s="90"/>
      <c r="BZ47" s="183">
        <f t="shared" si="32"/>
        <v>0</v>
      </c>
      <c r="CA47" s="189"/>
      <c r="CB47" s="90"/>
      <c r="CC47" s="90"/>
      <c r="CD47" s="183">
        <f t="shared" si="33"/>
        <v>0</v>
      </c>
    </row>
    <row r="48" spans="2:82" x14ac:dyDescent="0.3">
      <c r="B48" s="53"/>
      <c r="C48" s="53" t="str">
        <f t="shared" si="0"/>
        <v>CPU_Administracaolocaldi</v>
      </c>
      <c r="D48" s="278">
        <f t="shared" si="1"/>
        <v>3</v>
      </c>
      <c r="E48" s="278">
        <f t="shared" si="2"/>
        <v>4</v>
      </c>
      <c r="F48" s="1"/>
      <c r="G48" s="28" t="str">
        <f>IFERROR(VLOOKUP(F48,Tabela7[[RECURSO]:[CUSTO]],2,FALSE),"")</f>
        <v/>
      </c>
      <c r="H48" s="92"/>
      <c r="I48" s="90"/>
      <c r="J48" s="45">
        <f>IFERROR(VLOOKUP(F48,Tabela7[[RECURSO]:[CUSTO]],3,FALSE),0)</f>
        <v>0</v>
      </c>
      <c r="K48" s="45">
        <f>I48*J48*CPU_18[[#This Row],[Nº]]</f>
        <v>0</v>
      </c>
      <c r="AD48" s="144" t="str">
        <f t="shared" si="3"/>
        <v>Administracao local diversos</v>
      </c>
      <c r="AE48" s="188"/>
      <c r="AF48" s="180">
        <f t="shared" si="35"/>
        <v>0</v>
      </c>
      <c r="AG48" s="180">
        <f t="shared" si="17"/>
        <v>0</v>
      </c>
      <c r="AH48" s="181">
        <f t="shared" si="36"/>
        <v>0</v>
      </c>
      <c r="AI48" s="189"/>
      <c r="AJ48" s="90"/>
      <c r="AK48" s="90"/>
      <c r="AL48" s="183">
        <f t="shared" si="37"/>
        <v>0</v>
      </c>
      <c r="AM48" s="189"/>
      <c r="AN48" s="90"/>
      <c r="AO48" s="90"/>
      <c r="AP48" s="183">
        <f t="shared" si="23"/>
        <v>0</v>
      </c>
      <c r="AQ48" s="189"/>
      <c r="AR48" s="90"/>
      <c r="AS48" s="90"/>
      <c r="AT48" s="183">
        <f t="shared" si="24"/>
        <v>0</v>
      </c>
      <c r="AU48" s="189"/>
      <c r="AV48" s="90"/>
      <c r="AW48" s="90"/>
      <c r="AX48" s="183">
        <f t="shared" si="25"/>
        <v>0</v>
      </c>
      <c r="AY48" s="189"/>
      <c r="AZ48" s="90"/>
      <c r="BA48" s="90"/>
      <c r="BB48" s="183">
        <f t="shared" si="26"/>
        <v>0</v>
      </c>
      <c r="BC48" s="189"/>
      <c r="BD48" s="90"/>
      <c r="BE48" s="90"/>
      <c r="BF48" s="183">
        <f t="shared" si="27"/>
        <v>0</v>
      </c>
      <c r="BG48" s="189"/>
      <c r="BH48" s="90"/>
      <c r="BI48" s="90"/>
      <c r="BJ48" s="183">
        <f t="shared" si="28"/>
        <v>0</v>
      </c>
      <c r="BK48" s="189"/>
      <c r="BL48" s="90"/>
      <c r="BM48" s="90"/>
      <c r="BN48" s="183">
        <f t="shared" si="29"/>
        <v>0</v>
      </c>
      <c r="BO48" s="189"/>
      <c r="BP48" s="90"/>
      <c r="BQ48" s="90"/>
      <c r="BR48" s="183">
        <f t="shared" si="30"/>
        <v>0</v>
      </c>
      <c r="BS48" s="189"/>
      <c r="BT48" s="90"/>
      <c r="BU48" s="90"/>
      <c r="BV48" s="183">
        <f t="shared" si="31"/>
        <v>0</v>
      </c>
      <c r="BW48" s="189"/>
      <c r="BX48" s="90"/>
      <c r="BY48" s="90"/>
      <c r="BZ48" s="183">
        <f t="shared" si="32"/>
        <v>0</v>
      </c>
      <c r="CA48" s="189"/>
      <c r="CB48" s="90"/>
      <c r="CC48" s="90"/>
      <c r="CD48" s="183">
        <f t="shared" si="33"/>
        <v>0</v>
      </c>
    </row>
    <row r="49" spans="2:82" ht="15" thickBot="1" x14ac:dyDescent="0.35">
      <c r="B49" s="53"/>
      <c r="C49" s="53" t="str">
        <f t="shared" si="0"/>
        <v>CPU_Administracaolocaldi</v>
      </c>
      <c r="D49" s="278">
        <f t="shared" si="1"/>
        <v>3</v>
      </c>
      <c r="E49" s="278">
        <f t="shared" si="2"/>
        <v>4</v>
      </c>
      <c r="F49" s="1"/>
      <c r="G49" s="28" t="str">
        <f>IFERROR(VLOOKUP(F49,Tabela7[[RECURSO]:[CUSTO]],2,FALSE),"")</f>
        <v/>
      </c>
      <c r="H49" s="92"/>
      <c r="I49" s="90"/>
      <c r="J49" s="45">
        <f>IFERROR(VLOOKUP(F49,Tabela7[[RECURSO]:[CUSTO]],3,FALSE),0)</f>
        <v>0</v>
      </c>
      <c r="K49" s="45">
        <f>I49*J49*CPU_18[[#This Row],[Nº]]</f>
        <v>0</v>
      </c>
      <c r="M49" s="83" t="s">
        <v>701</v>
      </c>
      <c r="N49" s="87" t="s">
        <v>702</v>
      </c>
      <c r="AD49" s="144" t="str">
        <f t="shared" si="3"/>
        <v>Administracao local diversos</v>
      </c>
      <c r="AE49" s="188"/>
      <c r="AF49" s="180">
        <f t="shared" si="35"/>
        <v>0</v>
      </c>
      <c r="AG49" s="180">
        <f t="shared" si="17"/>
        <v>0</v>
      </c>
      <c r="AH49" s="181">
        <f t="shared" si="36"/>
        <v>0</v>
      </c>
      <c r="AI49" s="189"/>
      <c r="AJ49" s="90"/>
      <c r="AK49" s="90"/>
      <c r="AL49" s="183">
        <f t="shared" si="37"/>
        <v>0</v>
      </c>
      <c r="AM49" s="189"/>
      <c r="AN49" s="90"/>
      <c r="AO49" s="90"/>
      <c r="AP49" s="183">
        <f t="shared" si="23"/>
        <v>0</v>
      </c>
      <c r="AQ49" s="189"/>
      <c r="AR49" s="90"/>
      <c r="AS49" s="90"/>
      <c r="AT49" s="183">
        <f t="shared" si="24"/>
        <v>0</v>
      </c>
      <c r="AU49" s="189"/>
      <c r="AV49" s="90"/>
      <c r="AW49" s="90"/>
      <c r="AX49" s="183">
        <f t="shared" si="25"/>
        <v>0</v>
      </c>
      <c r="AY49" s="189"/>
      <c r="AZ49" s="90"/>
      <c r="BA49" s="90"/>
      <c r="BB49" s="183">
        <f t="shared" si="26"/>
        <v>0</v>
      </c>
      <c r="BC49" s="189"/>
      <c r="BD49" s="90"/>
      <c r="BE49" s="90"/>
      <c r="BF49" s="183">
        <f t="shared" si="27"/>
        <v>0</v>
      </c>
      <c r="BG49" s="189"/>
      <c r="BH49" s="90"/>
      <c r="BI49" s="90"/>
      <c r="BJ49" s="183">
        <f t="shared" si="28"/>
        <v>0</v>
      </c>
      <c r="BK49" s="189"/>
      <c r="BL49" s="90"/>
      <c r="BM49" s="90"/>
      <c r="BN49" s="183">
        <f t="shared" si="29"/>
        <v>0</v>
      </c>
      <c r="BO49" s="189"/>
      <c r="BP49" s="90"/>
      <c r="BQ49" s="90"/>
      <c r="BR49" s="183">
        <f t="shared" si="30"/>
        <v>0</v>
      </c>
      <c r="BS49" s="189"/>
      <c r="BT49" s="90"/>
      <c r="BU49" s="90"/>
      <c r="BV49" s="183">
        <f t="shared" si="31"/>
        <v>0</v>
      </c>
      <c r="BW49" s="189"/>
      <c r="BX49" s="90"/>
      <c r="BY49" s="90"/>
      <c r="BZ49" s="183">
        <f t="shared" si="32"/>
        <v>0</v>
      </c>
      <c r="CA49" s="189"/>
      <c r="CB49" s="90"/>
      <c r="CC49" s="90"/>
      <c r="CD49" s="183">
        <f t="shared" si="33"/>
        <v>0</v>
      </c>
    </row>
    <row r="50" spans="2:82" x14ac:dyDescent="0.3">
      <c r="B50" s="52" t="s">
        <v>693</v>
      </c>
      <c r="C50" s="52" t="str">
        <f t="shared" si="0"/>
        <v>CPU_Administracaolocaldi</v>
      </c>
      <c r="D50" s="277">
        <f t="shared" si="1"/>
        <v>3</v>
      </c>
      <c r="E50" s="277">
        <f t="shared" si="2"/>
        <v>4</v>
      </c>
      <c r="F50" s="37"/>
      <c r="G50" s="38"/>
      <c r="H50" s="38"/>
      <c r="I50" s="37"/>
      <c r="J50" s="40">
        <f>IFERROR(K50/$B$6,0)</f>
        <v>1059620.6621999999</v>
      </c>
      <c r="K50" s="40">
        <f>SUM(K51:K62)</f>
        <v>3178861.9865999995</v>
      </c>
      <c r="M50" s="84" t="str">
        <f>"Consumo por "&amp;J3</f>
        <v>Consumo por VB</v>
      </c>
      <c r="N50" s="89"/>
      <c r="AD50" s="144" t="str">
        <f t="shared" si="3"/>
        <v>Administracao local diversos</v>
      </c>
      <c r="AE50" s="190"/>
      <c r="AF50" s="191"/>
      <c r="AG50" s="40">
        <f>IFERROR(AH50/AF$3,0)</f>
        <v>0</v>
      </c>
      <c r="AH50" s="185">
        <f>SUM(AH51:AH62)</f>
        <v>0</v>
      </c>
      <c r="AI50" s="190"/>
      <c r="AJ50" s="37"/>
      <c r="AK50" s="40">
        <f>IFERROR(AL50/AJ$3,0)</f>
        <v>0</v>
      </c>
      <c r="AL50" s="185">
        <f>SUM(AL51:AL62)</f>
        <v>0</v>
      </c>
      <c r="AM50" s="190"/>
      <c r="AN50" s="37"/>
      <c r="AO50" s="40">
        <f>IFERROR(AP50/AN$3,0)</f>
        <v>0</v>
      </c>
      <c r="AP50" s="185">
        <f>SUM(AP51:AP62)</f>
        <v>0</v>
      </c>
      <c r="AQ50" s="190"/>
      <c r="AR50" s="37"/>
      <c r="AS50" s="40">
        <f>IFERROR(AT50/AR$3,0)</f>
        <v>0</v>
      </c>
      <c r="AT50" s="185">
        <f>SUM(AT51:AT62)</f>
        <v>0</v>
      </c>
      <c r="AU50" s="190"/>
      <c r="AV50" s="37"/>
      <c r="AW50" s="40">
        <f>IFERROR(AX50/AV$3,0)</f>
        <v>0</v>
      </c>
      <c r="AX50" s="185">
        <f>SUM(AX51:AX62)</f>
        <v>0</v>
      </c>
      <c r="AY50" s="190"/>
      <c r="AZ50" s="37"/>
      <c r="BA50" s="40">
        <f>IFERROR(BB50/AZ$3,0)</f>
        <v>0</v>
      </c>
      <c r="BB50" s="185">
        <f>SUM(BB51:BB62)</f>
        <v>0</v>
      </c>
      <c r="BC50" s="190"/>
      <c r="BD50" s="37"/>
      <c r="BE50" s="40">
        <f>IFERROR(BF50/BD$3,0)</f>
        <v>0</v>
      </c>
      <c r="BF50" s="185">
        <f>SUM(BF51:BF62)</f>
        <v>0</v>
      </c>
      <c r="BG50" s="190"/>
      <c r="BH50" s="37"/>
      <c r="BI50" s="40">
        <f>IFERROR(BJ50/BH$3,0)</f>
        <v>0</v>
      </c>
      <c r="BJ50" s="185">
        <f>SUM(BJ51:BJ62)</f>
        <v>0</v>
      </c>
      <c r="BK50" s="190"/>
      <c r="BL50" s="37"/>
      <c r="BM50" s="40">
        <f>IFERROR(BN50/BL$3,0)</f>
        <v>0</v>
      </c>
      <c r="BN50" s="185">
        <f>SUM(BN51:BN62)</f>
        <v>0</v>
      </c>
      <c r="BO50" s="190"/>
      <c r="BP50" s="37"/>
      <c r="BQ50" s="40">
        <f>IFERROR(BR50/BP$3,0)</f>
        <v>0</v>
      </c>
      <c r="BR50" s="185">
        <f>SUM(BR51:BR62)</f>
        <v>0</v>
      </c>
      <c r="BS50" s="190"/>
      <c r="BT50" s="37"/>
      <c r="BU50" s="40">
        <f>IFERROR(BV50/BT$3,0)</f>
        <v>0</v>
      </c>
      <c r="BV50" s="185">
        <f>SUM(BV51:BV62)</f>
        <v>0</v>
      </c>
      <c r="BW50" s="190"/>
      <c r="BX50" s="37"/>
      <c r="BY50" s="40">
        <f>IFERROR(BZ50/BX$3,0)</f>
        <v>0</v>
      </c>
      <c r="BZ50" s="185">
        <f>SUM(BZ51:BZ62)</f>
        <v>0</v>
      </c>
      <c r="CA50" s="190"/>
      <c r="CB50" s="37"/>
      <c r="CC50" s="40">
        <f>IFERROR(CD50/CB$3,0)</f>
        <v>0</v>
      </c>
      <c r="CD50" s="185">
        <f>SUM(CD51:CD62)</f>
        <v>0</v>
      </c>
    </row>
    <row r="51" spans="2:82" x14ac:dyDescent="0.3">
      <c r="B51" s="53"/>
      <c r="C51" s="53" t="str">
        <f t="shared" si="0"/>
        <v>CPU_Administracaolocaldi</v>
      </c>
      <c r="D51" s="278">
        <f t="shared" si="1"/>
        <v>3</v>
      </c>
      <c r="E51" s="278">
        <f t="shared" si="2"/>
        <v>4</v>
      </c>
      <c r="F51" s="1" t="s">
        <v>876</v>
      </c>
      <c r="G51" s="28" t="str">
        <f>IFERROR(VLOOKUP(F51,Tabela7[[RECURSO]:[CUSTO]],2,FALSE),"")</f>
        <v>VB</v>
      </c>
      <c r="I51" s="90">
        <f>IFERROR(M51*$B$6,0)</f>
        <v>3178861.9865999995</v>
      </c>
      <c r="J51" s="45">
        <f>IFERROR(VLOOKUP(F51,Tabela7[[RECURSO]:[CUSTO]],3,FALSE),0)</f>
        <v>1</v>
      </c>
      <c r="K51" s="45">
        <f>I51*J51</f>
        <v>3178861.9865999995</v>
      </c>
      <c r="M51" s="349">
        <f>INDIRETO!J4</f>
        <v>1059620.6621999999</v>
      </c>
      <c r="N51" s="88"/>
      <c r="AD51" s="144" t="str">
        <f t="shared" si="3"/>
        <v>Administracao local diversos</v>
      </c>
      <c r="AE51" s="192"/>
      <c r="AF51" s="180">
        <f t="shared" ref="AF51:AF62" si="38">AJ51+AN51+AR51+AV51+AZ51+BD51+BH51+BL51+BP51+BT51+BX51+CB51</f>
        <v>0</v>
      </c>
      <c r="AG51" s="180">
        <f t="shared" si="17"/>
        <v>0</v>
      </c>
      <c r="AH51" s="181">
        <f t="shared" ref="AH51:AH62" si="39">AL51+AP51+AT51+AX51+BB51+BF51+BJ51+BN51+BR51+BV51+BZ51+CD51</f>
        <v>0</v>
      </c>
      <c r="AI51" s="193"/>
      <c r="AJ51" s="90"/>
      <c r="AK51" s="90"/>
      <c r="AL51" s="183">
        <f t="shared" ref="AL51:AL62" si="40">AJ51*AK51</f>
        <v>0</v>
      </c>
      <c r="AM51" s="193"/>
      <c r="AN51" s="90"/>
      <c r="AO51" s="90"/>
      <c r="AP51" s="183">
        <f t="shared" si="23"/>
        <v>0</v>
      </c>
      <c r="AQ51" s="193"/>
      <c r="AR51" s="90"/>
      <c r="AS51" s="90"/>
      <c r="AT51" s="183">
        <f t="shared" si="24"/>
        <v>0</v>
      </c>
      <c r="AU51" s="193"/>
      <c r="AV51" s="90"/>
      <c r="AW51" s="90"/>
      <c r="AX51" s="183">
        <f t="shared" si="25"/>
        <v>0</v>
      </c>
      <c r="AY51" s="193"/>
      <c r="AZ51" s="90"/>
      <c r="BA51" s="90"/>
      <c r="BB51" s="183">
        <f t="shared" si="26"/>
        <v>0</v>
      </c>
      <c r="BC51" s="193"/>
      <c r="BD51" s="90"/>
      <c r="BE51" s="90"/>
      <c r="BF51" s="183">
        <f t="shared" si="27"/>
        <v>0</v>
      </c>
      <c r="BG51" s="193"/>
      <c r="BH51" s="90"/>
      <c r="BI51" s="90"/>
      <c r="BJ51" s="183">
        <f t="shared" si="28"/>
        <v>0</v>
      </c>
      <c r="BK51" s="193"/>
      <c r="BL51" s="90"/>
      <c r="BM51" s="90"/>
      <c r="BN51" s="183">
        <f t="shared" si="29"/>
        <v>0</v>
      </c>
      <c r="BO51" s="193"/>
      <c r="BP51" s="90"/>
      <c r="BQ51" s="90"/>
      <c r="BR51" s="183">
        <f t="shared" si="30"/>
        <v>0</v>
      </c>
      <c r="BS51" s="193"/>
      <c r="BT51" s="90"/>
      <c r="BU51" s="90"/>
      <c r="BV51" s="183">
        <f t="shared" si="31"/>
        <v>0</v>
      </c>
      <c r="BW51" s="193"/>
      <c r="BX51" s="90"/>
      <c r="BY51" s="90"/>
      <c r="BZ51" s="183">
        <f t="shared" si="32"/>
        <v>0</v>
      </c>
      <c r="CA51" s="193"/>
      <c r="CB51" s="90"/>
      <c r="CC51" s="90"/>
      <c r="CD51" s="183">
        <f t="shared" si="33"/>
        <v>0</v>
      </c>
    </row>
    <row r="52" spans="2:82" x14ac:dyDescent="0.3">
      <c r="B52" s="53"/>
      <c r="C52" s="53" t="str">
        <f t="shared" si="0"/>
        <v>CPU_Administracaolocaldi</v>
      </c>
      <c r="D52" s="278">
        <f t="shared" si="1"/>
        <v>3</v>
      </c>
      <c r="E52" s="278">
        <f t="shared" si="2"/>
        <v>4</v>
      </c>
      <c r="F52" s="1"/>
      <c r="G52" s="28" t="str">
        <f>IFERROR(VLOOKUP(F52,Tabela7[[RECURSO]:[CUSTO]],2,FALSE),"")</f>
        <v/>
      </c>
      <c r="I52" s="90">
        <f t="shared" ref="I52:I62" si="41">IFERROR(M52*$B$6,0)</f>
        <v>0</v>
      </c>
      <c r="J52" s="45">
        <f>IFERROR(VLOOKUP(F52,Tabela7[[RECURSO]:[CUSTO]],3,FALSE),0)</f>
        <v>0</v>
      </c>
      <c r="K52" s="45">
        <f t="shared" ref="K52:K62" si="42">I52*J52</f>
        <v>0</v>
      </c>
      <c r="M52" s="85"/>
      <c r="N52" s="88"/>
      <c r="AD52" s="144" t="str">
        <f t="shared" si="3"/>
        <v>Administracao local diversos</v>
      </c>
      <c r="AE52" s="192"/>
      <c r="AF52" s="180">
        <f t="shared" si="38"/>
        <v>0</v>
      </c>
      <c r="AG52" s="180">
        <f t="shared" si="17"/>
        <v>0</v>
      </c>
      <c r="AH52" s="181">
        <f t="shared" si="39"/>
        <v>0</v>
      </c>
      <c r="AI52" s="193"/>
      <c r="AJ52" s="90"/>
      <c r="AK52" s="90"/>
      <c r="AL52" s="183">
        <f t="shared" si="40"/>
        <v>0</v>
      </c>
      <c r="AM52" s="193"/>
      <c r="AN52" s="90"/>
      <c r="AO52" s="90"/>
      <c r="AP52" s="183">
        <f t="shared" si="23"/>
        <v>0</v>
      </c>
      <c r="AQ52" s="193"/>
      <c r="AR52" s="90"/>
      <c r="AS52" s="90"/>
      <c r="AT52" s="183">
        <f t="shared" si="24"/>
        <v>0</v>
      </c>
      <c r="AU52" s="193"/>
      <c r="AV52" s="90"/>
      <c r="AW52" s="90"/>
      <c r="AX52" s="183">
        <f t="shared" si="25"/>
        <v>0</v>
      </c>
      <c r="AY52" s="193"/>
      <c r="AZ52" s="90"/>
      <c r="BA52" s="90"/>
      <c r="BB52" s="183">
        <f t="shared" si="26"/>
        <v>0</v>
      </c>
      <c r="BC52" s="193"/>
      <c r="BD52" s="90"/>
      <c r="BE52" s="90"/>
      <c r="BF52" s="183">
        <f t="shared" si="27"/>
        <v>0</v>
      </c>
      <c r="BG52" s="193"/>
      <c r="BH52" s="90"/>
      <c r="BI52" s="90"/>
      <c r="BJ52" s="183">
        <f t="shared" si="28"/>
        <v>0</v>
      </c>
      <c r="BK52" s="193"/>
      <c r="BL52" s="90"/>
      <c r="BM52" s="90"/>
      <c r="BN52" s="183">
        <f t="shared" si="29"/>
        <v>0</v>
      </c>
      <c r="BO52" s="193"/>
      <c r="BP52" s="90"/>
      <c r="BQ52" s="90"/>
      <c r="BR52" s="183">
        <f t="shared" si="30"/>
        <v>0</v>
      </c>
      <c r="BS52" s="193"/>
      <c r="BT52" s="90"/>
      <c r="BU52" s="90"/>
      <c r="BV52" s="183">
        <f t="shared" si="31"/>
        <v>0</v>
      </c>
      <c r="BW52" s="193"/>
      <c r="BX52" s="90"/>
      <c r="BY52" s="90"/>
      <c r="BZ52" s="183">
        <f t="shared" si="32"/>
        <v>0</v>
      </c>
      <c r="CA52" s="193"/>
      <c r="CB52" s="90"/>
      <c r="CC52" s="90"/>
      <c r="CD52" s="183">
        <f t="shared" si="33"/>
        <v>0</v>
      </c>
    </row>
    <row r="53" spans="2:82" x14ac:dyDescent="0.3">
      <c r="B53" s="53"/>
      <c r="C53" s="53" t="str">
        <f t="shared" si="0"/>
        <v>CPU_Administracaolocaldi</v>
      </c>
      <c r="D53" s="278">
        <f t="shared" si="1"/>
        <v>3</v>
      </c>
      <c r="E53" s="278">
        <f t="shared" si="2"/>
        <v>4</v>
      </c>
      <c r="F53" s="1"/>
      <c r="G53" s="28" t="str">
        <f>IFERROR(VLOOKUP(F53,Tabela7[[RECURSO]:[CUSTO]],2,FALSE),"")</f>
        <v/>
      </c>
      <c r="I53" s="90">
        <f t="shared" si="41"/>
        <v>0</v>
      </c>
      <c r="J53" s="45">
        <f>IFERROR(VLOOKUP(F53,Tabela7[[RECURSO]:[CUSTO]],3,FALSE),0)</f>
        <v>0</v>
      </c>
      <c r="K53" s="45">
        <f t="shared" si="42"/>
        <v>0</v>
      </c>
      <c r="M53" s="85"/>
      <c r="N53" s="88"/>
      <c r="AD53" s="144" t="str">
        <f t="shared" si="3"/>
        <v>Administracao local diversos</v>
      </c>
      <c r="AE53" s="192"/>
      <c r="AF53" s="180">
        <f t="shared" si="38"/>
        <v>0</v>
      </c>
      <c r="AG53" s="180">
        <f t="shared" si="17"/>
        <v>0</v>
      </c>
      <c r="AH53" s="181">
        <f t="shared" si="39"/>
        <v>0</v>
      </c>
      <c r="AI53" s="193"/>
      <c r="AJ53" s="90"/>
      <c r="AK53" s="90"/>
      <c r="AL53" s="183">
        <f t="shared" si="40"/>
        <v>0</v>
      </c>
      <c r="AM53" s="193"/>
      <c r="AN53" s="90"/>
      <c r="AO53" s="90"/>
      <c r="AP53" s="183">
        <f t="shared" si="23"/>
        <v>0</v>
      </c>
      <c r="AQ53" s="193"/>
      <c r="AR53" s="90"/>
      <c r="AS53" s="90"/>
      <c r="AT53" s="183">
        <f t="shared" si="24"/>
        <v>0</v>
      </c>
      <c r="AU53" s="193"/>
      <c r="AV53" s="90"/>
      <c r="AW53" s="90"/>
      <c r="AX53" s="183">
        <f t="shared" si="25"/>
        <v>0</v>
      </c>
      <c r="AY53" s="193"/>
      <c r="AZ53" s="90"/>
      <c r="BA53" s="90"/>
      <c r="BB53" s="183">
        <f t="shared" si="26"/>
        <v>0</v>
      </c>
      <c r="BC53" s="193"/>
      <c r="BD53" s="90"/>
      <c r="BE53" s="90"/>
      <c r="BF53" s="183">
        <f t="shared" si="27"/>
        <v>0</v>
      </c>
      <c r="BG53" s="193"/>
      <c r="BH53" s="90"/>
      <c r="BI53" s="90"/>
      <c r="BJ53" s="183">
        <f t="shared" si="28"/>
        <v>0</v>
      </c>
      <c r="BK53" s="193"/>
      <c r="BL53" s="90"/>
      <c r="BM53" s="90"/>
      <c r="BN53" s="183">
        <f t="shared" si="29"/>
        <v>0</v>
      </c>
      <c r="BO53" s="193"/>
      <c r="BP53" s="90"/>
      <c r="BQ53" s="90"/>
      <c r="BR53" s="183">
        <f t="shared" si="30"/>
        <v>0</v>
      </c>
      <c r="BS53" s="193"/>
      <c r="BT53" s="90"/>
      <c r="BU53" s="90"/>
      <c r="BV53" s="183">
        <f t="shared" si="31"/>
        <v>0</v>
      </c>
      <c r="BW53" s="193"/>
      <c r="BX53" s="90"/>
      <c r="BY53" s="90"/>
      <c r="BZ53" s="183">
        <f t="shared" si="32"/>
        <v>0</v>
      </c>
      <c r="CA53" s="193"/>
      <c r="CB53" s="90"/>
      <c r="CC53" s="90"/>
      <c r="CD53" s="183">
        <f t="shared" si="33"/>
        <v>0</v>
      </c>
    </row>
    <row r="54" spans="2:82" x14ac:dyDescent="0.3">
      <c r="B54" s="53"/>
      <c r="C54" s="53" t="str">
        <f t="shared" si="0"/>
        <v>CPU_Administracaolocaldi</v>
      </c>
      <c r="D54" s="278">
        <f t="shared" si="1"/>
        <v>3</v>
      </c>
      <c r="E54" s="278">
        <f t="shared" si="2"/>
        <v>4</v>
      </c>
      <c r="F54" s="1"/>
      <c r="G54" s="28" t="str">
        <f>IFERROR(VLOOKUP(F54,Tabela7[[RECURSO]:[CUSTO]],2,FALSE),"")</f>
        <v/>
      </c>
      <c r="I54" s="90">
        <f t="shared" si="41"/>
        <v>0</v>
      </c>
      <c r="J54" s="45">
        <f>IFERROR(VLOOKUP(F54,Tabela7[[RECURSO]:[CUSTO]],3,FALSE),0)</f>
        <v>0</v>
      </c>
      <c r="K54" s="45">
        <f>I54*J54</f>
        <v>0</v>
      </c>
      <c r="M54" s="85"/>
      <c r="N54" s="88"/>
      <c r="AD54" s="144" t="str">
        <f>$B$3</f>
        <v>Administracao local diversos</v>
      </c>
      <c r="AE54" s="192"/>
      <c r="AF54" s="180">
        <f t="shared" si="38"/>
        <v>0</v>
      </c>
      <c r="AG54" s="180">
        <f t="shared" si="17"/>
        <v>0</v>
      </c>
      <c r="AH54" s="181">
        <f t="shared" si="39"/>
        <v>0</v>
      </c>
      <c r="AI54" s="193"/>
      <c r="AJ54" s="90"/>
      <c r="AK54" s="90"/>
      <c r="AL54" s="183">
        <f t="shared" si="40"/>
        <v>0</v>
      </c>
      <c r="AM54" s="193"/>
      <c r="AN54" s="90"/>
      <c r="AO54" s="90"/>
      <c r="AP54" s="183">
        <f t="shared" si="23"/>
        <v>0</v>
      </c>
      <c r="AQ54" s="193"/>
      <c r="AR54" s="90"/>
      <c r="AS54" s="90"/>
      <c r="AT54" s="183">
        <f t="shared" si="24"/>
        <v>0</v>
      </c>
      <c r="AU54" s="193"/>
      <c r="AV54" s="90"/>
      <c r="AW54" s="90"/>
      <c r="AX54" s="183">
        <f t="shared" si="25"/>
        <v>0</v>
      </c>
      <c r="AY54" s="193"/>
      <c r="AZ54" s="90"/>
      <c r="BA54" s="90"/>
      <c r="BB54" s="183">
        <f t="shared" si="26"/>
        <v>0</v>
      </c>
      <c r="BC54" s="193"/>
      <c r="BD54" s="90"/>
      <c r="BE54" s="90"/>
      <c r="BF54" s="183">
        <f t="shared" si="27"/>
        <v>0</v>
      </c>
      <c r="BG54" s="193"/>
      <c r="BH54" s="90"/>
      <c r="BI54" s="90"/>
      <c r="BJ54" s="183">
        <f t="shared" si="28"/>
        <v>0</v>
      </c>
      <c r="BK54" s="193"/>
      <c r="BL54" s="90"/>
      <c r="BM54" s="90"/>
      <c r="BN54" s="183">
        <f t="shared" si="29"/>
        <v>0</v>
      </c>
      <c r="BO54" s="193"/>
      <c r="BP54" s="90"/>
      <c r="BQ54" s="90"/>
      <c r="BR54" s="183">
        <f t="shared" si="30"/>
        <v>0</v>
      </c>
      <c r="BS54" s="193"/>
      <c r="BT54" s="90"/>
      <c r="BU54" s="90"/>
      <c r="BV54" s="183">
        <f t="shared" si="31"/>
        <v>0</v>
      </c>
      <c r="BW54" s="193"/>
      <c r="BX54" s="90"/>
      <c r="BY54" s="90"/>
      <c r="BZ54" s="183">
        <f t="shared" si="32"/>
        <v>0</v>
      </c>
      <c r="CA54" s="193"/>
      <c r="CB54" s="90"/>
      <c r="CC54" s="90"/>
      <c r="CD54" s="183">
        <f t="shared" si="33"/>
        <v>0</v>
      </c>
    </row>
    <row r="55" spans="2:82" x14ac:dyDescent="0.3">
      <c r="B55" s="53"/>
      <c r="C55" s="53" t="str">
        <f t="shared" si="0"/>
        <v>CPU_Administracaolocaldi</v>
      </c>
      <c r="D55" s="278">
        <f t="shared" si="1"/>
        <v>3</v>
      </c>
      <c r="E55" s="278">
        <f t="shared" si="2"/>
        <v>4</v>
      </c>
      <c r="F55" s="1"/>
      <c r="G55" s="28" t="str">
        <f>IFERROR(VLOOKUP(F55,Tabela7[[RECURSO]:[CUSTO]],2,FALSE),"")</f>
        <v/>
      </c>
      <c r="I55" s="90">
        <f t="shared" si="41"/>
        <v>0</v>
      </c>
      <c r="J55" s="45">
        <f>IFERROR(VLOOKUP(F55,Tabela7[[RECURSO]:[CUSTO]],3,FALSE),0)</f>
        <v>0</v>
      </c>
      <c r="K55" s="45">
        <f t="shared" si="42"/>
        <v>0</v>
      </c>
      <c r="M55" s="85"/>
      <c r="N55" s="88"/>
      <c r="AD55" s="144" t="str">
        <f t="shared" si="3"/>
        <v>Administracao local diversos</v>
      </c>
      <c r="AE55" s="192"/>
      <c r="AF55" s="180">
        <f t="shared" si="38"/>
        <v>0</v>
      </c>
      <c r="AG55" s="180">
        <f t="shared" si="17"/>
        <v>0</v>
      </c>
      <c r="AH55" s="181">
        <f t="shared" si="39"/>
        <v>0</v>
      </c>
      <c r="AI55" s="193"/>
      <c r="AJ55" s="90"/>
      <c r="AK55" s="90"/>
      <c r="AL55" s="183">
        <f t="shared" si="40"/>
        <v>0</v>
      </c>
      <c r="AM55" s="193"/>
      <c r="AN55" s="90"/>
      <c r="AO55" s="90"/>
      <c r="AP55" s="183">
        <f t="shared" si="23"/>
        <v>0</v>
      </c>
      <c r="AQ55" s="193"/>
      <c r="AR55" s="90"/>
      <c r="AS55" s="90"/>
      <c r="AT55" s="183">
        <f t="shared" si="24"/>
        <v>0</v>
      </c>
      <c r="AU55" s="193"/>
      <c r="AV55" s="90"/>
      <c r="AW55" s="90"/>
      <c r="AX55" s="183">
        <f t="shared" si="25"/>
        <v>0</v>
      </c>
      <c r="AY55" s="193"/>
      <c r="AZ55" s="90"/>
      <c r="BA55" s="90"/>
      <c r="BB55" s="183">
        <f t="shared" si="26"/>
        <v>0</v>
      </c>
      <c r="BC55" s="193"/>
      <c r="BD55" s="90"/>
      <c r="BE55" s="90"/>
      <c r="BF55" s="183">
        <f t="shared" si="27"/>
        <v>0</v>
      </c>
      <c r="BG55" s="193"/>
      <c r="BH55" s="90"/>
      <c r="BI55" s="90"/>
      <c r="BJ55" s="183">
        <f t="shared" si="28"/>
        <v>0</v>
      </c>
      <c r="BK55" s="193"/>
      <c r="BL55" s="90"/>
      <c r="BM55" s="90"/>
      <c r="BN55" s="183">
        <f t="shared" si="29"/>
        <v>0</v>
      </c>
      <c r="BO55" s="193"/>
      <c r="BP55" s="90"/>
      <c r="BQ55" s="90"/>
      <c r="BR55" s="183">
        <f t="shared" si="30"/>
        <v>0</v>
      </c>
      <c r="BS55" s="193"/>
      <c r="BT55" s="90"/>
      <c r="BU55" s="90"/>
      <c r="BV55" s="183">
        <f t="shared" si="31"/>
        <v>0</v>
      </c>
      <c r="BW55" s="193"/>
      <c r="BX55" s="90"/>
      <c r="BY55" s="90"/>
      <c r="BZ55" s="183">
        <f t="shared" si="32"/>
        <v>0</v>
      </c>
      <c r="CA55" s="193"/>
      <c r="CB55" s="90"/>
      <c r="CC55" s="90"/>
      <c r="CD55" s="183">
        <f t="shared" si="33"/>
        <v>0</v>
      </c>
    </row>
    <row r="56" spans="2:82" x14ac:dyDescent="0.3">
      <c r="B56" s="53"/>
      <c r="C56" s="53" t="str">
        <f t="shared" si="0"/>
        <v>CPU_Administracaolocaldi</v>
      </c>
      <c r="D56" s="278">
        <f t="shared" si="1"/>
        <v>3</v>
      </c>
      <c r="E56" s="278">
        <f t="shared" si="2"/>
        <v>4</v>
      </c>
      <c r="F56" s="1"/>
      <c r="G56" s="28" t="str">
        <f>IFERROR(VLOOKUP(F56,Tabela7[[RECURSO]:[CUSTO]],2,FALSE),"")</f>
        <v/>
      </c>
      <c r="I56" s="90">
        <f t="shared" si="41"/>
        <v>0</v>
      </c>
      <c r="J56" s="45">
        <f>IFERROR(VLOOKUP(F56,Tabela7[[RECURSO]:[CUSTO]],3,FALSE),0)</f>
        <v>0</v>
      </c>
      <c r="K56" s="45">
        <f t="shared" si="42"/>
        <v>0</v>
      </c>
      <c r="M56" s="85"/>
      <c r="N56" s="88"/>
      <c r="AD56" s="144" t="str">
        <f t="shared" si="3"/>
        <v>Administracao local diversos</v>
      </c>
      <c r="AE56" s="192"/>
      <c r="AF56" s="180">
        <f t="shared" si="38"/>
        <v>0</v>
      </c>
      <c r="AG56" s="180">
        <f t="shared" si="17"/>
        <v>0</v>
      </c>
      <c r="AH56" s="181">
        <f t="shared" si="39"/>
        <v>0</v>
      </c>
      <c r="AI56" s="193"/>
      <c r="AJ56" s="90"/>
      <c r="AK56" s="90"/>
      <c r="AL56" s="183">
        <f t="shared" si="40"/>
        <v>0</v>
      </c>
      <c r="AM56" s="193"/>
      <c r="AN56" s="90"/>
      <c r="AO56" s="90"/>
      <c r="AP56" s="183">
        <f t="shared" si="23"/>
        <v>0</v>
      </c>
      <c r="AQ56" s="193"/>
      <c r="AR56" s="90"/>
      <c r="AS56" s="90"/>
      <c r="AT56" s="183">
        <f t="shared" si="24"/>
        <v>0</v>
      </c>
      <c r="AU56" s="193"/>
      <c r="AV56" s="90"/>
      <c r="AW56" s="90"/>
      <c r="AX56" s="183">
        <f t="shared" si="25"/>
        <v>0</v>
      </c>
      <c r="AY56" s="193"/>
      <c r="AZ56" s="90"/>
      <c r="BA56" s="90"/>
      <c r="BB56" s="183">
        <f t="shared" si="26"/>
        <v>0</v>
      </c>
      <c r="BC56" s="193"/>
      <c r="BD56" s="90"/>
      <c r="BE56" s="90"/>
      <c r="BF56" s="183">
        <f t="shared" si="27"/>
        <v>0</v>
      </c>
      <c r="BG56" s="193"/>
      <c r="BH56" s="90"/>
      <c r="BI56" s="90"/>
      <c r="BJ56" s="183">
        <f t="shared" si="28"/>
        <v>0</v>
      </c>
      <c r="BK56" s="193"/>
      <c r="BL56" s="90"/>
      <c r="BM56" s="90"/>
      <c r="BN56" s="183">
        <f t="shared" si="29"/>
        <v>0</v>
      </c>
      <c r="BO56" s="193"/>
      <c r="BP56" s="90"/>
      <c r="BQ56" s="90"/>
      <c r="BR56" s="183">
        <f t="shared" si="30"/>
        <v>0</v>
      </c>
      <c r="BS56" s="193"/>
      <c r="BT56" s="90"/>
      <c r="BU56" s="90"/>
      <c r="BV56" s="183">
        <f t="shared" si="31"/>
        <v>0</v>
      </c>
      <c r="BW56" s="193"/>
      <c r="BX56" s="90"/>
      <c r="BY56" s="90"/>
      <c r="BZ56" s="183">
        <f t="shared" si="32"/>
        <v>0</v>
      </c>
      <c r="CA56" s="193"/>
      <c r="CB56" s="90"/>
      <c r="CC56" s="90"/>
      <c r="CD56" s="183">
        <f t="shared" si="33"/>
        <v>0</v>
      </c>
    </row>
    <row r="57" spans="2:82" x14ac:dyDescent="0.3">
      <c r="B57" s="53"/>
      <c r="C57" s="53" t="str">
        <f t="shared" si="0"/>
        <v>CPU_Administracaolocaldi</v>
      </c>
      <c r="D57" s="278">
        <f t="shared" si="1"/>
        <v>3</v>
      </c>
      <c r="E57" s="278">
        <f t="shared" si="2"/>
        <v>4</v>
      </c>
      <c r="F57" s="1"/>
      <c r="G57" s="28" t="str">
        <f>IFERROR(VLOOKUP(F57,Tabela7[[RECURSO]:[CUSTO]],2,FALSE),"")</f>
        <v/>
      </c>
      <c r="I57" s="90">
        <f t="shared" si="41"/>
        <v>0</v>
      </c>
      <c r="J57" s="45">
        <f>IFERROR(VLOOKUP(F57,Tabela7[[RECURSO]:[CUSTO]],3,FALSE),0)</f>
        <v>0</v>
      </c>
      <c r="K57" s="45">
        <f t="shared" si="42"/>
        <v>0</v>
      </c>
      <c r="M57" s="85"/>
      <c r="N57" s="88"/>
      <c r="AD57" s="144" t="str">
        <f t="shared" si="3"/>
        <v>Administracao local diversos</v>
      </c>
      <c r="AE57" s="192"/>
      <c r="AF57" s="180">
        <f t="shared" si="38"/>
        <v>0</v>
      </c>
      <c r="AG57" s="180">
        <f t="shared" si="17"/>
        <v>0</v>
      </c>
      <c r="AH57" s="181">
        <f t="shared" si="39"/>
        <v>0</v>
      </c>
      <c r="AI57" s="193"/>
      <c r="AJ57" s="90"/>
      <c r="AK57" s="90"/>
      <c r="AL57" s="183">
        <f t="shared" si="40"/>
        <v>0</v>
      </c>
      <c r="AM57" s="193"/>
      <c r="AN57" s="90"/>
      <c r="AO57" s="90"/>
      <c r="AP57" s="183">
        <f t="shared" si="23"/>
        <v>0</v>
      </c>
      <c r="AQ57" s="193"/>
      <c r="AR57" s="90"/>
      <c r="AS57" s="90"/>
      <c r="AT57" s="183">
        <f t="shared" si="24"/>
        <v>0</v>
      </c>
      <c r="AU57" s="193"/>
      <c r="AV57" s="90"/>
      <c r="AW57" s="90"/>
      <c r="AX57" s="183">
        <f t="shared" si="25"/>
        <v>0</v>
      </c>
      <c r="AY57" s="193"/>
      <c r="AZ57" s="90"/>
      <c r="BA57" s="90"/>
      <c r="BB57" s="183">
        <f t="shared" si="26"/>
        <v>0</v>
      </c>
      <c r="BC57" s="193"/>
      <c r="BD57" s="90"/>
      <c r="BE57" s="90"/>
      <c r="BF57" s="183">
        <f t="shared" si="27"/>
        <v>0</v>
      </c>
      <c r="BG57" s="193"/>
      <c r="BH57" s="90"/>
      <c r="BI57" s="90"/>
      <c r="BJ57" s="183">
        <f t="shared" si="28"/>
        <v>0</v>
      </c>
      <c r="BK57" s="193"/>
      <c r="BL57" s="90"/>
      <c r="BM57" s="90"/>
      <c r="BN57" s="183">
        <f t="shared" si="29"/>
        <v>0</v>
      </c>
      <c r="BO57" s="193"/>
      <c r="BP57" s="90"/>
      <c r="BQ57" s="90"/>
      <c r="BR57" s="183">
        <f t="shared" si="30"/>
        <v>0</v>
      </c>
      <c r="BS57" s="193"/>
      <c r="BT57" s="90"/>
      <c r="BU57" s="90"/>
      <c r="BV57" s="183">
        <f t="shared" si="31"/>
        <v>0</v>
      </c>
      <c r="BW57" s="193"/>
      <c r="BX57" s="90"/>
      <c r="BY57" s="90"/>
      <c r="BZ57" s="183">
        <f t="shared" si="32"/>
        <v>0</v>
      </c>
      <c r="CA57" s="193"/>
      <c r="CB57" s="90"/>
      <c r="CC57" s="90"/>
      <c r="CD57" s="183">
        <f t="shared" si="33"/>
        <v>0</v>
      </c>
    </row>
    <row r="58" spans="2:82" x14ac:dyDescent="0.3">
      <c r="B58" s="53"/>
      <c r="C58" s="53" t="str">
        <f t="shared" si="0"/>
        <v>CPU_Administracaolocaldi</v>
      </c>
      <c r="D58" s="278">
        <f t="shared" si="1"/>
        <v>3</v>
      </c>
      <c r="E58" s="278">
        <f t="shared" si="2"/>
        <v>4</v>
      </c>
      <c r="F58" s="1"/>
      <c r="G58" s="28" t="str">
        <f>IFERROR(VLOOKUP(F58,Tabela7[[RECURSO]:[CUSTO]],2,FALSE),"")</f>
        <v/>
      </c>
      <c r="I58" s="90">
        <f t="shared" si="41"/>
        <v>0</v>
      </c>
      <c r="J58" s="45">
        <f>IFERROR(VLOOKUP(F58,Tabela7[[RECURSO]:[CUSTO]],3,FALSE),0)</f>
        <v>0</v>
      </c>
      <c r="K58" s="45">
        <f t="shared" si="42"/>
        <v>0</v>
      </c>
      <c r="M58" s="85"/>
      <c r="N58" s="88"/>
      <c r="AD58" s="144" t="str">
        <f t="shared" si="3"/>
        <v>Administracao local diversos</v>
      </c>
      <c r="AE58" s="192"/>
      <c r="AF58" s="180">
        <f t="shared" si="38"/>
        <v>0</v>
      </c>
      <c r="AG58" s="180">
        <f t="shared" si="17"/>
        <v>0</v>
      </c>
      <c r="AH58" s="181">
        <f t="shared" si="39"/>
        <v>0</v>
      </c>
      <c r="AI58" s="193"/>
      <c r="AJ58" s="90"/>
      <c r="AK58" s="90"/>
      <c r="AL58" s="183">
        <f t="shared" si="40"/>
        <v>0</v>
      </c>
      <c r="AM58" s="193"/>
      <c r="AN58" s="90"/>
      <c r="AO58" s="90"/>
      <c r="AP58" s="183">
        <f t="shared" si="23"/>
        <v>0</v>
      </c>
      <c r="AQ58" s="193"/>
      <c r="AR58" s="90"/>
      <c r="AS58" s="90"/>
      <c r="AT58" s="183">
        <f t="shared" si="24"/>
        <v>0</v>
      </c>
      <c r="AU58" s="193"/>
      <c r="AV58" s="90"/>
      <c r="AW58" s="90"/>
      <c r="AX58" s="183">
        <f t="shared" si="25"/>
        <v>0</v>
      </c>
      <c r="AY58" s="193"/>
      <c r="AZ58" s="90"/>
      <c r="BA58" s="90"/>
      <c r="BB58" s="183">
        <f t="shared" si="26"/>
        <v>0</v>
      </c>
      <c r="BC58" s="193"/>
      <c r="BD58" s="90"/>
      <c r="BE58" s="90"/>
      <c r="BF58" s="183">
        <f t="shared" si="27"/>
        <v>0</v>
      </c>
      <c r="BG58" s="193"/>
      <c r="BH58" s="90"/>
      <c r="BI58" s="90"/>
      <c r="BJ58" s="183">
        <f t="shared" si="28"/>
        <v>0</v>
      </c>
      <c r="BK58" s="193"/>
      <c r="BL58" s="90"/>
      <c r="BM58" s="90"/>
      <c r="BN58" s="183">
        <f t="shared" si="29"/>
        <v>0</v>
      </c>
      <c r="BO58" s="193"/>
      <c r="BP58" s="90"/>
      <c r="BQ58" s="90"/>
      <c r="BR58" s="183">
        <f t="shared" si="30"/>
        <v>0</v>
      </c>
      <c r="BS58" s="193"/>
      <c r="BT58" s="90"/>
      <c r="BU58" s="90"/>
      <c r="BV58" s="183">
        <f t="shared" si="31"/>
        <v>0</v>
      </c>
      <c r="BW58" s="193"/>
      <c r="BX58" s="90"/>
      <c r="BY58" s="90"/>
      <c r="BZ58" s="183">
        <f t="shared" si="32"/>
        <v>0</v>
      </c>
      <c r="CA58" s="193"/>
      <c r="CB58" s="90"/>
      <c r="CC58" s="90"/>
      <c r="CD58" s="183">
        <f t="shared" si="33"/>
        <v>0</v>
      </c>
    </row>
    <row r="59" spans="2:82" x14ac:dyDescent="0.3">
      <c r="B59" s="53"/>
      <c r="C59" s="53" t="str">
        <f t="shared" si="0"/>
        <v>CPU_Administracaolocaldi</v>
      </c>
      <c r="D59" s="278">
        <f t="shared" si="1"/>
        <v>3</v>
      </c>
      <c r="E59" s="278">
        <f t="shared" si="2"/>
        <v>4</v>
      </c>
      <c r="F59" s="1"/>
      <c r="G59" s="28" t="str">
        <f>IFERROR(VLOOKUP(F59,Tabela7[[RECURSO]:[CUSTO]],2,FALSE),"")</f>
        <v/>
      </c>
      <c r="I59" s="90">
        <f t="shared" si="41"/>
        <v>0</v>
      </c>
      <c r="J59" s="45">
        <f>IFERROR(VLOOKUP(F59,Tabela7[[RECURSO]:[CUSTO]],3,FALSE),0)</f>
        <v>0</v>
      </c>
      <c r="K59" s="45">
        <f t="shared" si="42"/>
        <v>0</v>
      </c>
      <c r="M59" s="85"/>
      <c r="N59" s="88"/>
      <c r="AD59" s="144" t="str">
        <f t="shared" si="3"/>
        <v>Administracao local diversos</v>
      </c>
      <c r="AE59" s="192"/>
      <c r="AF59" s="180">
        <f t="shared" si="38"/>
        <v>0</v>
      </c>
      <c r="AG59" s="180">
        <f t="shared" si="17"/>
        <v>0</v>
      </c>
      <c r="AH59" s="181">
        <f t="shared" si="39"/>
        <v>0</v>
      </c>
      <c r="AI59" s="193"/>
      <c r="AJ59" s="90"/>
      <c r="AK59" s="90"/>
      <c r="AL59" s="183">
        <f t="shared" si="40"/>
        <v>0</v>
      </c>
      <c r="AM59" s="193"/>
      <c r="AN59" s="90"/>
      <c r="AO59" s="90"/>
      <c r="AP59" s="183">
        <f t="shared" si="23"/>
        <v>0</v>
      </c>
      <c r="AQ59" s="193"/>
      <c r="AR59" s="90"/>
      <c r="AS59" s="90"/>
      <c r="AT59" s="183">
        <f t="shared" si="24"/>
        <v>0</v>
      </c>
      <c r="AU59" s="193"/>
      <c r="AV59" s="90"/>
      <c r="AW59" s="90"/>
      <c r="AX59" s="183">
        <f t="shared" si="25"/>
        <v>0</v>
      </c>
      <c r="AY59" s="193"/>
      <c r="AZ59" s="90"/>
      <c r="BA59" s="90"/>
      <c r="BB59" s="183">
        <f t="shared" si="26"/>
        <v>0</v>
      </c>
      <c r="BC59" s="193"/>
      <c r="BD59" s="90"/>
      <c r="BE59" s="90"/>
      <c r="BF59" s="183">
        <f t="shared" si="27"/>
        <v>0</v>
      </c>
      <c r="BG59" s="193"/>
      <c r="BH59" s="90"/>
      <c r="BI59" s="90"/>
      <c r="BJ59" s="183">
        <f t="shared" si="28"/>
        <v>0</v>
      </c>
      <c r="BK59" s="193"/>
      <c r="BL59" s="90"/>
      <c r="BM59" s="90"/>
      <c r="BN59" s="183">
        <f t="shared" si="29"/>
        <v>0</v>
      </c>
      <c r="BO59" s="193"/>
      <c r="BP59" s="90"/>
      <c r="BQ59" s="90"/>
      <c r="BR59" s="183">
        <f t="shared" si="30"/>
        <v>0</v>
      </c>
      <c r="BS59" s="193"/>
      <c r="BT59" s="90"/>
      <c r="BU59" s="90"/>
      <c r="BV59" s="183">
        <f t="shared" si="31"/>
        <v>0</v>
      </c>
      <c r="BW59" s="193"/>
      <c r="BX59" s="90"/>
      <c r="BY59" s="90"/>
      <c r="BZ59" s="183">
        <f t="shared" si="32"/>
        <v>0</v>
      </c>
      <c r="CA59" s="193"/>
      <c r="CB59" s="90"/>
      <c r="CC59" s="90"/>
      <c r="CD59" s="183">
        <f t="shared" si="33"/>
        <v>0</v>
      </c>
    </row>
    <row r="60" spans="2:82" x14ac:dyDescent="0.3">
      <c r="B60" s="53"/>
      <c r="C60" s="53" t="str">
        <f t="shared" si="0"/>
        <v>CPU_Administracaolocaldi</v>
      </c>
      <c r="D60" s="278">
        <f t="shared" si="1"/>
        <v>3</v>
      </c>
      <c r="E60" s="278">
        <f t="shared" si="2"/>
        <v>4</v>
      </c>
      <c r="F60" s="1"/>
      <c r="G60" s="28" t="str">
        <f>IFERROR(VLOOKUP(F60,Tabela7[[RECURSO]:[CUSTO]],2,FALSE),"")</f>
        <v/>
      </c>
      <c r="I60" s="90">
        <f t="shared" si="41"/>
        <v>0</v>
      </c>
      <c r="J60" s="45">
        <f>IFERROR(VLOOKUP(F60,Tabela7[[RECURSO]:[CUSTO]],3,FALSE),0)</f>
        <v>0</v>
      </c>
      <c r="K60" s="45">
        <f t="shared" si="42"/>
        <v>0</v>
      </c>
      <c r="M60" s="85"/>
      <c r="N60" s="88"/>
      <c r="AD60" s="144" t="str">
        <f t="shared" si="3"/>
        <v>Administracao local diversos</v>
      </c>
      <c r="AE60" s="192"/>
      <c r="AF60" s="180">
        <f t="shared" si="38"/>
        <v>0</v>
      </c>
      <c r="AG60" s="180">
        <f t="shared" si="17"/>
        <v>0</v>
      </c>
      <c r="AH60" s="181">
        <f t="shared" si="39"/>
        <v>0</v>
      </c>
      <c r="AI60" s="193"/>
      <c r="AJ60" s="90"/>
      <c r="AK60" s="90"/>
      <c r="AL60" s="183">
        <f t="shared" si="40"/>
        <v>0</v>
      </c>
      <c r="AM60" s="193"/>
      <c r="AN60" s="90"/>
      <c r="AO60" s="90"/>
      <c r="AP60" s="183">
        <f t="shared" si="23"/>
        <v>0</v>
      </c>
      <c r="AQ60" s="193"/>
      <c r="AR60" s="90"/>
      <c r="AS60" s="90"/>
      <c r="AT60" s="183">
        <f t="shared" si="24"/>
        <v>0</v>
      </c>
      <c r="AU60" s="193"/>
      <c r="AV60" s="90"/>
      <c r="AW60" s="90"/>
      <c r="AX60" s="183">
        <f t="shared" si="25"/>
        <v>0</v>
      </c>
      <c r="AY60" s="193"/>
      <c r="AZ60" s="90"/>
      <c r="BA60" s="90"/>
      <c r="BB60" s="183">
        <f t="shared" si="26"/>
        <v>0</v>
      </c>
      <c r="BC60" s="193"/>
      <c r="BD60" s="90"/>
      <c r="BE60" s="90"/>
      <c r="BF60" s="183">
        <f t="shared" si="27"/>
        <v>0</v>
      </c>
      <c r="BG60" s="193"/>
      <c r="BH60" s="90"/>
      <c r="BI60" s="90"/>
      <c r="BJ60" s="183">
        <f t="shared" si="28"/>
        <v>0</v>
      </c>
      <c r="BK60" s="193"/>
      <c r="BL60" s="90"/>
      <c r="BM60" s="90"/>
      <c r="BN60" s="183">
        <f t="shared" si="29"/>
        <v>0</v>
      </c>
      <c r="BO60" s="193"/>
      <c r="BP60" s="90"/>
      <c r="BQ60" s="90"/>
      <c r="BR60" s="183">
        <f t="shared" si="30"/>
        <v>0</v>
      </c>
      <c r="BS60" s="193"/>
      <c r="BT60" s="90"/>
      <c r="BU60" s="90"/>
      <c r="BV60" s="183">
        <f t="shared" si="31"/>
        <v>0</v>
      </c>
      <c r="BW60" s="193"/>
      <c r="BX60" s="90"/>
      <c r="BY60" s="90"/>
      <c r="BZ60" s="183">
        <f t="shared" si="32"/>
        <v>0</v>
      </c>
      <c r="CA60" s="193"/>
      <c r="CB60" s="90"/>
      <c r="CC60" s="90"/>
      <c r="CD60" s="183">
        <f t="shared" si="33"/>
        <v>0</v>
      </c>
    </row>
    <row r="61" spans="2:82" x14ac:dyDescent="0.3">
      <c r="B61" s="53"/>
      <c r="C61" s="53" t="str">
        <f t="shared" si="0"/>
        <v>CPU_Administracaolocaldi</v>
      </c>
      <c r="D61" s="278">
        <f t="shared" si="1"/>
        <v>3</v>
      </c>
      <c r="E61" s="278">
        <f t="shared" si="2"/>
        <v>4</v>
      </c>
      <c r="F61" s="1"/>
      <c r="G61" s="28" t="str">
        <f>IFERROR(VLOOKUP(F61,Tabela7[[RECURSO]:[CUSTO]],2,FALSE),"")</f>
        <v/>
      </c>
      <c r="I61" s="90">
        <f t="shared" si="41"/>
        <v>0</v>
      </c>
      <c r="J61" s="45">
        <f>IFERROR(VLOOKUP(F61,Tabela7[[RECURSO]:[CUSTO]],3,FALSE),0)</f>
        <v>0</v>
      </c>
      <c r="K61" s="45">
        <f t="shared" si="42"/>
        <v>0</v>
      </c>
      <c r="M61" s="85"/>
      <c r="N61" s="88"/>
      <c r="AD61" s="144" t="str">
        <f t="shared" si="3"/>
        <v>Administracao local diversos</v>
      </c>
      <c r="AE61" s="192"/>
      <c r="AF61" s="180">
        <f t="shared" si="38"/>
        <v>0</v>
      </c>
      <c r="AG61" s="180">
        <f t="shared" si="17"/>
        <v>0</v>
      </c>
      <c r="AH61" s="181">
        <f t="shared" si="39"/>
        <v>0</v>
      </c>
      <c r="AI61" s="193"/>
      <c r="AJ61" s="90"/>
      <c r="AK61" s="90"/>
      <c r="AL61" s="183">
        <f t="shared" si="40"/>
        <v>0</v>
      </c>
      <c r="AM61" s="193"/>
      <c r="AN61" s="90"/>
      <c r="AO61" s="90"/>
      <c r="AP61" s="183">
        <f t="shared" si="23"/>
        <v>0</v>
      </c>
      <c r="AQ61" s="193"/>
      <c r="AR61" s="90"/>
      <c r="AS61" s="90"/>
      <c r="AT61" s="183">
        <f t="shared" si="24"/>
        <v>0</v>
      </c>
      <c r="AU61" s="193"/>
      <c r="AV61" s="90"/>
      <c r="AW61" s="90"/>
      <c r="AX61" s="183">
        <f t="shared" si="25"/>
        <v>0</v>
      </c>
      <c r="AY61" s="193"/>
      <c r="AZ61" s="90"/>
      <c r="BA61" s="90"/>
      <c r="BB61" s="183">
        <f t="shared" si="26"/>
        <v>0</v>
      </c>
      <c r="BC61" s="193"/>
      <c r="BD61" s="90"/>
      <c r="BE61" s="90"/>
      <c r="BF61" s="183">
        <f t="shared" si="27"/>
        <v>0</v>
      </c>
      <c r="BG61" s="193"/>
      <c r="BH61" s="90"/>
      <c r="BI61" s="90"/>
      <c r="BJ61" s="183">
        <f t="shared" si="28"/>
        <v>0</v>
      </c>
      <c r="BK61" s="193"/>
      <c r="BL61" s="90"/>
      <c r="BM61" s="90"/>
      <c r="BN61" s="183">
        <f t="shared" si="29"/>
        <v>0</v>
      </c>
      <c r="BO61" s="193"/>
      <c r="BP61" s="90"/>
      <c r="BQ61" s="90"/>
      <c r="BR61" s="183">
        <f t="shared" si="30"/>
        <v>0</v>
      </c>
      <c r="BS61" s="193"/>
      <c r="BT61" s="90"/>
      <c r="BU61" s="90"/>
      <c r="BV61" s="183">
        <f t="shared" si="31"/>
        <v>0</v>
      </c>
      <c r="BW61" s="193"/>
      <c r="BX61" s="90"/>
      <c r="BY61" s="90"/>
      <c r="BZ61" s="183">
        <f t="shared" si="32"/>
        <v>0</v>
      </c>
      <c r="CA61" s="193"/>
      <c r="CB61" s="90"/>
      <c r="CC61" s="90"/>
      <c r="CD61" s="183">
        <f t="shared" si="33"/>
        <v>0</v>
      </c>
    </row>
    <row r="62" spans="2:82" ht="15" thickBot="1" x14ac:dyDescent="0.35">
      <c r="B62" s="53"/>
      <c r="C62" s="53" t="str">
        <f t="shared" si="0"/>
        <v>CPU_Administracaolocaldi</v>
      </c>
      <c r="D62" s="278">
        <f t="shared" si="1"/>
        <v>3</v>
      </c>
      <c r="E62" s="278">
        <f t="shared" si="2"/>
        <v>4</v>
      </c>
      <c r="F62" s="1"/>
      <c r="G62" s="28" t="str">
        <f>IFERROR(VLOOKUP(F62,Tabela7[[RECURSO]:[CUSTO]],2,FALSE),"")</f>
        <v/>
      </c>
      <c r="I62" s="90">
        <f t="shared" si="41"/>
        <v>0</v>
      </c>
      <c r="J62" s="45">
        <f>IFERROR(VLOOKUP(F62,Tabela7[[RECURSO]:[CUSTO]],3,FALSE),0)</f>
        <v>0</v>
      </c>
      <c r="K62" s="45">
        <f t="shared" si="42"/>
        <v>0</v>
      </c>
      <c r="M62" s="86"/>
      <c r="N62" s="88"/>
      <c r="AD62" s="144" t="str">
        <f t="shared" si="3"/>
        <v>Administracao local diversos</v>
      </c>
      <c r="AE62" s="194"/>
      <c r="AF62" s="195">
        <f t="shared" si="38"/>
        <v>0</v>
      </c>
      <c r="AG62" s="195">
        <f t="shared" si="17"/>
        <v>0</v>
      </c>
      <c r="AH62" s="196">
        <f t="shared" si="39"/>
        <v>0</v>
      </c>
      <c r="AI62" s="197"/>
      <c r="AJ62" s="198"/>
      <c r="AK62" s="198"/>
      <c r="AL62" s="199">
        <f t="shared" si="40"/>
        <v>0</v>
      </c>
      <c r="AM62" s="197"/>
      <c r="AN62" s="198"/>
      <c r="AO62" s="198"/>
      <c r="AP62" s="199">
        <f t="shared" si="23"/>
        <v>0</v>
      </c>
      <c r="AQ62" s="197"/>
      <c r="AR62" s="198"/>
      <c r="AS62" s="198"/>
      <c r="AT62" s="199">
        <f t="shared" si="24"/>
        <v>0</v>
      </c>
      <c r="AU62" s="197"/>
      <c r="AV62" s="198"/>
      <c r="AW62" s="198"/>
      <c r="AX62" s="199">
        <f t="shared" si="25"/>
        <v>0</v>
      </c>
      <c r="AY62" s="197"/>
      <c r="AZ62" s="198"/>
      <c r="BA62" s="198"/>
      <c r="BB62" s="199">
        <f t="shared" si="26"/>
        <v>0</v>
      </c>
      <c r="BC62" s="197"/>
      <c r="BD62" s="198"/>
      <c r="BE62" s="198"/>
      <c r="BF62" s="199">
        <f t="shared" si="27"/>
        <v>0</v>
      </c>
      <c r="BG62" s="197"/>
      <c r="BH62" s="198"/>
      <c r="BI62" s="198"/>
      <c r="BJ62" s="199">
        <f t="shared" si="28"/>
        <v>0</v>
      </c>
      <c r="BK62" s="197"/>
      <c r="BL62" s="198"/>
      <c r="BM62" s="198"/>
      <c r="BN62" s="199">
        <f t="shared" si="29"/>
        <v>0</v>
      </c>
      <c r="BO62" s="197"/>
      <c r="BP62" s="198"/>
      <c r="BQ62" s="198"/>
      <c r="BR62" s="199">
        <f t="shared" si="30"/>
        <v>0</v>
      </c>
      <c r="BS62" s="197"/>
      <c r="BT62" s="198"/>
      <c r="BU62" s="198"/>
      <c r="BV62" s="199">
        <f t="shared" si="31"/>
        <v>0</v>
      </c>
      <c r="BW62" s="197"/>
      <c r="BX62" s="198"/>
      <c r="BY62" s="198"/>
      <c r="BZ62" s="199">
        <f t="shared" si="32"/>
        <v>0</v>
      </c>
      <c r="CA62" s="197"/>
      <c r="CB62" s="198"/>
      <c r="CC62" s="198"/>
      <c r="CD62" s="199">
        <f t="shared" si="33"/>
        <v>0</v>
      </c>
    </row>
  </sheetData>
  <conditionalFormatting sqref="K6:K7">
    <cfRule type="iconSet" priority="14">
      <iconSet>
        <cfvo type="percent" val="0"/>
        <cfvo type="num" val="0"/>
        <cfvo type="num" val="0.02"/>
      </iconSet>
    </cfRule>
  </conditionalFormatting>
  <conditionalFormatting sqref="AH6:AH7">
    <cfRule type="iconSet" priority="13">
      <iconSet>
        <cfvo type="percent" val="0"/>
        <cfvo type="num" val="0"/>
        <cfvo type="num" val="0.02"/>
      </iconSet>
    </cfRule>
  </conditionalFormatting>
  <conditionalFormatting sqref="AL6:AL7">
    <cfRule type="iconSet" priority="12">
      <iconSet>
        <cfvo type="percent" val="0"/>
        <cfvo type="num" val="0"/>
        <cfvo type="num" val="0.02"/>
      </iconSet>
    </cfRule>
  </conditionalFormatting>
  <conditionalFormatting sqref="AP6:AP7">
    <cfRule type="iconSet" priority="11">
      <iconSet>
        <cfvo type="percent" val="0"/>
        <cfvo type="num" val="0"/>
        <cfvo type="num" val="0.02"/>
      </iconSet>
    </cfRule>
  </conditionalFormatting>
  <conditionalFormatting sqref="AT6:AT7">
    <cfRule type="iconSet" priority="10">
      <iconSet>
        <cfvo type="percent" val="0"/>
        <cfvo type="num" val="0"/>
        <cfvo type="num" val="0.02"/>
      </iconSet>
    </cfRule>
  </conditionalFormatting>
  <conditionalFormatting sqref="AX6:AX7">
    <cfRule type="iconSet" priority="9">
      <iconSet>
        <cfvo type="percent" val="0"/>
        <cfvo type="num" val="0"/>
        <cfvo type="num" val="0.02"/>
      </iconSet>
    </cfRule>
  </conditionalFormatting>
  <conditionalFormatting sqref="BB6:BB7">
    <cfRule type="iconSet" priority="8">
      <iconSet>
        <cfvo type="percent" val="0"/>
        <cfvo type="num" val="0"/>
        <cfvo type="num" val="0.02"/>
      </iconSet>
    </cfRule>
  </conditionalFormatting>
  <conditionalFormatting sqref="BF6:BF7">
    <cfRule type="iconSet" priority="7">
      <iconSet>
        <cfvo type="percent" val="0"/>
        <cfvo type="num" val="0"/>
        <cfvo type="num" val="0.02"/>
      </iconSet>
    </cfRule>
  </conditionalFormatting>
  <conditionalFormatting sqref="BJ6:BJ7">
    <cfRule type="iconSet" priority="6">
      <iconSet>
        <cfvo type="percent" val="0"/>
        <cfvo type="num" val="0"/>
        <cfvo type="num" val="0.02"/>
      </iconSet>
    </cfRule>
  </conditionalFormatting>
  <conditionalFormatting sqref="BN6:BN7">
    <cfRule type="iconSet" priority="5">
      <iconSet>
        <cfvo type="percent" val="0"/>
        <cfvo type="num" val="0"/>
        <cfvo type="num" val="0.02"/>
      </iconSet>
    </cfRule>
  </conditionalFormatting>
  <conditionalFormatting sqref="BR6:BR7">
    <cfRule type="iconSet" priority="4">
      <iconSet>
        <cfvo type="percent" val="0"/>
        <cfvo type="num" val="0"/>
        <cfvo type="num" val="0.02"/>
      </iconSet>
    </cfRule>
  </conditionalFormatting>
  <conditionalFormatting sqref="BV6:BV7">
    <cfRule type="iconSet" priority="3">
      <iconSet>
        <cfvo type="percent" val="0"/>
        <cfvo type="num" val="0"/>
        <cfvo type="num" val="0.02"/>
      </iconSet>
    </cfRule>
  </conditionalFormatting>
  <conditionalFormatting sqref="BZ6:BZ7">
    <cfRule type="iconSet" priority="2">
      <iconSet>
        <cfvo type="percent" val="0"/>
        <cfvo type="num" val="0"/>
        <cfvo type="num" val="0.02"/>
      </iconSet>
    </cfRule>
  </conditionalFormatting>
  <conditionalFormatting sqref="CD6:CD7">
    <cfRule type="iconSet" priority="1">
      <iconSet>
        <cfvo type="percent" val="0"/>
        <cfvo type="num" val="0"/>
        <cfvo type="num" val="0.02"/>
      </iconSet>
    </cfRule>
  </conditionalFormatting>
  <dataValidations count="5">
    <dataValidation type="list" allowBlank="1" showInputMessage="1" showErrorMessage="1" sqref="F51:F62" xr:uid="{3F44D16F-967A-4137-946A-DCF9A88356D6}">
      <formula1>INDIRECT($B$50)</formula1>
    </dataValidation>
    <dataValidation type="list" allowBlank="1" showInputMessage="1" showErrorMessage="1" sqref="F38:F49" xr:uid="{DC363438-D1DD-4522-BAC5-8DEA3A044D5D}">
      <formula1>INDIRECT($B$37)</formula1>
    </dataValidation>
    <dataValidation type="list" allowBlank="1" showInputMessage="1" showErrorMessage="1" sqref="F25:F36" xr:uid="{95792524-5067-433D-923B-54DBFCE64ED6}">
      <formula1>INDIRECT($B$24)</formula1>
    </dataValidation>
    <dataValidation type="list" allowBlank="1" showInputMessage="1" showErrorMessage="1" sqref="F12:F23" xr:uid="{F4624747-153A-4262-8C34-9B03205F7D15}">
      <formula1>INDIRECT($B$11)</formula1>
    </dataValidation>
    <dataValidation type="list" allowBlank="1" showInputMessage="1" showErrorMessage="1" sqref="B3:E3" xr:uid="{94C70401-B7F6-4A52-BF83-B3603CD6C555}">
      <formula1>INDIRECT($B$2)</formula1>
    </dataValidation>
  </dataValidations>
  <pageMargins left="0.51181102362204722" right="0.51181102362204722" top="0.19685039370078741" bottom="0.19685039370078741" header="0.31496062992125984" footer="0.31496062992125984"/>
  <pageSetup paperSize="9" scale="82" orientation="portrait" r:id="rId1"/>
  <colBreaks count="1" manualBreakCount="1">
    <brk id="11" max="1048575" man="1"/>
  </colBreaks>
  <drawing r:id="rId2"/>
  <legacyDrawing r:id="rId3"/>
  <tableParts count="2">
    <tablePart r:id="rId4"/>
    <tablePart r:id="rId5"/>
  </tablePart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142D3-11E4-4052-A116-BC55A2917849}">
  <sheetPr codeName="Plan16"/>
  <dimension ref="A1:CD62"/>
  <sheetViews>
    <sheetView showGridLines="0" zoomScale="85" zoomScaleNormal="85" workbookViewId="0">
      <pane xSplit="14" ySplit="10" topLeftCell="O11" activePane="bottomRight" state="frozen"/>
      <selection pane="topRight" activeCell="C28" activeCellId="1" sqref="E13 C28"/>
      <selection pane="bottomLeft" activeCell="C28" activeCellId="1" sqref="E13 C28"/>
      <selection pane="bottomRight" activeCell="I25" sqref="I25"/>
    </sheetView>
  </sheetViews>
  <sheetFormatPr defaultRowHeight="14.4" x14ac:dyDescent="0.3"/>
  <cols>
    <col min="1" max="1" width="5.33203125" customWidth="1"/>
    <col min="2" max="2" width="16.109375" customWidth="1"/>
    <col min="3" max="5" width="16.109375" hidden="1" customWidth="1"/>
    <col min="6" max="6" width="40.6640625" customWidth="1"/>
    <col min="7" max="7" width="10.6640625" style="28" customWidth="1"/>
    <col min="8" max="8" width="7.6640625" style="28" customWidth="1"/>
    <col min="9" max="11" width="10.6640625" customWidth="1"/>
    <col min="12" max="12" width="2.33203125" customWidth="1"/>
    <col min="13" max="14" width="12.6640625" customWidth="1"/>
    <col min="15" max="15" width="14" bestFit="1" customWidth="1"/>
    <col min="18" max="19" width="12" bestFit="1" customWidth="1"/>
    <col min="20" max="20" width="9.33203125" bestFit="1" customWidth="1"/>
    <col min="30" max="30" width="12.44140625" bestFit="1" customWidth="1"/>
    <col min="31" max="31" width="7.6640625" customWidth="1"/>
    <col min="32" max="32" width="9.33203125" bestFit="1" customWidth="1"/>
    <col min="33" max="34" width="10.6640625" customWidth="1"/>
    <col min="35" max="35" width="7.6640625" customWidth="1"/>
    <col min="36" max="36" width="9.33203125" customWidth="1"/>
    <col min="37" max="38" width="10.6640625" customWidth="1"/>
    <col min="40" max="40" width="9.33203125" customWidth="1"/>
    <col min="42" max="42" width="9.6640625" customWidth="1"/>
    <col min="44" max="44" width="9.33203125" customWidth="1"/>
    <col min="46" max="46" width="9.6640625" customWidth="1"/>
    <col min="48" max="48" width="9.33203125" customWidth="1"/>
    <col min="50" max="50" width="9.6640625" customWidth="1"/>
    <col min="52" max="52" width="9.33203125" customWidth="1"/>
    <col min="54" max="54" width="9.6640625" customWidth="1"/>
    <col min="56" max="56" width="9.33203125" customWidth="1"/>
    <col min="58" max="58" width="9.6640625" customWidth="1"/>
    <col min="60" max="60" width="9.33203125" customWidth="1"/>
    <col min="62" max="62" width="9.6640625" customWidth="1"/>
    <col min="64" max="64" width="9.33203125" customWidth="1"/>
    <col min="66" max="66" width="9.6640625" customWidth="1"/>
    <col min="68" max="68" width="9.33203125" customWidth="1"/>
    <col min="70" max="70" width="9.6640625" customWidth="1"/>
    <col min="72" max="72" width="10" customWidth="1"/>
    <col min="73" max="73" width="9.5546875" customWidth="1"/>
    <col min="74" max="74" width="10.44140625" customWidth="1"/>
    <col min="76" max="76" width="10" customWidth="1"/>
    <col min="77" max="77" width="9.5546875" customWidth="1"/>
    <col min="78" max="78" width="10.44140625" customWidth="1"/>
    <col min="80" max="80" width="10" customWidth="1"/>
    <col min="81" max="81" width="9.5546875" customWidth="1"/>
    <col min="82" max="82" width="10.44140625" customWidth="1"/>
  </cols>
  <sheetData>
    <row r="1" spans="1:82" ht="26.4" customHeight="1" thickBot="1" x14ac:dyDescent="0.35">
      <c r="AE1" s="163" t="s">
        <v>678</v>
      </c>
    </row>
    <row r="2" spans="1:82" x14ac:dyDescent="0.3">
      <c r="B2" s="64" t="s">
        <v>679</v>
      </c>
      <c r="C2" s="67"/>
      <c r="D2" s="67"/>
      <c r="E2" s="67"/>
      <c r="F2" s="65"/>
      <c r="G2" s="66"/>
      <c r="H2" s="66"/>
      <c r="I2" s="65"/>
      <c r="J2" s="67" t="s">
        <v>680</v>
      </c>
      <c r="K2" s="68" t="s">
        <v>681</v>
      </c>
      <c r="M2" s="227" t="s">
        <v>682</v>
      </c>
      <c r="N2" s="228" t="s">
        <v>683</v>
      </c>
      <c r="O2" s="234" t="s">
        <v>684</v>
      </c>
      <c r="AE2" s="164" t="s">
        <v>590</v>
      </c>
      <c r="AF2" s="165" t="s">
        <v>20</v>
      </c>
      <c r="AG2" s="67"/>
      <c r="AH2" s="68" t="s">
        <v>681</v>
      </c>
      <c r="AI2" s="166">
        <v>44927</v>
      </c>
      <c r="AJ2" s="165" t="s">
        <v>20</v>
      </c>
      <c r="AK2" s="67"/>
      <c r="AL2" s="68" t="s">
        <v>681</v>
      </c>
      <c r="AM2" s="166">
        <v>44958</v>
      </c>
      <c r="AN2" s="165" t="s">
        <v>20</v>
      </c>
      <c r="AO2" s="67"/>
      <c r="AP2" s="68" t="s">
        <v>681</v>
      </c>
      <c r="AQ2" s="166">
        <v>44986</v>
      </c>
      <c r="AR2" s="165" t="s">
        <v>20</v>
      </c>
      <c r="AS2" s="67"/>
      <c r="AT2" s="68" t="s">
        <v>681</v>
      </c>
      <c r="AU2" s="166">
        <v>45017</v>
      </c>
      <c r="AV2" s="165" t="s">
        <v>20</v>
      </c>
      <c r="AW2" s="67"/>
      <c r="AX2" s="68" t="s">
        <v>681</v>
      </c>
      <c r="AY2" s="166">
        <v>45047</v>
      </c>
      <c r="AZ2" s="165" t="s">
        <v>20</v>
      </c>
      <c r="BA2" s="67"/>
      <c r="BB2" s="68" t="s">
        <v>681</v>
      </c>
      <c r="BC2" s="166">
        <v>45078</v>
      </c>
      <c r="BD2" s="165" t="s">
        <v>20</v>
      </c>
      <c r="BE2" s="67"/>
      <c r="BF2" s="68" t="s">
        <v>681</v>
      </c>
      <c r="BG2" s="166">
        <v>45108</v>
      </c>
      <c r="BH2" s="165" t="s">
        <v>20</v>
      </c>
      <c r="BI2" s="67"/>
      <c r="BJ2" s="68" t="s">
        <v>681</v>
      </c>
      <c r="BK2" s="166">
        <v>45139</v>
      </c>
      <c r="BL2" s="165" t="s">
        <v>20</v>
      </c>
      <c r="BM2" s="67"/>
      <c r="BN2" s="68" t="s">
        <v>681</v>
      </c>
      <c r="BO2" s="166">
        <v>45170</v>
      </c>
      <c r="BP2" s="165" t="s">
        <v>20</v>
      </c>
      <c r="BQ2" s="67"/>
      <c r="BR2" s="68" t="s">
        <v>681</v>
      </c>
      <c r="BS2" s="166">
        <v>45200</v>
      </c>
      <c r="BT2" s="165" t="s">
        <v>20</v>
      </c>
      <c r="BU2" s="67"/>
      <c r="BV2" s="68" t="s">
        <v>681</v>
      </c>
      <c r="BW2" s="166">
        <v>45231</v>
      </c>
      <c r="BX2" s="165" t="s">
        <v>20</v>
      </c>
      <c r="BY2" s="67"/>
      <c r="BZ2" s="68" t="s">
        <v>681</v>
      </c>
      <c r="CA2" s="166">
        <v>45261</v>
      </c>
      <c r="CB2" s="165" t="s">
        <v>20</v>
      </c>
      <c r="CC2" s="67"/>
      <c r="CD2" s="68" t="s">
        <v>681</v>
      </c>
    </row>
    <row r="3" spans="1:82" x14ac:dyDescent="0.3">
      <c r="A3" s="320" t="str">
        <f>"CPU_"&amp;LEFT(SUBSTITUTE(SUBSTITUTE(B3," ",""),"-",""),20)</f>
        <v>CPU_CapaCBUQ</v>
      </c>
      <c r="B3" s="31" t="s">
        <v>877</v>
      </c>
      <c r="C3" s="1"/>
      <c r="D3" s="1"/>
      <c r="E3" s="1"/>
      <c r="F3" s="73"/>
      <c r="G3" s="74"/>
      <c r="H3" s="74"/>
      <c r="I3" s="73"/>
      <c r="J3" s="74" t="str">
        <f>IFERROR(VLOOKUP(B3,Tabela1[[NOME SERVIÇO]:[UNID]],4,0),"")</f>
        <v>T</v>
      </c>
      <c r="K3" s="75">
        <f>IFERROR(J6/B6,0)</f>
        <v>166.55715928766094</v>
      </c>
      <c r="M3" s="229" t="s">
        <v>685</v>
      </c>
      <c r="N3" s="230">
        <f>K11</f>
        <v>4522.727272727273</v>
      </c>
      <c r="O3" s="235">
        <f>IFERROR(N3/$N$7,0)</f>
        <v>7.7583443289640855E-2</v>
      </c>
      <c r="AE3" s="167"/>
      <c r="AF3" s="168">
        <f>AJ3+AN3+AR3+AV3+AZ3+BD3+BH3+BL3+BP3+BT3+BX3+CB3</f>
        <v>0</v>
      </c>
      <c r="AG3" s="74"/>
      <c r="AH3" s="75">
        <f>IFERROR((AG6/AF3),0)</f>
        <v>0</v>
      </c>
      <c r="AI3" s="167"/>
      <c r="AJ3" s="168">
        <f>IFERROR(SUMPRODUCT(Plan_Orc!$I$4:$I$2002*Plan_Orc!$AB$4:$AB$2002*(Plan_Orc!$D$4:$D$2002=$B3)),0)</f>
        <v>0</v>
      </c>
      <c r="AK3" s="74"/>
      <c r="AL3" s="75">
        <f>IFERROR((AK6/AJ3),0)</f>
        <v>0</v>
      </c>
      <c r="AM3" s="167"/>
      <c r="AN3" s="168">
        <f>IFERROR(SUMPRODUCT(Plan_Orc!$I$4:$I$2002*Plan_Orc!$AC$4:$AC$2002*(Plan_Orc!$D$4:$D$2002=$B3)),0)</f>
        <v>0</v>
      </c>
      <c r="AO3" s="74"/>
      <c r="AP3" s="75">
        <f>IFERROR((AO6/AN3),0)</f>
        <v>0</v>
      </c>
      <c r="AQ3" s="167"/>
      <c r="AR3" s="168">
        <f>IFERROR(SUMPRODUCT(Plan_Orc!$I$4:$I$2002*Plan_Orc!$AD$4:$AD$2002*(Plan_Orc!$D$4:$D$2002=$B3)),0)</f>
        <v>0</v>
      </c>
      <c r="AS3" s="74"/>
      <c r="AT3" s="75">
        <f>IFERROR((AS6/AR3),0)</f>
        <v>0</v>
      </c>
      <c r="AU3" s="167"/>
      <c r="AV3" s="168">
        <f>IFERROR(SUMPRODUCT(Plan_Orc!$I$4:$I$2002*Plan_Orc!$AE$4:$AE$2002*(Plan_Orc!$D$4:$D$2002=$B3)),0)</f>
        <v>0</v>
      </c>
      <c r="AW3" s="74"/>
      <c r="AX3" s="75">
        <f>IFERROR((AW6/AV3),0)</f>
        <v>0</v>
      </c>
      <c r="AY3" s="167"/>
      <c r="AZ3" s="168">
        <f>IFERROR(SUMPRODUCT(Plan_Orc!$I$4:$I$2002*Plan_Orc!$AF$4:$AF$2002*(Plan_Orc!$D$4:$D$2002=$B3)),0)</f>
        <v>0</v>
      </c>
      <c r="BA3" s="74"/>
      <c r="BB3" s="75">
        <f>IFERROR((BA6/AZ3),0)</f>
        <v>0</v>
      </c>
      <c r="BC3" s="167"/>
      <c r="BD3" s="168">
        <f>IFERROR(SUMPRODUCT(Plan_Orc!$I$4:$I$2002*Plan_Orc!$AG$4:$AG$2002*(Plan_Orc!$D$4:$D$2002=$B3)),0)</f>
        <v>0</v>
      </c>
      <c r="BE3" s="74"/>
      <c r="BF3" s="75">
        <f>IFERROR((BE6/BD3),0)</f>
        <v>0</v>
      </c>
      <c r="BG3" s="167"/>
      <c r="BH3" s="168">
        <f>IFERROR(SUMPRODUCT(Plan_Orc!$I$4:$I$2002*Plan_Orc!$AH$4:$AH$2002*(Plan_Orc!$D$4:$D$2002=$B3)),0)</f>
        <v>0</v>
      </c>
      <c r="BI3" s="74"/>
      <c r="BJ3" s="75">
        <f>IFERROR((BI6/BH3),0)</f>
        <v>0</v>
      </c>
      <c r="BK3" s="167"/>
      <c r="BL3" s="168">
        <f>IFERROR(SUMPRODUCT(Plan_Orc!$I$4:$I$2002*Plan_Orc!$AI$4:$AI$2002*(Plan_Orc!$D$4:$D$2002=$B3)),0)</f>
        <v>0</v>
      </c>
      <c r="BM3" s="74"/>
      <c r="BN3" s="75">
        <f>IFERROR((BM6/BL3),0)</f>
        <v>0</v>
      </c>
      <c r="BO3" s="167"/>
      <c r="BP3" s="168">
        <f>IFERROR(SUMPRODUCT(Plan_Orc!$I$4:$I$2002*Plan_Orc!$AJ$4:$AJ$2002*(Plan_Orc!$D$4:$D$2002=$B3)),0)</f>
        <v>0</v>
      </c>
      <c r="BQ3" s="74"/>
      <c r="BR3" s="75">
        <f>IFERROR((BQ6/BP3),0)</f>
        <v>0</v>
      </c>
      <c r="BS3" s="167"/>
      <c r="BT3" s="168">
        <f>IFERROR(SUMPRODUCT(Plan_Orc!$I$4:$I$2002*Plan_Orc!$AK$4:$AK$2002*(Plan_Orc!$D$4:$D$2002=$B3)),0)</f>
        <v>0</v>
      </c>
      <c r="BU3" s="74"/>
      <c r="BV3" s="75">
        <f>IFERROR((BU6/BT3),0)</f>
        <v>0</v>
      </c>
      <c r="BW3" s="167"/>
      <c r="BX3" s="168">
        <f>IFERROR(SUMPRODUCT(Plan_Orc!$I$4:$I$2002*Plan_Orc!$AL$4:$AL$2002*(Plan_Orc!$D$4:$D$2002=$B3)),0)</f>
        <v>0</v>
      </c>
      <c r="BY3" s="74"/>
      <c r="BZ3" s="75">
        <f>IFERROR((BY6/BX3),0)</f>
        <v>0</v>
      </c>
      <c r="CA3" s="167"/>
      <c r="CB3" s="168">
        <f>IFERROR(SUMPRODUCT(Plan_Orc!$I$4:$I$2002*Plan_Orc!$AM$4:$AM$2002*(Plan_Orc!$D$4:$D$2002=$B3)),0)</f>
        <v>0</v>
      </c>
      <c r="CC3" s="74"/>
      <c r="CD3" s="75">
        <f>IFERROR((CC6/CB3),0)</f>
        <v>0</v>
      </c>
    </row>
    <row r="4" spans="1:82" x14ac:dyDescent="0.3">
      <c r="B4" s="32"/>
      <c r="K4" s="30"/>
      <c r="M4" s="229" t="s">
        <v>686</v>
      </c>
      <c r="N4" s="230">
        <f>+K24</f>
        <v>0</v>
      </c>
      <c r="O4" s="235">
        <f>IFERROR(N4/$N$7,0)</f>
        <v>0</v>
      </c>
      <c r="AE4" s="169"/>
      <c r="AH4" s="30"/>
      <c r="AI4" s="169"/>
      <c r="AL4" s="30"/>
      <c r="AM4" s="169"/>
      <c r="AP4" s="30"/>
      <c r="AQ4" s="169"/>
      <c r="AT4" s="30"/>
      <c r="AU4" s="169"/>
      <c r="AX4" s="30"/>
      <c r="AY4" s="169"/>
      <c r="BB4" s="30"/>
      <c r="BC4" s="169"/>
      <c r="BF4" s="30"/>
      <c r="BG4" s="169"/>
      <c r="BJ4" s="30"/>
      <c r="BK4" s="169"/>
      <c r="BN4" s="30"/>
      <c r="BO4" s="169"/>
      <c r="BR4" s="30"/>
      <c r="BS4" s="169"/>
      <c r="BV4" s="30"/>
      <c r="BW4" s="169"/>
      <c r="BZ4" s="30"/>
      <c r="CA4" s="169"/>
      <c r="CD4" s="30"/>
    </row>
    <row r="5" spans="1:82" x14ac:dyDescent="0.3">
      <c r="B5" s="69" t="s">
        <v>687</v>
      </c>
      <c r="C5" s="72"/>
      <c r="D5" s="72"/>
      <c r="E5" s="72"/>
      <c r="F5" s="70" t="s">
        <v>688</v>
      </c>
      <c r="G5" s="70" t="s">
        <v>689</v>
      </c>
      <c r="H5" s="70" t="s">
        <v>690</v>
      </c>
      <c r="I5" s="70" t="s">
        <v>691</v>
      </c>
      <c r="J5" s="70" t="s">
        <v>683</v>
      </c>
      <c r="K5" s="71" t="s">
        <v>593</v>
      </c>
      <c r="M5" s="229" t="s">
        <v>692</v>
      </c>
      <c r="N5" s="230">
        <f>+K37</f>
        <v>5472.2784779540589</v>
      </c>
      <c r="O5" s="235">
        <f>IFERROR(N5/$N$7,0)</f>
        <v>9.3872166362898093E-2</v>
      </c>
      <c r="AE5" s="170"/>
      <c r="AF5" s="70" t="s">
        <v>691</v>
      </c>
      <c r="AG5" s="70" t="s">
        <v>683</v>
      </c>
      <c r="AH5" s="71" t="s">
        <v>593</v>
      </c>
      <c r="AI5" s="170"/>
      <c r="AJ5" s="70" t="s">
        <v>691</v>
      </c>
      <c r="AK5" s="70" t="s">
        <v>683</v>
      </c>
      <c r="AL5" s="71" t="s">
        <v>593</v>
      </c>
      <c r="AM5" s="170"/>
      <c r="AN5" s="70" t="s">
        <v>691</v>
      </c>
      <c r="AO5" s="70" t="s">
        <v>683</v>
      </c>
      <c r="AP5" s="71" t="s">
        <v>593</v>
      </c>
      <c r="AQ5" s="170"/>
      <c r="AR5" s="70" t="s">
        <v>691</v>
      </c>
      <c r="AS5" s="70" t="s">
        <v>683</v>
      </c>
      <c r="AT5" s="71" t="s">
        <v>593</v>
      </c>
      <c r="AU5" s="170"/>
      <c r="AV5" s="70" t="s">
        <v>691</v>
      </c>
      <c r="AW5" s="70" t="s">
        <v>683</v>
      </c>
      <c r="AX5" s="71" t="s">
        <v>593</v>
      </c>
      <c r="AY5" s="170"/>
      <c r="AZ5" s="70" t="s">
        <v>691</v>
      </c>
      <c r="BA5" s="70" t="s">
        <v>683</v>
      </c>
      <c r="BB5" s="71" t="s">
        <v>593</v>
      </c>
      <c r="BC5" s="170"/>
      <c r="BD5" s="70" t="s">
        <v>691</v>
      </c>
      <c r="BE5" s="70" t="s">
        <v>683</v>
      </c>
      <c r="BF5" s="71" t="s">
        <v>593</v>
      </c>
      <c r="BG5" s="170"/>
      <c r="BH5" s="70" t="s">
        <v>691</v>
      </c>
      <c r="BI5" s="70" t="s">
        <v>683</v>
      </c>
      <c r="BJ5" s="71" t="s">
        <v>593</v>
      </c>
      <c r="BK5" s="170"/>
      <c r="BL5" s="70" t="s">
        <v>691</v>
      </c>
      <c r="BM5" s="70" t="s">
        <v>683</v>
      </c>
      <c r="BN5" s="71" t="s">
        <v>593</v>
      </c>
      <c r="BO5" s="170"/>
      <c r="BP5" s="70" t="s">
        <v>691</v>
      </c>
      <c r="BQ5" s="70" t="s">
        <v>683</v>
      </c>
      <c r="BR5" s="71" t="s">
        <v>593</v>
      </c>
      <c r="BS5" s="170"/>
      <c r="BT5" s="70" t="s">
        <v>691</v>
      </c>
      <c r="BU5" s="70" t="s">
        <v>683</v>
      </c>
      <c r="BV5" s="71" t="s">
        <v>593</v>
      </c>
      <c r="BW5" s="170"/>
      <c r="BX5" s="70" t="s">
        <v>691</v>
      </c>
      <c r="BY5" s="70" t="s">
        <v>683</v>
      </c>
      <c r="BZ5" s="71" t="s">
        <v>593</v>
      </c>
      <c r="CA5" s="170"/>
      <c r="CB5" s="70" t="s">
        <v>691</v>
      </c>
      <c r="CC5" s="70" t="s">
        <v>683</v>
      </c>
      <c r="CD5" s="71" t="s">
        <v>593</v>
      </c>
    </row>
    <row r="6" spans="1:82" s="2" customFormat="1" ht="30" customHeight="1" x14ac:dyDescent="0.3">
      <c r="B6" s="33">
        <v>350</v>
      </c>
      <c r="C6" s="275"/>
      <c r="D6" s="275"/>
      <c r="E6" s="275"/>
      <c r="F6" s="27" t="s">
        <v>878</v>
      </c>
      <c r="G6" s="35">
        <v>1</v>
      </c>
      <c r="H6" s="81" t="s">
        <v>347</v>
      </c>
      <c r="I6" s="55">
        <f>IFERROR(I7/B7*B6,0)</f>
        <v>69086.990000000005</v>
      </c>
      <c r="J6" s="55">
        <f>K11+K24+K37+K50</f>
        <v>58295.005750681332</v>
      </c>
      <c r="K6" s="56">
        <f>IFERROR((I6-J6)/I6-PARAMETROS!C19,0)</f>
        <v>5.4086327587679062E-3</v>
      </c>
      <c r="M6" s="229" t="s">
        <v>693</v>
      </c>
      <c r="N6" s="230">
        <f>+K50</f>
        <v>48300</v>
      </c>
      <c r="O6" s="235">
        <f>IFERROR(N6/$N$7,0)</f>
        <v>0.82854439034746108</v>
      </c>
      <c r="AE6" s="171"/>
      <c r="AF6" s="55">
        <f>AJ6+AN6+AR6+AV6+AZ6+BD6+BH6+BL6+BP6+BT6+BX6+CB6</f>
        <v>0</v>
      </c>
      <c r="AG6" s="55">
        <f>AH11+AH24+AH37+AH50</f>
        <v>0</v>
      </c>
      <c r="AH6" s="56">
        <f>IFERROR((AF6-AG6)/AF6,0)</f>
        <v>0</v>
      </c>
      <c r="AI6" s="171"/>
      <c r="AJ6" s="55"/>
      <c r="AK6" s="55">
        <f>AL11+AL24+AL37+AL50</f>
        <v>0</v>
      </c>
      <c r="AL6" s="56">
        <f>IFERROR((AJ6-AK6)/AJ6,0)</f>
        <v>0</v>
      </c>
      <c r="AM6" s="171"/>
      <c r="AN6" s="55"/>
      <c r="AO6" s="55">
        <f>AP11+AP24+AP37+AP50</f>
        <v>0</v>
      </c>
      <c r="AP6" s="56">
        <f>IFERROR((AN6-AO6)/AN6,0)</f>
        <v>0</v>
      </c>
      <c r="AQ6" s="171"/>
      <c r="AR6" s="55"/>
      <c r="AS6" s="55">
        <f>AT11+AT24+AT37+AT50</f>
        <v>0</v>
      </c>
      <c r="AT6" s="56">
        <f>IFERROR((AR6-AS6)/AR6,0)</f>
        <v>0</v>
      </c>
      <c r="AU6" s="171"/>
      <c r="AV6" s="55"/>
      <c r="AW6" s="55">
        <f>AX11+AX24+AX37+AX50</f>
        <v>0</v>
      </c>
      <c r="AX6" s="56">
        <f>IFERROR((AV6-AW6)/AV6,0)</f>
        <v>0</v>
      </c>
      <c r="AY6" s="171"/>
      <c r="AZ6" s="55"/>
      <c r="BA6" s="55">
        <f>BB11+BB24+BB37+BB50</f>
        <v>0</v>
      </c>
      <c r="BB6" s="56">
        <f>IFERROR((AZ6-BA6)/AZ6,0)</f>
        <v>0</v>
      </c>
      <c r="BC6" s="171"/>
      <c r="BD6" s="55"/>
      <c r="BE6" s="55">
        <f>BF11+BF24+BF37+BF50</f>
        <v>0</v>
      </c>
      <c r="BF6" s="56">
        <f>IFERROR((BD6-BE6)/BD6,0)</f>
        <v>0</v>
      </c>
      <c r="BG6" s="171"/>
      <c r="BH6" s="55"/>
      <c r="BI6" s="55">
        <f>BJ11+BJ24+BJ37+BJ50</f>
        <v>0</v>
      </c>
      <c r="BJ6" s="56">
        <f>IFERROR((BH6-BI6)/BH6,0)</f>
        <v>0</v>
      </c>
      <c r="BK6" s="171"/>
      <c r="BL6" s="55"/>
      <c r="BM6" s="55">
        <f>BN11+BN24+BN37+BN50</f>
        <v>0</v>
      </c>
      <c r="BN6" s="56">
        <f>IFERROR((BL6-BM6)/BL6,0)</f>
        <v>0</v>
      </c>
      <c r="BO6" s="171"/>
      <c r="BP6" s="55"/>
      <c r="BQ6" s="55">
        <f>BR11+BR24+BR37+BR50</f>
        <v>0</v>
      </c>
      <c r="BR6" s="56">
        <f>IFERROR((BP6-BQ6)/BP6,0)</f>
        <v>0</v>
      </c>
      <c r="BS6" s="171"/>
      <c r="BT6" s="55"/>
      <c r="BU6" s="55">
        <f>BV11+BV24+BV37+BV50</f>
        <v>0</v>
      </c>
      <c r="BV6" s="56">
        <f>IFERROR((BT6-BU6)/BT6,0)</f>
        <v>0</v>
      </c>
      <c r="BW6" s="171"/>
      <c r="BX6" s="55"/>
      <c r="BY6" s="55">
        <f>BZ11+BZ24+BZ37+BZ50</f>
        <v>0</v>
      </c>
      <c r="BZ6" s="56">
        <f>IFERROR((BX6-BY6)/BX6,0)</f>
        <v>0</v>
      </c>
      <c r="CA6" s="171"/>
      <c r="CB6" s="55"/>
      <c r="CC6" s="55">
        <f>CD11+CD24+CD37+CD50</f>
        <v>0</v>
      </c>
      <c r="CD6" s="56">
        <f>IFERROR((CB6-CC6)/CB6,0)</f>
        <v>0</v>
      </c>
    </row>
    <row r="7" spans="1:82" s="2" customFormat="1" ht="30" customHeight="1" thickBot="1" x14ac:dyDescent="0.35">
      <c r="B7" s="34">
        <f>IFERROR(VLOOKUP(B3,Lucratividade!G4:N853,2,0),0)</f>
        <v>44200</v>
      </c>
      <c r="C7" s="276"/>
      <c r="D7" s="276"/>
      <c r="E7" s="276"/>
      <c r="F7" s="50"/>
      <c r="G7" s="36">
        <f>IFERROR(B7/B6,0)</f>
        <v>126.28571428571429</v>
      </c>
      <c r="H7" s="82" t="s">
        <v>347</v>
      </c>
      <c r="I7" s="57">
        <f>IFERROR(VLOOKUP(B3,Lucratividade!G4:N132,6,0),0)</f>
        <v>8724699.8800000008</v>
      </c>
      <c r="J7" s="58">
        <f>B7*K3</f>
        <v>7361826.4405146139</v>
      </c>
      <c r="K7" s="59">
        <f>IFERROR((I7-J7)/I7-PARAMETROS!C19,0)</f>
        <v>5.4086327587679339E-3</v>
      </c>
      <c r="M7" s="231" t="s">
        <v>694</v>
      </c>
      <c r="N7" s="232">
        <f>SUM(N3:N6)</f>
        <v>58295.005750681332</v>
      </c>
      <c r="O7" s="236"/>
      <c r="R7" s="314"/>
      <c r="AE7" s="172"/>
      <c r="AF7" s="57"/>
      <c r="AG7" s="58"/>
      <c r="AH7" s="59"/>
      <c r="AI7" s="172"/>
      <c r="AJ7" s="57"/>
      <c r="AK7" s="58"/>
      <c r="AL7" s="59"/>
      <c r="AM7" s="172"/>
      <c r="AN7" s="57"/>
      <c r="AO7" s="58"/>
      <c r="AP7" s="59"/>
      <c r="AQ7" s="172"/>
      <c r="AR7" s="57"/>
      <c r="AS7" s="58"/>
      <c r="AT7" s="59"/>
      <c r="AU7" s="172"/>
      <c r="AV7" s="57"/>
      <c r="AW7" s="58"/>
      <c r="AX7" s="59"/>
      <c r="AY7" s="172"/>
      <c r="AZ7" s="57"/>
      <c r="BA7" s="58"/>
      <c r="BB7" s="59"/>
      <c r="BC7" s="172"/>
      <c r="BD7" s="57"/>
      <c r="BE7" s="58"/>
      <c r="BF7" s="59"/>
      <c r="BG7" s="172"/>
      <c r="BH7" s="57"/>
      <c r="BI7" s="58"/>
      <c r="BJ7" s="59"/>
      <c r="BK7" s="172"/>
      <c r="BL7" s="57"/>
      <c r="BM7" s="58"/>
      <c r="BN7" s="59"/>
      <c r="BO7" s="172"/>
      <c r="BP7" s="57"/>
      <c r="BQ7" s="58"/>
      <c r="BR7" s="59"/>
      <c r="BS7" s="172"/>
      <c r="BT7" s="57"/>
      <c r="BU7" s="58"/>
      <c r="BV7" s="59"/>
      <c r="BW7" s="172"/>
      <c r="BX7" s="57"/>
      <c r="BY7" s="58"/>
      <c r="BZ7" s="59"/>
      <c r="CA7" s="172"/>
      <c r="CB7" s="57"/>
      <c r="CC7" s="58"/>
      <c r="CD7" s="59"/>
    </row>
    <row r="8" spans="1:82" ht="4.2" customHeight="1" x14ac:dyDescent="0.3">
      <c r="AE8" s="28"/>
      <c r="AI8" s="28"/>
      <c r="AM8" s="28"/>
      <c r="AQ8" s="28"/>
      <c r="AU8" s="28"/>
      <c r="AY8" s="28"/>
      <c r="BC8" s="28"/>
      <c r="BG8" s="28"/>
      <c r="BK8" s="28"/>
      <c r="BO8" s="28"/>
      <c r="BS8" s="28"/>
      <c r="BW8" s="28"/>
      <c r="CA8" s="28"/>
    </row>
    <row r="9" spans="1:82" ht="4.95" customHeight="1" thickBot="1" x14ac:dyDescent="0.35">
      <c r="AE9" s="28"/>
      <c r="AI9" s="28"/>
      <c r="AM9" s="28"/>
      <c r="AQ9" s="28"/>
      <c r="AU9" s="28"/>
      <c r="AY9" s="28"/>
      <c r="BC9" s="28"/>
      <c r="BG9" s="28"/>
      <c r="BK9" s="28"/>
      <c r="BO9" s="28"/>
      <c r="BS9" s="28"/>
      <c r="BW9" s="28"/>
      <c r="CA9" s="28"/>
    </row>
    <row r="10" spans="1:82" ht="15" thickBot="1" x14ac:dyDescent="0.35">
      <c r="B10" s="72" t="s">
        <v>695</v>
      </c>
      <c r="C10" s="72" t="s">
        <v>679</v>
      </c>
      <c r="D10" s="72" t="s">
        <v>696</v>
      </c>
      <c r="E10" s="72" t="s">
        <v>697</v>
      </c>
      <c r="F10" s="72" t="s">
        <v>17</v>
      </c>
      <c r="G10" s="70" t="s">
        <v>690</v>
      </c>
      <c r="H10" s="70" t="s">
        <v>698</v>
      </c>
      <c r="I10" s="72" t="s">
        <v>20</v>
      </c>
      <c r="J10" s="72" t="s">
        <v>699</v>
      </c>
      <c r="K10" s="72" t="s">
        <v>700</v>
      </c>
      <c r="M10" s="83" t="s">
        <v>701</v>
      </c>
      <c r="N10" s="87" t="s">
        <v>702</v>
      </c>
      <c r="Q10" t="s">
        <v>1033</v>
      </c>
      <c r="AD10" s="173" t="s">
        <v>703</v>
      </c>
      <c r="AE10" s="170" t="s">
        <v>698</v>
      </c>
      <c r="AF10" s="70" t="s">
        <v>20</v>
      </c>
      <c r="AG10" s="70" t="s">
        <v>699</v>
      </c>
      <c r="AH10" s="70" t="s">
        <v>700</v>
      </c>
      <c r="AI10" s="173" t="s">
        <v>704</v>
      </c>
      <c r="AJ10" s="174" t="s">
        <v>705</v>
      </c>
      <c r="AK10" s="174" t="s">
        <v>706</v>
      </c>
      <c r="AL10" s="175" t="s">
        <v>707</v>
      </c>
      <c r="AM10" s="173" t="s">
        <v>708</v>
      </c>
      <c r="AN10" s="174" t="s">
        <v>709</v>
      </c>
      <c r="AO10" s="174" t="s">
        <v>710</v>
      </c>
      <c r="AP10" s="175" t="s">
        <v>711</v>
      </c>
      <c r="AQ10" s="173" t="s">
        <v>712</v>
      </c>
      <c r="AR10" s="174" t="s">
        <v>713</v>
      </c>
      <c r="AS10" s="174" t="s">
        <v>714</v>
      </c>
      <c r="AT10" s="175" t="s">
        <v>715</v>
      </c>
      <c r="AU10" s="173" t="s">
        <v>716</v>
      </c>
      <c r="AV10" s="174" t="s">
        <v>717</v>
      </c>
      <c r="AW10" s="174" t="s">
        <v>718</v>
      </c>
      <c r="AX10" s="175" t="s">
        <v>719</v>
      </c>
      <c r="AY10" s="173" t="s">
        <v>720</v>
      </c>
      <c r="AZ10" s="174" t="s">
        <v>721</v>
      </c>
      <c r="BA10" s="174" t="s">
        <v>722</v>
      </c>
      <c r="BB10" s="175" t="s">
        <v>723</v>
      </c>
      <c r="BC10" s="173" t="s">
        <v>724</v>
      </c>
      <c r="BD10" s="174" t="s">
        <v>725</v>
      </c>
      <c r="BE10" s="174" t="s">
        <v>726</v>
      </c>
      <c r="BF10" s="175" t="s">
        <v>727</v>
      </c>
      <c r="BG10" s="173" t="s">
        <v>728</v>
      </c>
      <c r="BH10" s="174" t="s">
        <v>729</v>
      </c>
      <c r="BI10" s="174" t="s">
        <v>730</v>
      </c>
      <c r="BJ10" s="175" t="s">
        <v>731</v>
      </c>
      <c r="BK10" s="173" t="s">
        <v>732</v>
      </c>
      <c r="BL10" s="174" t="s">
        <v>733</v>
      </c>
      <c r="BM10" s="174" t="s">
        <v>734</v>
      </c>
      <c r="BN10" s="175" t="s">
        <v>735</v>
      </c>
      <c r="BO10" s="173" t="s">
        <v>736</v>
      </c>
      <c r="BP10" s="174" t="s">
        <v>737</v>
      </c>
      <c r="BQ10" s="174" t="s">
        <v>738</v>
      </c>
      <c r="BR10" s="175" t="s">
        <v>739</v>
      </c>
      <c r="BS10" s="173" t="s">
        <v>740</v>
      </c>
      <c r="BT10" s="174" t="s">
        <v>741</v>
      </c>
      <c r="BU10" s="174" t="s">
        <v>742</v>
      </c>
      <c r="BV10" s="175" t="s">
        <v>743</v>
      </c>
      <c r="BW10" s="173" t="s">
        <v>744</v>
      </c>
      <c r="BX10" s="174" t="s">
        <v>745</v>
      </c>
      <c r="BY10" s="174" t="s">
        <v>746</v>
      </c>
      <c r="BZ10" s="175" t="s">
        <v>747</v>
      </c>
      <c r="CA10" s="173" t="s">
        <v>748</v>
      </c>
      <c r="CB10" s="174" t="s">
        <v>749</v>
      </c>
      <c r="CC10" s="174" t="s">
        <v>750</v>
      </c>
      <c r="CD10" s="174" t="s">
        <v>751</v>
      </c>
    </row>
    <row r="11" spans="1:82" x14ac:dyDescent="0.3">
      <c r="B11" s="52" t="s">
        <v>752</v>
      </c>
      <c r="C11" s="52" t="str">
        <f t="shared" ref="C11:C62" si="0">$A$3</f>
        <v>CPU_CapaCBUQ</v>
      </c>
      <c r="D11" s="277">
        <f t="shared" ref="D11:D62" si="1">$B$6</f>
        <v>350</v>
      </c>
      <c r="E11" s="277">
        <f t="shared" ref="E11:E62" si="2">$B$7</f>
        <v>44200</v>
      </c>
      <c r="F11" s="37"/>
      <c r="G11" s="38"/>
      <c r="H11" s="91"/>
      <c r="I11" s="40"/>
      <c r="J11" s="40">
        <f>IFERROR(K11/$B$6,0)</f>
        <v>12.922077922077923</v>
      </c>
      <c r="K11" s="40">
        <f>SUM(K12:K23)</f>
        <v>4522.727272727273</v>
      </c>
      <c r="M11" s="294" t="s">
        <v>753</v>
      </c>
      <c r="N11" s="295" t="s">
        <v>754</v>
      </c>
      <c r="O11" s="296" t="s">
        <v>755</v>
      </c>
      <c r="AD11" s="144" t="str">
        <f>$B$3</f>
        <v>Capa - CBUQ</v>
      </c>
      <c r="AE11" s="176"/>
      <c r="AF11" s="177"/>
      <c r="AG11" s="177">
        <f>IFERROR(AH11/AF$3,0)</f>
        <v>0</v>
      </c>
      <c r="AH11" s="178">
        <f>SUM(AH12:AH23)</f>
        <v>0</v>
      </c>
      <c r="AI11" s="176"/>
      <c r="AJ11" s="177"/>
      <c r="AK11" s="177">
        <f>IFERROR(AL11/AJ$3,0)</f>
        <v>0</v>
      </c>
      <c r="AL11" s="178">
        <f>SUM(AL12:AL23)</f>
        <v>0</v>
      </c>
      <c r="AM11" s="176"/>
      <c r="AN11" s="177"/>
      <c r="AO11" s="177">
        <f>IFERROR(AP11/AN$3,0)</f>
        <v>0</v>
      </c>
      <c r="AP11" s="178">
        <f>SUM(AP12:AP23)</f>
        <v>0</v>
      </c>
      <c r="AQ11" s="176"/>
      <c r="AR11" s="177"/>
      <c r="AS11" s="177">
        <f>IFERROR(AT11/AR$3,0)</f>
        <v>0</v>
      </c>
      <c r="AT11" s="178">
        <f>SUM(AT12:AT23)</f>
        <v>0</v>
      </c>
      <c r="AU11" s="176"/>
      <c r="AV11" s="177"/>
      <c r="AW11" s="177">
        <f>IFERROR(AX11/AV$3,0)</f>
        <v>0</v>
      </c>
      <c r="AX11" s="178">
        <f>SUM(AX12:AX23)</f>
        <v>0</v>
      </c>
      <c r="AY11" s="176"/>
      <c r="AZ11" s="177"/>
      <c r="BA11" s="177">
        <f>IFERROR(BB11/AZ$3,0)</f>
        <v>0</v>
      </c>
      <c r="BB11" s="178">
        <f>SUM(BB12:BB23)</f>
        <v>0</v>
      </c>
      <c r="BC11" s="176"/>
      <c r="BD11" s="177"/>
      <c r="BE11" s="177">
        <f>IFERROR(BF11/BD$3,0)</f>
        <v>0</v>
      </c>
      <c r="BF11" s="178">
        <f>SUM(BF12:BF23)</f>
        <v>0</v>
      </c>
      <c r="BG11" s="176"/>
      <c r="BH11" s="177"/>
      <c r="BI11" s="177">
        <f>IFERROR(BJ11/BH$3,0)</f>
        <v>0</v>
      </c>
      <c r="BJ11" s="178">
        <f>SUM(BJ12:BJ23)</f>
        <v>0</v>
      </c>
      <c r="BK11" s="176"/>
      <c r="BL11" s="177"/>
      <c r="BM11" s="177">
        <f>IFERROR(BN11/BL$3,0)</f>
        <v>0</v>
      </c>
      <c r="BN11" s="178">
        <f>SUM(BN12:BN23)</f>
        <v>0</v>
      </c>
      <c r="BO11" s="176"/>
      <c r="BP11" s="177"/>
      <c r="BQ11" s="177">
        <f>IFERROR(BR11/BP$3,0)</f>
        <v>0</v>
      </c>
      <c r="BR11" s="178">
        <f>SUM(BR12:BR23)</f>
        <v>0</v>
      </c>
      <c r="BS11" s="176"/>
      <c r="BT11" s="177"/>
      <c r="BU11" s="177">
        <f>IFERROR(BV11/BT$3,0)</f>
        <v>0</v>
      </c>
      <c r="BV11" s="178">
        <f>SUM(BV12:BV23)</f>
        <v>0</v>
      </c>
      <c r="BW11" s="176"/>
      <c r="BX11" s="177"/>
      <c r="BY11" s="177">
        <f>IFERROR(BZ11/BX$3,0)</f>
        <v>0</v>
      </c>
      <c r="BZ11" s="178">
        <f>SUM(BZ12:BZ23)</f>
        <v>0</v>
      </c>
      <c r="CA11" s="176"/>
      <c r="CB11" s="177"/>
      <c r="CC11" s="177">
        <f>IFERROR(CD11/CB$3,0)</f>
        <v>0</v>
      </c>
      <c r="CD11" s="178">
        <f>SUM(CD12:CD23)</f>
        <v>0</v>
      </c>
    </row>
    <row r="12" spans="1:82" x14ac:dyDescent="0.3">
      <c r="B12" s="53"/>
      <c r="C12" s="53" t="str">
        <f t="shared" si="0"/>
        <v>CPU_CapaCBUQ</v>
      </c>
      <c r="D12" s="278">
        <f t="shared" si="1"/>
        <v>350</v>
      </c>
      <c r="E12" s="278">
        <f t="shared" si="2"/>
        <v>44200</v>
      </c>
      <c r="F12" s="46" t="s">
        <v>829</v>
      </c>
      <c r="G12" s="28" t="str">
        <f>IFERROR(VLOOKUP(F12,Tabela7[[RECURSO]:[CUSTO]],2,FALSE),"")</f>
        <v>H</v>
      </c>
      <c r="H12" s="92">
        <v>1</v>
      </c>
      <c r="I12" s="90">
        <f>200/22</f>
        <v>9.0909090909090917</v>
      </c>
      <c r="J12" s="45">
        <f>IFERROR(VLOOKUP(F12,Tabela7[[RECURSO]:[CUSTO]],3,FALSE),0)</f>
        <v>220</v>
      </c>
      <c r="K12" s="45">
        <f>I12*J12*CPU_14[[#This Row],[Nº]]</f>
        <v>2000.0000000000002</v>
      </c>
      <c r="M12" s="31">
        <v>10</v>
      </c>
      <c r="N12" s="297">
        <v>0.5</v>
      </c>
      <c r="O12" s="60">
        <f>IFERROR($B$6/(H12*I12*N12),0)</f>
        <v>77</v>
      </c>
      <c r="R12" s="22"/>
      <c r="S12" s="22"/>
      <c r="T12" s="22"/>
      <c r="AD12" s="144" t="str">
        <f t="shared" ref="AD12:AD62" si="3">$B$3</f>
        <v>Capa - CBUQ</v>
      </c>
      <c r="AE12" s="179"/>
      <c r="AF12" s="180">
        <f>AJ12+AN12+AR12+AV12+AZ12+BD12+BH12+BL12+BP12+BT12+BX12+CB12</f>
        <v>0</v>
      </c>
      <c r="AG12" s="180">
        <f>IFERROR(AH12/AF12,0)</f>
        <v>0</v>
      </c>
      <c r="AH12" s="181">
        <f>AL12+AP12+AT12+AX12+BB12+BF12+BJ12+BN12+BR12+BV12+BZ12+CD12</f>
        <v>0</v>
      </c>
      <c r="AI12" s="182"/>
      <c r="AJ12" s="90"/>
      <c r="AK12" s="90"/>
      <c r="AL12" s="183">
        <f>AJ12*AK12</f>
        <v>0</v>
      </c>
      <c r="AM12" s="182"/>
      <c r="AN12" s="90"/>
      <c r="AO12" s="90"/>
      <c r="AP12" s="183">
        <f t="shared" ref="AP12:AP23" si="4">AN12*AO12</f>
        <v>0</v>
      </c>
      <c r="AQ12" s="182"/>
      <c r="AR12" s="90"/>
      <c r="AS12" s="90"/>
      <c r="AT12" s="183">
        <f t="shared" ref="AT12:AT23" si="5">AR12*AS12</f>
        <v>0</v>
      </c>
      <c r="AU12" s="182"/>
      <c r="AV12" s="90"/>
      <c r="AW12" s="90"/>
      <c r="AX12" s="183">
        <f t="shared" ref="AX12:AX23" si="6">AV12*AW12</f>
        <v>0</v>
      </c>
      <c r="AY12" s="182"/>
      <c r="AZ12" s="90"/>
      <c r="BA12" s="90"/>
      <c r="BB12" s="183">
        <f t="shared" ref="BB12:BB23" si="7">AZ12*BA12</f>
        <v>0</v>
      </c>
      <c r="BC12" s="182"/>
      <c r="BD12" s="90"/>
      <c r="BE12" s="90"/>
      <c r="BF12" s="183">
        <f t="shared" ref="BF12:BF23" si="8">BD12*BE12</f>
        <v>0</v>
      </c>
      <c r="BG12" s="182"/>
      <c r="BH12" s="90"/>
      <c r="BI12" s="90"/>
      <c r="BJ12" s="183">
        <f t="shared" ref="BJ12:BJ23" si="9">BH12*BI12</f>
        <v>0</v>
      </c>
      <c r="BK12" s="182"/>
      <c r="BL12" s="90"/>
      <c r="BM12" s="90"/>
      <c r="BN12" s="183">
        <f t="shared" ref="BN12:BN23" si="10">BL12*BM12</f>
        <v>0</v>
      </c>
      <c r="BO12" s="182"/>
      <c r="BP12" s="90"/>
      <c r="BQ12" s="90"/>
      <c r="BR12" s="183">
        <f t="shared" ref="BR12:BR23" si="11">BP12*BQ12</f>
        <v>0</v>
      </c>
      <c r="BS12" s="182"/>
      <c r="BT12" s="90"/>
      <c r="BU12" s="90"/>
      <c r="BV12" s="183">
        <f t="shared" ref="BV12:BV23" si="12">BT12*BU12</f>
        <v>0</v>
      </c>
      <c r="BW12" s="182"/>
      <c r="BX12" s="90"/>
      <c r="BY12" s="90"/>
      <c r="BZ12" s="183">
        <f t="shared" ref="BZ12:BZ23" si="13">BX12*BY12</f>
        <v>0</v>
      </c>
      <c r="CA12" s="182"/>
      <c r="CB12" s="90"/>
      <c r="CC12" s="90"/>
      <c r="CD12" s="183">
        <f t="shared" ref="CD12:CD23" si="14">CB12*CC12</f>
        <v>0</v>
      </c>
    </row>
    <row r="13" spans="1:82" x14ac:dyDescent="0.3">
      <c r="B13" s="53"/>
      <c r="C13" s="53" t="str">
        <f t="shared" si="0"/>
        <v>CPU_CapaCBUQ</v>
      </c>
      <c r="D13" s="278">
        <f t="shared" si="1"/>
        <v>350</v>
      </c>
      <c r="E13" s="278">
        <f t="shared" si="2"/>
        <v>44200</v>
      </c>
      <c r="F13" s="1" t="s">
        <v>831</v>
      </c>
      <c r="G13" s="28" t="str">
        <f>IFERROR(VLOOKUP(F13,Tabela7[[RECURSO]:[CUSTO]],2,FALSE),"")</f>
        <v>H</v>
      </c>
      <c r="H13" s="92">
        <v>1</v>
      </c>
      <c r="I13" s="90">
        <f>200/22</f>
        <v>9.0909090909090917</v>
      </c>
      <c r="J13" s="45">
        <f>IFERROR(VLOOKUP(F13,Tabela7[[RECURSO]:[CUSTO]],3,FALSE),0)</f>
        <v>95</v>
      </c>
      <c r="K13" s="45">
        <f>I13*J13*CPU_14[[#This Row],[Nº]]</f>
        <v>863.63636363636374</v>
      </c>
      <c r="M13" s="31">
        <v>14</v>
      </c>
      <c r="N13" s="297">
        <v>0.5</v>
      </c>
      <c r="O13" s="60">
        <f t="shared" ref="O13:O23" si="15">IFERROR($B$6/(H13*I13),0)</f>
        <v>38.5</v>
      </c>
      <c r="AD13" s="144" t="str">
        <f t="shared" si="3"/>
        <v>Capa - CBUQ</v>
      </c>
      <c r="AE13" s="179"/>
      <c r="AF13" s="180">
        <f t="shared" ref="AF13:AF23" si="16">AJ13+AN13+AR13+AV13+AZ13+BD13+BH13+BL13+BP13+BT13+BX13+CB13</f>
        <v>0</v>
      </c>
      <c r="AG13" s="180">
        <f t="shared" ref="AG13:AG62" si="17">IFERROR(AH13/AF13,0)</f>
        <v>0</v>
      </c>
      <c r="AH13" s="181">
        <f t="shared" ref="AH13:AH23" si="18">AL13+AP13+AT13+AX13+BB13+BF13+BJ13+BN13+BR13+BV13+BZ13+CD13</f>
        <v>0</v>
      </c>
      <c r="AI13" s="182"/>
      <c r="AJ13" s="90"/>
      <c r="AK13" s="90"/>
      <c r="AL13" s="183">
        <f t="shared" ref="AL13:AL23" si="19">AJ13*AK13</f>
        <v>0</v>
      </c>
      <c r="AM13" s="182"/>
      <c r="AN13" s="90"/>
      <c r="AO13" s="90"/>
      <c r="AP13" s="183">
        <f t="shared" si="4"/>
        <v>0</v>
      </c>
      <c r="AQ13" s="182"/>
      <c r="AR13" s="90"/>
      <c r="AS13" s="90"/>
      <c r="AT13" s="183">
        <f t="shared" si="5"/>
        <v>0</v>
      </c>
      <c r="AU13" s="182"/>
      <c r="AV13" s="90"/>
      <c r="AW13" s="90"/>
      <c r="AX13" s="183">
        <f t="shared" si="6"/>
        <v>0</v>
      </c>
      <c r="AY13" s="182"/>
      <c r="AZ13" s="90"/>
      <c r="BA13" s="90"/>
      <c r="BB13" s="183">
        <f t="shared" si="7"/>
        <v>0</v>
      </c>
      <c r="BC13" s="182"/>
      <c r="BD13" s="90"/>
      <c r="BE13" s="90"/>
      <c r="BF13" s="183">
        <f t="shared" si="8"/>
        <v>0</v>
      </c>
      <c r="BG13" s="182"/>
      <c r="BH13" s="90"/>
      <c r="BI13" s="90"/>
      <c r="BJ13" s="183">
        <f t="shared" si="9"/>
        <v>0</v>
      </c>
      <c r="BK13" s="182"/>
      <c r="BL13" s="90"/>
      <c r="BM13" s="90"/>
      <c r="BN13" s="183">
        <f t="shared" si="10"/>
        <v>0</v>
      </c>
      <c r="BO13" s="182"/>
      <c r="BP13" s="90"/>
      <c r="BQ13" s="90"/>
      <c r="BR13" s="183">
        <f t="shared" si="11"/>
        <v>0</v>
      </c>
      <c r="BS13" s="182"/>
      <c r="BT13" s="90"/>
      <c r="BU13" s="90"/>
      <c r="BV13" s="183">
        <f t="shared" si="12"/>
        <v>0</v>
      </c>
      <c r="BW13" s="182"/>
      <c r="BX13" s="90"/>
      <c r="BY13" s="90"/>
      <c r="BZ13" s="183">
        <f t="shared" si="13"/>
        <v>0</v>
      </c>
      <c r="CA13" s="182"/>
      <c r="CB13" s="90"/>
      <c r="CC13" s="90"/>
      <c r="CD13" s="183">
        <f t="shared" si="14"/>
        <v>0</v>
      </c>
    </row>
    <row r="14" spans="1:82" x14ac:dyDescent="0.3">
      <c r="B14" s="53"/>
      <c r="C14" s="53" t="str">
        <f t="shared" si="0"/>
        <v>CPU_CapaCBUQ</v>
      </c>
      <c r="D14" s="278">
        <f t="shared" si="1"/>
        <v>350</v>
      </c>
      <c r="E14" s="278">
        <f t="shared" si="2"/>
        <v>44200</v>
      </c>
      <c r="F14" s="1" t="s">
        <v>830</v>
      </c>
      <c r="G14" s="28" t="str">
        <f>IFERROR(VLOOKUP(F14,Tabela7[[RECURSO]:[CUSTO]],2,FALSE),"")</f>
        <v>H</v>
      </c>
      <c r="H14" s="92">
        <v>1</v>
      </c>
      <c r="I14" s="90">
        <f>200/22</f>
        <v>9.0909090909090917</v>
      </c>
      <c r="J14" s="45">
        <f>IFERROR(VLOOKUP(F14,Tabela7[[RECURSO]:[CUSTO]],3,FALSE),0)</f>
        <v>115</v>
      </c>
      <c r="K14" s="45">
        <f>I14*J14*CPU_14[[#This Row],[Nº]]</f>
        <v>1045.4545454545455</v>
      </c>
      <c r="M14" s="31">
        <v>14</v>
      </c>
      <c r="N14" s="297">
        <v>0.5</v>
      </c>
      <c r="O14" s="60">
        <f t="shared" si="15"/>
        <v>38.5</v>
      </c>
      <c r="AD14" s="144" t="str">
        <f t="shared" si="3"/>
        <v>Capa - CBUQ</v>
      </c>
      <c r="AE14" s="179"/>
      <c r="AF14" s="180">
        <f t="shared" si="16"/>
        <v>0</v>
      </c>
      <c r="AG14" s="180">
        <f t="shared" si="17"/>
        <v>0</v>
      </c>
      <c r="AH14" s="181">
        <f t="shared" si="18"/>
        <v>0</v>
      </c>
      <c r="AI14" s="182"/>
      <c r="AJ14" s="90"/>
      <c r="AK14" s="90"/>
      <c r="AL14" s="183">
        <f t="shared" si="19"/>
        <v>0</v>
      </c>
      <c r="AM14" s="182"/>
      <c r="AN14" s="90"/>
      <c r="AO14" s="90"/>
      <c r="AP14" s="183">
        <f t="shared" si="4"/>
        <v>0</v>
      </c>
      <c r="AQ14" s="182"/>
      <c r="AR14" s="90"/>
      <c r="AS14" s="90"/>
      <c r="AT14" s="183">
        <f t="shared" si="5"/>
        <v>0</v>
      </c>
      <c r="AU14" s="182"/>
      <c r="AV14" s="90"/>
      <c r="AW14" s="90"/>
      <c r="AX14" s="183">
        <f t="shared" si="6"/>
        <v>0</v>
      </c>
      <c r="AY14" s="182"/>
      <c r="AZ14" s="90"/>
      <c r="BA14" s="90"/>
      <c r="BB14" s="183">
        <f t="shared" si="7"/>
        <v>0</v>
      </c>
      <c r="BC14" s="182"/>
      <c r="BD14" s="90"/>
      <c r="BE14" s="90"/>
      <c r="BF14" s="183">
        <f t="shared" si="8"/>
        <v>0</v>
      </c>
      <c r="BG14" s="182"/>
      <c r="BH14" s="90"/>
      <c r="BI14" s="90"/>
      <c r="BJ14" s="183">
        <f t="shared" si="9"/>
        <v>0</v>
      </c>
      <c r="BK14" s="182"/>
      <c r="BL14" s="90"/>
      <c r="BM14" s="90"/>
      <c r="BN14" s="183">
        <f t="shared" si="10"/>
        <v>0</v>
      </c>
      <c r="BO14" s="182"/>
      <c r="BP14" s="90"/>
      <c r="BQ14" s="90"/>
      <c r="BR14" s="183">
        <f t="shared" si="11"/>
        <v>0</v>
      </c>
      <c r="BS14" s="182"/>
      <c r="BT14" s="90"/>
      <c r="BU14" s="90"/>
      <c r="BV14" s="183">
        <f t="shared" si="12"/>
        <v>0</v>
      </c>
      <c r="BW14" s="182"/>
      <c r="BX14" s="90"/>
      <c r="BY14" s="90"/>
      <c r="BZ14" s="183">
        <f t="shared" si="13"/>
        <v>0</v>
      </c>
      <c r="CA14" s="182"/>
      <c r="CB14" s="90"/>
      <c r="CC14" s="90"/>
      <c r="CD14" s="183">
        <f t="shared" si="14"/>
        <v>0</v>
      </c>
    </row>
    <row r="15" spans="1:82" x14ac:dyDescent="0.3">
      <c r="B15" s="153"/>
      <c r="C15" s="153" t="str">
        <f t="shared" si="0"/>
        <v>CPU_CapaCBUQ</v>
      </c>
      <c r="D15" s="279">
        <f t="shared" si="1"/>
        <v>350</v>
      </c>
      <c r="E15" s="279">
        <f t="shared" si="2"/>
        <v>44200</v>
      </c>
      <c r="F15" s="1" t="s">
        <v>879</v>
      </c>
      <c r="G15" s="28" t="str">
        <f>IFERROR(VLOOKUP(F15,Tabela7[[RECURSO]:[CUSTO]],2,FALSE),"")</f>
        <v>H</v>
      </c>
      <c r="H15" s="388">
        <v>1</v>
      </c>
      <c r="I15" s="90">
        <f>200/22</f>
        <v>9.0909090909090917</v>
      </c>
      <c r="J15" s="45">
        <f>IFERROR(VLOOKUP(F15,Tabela7[[RECURSO]:[CUSTO]],3,FALSE),0)</f>
        <v>67.5</v>
      </c>
      <c r="K15" s="45">
        <f>I15*J15*CPU_14[[#This Row],[Nº]]</f>
        <v>613.63636363636374</v>
      </c>
      <c r="M15" s="31">
        <v>10</v>
      </c>
      <c r="N15" s="297">
        <v>0.5</v>
      </c>
      <c r="O15" s="60">
        <f t="shared" si="15"/>
        <v>38.5</v>
      </c>
      <c r="AD15" s="144" t="str">
        <f t="shared" si="3"/>
        <v>Capa - CBUQ</v>
      </c>
      <c r="AE15" s="179"/>
      <c r="AF15" s="180">
        <f t="shared" si="16"/>
        <v>0</v>
      </c>
      <c r="AG15" s="180">
        <f t="shared" si="17"/>
        <v>0</v>
      </c>
      <c r="AH15" s="181">
        <f t="shared" si="18"/>
        <v>0</v>
      </c>
      <c r="AI15" s="182"/>
      <c r="AJ15" s="90"/>
      <c r="AK15" s="90"/>
      <c r="AL15" s="183">
        <f t="shared" si="19"/>
        <v>0</v>
      </c>
      <c r="AM15" s="182"/>
      <c r="AN15" s="90"/>
      <c r="AO15" s="90"/>
      <c r="AP15" s="183">
        <f t="shared" si="4"/>
        <v>0</v>
      </c>
      <c r="AQ15" s="182"/>
      <c r="AR15" s="90"/>
      <c r="AS15" s="90"/>
      <c r="AT15" s="183">
        <f t="shared" si="5"/>
        <v>0</v>
      </c>
      <c r="AU15" s="182"/>
      <c r="AV15" s="90"/>
      <c r="AW15" s="90"/>
      <c r="AX15" s="183">
        <f t="shared" si="6"/>
        <v>0</v>
      </c>
      <c r="AY15" s="182"/>
      <c r="AZ15" s="90"/>
      <c r="BA15" s="90"/>
      <c r="BB15" s="183">
        <f t="shared" si="7"/>
        <v>0</v>
      </c>
      <c r="BC15" s="182"/>
      <c r="BD15" s="90"/>
      <c r="BE15" s="90"/>
      <c r="BF15" s="183">
        <f t="shared" si="8"/>
        <v>0</v>
      </c>
      <c r="BG15" s="182"/>
      <c r="BH15" s="90"/>
      <c r="BI15" s="90"/>
      <c r="BJ15" s="183">
        <f t="shared" si="9"/>
        <v>0</v>
      </c>
      <c r="BK15" s="182"/>
      <c r="BL15" s="90"/>
      <c r="BM15" s="90"/>
      <c r="BN15" s="183">
        <f t="shared" si="10"/>
        <v>0</v>
      </c>
      <c r="BO15" s="182"/>
      <c r="BP15" s="90"/>
      <c r="BQ15" s="90"/>
      <c r="BR15" s="183">
        <f t="shared" si="11"/>
        <v>0</v>
      </c>
      <c r="BS15" s="182"/>
      <c r="BT15" s="90"/>
      <c r="BU15" s="90"/>
      <c r="BV15" s="183">
        <f t="shared" si="12"/>
        <v>0</v>
      </c>
      <c r="BW15" s="182"/>
      <c r="BX15" s="90"/>
      <c r="BY15" s="90"/>
      <c r="BZ15" s="183">
        <f t="shared" si="13"/>
        <v>0</v>
      </c>
      <c r="CA15" s="182"/>
      <c r="CB15" s="90"/>
      <c r="CC15" s="90"/>
      <c r="CD15" s="183">
        <f t="shared" si="14"/>
        <v>0</v>
      </c>
    </row>
    <row r="16" spans="1:82" x14ac:dyDescent="0.3">
      <c r="B16" s="53"/>
      <c r="C16" s="53" t="str">
        <f t="shared" si="0"/>
        <v>CPU_CapaCBUQ</v>
      </c>
      <c r="D16" s="278">
        <f t="shared" si="1"/>
        <v>350</v>
      </c>
      <c r="E16" s="278">
        <f t="shared" si="2"/>
        <v>44200</v>
      </c>
      <c r="F16" s="1" t="s">
        <v>880</v>
      </c>
      <c r="G16" s="28" t="str">
        <f>IFERROR(VLOOKUP(F16,Tabela7[[RECURSO]:[CUSTO]],2,FALSE),"")</f>
        <v>DIA</v>
      </c>
      <c r="H16" s="92"/>
      <c r="I16" s="90">
        <f>30/22</f>
        <v>1.3636363636363635</v>
      </c>
      <c r="J16" s="45">
        <f>IFERROR(VLOOKUP(F16,Tabela7[[RECURSO]:[CUSTO]],3,FALSE),0)</f>
        <v>605</v>
      </c>
      <c r="K16" s="45">
        <f>I16*J16*CPU_14[[#This Row],[Nº]]</f>
        <v>0</v>
      </c>
      <c r="M16" s="31">
        <v>80</v>
      </c>
      <c r="N16" s="297">
        <v>1</v>
      </c>
      <c r="O16" s="60">
        <f t="shared" si="15"/>
        <v>0</v>
      </c>
      <c r="AD16" s="144" t="str">
        <f t="shared" si="3"/>
        <v>Capa - CBUQ</v>
      </c>
      <c r="AE16" s="179"/>
      <c r="AF16" s="180">
        <f t="shared" si="16"/>
        <v>0</v>
      </c>
      <c r="AG16" s="180">
        <f t="shared" si="17"/>
        <v>0</v>
      </c>
      <c r="AH16" s="181">
        <f t="shared" si="18"/>
        <v>0</v>
      </c>
      <c r="AI16" s="182"/>
      <c r="AJ16" s="90"/>
      <c r="AK16" s="90"/>
      <c r="AL16" s="183">
        <f t="shared" si="19"/>
        <v>0</v>
      </c>
      <c r="AM16" s="182"/>
      <c r="AN16" s="90"/>
      <c r="AO16" s="90"/>
      <c r="AP16" s="183">
        <f t="shared" si="4"/>
        <v>0</v>
      </c>
      <c r="AQ16" s="182"/>
      <c r="AR16" s="90"/>
      <c r="AS16" s="90"/>
      <c r="AT16" s="183">
        <f t="shared" si="5"/>
        <v>0</v>
      </c>
      <c r="AU16" s="182"/>
      <c r="AV16" s="90"/>
      <c r="AW16" s="90"/>
      <c r="AX16" s="183">
        <f t="shared" si="6"/>
        <v>0</v>
      </c>
      <c r="AY16" s="182"/>
      <c r="AZ16" s="90"/>
      <c r="BA16" s="90"/>
      <c r="BB16" s="183">
        <f t="shared" si="7"/>
        <v>0</v>
      </c>
      <c r="BC16" s="182"/>
      <c r="BD16" s="90"/>
      <c r="BE16" s="90"/>
      <c r="BF16" s="183">
        <f t="shared" si="8"/>
        <v>0</v>
      </c>
      <c r="BG16" s="182"/>
      <c r="BH16" s="90"/>
      <c r="BI16" s="90"/>
      <c r="BJ16" s="183">
        <f t="shared" si="9"/>
        <v>0</v>
      </c>
      <c r="BK16" s="182"/>
      <c r="BL16" s="90"/>
      <c r="BM16" s="90"/>
      <c r="BN16" s="183">
        <f t="shared" si="10"/>
        <v>0</v>
      </c>
      <c r="BO16" s="182"/>
      <c r="BP16" s="90"/>
      <c r="BQ16" s="90"/>
      <c r="BR16" s="183">
        <f t="shared" si="11"/>
        <v>0</v>
      </c>
      <c r="BS16" s="182"/>
      <c r="BT16" s="90"/>
      <c r="BU16" s="90"/>
      <c r="BV16" s="183">
        <f t="shared" si="12"/>
        <v>0</v>
      </c>
      <c r="BW16" s="182"/>
      <c r="BX16" s="90"/>
      <c r="BY16" s="90"/>
      <c r="BZ16" s="183">
        <f t="shared" si="13"/>
        <v>0</v>
      </c>
      <c r="CA16" s="182"/>
      <c r="CB16" s="90"/>
      <c r="CC16" s="90"/>
      <c r="CD16" s="183">
        <f t="shared" si="14"/>
        <v>0</v>
      </c>
    </row>
    <row r="17" spans="2:82" x14ac:dyDescent="0.3">
      <c r="B17" s="53"/>
      <c r="C17" s="53" t="str">
        <f t="shared" si="0"/>
        <v>CPU_CapaCBUQ</v>
      </c>
      <c r="D17" s="278">
        <f t="shared" si="1"/>
        <v>350</v>
      </c>
      <c r="E17" s="278">
        <f t="shared" si="2"/>
        <v>44200</v>
      </c>
      <c r="F17" s="1" t="s">
        <v>881</v>
      </c>
      <c r="G17" s="28" t="str">
        <f>IFERROR(VLOOKUP(F17,Tabela7[[RECURSO]:[CUSTO]],2,FALSE),"")</f>
        <v>DIA</v>
      </c>
      <c r="H17" s="92"/>
      <c r="I17" s="90">
        <f>30/22</f>
        <v>1.3636363636363635</v>
      </c>
      <c r="J17" s="45">
        <f>IFERROR(VLOOKUP(F17,Tabela7[[RECURSO]:[CUSTO]],3,FALSE),0)</f>
        <v>750</v>
      </c>
      <c r="K17" s="45">
        <f>I17*J17*CPU_14[[#This Row],[Nº]]</f>
        <v>0</v>
      </c>
      <c r="M17" s="356"/>
      <c r="N17" s="297">
        <v>1</v>
      </c>
      <c r="O17" s="60">
        <f t="shared" si="15"/>
        <v>0</v>
      </c>
      <c r="T17" s="22"/>
      <c r="AD17" s="144" t="str">
        <f t="shared" si="3"/>
        <v>Capa - CBUQ</v>
      </c>
      <c r="AE17" s="179"/>
      <c r="AF17" s="180">
        <f t="shared" si="16"/>
        <v>0</v>
      </c>
      <c r="AG17" s="180">
        <f t="shared" si="17"/>
        <v>0</v>
      </c>
      <c r="AH17" s="181">
        <f t="shared" si="18"/>
        <v>0</v>
      </c>
      <c r="AI17" s="182"/>
      <c r="AJ17" s="90"/>
      <c r="AK17" s="90"/>
      <c r="AL17" s="183">
        <f t="shared" si="19"/>
        <v>0</v>
      </c>
      <c r="AM17" s="182"/>
      <c r="AN17" s="90"/>
      <c r="AO17" s="90"/>
      <c r="AP17" s="183">
        <f t="shared" si="4"/>
        <v>0</v>
      </c>
      <c r="AQ17" s="182"/>
      <c r="AR17" s="90"/>
      <c r="AS17" s="90"/>
      <c r="AT17" s="183">
        <f t="shared" si="5"/>
        <v>0</v>
      </c>
      <c r="AU17" s="182"/>
      <c r="AV17" s="90"/>
      <c r="AW17" s="90"/>
      <c r="AX17" s="183">
        <f t="shared" si="6"/>
        <v>0</v>
      </c>
      <c r="AY17" s="182"/>
      <c r="AZ17" s="90"/>
      <c r="BA17" s="90"/>
      <c r="BB17" s="183">
        <f t="shared" si="7"/>
        <v>0</v>
      </c>
      <c r="BC17" s="182"/>
      <c r="BD17" s="90"/>
      <c r="BE17" s="90"/>
      <c r="BF17" s="183">
        <f t="shared" si="8"/>
        <v>0</v>
      </c>
      <c r="BG17" s="182"/>
      <c r="BH17" s="90"/>
      <c r="BI17" s="90"/>
      <c r="BJ17" s="183">
        <f t="shared" si="9"/>
        <v>0</v>
      </c>
      <c r="BK17" s="182"/>
      <c r="BL17" s="90"/>
      <c r="BM17" s="90"/>
      <c r="BN17" s="183">
        <f t="shared" si="10"/>
        <v>0</v>
      </c>
      <c r="BO17" s="182"/>
      <c r="BP17" s="90"/>
      <c r="BQ17" s="90"/>
      <c r="BR17" s="183">
        <f t="shared" si="11"/>
        <v>0</v>
      </c>
      <c r="BS17" s="182"/>
      <c r="BT17" s="90"/>
      <c r="BU17" s="90"/>
      <c r="BV17" s="183">
        <f t="shared" si="12"/>
        <v>0</v>
      </c>
      <c r="BW17" s="182"/>
      <c r="BX17" s="90"/>
      <c r="BY17" s="90"/>
      <c r="BZ17" s="183">
        <f t="shared" si="13"/>
        <v>0</v>
      </c>
      <c r="CA17" s="182"/>
      <c r="CB17" s="90"/>
      <c r="CC17" s="90"/>
      <c r="CD17" s="183">
        <f t="shared" si="14"/>
        <v>0</v>
      </c>
    </row>
    <row r="18" spans="2:82" x14ac:dyDescent="0.3">
      <c r="B18" s="53"/>
      <c r="C18" s="53" t="str">
        <f t="shared" si="0"/>
        <v>CPU_CapaCBUQ</v>
      </c>
      <c r="D18" s="278">
        <f t="shared" si="1"/>
        <v>350</v>
      </c>
      <c r="E18" s="278">
        <f t="shared" si="2"/>
        <v>44200</v>
      </c>
      <c r="F18" s="1"/>
      <c r="G18" s="28" t="str">
        <f>IFERROR(VLOOKUP(F18,Tabela7[[RECURSO]:[CUSTO]],2,FALSE),"")</f>
        <v/>
      </c>
      <c r="H18" s="92"/>
      <c r="I18" s="90"/>
      <c r="J18" s="45">
        <f>IFERROR(VLOOKUP(F18,Tabela7[[RECURSO]:[CUSTO]],3,FALSE),0)</f>
        <v>0</v>
      </c>
      <c r="K18" s="45">
        <f>I18*J18*CPU_14[[#This Row],[Nº]]</f>
        <v>0</v>
      </c>
      <c r="M18" s="31"/>
      <c r="N18" s="297"/>
      <c r="O18" s="60">
        <f t="shared" si="15"/>
        <v>0</v>
      </c>
      <c r="AD18" s="144" t="str">
        <f t="shared" si="3"/>
        <v>Capa - CBUQ</v>
      </c>
      <c r="AE18" s="179"/>
      <c r="AF18" s="180">
        <f t="shared" si="16"/>
        <v>0</v>
      </c>
      <c r="AG18" s="180">
        <f t="shared" si="17"/>
        <v>0</v>
      </c>
      <c r="AH18" s="181">
        <f t="shared" si="18"/>
        <v>0</v>
      </c>
      <c r="AI18" s="182"/>
      <c r="AJ18" s="90"/>
      <c r="AK18" s="90"/>
      <c r="AL18" s="183">
        <f t="shared" si="19"/>
        <v>0</v>
      </c>
      <c r="AM18" s="182"/>
      <c r="AN18" s="90"/>
      <c r="AO18" s="90"/>
      <c r="AP18" s="183">
        <f t="shared" si="4"/>
        <v>0</v>
      </c>
      <c r="AQ18" s="182"/>
      <c r="AR18" s="90"/>
      <c r="AS18" s="90"/>
      <c r="AT18" s="183">
        <f t="shared" si="5"/>
        <v>0</v>
      </c>
      <c r="AU18" s="182"/>
      <c r="AV18" s="90"/>
      <c r="AW18" s="90"/>
      <c r="AX18" s="183">
        <f t="shared" si="6"/>
        <v>0</v>
      </c>
      <c r="AY18" s="182"/>
      <c r="AZ18" s="90"/>
      <c r="BA18" s="90"/>
      <c r="BB18" s="183">
        <f t="shared" si="7"/>
        <v>0</v>
      </c>
      <c r="BC18" s="182"/>
      <c r="BD18" s="90"/>
      <c r="BE18" s="90"/>
      <c r="BF18" s="183">
        <f t="shared" si="8"/>
        <v>0</v>
      </c>
      <c r="BG18" s="182"/>
      <c r="BH18" s="90"/>
      <c r="BI18" s="90"/>
      <c r="BJ18" s="183">
        <f t="shared" si="9"/>
        <v>0</v>
      </c>
      <c r="BK18" s="182"/>
      <c r="BL18" s="90"/>
      <c r="BM18" s="90"/>
      <c r="BN18" s="183">
        <f t="shared" si="10"/>
        <v>0</v>
      </c>
      <c r="BO18" s="182"/>
      <c r="BP18" s="90"/>
      <c r="BQ18" s="90"/>
      <c r="BR18" s="183">
        <f t="shared" si="11"/>
        <v>0</v>
      </c>
      <c r="BS18" s="182"/>
      <c r="BT18" s="90"/>
      <c r="BU18" s="90"/>
      <c r="BV18" s="183">
        <f t="shared" si="12"/>
        <v>0</v>
      </c>
      <c r="BW18" s="182"/>
      <c r="BX18" s="90"/>
      <c r="BY18" s="90"/>
      <c r="BZ18" s="183">
        <f t="shared" si="13"/>
        <v>0</v>
      </c>
      <c r="CA18" s="182"/>
      <c r="CB18" s="90"/>
      <c r="CC18" s="90"/>
      <c r="CD18" s="183">
        <f t="shared" si="14"/>
        <v>0</v>
      </c>
    </row>
    <row r="19" spans="2:82" x14ac:dyDescent="0.3">
      <c r="B19" s="53"/>
      <c r="C19" s="53" t="str">
        <f t="shared" si="0"/>
        <v>CPU_CapaCBUQ</v>
      </c>
      <c r="D19" s="278">
        <f t="shared" si="1"/>
        <v>350</v>
      </c>
      <c r="E19" s="278">
        <f t="shared" si="2"/>
        <v>44200</v>
      </c>
      <c r="F19" s="1"/>
      <c r="G19" s="28" t="str">
        <f>IFERROR(VLOOKUP(F19,Tabela7[[RECURSO]:[CUSTO]],2,FALSE),"")</f>
        <v/>
      </c>
      <c r="H19" s="92"/>
      <c r="I19" s="90"/>
      <c r="J19" s="45">
        <f>IFERROR(VLOOKUP(F19,Tabela7[[RECURSO]:[CUSTO]],3,FALSE),0)</f>
        <v>0</v>
      </c>
      <c r="K19" s="45">
        <f>I19*J19*CPU_14[[#This Row],[Nº]]</f>
        <v>0</v>
      </c>
      <c r="M19" s="31"/>
      <c r="N19" s="297"/>
      <c r="O19" s="60">
        <f t="shared" si="15"/>
        <v>0</v>
      </c>
      <c r="AD19" s="144" t="str">
        <f t="shared" si="3"/>
        <v>Capa - CBUQ</v>
      </c>
      <c r="AE19" s="179"/>
      <c r="AF19" s="180">
        <f t="shared" si="16"/>
        <v>0</v>
      </c>
      <c r="AG19" s="180">
        <f t="shared" si="17"/>
        <v>0</v>
      </c>
      <c r="AH19" s="181">
        <f t="shared" si="18"/>
        <v>0</v>
      </c>
      <c r="AI19" s="182"/>
      <c r="AJ19" s="90"/>
      <c r="AK19" s="90"/>
      <c r="AL19" s="183">
        <f t="shared" si="19"/>
        <v>0</v>
      </c>
      <c r="AM19" s="182"/>
      <c r="AN19" s="90"/>
      <c r="AO19" s="90"/>
      <c r="AP19" s="183">
        <f t="shared" si="4"/>
        <v>0</v>
      </c>
      <c r="AQ19" s="182"/>
      <c r="AR19" s="90"/>
      <c r="AS19" s="90"/>
      <c r="AT19" s="183">
        <f t="shared" si="5"/>
        <v>0</v>
      </c>
      <c r="AU19" s="182"/>
      <c r="AV19" s="90"/>
      <c r="AW19" s="90"/>
      <c r="AX19" s="183">
        <f t="shared" si="6"/>
        <v>0</v>
      </c>
      <c r="AY19" s="182"/>
      <c r="AZ19" s="90"/>
      <c r="BA19" s="90"/>
      <c r="BB19" s="183">
        <f t="shared" si="7"/>
        <v>0</v>
      </c>
      <c r="BC19" s="182"/>
      <c r="BD19" s="90"/>
      <c r="BE19" s="90"/>
      <c r="BF19" s="183">
        <f t="shared" si="8"/>
        <v>0</v>
      </c>
      <c r="BG19" s="182"/>
      <c r="BH19" s="90"/>
      <c r="BI19" s="90"/>
      <c r="BJ19" s="183">
        <f t="shared" si="9"/>
        <v>0</v>
      </c>
      <c r="BK19" s="182"/>
      <c r="BL19" s="90"/>
      <c r="BM19" s="90"/>
      <c r="BN19" s="183">
        <f t="shared" si="10"/>
        <v>0</v>
      </c>
      <c r="BO19" s="182"/>
      <c r="BP19" s="90"/>
      <c r="BQ19" s="90"/>
      <c r="BR19" s="183">
        <f t="shared" si="11"/>
        <v>0</v>
      </c>
      <c r="BS19" s="182"/>
      <c r="BT19" s="90"/>
      <c r="BU19" s="90"/>
      <c r="BV19" s="183">
        <f t="shared" si="12"/>
        <v>0</v>
      </c>
      <c r="BW19" s="182"/>
      <c r="BX19" s="90"/>
      <c r="BY19" s="90"/>
      <c r="BZ19" s="183">
        <f t="shared" si="13"/>
        <v>0</v>
      </c>
      <c r="CA19" s="182"/>
      <c r="CB19" s="90"/>
      <c r="CC19" s="90"/>
      <c r="CD19" s="183">
        <f t="shared" si="14"/>
        <v>0</v>
      </c>
    </row>
    <row r="20" spans="2:82" x14ac:dyDescent="0.3">
      <c r="B20" s="53"/>
      <c r="C20" s="53" t="str">
        <f t="shared" si="0"/>
        <v>CPU_CapaCBUQ</v>
      </c>
      <c r="D20" s="278">
        <f t="shared" si="1"/>
        <v>350</v>
      </c>
      <c r="E20" s="278">
        <f t="shared" si="2"/>
        <v>44200</v>
      </c>
      <c r="F20" s="1"/>
      <c r="G20" s="28" t="str">
        <f>IFERROR(VLOOKUP(F20,Tabela7[[RECURSO]:[CUSTO]],2,FALSE),"")</f>
        <v/>
      </c>
      <c r="H20" s="92"/>
      <c r="I20" s="90"/>
      <c r="J20" s="45">
        <f>IFERROR(VLOOKUP(F20,Tabela7[[RECURSO]:[CUSTO]],3,FALSE),0)</f>
        <v>0</v>
      </c>
      <c r="K20" s="45">
        <f>I20*J20*CPU_14[[#This Row],[Nº]]</f>
        <v>0</v>
      </c>
      <c r="M20" s="31"/>
      <c r="N20" s="297"/>
      <c r="O20" s="60">
        <f t="shared" si="15"/>
        <v>0</v>
      </c>
      <c r="AD20" s="144" t="str">
        <f t="shared" si="3"/>
        <v>Capa - CBUQ</v>
      </c>
      <c r="AE20" s="179"/>
      <c r="AF20" s="180">
        <f t="shared" si="16"/>
        <v>0</v>
      </c>
      <c r="AG20" s="180">
        <f t="shared" si="17"/>
        <v>0</v>
      </c>
      <c r="AH20" s="181">
        <f t="shared" si="18"/>
        <v>0</v>
      </c>
      <c r="AI20" s="182"/>
      <c r="AJ20" s="90"/>
      <c r="AK20" s="90"/>
      <c r="AL20" s="183">
        <f t="shared" si="19"/>
        <v>0</v>
      </c>
      <c r="AM20" s="182"/>
      <c r="AN20" s="90"/>
      <c r="AO20" s="90"/>
      <c r="AP20" s="183">
        <f t="shared" si="4"/>
        <v>0</v>
      </c>
      <c r="AQ20" s="182"/>
      <c r="AR20" s="90"/>
      <c r="AS20" s="90"/>
      <c r="AT20" s="183">
        <f t="shared" si="5"/>
        <v>0</v>
      </c>
      <c r="AU20" s="182"/>
      <c r="AV20" s="90"/>
      <c r="AW20" s="90"/>
      <c r="AX20" s="183">
        <f t="shared" si="6"/>
        <v>0</v>
      </c>
      <c r="AY20" s="182"/>
      <c r="AZ20" s="90"/>
      <c r="BA20" s="90"/>
      <c r="BB20" s="183">
        <f t="shared" si="7"/>
        <v>0</v>
      </c>
      <c r="BC20" s="182"/>
      <c r="BD20" s="90"/>
      <c r="BE20" s="90"/>
      <c r="BF20" s="183">
        <f t="shared" si="8"/>
        <v>0</v>
      </c>
      <c r="BG20" s="182"/>
      <c r="BH20" s="90"/>
      <c r="BI20" s="90"/>
      <c r="BJ20" s="183">
        <f t="shared" si="9"/>
        <v>0</v>
      </c>
      <c r="BK20" s="182"/>
      <c r="BL20" s="90"/>
      <c r="BM20" s="90"/>
      <c r="BN20" s="183">
        <f t="shared" si="10"/>
        <v>0</v>
      </c>
      <c r="BO20" s="182"/>
      <c r="BP20" s="90"/>
      <c r="BQ20" s="90"/>
      <c r="BR20" s="183">
        <f t="shared" si="11"/>
        <v>0</v>
      </c>
      <c r="BS20" s="182"/>
      <c r="BT20" s="90"/>
      <c r="BU20" s="90"/>
      <c r="BV20" s="183">
        <f t="shared" si="12"/>
        <v>0</v>
      </c>
      <c r="BW20" s="182"/>
      <c r="BX20" s="90"/>
      <c r="BY20" s="90"/>
      <c r="BZ20" s="183">
        <f t="shared" si="13"/>
        <v>0</v>
      </c>
      <c r="CA20" s="182"/>
      <c r="CB20" s="90"/>
      <c r="CC20" s="90"/>
      <c r="CD20" s="183">
        <f t="shared" si="14"/>
        <v>0</v>
      </c>
    </row>
    <row r="21" spans="2:82" x14ac:dyDescent="0.3">
      <c r="B21" s="53"/>
      <c r="C21" s="53" t="str">
        <f t="shared" si="0"/>
        <v>CPU_CapaCBUQ</v>
      </c>
      <c r="D21" s="278">
        <f t="shared" si="1"/>
        <v>350</v>
      </c>
      <c r="E21" s="278">
        <f t="shared" si="2"/>
        <v>44200</v>
      </c>
      <c r="F21" s="1"/>
      <c r="G21" s="28" t="str">
        <f>IFERROR(VLOOKUP(F21,Tabela7[[RECURSO]:[CUSTO]],2,FALSE),"")</f>
        <v/>
      </c>
      <c r="H21" s="92"/>
      <c r="I21" s="90"/>
      <c r="J21" s="45">
        <f>IFERROR(VLOOKUP(F21,Tabela7[[RECURSO]:[CUSTO]],3,FALSE),0)</f>
        <v>0</v>
      </c>
      <c r="K21" s="45">
        <f>I21*J21*CPU_14[[#This Row],[Nº]]</f>
        <v>0</v>
      </c>
      <c r="M21" s="31"/>
      <c r="N21" s="297"/>
      <c r="O21" s="60">
        <f t="shared" si="15"/>
        <v>0</v>
      </c>
      <c r="AD21" s="144" t="str">
        <f t="shared" si="3"/>
        <v>Capa - CBUQ</v>
      </c>
      <c r="AE21" s="179"/>
      <c r="AF21" s="180">
        <f t="shared" si="16"/>
        <v>0</v>
      </c>
      <c r="AG21" s="180">
        <f t="shared" si="17"/>
        <v>0</v>
      </c>
      <c r="AH21" s="181">
        <f t="shared" si="18"/>
        <v>0</v>
      </c>
      <c r="AI21" s="182"/>
      <c r="AJ21" s="90"/>
      <c r="AK21" s="90"/>
      <c r="AL21" s="183">
        <f t="shared" si="19"/>
        <v>0</v>
      </c>
      <c r="AM21" s="182"/>
      <c r="AN21" s="90"/>
      <c r="AO21" s="90"/>
      <c r="AP21" s="183">
        <f t="shared" si="4"/>
        <v>0</v>
      </c>
      <c r="AQ21" s="182"/>
      <c r="AR21" s="90"/>
      <c r="AS21" s="90"/>
      <c r="AT21" s="183">
        <f t="shared" si="5"/>
        <v>0</v>
      </c>
      <c r="AU21" s="182"/>
      <c r="AV21" s="90"/>
      <c r="AW21" s="90"/>
      <c r="AX21" s="183">
        <f t="shared" si="6"/>
        <v>0</v>
      </c>
      <c r="AY21" s="182"/>
      <c r="AZ21" s="90"/>
      <c r="BA21" s="90"/>
      <c r="BB21" s="183">
        <f t="shared" si="7"/>
        <v>0</v>
      </c>
      <c r="BC21" s="182"/>
      <c r="BD21" s="90"/>
      <c r="BE21" s="90"/>
      <c r="BF21" s="183">
        <f t="shared" si="8"/>
        <v>0</v>
      </c>
      <c r="BG21" s="182"/>
      <c r="BH21" s="90"/>
      <c r="BI21" s="90"/>
      <c r="BJ21" s="183">
        <f t="shared" si="9"/>
        <v>0</v>
      </c>
      <c r="BK21" s="182"/>
      <c r="BL21" s="90"/>
      <c r="BM21" s="90"/>
      <c r="BN21" s="183">
        <f t="shared" si="10"/>
        <v>0</v>
      </c>
      <c r="BO21" s="182"/>
      <c r="BP21" s="90"/>
      <c r="BQ21" s="90"/>
      <c r="BR21" s="183">
        <f t="shared" si="11"/>
        <v>0</v>
      </c>
      <c r="BS21" s="182"/>
      <c r="BT21" s="90"/>
      <c r="BU21" s="90"/>
      <c r="BV21" s="183">
        <f t="shared" si="12"/>
        <v>0</v>
      </c>
      <c r="BW21" s="182"/>
      <c r="BX21" s="90"/>
      <c r="BY21" s="90"/>
      <c r="BZ21" s="183">
        <f t="shared" si="13"/>
        <v>0</v>
      </c>
      <c r="CA21" s="182"/>
      <c r="CB21" s="90"/>
      <c r="CC21" s="90"/>
      <c r="CD21" s="183">
        <f t="shared" si="14"/>
        <v>0</v>
      </c>
    </row>
    <row r="22" spans="2:82" x14ac:dyDescent="0.3">
      <c r="B22" s="53"/>
      <c r="C22" s="53" t="str">
        <f t="shared" si="0"/>
        <v>CPU_CapaCBUQ</v>
      </c>
      <c r="D22" s="278">
        <f t="shared" si="1"/>
        <v>350</v>
      </c>
      <c r="E22" s="278">
        <f t="shared" si="2"/>
        <v>44200</v>
      </c>
      <c r="F22" s="1"/>
      <c r="G22" s="28" t="str">
        <f>IFERROR(VLOOKUP(F22,Tabela7[[RECURSO]:[CUSTO]],2,FALSE),"")</f>
        <v/>
      </c>
      <c r="H22" s="92"/>
      <c r="I22" s="90"/>
      <c r="J22" s="45">
        <f>IFERROR(VLOOKUP(F22,Tabela7[[RECURSO]:[CUSTO]],3,FALSE),0)</f>
        <v>0</v>
      </c>
      <c r="K22" s="45">
        <f>I22*J22*CPU_14[[#This Row],[Nº]]</f>
        <v>0</v>
      </c>
      <c r="M22" s="31"/>
      <c r="N22" s="297"/>
      <c r="O22" s="60">
        <f t="shared" si="15"/>
        <v>0</v>
      </c>
      <c r="AD22" s="144" t="str">
        <f t="shared" si="3"/>
        <v>Capa - CBUQ</v>
      </c>
      <c r="AE22" s="179"/>
      <c r="AF22" s="180">
        <f t="shared" si="16"/>
        <v>0</v>
      </c>
      <c r="AG22" s="180">
        <f t="shared" si="17"/>
        <v>0</v>
      </c>
      <c r="AH22" s="181">
        <f t="shared" si="18"/>
        <v>0</v>
      </c>
      <c r="AI22" s="182"/>
      <c r="AJ22" s="90"/>
      <c r="AK22" s="90"/>
      <c r="AL22" s="183">
        <f t="shared" si="19"/>
        <v>0</v>
      </c>
      <c r="AM22" s="182"/>
      <c r="AN22" s="90"/>
      <c r="AO22" s="90"/>
      <c r="AP22" s="183">
        <f t="shared" si="4"/>
        <v>0</v>
      </c>
      <c r="AQ22" s="182"/>
      <c r="AR22" s="90"/>
      <c r="AS22" s="90"/>
      <c r="AT22" s="183">
        <f t="shared" si="5"/>
        <v>0</v>
      </c>
      <c r="AU22" s="182"/>
      <c r="AV22" s="90"/>
      <c r="AW22" s="90"/>
      <c r="AX22" s="183">
        <f t="shared" si="6"/>
        <v>0</v>
      </c>
      <c r="AY22" s="182"/>
      <c r="AZ22" s="90"/>
      <c r="BA22" s="90"/>
      <c r="BB22" s="183">
        <f t="shared" si="7"/>
        <v>0</v>
      </c>
      <c r="BC22" s="182"/>
      <c r="BD22" s="90"/>
      <c r="BE22" s="90"/>
      <c r="BF22" s="183">
        <f t="shared" si="8"/>
        <v>0</v>
      </c>
      <c r="BG22" s="182"/>
      <c r="BH22" s="90"/>
      <c r="BI22" s="90"/>
      <c r="BJ22" s="183">
        <f t="shared" si="9"/>
        <v>0</v>
      </c>
      <c r="BK22" s="182"/>
      <c r="BL22" s="90"/>
      <c r="BM22" s="90"/>
      <c r="BN22" s="183">
        <f t="shared" si="10"/>
        <v>0</v>
      </c>
      <c r="BO22" s="182"/>
      <c r="BP22" s="90"/>
      <c r="BQ22" s="90"/>
      <c r="BR22" s="183">
        <f t="shared" si="11"/>
        <v>0</v>
      </c>
      <c r="BS22" s="182"/>
      <c r="BT22" s="90"/>
      <c r="BU22" s="90"/>
      <c r="BV22" s="183">
        <f t="shared" si="12"/>
        <v>0</v>
      </c>
      <c r="BW22" s="182"/>
      <c r="BX22" s="90"/>
      <c r="BY22" s="90"/>
      <c r="BZ22" s="183">
        <f t="shared" si="13"/>
        <v>0</v>
      </c>
      <c r="CA22" s="182"/>
      <c r="CB22" s="90"/>
      <c r="CC22" s="90"/>
      <c r="CD22" s="183">
        <f t="shared" si="14"/>
        <v>0</v>
      </c>
    </row>
    <row r="23" spans="2:82" ht="15" thickBot="1" x14ac:dyDescent="0.35">
      <c r="B23" s="53"/>
      <c r="C23" s="53" t="str">
        <f t="shared" si="0"/>
        <v>CPU_CapaCBUQ</v>
      </c>
      <c r="D23" s="278">
        <f t="shared" si="1"/>
        <v>350</v>
      </c>
      <c r="E23" s="278">
        <f t="shared" si="2"/>
        <v>44200</v>
      </c>
      <c r="F23" s="1"/>
      <c r="G23" s="28" t="str">
        <f>IFERROR(VLOOKUP(F23,Tabela7[[RECURSO]:[CUSTO]],2,FALSE),"")</f>
        <v/>
      </c>
      <c r="H23" s="92"/>
      <c r="I23" s="90"/>
      <c r="J23" s="45">
        <f>IFERROR(VLOOKUP(F23,Tabela7[[RECURSO]:[CUSTO]],3,FALSE),0)</f>
        <v>0</v>
      </c>
      <c r="K23" s="45">
        <f>I23*J23*CPU_14[[#This Row],[Nº]]</f>
        <v>0</v>
      </c>
      <c r="M23" s="51"/>
      <c r="N23" s="298"/>
      <c r="O23" s="61">
        <f t="shared" si="15"/>
        <v>0</v>
      </c>
      <c r="AD23" s="144" t="str">
        <f t="shared" si="3"/>
        <v>Capa - CBUQ</v>
      </c>
      <c r="AE23" s="179"/>
      <c r="AF23" s="180">
        <f t="shared" si="16"/>
        <v>0</v>
      </c>
      <c r="AG23" s="180">
        <f t="shared" si="17"/>
        <v>0</v>
      </c>
      <c r="AH23" s="181">
        <f t="shared" si="18"/>
        <v>0</v>
      </c>
      <c r="AI23" s="182"/>
      <c r="AJ23" s="90"/>
      <c r="AK23" s="90"/>
      <c r="AL23" s="183">
        <f t="shared" si="19"/>
        <v>0</v>
      </c>
      <c r="AM23" s="182"/>
      <c r="AN23" s="90"/>
      <c r="AO23" s="90"/>
      <c r="AP23" s="183">
        <f t="shared" si="4"/>
        <v>0</v>
      </c>
      <c r="AQ23" s="182"/>
      <c r="AR23" s="90"/>
      <c r="AS23" s="90"/>
      <c r="AT23" s="183">
        <f t="shared" si="5"/>
        <v>0</v>
      </c>
      <c r="AU23" s="182"/>
      <c r="AV23" s="90"/>
      <c r="AW23" s="90"/>
      <c r="AX23" s="183">
        <f t="shared" si="6"/>
        <v>0</v>
      </c>
      <c r="AY23" s="182"/>
      <c r="AZ23" s="90"/>
      <c r="BA23" s="90"/>
      <c r="BB23" s="183">
        <f t="shared" si="7"/>
        <v>0</v>
      </c>
      <c r="BC23" s="182"/>
      <c r="BD23" s="90"/>
      <c r="BE23" s="90"/>
      <c r="BF23" s="183">
        <f t="shared" si="8"/>
        <v>0</v>
      </c>
      <c r="BG23" s="182"/>
      <c r="BH23" s="90"/>
      <c r="BI23" s="90"/>
      <c r="BJ23" s="183">
        <f t="shared" si="9"/>
        <v>0</v>
      </c>
      <c r="BK23" s="182"/>
      <c r="BL23" s="90"/>
      <c r="BM23" s="90"/>
      <c r="BN23" s="183">
        <f t="shared" si="10"/>
        <v>0</v>
      </c>
      <c r="BO23" s="182"/>
      <c r="BP23" s="90"/>
      <c r="BQ23" s="90"/>
      <c r="BR23" s="183">
        <f t="shared" si="11"/>
        <v>0</v>
      </c>
      <c r="BS23" s="182"/>
      <c r="BT23" s="90"/>
      <c r="BU23" s="90"/>
      <c r="BV23" s="183">
        <f t="shared" si="12"/>
        <v>0</v>
      </c>
      <c r="BW23" s="182"/>
      <c r="BX23" s="90"/>
      <c r="BY23" s="90"/>
      <c r="BZ23" s="183">
        <f t="shared" si="13"/>
        <v>0</v>
      </c>
      <c r="CA23" s="182"/>
      <c r="CB23" s="90"/>
      <c r="CC23" s="90"/>
      <c r="CD23" s="183">
        <f t="shared" si="14"/>
        <v>0</v>
      </c>
    </row>
    <row r="24" spans="2:82" x14ac:dyDescent="0.3">
      <c r="B24" s="52" t="s">
        <v>686</v>
      </c>
      <c r="C24" s="52" t="str">
        <f t="shared" si="0"/>
        <v>CPU_CapaCBUQ</v>
      </c>
      <c r="D24" s="277">
        <f t="shared" si="1"/>
        <v>350</v>
      </c>
      <c r="E24" s="277">
        <f t="shared" si="2"/>
        <v>44200</v>
      </c>
      <c r="F24" s="37"/>
      <c r="G24" s="38"/>
      <c r="H24" s="91"/>
      <c r="I24" s="40"/>
      <c r="J24" s="40">
        <f>IFERROR(K24/$B$6,0)</f>
        <v>0</v>
      </c>
      <c r="K24" s="40">
        <f>SUM(K25:K36)</f>
        <v>0</v>
      </c>
      <c r="AD24" s="144" t="str">
        <f t="shared" si="3"/>
        <v>Capa - CBUQ</v>
      </c>
      <c r="AE24" s="184"/>
      <c r="AF24" s="40"/>
      <c r="AG24" s="40">
        <f>IFERROR(AH24/AF$3,0)</f>
        <v>0</v>
      </c>
      <c r="AH24" s="185">
        <f>SUM(AH25:AH36)</f>
        <v>0</v>
      </c>
      <c r="AI24" s="184"/>
      <c r="AJ24" s="40"/>
      <c r="AK24" s="40">
        <f>IFERROR(AL24/AJ$3,0)</f>
        <v>0</v>
      </c>
      <c r="AL24" s="185">
        <f>SUM(AL25:AL36)</f>
        <v>0</v>
      </c>
      <c r="AM24" s="184"/>
      <c r="AN24" s="40"/>
      <c r="AO24" s="40">
        <f>IFERROR(AP24/AN$3,0)</f>
        <v>0</v>
      </c>
      <c r="AP24" s="185">
        <f>SUM(AP25:AP36)</f>
        <v>0</v>
      </c>
      <c r="AQ24" s="184"/>
      <c r="AR24" s="40"/>
      <c r="AS24" s="40">
        <f>IFERROR(AT24/AR$3,0)</f>
        <v>0</v>
      </c>
      <c r="AT24" s="185">
        <f>SUM(AT25:AT36)</f>
        <v>0</v>
      </c>
      <c r="AU24" s="184"/>
      <c r="AV24" s="40"/>
      <c r="AW24" s="40">
        <f>IFERROR(AX24/AV$3,0)</f>
        <v>0</v>
      </c>
      <c r="AX24" s="185">
        <f>SUM(AX25:AX36)</f>
        <v>0</v>
      </c>
      <c r="AY24" s="184"/>
      <c r="AZ24" s="40"/>
      <c r="BA24" s="40">
        <f>IFERROR(BB24/AZ$3,0)</f>
        <v>0</v>
      </c>
      <c r="BB24" s="185">
        <f>SUM(BB25:BB36)</f>
        <v>0</v>
      </c>
      <c r="BC24" s="184"/>
      <c r="BD24" s="40"/>
      <c r="BE24" s="40">
        <f>IFERROR(BF24/BD$3,0)</f>
        <v>0</v>
      </c>
      <c r="BF24" s="185">
        <f>SUM(BF25:BF36)</f>
        <v>0</v>
      </c>
      <c r="BG24" s="184"/>
      <c r="BH24" s="40"/>
      <c r="BI24" s="40">
        <f>IFERROR(BJ24/BH$3,0)</f>
        <v>0</v>
      </c>
      <c r="BJ24" s="185">
        <f>SUM(BJ25:BJ36)</f>
        <v>0</v>
      </c>
      <c r="BK24" s="184"/>
      <c r="BL24" s="40"/>
      <c r="BM24" s="40">
        <f>IFERROR(BN24/BL$3,0)</f>
        <v>0</v>
      </c>
      <c r="BN24" s="185">
        <f>SUM(BN25:BN36)</f>
        <v>0</v>
      </c>
      <c r="BO24" s="184"/>
      <c r="BP24" s="40"/>
      <c r="BQ24" s="40">
        <f>IFERROR(BR24/BP$3,0)</f>
        <v>0</v>
      </c>
      <c r="BR24" s="185">
        <f>SUM(BR25:BR36)</f>
        <v>0</v>
      </c>
      <c r="BS24" s="184"/>
      <c r="BT24" s="40"/>
      <c r="BU24" s="40">
        <f>IFERROR(BV24/BT$3,0)</f>
        <v>0</v>
      </c>
      <c r="BV24" s="185">
        <f>SUM(BV25:BV36)</f>
        <v>0</v>
      </c>
      <c r="BW24" s="184"/>
      <c r="BX24" s="40"/>
      <c r="BY24" s="40">
        <f>IFERROR(BZ24/BX$3,0)</f>
        <v>0</v>
      </c>
      <c r="BZ24" s="185">
        <f>SUM(BZ25:BZ36)</f>
        <v>0</v>
      </c>
      <c r="CA24" s="184"/>
      <c r="CB24" s="40"/>
      <c r="CC24" s="40">
        <f>IFERROR(CD24/CB$3,0)</f>
        <v>0</v>
      </c>
      <c r="CD24" s="185">
        <f>SUM(CD25:CD36)</f>
        <v>0</v>
      </c>
    </row>
    <row r="25" spans="2:82" x14ac:dyDescent="0.3">
      <c r="B25" s="53"/>
      <c r="C25" s="53" t="str">
        <f t="shared" si="0"/>
        <v>CPU_CapaCBUQ</v>
      </c>
      <c r="D25" s="278">
        <f t="shared" si="1"/>
        <v>350</v>
      </c>
      <c r="E25" s="278">
        <f t="shared" si="2"/>
        <v>44200</v>
      </c>
      <c r="F25" s="1" t="s">
        <v>1034</v>
      </c>
      <c r="G25" s="28" t="str">
        <f>IFERROR(VLOOKUP(F25,Tabela7[[RECURSO]:[CUSTO]],2,FALSE),"")</f>
        <v>L</v>
      </c>
      <c r="H25" s="93"/>
      <c r="I25" s="90">
        <f>IFERROR(SUMPRODUCT(I12:I23,M12:M23,H12:H23,N12:N23),0)</f>
        <v>218.18181818181822</v>
      </c>
      <c r="J25" s="45"/>
      <c r="K25" s="45">
        <f>I25*J25</f>
        <v>0</v>
      </c>
      <c r="AD25" s="144" t="str">
        <f t="shared" si="3"/>
        <v>Capa - CBUQ</v>
      </c>
      <c r="AE25" s="179"/>
      <c r="AF25" s="180">
        <f t="shared" ref="AF25:AF36" si="20">AJ25+AN25+AR25+AV25+AZ25+BD25+BH25+BL25+BP25+BT25+BX25+CB25</f>
        <v>0</v>
      </c>
      <c r="AG25" s="180">
        <f t="shared" si="17"/>
        <v>0</v>
      </c>
      <c r="AH25" s="181">
        <f t="shared" ref="AH25:AH36" si="21">AL25+AP25+AT25+AX25+BB25+BF25+BJ25+BN25+BR25+BV25+BZ25+CD25</f>
        <v>0</v>
      </c>
      <c r="AI25" s="182"/>
      <c r="AJ25" s="90"/>
      <c r="AK25" s="90"/>
      <c r="AL25" s="183">
        <f t="shared" ref="AL25:AL36" si="22">AJ25*AK25</f>
        <v>0</v>
      </c>
      <c r="AM25" s="182"/>
      <c r="AN25" s="90"/>
      <c r="AO25" s="90"/>
      <c r="AP25" s="183">
        <f t="shared" ref="AP25:AP62" si="23">AN25*AO25</f>
        <v>0</v>
      </c>
      <c r="AQ25" s="182"/>
      <c r="AR25" s="90"/>
      <c r="AS25" s="90"/>
      <c r="AT25" s="183">
        <f t="shared" ref="AT25:AT62" si="24">AR25*AS25</f>
        <v>0</v>
      </c>
      <c r="AU25" s="182"/>
      <c r="AV25" s="90"/>
      <c r="AW25" s="90"/>
      <c r="AX25" s="183">
        <f t="shared" ref="AX25:AX62" si="25">AV25*AW25</f>
        <v>0</v>
      </c>
      <c r="AY25" s="182"/>
      <c r="AZ25" s="90"/>
      <c r="BA25" s="90"/>
      <c r="BB25" s="183">
        <f t="shared" ref="BB25:BB62" si="26">AZ25*BA25</f>
        <v>0</v>
      </c>
      <c r="BC25" s="182"/>
      <c r="BD25" s="90"/>
      <c r="BE25" s="90"/>
      <c r="BF25" s="183">
        <f t="shared" ref="BF25:BF62" si="27">BD25*BE25</f>
        <v>0</v>
      </c>
      <c r="BG25" s="182"/>
      <c r="BH25" s="90"/>
      <c r="BI25" s="90"/>
      <c r="BJ25" s="183">
        <f t="shared" ref="BJ25:BJ62" si="28">BH25*BI25</f>
        <v>0</v>
      </c>
      <c r="BK25" s="182"/>
      <c r="BL25" s="90"/>
      <c r="BM25" s="90"/>
      <c r="BN25" s="183">
        <f t="shared" ref="BN25:BN62" si="29">BL25*BM25</f>
        <v>0</v>
      </c>
      <c r="BO25" s="182"/>
      <c r="BP25" s="90"/>
      <c r="BQ25" s="90"/>
      <c r="BR25" s="183">
        <f t="shared" ref="BR25:BR62" si="30">BP25*BQ25</f>
        <v>0</v>
      </c>
      <c r="BS25" s="182"/>
      <c r="BT25" s="90"/>
      <c r="BU25" s="90"/>
      <c r="BV25" s="183">
        <f t="shared" ref="BV25:BV62" si="31">BT25*BU25</f>
        <v>0</v>
      </c>
      <c r="BW25" s="182"/>
      <c r="BX25" s="90"/>
      <c r="BY25" s="90"/>
      <c r="BZ25" s="183">
        <f t="shared" ref="BZ25:BZ62" si="32">BX25*BY25</f>
        <v>0</v>
      </c>
      <c r="CA25" s="182"/>
      <c r="CB25" s="90"/>
      <c r="CC25" s="90"/>
      <c r="CD25" s="183">
        <f t="shared" ref="CD25:CD62" si="33">CB25*CC25</f>
        <v>0</v>
      </c>
    </row>
    <row r="26" spans="2:82" x14ac:dyDescent="0.3">
      <c r="B26" s="53"/>
      <c r="C26" s="53" t="str">
        <f t="shared" si="0"/>
        <v>CPU_CapaCBUQ</v>
      </c>
      <c r="D26" s="278">
        <f t="shared" si="1"/>
        <v>350</v>
      </c>
      <c r="E26" s="278">
        <f t="shared" si="2"/>
        <v>44200</v>
      </c>
      <c r="F26" s="1"/>
      <c r="G26" s="28" t="str">
        <f>IFERROR(VLOOKUP(F26,Tabela7[[RECURSO]:[CUSTO]],2,FALSE),"")</f>
        <v/>
      </c>
      <c r="H26" s="93"/>
      <c r="I26" s="90"/>
      <c r="J26" s="45">
        <f>IFERROR(VLOOKUP(F26,Tabela7[[RECURSO]:[CUSTO]],3,FALSE),0)</f>
        <v>0</v>
      </c>
      <c r="K26" s="45">
        <f t="shared" ref="K26:K36" si="34">I26*J26</f>
        <v>0</v>
      </c>
      <c r="AD26" s="144" t="str">
        <f t="shared" si="3"/>
        <v>Capa - CBUQ</v>
      </c>
      <c r="AE26" s="179"/>
      <c r="AF26" s="180">
        <f t="shared" si="20"/>
        <v>0</v>
      </c>
      <c r="AG26" s="180">
        <f t="shared" si="17"/>
        <v>0</v>
      </c>
      <c r="AH26" s="181">
        <f t="shared" si="21"/>
        <v>0</v>
      </c>
      <c r="AI26" s="182"/>
      <c r="AJ26" s="90"/>
      <c r="AK26" s="90"/>
      <c r="AL26" s="183">
        <f t="shared" si="22"/>
        <v>0</v>
      </c>
      <c r="AM26" s="182"/>
      <c r="AN26" s="90"/>
      <c r="AO26" s="90"/>
      <c r="AP26" s="183">
        <f t="shared" si="23"/>
        <v>0</v>
      </c>
      <c r="AQ26" s="182"/>
      <c r="AR26" s="90"/>
      <c r="AS26" s="90"/>
      <c r="AT26" s="183">
        <f t="shared" si="24"/>
        <v>0</v>
      </c>
      <c r="AU26" s="182"/>
      <c r="AV26" s="90"/>
      <c r="AW26" s="90"/>
      <c r="AX26" s="183">
        <f t="shared" si="25"/>
        <v>0</v>
      </c>
      <c r="AY26" s="182"/>
      <c r="AZ26" s="90"/>
      <c r="BA26" s="90"/>
      <c r="BB26" s="183">
        <f t="shared" si="26"/>
        <v>0</v>
      </c>
      <c r="BC26" s="182"/>
      <c r="BD26" s="90"/>
      <c r="BE26" s="90"/>
      <c r="BF26" s="183">
        <f t="shared" si="27"/>
        <v>0</v>
      </c>
      <c r="BG26" s="182"/>
      <c r="BH26" s="90"/>
      <c r="BI26" s="90"/>
      <c r="BJ26" s="183">
        <f t="shared" si="28"/>
        <v>0</v>
      </c>
      <c r="BK26" s="182"/>
      <c r="BL26" s="90"/>
      <c r="BM26" s="90"/>
      <c r="BN26" s="183">
        <f t="shared" si="29"/>
        <v>0</v>
      </c>
      <c r="BO26" s="182"/>
      <c r="BP26" s="90"/>
      <c r="BQ26" s="90"/>
      <c r="BR26" s="183">
        <f t="shared" si="30"/>
        <v>0</v>
      </c>
      <c r="BS26" s="182"/>
      <c r="BT26" s="90"/>
      <c r="BU26" s="90"/>
      <c r="BV26" s="183">
        <f t="shared" si="31"/>
        <v>0</v>
      </c>
      <c r="BW26" s="182"/>
      <c r="BX26" s="90"/>
      <c r="BY26" s="90"/>
      <c r="BZ26" s="183">
        <f t="shared" si="32"/>
        <v>0</v>
      </c>
      <c r="CA26" s="182"/>
      <c r="CB26" s="90"/>
      <c r="CC26" s="90"/>
      <c r="CD26" s="183">
        <f t="shared" si="33"/>
        <v>0</v>
      </c>
    </row>
    <row r="27" spans="2:82" x14ac:dyDescent="0.3">
      <c r="B27" s="53"/>
      <c r="C27" s="53" t="str">
        <f t="shared" si="0"/>
        <v>CPU_CapaCBUQ</v>
      </c>
      <c r="D27" s="278">
        <f t="shared" si="1"/>
        <v>350</v>
      </c>
      <c r="E27" s="278">
        <f t="shared" si="2"/>
        <v>44200</v>
      </c>
      <c r="F27" s="1"/>
      <c r="G27" s="28" t="str">
        <f>IFERROR(VLOOKUP(F27,Tabela7[[RECURSO]:[CUSTO]],2,FALSE),"")</f>
        <v/>
      </c>
      <c r="H27" s="93"/>
      <c r="I27" s="90"/>
      <c r="J27" s="45">
        <f>IFERROR(VLOOKUP(F27,Tabela7[[RECURSO]:[CUSTO]],3,FALSE),0)</f>
        <v>0</v>
      </c>
      <c r="K27" s="45">
        <f t="shared" si="34"/>
        <v>0</v>
      </c>
      <c r="M27" s="22"/>
      <c r="AD27" s="144" t="str">
        <f t="shared" si="3"/>
        <v>Capa - CBUQ</v>
      </c>
      <c r="AE27" s="179"/>
      <c r="AF27" s="180">
        <f t="shared" si="20"/>
        <v>0</v>
      </c>
      <c r="AG27" s="180">
        <f t="shared" si="17"/>
        <v>0</v>
      </c>
      <c r="AH27" s="181">
        <f t="shared" si="21"/>
        <v>0</v>
      </c>
      <c r="AI27" s="182"/>
      <c r="AJ27" s="90"/>
      <c r="AK27" s="90"/>
      <c r="AL27" s="183">
        <f t="shared" si="22"/>
        <v>0</v>
      </c>
      <c r="AM27" s="182"/>
      <c r="AN27" s="90"/>
      <c r="AO27" s="90"/>
      <c r="AP27" s="183">
        <f t="shared" si="23"/>
        <v>0</v>
      </c>
      <c r="AQ27" s="182"/>
      <c r="AR27" s="90"/>
      <c r="AS27" s="90"/>
      <c r="AT27" s="183">
        <f t="shared" si="24"/>
        <v>0</v>
      </c>
      <c r="AU27" s="182"/>
      <c r="AV27" s="90"/>
      <c r="AW27" s="90"/>
      <c r="AX27" s="183">
        <f t="shared" si="25"/>
        <v>0</v>
      </c>
      <c r="AY27" s="182"/>
      <c r="AZ27" s="90"/>
      <c r="BA27" s="90"/>
      <c r="BB27" s="183">
        <f t="shared" si="26"/>
        <v>0</v>
      </c>
      <c r="BC27" s="182"/>
      <c r="BD27" s="90"/>
      <c r="BE27" s="90"/>
      <c r="BF27" s="183">
        <f t="shared" si="27"/>
        <v>0</v>
      </c>
      <c r="BG27" s="182"/>
      <c r="BH27" s="90"/>
      <c r="BI27" s="90"/>
      <c r="BJ27" s="183">
        <f t="shared" si="28"/>
        <v>0</v>
      </c>
      <c r="BK27" s="182"/>
      <c r="BL27" s="90"/>
      <c r="BM27" s="90"/>
      <c r="BN27" s="183">
        <f t="shared" si="29"/>
        <v>0</v>
      </c>
      <c r="BO27" s="182"/>
      <c r="BP27" s="90"/>
      <c r="BQ27" s="90"/>
      <c r="BR27" s="183">
        <f t="shared" si="30"/>
        <v>0</v>
      </c>
      <c r="BS27" s="182"/>
      <c r="BT27" s="90"/>
      <c r="BU27" s="90"/>
      <c r="BV27" s="183">
        <f t="shared" si="31"/>
        <v>0</v>
      </c>
      <c r="BW27" s="182"/>
      <c r="BX27" s="90"/>
      <c r="BY27" s="90"/>
      <c r="BZ27" s="183">
        <f t="shared" si="32"/>
        <v>0</v>
      </c>
      <c r="CA27" s="182"/>
      <c r="CB27" s="90"/>
      <c r="CC27" s="90"/>
      <c r="CD27" s="183">
        <f t="shared" si="33"/>
        <v>0</v>
      </c>
    </row>
    <row r="28" spans="2:82" x14ac:dyDescent="0.3">
      <c r="B28" s="53"/>
      <c r="C28" s="53" t="str">
        <f t="shared" si="0"/>
        <v>CPU_CapaCBUQ</v>
      </c>
      <c r="D28" s="278">
        <f t="shared" si="1"/>
        <v>350</v>
      </c>
      <c r="E28" s="278">
        <f t="shared" si="2"/>
        <v>44200</v>
      </c>
      <c r="F28" s="1"/>
      <c r="G28" s="28" t="str">
        <f>IFERROR(VLOOKUP(F28,Tabela7[[RECURSO]:[CUSTO]],2,FALSE),"")</f>
        <v/>
      </c>
      <c r="H28" s="93"/>
      <c r="I28" s="90"/>
      <c r="J28" s="45">
        <f>IFERROR(VLOOKUP(F28,Tabela7[[RECURSO]:[CUSTO]],3,FALSE),0)</f>
        <v>0</v>
      </c>
      <c r="K28" s="45">
        <f t="shared" si="34"/>
        <v>0</v>
      </c>
      <c r="AD28" s="144" t="str">
        <f t="shared" si="3"/>
        <v>Capa - CBUQ</v>
      </c>
      <c r="AE28" s="179"/>
      <c r="AF28" s="180">
        <f t="shared" si="20"/>
        <v>0</v>
      </c>
      <c r="AG28" s="180">
        <f t="shared" si="17"/>
        <v>0</v>
      </c>
      <c r="AH28" s="181">
        <f t="shared" si="21"/>
        <v>0</v>
      </c>
      <c r="AI28" s="182"/>
      <c r="AJ28" s="90"/>
      <c r="AK28" s="90"/>
      <c r="AL28" s="183">
        <f t="shared" si="22"/>
        <v>0</v>
      </c>
      <c r="AM28" s="182"/>
      <c r="AN28" s="90"/>
      <c r="AO28" s="90"/>
      <c r="AP28" s="183">
        <f t="shared" si="23"/>
        <v>0</v>
      </c>
      <c r="AQ28" s="182"/>
      <c r="AR28" s="90"/>
      <c r="AS28" s="90"/>
      <c r="AT28" s="183">
        <f t="shared" si="24"/>
        <v>0</v>
      </c>
      <c r="AU28" s="182"/>
      <c r="AV28" s="90"/>
      <c r="AW28" s="90"/>
      <c r="AX28" s="183">
        <f t="shared" si="25"/>
        <v>0</v>
      </c>
      <c r="AY28" s="182"/>
      <c r="AZ28" s="90"/>
      <c r="BA28" s="90"/>
      <c r="BB28" s="183">
        <f t="shared" si="26"/>
        <v>0</v>
      </c>
      <c r="BC28" s="182"/>
      <c r="BD28" s="90"/>
      <c r="BE28" s="90"/>
      <c r="BF28" s="183">
        <f t="shared" si="27"/>
        <v>0</v>
      </c>
      <c r="BG28" s="182"/>
      <c r="BH28" s="90"/>
      <c r="BI28" s="90"/>
      <c r="BJ28" s="183">
        <f t="shared" si="28"/>
        <v>0</v>
      </c>
      <c r="BK28" s="182"/>
      <c r="BL28" s="90"/>
      <c r="BM28" s="90"/>
      <c r="BN28" s="183">
        <f t="shared" si="29"/>
        <v>0</v>
      </c>
      <c r="BO28" s="182"/>
      <c r="BP28" s="90"/>
      <c r="BQ28" s="90"/>
      <c r="BR28" s="183">
        <f t="shared" si="30"/>
        <v>0</v>
      </c>
      <c r="BS28" s="182"/>
      <c r="BT28" s="90"/>
      <c r="BU28" s="90"/>
      <c r="BV28" s="183">
        <f t="shared" si="31"/>
        <v>0</v>
      </c>
      <c r="BW28" s="182"/>
      <c r="BX28" s="90"/>
      <c r="BY28" s="90"/>
      <c r="BZ28" s="183">
        <f t="shared" si="32"/>
        <v>0</v>
      </c>
      <c r="CA28" s="182"/>
      <c r="CB28" s="90"/>
      <c r="CC28" s="90"/>
      <c r="CD28" s="183">
        <f t="shared" si="33"/>
        <v>0</v>
      </c>
    </row>
    <row r="29" spans="2:82" x14ac:dyDescent="0.3">
      <c r="B29" s="53"/>
      <c r="C29" s="53" t="str">
        <f t="shared" si="0"/>
        <v>CPU_CapaCBUQ</v>
      </c>
      <c r="D29" s="278">
        <f t="shared" si="1"/>
        <v>350</v>
      </c>
      <c r="E29" s="278">
        <f t="shared" si="2"/>
        <v>44200</v>
      </c>
      <c r="F29" s="1"/>
      <c r="G29" s="28" t="str">
        <f>IFERROR(VLOOKUP(F29,Tabela7[[RECURSO]:[CUSTO]],2,FALSE),"")</f>
        <v/>
      </c>
      <c r="H29" s="93"/>
      <c r="I29" s="90"/>
      <c r="J29" s="45">
        <f>IFERROR(VLOOKUP(F29,Tabela7[[RECURSO]:[CUSTO]],3,FALSE),0)</f>
        <v>0</v>
      </c>
      <c r="K29" s="45">
        <f t="shared" si="34"/>
        <v>0</v>
      </c>
      <c r="AD29" s="144" t="str">
        <f t="shared" si="3"/>
        <v>Capa - CBUQ</v>
      </c>
      <c r="AE29" s="179"/>
      <c r="AF29" s="180">
        <f t="shared" si="20"/>
        <v>0</v>
      </c>
      <c r="AG29" s="180">
        <f t="shared" si="17"/>
        <v>0</v>
      </c>
      <c r="AH29" s="181">
        <f t="shared" si="21"/>
        <v>0</v>
      </c>
      <c r="AI29" s="182"/>
      <c r="AJ29" s="90"/>
      <c r="AK29" s="90"/>
      <c r="AL29" s="183">
        <f t="shared" si="22"/>
        <v>0</v>
      </c>
      <c r="AM29" s="182"/>
      <c r="AN29" s="90"/>
      <c r="AO29" s="90"/>
      <c r="AP29" s="183">
        <f t="shared" si="23"/>
        <v>0</v>
      </c>
      <c r="AQ29" s="182"/>
      <c r="AR29" s="90"/>
      <c r="AS29" s="90"/>
      <c r="AT29" s="183">
        <f t="shared" si="24"/>
        <v>0</v>
      </c>
      <c r="AU29" s="182"/>
      <c r="AV29" s="90"/>
      <c r="AW29" s="90"/>
      <c r="AX29" s="183">
        <f t="shared" si="25"/>
        <v>0</v>
      </c>
      <c r="AY29" s="182"/>
      <c r="AZ29" s="90"/>
      <c r="BA29" s="90"/>
      <c r="BB29" s="183">
        <f t="shared" si="26"/>
        <v>0</v>
      </c>
      <c r="BC29" s="182"/>
      <c r="BD29" s="90"/>
      <c r="BE29" s="90"/>
      <c r="BF29" s="183">
        <f t="shared" si="27"/>
        <v>0</v>
      </c>
      <c r="BG29" s="182"/>
      <c r="BH29" s="90"/>
      <c r="BI29" s="90"/>
      <c r="BJ29" s="183">
        <f t="shared" si="28"/>
        <v>0</v>
      </c>
      <c r="BK29" s="182"/>
      <c r="BL29" s="90"/>
      <c r="BM29" s="90"/>
      <c r="BN29" s="183">
        <f t="shared" si="29"/>
        <v>0</v>
      </c>
      <c r="BO29" s="182"/>
      <c r="BP29" s="90"/>
      <c r="BQ29" s="90"/>
      <c r="BR29" s="183">
        <f t="shared" si="30"/>
        <v>0</v>
      </c>
      <c r="BS29" s="182"/>
      <c r="BT29" s="90"/>
      <c r="BU29" s="90"/>
      <c r="BV29" s="183">
        <f t="shared" si="31"/>
        <v>0</v>
      </c>
      <c r="BW29" s="182"/>
      <c r="BX29" s="90"/>
      <c r="BY29" s="90"/>
      <c r="BZ29" s="183">
        <f t="shared" si="32"/>
        <v>0</v>
      </c>
      <c r="CA29" s="182"/>
      <c r="CB29" s="90"/>
      <c r="CC29" s="90"/>
      <c r="CD29" s="183">
        <f t="shared" si="33"/>
        <v>0</v>
      </c>
    </row>
    <row r="30" spans="2:82" x14ac:dyDescent="0.3">
      <c r="B30" s="53"/>
      <c r="C30" s="53" t="str">
        <f t="shared" si="0"/>
        <v>CPU_CapaCBUQ</v>
      </c>
      <c r="D30" s="278">
        <f t="shared" si="1"/>
        <v>350</v>
      </c>
      <c r="E30" s="278">
        <f t="shared" si="2"/>
        <v>44200</v>
      </c>
      <c r="F30" s="1"/>
      <c r="G30" s="28" t="str">
        <f>IFERROR(VLOOKUP(F30,Tabela7[[RECURSO]:[CUSTO]],2,FALSE),"")</f>
        <v/>
      </c>
      <c r="H30" s="93"/>
      <c r="I30" s="90"/>
      <c r="J30" s="45">
        <f>IFERROR(VLOOKUP(F30,Tabela7[[RECURSO]:[CUSTO]],3,FALSE),0)</f>
        <v>0</v>
      </c>
      <c r="K30" s="45">
        <f t="shared" si="34"/>
        <v>0</v>
      </c>
      <c r="AD30" s="144" t="str">
        <f t="shared" si="3"/>
        <v>Capa - CBUQ</v>
      </c>
      <c r="AE30" s="179"/>
      <c r="AF30" s="180">
        <f t="shared" si="20"/>
        <v>0</v>
      </c>
      <c r="AG30" s="180">
        <f t="shared" si="17"/>
        <v>0</v>
      </c>
      <c r="AH30" s="181">
        <f t="shared" si="21"/>
        <v>0</v>
      </c>
      <c r="AI30" s="182"/>
      <c r="AJ30" s="90"/>
      <c r="AK30" s="90"/>
      <c r="AL30" s="183">
        <f t="shared" si="22"/>
        <v>0</v>
      </c>
      <c r="AM30" s="182"/>
      <c r="AN30" s="90"/>
      <c r="AO30" s="90"/>
      <c r="AP30" s="183">
        <f t="shared" si="23"/>
        <v>0</v>
      </c>
      <c r="AQ30" s="182"/>
      <c r="AR30" s="90"/>
      <c r="AS30" s="90"/>
      <c r="AT30" s="183">
        <f t="shared" si="24"/>
        <v>0</v>
      </c>
      <c r="AU30" s="182"/>
      <c r="AV30" s="90"/>
      <c r="AW30" s="90"/>
      <c r="AX30" s="183">
        <f t="shared" si="25"/>
        <v>0</v>
      </c>
      <c r="AY30" s="182"/>
      <c r="AZ30" s="90"/>
      <c r="BA30" s="90"/>
      <c r="BB30" s="183">
        <f t="shared" si="26"/>
        <v>0</v>
      </c>
      <c r="BC30" s="182"/>
      <c r="BD30" s="90"/>
      <c r="BE30" s="90"/>
      <c r="BF30" s="183">
        <f t="shared" si="27"/>
        <v>0</v>
      </c>
      <c r="BG30" s="182"/>
      <c r="BH30" s="90"/>
      <c r="BI30" s="90"/>
      <c r="BJ30" s="183">
        <f t="shared" si="28"/>
        <v>0</v>
      </c>
      <c r="BK30" s="182"/>
      <c r="BL30" s="90"/>
      <c r="BM30" s="90"/>
      <c r="BN30" s="183">
        <f t="shared" si="29"/>
        <v>0</v>
      </c>
      <c r="BO30" s="182"/>
      <c r="BP30" s="90"/>
      <c r="BQ30" s="90"/>
      <c r="BR30" s="183">
        <f t="shared" si="30"/>
        <v>0</v>
      </c>
      <c r="BS30" s="182"/>
      <c r="BT30" s="90"/>
      <c r="BU30" s="90"/>
      <c r="BV30" s="183">
        <f t="shared" si="31"/>
        <v>0</v>
      </c>
      <c r="BW30" s="182"/>
      <c r="BX30" s="90"/>
      <c r="BY30" s="90"/>
      <c r="BZ30" s="183">
        <f t="shared" si="32"/>
        <v>0</v>
      </c>
      <c r="CA30" s="182"/>
      <c r="CB30" s="90"/>
      <c r="CC30" s="90"/>
      <c r="CD30" s="183">
        <f t="shared" si="33"/>
        <v>0</v>
      </c>
    </row>
    <row r="31" spans="2:82" x14ac:dyDescent="0.3">
      <c r="B31" s="53"/>
      <c r="C31" s="53" t="str">
        <f t="shared" si="0"/>
        <v>CPU_CapaCBUQ</v>
      </c>
      <c r="D31" s="278">
        <f t="shared" si="1"/>
        <v>350</v>
      </c>
      <c r="E31" s="278">
        <f t="shared" si="2"/>
        <v>44200</v>
      </c>
      <c r="F31" s="1"/>
      <c r="G31" s="28" t="str">
        <f>IFERROR(VLOOKUP(F31,Tabela7[[RECURSO]:[CUSTO]],2,FALSE),"")</f>
        <v/>
      </c>
      <c r="H31" s="93"/>
      <c r="I31" s="90"/>
      <c r="J31" s="45">
        <f>IFERROR(VLOOKUP(F31,Tabela7[[RECURSO]:[CUSTO]],3,FALSE),0)</f>
        <v>0</v>
      </c>
      <c r="K31" s="45">
        <f t="shared" si="34"/>
        <v>0</v>
      </c>
      <c r="T31">
        <f>156*1.44</f>
        <v>224.64</v>
      </c>
      <c r="AD31" s="144" t="str">
        <f t="shared" si="3"/>
        <v>Capa - CBUQ</v>
      </c>
      <c r="AE31" s="179"/>
      <c r="AF31" s="180">
        <f t="shared" si="20"/>
        <v>0</v>
      </c>
      <c r="AG31" s="180">
        <f t="shared" si="17"/>
        <v>0</v>
      </c>
      <c r="AH31" s="181">
        <f t="shared" si="21"/>
        <v>0</v>
      </c>
      <c r="AI31" s="182"/>
      <c r="AJ31" s="90"/>
      <c r="AK31" s="90"/>
      <c r="AL31" s="183">
        <f t="shared" si="22"/>
        <v>0</v>
      </c>
      <c r="AM31" s="182"/>
      <c r="AN31" s="90"/>
      <c r="AO31" s="90"/>
      <c r="AP31" s="183">
        <f t="shared" si="23"/>
        <v>0</v>
      </c>
      <c r="AQ31" s="182"/>
      <c r="AR31" s="90"/>
      <c r="AS31" s="90"/>
      <c r="AT31" s="183">
        <f t="shared" si="24"/>
        <v>0</v>
      </c>
      <c r="AU31" s="182"/>
      <c r="AV31" s="90"/>
      <c r="AW31" s="90"/>
      <c r="AX31" s="183">
        <f t="shared" si="25"/>
        <v>0</v>
      </c>
      <c r="AY31" s="182"/>
      <c r="AZ31" s="90"/>
      <c r="BA31" s="90"/>
      <c r="BB31" s="183">
        <f t="shared" si="26"/>
        <v>0</v>
      </c>
      <c r="BC31" s="182"/>
      <c r="BD31" s="90"/>
      <c r="BE31" s="90"/>
      <c r="BF31" s="183">
        <f t="shared" si="27"/>
        <v>0</v>
      </c>
      <c r="BG31" s="182"/>
      <c r="BH31" s="90"/>
      <c r="BI31" s="90"/>
      <c r="BJ31" s="183">
        <f t="shared" si="28"/>
        <v>0</v>
      </c>
      <c r="BK31" s="182"/>
      <c r="BL31" s="90"/>
      <c r="BM31" s="90"/>
      <c r="BN31" s="183">
        <f t="shared" si="29"/>
        <v>0</v>
      </c>
      <c r="BO31" s="182"/>
      <c r="BP31" s="90"/>
      <c r="BQ31" s="90"/>
      <c r="BR31" s="183">
        <f t="shared" si="30"/>
        <v>0</v>
      </c>
      <c r="BS31" s="182"/>
      <c r="BT31" s="90"/>
      <c r="BU31" s="90"/>
      <c r="BV31" s="183">
        <f t="shared" si="31"/>
        <v>0</v>
      </c>
      <c r="BW31" s="182"/>
      <c r="BX31" s="90"/>
      <c r="BY31" s="90"/>
      <c r="BZ31" s="183">
        <f t="shared" si="32"/>
        <v>0</v>
      </c>
      <c r="CA31" s="182"/>
      <c r="CB31" s="90"/>
      <c r="CC31" s="90"/>
      <c r="CD31" s="183">
        <f t="shared" si="33"/>
        <v>0</v>
      </c>
    </row>
    <row r="32" spans="2:82" x14ac:dyDescent="0.3">
      <c r="B32" s="53"/>
      <c r="C32" s="53" t="str">
        <f t="shared" si="0"/>
        <v>CPU_CapaCBUQ</v>
      </c>
      <c r="D32" s="278">
        <f t="shared" si="1"/>
        <v>350</v>
      </c>
      <c r="E32" s="278">
        <f t="shared" si="2"/>
        <v>44200</v>
      </c>
      <c r="F32" s="1"/>
      <c r="G32" s="28" t="str">
        <f>IFERROR(VLOOKUP(F32,Tabela7[[RECURSO]:[CUSTO]],2,FALSE),"")</f>
        <v/>
      </c>
      <c r="H32" s="93"/>
      <c r="I32" s="90"/>
      <c r="J32" s="45">
        <f>IFERROR(VLOOKUP(F32,Tabela7[[RECURSO]:[CUSTO]],3,FALSE),0)</f>
        <v>0</v>
      </c>
      <c r="K32" s="45">
        <f t="shared" si="34"/>
        <v>0</v>
      </c>
      <c r="AD32" s="144" t="str">
        <f t="shared" si="3"/>
        <v>Capa - CBUQ</v>
      </c>
      <c r="AE32" s="179"/>
      <c r="AF32" s="180">
        <f t="shared" si="20"/>
        <v>0</v>
      </c>
      <c r="AG32" s="180">
        <f t="shared" si="17"/>
        <v>0</v>
      </c>
      <c r="AH32" s="181">
        <f t="shared" si="21"/>
        <v>0</v>
      </c>
      <c r="AI32" s="182"/>
      <c r="AJ32" s="90"/>
      <c r="AK32" s="90"/>
      <c r="AL32" s="183">
        <f t="shared" si="22"/>
        <v>0</v>
      </c>
      <c r="AM32" s="182"/>
      <c r="AN32" s="90"/>
      <c r="AO32" s="90"/>
      <c r="AP32" s="183">
        <f t="shared" si="23"/>
        <v>0</v>
      </c>
      <c r="AQ32" s="182"/>
      <c r="AR32" s="90"/>
      <c r="AS32" s="90"/>
      <c r="AT32" s="183">
        <f t="shared" si="24"/>
        <v>0</v>
      </c>
      <c r="AU32" s="182"/>
      <c r="AV32" s="90"/>
      <c r="AW32" s="90"/>
      <c r="AX32" s="183">
        <f t="shared" si="25"/>
        <v>0</v>
      </c>
      <c r="AY32" s="182"/>
      <c r="AZ32" s="90"/>
      <c r="BA32" s="90"/>
      <c r="BB32" s="183">
        <f t="shared" si="26"/>
        <v>0</v>
      </c>
      <c r="BC32" s="182"/>
      <c r="BD32" s="90"/>
      <c r="BE32" s="90"/>
      <c r="BF32" s="183">
        <f t="shared" si="27"/>
        <v>0</v>
      </c>
      <c r="BG32" s="182"/>
      <c r="BH32" s="90"/>
      <c r="BI32" s="90"/>
      <c r="BJ32" s="183">
        <f t="shared" si="28"/>
        <v>0</v>
      </c>
      <c r="BK32" s="182"/>
      <c r="BL32" s="90"/>
      <c r="BM32" s="90"/>
      <c r="BN32" s="183">
        <f t="shared" si="29"/>
        <v>0</v>
      </c>
      <c r="BO32" s="182"/>
      <c r="BP32" s="90"/>
      <c r="BQ32" s="90"/>
      <c r="BR32" s="183">
        <f t="shared" si="30"/>
        <v>0</v>
      </c>
      <c r="BS32" s="182"/>
      <c r="BT32" s="90"/>
      <c r="BU32" s="90"/>
      <c r="BV32" s="183">
        <f t="shared" si="31"/>
        <v>0</v>
      </c>
      <c r="BW32" s="182"/>
      <c r="BX32" s="90"/>
      <c r="BY32" s="90"/>
      <c r="BZ32" s="183">
        <f t="shared" si="32"/>
        <v>0</v>
      </c>
      <c r="CA32" s="182"/>
      <c r="CB32" s="90"/>
      <c r="CC32" s="90"/>
      <c r="CD32" s="183">
        <f t="shared" si="33"/>
        <v>0</v>
      </c>
    </row>
    <row r="33" spans="2:82" x14ac:dyDescent="0.3">
      <c r="B33" s="53"/>
      <c r="C33" s="53" t="str">
        <f t="shared" si="0"/>
        <v>CPU_CapaCBUQ</v>
      </c>
      <c r="D33" s="278">
        <f t="shared" si="1"/>
        <v>350</v>
      </c>
      <c r="E33" s="278">
        <f t="shared" si="2"/>
        <v>44200</v>
      </c>
      <c r="F33" s="1"/>
      <c r="G33" s="28" t="str">
        <f>IFERROR(VLOOKUP(F33,Tabela7[[RECURSO]:[CUSTO]],2,FALSE),"")</f>
        <v/>
      </c>
      <c r="H33" s="93"/>
      <c r="I33" s="90"/>
      <c r="J33" s="45">
        <f>IFERROR(VLOOKUP(F33,Tabela7[[RECURSO]:[CUSTO]],3,FALSE),0)</f>
        <v>0</v>
      </c>
      <c r="K33" s="45">
        <f t="shared" si="34"/>
        <v>0</v>
      </c>
      <c r="AD33" s="144" t="str">
        <f t="shared" si="3"/>
        <v>Capa - CBUQ</v>
      </c>
      <c r="AE33" s="179"/>
      <c r="AF33" s="180">
        <f t="shared" si="20"/>
        <v>0</v>
      </c>
      <c r="AG33" s="180">
        <f t="shared" si="17"/>
        <v>0</v>
      </c>
      <c r="AH33" s="181">
        <f t="shared" si="21"/>
        <v>0</v>
      </c>
      <c r="AI33" s="182"/>
      <c r="AJ33" s="90"/>
      <c r="AK33" s="90"/>
      <c r="AL33" s="183">
        <f t="shared" si="22"/>
        <v>0</v>
      </c>
      <c r="AM33" s="182"/>
      <c r="AN33" s="90"/>
      <c r="AO33" s="90"/>
      <c r="AP33" s="183">
        <f t="shared" si="23"/>
        <v>0</v>
      </c>
      <c r="AQ33" s="182"/>
      <c r="AR33" s="90"/>
      <c r="AS33" s="90"/>
      <c r="AT33" s="183">
        <f t="shared" si="24"/>
        <v>0</v>
      </c>
      <c r="AU33" s="182"/>
      <c r="AV33" s="90"/>
      <c r="AW33" s="90"/>
      <c r="AX33" s="183">
        <f t="shared" si="25"/>
        <v>0</v>
      </c>
      <c r="AY33" s="182"/>
      <c r="AZ33" s="90"/>
      <c r="BA33" s="90"/>
      <c r="BB33" s="183">
        <f t="shared" si="26"/>
        <v>0</v>
      </c>
      <c r="BC33" s="182"/>
      <c r="BD33" s="90"/>
      <c r="BE33" s="90"/>
      <c r="BF33" s="183">
        <f t="shared" si="27"/>
        <v>0</v>
      </c>
      <c r="BG33" s="182"/>
      <c r="BH33" s="90"/>
      <c r="BI33" s="90"/>
      <c r="BJ33" s="183">
        <f t="shared" si="28"/>
        <v>0</v>
      </c>
      <c r="BK33" s="182"/>
      <c r="BL33" s="90"/>
      <c r="BM33" s="90"/>
      <c r="BN33" s="183">
        <f t="shared" si="29"/>
        <v>0</v>
      </c>
      <c r="BO33" s="182"/>
      <c r="BP33" s="90"/>
      <c r="BQ33" s="90"/>
      <c r="BR33" s="183">
        <f t="shared" si="30"/>
        <v>0</v>
      </c>
      <c r="BS33" s="182"/>
      <c r="BT33" s="90"/>
      <c r="BU33" s="90"/>
      <c r="BV33" s="183">
        <f t="shared" si="31"/>
        <v>0</v>
      </c>
      <c r="BW33" s="182"/>
      <c r="BX33" s="90"/>
      <c r="BY33" s="90"/>
      <c r="BZ33" s="183">
        <f t="shared" si="32"/>
        <v>0</v>
      </c>
      <c r="CA33" s="182"/>
      <c r="CB33" s="90"/>
      <c r="CC33" s="90"/>
      <c r="CD33" s="183">
        <f t="shared" si="33"/>
        <v>0</v>
      </c>
    </row>
    <row r="34" spans="2:82" x14ac:dyDescent="0.3">
      <c r="B34" s="53"/>
      <c r="C34" s="53" t="str">
        <f t="shared" si="0"/>
        <v>CPU_CapaCBUQ</v>
      </c>
      <c r="D34" s="278">
        <f t="shared" si="1"/>
        <v>350</v>
      </c>
      <c r="E34" s="278">
        <f t="shared" si="2"/>
        <v>44200</v>
      </c>
      <c r="F34" s="1"/>
      <c r="G34" s="28" t="str">
        <f>IFERROR(VLOOKUP(F34,Tabela7[[RECURSO]:[CUSTO]],2,FALSE),"")</f>
        <v/>
      </c>
      <c r="H34" s="93"/>
      <c r="I34" s="90"/>
      <c r="J34" s="45">
        <f>IFERROR(VLOOKUP(F34,Tabela7[[RECURSO]:[CUSTO]],3,FALSE),0)</f>
        <v>0</v>
      </c>
      <c r="K34" s="45">
        <f t="shared" si="34"/>
        <v>0</v>
      </c>
      <c r="AD34" s="144" t="str">
        <f t="shared" si="3"/>
        <v>Capa - CBUQ</v>
      </c>
      <c r="AE34" s="179"/>
      <c r="AF34" s="180">
        <f t="shared" si="20"/>
        <v>0</v>
      </c>
      <c r="AG34" s="180">
        <f t="shared" si="17"/>
        <v>0</v>
      </c>
      <c r="AH34" s="181">
        <f t="shared" si="21"/>
        <v>0</v>
      </c>
      <c r="AI34" s="182"/>
      <c r="AJ34" s="90"/>
      <c r="AK34" s="90"/>
      <c r="AL34" s="183">
        <f t="shared" si="22"/>
        <v>0</v>
      </c>
      <c r="AM34" s="182"/>
      <c r="AN34" s="90"/>
      <c r="AO34" s="90"/>
      <c r="AP34" s="183">
        <f t="shared" si="23"/>
        <v>0</v>
      </c>
      <c r="AQ34" s="182"/>
      <c r="AR34" s="90"/>
      <c r="AS34" s="90"/>
      <c r="AT34" s="183">
        <f t="shared" si="24"/>
        <v>0</v>
      </c>
      <c r="AU34" s="182"/>
      <c r="AV34" s="90"/>
      <c r="AW34" s="90"/>
      <c r="AX34" s="183">
        <f t="shared" si="25"/>
        <v>0</v>
      </c>
      <c r="AY34" s="182"/>
      <c r="AZ34" s="90"/>
      <c r="BA34" s="90"/>
      <c r="BB34" s="183">
        <f t="shared" si="26"/>
        <v>0</v>
      </c>
      <c r="BC34" s="182"/>
      <c r="BD34" s="90"/>
      <c r="BE34" s="90"/>
      <c r="BF34" s="183">
        <f t="shared" si="27"/>
        <v>0</v>
      </c>
      <c r="BG34" s="182"/>
      <c r="BH34" s="90"/>
      <c r="BI34" s="90"/>
      <c r="BJ34" s="183">
        <f t="shared" si="28"/>
        <v>0</v>
      </c>
      <c r="BK34" s="182"/>
      <c r="BL34" s="90"/>
      <c r="BM34" s="90"/>
      <c r="BN34" s="183">
        <f t="shared" si="29"/>
        <v>0</v>
      </c>
      <c r="BO34" s="182"/>
      <c r="BP34" s="90"/>
      <c r="BQ34" s="90"/>
      <c r="BR34" s="183">
        <f t="shared" si="30"/>
        <v>0</v>
      </c>
      <c r="BS34" s="182"/>
      <c r="BT34" s="90"/>
      <c r="BU34" s="90"/>
      <c r="BV34" s="183">
        <f t="shared" si="31"/>
        <v>0</v>
      </c>
      <c r="BW34" s="182"/>
      <c r="BX34" s="90"/>
      <c r="BY34" s="90"/>
      <c r="BZ34" s="183">
        <f t="shared" si="32"/>
        <v>0</v>
      </c>
      <c r="CA34" s="182"/>
      <c r="CB34" s="90"/>
      <c r="CC34" s="90"/>
      <c r="CD34" s="183">
        <f t="shared" si="33"/>
        <v>0</v>
      </c>
    </row>
    <row r="35" spans="2:82" x14ac:dyDescent="0.3">
      <c r="B35" s="53"/>
      <c r="C35" s="53" t="str">
        <f t="shared" si="0"/>
        <v>CPU_CapaCBUQ</v>
      </c>
      <c r="D35" s="278">
        <f t="shared" si="1"/>
        <v>350</v>
      </c>
      <c r="E35" s="278">
        <f t="shared" si="2"/>
        <v>44200</v>
      </c>
      <c r="F35" s="1"/>
      <c r="G35" s="28" t="str">
        <f>IFERROR(VLOOKUP(F35,Tabela7[[RECURSO]:[CUSTO]],2,FALSE),"")</f>
        <v/>
      </c>
      <c r="H35" s="93"/>
      <c r="I35" s="90"/>
      <c r="J35" s="45">
        <f>IFERROR(VLOOKUP(F35,Tabela7[[RECURSO]:[CUSTO]],3,FALSE),0)</f>
        <v>0</v>
      </c>
      <c r="K35" s="45">
        <f t="shared" si="34"/>
        <v>0</v>
      </c>
      <c r="AD35" s="144" t="str">
        <f t="shared" si="3"/>
        <v>Capa - CBUQ</v>
      </c>
      <c r="AE35" s="179"/>
      <c r="AF35" s="180">
        <f t="shared" si="20"/>
        <v>0</v>
      </c>
      <c r="AG35" s="180">
        <f t="shared" si="17"/>
        <v>0</v>
      </c>
      <c r="AH35" s="181">
        <f t="shared" si="21"/>
        <v>0</v>
      </c>
      <c r="AI35" s="182"/>
      <c r="AJ35" s="90"/>
      <c r="AK35" s="90"/>
      <c r="AL35" s="183">
        <f t="shared" si="22"/>
        <v>0</v>
      </c>
      <c r="AM35" s="182"/>
      <c r="AN35" s="90"/>
      <c r="AO35" s="90"/>
      <c r="AP35" s="183">
        <f t="shared" si="23"/>
        <v>0</v>
      </c>
      <c r="AQ35" s="182"/>
      <c r="AR35" s="90"/>
      <c r="AS35" s="90"/>
      <c r="AT35" s="183">
        <f t="shared" si="24"/>
        <v>0</v>
      </c>
      <c r="AU35" s="182"/>
      <c r="AV35" s="90"/>
      <c r="AW35" s="90"/>
      <c r="AX35" s="183">
        <f t="shared" si="25"/>
        <v>0</v>
      </c>
      <c r="AY35" s="182"/>
      <c r="AZ35" s="90"/>
      <c r="BA35" s="90"/>
      <c r="BB35" s="183">
        <f t="shared" si="26"/>
        <v>0</v>
      </c>
      <c r="BC35" s="182"/>
      <c r="BD35" s="90"/>
      <c r="BE35" s="90"/>
      <c r="BF35" s="183">
        <f t="shared" si="27"/>
        <v>0</v>
      </c>
      <c r="BG35" s="182"/>
      <c r="BH35" s="90"/>
      <c r="BI35" s="90"/>
      <c r="BJ35" s="183">
        <f t="shared" si="28"/>
        <v>0</v>
      </c>
      <c r="BK35" s="182"/>
      <c r="BL35" s="90"/>
      <c r="BM35" s="90"/>
      <c r="BN35" s="183">
        <f t="shared" si="29"/>
        <v>0</v>
      </c>
      <c r="BO35" s="182"/>
      <c r="BP35" s="90"/>
      <c r="BQ35" s="90"/>
      <c r="BR35" s="183">
        <f t="shared" si="30"/>
        <v>0</v>
      </c>
      <c r="BS35" s="182"/>
      <c r="BT35" s="90"/>
      <c r="BU35" s="90"/>
      <c r="BV35" s="183">
        <f t="shared" si="31"/>
        <v>0</v>
      </c>
      <c r="BW35" s="182"/>
      <c r="BX35" s="90"/>
      <c r="BY35" s="90"/>
      <c r="BZ35" s="183">
        <f t="shared" si="32"/>
        <v>0</v>
      </c>
      <c r="CA35" s="182"/>
      <c r="CB35" s="90"/>
      <c r="CC35" s="90"/>
      <c r="CD35" s="183">
        <f t="shared" si="33"/>
        <v>0</v>
      </c>
    </row>
    <row r="36" spans="2:82" x14ac:dyDescent="0.3">
      <c r="B36" s="53"/>
      <c r="C36" s="53" t="str">
        <f t="shared" si="0"/>
        <v>CPU_CapaCBUQ</v>
      </c>
      <c r="D36" s="278">
        <f t="shared" si="1"/>
        <v>350</v>
      </c>
      <c r="E36" s="278">
        <f t="shared" si="2"/>
        <v>44200</v>
      </c>
      <c r="F36" s="1"/>
      <c r="G36" s="28" t="str">
        <f>IFERROR(VLOOKUP(F36,Tabela7[[RECURSO]:[CUSTO]],2,FALSE),"")</f>
        <v/>
      </c>
      <c r="H36" s="93"/>
      <c r="I36" s="90"/>
      <c r="J36" s="45">
        <f>IFERROR(VLOOKUP(F36,Tabela7[[RECURSO]:[CUSTO]],3,FALSE),0)</f>
        <v>0</v>
      </c>
      <c r="K36" s="45">
        <f t="shared" si="34"/>
        <v>0</v>
      </c>
      <c r="AD36" s="144" t="str">
        <f t="shared" si="3"/>
        <v>Capa - CBUQ</v>
      </c>
      <c r="AE36" s="179"/>
      <c r="AF36" s="180">
        <f t="shared" si="20"/>
        <v>0</v>
      </c>
      <c r="AG36" s="180">
        <f t="shared" si="17"/>
        <v>0</v>
      </c>
      <c r="AH36" s="181">
        <f t="shared" si="21"/>
        <v>0</v>
      </c>
      <c r="AI36" s="182"/>
      <c r="AJ36" s="90"/>
      <c r="AK36" s="90"/>
      <c r="AL36" s="183">
        <f t="shared" si="22"/>
        <v>0</v>
      </c>
      <c r="AM36" s="182"/>
      <c r="AN36" s="90"/>
      <c r="AO36" s="90"/>
      <c r="AP36" s="183">
        <f t="shared" si="23"/>
        <v>0</v>
      </c>
      <c r="AQ36" s="182"/>
      <c r="AR36" s="90"/>
      <c r="AS36" s="90"/>
      <c r="AT36" s="183">
        <f t="shared" si="24"/>
        <v>0</v>
      </c>
      <c r="AU36" s="182"/>
      <c r="AV36" s="90"/>
      <c r="AW36" s="90"/>
      <c r="AX36" s="183">
        <f t="shared" si="25"/>
        <v>0</v>
      </c>
      <c r="AY36" s="182"/>
      <c r="AZ36" s="90"/>
      <c r="BA36" s="90"/>
      <c r="BB36" s="183">
        <f t="shared" si="26"/>
        <v>0</v>
      </c>
      <c r="BC36" s="182"/>
      <c r="BD36" s="90"/>
      <c r="BE36" s="90"/>
      <c r="BF36" s="183">
        <f t="shared" si="27"/>
        <v>0</v>
      </c>
      <c r="BG36" s="182"/>
      <c r="BH36" s="90"/>
      <c r="BI36" s="90"/>
      <c r="BJ36" s="183">
        <f t="shared" si="28"/>
        <v>0</v>
      </c>
      <c r="BK36" s="182"/>
      <c r="BL36" s="90"/>
      <c r="BM36" s="90"/>
      <c r="BN36" s="183">
        <f t="shared" si="29"/>
        <v>0</v>
      </c>
      <c r="BO36" s="182"/>
      <c r="BP36" s="90"/>
      <c r="BQ36" s="90"/>
      <c r="BR36" s="183">
        <f t="shared" si="30"/>
        <v>0</v>
      </c>
      <c r="BS36" s="182"/>
      <c r="BT36" s="90"/>
      <c r="BU36" s="90"/>
      <c r="BV36" s="183">
        <f t="shared" si="31"/>
        <v>0</v>
      </c>
      <c r="BW36" s="182"/>
      <c r="BX36" s="90"/>
      <c r="BY36" s="90"/>
      <c r="BZ36" s="183">
        <f t="shared" si="32"/>
        <v>0</v>
      </c>
      <c r="CA36" s="182"/>
      <c r="CB36" s="90"/>
      <c r="CC36" s="90"/>
      <c r="CD36" s="183">
        <f t="shared" si="33"/>
        <v>0</v>
      </c>
    </row>
    <row r="37" spans="2:82" x14ac:dyDescent="0.3">
      <c r="B37" s="52" t="s">
        <v>692</v>
      </c>
      <c r="C37" s="52" t="str">
        <f t="shared" si="0"/>
        <v>CPU_CapaCBUQ</v>
      </c>
      <c r="D37" s="277">
        <f t="shared" si="1"/>
        <v>350</v>
      </c>
      <c r="E37" s="277">
        <f t="shared" si="2"/>
        <v>44200</v>
      </c>
      <c r="F37" s="37"/>
      <c r="G37" s="38"/>
      <c r="H37" s="91"/>
      <c r="I37" s="40"/>
      <c r="J37" s="40">
        <f>IFERROR(K37/$B$6,0)</f>
        <v>15.635081365583025</v>
      </c>
      <c r="K37" s="40">
        <f>SUM(K38:K49)</f>
        <v>5472.2784779540589</v>
      </c>
      <c r="N37" s="39"/>
      <c r="AD37" s="144" t="str">
        <f t="shared" si="3"/>
        <v>Capa - CBUQ</v>
      </c>
      <c r="AE37" s="184"/>
      <c r="AF37" s="40"/>
      <c r="AG37" s="40">
        <f>IFERROR(AH37/AF$3,0)</f>
        <v>0</v>
      </c>
      <c r="AH37" s="185">
        <f>SUM(AH38:AH49)</f>
        <v>0</v>
      </c>
      <c r="AI37" s="184"/>
      <c r="AJ37" s="40"/>
      <c r="AK37" s="40">
        <f>IFERROR(AL37/AJ$3,0)</f>
        <v>0</v>
      </c>
      <c r="AL37" s="185">
        <f>SUM(AL38:AL49)</f>
        <v>0</v>
      </c>
      <c r="AM37" s="184"/>
      <c r="AN37" s="40"/>
      <c r="AO37" s="40">
        <f>IFERROR(AP37/AN$3,0)</f>
        <v>0</v>
      </c>
      <c r="AP37" s="185">
        <f>SUM(AP38:AP49)</f>
        <v>0</v>
      </c>
      <c r="AQ37" s="184"/>
      <c r="AR37" s="40"/>
      <c r="AS37" s="40">
        <f>IFERROR(AT37/AR$3,0)</f>
        <v>0</v>
      </c>
      <c r="AT37" s="185">
        <f>SUM(AT38:AT49)</f>
        <v>0</v>
      </c>
      <c r="AU37" s="184"/>
      <c r="AV37" s="40"/>
      <c r="AW37" s="40">
        <f>IFERROR(AX37/AV$3,0)</f>
        <v>0</v>
      </c>
      <c r="AX37" s="185">
        <f>SUM(AX38:AX49)</f>
        <v>0</v>
      </c>
      <c r="AY37" s="184"/>
      <c r="AZ37" s="40"/>
      <c r="BA37" s="40">
        <f>IFERROR(BB37/AZ$3,0)</f>
        <v>0</v>
      </c>
      <c r="BB37" s="185">
        <f>SUM(BB38:BB49)</f>
        <v>0</v>
      </c>
      <c r="BC37" s="184"/>
      <c r="BD37" s="40"/>
      <c r="BE37" s="40">
        <f>IFERROR(BF37/BD$3,0)</f>
        <v>0</v>
      </c>
      <c r="BF37" s="185">
        <f>SUM(BF38:BF49)</f>
        <v>0</v>
      </c>
      <c r="BG37" s="184"/>
      <c r="BH37" s="40"/>
      <c r="BI37" s="40">
        <f>IFERROR(BJ37/BH$3,0)</f>
        <v>0</v>
      </c>
      <c r="BJ37" s="185">
        <f>SUM(BJ38:BJ49)</f>
        <v>0</v>
      </c>
      <c r="BK37" s="184"/>
      <c r="BL37" s="40"/>
      <c r="BM37" s="40">
        <f>IFERROR(BN37/BL$3,0)</f>
        <v>0</v>
      </c>
      <c r="BN37" s="185">
        <f>SUM(BN38:BN49)</f>
        <v>0</v>
      </c>
      <c r="BO37" s="184"/>
      <c r="BP37" s="40"/>
      <c r="BQ37" s="40">
        <f>IFERROR(BR37/BP$3,0)</f>
        <v>0</v>
      </c>
      <c r="BR37" s="185">
        <f>SUM(BR38:BR49)</f>
        <v>0</v>
      </c>
      <c r="BS37" s="184"/>
      <c r="BT37" s="40"/>
      <c r="BU37" s="40">
        <f>IFERROR(BV37/BT$3,0)</f>
        <v>0</v>
      </c>
      <c r="BV37" s="185">
        <f>SUM(BV38:BV49)</f>
        <v>0</v>
      </c>
      <c r="BW37" s="184"/>
      <c r="BX37" s="40"/>
      <c r="BY37" s="40">
        <f>IFERROR(BZ37/BX$3,0)</f>
        <v>0</v>
      </c>
      <c r="BZ37" s="185">
        <f>SUM(BZ38:BZ49)</f>
        <v>0</v>
      </c>
      <c r="CA37" s="184"/>
      <c r="CB37" s="40"/>
      <c r="CC37" s="40">
        <f>IFERROR(CD37/CB$3,0)</f>
        <v>0</v>
      </c>
      <c r="CD37" s="185">
        <f>SUM(CD38:CD49)</f>
        <v>0</v>
      </c>
    </row>
    <row r="38" spans="2:82" x14ac:dyDescent="0.3">
      <c r="B38" s="54"/>
      <c r="C38" s="54" t="str">
        <f t="shared" si="0"/>
        <v>CPU_CapaCBUQ</v>
      </c>
      <c r="D38" s="280">
        <f t="shared" si="1"/>
        <v>350</v>
      </c>
      <c r="E38" s="280">
        <f t="shared" si="2"/>
        <v>44200</v>
      </c>
      <c r="F38" s="1" t="s">
        <v>882</v>
      </c>
      <c r="G38" s="28" t="str">
        <f>IFERROR(VLOOKUP(F38,Tabela7[[RECURSO]:[CUSTO]],2,FALSE),"")</f>
        <v>H</v>
      </c>
      <c r="H38" s="92">
        <f>H12</f>
        <v>1</v>
      </c>
      <c r="I38" s="90">
        <v>10</v>
      </c>
      <c r="J38" s="45">
        <f>IFERROR(VLOOKUP(F38,Tabela7[[RECURSO]:[CUSTO]],3,FALSE),0)</f>
        <v>40.846875705664786</v>
      </c>
      <c r="K38" s="45">
        <f>I38*J38*CPU_14[[#This Row],[Nº]]</f>
        <v>408.46875705664786</v>
      </c>
      <c r="AD38" s="144" t="str">
        <f t="shared" si="3"/>
        <v>Capa - CBUQ</v>
      </c>
      <c r="AE38" s="186"/>
      <c r="AF38" s="180">
        <f t="shared" ref="AF38:AF49" si="35">AJ38+AN38+AR38+AV38+AZ38+BD38+BH38+BL38+BP38+BT38+BX38+CB38</f>
        <v>0</v>
      </c>
      <c r="AG38" s="180">
        <f t="shared" si="17"/>
        <v>0</v>
      </c>
      <c r="AH38" s="181">
        <f t="shared" ref="AH38:AH49" si="36">AL38+AP38+AT38+AX38+BB38+BF38+BJ38+BN38+BR38+BV38+BZ38+CD38</f>
        <v>0</v>
      </c>
      <c r="AI38" s="187"/>
      <c r="AJ38" s="90"/>
      <c r="AK38" s="90"/>
      <c r="AL38" s="183">
        <f t="shared" ref="AL38:AL49" si="37">AJ38*AK38</f>
        <v>0</v>
      </c>
      <c r="AM38" s="187"/>
      <c r="AN38" s="90"/>
      <c r="AO38" s="90"/>
      <c r="AP38" s="183">
        <f t="shared" si="23"/>
        <v>0</v>
      </c>
      <c r="AQ38" s="187"/>
      <c r="AR38" s="90"/>
      <c r="AS38" s="90"/>
      <c r="AT38" s="183">
        <f t="shared" si="24"/>
        <v>0</v>
      </c>
      <c r="AU38" s="187"/>
      <c r="AV38" s="90"/>
      <c r="AW38" s="90"/>
      <c r="AX38" s="183">
        <f t="shared" si="25"/>
        <v>0</v>
      </c>
      <c r="AY38" s="187"/>
      <c r="AZ38" s="90"/>
      <c r="BA38" s="90"/>
      <c r="BB38" s="183">
        <f t="shared" si="26"/>
        <v>0</v>
      </c>
      <c r="BC38" s="187"/>
      <c r="BD38" s="90"/>
      <c r="BE38" s="90"/>
      <c r="BF38" s="183">
        <f t="shared" si="27"/>
        <v>0</v>
      </c>
      <c r="BG38" s="187"/>
      <c r="BH38" s="90"/>
      <c r="BI38" s="90"/>
      <c r="BJ38" s="183">
        <f t="shared" si="28"/>
        <v>0</v>
      </c>
      <c r="BK38" s="187"/>
      <c r="BL38" s="90"/>
      <c r="BM38" s="90"/>
      <c r="BN38" s="183">
        <f t="shared" si="29"/>
        <v>0</v>
      </c>
      <c r="BO38" s="187"/>
      <c r="BP38" s="90"/>
      <c r="BQ38" s="90"/>
      <c r="BR38" s="183">
        <f t="shared" si="30"/>
        <v>0</v>
      </c>
      <c r="BS38" s="187"/>
      <c r="BT38" s="90"/>
      <c r="BU38" s="90"/>
      <c r="BV38" s="183">
        <f t="shared" si="31"/>
        <v>0</v>
      </c>
      <c r="BW38" s="187"/>
      <c r="BX38" s="90"/>
      <c r="BY38" s="90"/>
      <c r="BZ38" s="183">
        <f t="shared" si="32"/>
        <v>0</v>
      </c>
      <c r="CA38" s="187"/>
      <c r="CB38" s="90"/>
      <c r="CC38" s="90"/>
      <c r="CD38" s="183">
        <f t="shared" si="33"/>
        <v>0</v>
      </c>
    </row>
    <row r="39" spans="2:82" x14ac:dyDescent="0.3">
      <c r="B39" s="54"/>
      <c r="C39" s="54" t="str">
        <f t="shared" si="0"/>
        <v>CPU_CapaCBUQ</v>
      </c>
      <c r="D39" s="280">
        <f t="shared" si="1"/>
        <v>350</v>
      </c>
      <c r="E39" s="280">
        <f t="shared" si="2"/>
        <v>44200</v>
      </c>
      <c r="F39" s="1" t="s">
        <v>834</v>
      </c>
      <c r="G39" s="28" t="str">
        <f>IFERROR(VLOOKUP(F39,Tabela7[[RECURSO]:[CUSTO]],2,FALSE),"")</f>
        <v>H</v>
      </c>
      <c r="H39" s="92">
        <f>H38</f>
        <v>1</v>
      </c>
      <c r="I39" s="90">
        <v>10</v>
      </c>
      <c r="J39" s="45">
        <f>IFERROR(VLOOKUP(F39,Tabela7[[RECURSO]:[CUSTO]],3,FALSE),0)</f>
        <v>56.927258905976259</v>
      </c>
      <c r="K39" s="45">
        <f>I39*J39*CPU_14[[#This Row],[Nº]]</f>
        <v>569.27258905976259</v>
      </c>
      <c r="AD39" s="144" t="str">
        <f t="shared" si="3"/>
        <v>Capa - CBUQ</v>
      </c>
      <c r="AE39" s="186"/>
      <c r="AF39" s="180">
        <f t="shared" si="35"/>
        <v>0</v>
      </c>
      <c r="AG39" s="180">
        <f t="shared" si="17"/>
        <v>0</v>
      </c>
      <c r="AH39" s="181">
        <f t="shared" si="36"/>
        <v>0</v>
      </c>
      <c r="AI39" s="187"/>
      <c r="AJ39" s="90"/>
      <c r="AK39" s="90"/>
      <c r="AL39" s="183">
        <f t="shared" si="37"/>
        <v>0</v>
      </c>
      <c r="AM39" s="187"/>
      <c r="AN39" s="90"/>
      <c r="AO39" s="90"/>
      <c r="AP39" s="183">
        <f t="shared" si="23"/>
        <v>0</v>
      </c>
      <c r="AQ39" s="187"/>
      <c r="AR39" s="90"/>
      <c r="AS39" s="90"/>
      <c r="AT39" s="183">
        <f t="shared" si="24"/>
        <v>0</v>
      </c>
      <c r="AU39" s="187"/>
      <c r="AV39" s="90"/>
      <c r="AW39" s="90"/>
      <c r="AX39" s="183">
        <f t="shared" si="25"/>
        <v>0</v>
      </c>
      <c r="AY39" s="187"/>
      <c r="AZ39" s="90"/>
      <c r="BA39" s="90"/>
      <c r="BB39" s="183">
        <f t="shared" si="26"/>
        <v>0</v>
      </c>
      <c r="BC39" s="187"/>
      <c r="BD39" s="90"/>
      <c r="BE39" s="90"/>
      <c r="BF39" s="183">
        <f t="shared" si="27"/>
        <v>0</v>
      </c>
      <c r="BG39" s="187"/>
      <c r="BH39" s="90"/>
      <c r="BI39" s="90"/>
      <c r="BJ39" s="183">
        <f t="shared" si="28"/>
        <v>0</v>
      </c>
      <c r="BK39" s="187"/>
      <c r="BL39" s="90"/>
      <c r="BM39" s="90"/>
      <c r="BN39" s="183">
        <f t="shared" si="29"/>
        <v>0</v>
      </c>
      <c r="BO39" s="187"/>
      <c r="BP39" s="90"/>
      <c r="BQ39" s="90"/>
      <c r="BR39" s="183">
        <f t="shared" si="30"/>
        <v>0</v>
      </c>
      <c r="BS39" s="187"/>
      <c r="BT39" s="90"/>
      <c r="BU39" s="90"/>
      <c r="BV39" s="183">
        <f t="shared" si="31"/>
        <v>0</v>
      </c>
      <c r="BW39" s="187"/>
      <c r="BX39" s="90"/>
      <c r="BY39" s="90"/>
      <c r="BZ39" s="183">
        <f t="shared" si="32"/>
        <v>0</v>
      </c>
      <c r="CA39" s="187"/>
      <c r="CB39" s="90"/>
      <c r="CC39" s="90"/>
      <c r="CD39" s="183">
        <f t="shared" si="33"/>
        <v>0</v>
      </c>
    </row>
    <row r="40" spans="2:82" x14ac:dyDescent="0.3">
      <c r="B40" s="54"/>
      <c r="C40" s="54" t="str">
        <f t="shared" si="0"/>
        <v>CPU_CapaCBUQ</v>
      </c>
      <c r="D40" s="280">
        <f t="shared" si="1"/>
        <v>350</v>
      </c>
      <c r="E40" s="280">
        <f t="shared" si="2"/>
        <v>44200</v>
      </c>
      <c r="F40" s="1" t="s">
        <v>833</v>
      </c>
      <c r="G40" s="28" t="str">
        <f>IFERROR(VLOOKUP(F40,Tabela7[[RECURSO]:[CUSTO]],2,FALSE),"")</f>
        <v>H</v>
      </c>
      <c r="H40" s="92">
        <f>H13</f>
        <v>1</v>
      </c>
      <c r="I40" s="90">
        <v>10</v>
      </c>
      <c r="J40" s="45">
        <f>IFERROR(VLOOKUP(F40,Tabela7[[RECURSO]:[CUSTO]],3,FALSE),0)</f>
        <v>35.57167850885731</v>
      </c>
      <c r="K40" s="45">
        <f>I40*J40*CPU_14[[#This Row],[Nº]]</f>
        <v>355.71678508857309</v>
      </c>
      <c r="AD40" s="144" t="str">
        <f t="shared" si="3"/>
        <v>Capa - CBUQ</v>
      </c>
      <c r="AE40" s="186"/>
      <c r="AF40" s="180">
        <f t="shared" si="35"/>
        <v>0</v>
      </c>
      <c r="AG40" s="180">
        <f t="shared" si="17"/>
        <v>0</v>
      </c>
      <c r="AH40" s="181">
        <f t="shared" si="36"/>
        <v>0</v>
      </c>
      <c r="AI40" s="187"/>
      <c r="AJ40" s="90"/>
      <c r="AK40" s="90"/>
      <c r="AL40" s="183">
        <f t="shared" si="37"/>
        <v>0</v>
      </c>
      <c r="AM40" s="187"/>
      <c r="AN40" s="90"/>
      <c r="AO40" s="90"/>
      <c r="AP40" s="183">
        <f t="shared" si="23"/>
        <v>0</v>
      </c>
      <c r="AQ40" s="187"/>
      <c r="AR40" s="90"/>
      <c r="AS40" s="90"/>
      <c r="AT40" s="183">
        <f t="shared" si="24"/>
        <v>0</v>
      </c>
      <c r="AU40" s="187"/>
      <c r="AV40" s="90"/>
      <c r="AW40" s="90"/>
      <c r="AX40" s="183">
        <f t="shared" si="25"/>
        <v>0</v>
      </c>
      <c r="AY40" s="187"/>
      <c r="AZ40" s="90"/>
      <c r="BA40" s="90"/>
      <c r="BB40" s="183">
        <f t="shared" si="26"/>
        <v>0</v>
      </c>
      <c r="BC40" s="187"/>
      <c r="BD40" s="90"/>
      <c r="BE40" s="90"/>
      <c r="BF40" s="183">
        <f t="shared" si="27"/>
        <v>0</v>
      </c>
      <c r="BG40" s="187"/>
      <c r="BH40" s="90"/>
      <c r="BI40" s="90"/>
      <c r="BJ40" s="183">
        <f t="shared" si="28"/>
        <v>0</v>
      </c>
      <c r="BK40" s="187"/>
      <c r="BL40" s="90"/>
      <c r="BM40" s="90"/>
      <c r="BN40" s="183">
        <f t="shared" si="29"/>
        <v>0</v>
      </c>
      <c r="BO40" s="187"/>
      <c r="BP40" s="90"/>
      <c r="BQ40" s="90"/>
      <c r="BR40" s="183">
        <f t="shared" si="30"/>
        <v>0</v>
      </c>
      <c r="BS40" s="187"/>
      <c r="BT40" s="90"/>
      <c r="BU40" s="90"/>
      <c r="BV40" s="183">
        <f t="shared" si="31"/>
        <v>0</v>
      </c>
      <c r="BW40" s="187"/>
      <c r="BX40" s="90"/>
      <c r="BY40" s="90"/>
      <c r="BZ40" s="183">
        <f t="shared" si="32"/>
        <v>0</v>
      </c>
      <c r="CA40" s="187"/>
      <c r="CB40" s="90"/>
      <c r="CC40" s="90"/>
      <c r="CD40" s="183">
        <f t="shared" si="33"/>
        <v>0</v>
      </c>
    </row>
    <row r="41" spans="2:82" x14ac:dyDescent="0.3">
      <c r="B41" s="54"/>
      <c r="C41" s="54" t="str">
        <f t="shared" si="0"/>
        <v>CPU_CapaCBUQ</v>
      </c>
      <c r="D41" s="280">
        <f t="shared" si="1"/>
        <v>350</v>
      </c>
      <c r="E41" s="280">
        <f t="shared" si="2"/>
        <v>44200</v>
      </c>
      <c r="F41" s="1" t="s">
        <v>835</v>
      </c>
      <c r="G41" s="28" t="str">
        <f>IFERROR(VLOOKUP(F41,Tabela7[[RECURSO]:[CUSTO]],2,FALSE),"")</f>
        <v>H</v>
      </c>
      <c r="H41" s="92">
        <f>H14</f>
        <v>1</v>
      </c>
      <c r="I41" s="90">
        <v>10</v>
      </c>
      <c r="J41" s="45">
        <f>IFERROR(VLOOKUP(F41,Tabela7[[RECURSO]:[CUSTO]],3,FALSE),0)</f>
        <v>33.958689507494654</v>
      </c>
      <c r="K41" s="45">
        <f>I41*J41*CPU_14[[#This Row],[Nº]]</f>
        <v>339.58689507494654</v>
      </c>
      <c r="AD41" s="144" t="str">
        <f t="shared" si="3"/>
        <v>Capa - CBUQ</v>
      </c>
      <c r="AE41" s="186"/>
      <c r="AF41" s="180">
        <f t="shared" si="35"/>
        <v>0</v>
      </c>
      <c r="AG41" s="180">
        <f t="shared" si="17"/>
        <v>0</v>
      </c>
      <c r="AH41" s="181">
        <f t="shared" si="36"/>
        <v>0</v>
      </c>
      <c r="AI41" s="187"/>
      <c r="AJ41" s="90"/>
      <c r="AK41" s="90"/>
      <c r="AL41" s="183">
        <f t="shared" si="37"/>
        <v>0</v>
      </c>
      <c r="AM41" s="187"/>
      <c r="AN41" s="90"/>
      <c r="AO41" s="90"/>
      <c r="AP41" s="183">
        <f t="shared" si="23"/>
        <v>0</v>
      </c>
      <c r="AQ41" s="187"/>
      <c r="AR41" s="90"/>
      <c r="AS41" s="90"/>
      <c r="AT41" s="183">
        <f t="shared" si="24"/>
        <v>0</v>
      </c>
      <c r="AU41" s="187"/>
      <c r="AV41" s="90"/>
      <c r="AW41" s="90"/>
      <c r="AX41" s="183">
        <f t="shared" si="25"/>
        <v>0</v>
      </c>
      <c r="AY41" s="187"/>
      <c r="AZ41" s="90"/>
      <c r="BA41" s="90"/>
      <c r="BB41" s="183">
        <f t="shared" si="26"/>
        <v>0</v>
      </c>
      <c r="BC41" s="187"/>
      <c r="BD41" s="90"/>
      <c r="BE41" s="90"/>
      <c r="BF41" s="183">
        <f t="shared" si="27"/>
        <v>0</v>
      </c>
      <c r="BG41" s="187"/>
      <c r="BH41" s="90"/>
      <c r="BI41" s="90"/>
      <c r="BJ41" s="183">
        <f t="shared" si="28"/>
        <v>0</v>
      </c>
      <c r="BK41" s="187"/>
      <c r="BL41" s="90"/>
      <c r="BM41" s="90"/>
      <c r="BN41" s="183">
        <f t="shared" si="29"/>
        <v>0</v>
      </c>
      <c r="BO41" s="187"/>
      <c r="BP41" s="90"/>
      <c r="BQ41" s="90"/>
      <c r="BR41" s="183">
        <f t="shared" si="30"/>
        <v>0</v>
      </c>
      <c r="BS41" s="187"/>
      <c r="BT41" s="90"/>
      <c r="BU41" s="90"/>
      <c r="BV41" s="183">
        <f t="shared" si="31"/>
        <v>0</v>
      </c>
      <c r="BW41" s="187"/>
      <c r="BX41" s="90"/>
      <c r="BY41" s="90"/>
      <c r="BZ41" s="183">
        <f t="shared" si="32"/>
        <v>0</v>
      </c>
      <c r="CA41" s="187"/>
      <c r="CB41" s="90"/>
      <c r="CC41" s="90"/>
      <c r="CD41" s="183">
        <f t="shared" si="33"/>
        <v>0</v>
      </c>
    </row>
    <row r="42" spans="2:82" x14ac:dyDescent="0.3">
      <c r="B42" s="54"/>
      <c r="C42" s="54" t="str">
        <f t="shared" si="0"/>
        <v>CPU_CapaCBUQ</v>
      </c>
      <c r="D42" s="280">
        <f t="shared" si="1"/>
        <v>350</v>
      </c>
      <c r="E42" s="280">
        <f t="shared" si="2"/>
        <v>44200</v>
      </c>
      <c r="F42" s="1" t="s">
        <v>883</v>
      </c>
      <c r="G42" s="28" t="str">
        <f>IFERROR(VLOOKUP(F42,Tabela7[[RECURSO]:[CUSTO]],2,FALSE),"")</f>
        <v>H</v>
      </c>
      <c r="H42" s="388">
        <f>H15</f>
        <v>1</v>
      </c>
      <c r="I42" s="90">
        <v>10</v>
      </c>
      <c r="J42" s="45">
        <f>IFERROR(VLOOKUP(F42,Tabela7[[RECURSO]:[CUSTO]],3,FALSE),0)</f>
        <v>36.226153396924282</v>
      </c>
      <c r="K42" s="45">
        <f>I42*J42*CPU_14[[#This Row],[Nº]]</f>
        <v>362.26153396924281</v>
      </c>
      <c r="AD42" s="144" t="str">
        <f t="shared" si="3"/>
        <v>Capa - CBUQ</v>
      </c>
      <c r="AE42" s="186"/>
      <c r="AF42" s="180">
        <f t="shared" si="35"/>
        <v>0</v>
      </c>
      <c r="AG42" s="180">
        <f t="shared" si="17"/>
        <v>0</v>
      </c>
      <c r="AH42" s="181">
        <f t="shared" si="36"/>
        <v>0</v>
      </c>
      <c r="AI42" s="187"/>
      <c r="AJ42" s="90"/>
      <c r="AK42" s="90"/>
      <c r="AL42" s="183">
        <f t="shared" si="37"/>
        <v>0</v>
      </c>
      <c r="AM42" s="187"/>
      <c r="AN42" s="90"/>
      <c r="AO42" s="90"/>
      <c r="AP42" s="183">
        <f t="shared" si="23"/>
        <v>0</v>
      </c>
      <c r="AQ42" s="187"/>
      <c r="AR42" s="90"/>
      <c r="AS42" s="90"/>
      <c r="AT42" s="183">
        <f t="shared" si="24"/>
        <v>0</v>
      </c>
      <c r="AU42" s="187"/>
      <c r="AV42" s="90"/>
      <c r="AW42" s="90"/>
      <c r="AX42" s="183">
        <f t="shared" si="25"/>
        <v>0</v>
      </c>
      <c r="AY42" s="187"/>
      <c r="AZ42" s="90"/>
      <c r="BA42" s="90"/>
      <c r="BB42" s="183">
        <f t="shared" si="26"/>
        <v>0</v>
      </c>
      <c r="BC42" s="187"/>
      <c r="BD42" s="90"/>
      <c r="BE42" s="90"/>
      <c r="BF42" s="183">
        <f t="shared" si="27"/>
        <v>0</v>
      </c>
      <c r="BG42" s="187"/>
      <c r="BH42" s="90"/>
      <c r="BI42" s="90"/>
      <c r="BJ42" s="183">
        <f t="shared" si="28"/>
        <v>0</v>
      </c>
      <c r="BK42" s="187"/>
      <c r="BL42" s="90"/>
      <c r="BM42" s="90"/>
      <c r="BN42" s="183">
        <f t="shared" si="29"/>
        <v>0</v>
      </c>
      <c r="BO42" s="187"/>
      <c r="BP42" s="90"/>
      <c r="BQ42" s="90"/>
      <c r="BR42" s="183">
        <f t="shared" si="30"/>
        <v>0</v>
      </c>
      <c r="BS42" s="187"/>
      <c r="BT42" s="90"/>
      <c r="BU42" s="90"/>
      <c r="BV42" s="183">
        <f t="shared" si="31"/>
        <v>0</v>
      </c>
      <c r="BW42" s="187"/>
      <c r="BX42" s="90"/>
      <c r="BY42" s="90"/>
      <c r="BZ42" s="183">
        <f t="shared" si="32"/>
        <v>0</v>
      </c>
      <c r="CA42" s="187"/>
      <c r="CB42" s="90"/>
      <c r="CC42" s="90"/>
      <c r="CD42" s="183">
        <f t="shared" si="33"/>
        <v>0</v>
      </c>
    </row>
    <row r="43" spans="2:82" x14ac:dyDescent="0.3">
      <c r="B43" s="54"/>
      <c r="C43" s="54" t="str">
        <f t="shared" si="0"/>
        <v>CPU_CapaCBUQ</v>
      </c>
      <c r="D43" s="280">
        <f t="shared" si="1"/>
        <v>350</v>
      </c>
      <c r="E43" s="280">
        <f t="shared" si="2"/>
        <v>44200</v>
      </c>
      <c r="F43" s="1" t="s">
        <v>884</v>
      </c>
      <c r="G43" s="28" t="str">
        <f>IFERROR(VLOOKUP(F43,Tabela7[[RECURSO]:[CUSTO]],2,FALSE),"")</f>
        <v>H</v>
      </c>
      <c r="H43" s="92">
        <f>H16</f>
        <v>0</v>
      </c>
      <c r="I43" s="90">
        <v>10</v>
      </c>
      <c r="J43" s="45">
        <f>IFERROR(VLOOKUP(F43,Tabela7[[RECURSO]:[CUSTO]],3,FALSE),0)</f>
        <v>50.569728722990085</v>
      </c>
      <c r="K43" s="45">
        <f>I43*J43*CPU_14[[#This Row],[Nº]]</f>
        <v>0</v>
      </c>
      <c r="AD43" s="144" t="str">
        <f t="shared" si="3"/>
        <v>Capa - CBUQ</v>
      </c>
      <c r="AE43" s="186"/>
      <c r="AF43" s="180">
        <f t="shared" si="35"/>
        <v>0</v>
      </c>
      <c r="AG43" s="180">
        <f t="shared" si="17"/>
        <v>0</v>
      </c>
      <c r="AH43" s="181">
        <f t="shared" si="36"/>
        <v>0</v>
      </c>
      <c r="AI43" s="187"/>
      <c r="AJ43" s="90"/>
      <c r="AK43" s="90"/>
      <c r="AL43" s="183">
        <f t="shared" si="37"/>
        <v>0</v>
      </c>
      <c r="AM43" s="187"/>
      <c r="AN43" s="90"/>
      <c r="AO43" s="90"/>
      <c r="AP43" s="183">
        <f t="shared" si="23"/>
        <v>0</v>
      </c>
      <c r="AQ43" s="187"/>
      <c r="AR43" s="90"/>
      <c r="AS43" s="90"/>
      <c r="AT43" s="183">
        <f t="shared" si="24"/>
        <v>0</v>
      </c>
      <c r="AU43" s="187"/>
      <c r="AV43" s="90"/>
      <c r="AW43" s="90"/>
      <c r="AX43" s="183">
        <f t="shared" si="25"/>
        <v>0</v>
      </c>
      <c r="AY43" s="187"/>
      <c r="AZ43" s="90"/>
      <c r="BA43" s="90"/>
      <c r="BB43" s="183">
        <f t="shared" si="26"/>
        <v>0</v>
      </c>
      <c r="BC43" s="187"/>
      <c r="BD43" s="90"/>
      <c r="BE43" s="90"/>
      <c r="BF43" s="183">
        <f t="shared" si="27"/>
        <v>0</v>
      </c>
      <c r="BG43" s="187"/>
      <c r="BH43" s="90"/>
      <c r="BI43" s="90"/>
      <c r="BJ43" s="183">
        <f t="shared" si="28"/>
        <v>0</v>
      </c>
      <c r="BK43" s="187"/>
      <c r="BL43" s="90"/>
      <c r="BM43" s="90"/>
      <c r="BN43" s="183">
        <f t="shared" si="29"/>
        <v>0</v>
      </c>
      <c r="BO43" s="187"/>
      <c r="BP43" s="90"/>
      <c r="BQ43" s="90"/>
      <c r="BR43" s="183">
        <f t="shared" si="30"/>
        <v>0</v>
      </c>
      <c r="BS43" s="187"/>
      <c r="BT43" s="90"/>
      <c r="BU43" s="90"/>
      <c r="BV43" s="183">
        <f t="shared" si="31"/>
        <v>0</v>
      </c>
      <c r="BW43" s="187"/>
      <c r="BX43" s="90"/>
      <c r="BY43" s="90"/>
      <c r="BZ43" s="183">
        <f t="shared" si="32"/>
        <v>0</v>
      </c>
      <c r="CA43" s="187"/>
      <c r="CB43" s="90"/>
      <c r="CC43" s="90"/>
      <c r="CD43" s="183">
        <f t="shared" si="33"/>
        <v>0</v>
      </c>
    </row>
    <row r="44" spans="2:82" x14ac:dyDescent="0.3">
      <c r="B44" s="54"/>
      <c r="C44" s="54" t="str">
        <f t="shared" si="0"/>
        <v>CPU_CapaCBUQ</v>
      </c>
      <c r="D44" s="280">
        <f t="shared" si="1"/>
        <v>350</v>
      </c>
      <c r="E44" s="280">
        <f t="shared" si="2"/>
        <v>44200</v>
      </c>
      <c r="F44" s="1" t="s">
        <v>885</v>
      </c>
      <c r="G44" s="28" t="str">
        <f>IFERROR(VLOOKUP(F44,Tabela7[[RECURSO]:[CUSTO]],2,FALSE),"")</f>
        <v>H</v>
      </c>
      <c r="H44" s="92">
        <f>H43</f>
        <v>0</v>
      </c>
      <c r="I44" s="90">
        <v>10</v>
      </c>
      <c r="J44" s="45">
        <f>IFERROR(VLOOKUP(F44,Tabela7[[RECURSO]:[CUSTO]],3,FALSE),0)</f>
        <v>50.569728722990085</v>
      </c>
      <c r="K44" s="45">
        <f>I44*J44*CPU_14[[#This Row],[Nº]]</f>
        <v>0</v>
      </c>
      <c r="AD44" s="144" t="str">
        <f t="shared" si="3"/>
        <v>Capa - CBUQ</v>
      </c>
      <c r="AE44" s="186"/>
      <c r="AF44" s="180">
        <f t="shared" si="35"/>
        <v>0</v>
      </c>
      <c r="AG44" s="180">
        <f t="shared" si="17"/>
        <v>0</v>
      </c>
      <c r="AH44" s="181">
        <f t="shared" si="36"/>
        <v>0</v>
      </c>
      <c r="AI44" s="187"/>
      <c r="AJ44" s="90"/>
      <c r="AK44" s="90"/>
      <c r="AL44" s="183">
        <f t="shared" si="37"/>
        <v>0</v>
      </c>
      <c r="AM44" s="187"/>
      <c r="AN44" s="90"/>
      <c r="AO44" s="90"/>
      <c r="AP44" s="183">
        <f t="shared" si="23"/>
        <v>0</v>
      </c>
      <c r="AQ44" s="187"/>
      <c r="AR44" s="90"/>
      <c r="AS44" s="90"/>
      <c r="AT44" s="183">
        <f t="shared" si="24"/>
        <v>0</v>
      </c>
      <c r="AU44" s="187"/>
      <c r="AV44" s="90"/>
      <c r="AW44" s="90"/>
      <c r="AX44" s="183">
        <f t="shared" si="25"/>
        <v>0</v>
      </c>
      <c r="AY44" s="187"/>
      <c r="AZ44" s="90"/>
      <c r="BA44" s="90"/>
      <c r="BB44" s="183">
        <f t="shared" si="26"/>
        <v>0</v>
      </c>
      <c r="BC44" s="187"/>
      <c r="BD44" s="90"/>
      <c r="BE44" s="90"/>
      <c r="BF44" s="183">
        <f t="shared" si="27"/>
        <v>0</v>
      </c>
      <c r="BG44" s="187"/>
      <c r="BH44" s="90"/>
      <c r="BI44" s="90"/>
      <c r="BJ44" s="183">
        <f t="shared" si="28"/>
        <v>0</v>
      </c>
      <c r="BK44" s="187"/>
      <c r="BL44" s="90"/>
      <c r="BM44" s="90"/>
      <c r="BN44" s="183">
        <f t="shared" si="29"/>
        <v>0</v>
      </c>
      <c r="BO44" s="187"/>
      <c r="BP44" s="90"/>
      <c r="BQ44" s="90"/>
      <c r="BR44" s="183">
        <f t="shared" si="30"/>
        <v>0</v>
      </c>
      <c r="BS44" s="187"/>
      <c r="BT44" s="90"/>
      <c r="BU44" s="90"/>
      <c r="BV44" s="183">
        <f t="shared" si="31"/>
        <v>0</v>
      </c>
      <c r="BW44" s="187"/>
      <c r="BX44" s="90"/>
      <c r="BY44" s="90"/>
      <c r="BZ44" s="183">
        <f t="shared" si="32"/>
        <v>0</v>
      </c>
      <c r="CA44" s="187"/>
      <c r="CB44" s="90"/>
      <c r="CC44" s="90"/>
      <c r="CD44" s="183">
        <f t="shared" si="33"/>
        <v>0</v>
      </c>
    </row>
    <row r="45" spans="2:82" x14ac:dyDescent="0.3">
      <c r="B45" s="53"/>
      <c r="C45" s="53" t="str">
        <f t="shared" si="0"/>
        <v>CPU_CapaCBUQ</v>
      </c>
      <c r="D45" s="278">
        <f t="shared" si="1"/>
        <v>350</v>
      </c>
      <c r="E45" s="278">
        <f t="shared" si="2"/>
        <v>44200</v>
      </c>
      <c r="F45" s="1" t="s">
        <v>854</v>
      </c>
      <c r="G45" s="28" t="str">
        <f>IFERROR(VLOOKUP(F45,Tabela7[[RECURSO]:[CUSTO]],2,FALSE),"")</f>
        <v>H</v>
      </c>
      <c r="H45" s="92">
        <v>5</v>
      </c>
      <c r="I45" s="90">
        <v>10</v>
      </c>
      <c r="J45" s="45">
        <f>IFERROR(VLOOKUP(F45,Tabela7[[RECURSO]:[CUSTO]],3,FALSE),0)</f>
        <v>42.159454253455323</v>
      </c>
      <c r="K45" s="45">
        <f>I45*J45*CPU_14[[#This Row],[Nº]]</f>
        <v>2107.9727126727662</v>
      </c>
      <c r="AD45" s="144" t="str">
        <f t="shared" si="3"/>
        <v>Capa - CBUQ</v>
      </c>
      <c r="AE45" s="188"/>
      <c r="AF45" s="180">
        <f t="shared" si="35"/>
        <v>0</v>
      </c>
      <c r="AG45" s="180">
        <f t="shared" si="17"/>
        <v>0</v>
      </c>
      <c r="AH45" s="181">
        <f t="shared" si="36"/>
        <v>0</v>
      </c>
      <c r="AI45" s="189"/>
      <c r="AJ45" s="90"/>
      <c r="AK45" s="90"/>
      <c r="AL45" s="183">
        <f t="shared" si="37"/>
        <v>0</v>
      </c>
      <c r="AM45" s="189"/>
      <c r="AN45" s="90"/>
      <c r="AO45" s="90"/>
      <c r="AP45" s="183">
        <f t="shared" si="23"/>
        <v>0</v>
      </c>
      <c r="AQ45" s="189"/>
      <c r="AR45" s="90"/>
      <c r="AS45" s="90"/>
      <c r="AT45" s="183">
        <f t="shared" si="24"/>
        <v>0</v>
      </c>
      <c r="AU45" s="189"/>
      <c r="AV45" s="90"/>
      <c r="AW45" s="90"/>
      <c r="AX45" s="183">
        <f t="shared" si="25"/>
        <v>0</v>
      </c>
      <c r="AY45" s="189"/>
      <c r="AZ45" s="90"/>
      <c r="BA45" s="90"/>
      <c r="BB45" s="183">
        <f t="shared" si="26"/>
        <v>0</v>
      </c>
      <c r="BC45" s="189"/>
      <c r="BD45" s="90"/>
      <c r="BE45" s="90"/>
      <c r="BF45" s="183">
        <f t="shared" si="27"/>
        <v>0</v>
      </c>
      <c r="BG45" s="189"/>
      <c r="BH45" s="90"/>
      <c r="BI45" s="90"/>
      <c r="BJ45" s="183">
        <f t="shared" si="28"/>
        <v>0</v>
      </c>
      <c r="BK45" s="189"/>
      <c r="BL45" s="90"/>
      <c r="BM45" s="90"/>
      <c r="BN45" s="183">
        <f t="shared" si="29"/>
        <v>0</v>
      </c>
      <c r="BO45" s="189"/>
      <c r="BP45" s="90"/>
      <c r="BQ45" s="90"/>
      <c r="BR45" s="183">
        <f t="shared" si="30"/>
        <v>0</v>
      </c>
      <c r="BS45" s="189"/>
      <c r="BT45" s="90"/>
      <c r="BU45" s="90"/>
      <c r="BV45" s="183">
        <f t="shared" si="31"/>
        <v>0</v>
      </c>
      <c r="BW45" s="189"/>
      <c r="BX45" s="90"/>
      <c r="BY45" s="90"/>
      <c r="BZ45" s="183">
        <f t="shared" si="32"/>
        <v>0</v>
      </c>
      <c r="CA45" s="189"/>
      <c r="CB45" s="90"/>
      <c r="CC45" s="90"/>
      <c r="CD45" s="183">
        <f t="shared" si="33"/>
        <v>0</v>
      </c>
    </row>
    <row r="46" spans="2:82" x14ac:dyDescent="0.3">
      <c r="B46" s="53"/>
      <c r="C46" s="53" t="str">
        <f t="shared" si="0"/>
        <v>CPU_CapaCBUQ</v>
      </c>
      <c r="D46" s="278">
        <f t="shared" si="1"/>
        <v>350</v>
      </c>
      <c r="E46" s="278">
        <f t="shared" si="2"/>
        <v>44200</v>
      </c>
      <c r="F46" s="1" t="s">
        <v>361</v>
      </c>
      <c r="G46" s="28" t="str">
        <f>IFERROR(VLOOKUP(F46,Tabela7[[RECURSO]:[CUSTO]],2,FALSE),"")</f>
        <v>H</v>
      </c>
      <c r="H46" s="92">
        <v>5</v>
      </c>
      <c r="I46" s="90">
        <v>10</v>
      </c>
      <c r="J46" s="45">
        <f>IFERROR(VLOOKUP(F46,Tabela7[[RECURSO]:[CUSTO]],3,FALSE),0)</f>
        <v>26.579984100642395</v>
      </c>
      <c r="K46" s="45">
        <f>I46*J46*CPU_14[[#This Row],[Nº]]</f>
        <v>1328.9992050321198</v>
      </c>
      <c r="AD46" s="144" t="str">
        <f t="shared" si="3"/>
        <v>Capa - CBUQ</v>
      </c>
      <c r="AE46" s="188"/>
      <c r="AF46" s="180">
        <f t="shared" si="35"/>
        <v>0</v>
      </c>
      <c r="AG46" s="180">
        <f t="shared" si="17"/>
        <v>0</v>
      </c>
      <c r="AH46" s="181">
        <f t="shared" si="36"/>
        <v>0</v>
      </c>
      <c r="AI46" s="189"/>
      <c r="AJ46" s="90"/>
      <c r="AK46" s="90"/>
      <c r="AL46" s="183">
        <f t="shared" si="37"/>
        <v>0</v>
      </c>
      <c r="AM46" s="189"/>
      <c r="AN46" s="90"/>
      <c r="AO46" s="90"/>
      <c r="AP46" s="183">
        <f t="shared" si="23"/>
        <v>0</v>
      </c>
      <c r="AQ46" s="189"/>
      <c r="AR46" s="90"/>
      <c r="AS46" s="90"/>
      <c r="AT46" s="183">
        <f t="shared" si="24"/>
        <v>0</v>
      </c>
      <c r="AU46" s="189"/>
      <c r="AV46" s="90"/>
      <c r="AW46" s="90"/>
      <c r="AX46" s="183">
        <f t="shared" si="25"/>
        <v>0</v>
      </c>
      <c r="AY46" s="189"/>
      <c r="AZ46" s="90"/>
      <c r="BA46" s="90"/>
      <c r="BB46" s="183">
        <f t="shared" si="26"/>
        <v>0</v>
      </c>
      <c r="BC46" s="189"/>
      <c r="BD46" s="90"/>
      <c r="BE46" s="90"/>
      <c r="BF46" s="183">
        <f t="shared" si="27"/>
        <v>0</v>
      </c>
      <c r="BG46" s="189"/>
      <c r="BH46" s="90"/>
      <c r="BI46" s="90"/>
      <c r="BJ46" s="183">
        <f t="shared" si="28"/>
        <v>0</v>
      </c>
      <c r="BK46" s="189"/>
      <c r="BL46" s="90"/>
      <c r="BM46" s="90"/>
      <c r="BN46" s="183">
        <f t="shared" si="29"/>
        <v>0</v>
      </c>
      <c r="BO46" s="189"/>
      <c r="BP46" s="90"/>
      <c r="BQ46" s="90"/>
      <c r="BR46" s="183">
        <f t="shared" si="30"/>
        <v>0</v>
      </c>
      <c r="BS46" s="189"/>
      <c r="BT46" s="90"/>
      <c r="BU46" s="90"/>
      <c r="BV46" s="183">
        <f t="shared" si="31"/>
        <v>0</v>
      </c>
      <c r="BW46" s="189"/>
      <c r="BX46" s="90"/>
      <c r="BY46" s="90"/>
      <c r="BZ46" s="183">
        <f t="shared" si="32"/>
        <v>0</v>
      </c>
      <c r="CA46" s="189"/>
      <c r="CB46" s="90"/>
      <c r="CC46" s="90"/>
      <c r="CD46" s="183">
        <f t="shared" si="33"/>
        <v>0</v>
      </c>
    </row>
    <row r="47" spans="2:82" x14ac:dyDescent="0.3">
      <c r="B47" s="53"/>
      <c r="C47" s="53" t="str">
        <f t="shared" si="0"/>
        <v>CPU_CapaCBUQ</v>
      </c>
      <c r="D47" s="278">
        <f t="shared" si="1"/>
        <v>350</v>
      </c>
      <c r="E47" s="278">
        <f t="shared" si="2"/>
        <v>44200</v>
      </c>
      <c r="F47" s="1" t="s">
        <v>364</v>
      </c>
      <c r="G47" s="28" t="str">
        <f>IFERROR(VLOOKUP(F47,Tabela7[[RECURSO]:[CUSTO]],2,FALSE),"")</f>
        <v>H</v>
      </c>
      <c r="H47" s="92">
        <f>H17</f>
        <v>0</v>
      </c>
      <c r="I47" s="90">
        <v>10</v>
      </c>
      <c r="J47" s="45">
        <f>IFERROR(VLOOKUP(F47,Tabela7[[RECURSO]:[CUSTO]],3,FALSE),0)</f>
        <v>37.336946320809815</v>
      </c>
      <c r="K47" s="45">
        <f>I47*J47*CPU_14[[#This Row],[Nº]]</f>
        <v>0</v>
      </c>
      <c r="AD47" s="144" t="str">
        <f t="shared" si="3"/>
        <v>Capa - CBUQ</v>
      </c>
      <c r="AE47" s="188"/>
      <c r="AF47" s="180">
        <f t="shared" si="35"/>
        <v>0</v>
      </c>
      <c r="AG47" s="180">
        <f t="shared" si="17"/>
        <v>0</v>
      </c>
      <c r="AH47" s="181">
        <f t="shared" si="36"/>
        <v>0</v>
      </c>
      <c r="AI47" s="189"/>
      <c r="AJ47" s="90"/>
      <c r="AK47" s="90"/>
      <c r="AL47" s="183">
        <f t="shared" si="37"/>
        <v>0</v>
      </c>
      <c r="AM47" s="189"/>
      <c r="AN47" s="90"/>
      <c r="AO47" s="90"/>
      <c r="AP47" s="183">
        <f t="shared" si="23"/>
        <v>0</v>
      </c>
      <c r="AQ47" s="189"/>
      <c r="AR47" s="90"/>
      <c r="AS47" s="90"/>
      <c r="AT47" s="183">
        <f t="shared" si="24"/>
        <v>0</v>
      </c>
      <c r="AU47" s="189"/>
      <c r="AV47" s="90"/>
      <c r="AW47" s="90"/>
      <c r="AX47" s="183">
        <f t="shared" si="25"/>
        <v>0</v>
      </c>
      <c r="AY47" s="189"/>
      <c r="AZ47" s="90"/>
      <c r="BA47" s="90"/>
      <c r="BB47" s="183">
        <f t="shared" si="26"/>
        <v>0</v>
      </c>
      <c r="BC47" s="189"/>
      <c r="BD47" s="90"/>
      <c r="BE47" s="90"/>
      <c r="BF47" s="183">
        <f t="shared" si="27"/>
        <v>0</v>
      </c>
      <c r="BG47" s="189"/>
      <c r="BH47" s="90"/>
      <c r="BI47" s="90"/>
      <c r="BJ47" s="183">
        <f t="shared" si="28"/>
        <v>0</v>
      </c>
      <c r="BK47" s="189"/>
      <c r="BL47" s="90"/>
      <c r="BM47" s="90"/>
      <c r="BN47" s="183">
        <f t="shared" si="29"/>
        <v>0</v>
      </c>
      <c r="BO47" s="189"/>
      <c r="BP47" s="90"/>
      <c r="BQ47" s="90"/>
      <c r="BR47" s="183">
        <f t="shared" si="30"/>
        <v>0</v>
      </c>
      <c r="BS47" s="189"/>
      <c r="BT47" s="90"/>
      <c r="BU47" s="90"/>
      <c r="BV47" s="183">
        <f t="shared" si="31"/>
        <v>0</v>
      </c>
      <c r="BW47" s="189"/>
      <c r="BX47" s="90"/>
      <c r="BY47" s="90"/>
      <c r="BZ47" s="183">
        <f t="shared" si="32"/>
        <v>0</v>
      </c>
      <c r="CA47" s="189"/>
      <c r="CB47" s="90"/>
      <c r="CC47" s="90"/>
      <c r="CD47" s="183">
        <f t="shared" si="33"/>
        <v>0</v>
      </c>
    </row>
    <row r="48" spans="2:82" x14ac:dyDescent="0.3">
      <c r="B48" s="53"/>
      <c r="C48" s="53" t="str">
        <f t="shared" si="0"/>
        <v>CPU_CapaCBUQ</v>
      </c>
      <c r="D48" s="278">
        <f t="shared" si="1"/>
        <v>350</v>
      </c>
      <c r="E48" s="278">
        <f t="shared" si="2"/>
        <v>44200</v>
      </c>
      <c r="F48" s="1"/>
      <c r="G48" s="28" t="str">
        <f>IFERROR(VLOOKUP(F48,Tabela7[[RECURSO]:[CUSTO]],2,FALSE),"")</f>
        <v/>
      </c>
      <c r="H48" s="92"/>
      <c r="I48" s="90"/>
      <c r="J48" s="45">
        <f>IFERROR(VLOOKUP(F48,Tabela7[[RECURSO]:[CUSTO]],3,FALSE),0)</f>
        <v>0</v>
      </c>
      <c r="K48" s="45">
        <f>I48*J48*CPU_14[[#This Row],[Nº]]</f>
        <v>0</v>
      </c>
      <c r="AD48" s="144" t="str">
        <f t="shared" si="3"/>
        <v>Capa - CBUQ</v>
      </c>
      <c r="AE48" s="188"/>
      <c r="AF48" s="180">
        <f t="shared" si="35"/>
        <v>0</v>
      </c>
      <c r="AG48" s="180">
        <f t="shared" si="17"/>
        <v>0</v>
      </c>
      <c r="AH48" s="181">
        <f t="shared" si="36"/>
        <v>0</v>
      </c>
      <c r="AI48" s="189"/>
      <c r="AJ48" s="90"/>
      <c r="AK48" s="90"/>
      <c r="AL48" s="183">
        <f t="shared" si="37"/>
        <v>0</v>
      </c>
      <c r="AM48" s="189"/>
      <c r="AN48" s="90"/>
      <c r="AO48" s="90"/>
      <c r="AP48" s="183">
        <f t="shared" si="23"/>
        <v>0</v>
      </c>
      <c r="AQ48" s="189"/>
      <c r="AR48" s="90"/>
      <c r="AS48" s="90"/>
      <c r="AT48" s="183">
        <f t="shared" si="24"/>
        <v>0</v>
      </c>
      <c r="AU48" s="189"/>
      <c r="AV48" s="90"/>
      <c r="AW48" s="90"/>
      <c r="AX48" s="183">
        <f t="shared" si="25"/>
        <v>0</v>
      </c>
      <c r="AY48" s="189"/>
      <c r="AZ48" s="90"/>
      <c r="BA48" s="90"/>
      <c r="BB48" s="183">
        <f t="shared" si="26"/>
        <v>0</v>
      </c>
      <c r="BC48" s="189"/>
      <c r="BD48" s="90"/>
      <c r="BE48" s="90"/>
      <c r="BF48" s="183">
        <f t="shared" si="27"/>
        <v>0</v>
      </c>
      <c r="BG48" s="189"/>
      <c r="BH48" s="90"/>
      <c r="BI48" s="90"/>
      <c r="BJ48" s="183">
        <f t="shared" si="28"/>
        <v>0</v>
      </c>
      <c r="BK48" s="189"/>
      <c r="BL48" s="90"/>
      <c r="BM48" s="90"/>
      <c r="BN48" s="183">
        <f t="shared" si="29"/>
        <v>0</v>
      </c>
      <c r="BO48" s="189"/>
      <c r="BP48" s="90"/>
      <c r="BQ48" s="90"/>
      <c r="BR48" s="183">
        <f t="shared" si="30"/>
        <v>0</v>
      </c>
      <c r="BS48" s="189"/>
      <c r="BT48" s="90"/>
      <c r="BU48" s="90"/>
      <c r="BV48" s="183">
        <f t="shared" si="31"/>
        <v>0</v>
      </c>
      <c r="BW48" s="189"/>
      <c r="BX48" s="90"/>
      <c r="BY48" s="90"/>
      <c r="BZ48" s="183">
        <f t="shared" si="32"/>
        <v>0</v>
      </c>
      <c r="CA48" s="189"/>
      <c r="CB48" s="90"/>
      <c r="CC48" s="90"/>
      <c r="CD48" s="183">
        <f t="shared" si="33"/>
        <v>0</v>
      </c>
    </row>
    <row r="49" spans="2:82" ht="15" thickBot="1" x14ac:dyDescent="0.35">
      <c r="B49" s="53"/>
      <c r="C49" s="53" t="str">
        <f t="shared" si="0"/>
        <v>CPU_CapaCBUQ</v>
      </c>
      <c r="D49" s="278">
        <f t="shared" si="1"/>
        <v>350</v>
      </c>
      <c r="E49" s="278">
        <f t="shared" si="2"/>
        <v>44200</v>
      </c>
      <c r="F49" s="1"/>
      <c r="G49" s="28" t="str">
        <f>IFERROR(VLOOKUP(F49,Tabela7[[RECURSO]:[CUSTO]],2,FALSE),"")</f>
        <v/>
      </c>
      <c r="H49" s="92"/>
      <c r="I49" s="90"/>
      <c r="J49" s="45">
        <f>IFERROR(VLOOKUP(F49,Tabela7[[RECURSO]:[CUSTO]],3,FALSE),0)</f>
        <v>0</v>
      </c>
      <c r="K49" s="45">
        <f>I49*J49*CPU_14[[#This Row],[Nº]]</f>
        <v>0</v>
      </c>
      <c r="M49" s="83" t="s">
        <v>701</v>
      </c>
      <c r="N49" s="87" t="s">
        <v>702</v>
      </c>
      <c r="AD49" s="144" t="str">
        <f t="shared" si="3"/>
        <v>Capa - CBUQ</v>
      </c>
      <c r="AE49" s="188"/>
      <c r="AF49" s="180">
        <f t="shared" si="35"/>
        <v>0</v>
      </c>
      <c r="AG49" s="180">
        <f t="shared" si="17"/>
        <v>0</v>
      </c>
      <c r="AH49" s="181">
        <f t="shared" si="36"/>
        <v>0</v>
      </c>
      <c r="AI49" s="189"/>
      <c r="AJ49" s="90"/>
      <c r="AK49" s="90"/>
      <c r="AL49" s="183">
        <f t="shared" si="37"/>
        <v>0</v>
      </c>
      <c r="AM49" s="189"/>
      <c r="AN49" s="90"/>
      <c r="AO49" s="90"/>
      <c r="AP49" s="183">
        <f t="shared" si="23"/>
        <v>0</v>
      </c>
      <c r="AQ49" s="189"/>
      <c r="AR49" s="90"/>
      <c r="AS49" s="90"/>
      <c r="AT49" s="183">
        <f t="shared" si="24"/>
        <v>0</v>
      </c>
      <c r="AU49" s="189"/>
      <c r="AV49" s="90"/>
      <c r="AW49" s="90"/>
      <c r="AX49" s="183">
        <f t="shared" si="25"/>
        <v>0</v>
      </c>
      <c r="AY49" s="189"/>
      <c r="AZ49" s="90"/>
      <c r="BA49" s="90"/>
      <c r="BB49" s="183">
        <f t="shared" si="26"/>
        <v>0</v>
      </c>
      <c r="BC49" s="189"/>
      <c r="BD49" s="90"/>
      <c r="BE49" s="90"/>
      <c r="BF49" s="183">
        <f t="shared" si="27"/>
        <v>0</v>
      </c>
      <c r="BG49" s="189"/>
      <c r="BH49" s="90"/>
      <c r="BI49" s="90"/>
      <c r="BJ49" s="183">
        <f t="shared" si="28"/>
        <v>0</v>
      </c>
      <c r="BK49" s="189"/>
      <c r="BL49" s="90"/>
      <c r="BM49" s="90"/>
      <c r="BN49" s="183">
        <f t="shared" si="29"/>
        <v>0</v>
      </c>
      <c r="BO49" s="189"/>
      <c r="BP49" s="90"/>
      <c r="BQ49" s="90"/>
      <c r="BR49" s="183">
        <f t="shared" si="30"/>
        <v>0</v>
      </c>
      <c r="BS49" s="189"/>
      <c r="BT49" s="90"/>
      <c r="BU49" s="90"/>
      <c r="BV49" s="183">
        <f t="shared" si="31"/>
        <v>0</v>
      </c>
      <c r="BW49" s="189"/>
      <c r="BX49" s="90"/>
      <c r="BY49" s="90"/>
      <c r="BZ49" s="183">
        <f t="shared" si="32"/>
        <v>0</v>
      </c>
      <c r="CA49" s="189"/>
      <c r="CB49" s="90"/>
      <c r="CC49" s="90"/>
      <c r="CD49" s="183">
        <f t="shared" si="33"/>
        <v>0</v>
      </c>
    </row>
    <row r="50" spans="2:82" x14ac:dyDescent="0.3">
      <c r="B50" s="52" t="s">
        <v>693</v>
      </c>
      <c r="C50" s="52" t="str">
        <f t="shared" si="0"/>
        <v>CPU_CapaCBUQ</v>
      </c>
      <c r="D50" s="277">
        <f t="shared" si="1"/>
        <v>350</v>
      </c>
      <c r="E50" s="277">
        <f t="shared" si="2"/>
        <v>44200</v>
      </c>
      <c r="F50" s="37"/>
      <c r="G50" s="38"/>
      <c r="H50" s="38"/>
      <c r="I50" s="37"/>
      <c r="J50" s="40">
        <f>IFERROR(K50/$B$6,0)</f>
        <v>138</v>
      </c>
      <c r="K50" s="40">
        <f>SUM(K51:K62)</f>
        <v>48300</v>
      </c>
      <c r="M50" s="84" t="str">
        <f>"Consumo por "&amp;J3</f>
        <v>Consumo por T</v>
      </c>
      <c r="N50" s="89"/>
      <c r="Q50" s="22"/>
      <c r="AD50" s="144" t="str">
        <f t="shared" si="3"/>
        <v>Capa - CBUQ</v>
      </c>
      <c r="AE50" s="190"/>
      <c r="AF50" s="191"/>
      <c r="AG50" s="40">
        <f>IFERROR(AH50/AF$3,0)</f>
        <v>0</v>
      </c>
      <c r="AH50" s="185">
        <f>SUM(AH51:AH62)</f>
        <v>0</v>
      </c>
      <c r="AI50" s="190"/>
      <c r="AJ50" s="37"/>
      <c r="AK50" s="40">
        <f>IFERROR(AL50/AJ$3,0)</f>
        <v>0</v>
      </c>
      <c r="AL50" s="185">
        <f>SUM(AL51:AL62)</f>
        <v>0</v>
      </c>
      <c r="AM50" s="190"/>
      <c r="AN50" s="37"/>
      <c r="AO50" s="40">
        <f>IFERROR(AP50/AN$3,0)</f>
        <v>0</v>
      </c>
      <c r="AP50" s="185">
        <f>SUM(AP51:AP62)</f>
        <v>0</v>
      </c>
      <c r="AQ50" s="190"/>
      <c r="AR50" s="37"/>
      <c r="AS50" s="40">
        <f>IFERROR(AT50/AR$3,0)</f>
        <v>0</v>
      </c>
      <c r="AT50" s="185">
        <f>SUM(AT51:AT62)</f>
        <v>0</v>
      </c>
      <c r="AU50" s="190"/>
      <c r="AV50" s="37"/>
      <c r="AW50" s="40">
        <f>IFERROR(AX50/AV$3,0)</f>
        <v>0</v>
      </c>
      <c r="AX50" s="185">
        <f>SUM(AX51:AX62)</f>
        <v>0</v>
      </c>
      <c r="AY50" s="190"/>
      <c r="AZ50" s="37"/>
      <c r="BA50" s="40">
        <f>IFERROR(BB50/AZ$3,0)</f>
        <v>0</v>
      </c>
      <c r="BB50" s="185">
        <f>SUM(BB51:BB62)</f>
        <v>0</v>
      </c>
      <c r="BC50" s="190"/>
      <c r="BD50" s="37"/>
      <c r="BE50" s="40">
        <f>IFERROR(BF50/BD$3,0)</f>
        <v>0</v>
      </c>
      <c r="BF50" s="185">
        <f>SUM(BF51:BF62)</f>
        <v>0</v>
      </c>
      <c r="BG50" s="190"/>
      <c r="BH50" s="37"/>
      <c r="BI50" s="40">
        <f>IFERROR(BJ50/BH$3,0)</f>
        <v>0</v>
      </c>
      <c r="BJ50" s="185">
        <f>SUM(BJ51:BJ62)</f>
        <v>0</v>
      </c>
      <c r="BK50" s="190"/>
      <c r="BL50" s="37"/>
      <c r="BM50" s="40">
        <f>IFERROR(BN50/BL$3,0)</f>
        <v>0</v>
      </c>
      <c r="BN50" s="185">
        <f>SUM(BN51:BN62)</f>
        <v>0</v>
      </c>
      <c r="BO50" s="190"/>
      <c r="BP50" s="37"/>
      <c r="BQ50" s="40">
        <f>IFERROR(BR50/BP$3,0)</f>
        <v>0</v>
      </c>
      <c r="BR50" s="185">
        <f>SUM(BR51:BR62)</f>
        <v>0</v>
      </c>
      <c r="BS50" s="190"/>
      <c r="BT50" s="37"/>
      <c r="BU50" s="40">
        <f>IFERROR(BV50/BT$3,0)</f>
        <v>0</v>
      </c>
      <c r="BV50" s="185">
        <f>SUM(BV51:BV62)</f>
        <v>0</v>
      </c>
      <c r="BW50" s="190"/>
      <c r="BX50" s="37"/>
      <c r="BY50" s="40">
        <f>IFERROR(BZ50/BX$3,0)</f>
        <v>0</v>
      </c>
      <c r="BZ50" s="185">
        <f>SUM(BZ51:BZ62)</f>
        <v>0</v>
      </c>
      <c r="CA50" s="190"/>
      <c r="CB50" s="37"/>
      <c r="CC50" s="40">
        <f>IFERROR(CD50/CB$3,0)</f>
        <v>0</v>
      </c>
      <c r="CD50" s="185">
        <f>SUM(CD51:CD62)</f>
        <v>0</v>
      </c>
    </row>
    <row r="51" spans="2:82" x14ac:dyDescent="0.3">
      <c r="B51" s="53"/>
      <c r="C51" s="53" t="str">
        <f t="shared" si="0"/>
        <v>CPU_CapaCBUQ</v>
      </c>
      <c r="D51" s="278">
        <f t="shared" si="1"/>
        <v>350</v>
      </c>
      <c r="E51" s="278">
        <f t="shared" si="2"/>
        <v>44200</v>
      </c>
      <c r="F51" s="1" t="s">
        <v>886</v>
      </c>
      <c r="G51" s="28" t="str">
        <f>IFERROR(VLOOKUP(F51,Tabela7[[RECURSO]:[CUSTO]],2,FALSE),"")</f>
        <v>T</v>
      </c>
      <c r="I51" s="90">
        <f>IFERROR(M51*$B$6,0)</f>
        <v>350</v>
      </c>
      <c r="J51" s="45">
        <f>IFERROR(VLOOKUP(F51,Tabela7[[RECURSO]:[CUSTO]],3,FALSE),0)</f>
        <v>78</v>
      </c>
      <c r="K51" s="45">
        <f>I51*J51</f>
        <v>27300</v>
      </c>
      <c r="M51" s="85">
        <v>1</v>
      </c>
      <c r="N51" s="88"/>
      <c r="AD51" s="144" t="str">
        <f t="shared" si="3"/>
        <v>Capa - CBUQ</v>
      </c>
      <c r="AE51" s="192"/>
      <c r="AF51" s="180">
        <f t="shared" ref="AF51:AF62" si="38">AJ51+AN51+AR51+AV51+AZ51+BD51+BH51+BL51+BP51+BT51+BX51+CB51</f>
        <v>0</v>
      </c>
      <c r="AG51" s="180">
        <f t="shared" si="17"/>
        <v>0</v>
      </c>
      <c r="AH51" s="181">
        <f t="shared" ref="AH51:AH62" si="39">AL51+AP51+AT51+AX51+BB51+BF51+BJ51+BN51+BR51+BV51+BZ51+CD51</f>
        <v>0</v>
      </c>
      <c r="AI51" s="193"/>
      <c r="AJ51" s="90"/>
      <c r="AK51" s="90"/>
      <c r="AL51" s="183">
        <f t="shared" ref="AL51:AL62" si="40">AJ51*AK51</f>
        <v>0</v>
      </c>
      <c r="AM51" s="193"/>
      <c r="AN51" s="90"/>
      <c r="AO51" s="90"/>
      <c r="AP51" s="183">
        <f t="shared" si="23"/>
        <v>0</v>
      </c>
      <c r="AQ51" s="193"/>
      <c r="AR51" s="90"/>
      <c r="AS51" s="90"/>
      <c r="AT51" s="183">
        <f t="shared" si="24"/>
        <v>0</v>
      </c>
      <c r="AU51" s="193"/>
      <c r="AV51" s="90"/>
      <c r="AW51" s="90"/>
      <c r="AX51" s="183">
        <f t="shared" si="25"/>
        <v>0</v>
      </c>
      <c r="AY51" s="193"/>
      <c r="AZ51" s="90"/>
      <c r="BA51" s="90"/>
      <c r="BB51" s="183">
        <f t="shared" si="26"/>
        <v>0</v>
      </c>
      <c r="BC51" s="193"/>
      <c r="BD51" s="90"/>
      <c r="BE51" s="90"/>
      <c r="BF51" s="183">
        <f t="shared" si="27"/>
        <v>0</v>
      </c>
      <c r="BG51" s="193"/>
      <c r="BH51" s="90"/>
      <c r="BI51" s="90"/>
      <c r="BJ51" s="183">
        <f t="shared" si="28"/>
        <v>0</v>
      </c>
      <c r="BK51" s="193"/>
      <c r="BL51" s="90"/>
      <c r="BM51" s="90"/>
      <c r="BN51" s="183">
        <f t="shared" si="29"/>
        <v>0</v>
      </c>
      <c r="BO51" s="193"/>
      <c r="BP51" s="90"/>
      <c r="BQ51" s="90"/>
      <c r="BR51" s="183">
        <f t="shared" si="30"/>
        <v>0</v>
      </c>
      <c r="BS51" s="193"/>
      <c r="BT51" s="90"/>
      <c r="BU51" s="90"/>
      <c r="BV51" s="183">
        <f t="shared" si="31"/>
        <v>0</v>
      </c>
      <c r="BW51" s="193"/>
      <c r="BX51" s="90"/>
      <c r="BY51" s="90"/>
      <c r="BZ51" s="183">
        <f t="shared" si="32"/>
        <v>0</v>
      </c>
      <c r="CA51" s="193"/>
      <c r="CB51" s="90"/>
      <c r="CC51" s="90"/>
      <c r="CD51" s="183">
        <f t="shared" si="33"/>
        <v>0</v>
      </c>
    </row>
    <row r="52" spans="2:82" x14ac:dyDescent="0.3">
      <c r="B52" s="53"/>
      <c r="C52" s="53" t="str">
        <f t="shared" si="0"/>
        <v>CPU_CapaCBUQ</v>
      </c>
      <c r="D52" s="278">
        <f t="shared" si="1"/>
        <v>350</v>
      </c>
      <c r="E52" s="278">
        <f t="shared" si="2"/>
        <v>44200</v>
      </c>
      <c r="F52" s="1" t="s">
        <v>765</v>
      </c>
      <c r="G52" s="28" t="str">
        <f>IFERROR(VLOOKUP(F52,Tabela7[[RECURSO]:[CUSTO]],2,FALSE),"")</f>
        <v>TXKM</v>
      </c>
      <c r="I52" s="90">
        <f t="shared" ref="I52:I62" si="41">IFERROR(M52*$B$6,0)</f>
        <v>17500</v>
      </c>
      <c r="J52" s="45">
        <f>IFERROR(VLOOKUP(F52,Tabela7[[RECURSO]:[CUSTO]],3,FALSE),0)</f>
        <v>1.2</v>
      </c>
      <c r="K52" s="45">
        <f t="shared" ref="K52:K62" si="42">I52*J52</f>
        <v>21000</v>
      </c>
      <c r="M52" s="85">
        <v>50</v>
      </c>
      <c r="N52" s="88"/>
      <c r="O52">
        <f>1.5*80</f>
        <v>120</v>
      </c>
      <c r="AD52" s="144" t="str">
        <f t="shared" si="3"/>
        <v>Capa - CBUQ</v>
      </c>
      <c r="AE52" s="192"/>
      <c r="AF52" s="180">
        <f t="shared" si="38"/>
        <v>0</v>
      </c>
      <c r="AG52" s="180">
        <f t="shared" si="17"/>
        <v>0</v>
      </c>
      <c r="AH52" s="181">
        <f t="shared" si="39"/>
        <v>0</v>
      </c>
      <c r="AI52" s="193"/>
      <c r="AJ52" s="90"/>
      <c r="AK52" s="90"/>
      <c r="AL52" s="183">
        <f t="shared" si="40"/>
        <v>0</v>
      </c>
      <c r="AM52" s="193"/>
      <c r="AN52" s="90"/>
      <c r="AO52" s="90"/>
      <c r="AP52" s="183">
        <f t="shared" si="23"/>
        <v>0</v>
      </c>
      <c r="AQ52" s="193"/>
      <c r="AR52" s="90"/>
      <c r="AS52" s="90"/>
      <c r="AT52" s="183">
        <f t="shared" si="24"/>
        <v>0</v>
      </c>
      <c r="AU52" s="193"/>
      <c r="AV52" s="90"/>
      <c r="AW52" s="90"/>
      <c r="AX52" s="183">
        <f t="shared" si="25"/>
        <v>0</v>
      </c>
      <c r="AY52" s="193"/>
      <c r="AZ52" s="90"/>
      <c r="BA52" s="90"/>
      <c r="BB52" s="183">
        <f t="shared" si="26"/>
        <v>0</v>
      </c>
      <c r="BC52" s="193"/>
      <c r="BD52" s="90"/>
      <c r="BE52" s="90"/>
      <c r="BF52" s="183">
        <f t="shared" si="27"/>
        <v>0</v>
      </c>
      <c r="BG52" s="193"/>
      <c r="BH52" s="90"/>
      <c r="BI52" s="90"/>
      <c r="BJ52" s="183">
        <f t="shared" si="28"/>
        <v>0</v>
      </c>
      <c r="BK52" s="193"/>
      <c r="BL52" s="90"/>
      <c r="BM52" s="90"/>
      <c r="BN52" s="183">
        <f t="shared" si="29"/>
        <v>0</v>
      </c>
      <c r="BO52" s="193"/>
      <c r="BP52" s="90"/>
      <c r="BQ52" s="90"/>
      <c r="BR52" s="183">
        <f t="shared" si="30"/>
        <v>0</v>
      </c>
      <c r="BS52" s="193"/>
      <c r="BT52" s="90"/>
      <c r="BU52" s="90"/>
      <c r="BV52" s="183">
        <f t="shared" si="31"/>
        <v>0</v>
      </c>
      <c r="BW52" s="193"/>
      <c r="BX52" s="90"/>
      <c r="BY52" s="90"/>
      <c r="BZ52" s="183">
        <f t="shared" si="32"/>
        <v>0</v>
      </c>
      <c r="CA52" s="193"/>
      <c r="CB52" s="90"/>
      <c r="CC52" s="90"/>
      <c r="CD52" s="183">
        <f t="shared" si="33"/>
        <v>0</v>
      </c>
    </row>
    <row r="53" spans="2:82" x14ac:dyDescent="0.3">
      <c r="B53" s="53"/>
      <c r="C53" s="53" t="str">
        <f t="shared" si="0"/>
        <v>CPU_CapaCBUQ</v>
      </c>
      <c r="D53" s="278">
        <f t="shared" si="1"/>
        <v>350</v>
      </c>
      <c r="E53" s="278">
        <f t="shared" si="2"/>
        <v>44200</v>
      </c>
      <c r="F53" s="1"/>
      <c r="G53" s="28" t="str">
        <f>IFERROR(VLOOKUP(F53,Tabela7[[RECURSO]:[CUSTO]],2,FALSE),"")</f>
        <v/>
      </c>
      <c r="I53" s="90">
        <f t="shared" si="41"/>
        <v>0</v>
      </c>
      <c r="J53" s="45">
        <f>IFERROR(VLOOKUP(F53,Tabela7[[RECURSO]:[CUSTO]],3,FALSE),0)</f>
        <v>0</v>
      </c>
      <c r="K53" s="45">
        <f t="shared" si="42"/>
        <v>0</v>
      </c>
      <c r="M53" s="85"/>
      <c r="N53" s="88"/>
      <c r="AD53" s="144" t="str">
        <f t="shared" si="3"/>
        <v>Capa - CBUQ</v>
      </c>
      <c r="AE53" s="192"/>
      <c r="AF53" s="180">
        <f t="shared" si="38"/>
        <v>0</v>
      </c>
      <c r="AG53" s="180">
        <f t="shared" si="17"/>
        <v>0</v>
      </c>
      <c r="AH53" s="181">
        <f t="shared" si="39"/>
        <v>0</v>
      </c>
      <c r="AI53" s="193"/>
      <c r="AJ53" s="90"/>
      <c r="AK53" s="90"/>
      <c r="AL53" s="183">
        <f t="shared" si="40"/>
        <v>0</v>
      </c>
      <c r="AM53" s="193"/>
      <c r="AN53" s="90"/>
      <c r="AO53" s="90"/>
      <c r="AP53" s="183">
        <f t="shared" si="23"/>
        <v>0</v>
      </c>
      <c r="AQ53" s="193"/>
      <c r="AR53" s="90"/>
      <c r="AS53" s="90"/>
      <c r="AT53" s="183">
        <f t="shared" si="24"/>
        <v>0</v>
      </c>
      <c r="AU53" s="193"/>
      <c r="AV53" s="90"/>
      <c r="AW53" s="90"/>
      <c r="AX53" s="183">
        <f t="shared" si="25"/>
        <v>0</v>
      </c>
      <c r="AY53" s="193"/>
      <c r="AZ53" s="90"/>
      <c r="BA53" s="90"/>
      <c r="BB53" s="183">
        <f t="shared" si="26"/>
        <v>0</v>
      </c>
      <c r="BC53" s="193"/>
      <c r="BD53" s="90"/>
      <c r="BE53" s="90"/>
      <c r="BF53" s="183">
        <f t="shared" si="27"/>
        <v>0</v>
      </c>
      <c r="BG53" s="193"/>
      <c r="BH53" s="90"/>
      <c r="BI53" s="90"/>
      <c r="BJ53" s="183">
        <f t="shared" si="28"/>
        <v>0</v>
      </c>
      <c r="BK53" s="193"/>
      <c r="BL53" s="90"/>
      <c r="BM53" s="90"/>
      <c r="BN53" s="183">
        <f t="shared" si="29"/>
        <v>0</v>
      </c>
      <c r="BO53" s="193"/>
      <c r="BP53" s="90"/>
      <c r="BQ53" s="90"/>
      <c r="BR53" s="183">
        <f t="shared" si="30"/>
        <v>0</v>
      </c>
      <c r="BS53" s="193"/>
      <c r="BT53" s="90"/>
      <c r="BU53" s="90"/>
      <c r="BV53" s="183">
        <f t="shared" si="31"/>
        <v>0</v>
      </c>
      <c r="BW53" s="193"/>
      <c r="BX53" s="90"/>
      <c r="BY53" s="90"/>
      <c r="BZ53" s="183">
        <f t="shared" si="32"/>
        <v>0</v>
      </c>
      <c r="CA53" s="193"/>
      <c r="CB53" s="90"/>
      <c r="CC53" s="90"/>
      <c r="CD53" s="183">
        <f t="shared" si="33"/>
        <v>0</v>
      </c>
    </row>
    <row r="54" spans="2:82" x14ac:dyDescent="0.3">
      <c r="B54" s="53"/>
      <c r="C54" s="53" t="str">
        <f t="shared" si="0"/>
        <v>CPU_CapaCBUQ</v>
      </c>
      <c r="D54" s="278">
        <f t="shared" si="1"/>
        <v>350</v>
      </c>
      <c r="E54" s="278">
        <f t="shared" si="2"/>
        <v>44200</v>
      </c>
      <c r="F54" s="1"/>
      <c r="G54" s="28" t="str">
        <f>IFERROR(VLOOKUP(F54,Tabela7[[RECURSO]:[CUSTO]],2,FALSE),"")</f>
        <v/>
      </c>
      <c r="I54" s="90">
        <f t="shared" si="41"/>
        <v>0</v>
      </c>
      <c r="J54" s="45">
        <f>IFERROR(VLOOKUP(F54,Tabela7[[RECURSO]:[CUSTO]],3,FALSE),0)</f>
        <v>0</v>
      </c>
      <c r="K54" s="45">
        <f>I54*J54</f>
        <v>0</v>
      </c>
      <c r="M54" s="85"/>
      <c r="N54" s="88"/>
      <c r="AD54" s="144" t="str">
        <f>$B$3</f>
        <v>Capa - CBUQ</v>
      </c>
      <c r="AE54" s="192"/>
      <c r="AF54" s="180">
        <f t="shared" si="38"/>
        <v>0</v>
      </c>
      <c r="AG54" s="180">
        <f t="shared" si="17"/>
        <v>0</v>
      </c>
      <c r="AH54" s="181">
        <f t="shared" si="39"/>
        <v>0</v>
      </c>
      <c r="AI54" s="193"/>
      <c r="AJ54" s="90"/>
      <c r="AK54" s="90"/>
      <c r="AL54" s="183">
        <f t="shared" si="40"/>
        <v>0</v>
      </c>
      <c r="AM54" s="193"/>
      <c r="AN54" s="90"/>
      <c r="AO54" s="90"/>
      <c r="AP54" s="183">
        <f t="shared" si="23"/>
        <v>0</v>
      </c>
      <c r="AQ54" s="193"/>
      <c r="AR54" s="90"/>
      <c r="AS54" s="90"/>
      <c r="AT54" s="183">
        <f t="shared" si="24"/>
        <v>0</v>
      </c>
      <c r="AU54" s="193"/>
      <c r="AV54" s="90"/>
      <c r="AW54" s="90"/>
      <c r="AX54" s="183">
        <f t="shared" si="25"/>
        <v>0</v>
      </c>
      <c r="AY54" s="193"/>
      <c r="AZ54" s="90"/>
      <c r="BA54" s="90"/>
      <c r="BB54" s="183">
        <f t="shared" si="26"/>
        <v>0</v>
      </c>
      <c r="BC54" s="193"/>
      <c r="BD54" s="90"/>
      <c r="BE54" s="90"/>
      <c r="BF54" s="183">
        <f t="shared" si="27"/>
        <v>0</v>
      </c>
      <c r="BG54" s="193"/>
      <c r="BH54" s="90"/>
      <c r="BI54" s="90"/>
      <c r="BJ54" s="183">
        <f t="shared" si="28"/>
        <v>0</v>
      </c>
      <c r="BK54" s="193"/>
      <c r="BL54" s="90"/>
      <c r="BM54" s="90"/>
      <c r="BN54" s="183">
        <f t="shared" si="29"/>
        <v>0</v>
      </c>
      <c r="BO54" s="193"/>
      <c r="BP54" s="90"/>
      <c r="BQ54" s="90"/>
      <c r="BR54" s="183">
        <f t="shared" si="30"/>
        <v>0</v>
      </c>
      <c r="BS54" s="193"/>
      <c r="BT54" s="90"/>
      <c r="BU54" s="90"/>
      <c r="BV54" s="183">
        <f t="shared" si="31"/>
        <v>0</v>
      </c>
      <c r="BW54" s="193"/>
      <c r="BX54" s="90"/>
      <c r="BY54" s="90"/>
      <c r="BZ54" s="183">
        <f t="shared" si="32"/>
        <v>0</v>
      </c>
      <c r="CA54" s="193"/>
      <c r="CB54" s="90"/>
      <c r="CC54" s="90"/>
      <c r="CD54" s="183">
        <f t="shared" si="33"/>
        <v>0</v>
      </c>
    </row>
    <row r="55" spans="2:82" x14ac:dyDescent="0.3">
      <c r="B55" s="53"/>
      <c r="C55" s="53" t="str">
        <f t="shared" si="0"/>
        <v>CPU_CapaCBUQ</v>
      </c>
      <c r="D55" s="278">
        <f t="shared" si="1"/>
        <v>350</v>
      </c>
      <c r="E55" s="278">
        <f t="shared" si="2"/>
        <v>44200</v>
      </c>
      <c r="F55" s="1"/>
      <c r="G55" s="28" t="str">
        <f>IFERROR(VLOOKUP(F55,Tabela7[[RECURSO]:[CUSTO]],2,FALSE),"")</f>
        <v/>
      </c>
      <c r="I55" s="90">
        <f t="shared" si="41"/>
        <v>0</v>
      </c>
      <c r="J55" s="45">
        <f>IFERROR(VLOOKUP(F55,Tabela7[[RECURSO]:[CUSTO]],3,FALSE),0)</f>
        <v>0</v>
      </c>
      <c r="K55" s="45">
        <f t="shared" si="42"/>
        <v>0</v>
      </c>
      <c r="M55" s="85"/>
      <c r="N55" s="88"/>
      <c r="AD55" s="144" t="str">
        <f t="shared" si="3"/>
        <v>Capa - CBUQ</v>
      </c>
      <c r="AE55" s="192"/>
      <c r="AF55" s="180">
        <f t="shared" si="38"/>
        <v>0</v>
      </c>
      <c r="AG55" s="180">
        <f t="shared" si="17"/>
        <v>0</v>
      </c>
      <c r="AH55" s="181">
        <f t="shared" si="39"/>
        <v>0</v>
      </c>
      <c r="AI55" s="193"/>
      <c r="AJ55" s="90"/>
      <c r="AK55" s="90"/>
      <c r="AL55" s="183">
        <f t="shared" si="40"/>
        <v>0</v>
      </c>
      <c r="AM55" s="193"/>
      <c r="AN55" s="90"/>
      <c r="AO55" s="90"/>
      <c r="AP55" s="183">
        <f t="shared" si="23"/>
        <v>0</v>
      </c>
      <c r="AQ55" s="193"/>
      <c r="AR55" s="90"/>
      <c r="AS55" s="90"/>
      <c r="AT55" s="183">
        <f t="shared" si="24"/>
        <v>0</v>
      </c>
      <c r="AU55" s="193"/>
      <c r="AV55" s="90"/>
      <c r="AW55" s="90"/>
      <c r="AX55" s="183">
        <f t="shared" si="25"/>
        <v>0</v>
      </c>
      <c r="AY55" s="193"/>
      <c r="AZ55" s="90"/>
      <c r="BA55" s="90"/>
      <c r="BB55" s="183">
        <f t="shared" si="26"/>
        <v>0</v>
      </c>
      <c r="BC55" s="193"/>
      <c r="BD55" s="90"/>
      <c r="BE55" s="90"/>
      <c r="BF55" s="183">
        <f t="shared" si="27"/>
        <v>0</v>
      </c>
      <c r="BG55" s="193"/>
      <c r="BH55" s="90"/>
      <c r="BI55" s="90"/>
      <c r="BJ55" s="183">
        <f t="shared" si="28"/>
        <v>0</v>
      </c>
      <c r="BK55" s="193"/>
      <c r="BL55" s="90"/>
      <c r="BM55" s="90"/>
      <c r="BN55" s="183">
        <f t="shared" si="29"/>
        <v>0</v>
      </c>
      <c r="BO55" s="193"/>
      <c r="BP55" s="90"/>
      <c r="BQ55" s="90"/>
      <c r="BR55" s="183">
        <f t="shared" si="30"/>
        <v>0</v>
      </c>
      <c r="BS55" s="193"/>
      <c r="BT55" s="90"/>
      <c r="BU55" s="90"/>
      <c r="BV55" s="183">
        <f t="shared" si="31"/>
        <v>0</v>
      </c>
      <c r="BW55" s="193"/>
      <c r="BX55" s="90"/>
      <c r="BY55" s="90"/>
      <c r="BZ55" s="183">
        <f t="shared" si="32"/>
        <v>0</v>
      </c>
      <c r="CA55" s="193"/>
      <c r="CB55" s="90"/>
      <c r="CC55" s="90"/>
      <c r="CD55" s="183">
        <f t="shared" si="33"/>
        <v>0</v>
      </c>
    </row>
    <row r="56" spans="2:82" x14ac:dyDescent="0.3">
      <c r="B56" s="53"/>
      <c r="C56" s="53" t="str">
        <f t="shared" si="0"/>
        <v>CPU_CapaCBUQ</v>
      </c>
      <c r="D56" s="278">
        <f t="shared" si="1"/>
        <v>350</v>
      </c>
      <c r="E56" s="278">
        <f t="shared" si="2"/>
        <v>44200</v>
      </c>
      <c r="F56" s="1"/>
      <c r="G56" s="28" t="str">
        <f>IFERROR(VLOOKUP(F56,Tabela7[[RECURSO]:[CUSTO]],2,FALSE),"")</f>
        <v/>
      </c>
      <c r="I56" s="90">
        <f t="shared" si="41"/>
        <v>0</v>
      </c>
      <c r="J56" s="45">
        <f>IFERROR(VLOOKUP(F56,Tabela7[[RECURSO]:[CUSTO]],3,FALSE),0)</f>
        <v>0</v>
      </c>
      <c r="K56" s="45">
        <f t="shared" si="42"/>
        <v>0</v>
      </c>
      <c r="M56" s="85"/>
      <c r="N56" s="88"/>
      <c r="AD56" s="144" t="str">
        <f t="shared" si="3"/>
        <v>Capa - CBUQ</v>
      </c>
      <c r="AE56" s="192"/>
      <c r="AF56" s="180">
        <f t="shared" si="38"/>
        <v>0</v>
      </c>
      <c r="AG56" s="180">
        <f t="shared" si="17"/>
        <v>0</v>
      </c>
      <c r="AH56" s="181">
        <f t="shared" si="39"/>
        <v>0</v>
      </c>
      <c r="AI56" s="193"/>
      <c r="AJ56" s="90"/>
      <c r="AK56" s="90"/>
      <c r="AL56" s="183">
        <f t="shared" si="40"/>
        <v>0</v>
      </c>
      <c r="AM56" s="193"/>
      <c r="AN56" s="90"/>
      <c r="AO56" s="90"/>
      <c r="AP56" s="183">
        <f t="shared" si="23"/>
        <v>0</v>
      </c>
      <c r="AQ56" s="193"/>
      <c r="AR56" s="90"/>
      <c r="AS56" s="90"/>
      <c r="AT56" s="183">
        <f t="shared" si="24"/>
        <v>0</v>
      </c>
      <c r="AU56" s="193"/>
      <c r="AV56" s="90"/>
      <c r="AW56" s="90"/>
      <c r="AX56" s="183">
        <f t="shared" si="25"/>
        <v>0</v>
      </c>
      <c r="AY56" s="193"/>
      <c r="AZ56" s="90"/>
      <c r="BA56" s="90"/>
      <c r="BB56" s="183">
        <f t="shared" si="26"/>
        <v>0</v>
      </c>
      <c r="BC56" s="193"/>
      <c r="BD56" s="90"/>
      <c r="BE56" s="90"/>
      <c r="BF56" s="183">
        <f t="shared" si="27"/>
        <v>0</v>
      </c>
      <c r="BG56" s="193"/>
      <c r="BH56" s="90"/>
      <c r="BI56" s="90"/>
      <c r="BJ56" s="183">
        <f t="shared" si="28"/>
        <v>0</v>
      </c>
      <c r="BK56" s="193"/>
      <c r="BL56" s="90"/>
      <c r="BM56" s="90"/>
      <c r="BN56" s="183">
        <f t="shared" si="29"/>
        <v>0</v>
      </c>
      <c r="BO56" s="193"/>
      <c r="BP56" s="90"/>
      <c r="BQ56" s="90"/>
      <c r="BR56" s="183">
        <f t="shared" si="30"/>
        <v>0</v>
      </c>
      <c r="BS56" s="193"/>
      <c r="BT56" s="90"/>
      <c r="BU56" s="90"/>
      <c r="BV56" s="183">
        <f t="shared" si="31"/>
        <v>0</v>
      </c>
      <c r="BW56" s="193"/>
      <c r="BX56" s="90"/>
      <c r="BY56" s="90"/>
      <c r="BZ56" s="183">
        <f t="shared" si="32"/>
        <v>0</v>
      </c>
      <c r="CA56" s="193"/>
      <c r="CB56" s="90"/>
      <c r="CC56" s="90"/>
      <c r="CD56" s="183">
        <f t="shared" si="33"/>
        <v>0</v>
      </c>
    </row>
    <row r="57" spans="2:82" x14ac:dyDescent="0.3">
      <c r="B57" s="53"/>
      <c r="C57" s="53" t="str">
        <f t="shared" si="0"/>
        <v>CPU_CapaCBUQ</v>
      </c>
      <c r="D57" s="278">
        <f t="shared" si="1"/>
        <v>350</v>
      </c>
      <c r="E57" s="278">
        <f t="shared" si="2"/>
        <v>44200</v>
      </c>
      <c r="F57" s="1"/>
      <c r="G57" s="28" t="str">
        <f>IFERROR(VLOOKUP(F57,Tabela7[[RECURSO]:[CUSTO]],2,FALSE),"")</f>
        <v/>
      </c>
      <c r="I57" s="90">
        <f t="shared" si="41"/>
        <v>0</v>
      </c>
      <c r="J57" s="45">
        <f>IFERROR(VLOOKUP(F57,Tabela7[[RECURSO]:[CUSTO]],3,FALSE),0)</f>
        <v>0</v>
      </c>
      <c r="K57" s="45">
        <f t="shared" si="42"/>
        <v>0</v>
      </c>
      <c r="M57" s="85"/>
      <c r="N57" s="88"/>
      <c r="AD57" s="144" t="str">
        <f t="shared" si="3"/>
        <v>Capa - CBUQ</v>
      </c>
      <c r="AE57" s="192"/>
      <c r="AF57" s="180">
        <f t="shared" si="38"/>
        <v>0</v>
      </c>
      <c r="AG57" s="180">
        <f t="shared" si="17"/>
        <v>0</v>
      </c>
      <c r="AH57" s="181">
        <f t="shared" si="39"/>
        <v>0</v>
      </c>
      <c r="AI57" s="193"/>
      <c r="AJ57" s="90"/>
      <c r="AK57" s="90"/>
      <c r="AL57" s="183">
        <f t="shared" si="40"/>
        <v>0</v>
      </c>
      <c r="AM57" s="193"/>
      <c r="AN57" s="90"/>
      <c r="AO57" s="90"/>
      <c r="AP57" s="183">
        <f t="shared" si="23"/>
        <v>0</v>
      </c>
      <c r="AQ57" s="193"/>
      <c r="AR57" s="90"/>
      <c r="AS57" s="90"/>
      <c r="AT57" s="183">
        <f t="shared" si="24"/>
        <v>0</v>
      </c>
      <c r="AU57" s="193"/>
      <c r="AV57" s="90"/>
      <c r="AW57" s="90"/>
      <c r="AX57" s="183">
        <f t="shared" si="25"/>
        <v>0</v>
      </c>
      <c r="AY57" s="193"/>
      <c r="AZ57" s="90"/>
      <c r="BA57" s="90"/>
      <c r="BB57" s="183">
        <f t="shared" si="26"/>
        <v>0</v>
      </c>
      <c r="BC57" s="193"/>
      <c r="BD57" s="90"/>
      <c r="BE57" s="90"/>
      <c r="BF57" s="183">
        <f t="shared" si="27"/>
        <v>0</v>
      </c>
      <c r="BG57" s="193"/>
      <c r="BH57" s="90"/>
      <c r="BI57" s="90"/>
      <c r="BJ57" s="183">
        <f t="shared" si="28"/>
        <v>0</v>
      </c>
      <c r="BK57" s="193"/>
      <c r="BL57" s="90"/>
      <c r="BM57" s="90"/>
      <c r="BN57" s="183">
        <f t="shared" si="29"/>
        <v>0</v>
      </c>
      <c r="BO57" s="193"/>
      <c r="BP57" s="90"/>
      <c r="BQ57" s="90"/>
      <c r="BR57" s="183">
        <f t="shared" si="30"/>
        <v>0</v>
      </c>
      <c r="BS57" s="193"/>
      <c r="BT57" s="90"/>
      <c r="BU57" s="90"/>
      <c r="BV57" s="183">
        <f t="shared" si="31"/>
        <v>0</v>
      </c>
      <c r="BW57" s="193"/>
      <c r="BX57" s="90"/>
      <c r="BY57" s="90"/>
      <c r="BZ57" s="183">
        <f t="shared" si="32"/>
        <v>0</v>
      </c>
      <c r="CA57" s="193"/>
      <c r="CB57" s="90"/>
      <c r="CC57" s="90"/>
      <c r="CD57" s="183">
        <f t="shared" si="33"/>
        <v>0</v>
      </c>
    </row>
    <row r="58" spans="2:82" x14ac:dyDescent="0.3">
      <c r="B58" s="53"/>
      <c r="C58" s="53" t="str">
        <f t="shared" si="0"/>
        <v>CPU_CapaCBUQ</v>
      </c>
      <c r="D58" s="278">
        <f t="shared" si="1"/>
        <v>350</v>
      </c>
      <c r="E58" s="278">
        <f t="shared" si="2"/>
        <v>44200</v>
      </c>
      <c r="F58" s="1"/>
      <c r="G58" s="28" t="str">
        <f>IFERROR(VLOOKUP(F58,Tabela7[[RECURSO]:[CUSTO]],2,FALSE),"")</f>
        <v/>
      </c>
      <c r="I58" s="90">
        <f t="shared" si="41"/>
        <v>0</v>
      </c>
      <c r="J58" s="45">
        <f>IFERROR(VLOOKUP(F58,Tabela7[[RECURSO]:[CUSTO]],3,FALSE),0)</f>
        <v>0</v>
      </c>
      <c r="K58" s="45">
        <f t="shared" si="42"/>
        <v>0</v>
      </c>
      <c r="M58" s="85"/>
      <c r="N58" s="88"/>
      <c r="AD58" s="144" t="str">
        <f t="shared" si="3"/>
        <v>Capa - CBUQ</v>
      </c>
      <c r="AE58" s="192"/>
      <c r="AF58" s="180">
        <f t="shared" si="38"/>
        <v>0</v>
      </c>
      <c r="AG58" s="180">
        <f t="shared" si="17"/>
        <v>0</v>
      </c>
      <c r="AH58" s="181">
        <f t="shared" si="39"/>
        <v>0</v>
      </c>
      <c r="AI58" s="193"/>
      <c r="AJ58" s="90"/>
      <c r="AK58" s="90"/>
      <c r="AL58" s="183">
        <f t="shared" si="40"/>
        <v>0</v>
      </c>
      <c r="AM58" s="193"/>
      <c r="AN58" s="90"/>
      <c r="AO58" s="90"/>
      <c r="AP58" s="183">
        <f t="shared" si="23"/>
        <v>0</v>
      </c>
      <c r="AQ58" s="193"/>
      <c r="AR58" s="90"/>
      <c r="AS58" s="90"/>
      <c r="AT58" s="183">
        <f t="shared" si="24"/>
        <v>0</v>
      </c>
      <c r="AU58" s="193"/>
      <c r="AV58" s="90"/>
      <c r="AW58" s="90"/>
      <c r="AX58" s="183">
        <f t="shared" si="25"/>
        <v>0</v>
      </c>
      <c r="AY58" s="193"/>
      <c r="AZ58" s="90"/>
      <c r="BA58" s="90"/>
      <c r="BB58" s="183">
        <f t="shared" si="26"/>
        <v>0</v>
      </c>
      <c r="BC58" s="193"/>
      <c r="BD58" s="90"/>
      <c r="BE58" s="90"/>
      <c r="BF58" s="183">
        <f t="shared" si="27"/>
        <v>0</v>
      </c>
      <c r="BG58" s="193"/>
      <c r="BH58" s="90"/>
      <c r="BI58" s="90"/>
      <c r="BJ58" s="183">
        <f t="shared" si="28"/>
        <v>0</v>
      </c>
      <c r="BK58" s="193"/>
      <c r="BL58" s="90"/>
      <c r="BM58" s="90"/>
      <c r="BN58" s="183">
        <f t="shared" si="29"/>
        <v>0</v>
      </c>
      <c r="BO58" s="193"/>
      <c r="BP58" s="90"/>
      <c r="BQ58" s="90"/>
      <c r="BR58" s="183">
        <f t="shared" si="30"/>
        <v>0</v>
      </c>
      <c r="BS58" s="193"/>
      <c r="BT58" s="90"/>
      <c r="BU58" s="90"/>
      <c r="BV58" s="183">
        <f t="shared" si="31"/>
        <v>0</v>
      </c>
      <c r="BW58" s="193"/>
      <c r="BX58" s="90"/>
      <c r="BY58" s="90"/>
      <c r="BZ58" s="183">
        <f t="shared" si="32"/>
        <v>0</v>
      </c>
      <c r="CA58" s="193"/>
      <c r="CB58" s="90"/>
      <c r="CC58" s="90"/>
      <c r="CD58" s="183">
        <f t="shared" si="33"/>
        <v>0</v>
      </c>
    </row>
    <row r="59" spans="2:82" x14ac:dyDescent="0.3">
      <c r="B59" s="53"/>
      <c r="C59" s="53" t="str">
        <f t="shared" si="0"/>
        <v>CPU_CapaCBUQ</v>
      </c>
      <c r="D59" s="278">
        <f t="shared" si="1"/>
        <v>350</v>
      </c>
      <c r="E59" s="278">
        <f t="shared" si="2"/>
        <v>44200</v>
      </c>
      <c r="F59" s="1"/>
      <c r="G59" s="28" t="str">
        <f>IFERROR(VLOOKUP(F59,Tabela7[[RECURSO]:[CUSTO]],2,FALSE),"")</f>
        <v/>
      </c>
      <c r="I59" s="90">
        <f t="shared" si="41"/>
        <v>0</v>
      </c>
      <c r="J59" s="45">
        <f>IFERROR(VLOOKUP(F59,Tabela7[[RECURSO]:[CUSTO]],3,FALSE),0)</f>
        <v>0</v>
      </c>
      <c r="K59" s="45">
        <f t="shared" si="42"/>
        <v>0</v>
      </c>
      <c r="M59" s="85"/>
      <c r="N59" s="88"/>
      <c r="AD59" s="144" t="str">
        <f t="shared" si="3"/>
        <v>Capa - CBUQ</v>
      </c>
      <c r="AE59" s="192"/>
      <c r="AF59" s="180">
        <f t="shared" si="38"/>
        <v>0</v>
      </c>
      <c r="AG59" s="180">
        <f t="shared" si="17"/>
        <v>0</v>
      </c>
      <c r="AH59" s="181">
        <f t="shared" si="39"/>
        <v>0</v>
      </c>
      <c r="AI59" s="193"/>
      <c r="AJ59" s="90"/>
      <c r="AK59" s="90"/>
      <c r="AL59" s="183">
        <f t="shared" si="40"/>
        <v>0</v>
      </c>
      <c r="AM59" s="193"/>
      <c r="AN59" s="90"/>
      <c r="AO59" s="90"/>
      <c r="AP59" s="183">
        <f t="shared" si="23"/>
        <v>0</v>
      </c>
      <c r="AQ59" s="193"/>
      <c r="AR59" s="90"/>
      <c r="AS59" s="90"/>
      <c r="AT59" s="183">
        <f t="shared" si="24"/>
        <v>0</v>
      </c>
      <c r="AU59" s="193"/>
      <c r="AV59" s="90"/>
      <c r="AW59" s="90"/>
      <c r="AX59" s="183">
        <f t="shared" si="25"/>
        <v>0</v>
      </c>
      <c r="AY59" s="193"/>
      <c r="AZ59" s="90"/>
      <c r="BA59" s="90"/>
      <c r="BB59" s="183">
        <f t="shared" si="26"/>
        <v>0</v>
      </c>
      <c r="BC59" s="193"/>
      <c r="BD59" s="90"/>
      <c r="BE59" s="90"/>
      <c r="BF59" s="183">
        <f t="shared" si="27"/>
        <v>0</v>
      </c>
      <c r="BG59" s="193"/>
      <c r="BH59" s="90"/>
      <c r="BI59" s="90"/>
      <c r="BJ59" s="183">
        <f t="shared" si="28"/>
        <v>0</v>
      </c>
      <c r="BK59" s="193"/>
      <c r="BL59" s="90"/>
      <c r="BM59" s="90"/>
      <c r="BN59" s="183">
        <f t="shared" si="29"/>
        <v>0</v>
      </c>
      <c r="BO59" s="193"/>
      <c r="BP59" s="90"/>
      <c r="BQ59" s="90"/>
      <c r="BR59" s="183">
        <f t="shared" si="30"/>
        <v>0</v>
      </c>
      <c r="BS59" s="193"/>
      <c r="BT59" s="90"/>
      <c r="BU59" s="90"/>
      <c r="BV59" s="183">
        <f t="shared" si="31"/>
        <v>0</v>
      </c>
      <c r="BW59" s="193"/>
      <c r="BX59" s="90"/>
      <c r="BY59" s="90"/>
      <c r="BZ59" s="183">
        <f t="shared" si="32"/>
        <v>0</v>
      </c>
      <c r="CA59" s="193"/>
      <c r="CB59" s="90"/>
      <c r="CC59" s="90"/>
      <c r="CD59" s="183">
        <f t="shared" si="33"/>
        <v>0</v>
      </c>
    </row>
    <row r="60" spans="2:82" x14ac:dyDescent="0.3">
      <c r="B60" s="53"/>
      <c r="C60" s="53" t="str">
        <f t="shared" si="0"/>
        <v>CPU_CapaCBUQ</v>
      </c>
      <c r="D60" s="278">
        <f t="shared" si="1"/>
        <v>350</v>
      </c>
      <c r="E60" s="278">
        <f t="shared" si="2"/>
        <v>44200</v>
      </c>
      <c r="F60" s="1"/>
      <c r="G60" s="28" t="str">
        <f>IFERROR(VLOOKUP(F60,Tabela7[[RECURSO]:[CUSTO]],2,FALSE),"")</f>
        <v/>
      </c>
      <c r="I60" s="90">
        <f t="shared" si="41"/>
        <v>0</v>
      </c>
      <c r="J60" s="45">
        <f>IFERROR(VLOOKUP(F60,Tabela7[[RECURSO]:[CUSTO]],3,FALSE),0)</f>
        <v>0</v>
      </c>
      <c r="K60" s="45">
        <f t="shared" si="42"/>
        <v>0</v>
      </c>
      <c r="M60" s="85"/>
      <c r="N60" s="88"/>
      <c r="AD60" s="144" t="str">
        <f t="shared" si="3"/>
        <v>Capa - CBUQ</v>
      </c>
      <c r="AE60" s="192"/>
      <c r="AF60" s="180">
        <f t="shared" si="38"/>
        <v>0</v>
      </c>
      <c r="AG60" s="180">
        <f t="shared" si="17"/>
        <v>0</v>
      </c>
      <c r="AH60" s="181">
        <f t="shared" si="39"/>
        <v>0</v>
      </c>
      <c r="AI60" s="193"/>
      <c r="AJ60" s="90"/>
      <c r="AK60" s="90"/>
      <c r="AL60" s="183">
        <f t="shared" si="40"/>
        <v>0</v>
      </c>
      <c r="AM60" s="193"/>
      <c r="AN60" s="90"/>
      <c r="AO60" s="90"/>
      <c r="AP60" s="183">
        <f t="shared" si="23"/>
        <v>0</v>
      </c>
      <c r="AQ60" s="193"/>
      <c r="AR60" s="90"/>
      <c r="AS60" s="90"/>
      <c r="AT60" s="183">
        <f t="shared" si="24"/>
        <v>0</v>
      </c>
      <c r="AU60" s="193"/>
      <c r="AV60" s="90"/>
      <c r="AW60" s="90"/>
      <c r="AX60" s="183">
        <f t="shared" si="25"/>
        <v>0</v>
      </c>
      <c r="AY60" s="193"/>
      <c r="AZ60" s="90"/>
      <c r="BA60" s="90"/>
      <c r="BB60" s="183">
        <f t="shared" si="26"/>
        <v>0</v>
      </c>
      <c r="BC60" s="193"/>
      <c r="BD60" s="90"/>
      <c r="BE60" s="90"/>
      <c r="BF60" s="183">
        <f t="shared" si="27"/>
        <v>0</v>
      </c>
      <c r="BG60" s="193"/>
      <c r="BH60" s="90"/>
      <c r="BI60" s="90"/>
      <c r="BJ60" s="183">
        <f t="shared" si="28"/>
        <v>0</v>
      </c>
      <c r="BK60" s="193"/>
      <c r="BL60" s="90"/>
      <c r="BM60" s="90"/>
      <c r="BN60" s="183">
        <f t="shared" si="29"/>
        <v>0</v>
      </c>
      <c r="BO60" s="193"/>
      <c r="BP60" s="90"/>
      <c r="BQ60" s="90"/>
      <c r="BR60" s="183">
        <f t="shared" si="30"/>
        <v>0</v>
      </c>
      <c r="BS60" s="193"/>
      <c r="BT60" s="90"/>
      <c r="BU60" s="90"/>
      <c r="BV60" s="183">
        <f t="shared" si="31"/>
        <v>0</v>
      </c>
      <c r="BW60" s="193"/>
      <c r="BX60" s="90"/>
      <c r="BY60" s="90"/>
      <c r="BZ60" s="183">
        <f t="shared" si="32"/>
        <v>0</v>
      </c>
      <c r="CA60" s="193"/>
      <c r="CB60" s="90"/>
      <c r="CC60" s="90"/>
      <c r="CD60" s="183">
        <f t="shared" si="33"/>
        <v>0</v>
      </c>
    </row>
    <row r="61" spans="2:82" x14ac:dyDescent="0.3">
      <c r="B61" s="53"/>
      <c r="C61" s="53" t="str">
        <f t="shared" si="0"/>
        <v>CPU_CapaCBUQ</v>
      </c>
      <c r="D61" s="278">
        <f t="shared" si="1"/>
        <v>350</v>
      </c>
      <c r="E61" s="278">
        <f t="shared" si="2"/>
        <v>44200</v>
      </c>
      <c r="F61" s="1"/>
      <c r="G61" s="28" t="str">
        <f>IFERROR(VLOOKUP(F61,Tabela7[[RECURSO]:[CUSTO]],2,FALSE),"")</f>
        <v/>
      </c>
      <c r="I61" s="90">
        <f t="shared" si="41"/>
        <v>0</v>
      </c>
      <c r="J61" s="45">
        <f>IFERROR(VLOOKUP(F61,Tabela7[[RECURSO]:[CUSTO]],3,FALSE),0)</f>
        <v>0</v>
      </c>
      <c r="K61" s="45">
        <f t="shared" si="42"/>
        <v>0</v>
      </c>
      <c r="M61" s="85"/>
      <c r="N61" s="88"/>
      <c r="AD61" s="144" t="str">
        <f t="shared" si="3"/>
        <v>Capa - CBUQ</v>
      </c>
      <c r="AE61" s="192"/>
      <c r="AF61" s="180">
        <f t="shared" si="38"/>
        <v>0</v>
      </c>
      <c r="AG61" s="180">
        <f t="shared" si="17"/>
        <v>0</v>
      </c>
      <c r="AH61" s="181">
        <f t="shared" si="39"/>
        <v>0</v>
      </c>
      <c r="AI61" s="193"/>
      <c r="AJ61" s="90"/>
      <c r="AK61" s="90"/>
      <c r="AL61" s="183">
        <f t="shared" si="40"/>
        <v>0</v>
      </c>
      <c r="AM61" s="193"/>
      <c r="AN61" s="90"/>
      <c r="AO61" s="90"/>
      <c r="AP61" s="183">
        <f t="shared" si="23"/>
        <v>0</v>
      </c>
      <c r="AQ61" s="193"/>
      <c r="AR61" s="90"/>
      <c r="AS61" s="90"/>
      <c r="AT61" s="183">
        <f t="shared" si="24"/>
        <v>0</v>
      </c>
      <c r="AU61" s="193"/>
      <c r="AV61" s="90"/>
      <c r="AW61" s="90"/>
      <c r="AX61" s="183">
        <f t="shared" si="25"/>
        <v>0</v>
      </c>
      <c r="AY61" s="193"/>
      <c r="AZ61" s="90"/>
      <c r="BA61" s="90"/>
      <c r="BB61" s="183">
        <f t="shared" si="26"/>
        <v>0</v>
      </c>
      <c r="BC61" s="193"/>
      <c r="BD61" s="90"/>
      <c r="BE61" s="90"/>
      <c r="BF61" s="183">
        <f t="shared" si="27"/>
        <v>0</v>
      </c>
      <c r="BG61" s="193"/>
      <c r="BH61" s="90"/>
      <c r="BI61" s="90"/>
      <c r="BJ61" s="183">
        <f t="shared" si="28"/>
        <v>0</v>
      </c>
      <c r="BK61" s="193"/>
      <c r="BL61" s="90"/>
      <c r="BM61" s="90"/>
      <c r="BN61" s="183">
        <f t="shared" si="29"/>
        <v>0</v>
      </c>
      <c r="BO61" s="193"/>
      <c r="BP61" s="90"/>
      <c r="BQ61" s="90"/>
      <c r="BR61" s="183">
        <f t="shared" si="30"/>
        <v>0</v>
      </c>
      <c r="BS61" s="193"/>
      <c r="BT61" s="90"/>
      <c r="BU61" s="90"/>
      <c r="BV61" s="183">
        <f t="shared" si="31"/>
        <v>0</v>
      </c>
      <c r="BW61" s="193"/>
      <c r="BX61" s="90"/>
      <c r="BY61" s="90"/>
      <c r="BZ61" s="183">
        <f t="shared" si="32"/>
        <v>0</v>
      </c>
      <c r="CA61" s="193"/>
      <c r="CB61" s="90"/>
      <c r="CC61" s="90"/>
      <c r="CD61" s="183">
        <f t="shared" si="33"/>
        <v>0</v>
      </c>
    </row>
    <row r="62" spans="2:82" ht="15" thickBot="1" x14ac:dyDescent="0.35">
      <c r="B62" s="53"/>
      <c r="C62" s="53" t="str">
        <f t="shared" si="0"/>
        <v>CPU_CapaCBUQ</v>
      </c>
      <c r="D62" s="278">
        <f t="shared" si="1"/>
        <v>350</v>
      </c>
      <c r="E62" s="278">
        <f t="shared" si="2"/>
        <v>44200</v>
      </c>
      <c r="F62" s="1"/>
      <c r="G62" s="28" t="str">
        <f>IFERROR(VLOOKUP(F62,Tabela7[[RECURSO]:[CUSTO]],2,FALSE),"")</f>
        <v/>
      </c>
      <c r="I62" s="90">
        <f t="shared" si="41"/>
        <v>0</v>
      </c>
      <c r="J62" s="45">
        <f>IFERROR(VLOOKUP(F62,Tabela7[[RECURSO]:[CUSTO]],3,FALSE),0)</f>
        <v>0</v>
      </c>
      <c r="K62" s="45">
        <f t="shared" si="42"/>
        <v>0</v>
      </c>
      <c r="M62" s="86"/>
      <c r="N62" s="88"/>
      <c r="AD62" s="144" t="str">
        <f t="shared" si="3"/>
        <v>Capa - CBUQ</v>
      </c>
      <c r="AE62" s="194"/>
      <c r="AF62" s="195">
        <f t="shared" si="38"/>
        <v>0</v>
      </c>
      <c r="AG62" s="195">
        <f t="shared" si="17"/>
        <v>0</v>
      </c>
      <c r="AH62" s="196">
        <f t="shared" si="39"/>
        <v>0</v>
      </c>
      <c r="AI62" s="197"/>
      <c r="AJ62" s="198"/>
      <c r="AK62" s="198"/>
      <c r="AL62" s="199">
        <f t="shared" si="40"/>
        <v>0</v>
      </c>
      <c r="AM62" s="197"/>
      <c r="AN62" s="198"/>
      <c r="AO62" s="198"/>
      <c r="AP62" s="199">
        <f t="shared" si="23"/>
        <v>0</v>
      </c>
      <c r="AQ62" s="197"/>
      <c r="AR62" s="198"/>
      <c r="AS62" s="198"/>
      <c r="AT62" s="199">
        <f t="shared" si="24"/>
        <v>0</v>
      </c>
      <c r="AU62" s="197"/>
      <c r="AV62" s="198"/>
      <c r="AW62" s="198"/>
      <c r="AX62" s="199">
        <f t="shared" si="25"/>
        <v>0</v>
      </c>
      <c r="AY62" s="197"/>
      <c r="AZ62" s="198"/>
      <c r="BA62" s="198"/>
      <c r="BB62" s="199">
        <f t="shared" si="26"/>
        <v>0</v>
      </c>
      <c r="BC62" s="197"/>
      <c r="BD62" s="198"/>
      <c r="BE62" s="198"/>
      <c r="BF62" s="199">
        <f t="shared" si="27"/>
        <v>0</v>
      </c>
      <c r="BG62" s="197"/>
      <c r="BH62" s="198"/>
      <c r="BI62" s="198"/>
      <c r="BJ62" s="199">
        <f t="shared" si="28"/>
        <v>0</v>
      </c>
      <c r="BK62" s="197"/>
      <c r="BL62" s="198"/>
      <c r="BM62" s="198"/>
      <c r="BN62" s="199">
        <f t="shared" si="29"/>
        <v>0</v>
      </c>
      <c r="BO62" s="197"/>
      <c r="BP62" s="198"/>
      <c r="BQ62" s="198"/>
      <c r="BR62" s="199">
        <f t="shared" si="30"/>
        <v>0</v>
      </c>
      <c r="BS62" s="197"/>
      <c r="BT62" s="198"/>
      <c r="BU62" s="198"/>
      <c r="BV62" s="199">
        <f t="shared" si="31"/>
        <v>0</v>
      </c>
      <c r="BW62" s="197"/>
      <c r="BX62" s="198"/>
      <c r="BY62" s="198"/>
      <c r="BZ62" s="199">
        <f t="shared" si="32"/>
        <v>0</v>
      </c>
      <c r="CA62" s="197"/>
      <c r="CB62" s="198"/>
      <c r="CC62" s="198"/>
      <c r="CD62" s="199">
        <f t="shared" si="33"/>
        <v>0</v>
      </c>
    </row>
  </sheetData>
  <conditionalFormatting sqref="K6:K7">
    <cfRule type="iconSet" priority="14">
      <iconSet>
        <cfvo type="percent" val="0"/>
        <cfvo type="num" val="0"/>
        <cfvo type="num" val="0.02"/>
      </iconSet>
    </cfRule>
  </conditionalFormatting>
  <conditionalFormatting sqref="AH6:AH7">
    <cfRule type="iconSet" priority="13">
      <iconSet>
        <cfvo type="percent" val="0"/>
        <cfvo type="num" val="0"/>
        <cfvo type="num" val="0.02"/>
      </iconSet>
    </cfRule>
  </conditionalFormatting>
  <conditionalFormatting sqref="AL6:AL7">
    <cfRule type="iconSet" priority="12">
      <iconSet>
        <cfvo type="percent" val="0"/>
        <cfvo type="num" val="0"/>
        <cfvo type="num" val="0.02"/>
      </iconSet>
    </cfRule>
  </conditionalFormatting>
  <conditionalFormatting sqref="AP6:AP7">
    <cfRule type="iconSet" priority="11">
      <iconSet>
        <cfvo type="percent" val="0"/>
        <cfvo type="num" val="0"/>
        <cfvo type="num" val="0.02"/>
      </iconSet>
    </cfRule>
  </conditionalFormatting>
  <conditionalFormatting sqref="AT6:AT7">
    <cfRule type="iconSet" priority="10">
      <iconSet>
        <cfvo type="percent" val="0"/>
        <cfvo type="num" val="0"/>
        <cfvo type="num" val="0.02"/>
      </iconSet>
    </cfRule>
  </conditionalFormatting>
  <conditionalFormatting sqref="AX6:AX7">
    <cfRule type="iconSet" priority="9">
      <iconSet>
        <cfvo type="percent" val="0"/>
        <cfvo type="num" val="0"/>
        <cfvo type="num" val="0.02"/>
      </iconSet>
    </cfRule>
  </conditionalFormatting>
  <conditionalFormatting sqref="BB6:BB7">
    <cfRule type="iconSet" priority="8">
      <iconSet>
        <cfvo type="percent" val="0"/>
        <cfvo type="num" val="0"/>
        <cfvo type="num" val="0.02"/>
      </iconSet>
    </cfRule>
  </conditionalFormatting>
  <conditionalFormatting sqref="BF6:BF7">
    <cfRule type="iconSet" priority="7">
      <iconSet>
        <cfvo type="percent" val="0"/>
        <cfvo type="num" val="0"/>
        <cfvo type="num" val="0.02"/>
      </iconSet>
    </cfRule>
  </conditionalFormatting>
  <conditionalFormatting sqref="BJ6:BJ7">
    <cfRule type="iconSet" priority="6">
      <iconSet>
        <cfvo type="percent" val="0"/>
        <cfvo type="num" val="0"/>
        <cfvo type="num" val="0.02"/>
      </iconSet>
    </cfRule>
  </conditionalFormatting>
  <conditionalFormatting sqref="BN6:BN7">
    <cfRule type="iconSet" priority="5">
      <iconSet>
        <cfvo type="percent" val="0"/>
        <cfvo type="num" val="0"/>
        <cfvo type="num" val="0.02"/>
      </iconSet>
    </cfRule>
  </conditionalFormatting>
  <conditionalFormatting sqref="BR6:BR7">
    <cfRule type="iconSet" priority="4">
      <iconSet>
        <cfvo type="percent" val="0"/>
        <cfvo type="num" val="0"/>
        <cfvo type="num" val="0.02"/>
      </iconSet>
    </cfRule>
  </conditionalFormatting>
  <conditionalFormatting sqref="BV6:BV7">
    <cfRule type="iconSet" priority="3">
      <iconSet>
        <cfvo type="percent" val="0"/>
        <cfvo type="num" val="0"/>
        <cfvo type="num" val="0.02"/>
      </iconSet>
    </cfRule>
  </conditionalFormatting>
  <conditionalFormatting sqref="BZ6:BZ7">
    <cfRule type="iconSet" priority="2">
      <iconSet>
        <cfvo type="percent" val="0"/>
        <cfvo type="num" val="0"/>
        <cfvo type="num" val="0.02"/>
      </iconSet>
    </cfRule>
  </conditionalFormatting>
  <conditionalFormatting sqref="CD6:CD7">
    <cfRule type="iconSet" priority="1">
      <iconSet>
        <cfvo type="percent" val="0"/>
        <cfvo type="num" val="0"/>
        <cfvo type="num" val="0.02"/>
      </iconSet>
    </cfRule>
  </conditionalFormatting>
  <dataValidations count="5">
    <dataValidation type="list" allowBlank="1" showInputMessage="1" showErrorMessage="1" sqref="F51:F62" xr:uid="{21306C48-28B1-44DA-9892-B017CB6BF269}">
      <formula1>INDIRECT($B$50)</formula1>
    </dataValidation>
    <dataValidation type="list" allowBlank="1" showInputMessage="1" showErrorMessage="1" sqref="F38:F49" xr:uid="{1ECCD805-BEB0-497F-B502-C1E82A22149A}">
      <formula1>INDIRECT($B$37)</formula1>
    </dataValidation>
    <dataValidation type="list" allowBlank="1" showInputMessage="1" showErrorMessage="1" sqref="F25:F36" xr:uid="{0DDAFC28-AE6D-42D6-BC10-41A5C34245CF}">
      <formula1>INDIRECT($B$24)</formula1>
    </dataValidation>
    <dataValidation type="list" allowBlank="1" showInputMessage="1" showErrorMessage="1" sqref="F12:F23" xr:uid="{95A4CF31-A762-45BC-A966-5C4C6E5CBE27}">
      <formula1>INDIRECT($B$11)</formula1>
    </dataValidation>
    <dataValidation type="list" allowBlank="1" showInputMessage="1" showErrorMessage="1" sqref="B3:E3" xr:uid="{62B62ED8-CE77-49B6-8E6B-5851B811A144}">
      <formula1>INDIRECT($B$2)</formula1>
    </dataValidation>
  </dataValidations>
  <pageMargins left="0.51181102362204722" right="0.51181102362204722" top="0.19685039370078741" bottom="0.19685039370078741" header="0.31496062992125984" footer="0.31496062992125984"/>
  <pageSetup paperSize="9" scale="82" orientation="portrait" r:id="rId1"/>
  <colBreaks count="1" manualBreakCount="1">
    <brk id="11" max="1048575" man="1"/>
  </colBreaks>
  <drawing r:id="rId2"/>
  <legacyDrawing r:id="rId3"/>
  <tableParts count="2">
    <tablePart r:id="rId4"/>
    <tablePart r:id="rId5"/>
  </tablePart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3A0E-60E2-4223-BC73-499A83EE9DA3}">
  <sheetPr codeName="Plan15"/>
  <dimension ref="A1:CD62"/>
  <sheetViews>
    <sheetView showGridLines="0" zoomScale="85" zoomScaleNormal="85" workbookViewId="0">
      <pane xSplit="14" ySplit="10" topLeftCell="O14" activePane="bottomRight" state="frozen"/>
      <selection pane="topRight" activeCell="C28" activeCellId="1" sqref="E13 C28"/>
      <selection pane="bottomLeft" activeCell="C28" activeCellId="1" sqref="E13 C28"/>
      <selection pane="bottomRight" activeCell="K50" activeCellId="2" sqref="K24 K11 K50"/>
    </sheetView>
  </sheetViews>
  <sheetFormatPr defaultRowHeight="14.4" x14ac:dyDescent="0.3"/>
  <cols>
    <col min="1" max="1" width="4.109375" customWidth="1"/>
    <col min="2" max="2" width="16.109375" customWidth="1"/>
    <col min="3" max="5" width="16.109375" hidden="1" customWidth="1"/>
    <col min="6" max="6" width="40.6640625" customWidth="1"/>
    <col min="7" max="7" width="10.6640625" style="28" customWidth="1"/>
    <col min="8" max="8" width="7.6640625" style="28" customWidth="1"/>
    <col min="9" max="11" width="10.6640625" customWidth="1"/>
    <col min="12" max="12" width="2.33203125" customWidth="1"/>
    <col min="13" max="14" width="12.6640625" customWidth="1"/>
    <col min="15" max="15" width="14" bestFit="1" customWidth="1"/>
    <col min="18" max="18" width="10.33203125" bestFit="1" customWidth="1"/>
    <col min="30" max="30" width="12.44140625" bestFit="1" customWidth="1"/>
    <col min="31" max="31" width="7.6640625" customWidth="1"/>
    <col min="32" max="32" width="9.33203125" bestFit="1" customWidth="1"/>
    <col min="33" max="34" width="10.6640625" customWidth="1"/>
    <col min="35" max="35" width="7.6640625" customWidth="1"/>
    <col min="36" max="36" width="9.33203125" customWidth="1"/>
    <col min="37" max="38" width="10.6640625" customWidth="1"/>
    <col min="40" max="40" width="9.33203125" customWidth="1"/>
    <col min="42" max="42" width="9.6640625" customWidth="1"/>
    <col min="44" max="44" width="9.33203125" customWidth="1"/>
    <col min="46" max="46" width="9.6640625" customWidth="1"/>
    <col min="48" max="48" width="9.33203125" customWidth="1"/>
    <col min="50" max="50" width="9.6640625" customWidth="1"/>
    <col min="52" max="52" width="9.33203125" customWidth="1"/>
    <col min="54" max="54" width="9.6640625" customWidth="1"/>
    <col min="56" max="56" width="9.33203125" customWidth="1"/>
    <col min="58" max="58" width="9.6640625" customWidth="1"/>
    <col min="60" max="60" width="9.33203125" customWidth="1"/>
    <col min="62" max="62" width="9.6640625" customWidth="1"/>
    <col min="64" max="64" width="9.33203125" customWidth="1"/>
    <col min="66" max="66" width="9.6640625" customWidth="1"/>
    <col min="68" max="68" width="9.33203125" customWidth="1"/>
    <col min="70" max="70" width="9.6640625" customWidth="1"/>
    <col min="72" max="72" width="10" customWidth="1"/>
    <col min="73" max="73" width="9.5546875" customWidth="1"/>
    <col min="74" max="74" width="10.44140625" customWidth="1"/>
    <col min="76" max="76" width="10" customWidth="1"/>
    <col min="77" max="77" width="9.5546875" customWidth="1"/>
    <col min="78" max="78" width="10.44140625" customWidth="1"/>
    <col min="80" max="80" width="10" customWidth="1"/>
    <col min="81" max="81" width="9.5546875" customWidth="1"/>
    <col min="82" max="82" width="10.44140625" customWidth="1"/>
  </cols>
  <sheetData>
    <row r="1" spans="1:82" ht="26.4" customHeight="1" thickBot="1" x14ac:dyDescent="0.35">
      <c r="AE1" s="163" t="s">
        <v>678</v>
      </c>
    </row>
    <row r="2" spans="1:82" x14ac:dyDescent="0.3">
      <c r="B2" s="64" t="s">
        <v>679</v>
      </c>
      <c r="C2" s="67"/>
      <c r="D2" s="67"/>
      <c r="E2" s="67"/>
      <c r="F2" s="65"/>
      <c r="G2" s="66"/>
      <c r="H2" s="66"/>
      <c r="I2" s="65"/>
      <c r="J2" s="67" t="s">
        <v>680</v>
      </c>
      <c r="K2" s="68" t="s">
        <v>681</v>
      </c>
      <c r="M2" s="227" t="s">
        <v>682</v>
      </c>
      <c r="N2" s="228" t="s">
        <v>683</v>
      </c>
      <c r="O2" s="234" t="s">
        <v>684</v>
      </c>
      <c r="AE2" s="164" t="s">
        <v>590</v>
      </c>
      <c r="AF2" s="165" t="s">
        <v>20</v>
      </c>
      <c r="AG2" s="67"/>
      <c r="AH2" s="68" t="s">
        <v>681</v>
      </c>
      <c r="AI2" s="166">
        <v>44927</v>
      </c>
      <c r="AJ2" s="165" t="s">
        <v>20</v>
      </c>
      <c r="AK2" s="67"/>
      <c r="AL2" s="68" t="s">
        <v>681</v>
      </c>
      <c r="AM2" s="166">
        <v>44958</v>
      </c>
      <c r="AN2" s="165" t="s">
        <v>20</v>
      </c>
      <c r="AO2" s="67"/>
      <c r="AP2" s="68" t="s">
        <v>681</v>
      </c>
      <c r="AQ2" s="166">
        <v>44986</v>
      </c>
      <c r="AR2" s="165" t="s">
        <v>20</v>
      </c>
      <c r="AS2" s="67"/>
      <c r="AT2" s="68" t="s">
        <v>681</v>
      </c>
      <c r="AU2" s="166">
        <v>45017</v>
      </c>
      <c r="AV2" s="165" t="s">
        <v>20</v>
      </c>
      <c r="AW2" s="67"/>
      <c r="AX2" s="68" t="s">
        <v>681</v>
      </c>
      <c r="AY2" s="166">
        <v>45047</v>
      </c>
      <c r="AZ2" s="165" t="s">
        <v>20</v>
      </c>
      <c r="BA2" s="67"/>
      <c r="BB2" s="68" t="s">
        <v>681</v>
      </c>
      <c r="BC2" s="166">
        <v>45078</v>
      </c>
      <c r="BD2" s="165" t="s">
        <v>20</v>
      </c>
      <c r="BE2" s="67"/>
      <c r="BF2" s="68" t="s">
        <v>681</v>
      </c>
      <c r="BG2" s="166">
        <v>45108</v>
      </c>
      <c r="BH2" s="165" t="s">
        <v>20</v>
      </c>
      <c r="BI2" s="67"/>
      <c r="BJ2" s="68" t="s">
        <v>681</v>
      </c>
      <c r="BK2" s="166">
        <v>45139</v>
      </c>
      <c r="BL2" s="165" t="s">
        <v>20</v>
      </c>
      <c r="BM2" s="67"/>
      <c r="BN2" s="68" t="s">
        <v>681</v>
      </c>
      <c r="BO2" s="166">
        <v>45170</v>
      </c>
      <c r="BP2" s="165" t="s">
        <v>20</v>
      </c>
      <c r="BQ2" s="67"/>
      <c r="BR2" s="68" t="s">
        <v>681</v>
      </c>
      <c r="BS2" s="166">
        <v>45200</v>
      </c>
      <c r="BT2" s="165" t="s">
        <v>20</v>
      </c>
      <c r="BU2" s="67"/>
      <c r="BV2" s="68" t="s">
        <v>681</v>
      </c>
      <c r="BW2" s="166">
        <v>45231</v>
      </c>
      <c r="BX2" s="165" t="s">
        <v>20</v>
      </c>
      <c r="BY2" s="67"/>
      <c r="BZ2" s="68" t="s">
        <v>681</v>
      </c>
      <c r="CA2" s="166">
        <v>45261</v>
      </c>
      <c r="CB2" s="165" t="s">
        <v>20</v>
      </c>
      <c r="CC2" s="67"/>
      <c r="CD2" s="68" t="s">
        <v>681</v>
      </c>
    </row>
    <row r="3" spans="1:82" x14ac:dyDescent="0.3">
      <c r="A3" s="42" t="str">
        <f>"CPU_"&amp;LEFT(SUBSTITUTE(SUBSTITUTE(B3," ",""),"-",""),20)</f>
        <v>CPU_FresagemDescontinua</v>
      </c>
      <c r="B3" s="31" t="s">
        <v>887</v>
      </c>
      <c r="C3" s="1"/>
      <c r="D3" s="1"/>
      <c r="E3" s="1"/>
      <c r="F3" s="73"/>
      <c r="G3" s="74"/>
      <c r="H3" s="74"/>
      <c r="I3" s="73"/>
      <c r="J3" s="74" t="str">
        <f>IFERROR(VLOOKUP(B3,Tabela1[[NOME SERVIÇO]:[UNID]],4,0),"")</f>
        <v>M³</v>
      </c>
      <c r="K3" s="75">
        <f>IFERROR(J6/B6,0)</f>
        <v>65.140206172989949</v>
      </c>
      <c r="M3" s="229" t="s">
        <v>685</v>
      </c>
      <c r="N3" s="230">
        <f>K11</f>
        <v>6010.090909090909</v>
      </c>
      <c r="O3" s="235">
        <f>IFERROR(N3/$N$7,0)</f>
        <v>0.63266689452297609</v>
      </c>
      <c r="AE3" s="167"/>
      <c r="AF3" s="168">
        <f>AJ3+AN3+AR3+AV3+AZ3+BD3+BH3+BL3+BP3+BT3+BX3+CB3</f>
        <v>0</v>
      </c>
      <c r="AG3" s="74"/>
      <c r="AH3" s="75">
        <f>IFERROR((AG6/AF3),0)</f>
        <v>0</v>
      </c>
      <c r="AI3" s="167"/>
      <c r="AJ3" s="168">
        <f>IFERROR(SUMPRODUCT(Plan_Orc!$I$4:$I$2002*Plan_Orc!$AB$4:$AB$2002*(Plan_Orc!$D$4:$D$2002=$B3)),0)</f>
        <v>0</v>
      </c>
      <c r="AK3" s="74"/>
      <c r="AL3" s="75">
        <f>IFERROR((AK6/AJ3),0)</f>
        <v>0</v>
      </c>
      <c r="AM3" s="167"/>
      <c r="AN3" s="168">
        <f>IFERROR(SUMPRODUCT(Plan_Orc!$I$4:$I$2002*Plan_Orc!$AC$4:$AC$2002*(Plan_Orc!$D$4:$D$2002=$B3)),0)</f>
        <v>0</v>
      </c>
      <c r="AO3" s="74"/>
      <c r="AP3" s="75">
        <f>IFERROR((AO6/AN3),0)</f>
        <v>0</v>
      </c>
      <c r="AQ3" s="167"/>
      <c r="AR3" s="168">
        <f>IFERROR(SUMPRODUCT(Plan_Orc!$I$4:$I$2002*Plan_Orc!$AD$4:$AD$2002*(Plan_Orc!$D$4:$D$2002=$B3)),0)</f>
        <v>0</v>
      </c>
      <c r="AS3" s="74"/>
      <c r="AT3" s="75">
        <f>IFERROR((AS6/AR3),0)</f>
        <v>0</v>
      </c>
      <c r="AU3" s="167"/>
      <c r="AV3" s="168">
        <f>IFERROR(SUMPRODUCT(Plan_Orc!$I$4:$I$2002*Plan_Orc!$AE$4:$AE$2002*(Plan_Orc!$D$4:$D$2002=$B3)),0)</f>
        <v>0</v>
      </c>
      <c r="AW3" s="74"/>
      <c r="AX3" s="75">
        <f>IFERROR((AW6/AV3),0)</f>
        <v>0</v>
      </c>
      <c r="AY3" s="167"/>
      <c r="AZ3" s="168">
        <f>IFERROR(SUMPRODUCT(Plan_Orc!$I$4:$I$2002*Plan_Orc!$AF$4:$AF$2002*(Plan_Orc!$D$4:$D$2002=$B3)),0)</f>
        <v>0</v>
      </c>
      <c r="BA3" s="74"/>
      <c r="BB3" s="75">
        <f>IFERROR((BA6/AZ3),0)</f>
        <v>0</v>
      </c>
      <c r="BC3" s="167"/>
      <c r="BD3" s="168">
        <f>IFERROR(SUMPRODUCT(Plan_Orc!$I$4:$I$2002*Plan_Orc!$AG$4:$AG$2002*(Plan_Orc!$D$4:$D$2002=$B3)),0)</f>
        <v>0</v>
      </c>
      <c r="BE3" s="74"/>
      <c r="BF3" s="75">
        <f>IFERROR((BE6/BD3),0)</f>
        <v>0</v>
      </c>
      <c r="BG3" s="167"/>
      <c r="BH3" s="168">
        <f>IFERROR(SUMPRODUCT(Plan_Orc!$I$4:$I$2002*Plan_Orc!$AH$4:$AH$2002*(Plan_Orc!$D$4:$D$2002=$B3)),0)</f>
        <v>0</v>
      </c>
      <c r="BI3" s="74"/>
      <c r="BJ3" s="75">
        <f>IFERROR((BI6/BH3),0)</f>
        <v>0</v>
      </c>
      <c r="BK3" s="167"/>
      <c r="BL3" s="168">
        <f>IFERROR(SUMPRODUCT(Plan_Orc!$I$4:$I$2002*Plan_Orc!$AI$4:$AI$2002*(Plan_Orc!$D$4:$D$2002=$B3)),0)</f>
        <v>0</v>
      </c>
      <c r="BM3" s="74"/>
      <c r="BN3" s="75">
        <f>IFERROR((BM6/BL3),0)</f>
        <v>0</v>
      </c>
      <c r="BO3" s="167"/>
      <c r="BP3" s="168">
        <f>IFERROR(SUMPRODUCT(Plan_Orc!$I$4:$I$2002*Plan_Orc!$AJ$4:$AJ$2002*(Plan_Orc!$D$4:$D$2002=$B3)),0)</f>
        <v>0</v>
      </c>
      <c r="BQ3" s="74"/>
      <c r="BR3" s="75">
        <f>IFERROR((BQ6/BP3),0)</f>
        <v>0</v>
      </c>
      <c r="BS3" s="167"/>
      <c r="BT3" s="168">
        <f>IFERROR(SUMPRODUCT(Plan_Orc!$I$4:$I$2002*Plan_Orc!$AK$4:$AK$2002*(Plan_Orc!$D$4:$D$2002=$B3)),0)</f>
        <v>0</v>
      </c>
      <c r="BU3" s="74"/>
      <c r="BV3" s="75">
        <f>IFERROR((BU6/BT3),0)</f>
        <v>0</v>
      </c>
      <c r="BW3" s="167"/>
      <c r="BX3" s="168">
        <f>IFERROR(SUMPRODUCT(Plan_Orc!$I$4:$I$2002*Plan_Orc!$AL$4:$AL$2002*(Plan_Orc!$D$4:$D$2002=$B3)),0)</f>
        <v>0</v>
      </c>
      <c r="BY3" s="74"/>
      <c r="BZ3" s="75">
        <f>IFERROR((BY6/BX3),0)</f>
        <v>0</v>
      </c>
      <c r="CA3" s="167"/>
      <c r="CB3" s="168">
        <f>IFERROR(SUMPRODUCT(Plan_Orc!$I$4:$I$2002*Plan_Orc!$AM$4:$AM$2002*(Plan_Orc!$D$4:$D$2002=$B3)),0)</f>
        <v>0</v>
      </c>
      <c r="CC3" s="74"/>
      <c r="CD3" s="75">
        <f>IFERROR((CC6/CB3),0)</f>
        <v>0</v>
      </c>
    </row>
    <row r="4" spans="1:82" x14ac:dyDescent="0.3">
      <c r="B4" s="32"/>
      <c r="K4" s="30"/>
      <c r="M4" s="229" t="s">
        <v>686</v>
      </c>
      <c r="N4" s="230">
        <f>+K24</f>
        <v>520.66115702479328</v>
      </c>
      <c r="O4" s="235">
        <f>IFERROR(N4/$N$7,0)</f>
        <v>5.4808668004564617E-2</v>
      </c>
      <c r="AE4" s="169"/>
      <c r="AH4" s="30"/>
      <c r="AI4" s="169"/>
      <c r="AL4" s="30"/>
      <c r="AM4" s="169"/>
      <c r="AP4" s="30"/>
      <c r="AQ4" s="169"/>
      <c r="AT4" s="30"/>
      <c r="AU4" s="169"/>
      <c r="AX4" s="30"/>
      <c r="AY4" s="169"/>
      <c r="BB4" s="30"/>
      <c r="BC4" s="169"/>
      <c r="BF4" s="30"/>
      <c r="BG4" s="169"/>
      <c r="BJ4" s="30"/>
      <c r="BK4" s="169"/>
      <c r="BN4" s="30"/>
      <c r="BO4" s="169"/>
      <c r="BR4" s="30"/>
      <c r="BS4" s="169"/>
      <c r="BV4" s="30"/>
      <c r="BW4" s="169"/>
      <c r="BZ4" s="30"/>
      <c r="CA4" s="169"/>
      <c r="CD4" s="30"/>
    </row>
    <row r="5" spans="1:82" x14ac:dyDescent="0.3">
      <c r="B5" s="69" t="s">
        <v>687</v>
      </c>
      <c r="C5" s="72"/>
      <c r="D5" s="72"/>
      <c r="E5" s="72"/>
      <c r="F5" s="70" t="s">
        <v>688</v>
      </c>
      <c r="G5" s="70" t="s">
        <v>689</v>
      </c>
      <c r="H5" s="70" t="s">
        <v>690</v>
      </c>
      <c r="I5" s="70" t="s">
        <v>691</v>
      </c>
      <c r="J5" s="70" t="s">
        <v>683</v>
      </c>
      <c r="K5" s="71" t="s">
        <v>593</v>
      </c>
      <c r="M5" s="229" t="s">
        <v>692</v>
      </c>
      <c r="N5" s="230">
        <f>+K37</f>
        <v>1685.5280007786648</v>
      </c>
      <c r="O5" s="235">
        <f>IFERROR(N5/$N$7,0)</f>
        <v>0.17743122059454161</v>
      </c>
      <c r="AE5" s="170"/>
      <c r="AF5" s="70" t="s">
        <v>691</v>
      </c>
      <c r="AG5" s="70" t="s">
        <v>683</v>
      </c>
      <c r="AH5" s="71" t="s">
        <v>593</v>
      </c>
      <c r="AI5" s="170"/>
      <c r="AJ5" s="70" t="s">
        <v>691</v>
      </c>
      <c r="AK5" s="70" t="s">
        <v>683</v>
      </c>
      <c r="AL5" s="71" t="s">
        <v>593</v>
      </c>
      <c r="AM5" s="170"/>
      <c r="AN5" s="70" t="s">
        <v>691</v>
      </c>
      <c r="AO5" s="70" t="s">
        <v>683</v>
      </c>
      <c r="AP5" s="71" t="s">
        <v>593</v>
      </c>
      <c r="AQ5" s="170"/>
      <c r="AR5" s="70" t="s">
        <v>691</v>
      </c>
      <c r="AS5" s="70" t="s">
        <v>683</v>
      </c>
      <c r="AT5" s="71" t="s">
        <v>593</v>
      </c>
      <c r="AU5" s="170"/>
      <c r="AV5" s="70" t="s">
        <v>691</v>
      </c>
      <c r="AW5" s="70" t="s">
        <v>683</v>
      </c>
      <c r="AX5" s="71" t="s">
        <v>593</v>
      </c>
      <c r="AY5" s="170"/>
      <c r="AZ5" s="70" t="s">
        <v>691</v>
      </c>
      <c r="BA5" s="70" t="s">
        <v>683</v>
      </c>
      <c r="BB5" s="71" t="s">
        <v>593</v>
      </c>
      <c r="BC5" s="170"/>
      <c r="BD5" s="70" t="s">
        <v>691</v>
      </c>
      <c r="BE5" s="70" t="s">
        <v>683</v>
      </c>
      <c r="BF5" s="71" t="s">
        <v>593</v>
      </c>
      <c r="BG5" s="170"/>
      <c r="BH5" s="70" t="s">
        <v>691</v>
      </c>
      <c r="BI5" s="70" t="s">
        <v>683</v>
      </c>
      <c r="BJ5" s="71" t="s">
        <v>593</v>
      </c>
      <c r="BK5" s="170"/>
      <c r="BL5" s="70" t="s">
        <v>691</v>
      </c>
      <c r="BM5" s="70" t="s">
        <v>683</v>
      </c>
      <c r="BN5" s="71" t="s">
        <v>593</v>
      </c>
      <c r="BO5" s="170"/>
      <c r="BP5" s="70" t="s">
        <v>691</v>
      </c>
      <c r="BQ5" s="70" t="s">
        <v>683</v>
      </c>
      <c r="BR5" s="71" t="s">
        <v>593</v>
      </c>
      <c r="BS5" s="170"/>
      <c r="BT5" s="70" t="s">
        <v>691</v>
      </c>
      <c r="BU5" s="70" t="s">
        <v>683</v>
      </c>
      <c r="BV5" s="71" t="s">
        <v>593</v>
      </c>
      <c r="BW5" s="170"/>
      <c r="BX5" s="70" t="s">
        <v>691</v>
      </c>
      <c r="BY5" s="70" t="s">
        <v>683</v>
      </c>
      <c r="BZ5" s="71" t="s">
        <v>593</v>
      </c>
      <c r="CA5" s="170"/>
      <c r="CB5" s="70" t="s">
        <v>691</v>
      </c>
      <c r="CC5" s="70" t="s">
        <v>683</v>
      </c>
      <c r="CD5" s="71" t="s">
        <v>593</v>
      </c>
    </row>
    <row r="6" spans="1:82" s="2" customFormat="1" ht="30" customHeight="1" x14ac:dyDescent="0.3">
      <c r="B6" s="33">
        <f>CPU_CapaCBUQ!B6/2.4</f>
        <v>145.83333333333334</v>
      </c>
      <c r="C6" s="275"/>
      <c r="D6" s="275"/>
      <c r="E6" s="275"/>
      <c r="F6" s="27"/>
      <c r="G6" s="35">
        <v>1</v>
      </c>
      <c r="H6" s="81" t="s">
        <v>347</v>
      </c>
      <c r="I6" s="55">
        <f>IFERROR(I7/B7*B6,0)</f>
        <v>18170.833333333332</v>
      </c>
      <c r="J6" s="55">
        <f>K11+K24+K37+K50</f>
        <v>9499.6134002277013</v>
      </c>
      <c r="K6" s="56">
        <f>IFERROR((I6-J6)/I6-PARAMETROS!C19,0)</f>
        <v>0.32640540792142891</v>
      </c>
      <c r="M6" s="229" t="s">
        <v>693</v>
      </c>
      <c r="N6" s="230">
        <f>+K50</f>
        <v>1283.3333333333335</v>
      </c>
      <c r="O6" s="235">
        <f>IFERROR(N6/$N$7,0)</f>
        <v>0.13509321687791764</v>
      </c>
      <c r="AE6" s="171"/>
      <c r="AF6" s="55">
        <f>AJ6+AN6+AR6+AV6+AZ6+BD6+BH6+BL6+BP6+BT6+BX6+CB6</f>
        <v>0</v>
      </c>
      <c r="AG6" s="55">
        <f>AH11+AH24+AH37+AH50</f>
        <v>0</v>
      </c>
      <c r="AH6" s="56">
        <f>IFERROR((AF6-AG6)/AF6,0)</f>
        <v>0</v>
      </c>
      <c r="AI6" s="171"/>
      <c r="AJ6" s="55"/>
      <c r="AK6" s="55">
        <f>AL11+AL24+AL37+AL50</f>
        <v>0</v>
      </c>
      <c r="AL6" s="56">
        <f>IFERROR((AJ6-AK6)/AJ6,0)</f>
        <v>0</v>
      </c>
      <c r="AM6" s="171"/>
      <c r="AN6" s="55"/>
      <c r="AO6" s="55">
        <f>AP11+AP24+AP37+AP50</f>
        <v>0</v>
      </c>
      <c r="AP6" s="56">
        <f>IFERROR((AN6-AO6)/AN6,0)</f>
        <v>0</v>
      </c>
      <c r="AQ6" s="171"/>
      <c r="AR6" s="55"/>
      <c r="AS6" s="55">
        <f>AT11+AT24+AT37+AT50</f>
        <v>0</v>
      </c>
      <c r="AT6" s="56">
        <f>IFERROR((AR6-AS6)/AR6,0)</f>
        <v>0</v>
      </c>
      <c r="AU6" s="171"/>
      <c r="AV6" s="55"/>
      <c r="AW6" s="55">
        <f>AX11+AX24+AX37+AX50</f>
        <v>0</v>
      </c>
      <c r="AX6" s="56">
        <f>IFERROR((AV6-AW6)/AV6,0)</f>
        <v>0</v>
      </c>
      <c r="AY6" s="171"/>
      <c r="AZ6" s="55"/>
      <c r="BA6" s="55">
        <f>BB11+BB24+BB37+BB50</f>
        <v>0</v>
      </c>
      <c r="BB6" s="56">
        <f>IFERROR((AZ6-BA6)/AZ6,0)</f>
        <v>0</v>
      </c>
      <c r="BC6" s="171"/>
      <c r="BD6" s="55"/>
      <c r="BE6" s="55">
        <f>BF11+BF24+BF37+BF50</f>
        <v>0</v>
      </c>
      <c r="BF6" s="56">
        <f>IFERROR((BD6-BE6)/BD6,0)</f>
        <v>0</v>
      </c>
      <c r="BG6" s="171"/>
      <c r="BH6" s="55"/>
      <c r="BI6" s="55">
        <f>BJ11+BJ24+BJ37+BJ50</f>
        <v>0</v>
      </c>
      <c r="BJ6" s="56">
        <f>IFERROR((BH6-BI6)/BH6,0)</f>
        <v>0</v>
      </c>
      <c r="BK6" s="171"/>
      <c r="BL6" s="55"/>
      <c r="BM6" s="55">
        <f>BN11+BN24+BN37+BN50</f>
        <v>0</v>
      </c>
      <c r="BN6" s="56">
        <f>IFERROR((BL6-BM6)/BL6,0)</f>
        <v>0</v>
      </c>
      <c r="BO6" s="171"/>
      <c r="BP6" s="55"/>
      <c r="BQ6" s="55">
        <f>BR11+BR24+BR37+BR50</f>
        <v>0</v>
      </c>
      <c r="BR6" s="56">
        <f>IFERROR((BP6-BQ6)/BP6,0)</f>
        <v>0</v>
      </c>
      <c r="BS6" s="171"/>
      <c r="BT6" s="55"/>
      <c r="BU6" s="55">
        <f>BV11+BV24+BV37+BV50</f>
        <v>0</v>
      </c>
      <c r="BV6" s="56">
        <f>IFERROR((BT6-BU6)/BT6,0)</f>
        <v>0</v>
      </c>
      <c r="BW6" s="171"/>
      <c r="BX6" s="55"/>
      <c r="BY6" s="55">
        <f>BZ11+BZ24+BZ37+BZ50</f>
        <v>0</v>
      </c>
      <c r="BZ6" s="56">
        <f>IFERROR((BX6-BY6)/BX6,0)</f>
        <v>0</v>
      </c>
      <c r="CA6" s="171"/>
      <c r="CB6" s="55"/>
      <c r="CC6" s="55">
        <f>CD11+CD24+CD37+CD50</f>
        <v>0</v>
      </c>
      <c r="CD6" s="56">
        <f>IFERROR((CB6-CC6)/CB6,0)</f>
        <v>0</v>
      </c>
    </row>
    <row r="7" spans="1:82" s="2" customFormat="1" ht="30" customHeight="1" thickBot="1" x14ac:dyDescent="0.35">
      <c r="B7" s="34">
        <f>IFERROR(VLOOKUP(B3,Lucratividade!G4:N853,2,0),0)</f>
        <v>18416.669999999998</v>
      </c>
      <c r="C7" s="276"/>
      <c r="D7" s="276"/>
      <c r="E7" s="276"/>
      <c r="F7" s="50"/>
      <c r="G7" s="36">
        <f>IFERROR(B7/B6,0)</f>
        <v>126.28573714285712</v>
      </c>
      <c r="H7" s="82" t="s">
        <v>347</v>
      </c>
      <c r="I7" s="57">
        <f>IFERROR(VLOOKUP(B3,Lucratividade!G4:N132,6,0),0)</f>
        <v>2294717.0819999995</v>
      </c>
      <c r="J7" s="58">
        <f>B7*K3</f>
        <v>1199665.6808199186</v>
      </c>
      <c r="K7" s="59">
        <f>IFERROR((I7-J7)/I7-PARAMETROS!C19,0)</f>
        <v>0.32640540792142891</v>
      </c>
      <c r="M7" s="231" t="s">
        <v>694</v>
      </c>
      <c r="N7" s="232">
        <f>SUM(N3:N6)</f>
        <v>9499.6134002277013</v>
      </c>
      <c r="O7" s="236"/>
      <c r="AE7" s="172"/>
      <c r="AF7" s="57"/>
      <c r="AG7" s="58"/>
      <c r="AH7" s="59"/>
      <c r="AI7" s="172"/>
      <c r="AJ7" s="57"/>
      <c r="AK7" s="58"/>
      <c r="AL7" s="59"/>
      <c r="AM7" s="172"/>
      <c r="AN7" s="57"/>
      <c r="AO7" s="58"/>
      <c r="AP7" s="59"/>
      <c r="AQ7" s="172"/>
      <c r="AR7" s="57"/>
      <c r="AS7" s="58"/>
      <c r="AT7" s="59"/>
      <c r="AU7" s="172"/>
      <c r="AV7" s="57"/>
      <c r="AW7" s="58"/>
      <c r="AX7" s="59"/>
      <c r="AY7" s="172"/>
      <c r="AZ7" s="57"/>
      <c r="BA7" s="58"/>
      <c r="BB7" s="59"/>
      <c r="BC7" s="172"/>
      <c r="BD7" s="57"/>
      <c r="BE7" s="58"/>
      <c r="BF7" s="59"/>
      <c r="BG7" s="172"/>
      <c r="BH7" s="57"/>
      <c r="BI7" s="58"/>
      <c r="BJ7" s="59"/>
      <c r="BK7" s="172"/>
      <c r="BL7" s="57"/>
      <c r="BM7" s="58"/>
      <c r="BN7" s="59"/>
      <c r="BO7" s="172"/>
      <c r="BP7" s="57"/>
      <c r="BQ7" s="58"/>
      <c r="BR7" s="59"/>
      <c r="BS7" s="172"/>
      <c r="BT7" s="57"/>
      <c r="BU7" s="58"/>
      <c r="BV7" s="59"/>
      <c r="BW7" s="172"/>
      <c r="BX7" s="57"/>
      <c r="BY7" s="58"/>
      <c r="BZ7" s="59"/>
      <c r="CA7" s="172"/>
      <c r="CB7" s="57"/>
      <c r="CC7" s="58"/>
      <c r="CD7" s="59"/>
    </row>
    <row r="8" spans="1:82" ht="4.2" customHeight="1" x14ac:dyDescent="0.3">
      <c r="AE8" s="28"/>
      <c r="AI8" s="28"/>
      <c r="AM8" s="28"/>
      <c r="AQ8" s="28"/>
      <c r="AU8" s="28"/>
      <c r="AY8" s="28"/>
      <c r="BC8" s="28"/>
      <c r="BG8" s="28"/>
      <c r="BK8" s="28"/>
      <c r="BO8" s="28"/>
      <c r="BS8" s="28"/>
      <c r="BW8" s="28"/>
      <c r="CA8" s="28"/>
    </row>
    <row r="9" spans="1:82" ht="4.95" customHeight="1" thickBot="1" x14ac:dyDescent="0.35">
      <c r="AE9" s="28"/>
      <c r="AI9" s="28"/>
      <c r="AM9" s="28"/>
      <c r="AQ9" s="28"/>
      <c r="AU9" s="28"/>
      <c r="AY9" s="28"/>
      <c r="BC9" s="28"/>
      <c r="BG9" s="28"/>
      <c r="BK9" s="28"/>
      <c r="BO9" s="28"/>
      <c r="BS9" s="28"/>
      <c r="BW9" s="28"/>
      <c r="CA9" s="28"/>
    </row>
    <row r="10" spans="1:82" ht="15" thickBot="1" x14ac:dyDescent="0.35">
      <c r="B10" s="72" t="s">
        <v>695</v>
      </c>
      <c r="C10" s="72" t="s">
        <v>679</v>
      </c>
      <c r="D10" s="72" t="s">
        <v>696</v>
      </c>
      <c r="E10" s="72" t="s">
        <v>697</v>
      </c>
      <c r="F10" s="72" t="s">
        <v>17</v>
      </c>
      <c r="G10" s="70" t="s">
        <v>690</v>
      </c>
      <c r="H10" s="70" t="s">
        <v>698</v>
      </c>
      <c r="I10" s="72" t="s">
        <v>20</v>
      </c>
      <c r="J10" s="72" t="s">
        <v>699</v>
      </c>
      <c r="K10" s="72" t="s">
        <v>700</v>
      </c>
      <c r="M10" s="83" t="s">
        <v>701</v>
      </c>
      <c r="N10" s="87" t="s">
        <v>702</v>
      </c>
      <c r="AD10" s="173" t="s">
        <v>703</v>
      </c>
      <c r="AE10" s="170" t="s">
        <v>698</v>
      </c>
      <c r="AF10" s="70" t="s">
        <v>20</v>
      </c>
      <c r="AG10" s="70" t="s">
        <v>699</v>
      </c>
      <c r="AH10" s="70" t="s">
        <v>700</v>
      </c>
      <c r="AI10" s="173" t="s">
        <v>704</v>
      </c>
      <c r="AJ10" s="174" t="s">
        <v>705</v>
      </c>
      <c r="AK10" s="174" t="s">
        <v>706</v>
      </c>
      <c r="AL10" s="175" t="s">
        <v>707</v>
      </c>
      <c r="AM10" s="173" t="s">
        <v>708</v>
      </c>
      <c r="AN10" s="174" t="s">
        <v>709</v>
      </c>
      <c r="AO10" s="174" t="s">
        <v>710</v>
      </c>
      <c r="AP10" s="175" t="s">
        <v>711</v>
      </c>
      <c r="AQ10" s="173" t="s">
        <v>712</v>
      </c>
      <c r="AR10" s="174" t="s">
        <v>713</v>
      </c>
      <c r="AS10" s="174" t="s">
        <v>714</v>
      </c>
      <c r="AT10" s="175" t="s">
        <v>715</v>
      </c>
      <c r="AU10" s="173" t="s">
        <v>716</v>
      </c>
      <c r="AV10" s="174" t="s">
        <v>717</v>
      </c>
      <c r="AW10" s="174" t="s">
        <v>718</v>
      </c>
      <c r="AX10" s="175" t="s">
        <v>719</v>
      </c>
      <c r="AY10" s="173" t="s">
        <v>720</v>
      </c>
      <c r="AZ10" s="174" t="s">
        <v>721</v>
      </c>
      <c r="BA10" s="174" t="s">
        <v>722</v>
      </c>
      <c r="BB10" s="175" t="s">
        <v>723</v>
      </c>
      <c r="BC10" s="173" t="s">
        <v>724</v>
      </c>
      <c r="BD10" s="174" t="s">
        <v>725</v>
      </c>
      <c r="BE10" s="174" t="s">
        <v>726</v>
      </c>
      <c r="BF10" s="175" t="s">
        <v>727</v>
      </c>
      <c r="BG10" s="173" t="s">
        <v>728</v>
      </c>
      <c r="BH10" s="174" t="s">
        <v>729</v>
      </c>
      <c r="BI10" s="174" t="s">
        <v>730</v>
      </c>
      <c r="BJ10" s="175" t="s">
        <v>731</v>
      </c>
      <c r="BK10" s="173" t="s">
        <v>732</v>
      </c>
      <c r="BL10" s="174" t="s">
        <v>733</v>
      </c>
      <c r="BM10" s="174" t="s">
        <v>734</v>
      </c>
      <c r="BN10" s="175" t="s">
        <v>735</v>
      </c>
      <c r="BO10" s="173" t="s">
        <v>736</v>
      </c>
      <c r="BP10" s="174" t="s">
        <v>737</v>
      </c>
      <c r="BQ10" s="174" t="s">
        <v>738</v>
      </c>
      <c r="BR10" s="175" t="s">
        <v>739</v>
      </c>
      <c r="BS10" s="173" t="s">
        <v>740</v>
      </c>
      <c r="BT10" s="174" t="s">
        <v>741</v>
      </c>
      <c r="BU10" s="174" t="s">
        <v>742</v>
      </c>
      <c r="BV10" s="175" t="s">
        <v>743</v>
      </c>
      <c r="BW10" s="173" t="s">
        <v>744</v>
      </c>
      <c r="BX10" s="174" t="s">
        <v>745</v>
      </c>
      <c r="BY10" s="174" t="s">
        <v>746</v>
      </c>
      <c r="BZ10" s="175" t="s">
        <v>747</v>
      </c>
      <c r="CA10" s="173" t="s">
        <v>748</v>
      </c>
      <c r="CB10" s="174" t="s">
        <v>749</v>
      </c>
      <c r="CC10" s="174" t="s">
        <v>750</v>
      </c>
      <c r="CD10" s="174" t="s">
        <v>751</v>
      </c>
    </row>
    <row r="11" spans="1:82" x14ac:dyDescent="0.3">
      <c r="B11" s="52" t="s">
        <v>752</v>
      </c>
      <c r="C11" s="52" t="str">
        <f t="shared" ref="C11:C62" si="0">$A$3</f>
        <v>CPU_FresagemDescontinua</v>
      </c>
      <c r="D11" s="277">
        <f t="shared" ref="D11:D62" si="1">$B$6</f>
        <v>145.83333333333334</v>
      </c>
      <c r="E11" s="277">
        <f t="shared" ref="E11:E62" si="2">$B$7</f>
        <v>18416.669999999998</v>
      </c>
      <c r="F11" s="37"/>
      <c r="G11" s="38"/>
      <c r="H11" s="91"/>
      <c r="I11" s="40"/>
      <c r="J11" s="40">
        <f>IFERROR(K11/$B$6,0)</f>
        <v>41.212051948051943</v>
      </c>
      <c r="K11" s="40">
        <f>SUM(K12:K23)</f>
        <v>6010.090909090909</v>
      </c>
      <c r="M11" s="294" t="s">
        <v>753</v>
      </c>
      <c r="N11" s="295" t="s">
        <v>754</v>
      </c>
      <c r="O11" s="296" t="s">
        <v>755</v>
      </c>
      <c r="AD11" s="144" t="str">
        <f>$B$3</f>
        <v>Fresagem Descontinua</v>
      </c>
      <c r="AE11" s="176"/>
      <c r="AF11" s="177"/>
      <c r="AG11" s="177">
        <f>IFERROR(AH11/AF$3,0)</f>
        <v>0</v>
      </c>
      <c r="AH11" s="178">
        <f>SUM(AH12:AH23)</f>
        <v>0</v>
      </c>
      <c r="AI11" s="176"/>
      <c r="AJ11" s="177"/>
      <c r="AK11" s="177">
        <f>IFERROR(AL11/AJ$3,0)</f>
        <v>0</v>
      </c>
      <c r="AL11" s="178">
        <f>SUM(AL12:AL23)</f>
        <v>0</v>
      </c>
      <c r="AM11" s="176"/>
      <c r="AN11" s="177"/>
      <c r="AO11" s="177">
        <f>IFERROR(AP11/AN$3,0)</f>
        <v>0</v>
      </c>
      <c r="AP11" s="178">
        <f>SUM(AP12:AP23)</f>
        <v>0</v>
      </c>
      <c r="AQ11" s="176"/>
      <c r="AR11" s="177"/>
      <c r="AS11" s="177">
        <f>IFERROR(AT11/AR$3,0)</f>
        <v>0</v>
      </c>
      <c r="AT11" s="178">
        <f>SUM(AT12:AT23)</f>
        <v>0</v>
      </c>
      <c r="AU11" s="176"/>
      <c r="AV11" s="177"/>
      <c r="AW11" s="177">
        <f>IFERROR(AX11/AV$3,0)</f>
        <v>0</v>
      </c>
      <c r="AX11" s="178">
        <f>SUM(AX12:AX23)</f>
        <v>0</v>
      </c>
      <c r="AY11" s="176"/>
      <c r="AZ11" s="177"/>
      <c r="BA11" s="177">
        <f>IFERROR(BB11/AZ$3,0)</f>
        <v>0</v>
      </c>
      <c r="BB11" s="178">
        <f>SUM(BB12:BB23)</f>
        <v>0</v>
      </c>
      <c r="BC11" s="176"/>
      <c r="BD11" s="177"/>
      <c r="BE11" s="177">
        <f>IFERROR(BF11/BD$3,0)</f>
        <v>0</v>
      </c>
      <c r="BF11" s="178">
        <f>SUM(BF12:BF23)</f>
        <v>0</v>
      </c>
      <c r="BG11" s="176"/>
      <c r="BH11" s="177"/>
      <c r="BI11" s="177">
        <f>IFERROR(BJ11/BH$3,0)</f>
        <v>0</v>
      </c>
      <c r="BJ11" s="178">
        <f>SUM(BJ12:BJ23)</f>
        <v>0</v>
      </c>
      <c r="BK11" s="176"/>
      <c r="BL11" s="177"/>
      <c r="BM11" s="177">
        <f>IFERROR(BN11/BL$3,0)</f>
        <v>0</v>
      </c>
      <c r="BN11" s="178">
        <f>SUM(BN12:BN23)</f>
        <v>0</v>
      </c>
      <c r="BO11" s="176"/>
      <c r="BP11" s="177"/>
      <c r="BQ11" s="177">
        <f>IFERROR(BR11/BP$3,0)</f>
        <v>0</v>
      </c>
      <c r="BR11" s="178">
        <f>SUM(BR12:BR23)</f>
        <v>0</v>
      </c>
      <c r="BS11" s="176"/>
      <c r="BT11" s="177"/>
      <c r="BU11" s="177">
        <f>IFERROR(BV11/BT$3,0)</f>
        <v>0</v>
      </c>
      <c r="BV11" s="178">
        <f>SUM(BV12:BV23)</f>
        <v>0</v>
      </c>
      <c r="BW11" s="176"/>
      <c r="BX11" s="177"/>
      <c r="BY11" s="177">
        <f>IFERROR(BZ11/BX$3,0)</f>
        <v>0</v>
      </c>
      <c r="BZ11" s="178">
        <f>SUM(BZ12:BZ23)</f>
        <v>0</v>
      </c>
      <c r="CA11" s="176"/>
      <c r="CB11" s="177"/>
      <c r="CC11" s="177">
        <f>IFERROR(CD11/CB$3,0)</f>
        <v>0</v>
      </c>
      <c r="CD11" s="178">
        <f>SUM(CD12:CD23)</f>
        <v>0</v>
      </c>
    </row>
    <row r="12" spans="1:82" x14ac:dyDescent="0.3">
      <c r="B12" s="53"/>
      <c r="C12" s="53" t="str">
        <f t="shared" si="0"/>
        <v>CPU_FresagemDescontinua</v>
      </c>
      <c r="D12" s="278">
        <f t="shared" si="1"/>
        <v>145.83333333333334</v>
      </c>
      <c r="E12" s="278">
        <f t="shared" si="2"/>
        <v>18416.669999999998</v>
      </c>
      <c r="F12" s="46" t="s">
        <v>888</v>
      </c>
      <c r="G12" s="28" t="str">
        <f>IFERROR(VLOOKUP(F12,Tabela7[[RECURSO]:[CUSTO]],2,FALSE),"")</f>
        <v>H</v>
      </c>
      <c r="H12" s="92">
        <v>1</v>
      </c>
      <c r="I12" s="90">
        <f>200/22</f>
        <v>9.0909090909090917</v>
      </c>
      <c r="J12" s="45">
        <f>IFERROR(VLOOKUP(F12,Tabela7[[RECURSO]:[CUSTO]],3,FALSE),0)</f>
        <v>325</v>
      </c>
      <c r="K12" s="45">
        <f>I12*J12*CPU_12[[#This Row],[Nº]]</f>
        <v>2954.545454545455</v>
      </c>
      <c r="M12" s="31"/>
      <c r="N12" s="297">
        <v>0.5</v>
      </c>
      <c r="O12" s="60">
        <f>IFERROR($B$6/(H12*I12*N12),0)</f>
        <v>32.083333333333336</v>
      </c>
      <c r="AD12" s="144" t="str">
        <f t="shared" ref="AD12:AD62" si="3">$B$3</f>
        <v>Fresagem Descontinua</v>
      </c>
      <c r="AE12" s="179"/>
      <c r="AF12" s="180">
        <f>AJ12+AN12+AR12+AV12+AZ12+BD12+BH12+BL12+BP12+BT12+BX12+CB12</f>
        <v>0</v>
      </c>
      <c r="AG12" s="180">
        <f>IFERROR(AH12/AF12,0)</f>
        <v>0</v>
      </c>
      <c r="AH12" s="181">
        <f>AL12+AP12+AT12+AX12+BB12+BF12+BJ12+BN12+BR12+BV12+BZ12+CD12</f>
        <v>0</v>
      </c>
      <c r="AI12" s="182"/>
      <c r="AJ12" s="90"/>
      <c r="AK12" s="90"/>
      <c r="AL12" s="183">
        <f>AJ12*AK12</f>
        <v>0</v>
      </c>
      <c r="AM12" s="182"/>
      <c r="AN12" s="90"/>
      <c r="AO12" s="90"/>
      <c r="AP12" s="183">
        <f t="shared" ref="AP12:AP23" si="4">AN12*AO12</f>
        <v>0</v>
      </c>
      <c r="AQ12" s="182"/>
      <c r="AR12" s="90"/>
      <c r="AS12" s="90"/>
      <c r="AT12" s="183">
        <f t="shared" ref="AT12:AT23" si="5">AR12*AS12</f>
        <v>0</v>
      </c>
      <c r="AU12" s="182"/>
      <c r="AV12" s="90"/>
      <c r="AW12" s="90"/>
      <c r="AX12" s="183">
        <f t="shared" ref="AX12:AX23" si="6">AV12*AW12</f>
        <v>0</v>
      </c>
      <c r="AY12" s="182"/>
      <c r="AZ12" s="90"/>
      <c r="BA12" s="90"/>
      <c r="BB12" s="183">
        <f t="shared" ref="BB12:BB23" si="7">AZ12*BA12</f>
        <v>0</v>
      </c>
      <c r="BC12" s="182"/>
      <c r="BD12" s="90"/>
      <c r="BE12" s="90"/>
      <c r="BF12" s="183">
        <f t="shared" ref="BF12:BF23" si="8">BD12*BE12</f>
        <v>0</v>
      </c>
      <c r="BG12" s="182"/>
      <c r="BH12" s="90"/>
      <c r="BI12" s="90"/>
      <c r="BJ12" s="183">
        <f t="shared" ref="BJ12:BJ23" si="9">BH12*BI12</f>
        <v>0</v>
      </c>
      <c r="BK12" s="182"/>
      <c r="BL12" s="90"/>
      <c r="BM12" s="90"/>
      <c r="BN12" s="183">
        <f t="shared" ref="BN12:BN23" si="10">BL12*BM12</f>
        <v>0</v>
      </c>
      <c r="BO12" s="182"/>
      <c r="BP12" s="90"/>
      <c r="BQ12" s="90"/>
      <c r="BR12" s="183">
        <f t="shared" ref="BR12:BR23" si="11">BP12*BQ12</f>
        <v>0</v>
      </c>
      <c r="BS12" s="182"/>
      <c r="BT12" s="90"/>
      <c r="BU12" s="90"/>
      <c r="BV12" s="183">
        <f t="shared" ref="BV12:BV23" si="12">BT12*BU12</f>
        <v>0</v>
      </c>
      <c r="BW12" s="182"/>
      <c r="BX12" s="90"/>
      <c r="BY12" s="90"/>
      <c r="BZ12" s="183">
        <f t="shared" ref="BZ12:BZ23" si="13">BX12*BY12</f>
        <v>0</v>
      </c>
      <c r="CA12" s="182"/>
      <c r="CB12" s="90"/>
      <c r="CC12" s="90"/>
      <c r="CD12" s="183">
        <f t="shared" ref="CD12:CD23" si="14">CB12*CC12</f>
        <v>0</v>
      </c>
    </row>
    <row r="13" spans="1:82" x14ac:dyDescent="0.3">
      <c r="B13" s="53"/>
      <c r="C13" s="53" t="str">
        <f t="shared" si="0"/>
        <v>CPU_FresagemDescontinua</v>
      </c>
      <c r="D13" s="278">
        <f t="shared" si="1"/>
        <v>145.83333333333334</v>
      </c>
      <c r="E13" s="278">
        <f t="shared" si="2"/>
        <v>18416.669999999998</v>
      </c>
      <c r="F13" s="1" t="s">
        <v>849</v>
      </c>
      <c r="G13" s="28" t="str">
        <f>IFERROR(VLOOKUP(F13,Tabela7[[RECURSO]:[CUSTO]],2,FALSE),"")</f>
        <v>DIA</v>
      </c>
      <c r="H13" s="92">
        <v>1</v>
      </c>
      <c r="I13" s="90">
        <f>30/22</f>
        <v>1.3636363636363635</v>
      </c>
      <c r="J13" s="45">
        <f>IFERROR(VLOOKUP(F13,Tabela7[[RECURSO]:[CUSTO]],3,FALSE),0)</f>
        <v>740.73333333333335</v>
      </c>
      <c r="K13" s="45">
        <f>I13*J13*CPU_12[[#This Row],[Nº]]</f>
        <v>1010.090909090909</v>
      </c>
      <c r="M13" s="31"/>
      <c r="N13" s="297">
        <v>1</v>
      </c>
      <c r="O13" s="60">
        <f t="shared" ref="O13:O23" si="15">IFERROR($B$6/(H13*I13),0)</f>
        <v>106.94444444444446</v>
      </c>
      <c r="R13" s="22">
        <f>CPU_12[[#This Row],[C. UNIT]]*30</f>
        <v>22222</v>
      </c>
      <c r="AD13" s="144" t="str">
        <f t="shared" si="3"/>
        <v>Fresagem Descontinua</v>
      </c>
      <c r="AE13" s="179"/>
      <c r="AF13" s="180">
        <f t="shared" ref="AF13:AF23" si="16">AJ13+AN13+AR13+AV13+AZ13+BD13+BH13+BL13+BP13+BT13+BX13+CB13</f>
        <v>0</v>
      </c>
      <c r="AG13" s="180">
        <f t="shared" ref="AG13:AG62" si="17">IFERROR(AH13/AF13,0)</f>
        <v>0</v>
      </c>
      <c r="AH13" s="181">
        <f t="shared" ref="AH13:AH23" si="18">AL13+AP13+AT13+AX13+BB13+BF13+BJ13+BN13+BR13+BV13+BZ13+CD13</f>
        <v>0</v>
      </c>
      <c r="AI13" s="182"/>
      <c r="AJ13" s="90"/>
      <c r="AK13" s="90"/>
      <c r="AL13" s="183">
        <f t="shared" ref="AL13:AL23" si="19">AJ13*AK13</f>
        <v>0</v>
      </c>
      <c r="AM13" s="182"/>
      <c r="AN13" s="90"/>
      <c r="AO13" s="90"/>
      <c r="AP13" s="183">
        <f t="shared" si="4"/>
        <v>0</v>
      </c>
      <c r="AQ13" s="182"/>
      <c r="AR13" s="90"/>
      <c r="AS13" s="90"/>
      <c r="AT13" s="183">
        <f t="shared" si="5"/>
        <v>0</v>
      </c>
      <c r="AU13" s="182"/>
      <c r="AV13" s="90"/>
      <c r="AW13" s="90"/>
      <c r="AX13" s="183">
        <f t="shared" si="6"/>
        <v>0</v>
      </c>
      <c r="AY13" s="182"/>
      <c r="AZ13" s="90"/>
      <c r="BA13" s="90"/>
      <c r="BB13" s="183">
        <f t="shared" si="7"/>
        <v>0</v>
      </c>
      <c r="BC13" s="182"/>
      <c r="BD13" s="90"/>
      <c r="BE13" s="90"/>
      <c r="BF13" s="183">
        <f t="shared" si="8"/>
        <v>0</v>
      </c>
      <c r="BG13" s="182"/>
      <c r="BH13" s="90"/>
      <c r="BI13" s="90"/>
      <c r="BJ13" s="183">
        <f t="shared" si="9"/>
        <v>0</v>
      </c>
      <c r="BK13" s="182"/>
      <c r="BL13" s="90"/>
      <c r="BM13" s="90"/>
      <c r="BN13" s="183">
        <f t="shared" si="10"/>
        <v>0</v>
      </c>
      <c r="BO13" s="182"/>
      <c r="BP13" s="90"/>
      <c r="BQ13" s="90"/>
      <c r="BR13" s="183">
        <f t="shared" si="11"/>
        <v>0</v>
      </c>
      <c r="BS13" s="182"/>
      <c r="BT13" s="90"/>
      <c r="BU13" s="90"/>
      <c r="BV13" s="183">
        <f t="shared" si="12"/>
        <v>0</v>
      </c>
      <c r="BW13" s="182"/>
      <c r="BX13" s="90"/>
      <c r="BY13" s="90"/>
      <c r="BZ13" s="183">
        <f t="shared" si="13"/>
        <v>0</v>
      </c>
      <c r="CA13" s="182"/>
      <c r="CB13" s="90"/>
      <c r="CC13" s="90"/>
      <c r="CD13" s="183">
        <f t="shared" si="14"/>
        <v>0</v>
      </c>
    </row>
    <row r="14" spans="1:82" x14ac:dyDescent="0.3">
      <c r="B14" s="53"/>
      <c r="C14" s="53" t="str">
        <f t="shared" si="0"/>
        <v>CPU_FresagemDescontinua</v>
      </c>
      <c r="D14" s="278">
        <f t="shared" si="1"/>
        <v>145.83333333333334</v>
      </c>
      <c r="E14" s="278">
        <f t="shared" si="2"/>
        <v>18416.669999999998</v>
      </c>
      <c r="F14" s="1" t="s">
        <v>881</v>
      </c>
      <c r="G14" s="28" t="str">
        <f>IFERROR(VLOOKUP(F14,Tabela7[[RECURSO]:[CUSTO]],2,FALSE),"")</f>
        <v>DIA</v>
      </c>
      <c r="H14" s="92">
        <v>2</v>
      </c>
      <c r="I14" s="90">
        <f>30/22</f>
        <v>1.3636363636363635</v>
      </c>
      <c r="J14" s="45">
        <f>IFERROR(VLOOKUP(F14,Tabela7[[RECURSO]:[CUSTO]],3,FALSE),0)</f>
        <v>750</v>
      </c>
      <c r="K14" s="45">
        <f>I14*J14*CPU_12[[#This Row],[Nº]]</f>
        <v>2045.4545454545453</v>
      </c>
      <c r="M14" s="31">
        <f>2*30*2/2.2</f>
        <v>54.54545454545454</v>
      </c>
      <c r="N14" s="297">
        <v>0.5</v>
      </c>
      <c r="O14" s="60">
        <f t="shared" si="15"/>
        <v>53.472222222222229</v>
      </c>
      <c r="AD14" s="144" t="str">
        <f t="shared" si="3"/>
        <v>Fresagem Descontinua</v>
      </c>
      <c r="AE14" s="179"/>
      <c r="AF14" s="180">
        <f t="shared" si="16"/>
        <v>0</v>
      </c>
      <c r="AG14" s="180">
        <f t="shared" si="17"/>
        <v>0</v>
      </c>
      <c r="AH14" s="181">
        <f t="shared" si="18"/>
        <v>0</v>
      </c>
      <c r="AI14" s="182"/>
      <c r="AJ14" s="90"/>
      <c r="AK14" s="90"/>
      <c r="AL14" s="183">
        <f t="shared" si="19"/>
        <v>0</v>
      </c>
      <c r="AM14" s="182"/>
      <c r="AN14" s="90"/>
      <c r="AO14" s="90"/>
      <c r="AP14" s="183">
        <f t="shared" si="4"/>
        <v>0</v>
      </c>
      <c r="AQ14" s="182"/>
      <c r="AR14" s="90"/>
      <c r="AS14" s="90"/>
      <c r="AT14" s="183">
        <f t="shared" si="5"/>
        <v>0</v>
      </c>
      <c r="AU14" s="182"/>
      <c r="AV14" s="90"/>
      <c r="AW14" s="90"/>
      <c r="AX14" s="183">
        <f t="shared" si="6"/>
        <v>0</v>
      </c>
      <c r="AY14" s="182"/>
      <c r="AZ14" s="90"/>
      <c r="BA14" s="90"/>
      <c r="BB14" s="183">
        <f t="shared" si="7"/>
        <v>0</v>
      </c>
      <c r="BC14" s="182"/>
      <c r="BD14" s="90"/>
      <c r="BE14" s="90"/>
      <c r="BF14" s="183">
        <f t="shared" si="8"/>
        <v>0</v>
      </c>
      <c r="BG14" s="182"/>
      <c r="BH14" s="90"/>
      <c r="BI14" s="90"/>
      <c r="BJ14" s="183">
        <f t="shared" si="9"/>
        <v>0</v>
      </c>
      <c r="BK14" s="182"/>
      <c r="BL14" s="90"/>
      <c r="BM14" s="90"/>
      <c r="BN14" s="183">
        <f t="shared" si="10"/>
        <v>0</v>
      </c>
      <c r="BO14" s="182"/>
      <c r="BP14" s="90"/>
      <c r="BQ14" s="90"/>
      <c r="BR14" s="183">
        <f t="shared" si="11"/>
        <v>0</v>
      </c>
      <c r="BS14" s="182"/>
      <c r="BT14" s="90"/>
      <c r="BU14" s="90"/>
      <c r="BV14" s="183">
        <f t="shared" si="12"/>
        <v>0</v>
      </c>
      <c r="BW14" s="182"/>
      <c r="BX14" s="90"/>
      <c r="BY14" s="90"/>
      <c r="BZ14" s="183">
        <f t="shared" si="13"/>
        <v>0</v>
      </c>
      <c r="CA14" s="182"/>
      <c r="CB14" s="90"/>
      <c r="CC14" s="90"/>
      <c r="CD14" s="183">
        <f t="shared" si="14"/>
        <v>0</v>
      </c>
    </row>
    <row r="15" spans="1:82" x14ac:dyDescent="0.3">
      <c r="B15" s="153"/>
      <c r="C15" s="153" t="str">
        <f t="shared" si="0"/>
        <v>CPU_FresagemDescontinua</v>
      </c>
      <c r="D15" s="279">
        <f t="shared" si="1"/>
        <v>145.83333333333334</v>
      </c>
      <c r="E15" s="279">
        <f t="shared" si="2"/>
        <v>18416.669999999998</v>
      </c>
      <c r="F15" s="1" t="s">
        <v>879</v>
      </c>
      <c r="G15" s="28" t="str">
        <f>IFERROR(VLOOKUP(F15,Tabela7[[RECURSO]:[CUSTO]],2,FALSE),"")</f>
        <v>H</v>
      </c>
      <c r="H15" s="92">
        <v>0</v>
      </c>
      <c r="I15" s="90">
        <v>9.09</v>
      </c>
      <c r="J15" s="45">
        <f>IFERROR(VLOOKUP(F15,Tabela7[[RECURSO]:[CUSTO]],3,FALSE),0)</f>
        <v>67.5</v>
      </c>
      <c r="K15" s="45">
        <f>I15*J15*CPU_12[[#This Row],[Nº]]</f>
        <v>0</v>
      </c>
      <c r="M15" s="31">
        <v>10</v>
      </c>
      <c r="N15" s="297">
        <v>0.5</v>
      </c>
      <c r="O15" s="60">
        <f t="shared" si="15"/>
        <v>0</v>
      </c>
      <c r="AD15" s="144" t="str">
        <f t="shared" si="3"/>
        <v>Fresagem Descontinua</v>
      </c>
      <c r="AE15" s="179"/>
      <c r="AF15" s="180">
        <f t="shared" si="16"/>
        <v>0</v>
      </c>
      <c r="AG15" s="180">
        <f t="shared" si="17"/>
        <v>0</v>
      </c>
      <c r="AH15" s="181">
        <f t="shared" si="18"/>
        <v>0</v>
      </c>
      <c r="AI15" s="182"/>
      <c r="AJ15" s="90"/>
      <c r="AK15" s="90"/>
      <c r="AL15" s="183">
        <f t="shared" si="19"/>
        <v>0</v>
      </c>
      <c r="AM15" s="182"/>
      <c r="AN15" s="90"/>
      <c r="AO15" s="90"/>
      <c r="AP15" s="183">
        <f t="shared" si="4"/>
        <v>0</v>
      </c>
      <c r="AQ15" s="182"/>
      <c r="AR15" s="90"/>
      <c r="AS15" s="90"/>
      <c r="AT15" s="183">
        <f t="shared" si="5"/>
        <v>0</v>
      </c>
      <c r="AU15" s="182"/>
      <c r="AV15" s="90"/>
      <c r="AW15" s="90"/>
      <c r="AX15" s="183">
        <f t="shared" si="6"/>
        <v>0</v>
      </c>
      <c r="AY15" s="182"/>
      <c r="AZ15" s="90"/>
      <c r="BA15" s="90"/>
      <c r="BB15" s="183">
        <f t="shared" si="7"/>
        <v>0</v>
      </c>
      <c r="BC15" s="182"/>
      <c r="BD15" s="90"/>
      <c r="BE15" s="90"/>
      <c r="BF15" s="183">
        <f t="shared" si="8"/>
        <v>0</v>
      </c>
      <c r="BG15" s="182"/>
      <c r="BH15" s="90"/>
      <c r="BI15" s="90"/>
      <c r="BJ15" s="183">
        <f t="shared" si="9"/>
        <v>0</v>
      </c>
      <c r="BK15" s="182"/>
      <c r="BL15" s="90"/>
      <c r="BM15" s="90"/>
      <c r="BN15" s="183">
        <f t="shared" si="10"/>
        <v>0</v>
      </c>
      <c r="BO15" s="182"/>
      <c r="BP15" s="90"/>
      <c r="BQ15" s="90"/>
      <c r="BR15" s="183">
        <f t="shared" si="11"/>
        <v>0</v>
      </c>
      <c r="BS15" s="182"/>
      <c r="BT15" s="90"/>
      <c r="BU15" s="90"/>
      <c r="BV15" s="183">
        <f t="shared" si="12"/>
        <v>0</v>
      </c>
      <c r="BW15" s="182"/>
      <c r="BX15" s="90"/>
      <c r="BY15" s="90"/>
      <c r="BZ15" s="183">
        <f t="shared" si="13"/>
        <v>0</v>
      </c>
      <c r="CA15" s="182"/>
      <c r="CB15" s="90"/>
      <c r="CC15" s="90"/>
      <c r="CD15" s="183">
        <f t="shared" si="14"/>
        <v>0</v>
      </c>
    </row>
    <row r="16" spans="1:82" x14ac:dyDescent="0.3">
      <c r="B16" s="53"/>
      <c r="C16" s="53" t="str">
        <f t="shared" si="0"/>
        <v>CPU_FresagemDescontinua</v>
      </c>
      <c r="D16" s="278">
        <f t="shared" si="1"/>
        <v>145.83333333333334</v>
      </c>
      <c r="E16" s="278">
        <f t="shared" si="2"/>
        <v>18416.669999999998</v>
      </c>
      <c r="F16" s="1"/>
      <c r="G16" s="28" t="str">
        <f>IFERROR(VLOOKUP(F16,Tabela7[[RECURSO]:[CUSTO]],2,FALSE),"")</f>
        <v/>
      </c>
      <c r="H16" s="92"/>
      <c r="I16" s="90"/>
      <c r="J16" s="45">
        <f>IFERROR(VLOOKUP(F16,Tabela7[[RECURSO]:[CUSTO]],3,FALSE),0)</f>
        <v>0</v>
      </c>
      <c r="K16" s="45">
        <f>I16*J16*CPU_12[[#This Row],[Nº]]</f>
        <v>0</v>
      </c>
      <c r="M16" s="31"/>
      <c r="N16" s="297"/>
      <c r="O16" s="60">
        <f t="shared" si="15"/>
        <v>0</v>
      </c>
      <c r="AD16" s="144" t="str">
        <f t="shared" si="3"/>
        <v>Fresagem Descontinua</v>
      </c>
      <c r="AE16" s="179"/>
      <c r="AF16" s="180">
        <f t="shared" si="16"/>
        <v>0</v>
      </c>
      <c r="AG16" s="180">
        <f t="shared" si="17"/>
        <v>0</v>
      </c>
      <c r="AH16" s="181">
        <f t="shared" si="18"/>
        <v>0</v>
      </c>
      <c r="AI16" s="182"/>
      <c r="AJ16" s="90"/>
      <c r="AK16" s="90"/>
      <c r="AL16" s="183">
        <f t="shared" si="19"/>
        <v>0</v>
      </c>
      <c r="AM16" s="182"/>
      <c r="AN16" s="90"/>
      <c r="AO16" s="90"/>
      <c r="AP16" s="183">
        <f t="shared" si="4"/>
        <v>0</v>
      </c>
      <c r="AQ16" s="182"/>
      <c r="AR16" s="90"/>
      <c r="AS16" s="90"/>
      <c r="AT16" s="183">
        <f t="shared" si="5"/>
        <v>0</v>
      </c>
      <c r="AU16" s="182"/>
      <c r="AV16" s="90"/>
      <c r="AW16" s="90"/>
      <c r="AX16" s="183">
        <f t="shared" si="6"/>
        <v>0</v>
      </c>
      <c r="AY16" s="182"/>
      <c r="AZ16" s="90"/>
      <c r="BA16" s="90"/>
      <c r="BB16" s="183">
        <f t="shared" si="7"/>
        <v>0</v>
      </c>
      <c r="BC16" s="182"/>
      <c r="BD16" s="90"/>
      <c r="BE16" s="90"/>
      <c r="BF16" s="183">
        <f t="shared" si="8"/>
        <v>0</v>
      </c>
      <c r="BG16" s="182"/>
      <c r="BH16" s="90"/>
      <c r="BI16" s="90"/>
      <c r="BJ16" s="183">
        <f t="shared" si="9"/>
        <v>0</v>
      </c>
      <c r="BK16" s="182"/>
      <c r="BL16" s="90"/>
      <c r="BM16" s="90"/>
      <c r="BN16" s="183">
        <f t="shared" si="10"/>
        <v>0</v>
      </c>
      <c r="BO16" s="182"/>
      <c r="BP16" s="90"/>
      <c r="BQ16" s="90"/>
      <c r="BR16" s="183">
        <f t="shared" si="11"/>
        <v>0</v>
      </c>
      <c r="BS16" s="182"/>
      <c r="BT16" s="90"/>
      <c r="BU16" s="90"/>
      <c r="BV16" s="183">
        <f t="shared" si="12"/>
        <v>0</v>
      </c>
      <c r="BW16" s="182"/>
      <c r="BX16" s="90"/>
      <c r="BY16" s="90"/>
      <c r="BZ16" s="183">
        <f t="shared" si="13"/>
        <v>0</v>
      </c>
      <c r="CA16" s="182"/>
      <c r="CB16" s="90"/>
      <c r="CC16" s="90"/>
      <c r="CD16" s="183">
        <f t="shared" si="14"/>
        <v>0</v>
      </c>
    </row>
    <row r="17" spans="2:82" x14ac:dyDescent="0.3">
      <c r="B17" s="53"/>
      <c r="C17" s="53" t="str">
        <f t="shared" si="0"/>
        <v>CPU_FresagemDescontinua</v>
      </c>
      <c r="D17" s="278">
        <f t="shared" si="1"/>
        <v>145.83333333333334</v>
      </c>
      <c r="E17" s="278">
        <f t="shared" si="2"/>
        <v>18416.669999999998</v>
      </c>
      <c r="F17" s="1"/>
      <c r="G17" s="28" t="str">
        <f>IFERROR(VLOOKUP(F17,Tabela7[[RECURSO]:[CUSTO]],2,FALSE),"")</f>
        <v/>
      </c>
      <c r="H17" s="92"/>
      <c r="I17" s="90"/>
      <c r="J17" s="45">
        <f>IFERROR(VLOOKUP(F17,Tabela7[[RECURSO]:[CUSTO]],3,FALSE),0)</f>
        <v>0</v>
      </c>
      <c r="K17" s="45">
        <f>I17*J17*CPU_12[[#This Row],[Nº]]</f>
        <v>0</v>
      </c>
      <c r="M17" s="31"/>
      <c r="N17" s="297"/>
      <c r="O17" s="60">
        <f t="shared" si="15"/>
        <v>0</v>
      </c>
      <c r="AD17" s="144" t="str">
        <f t="shared" si="3"/>
        <v>Fresagem Descontinua</v>
      </c>
      <c r="AE17" s="179"/>
      <c r="AF17" s="180">
        <f t="shared" si="16"/>
        <v>0</v>
      </c>
      <c r="AG17" s="180">
        <f t="shared" si="17"/>
        <v>0</v>
      </c>
      <c r="AH17" s="181">
        <f t="shared" si="18"/>
        <v>0</v>
      </c>
      <c r="AI17" s="182"/>
      <c r="AJ17" s="90"/>
      <c r="AK17" s="90"/>
      <c r="AL17" s="183">
        <f t="shared" si="19"/>
        <v>0</v>
      </c>
      <c r="AM17" s="182"/>
      <c r="AN17" s="90"/>
      <c r="AO17" s="90"/>
      <c r="AP17" s="183">
        <f t="shared" si="4"/>
        <v>0</v>
      </c>
      <c r="AQ17" s="182"/>
      <c r="AR17" s="90"/>
      <c r="AS17" s="90"/>
      <c r="AT17" s="183">
        <f t="shared" si="5"/>
        <v>0</v>
      </c>
      <c r="AU17" s="182"/>
      <c r="AV17" s="90"/>
      <c r="AW17" s="90"/>
      <c r="AX17" s="183">
        <f t="shared" si="6"/>
        <v>0</v>
      </c>
      <c r="AY17" s="182"/>
      <c r="AZ17" s="90"/>
      <c r="BA17" s="90"/>
      <c r="BB17" s="183">
        <f t="shared" si="7"/>
        <v>0</v>
      </c>
      <c r="BC17" s="182"/>
      <c r="BD17" s="90"/>
      <c r="BE17" s="90"/>
      <c r="BF17" s="183">
        <f t="shared" si="8"/>
        <v>0</v>
      </c>
      <c r="BG17" s="182"/>
      <c r="BH17" s="90"/>
      <c r="BI17" s="90"/>
      <c r="BJ17" s="183">
        <f t="shared" si="9"/>
        <v>0</v>
      </c>
      <c r="BK17" s="182"/>
      <c r="BL17" s="90"/>
      <c r="BM17" s="90"/>
      <c r="BN17" s="183">
        <f t="shared" si="10"/>
        <v>0</v>
      </c>
      <c r="BO17" s="182"/>
      <c r="BP17" s="90"/>
      <c r="BQ17" s="90"/>
      <c r="BR17" s="183">
        <f t="shared" si="11"/>
        <v>0</v>
      </c>
      <c r="BS17" s="182"/>
      <c r="BT17" s="90"/>
      <c r="BU17" s="90"/>
      <c r="BV17" s="183">
        <f t="shared" si="12"/>
        <v>0</v>
      </c>
      <c r="BW17" s="182"/>
      <c r="BX17" s="90"/>
      <c r="BY17" s="90"/>
      <c r="BZ17" s="183">
        <f t="shared" si="13"/>
        <v>0</v>
      </c>
      <c r="CA17" s="182"/>
      <c r="CB17" s="90"/>
      <c r="CC17" s="90"/>
      <c r="CD17" s="183">
        <f t="shared" si="14"/>
        <v>0</v>
      </c>
    </row>
    <row r="18" spans="2:82" x14ac:dyDescent="0.3">
      <c r="B18" s="53"/>
      <c r="C18" s="53" t="str">
        <f t="shared" si="0"/>
        <v>CPU_FresagemDescontinua</v>
      </c>
      <c r="D18" s="278">
        <f t="shared" si="1"/>
        <v>145.83333333333334</v>
      </c>
      <c r="E18" s="278">
        <f t="shared" si="2"/>
        <v>18416.669999999998</v>
      </c>
      <c r="F18" s="1"/>
      <c r="G18" s="28" t="str">
        <f>IFERROR(VLOOKUP(F18,Tabela7[[RECURSO]:[CUSTO]],2,FALSE),"")</f>
        <v/>
      </c>
      <c r="H18" s="92"/>
      <c r="I18" s="90"/>
      <c r="J18" s="45">
        <f>IFERROR(VLOOKUP(F18,Tabela7[[RECURSO]:[CUSTO]],3,FALSE),0)</f>
        <v>0</v>
      </c>
      <c r="K18" s="45">
        <f>I18*J18*CPU_12[[#This Row],[Nº]]</f>
        <v>0</v>
      </c>
      <c r="M18" s="31"/>
      <c r="N18" s="297"/>
      <c r="O18" s="60">
        <f t="shared" si="15"/>
        <v>0</v>
      </c>
      <c r="AD18" s="144" t="str">
        <f t="shared" si="3"/>
        <v>Fresagem Descontinua</v>
      </c>
      <c r="AE18" s="179"/>
      <c r="AF18" s="180">
        <f t="shared" si="16"/>
        <v>0</v>
      </c>
      <c r="AG18" s="180">
        <f t="shared" si="17"/>
        <v>0</v>
      </c>
      <c r="AH18" s="181">
        <f t="shared" si="18"/>
        <v>0</v>
      </c>
      <c r="AI18" s="182"/>
      <c r="AJ18" s="90"/>
      <c r="AK18" s="90"/>
      <c r="AL18" s="183">
        <f t="shared" si="19"/>
        <v>0</v>
      </c>
      <c r="AM18" s="182"/>
      <c r="AN18" s="90"/>
      <c r="AO18" s="90"/>
      <c r="AP18" s="183">
        <f t="shared" si="4"/>
        <v>0</v>
      </c>
      <c r="AQ18" s="182"/>
      <c r="AR18" s="90"/>
      <c r="AS18" s="90"/>
      <c r="AT18" s="183">
        <f t="shared" si="5"/>
        <v>0</v>
      </c>
      <c r="AU18" s="182"/>
      <c r="AV18" s="90"/>
      <c r="AW18" s="90"/>
      <c r="AX18" s="183">
        <f t="shared" si="6"/>
        <v>0</v>
      </c>
      <c r="AY18" s="182"/>
      <c r="AZ18" s="90"/>
      <c r="BA18" s="90"/>
      <c r="BB18" s="183">
        <f t="shared" si="7"/>
        <v>0</v>
      </c>
      <c r="BC18" s="182"/>
      <c r="BD18" s="90"/>
      <c r="BE18" s="90"/>
      <c r="BF18" s="183">
        <f t="shared" si="8"/>
        <v>0</v>
      </c>
      <c r="BG18" s="182"/>
      <c r="BH18" s="90"/>
      <c r="BI18" s="90"/>
      <c r="BJ18" s="183">
        <f t="shared" si="9"/>
        <v>0</v>
      </c>
      <c r="BK18" s="182"/>
      <c r="BL18" s="90"/>
      <c r="BM18" s="90"/>
      <c r="BN18" s="183">
        <f t="shared" si="10"/>
        <v>0</v>
      </c>
      <c r="BO18" s="182"/>
      <c r="BP18" s="90"/>
      <c r="BQ18" s="90"/>
      <c r="BR18" s="183">
        <f t="shared" si="11"/>
        <v>0</v>
      </c>
      <c r="BS18" s="182"/>
      <c r="BT18" s="90"/>
      <c r="BU18" s="90"/>
      <c r="BV18" s="183">
        <f t="shared" si="12"/>
        <v>0</v>
      </c>
      <c r="BW18" s="182"/>
      <c r="BX18" s="90"/>
      <c r="BY18" s="90"/>
      <c r="BZ18" s="183">
        <f t="shared" si="13"/>
        <v>0</v>
      </c>
      <c r="CA18" s="182"/>
      <c r="CB18" s="90"/>
      <c r="CC18" s="90"/>
      <c r="CD18" s="183">
        <f t="shared" si="14"/>
        <v>0</v>
      </c>
    </row>
    <row r="19" spans="2:82" x14ac:dyDescent="0.3">
      <c r="B19" s="53"/>
      <c r="C19" s="53" t="str">
        <f t="shared" si="0"/>
        <v>CPU_FresagemDescontinua</v>
      </c>
      <c r="D19" s="278">
        <f t="shared" si="1"/>
        <v>145.83333333333334</v>
      </c>
      <c r="E19" s="278">
        <f t="shared" si="2"/>
        <v>18416.669999999998</v>
      </c>
      <c r="F19" s="1"/>
      <c r="G19" s="28" t="str">
        <f>IFERROR(VLOOKUP(F19,Tabela7[[RECURSO]:[CUSTO]],2,FALSE),"")</f>
        <v/>
      </c>
      <c r="H19" s="92"/>
      <c r="I19" s="90"/>
      <c r="J19" s="45">
        <f>IFERROR(VLOOKUP(F19,Tabela7[[RECURSO]:[CUSTO]],3,FALSE),0)</f>
        <v>0</v>
      </c>
      <c r="K19" s="45">
        <f>I19*J19*CPU_12[[#This Row],[Nº]]</f>
        <v>0</v>
      </c>
      <c r="M19" s="31"/>
      <c r="N19" s="297"/>
      <c r="O19" s="60">
        <f t="shared" si="15"/>
        <v>0</v>
      </c>
      <c r="AD19" s="144" t="str">
        <f t="shared" si="3"/>
        <v>Fresagem Descontinua</v>
      </c>
      <c r="AE19" s="179"/>
      <c r="AF19" s="180">
        <f t="shared" si="16"/>
        <v>0</v>
      </c>
      <c r="AG19" s="180">
        <f t="shared" si="17"/>
        <v>0</v>
      </c>
      <c r="AH19" s="181">
        <f t="shared" si="18"/>
        <v>0</v>
      </c>
      <c r="AI19" s="182"/>
      <c r="AJ19" s="90"/>
      <c r="AK19" s="90"/>
      <c r="AL19" s="183">
        <f t="shared" si="19"/>
        <v>0</v>
      </c>
      <c r="AM19" s="182"/>
      <c r="AN19" s="90"/>
      <c r="AO19" s="90"/>
      <c r="AP19" s="183">
        <f t="shared" si="4"/>
        <v>0</v>
      </c>
      <c r="AQ19" s="182"/>
      <c r="AR19" s="90"/>
      <c r="AS19" s="90"/>
      <c r="AT19" s="183">
        <f t="shared" si="5"/>
        <v>0</v>
      </c>
      <c r="AU19" s="182"/>
      <c r="AV19" s="90"/>
      <c r="AW19" s="90"/>
      <c r="AX19" s="183">
        <f t="shared" si="6"/>
        <v>0</v>
      </c>
      <c r="AY19" s="182"/>
      <c r="AZ19" s="90"/>
      <c r="BA19" s="90"/>
      <c r="BB19" s="183">
        <f t="shared" si="7"/>
        <v>0</v>
      </c>
      <c r="BC19" s="182"/>
      <c r="BD19" s="90"/>
      <c r="BE19" s="90"/>
      <c r="BF19" s="183">
        <f t="shared" si="8"/>
        <v>0</v>
      </c>
      <c r="BG19" s="182"/>
      <c r="BH19" s="90"/>
      <c r="BI19" s="90"/>
      <c r="BJ19" s="183">
        <f t="shared" si="9"/>
        <v>0</v>
      </c>
      <c r="BK19" s="182"/>
      <c r="BL19" s="90"/>
      <c r="BM19" s="90"/>
      <c r="BN19" s="183">
        <f t="shared" si="10"/>
        <v>0</v>
      </c>
      <c r="BO19" s="182"/>
      <c r="BP19" s="90"/>
      <c r="BQ19" s="90"/>
      <c r="BR19" s="183">
        <f t="shared" si="11"/>
        <v>0</v>
      </c>
      <c r="BS19" s="182"/>
      <c r="BT19" s="90"/>
      <c r="BU19" s="90"/>
      <c r="BV19" s="183">
        <f t="shared" si="12"/>
        <v>0</v>
      </c>
      <c r="BW19" s="182"/>
      <c r="BX19" s="90"/>
      <c r="BY19" s="90"/>
      <c r="BZ19" s="183">
        <f t="shared" si="13"/>
        <v>0</v>
      </c>
      <c r="CA19" s="182"/>
      <c r="CB19" s="90"/>
      <c r="CC19" s="90"/>
      <c r="CD19" s="183">
        <f t="shared" si="14"/>
        <v>0</v>
      </c>
    </row>
    <row r="20" spans="2:82" x14ac:dyDescent="0.3">
      <c r="B20" s="53"/>
      <c r="C20" s="53" t="str">
        <f t="shared" si="0"/>
        <v>CPU_FresagemDescontinua</v>
      </c>
      <c r="D20" s="278">
        <f t="shared" si="1"/>
        <v>145.83333333333334</v>
      </c>
      <c r="E20" s="278">
        <f t="shared" si="2"/>
        <v>18416.669999999998</v>
      </c>
      <c r="F20" s="1"/>
      <c r="G20" s="28" t="str">
        <f>IFERROR(VLOOKUP(F20,Tabela7[[RECURSO]:[CUSTO]],2,FALSE),"")</f>
        <v/>
      </c>
      <c r="H20" s="92"/>
      <c r="I20" s="90"/>
      <c r="J20" s="45">
        <f>IFERROR(VLOOKUP(F20,Tabela7[[RECURSO]:[CUSTO]],3,FALSE),0)</f>
        <v>0</v>
      </c>
      <c r="K20" s="45">
        <f>I20*J20*CPU_12[[#This Row],[Nº]]</f>
        <v>0</v>
      </c>
      <c r="M20" s="31"/>
      <c r="N20" s="297"/>
      <c r="O20" s="60">
        <f t="shared" si="15"/>
        <v>0</v>
      </c>
      <c r="AD20" s="144" t="str">
        <f t="shared" si="3"/>
        <v>Fresagem Descontinua</v>
      </c>
      <c r="AE20" s="179"/>
      <c r="AF20" s="180">
        <f t="shared" si="16"/>
        <v>0</v>
      </c>
      <c r="AG20" s="180">
        <f t="shared" si="17"/>
        <v>0</v>
      </c>
      <c r="AH20" s="181">
        <f t="shared" si="18"/>
        <v>0</v>
      </c>
      <c r="AI20" s="182"/>
      <c r="AJ20" s="90"/>
      <c r="AK20" s="90"/>
      <c r="AL20" s="183">
        <f t="shared" si="19"/>
        <v>0</v>
      </c>
      <c r="AM20" s="182"/>
      <c r="AN20" s="90"/>
      <c r="AO20" s="90"/>
      <c r="AP20" s="183">
        <f t="shared" si="4"/>
        <v>0</v>
      </c>
      <c r="AQ20" s="182"/>
      <c r="AR20" s="90"/>
      <c r="AS20" s="90"/>
      <c r="AT20" s="183">
        <f t="shared" si="5"/>
        <v>0</v>
      </c>
      <c r="AU20" s="182"/>
      <c r="AV20" s="90"/>
      <c r="AW20" s="90"/>
      <c r="AX20" s="183">
        <f t="shared" si="6"/>
        <v>0</v>
      </c>
      <c r="AY20" s="182"/>
      <c r="AZ20" s="90"/>
      <c r="BA20" s="90"/>
      <c r="BB20" s="183">
        <f t="shared" si="7"/>
        <v>0</v>
      </c>
      <c r="BC20" s="182"/>
      <c r="BD20" s="90"/>
      <c r="BE20" s="90"/>
      <c r="BF20" s="183">
        <f t="shared" si="8"/>
        <v>0</v>
      </c>
      <c r="BG20" s="182"/>
      <c r="BH20" s="90"/>
      <c r="BI20" s="90"/>
      <c r="BJ20" s="183">
        <f t="shared" si="9"/>
        <v>0</v>
      </c>
      <c r="BK20" s="182"/>
      <c r="BL20" s="90"/>
      <c r="BM20" s="90"/>
      <c r="BN20" s="183">
        <f t="shared" si="10"/>
        <v>0</v>
      </c>
      <c r="BO20" s="182"/>
      <c r="BP20" s="90"/>
      <c r="BQ20" s="90"/>
      <c r="BR20" s="183">
        <f t="shared" si="11"/>
        <v>0</v>
      </c>
      <c r="BS20" s="182"/>
      <c r="BT20" s="90"/>
      <c r="BU20" s="90"/>
      <c r="BV20" s="183">
        <f t="shared" si="12"/>
        <v>0</v>
      </c>
      <c r="BW20" s="182"/>
      <c r="BX20" s="90"/>
      <c r="BY20" s="90"/>
      <c r="BZ20" s="183">
        <f t="shared" si="13"/>
        <v>0</v>
      </c>
      <c r="CA20" s="182"/>
      <c r="CB20" s="90"/>
      <c r="CC20" s="90"/>
      <c r="CD20" s="183">
        <f t="shared" si="14"/>
        <v>0</v>
      </c>
    </row>
    <row r="21" spans="2:82" x14ac:dyDescent="0.3">
      <c r="B21" s="53"/>
      <c r="C21" s="53" t="str">
        <f t="shared" si="0"/>
        <v>CPU_FresagemDescontinua</v>
      </c>
      <c r="D21" s="278">
        <f t="shared" si="1"/>
        <v>145.83333333333334</v>
      </c>
      <c r="E21" s="278">
        <f t="shared" si="2"/>
        <v>18416.669999999998</v>
      </c>
      <c r="F21" s="1"/>
      <c r="G21" s="28" t="str">
        <f>IFERROR(VLOOKUP(F21,Tabela7[[RECURSO]:[CUSTO]],2,FALSE),"")</f>
        <v/>
      </c>
      <c r="H21" s="92"/>
      <c r="I21" s="90"/>
      <c r="J21" s="45">
        <f>IFERROR(VLOOKUP(F21,Tabela7[[RECURSO]:[CUSTO]],3,FALSE),0)</f>
        <v>0</v>
      </c>
      <c r="K21" s="45">
        <f>I21*J21*CPU_12[[#This Row],[Nº]]</f>
        <v>0</v>
      </c>
      <c r="M21" s="31"/>
      <c r="N21" s="297"/>
      <c r="O21" s="60">
        <f t="shared" si="15"/>
        <v>0</v>
      </c>
      <c r="AD21" s="144" t="str">
        <f t="shared" si="3"/>
        <v>Fresagem Descontinua</v>
      </c>
      <c r="AE21" s="179"/>
      <c r="AF21" s="180">
        <f t="shared" si="16"/>
        <v>0</v>
      </c>
      <c r="AG21" s="180">
        <f t="shared" si="17"/>
        <v>0</v>
      </c>
      <c r="AH21" s="181">
        <f t="shared" si="18"/>
        <v>0</v>
      </c>
      <c r="AI21" s="182"/>
      <c r="AJ21" s="90"/>
      <c r="AK21" s="90"/>
      <c r="AL21" s="183">
        <f t="shared" si="19"/>
        <v>0</v>
      </c>
      <c r="AM21" s="182"/>
      <c r="AN21" s="90"/>
      <c r="AO21" s="90"/>
      <c r="AP21" s="183">
        <f t="shared" si="4"/>
        <v>0</v>
      </c>
      <c r="AQ21" s="182"/>
      <c r="AR21" s="90"/>
      <c r="AS21" s="90"/>
      <c r="AT21" s="183">
        <f t="shared" si="5"/>
        <v>0</v>
      </c>
      <c r="AU21" s="182"/>
      <c r="AV21" s="90"/>
      <c r="AW21" s="90"/>
      <c r="AX21" s="183">
        <f t="shared" si="6"/>
        <v>0</v>
      </c>
      <c r="AY21" s="182"/>
      <c r="AZ21" s="90"/>
      <c r="BA21" s="90"/>
      <c r="BB21" s="183">
        <f t="shared" si="7"/>
        <v>0</v>
      </c>
      <c r="BC21" s="182"/>
      <c r="BD21" s="90"/>
      <c r="BE21" s="90"/>
      <c r="BF21" s="183">
        <f t="shared" si="8"/>
        <v>0</v>
      </c>
      <c r="BG21" s="182"/>
      <c r="BH21" s="90"/>
      <c r="BI21" s="90"/>
      <c r="BJ21" s="183">
        <f t="shared" si="9"/>
        <v>0</v>
      </c>
      <c r="BK21" s="182"/>
      <c r="BL21" s="90"/>
      <c r="BM21" s="90"/>
      <c r="BN21" s="183">
        <f t="shared" si="10"/>
        <v>0</v>
      </c>
      <c r="BO21" s="182"/>
      <c r="BP21" s="90"/>
      <c r="BQ21" s="90"/>
      <c r="BR21" s="183">
        <f t="shared" si="11"/>
        <v>0</v>
      </c>
      <c r="BS21" s="182"/>
      <c r="BT21" s="90"/>
      <c r="BU21" s="90"/>
      <c r="BV21" s="183">
        <f t="shared" si="12"/>
        <v>0</v>
      </c>
      <c r="BW21" s="182"/>
      <c r="BX21" s="90"/>
      <c r="BY21" s="90"/>
      <c r="BZ21" s="183">
        <f t="shared" si="13"/>
        <v>0</v>
      </c>
      <c r="CA21" s="182"/>
      <c r="CB21" s="90"/>
      <c r="CC21" s="90"/>
      <c r="CD21" s="183">
        <f t="shared" si="14"/>
        <v>0</v>
      </c>
    </row>
    <row r="22" spans="2:82" x14ac:dyDescent="0.3">
      <c r="B22" s="53"/>
      <c r="C22" s="53" t="str">
        <f t="shared" si="0"/>
        <v>CPU_FresagemDescontinua</v>
      </c>
      <c r="D22" s="278">
        <f t="shared" si="1"/>
        <v>145.83333333333334</v>
      </c>
      <c r="E22" s="278">
        <f t="shared" si="2"/>
        <v>18416.669999999998</v>
      </c>
      <c r="F22" s="1"/>
      <c r="G22" s="28" t="str">
        <f>IFERROR(VLOOKUP(F22,Tabela7[[RECURSO]:[CUSTO]],2,FALSE),"")</f>
        <v/>
      </c>
      <c r="H22" s="92"/>
      <c r="I22" s="90"/>
      <c r="J22" s="45">
        <f>IFERROR(VLOOKUP(F22,Tabela7[[RECURSO]:[CUSTO]],3,FALSE),0)</f>
        <v>0</v>
      </c>
      <c r="K22" s="45">
        <f>I22*J22*CPU_12[[#This Row],[Nº]]</f>
        <v>0</v>
      </c>
      <c r="M22" s="31"/>
      <c r="N22" s="297"/>
      <c r="O22" s="60">
        <f t="shared" si="15"/>
        <v>0</v>
      </c>
      <c r="AD22" s="144" t="str">
        <f t="shared" si="3"/>
        <v>Fresagem Descontinua</v>
      </c>
      <c r="AE22" s="179"/>
      <c r="AF22" s="180">
        <f t="shared" si="16"/>
        <v>0</v>
      </c>
      <c r="AG22" s="180">
        <f t="shared" si="17"/>
        <v>0</v>
      </c>
      <c r="AH22" s="181">
        <f t="shared" si="18"/>
        <v>0</v>
      </c>
      <c r="AI22" s="182"/>
      <c r="AJ22" s="90"/>
      <c r="AK22" s="90"/>
      <c r="AL22" s="183">
        <f t="shared" si="19"/>
        <v>0</v>
      </c>
      <c r="AM22" s="182"/>
      <c r="AN22" s="90"/>
      <c r="AO22" s="90"/>
      <c r="AP22" s="183">
        <f t="shared" si="4"/>
        <v>0</v>
      </c>
      <c r="AQ22" s="182"/>
      <c r="AR22" s="90"/>
      <c r="AS22" s="90"/>
      <c r="AT22" s="183">
        <f t="shared" si="5"/>
        <v>0</v>
      </c>
      <c r="AU22" s="182"/>
      <c r="AV22" s="90"/>
      <c r="AW22" s="90"/>
      <c r="AX22" s="183">
        <f t="shared" si="6"/>
        <v>0</v>
      </c>
      <c r="AY22" s="182"/>
      <c r="AZ22" s="90"/>
      <c r="BA22" s="90"/>
      <c r="BB22" s="183">
        <f t="shared" si="7"/>
        <v>0</v>
      </c>
      <c r="BC22" s="182"/>
      <c r="BD22" s="90"/>
      <c r="BE22" s="90"/>
      <c r="BF22" s="183">
        <f t="shared" si="8"/>
        <v>0</v>
      </c>
      <c r="BG22" s="182"/>
      <c r="BH22" s="90"/>
      <c r="BI22" s="90"/>
      <c r="BJ22" s="183">
        <f t="shared" si="9"/>
        <v>0</v>
      </c>
      <c r="BK22" s="182"/>
      <c r="BL22" s="90"/>
      <c r="BM22" s="90"/>
      <c r="BN22" s="183">
        <f t="shared" si="10"/>
        <v>0</v>
      </c>
      <c r="BO22" s="182"/>
      <c r="BP22" s="90"/>
      <c r="BQ22" s="90"/>
      <c r="BR22" s="183">
        <f t="shared" si="11"/>
        <v>0</v>
      </c>
      <c r="BS22" s="182"/>
      <c r="BT22" s="90"/>
      <c r="BU22" s="90"/>
      <c r="BV22" s="183">
        <f t="shared" si="12"/>
        <v>0</v>
      </c>
      <c r="BW22" s="182"/>
      <c r="BX22" s="90"/>
      <c r="BY22" s="90"/>
      <c r="BZ22" s="183">
        <f t="shared" si="13"/>
        <v>0</v>
      </c>
      <c r="CA22" s="182"/>
      <c r="CB22" s="90"/>
      <c r="CC22" s="90"/>
      <c r="CD22" s="183">
        <f t="shared" si="14"/>
        <v>0</v>
      </c>
    </row>
    <row r="23" spans="2:82" ht="15" thickBot="1" x14ac:dyDescent="0.35">
      <c r="B23" s="53"/>
      <c r="C23" s="53" t="str">
        <f t="shared" si="0"/>
        <v>CPU_FresagemDescontinua</v>
      </c>
      <c r="D23" s="278">
        <f t="shared" si="1"/>
        <v>145.83333333333334</v>
      </c>
      <c r="E23" s="278">
        <f t="shared" si="2"/>
        <v>18416.669999999998</v>
      </c>
      <c r="F23" s="1"/>
      <c r="G23" s="28" t="str">
        <f>IFERROR(VLOOKUP(F23,Tabela7[[RECURSO]:[CUSTO]],2,FALSE),"")</f>
        <v/>
      </c>
      <c r="H23" s="92"/>
      <c r="I23" s="90"/>
      <c r="J23" s="45">
        <f>IFERROR(VLOOKUP(F23,Tabela7[[RECURSO]:[CUSTO]],3,FALSE),0)</f>
        <v>0</v>
      </c>
      <c r="K23" s="45">
        <f>I23*J23*CPU_12[[#This Row],[Nº]]</f>
        <v>0</v>
      </c>
      <c r="M23" s="51"/>
      <c r="N23" s="298"/>
      <c r="O23" s="61">
        <f t="shared" si="15"/>
        <v>0</v>
      </c>
      <c r="AD23" s="144" t="str">
        <f t="shared" si="3"/>
        <v>Fresagem Descontinua</v>
      </c>
      <c r="AE23" s="179"/>
      <c r="AF23" s="180">
        <f t="shared" si="16"/>
        <v>0</v>
      </c>
      <c r="AG23" s="180">
        <f t="shared" si="17"/>
        <v>0</v>
      </c>
      <c r="AH23" s="181">
        <f t="shared" si="18"/>
        <v>0</v>
      </c>
      <c r="AI23" s="182"/>
      <c r="AJ23" s="90"/>
      <c r="AK23" s="90"/>
      <c r="AL23" s="183">
        <f t="shared" si="19"/>
        <v>0</v>
      </c>
      <c r="AM23" s="182"/>
      <c r="AN23" s="90"/>
      <c r="AO23" s="90"/>
      <c r="AP23" s="183">
        <f t="shared" si="4"/>
        <v>0</v>
      </c>
      <c r="AQ23" s="182"/>
      <c r="AR23" s="90"/>
      <c r="AS23" s="90"/>
      <c r="AT23" s="183">
        <f t="shared" si="5"/>
        <v>0</v>
      </c>
      <c r="AU23" s="182"/>
      <c r="AV23" s="90"/>
      <c r="AW23" s="90"/>
      <c r="AX23" s="183">
        <f t="shared" si="6"/>
        <v>0</v>
      </c>
      <c r="AY23" s="182"/>
      <c r="AZ23" s="90"/>
      <c r="BA23" s="90"/>
      <c r="BB23" s="183">
        <f t="shared" si="7"/>
        <v>0</v>
      </c>
      <c r="BC23" s="182"/>
      <c r="BD23" s="90"/>
      <c r="BE23" s="90"/>
      <c r="BF23" s="183">
        <f t="shared" si="8"/>
        <v>0</v>
      </c>
      <c r="BG23" s="182"/>
      <c r="BH23" s="90"/>
      <c r="BI23" s="90"/>
      <c r="BJ23" s="183">
        <f t="shared" si="9"/>
        <v>0</v>
      </c>
      <c r="BK23" s="182"/>
      <c r="BL23" s="90"/>
      <c r="BM23" s="90"/>
      <c r="BN23" s="183">
        <f t="shared" si="10"/>
        <v>0</v>
      </c>
      <c r="BO23" s="182"/>
      <c r="BP23" s="90"/>
      <c r="BQ23" s="90"/>
      <c r="BR23" s="183">
        <f t="shared" si="11"/>
        <v>0</v>
      </c>
      <c r="BS23" s="182"/>
      <c r="BT23" s="90"/>
      <c r="BU23" s="90"/>
      <c r="BV23" s="183">
        <f t="shared" si="12"/>
        <v>0</v>
      </c>
      <c r="BW23" s="182"/>
      <c r="BX23" s="90"/>
      <c r="BY23" s="90"/>
      <c r="BZ23" s="183">
        <f t="shared" si="13"/>
        <v>0</v>
      </c>
      <c r="CA23" s="182"/>
      <c r="CB23" s="90"/>
      <c r="CC23" s="90"/>
      <c r="CD23" s="183">
        <f t="shared" si="14"/>
        <v>0</v>
      </c>
    </row>
    <row r="24" spans="2:82" x14ac:dyDescent="0.3">
      <c r="B24" s="52" t="s">
        <v>686</v>
      </c>
      <c r="C24" s="52" t="str">
        <f t="shared" si="0"/>
        <v>CPU_FresagemDescontinua</v>
      </c>
      <c r="D24" s="277">
        <f t="shared" si="1"/>
        <v>145.83333333333334</v>
      </c>
      <c r="E24" s="277">
        <f t="shared" si="2"/>
        <v>18416.669999999998</v>
      </c>
      <c r="F24" s="37"/>
      <c r="G24" s="38"/>
      <c r="H24" s="91"/>
      <c r="I24" s="40"/>
      <c r="J24" s="40">
        <f>IFERROR(K24/$B$6,0)</f>
        <v>3.5702479338842967</v>
      </c>
      <c r="K24" s="40">
        <f>SUM(K25:K36)</f>
        <v>520.66115702479328</v>
      </c>
      <c r="AD24" s="144" t="str">
        <f t="shared" si="3"/>
        <v>Fresagem Descontinua</v>
      </c>
      <c r="AE24" s="184"/>
      <c r="AF24" s="40"/>
      <c r="AG24" s="40">
        <f>IFERROR(AH24/AF$3,0)</f>
        <v>0</v>
      </c>
      <c r="AH24" s="185">
        <f>SUM(AH25:AH36)</f>
        <v>0</v>
      </c>
      <c r="AI24" s="184"/>
      <c r="AJ24" s="40"/>
      <c r="AK24" s="40">
        <f>IFERROR(AL24/AJ$3,0)</f>
        <v>0</v>
      </c>
      <c r="AL24" s="185">
        <f>SUM(AL25:AL36)</f>
        <v>0</v>
      </c>
      <c r="AM24" s="184"/>
      <c r="AN24" s="40"/>
      <c r="AO24" s="40">
        <f>IFERROR(AP24/AN$3,0)</f>
        <v>0</v>
      </c>
      <c r="AP24" s="185">
        <f>SUM(AP25:AP36)</f>
        <v>0</v>
      </c>
      <c r="AQ24" s="184"/>
      <c r="AR24" s="40"/>
      <c r="AS24" s="40">
        <f>IFERROR(AT24/AR$3,0)</f>
        <v>0</v>
      </c>
      <c r="AT24" s="185">
        <f>SUM(AT25:AT36)</f>
        <v>0</v>
      </c>
      <c r="AU24" s="184"/>
      <c r="AV24" s="40"/>
      <c r="AW24" s="40">
        <f>IFERROR(AX24/AV$3,0)</f>
        <v>0</v>
      </c>
      <c r="AX24" s="185">
        <f>SUM(AX25:AX36)</f>
        <v>0</v>
      </c>
      <c r="AY24" s="184"/>
      <c r="AZ24" s="40"/>
      <c r="BA24" s="40">
        <f>IFERROR(BB24/AZ$3,0)</f>
        <v>0</v>
      </c>
      <c r="BB24" s="185">
        <f>SUM(BB25:BB36)</f>
        <v>0</v>
      </c>
      <c r="BC24" s="184"/>
      <c r="BD24" s="40"/>
      <c r="BE24" s="40">
        <f>IFERROR(BF24/BD$3,0)</f>
        <v>0</v>
      </c>
      <c r="BF24" s="185">
        <f>SUM(BF25:BF36)</f>
        <v>0</v>
      </c>
      <c r="BG24" s="184"/>
      <c r="BH24" s="40"/>
      <c r="BI24" s="40">
        <f>IFERROR(BJ24/BH$3,0)</f>
        <v>0</v>
      </c>
      <c r="BJ24" s="185">
        <f>SUM(BJ25:BJ36)</f>
        <v>0</v>
      </c>
      <c r="BK24" s="184"/>
      <c r="BL24" s="40"/>
      <c r="BM24" s="40">
        <f>IFERROR(BN24/BL$3,0)</f>
        <v>0</v>
      </c>
      <c r="BN24" s="185">
        <f>SUM(BN25:BN36)</f>
        <v>0</v>
      </c>
      <c r="BO24" s="184"/>
      <c r="BP24" s="40"/>
      <c r="BQ24" s="40">
        <f>IFERROR(BR24/BP$3,0)</f>
        <v>0</v>
      </c>
      <c r="BR24" s="185">
        <f>SUM(BR25:BR36)</f>
        <v>0</v>
      </c>
      <c r="BS24" s="184"/>
      <c r="BT24" s="40"/>
      <c r="BU24" s="40">
        <f>IFERROR(BV24/BT$3,0)</f>
        <v>0</v>
      </c>
      <c r="BV24" s="185">
        <f>SUM(BV25:BV36)</f>
        <v>0</v>
      </c>
      <c r="BW24" s="184"/>
      <c r="BX24" s="40"/>
      <c r="BY24" s="40">
        <f>IFERROR(BZ24/BX$3,0)</f>
        <v>0</v>
      </c>
      <c r="BZ24" s="185">
        <f>SUM(BZ25:BZ36)</f>
        <v>0</v>
      </c>
      <c r="CA24" s="184"/>
      <c r="CB24" s="40"/>
      <c r="CC24" s="40">
        <f>IFERROR(CD24/CB$3,0)</f>
        <v>0</v>
      </c>
      <c r="CD24" s="185">
        <f>SUM(CD25:CD36)</f>
        <v>0</v>
      </c>
    </row>
    <row r="25" spans="2:82" x14ac:dyDescent="0.3">
      <c r="B25" s="53"/>
      <c r="C25" s="53" t="str">
        <f t="shared" si="0"/>
        <v>CPU_FresagemDescontinua</v>
      </c>
      <c r="D25" s="278">
        <f t="shared" si="1"/>
        <v>145.83333333333334</v>
      </c>
      <c r="E25" s="278">
        <f t="shared" si="2"/>
        <v>18416.669999999998</v>
      </c>
      <c r="F25" s="1" t="s">
        <v>288</v>
      </c>
      <c r="G25" s="28" t="str">
        <f>IFERROR(VLOOKUP(F25,Tabela7[[RECURSO]:[CUSTO]],2,FALSE),"")</f>
        <v>L</v>
      </c>
      <c r="H25" s="93"/>
      <c r="I25" s="90">
        <f>IFERROR(SUMPRODUCT(I12:I23,M12:M23,H12:H23,N12:N23),0)</f>
        <v>74.380165289256183</v>
      </c>
      <c r="J25" s="45">
        <f>IFERROR(VLOOKUP(F25,Tabela7[[RECURSO]:[CUSTO]],3,FALSE),0)</f>
        <v>7</v>
      </c>
      <c r="K25" s="45">
        <f>I25*J25</f>
        <v>520.66115702479328</v>
      </c>
      <c r="AD25" s="144" t="str">
        <f t="shared" si="3"/>
        <v>Fresagem Descontinua</v>
      </c>
      <c r="AE25" s="179"/>
      <c r="AF25" s="180">
        <f t="shared" ref="AF25:AF36" si="20">AJ25+AN25+AR25+AV25+AZ25+BD25+BH25+BL25+BP25+BT25+BX25+CB25</f>
        <v>0</v>
      </c>
      <c r="AG25" s="180">
        <f t="shared" si="17"/>
        <v>0</v>
      </c>
      <c r="AH25" s="181">
        <f t="shared" ref="AH25:AH36" si="21">AL25+AP25+AT25+AX25+BB25+BF25+BJ25+BN25+BR25+BV25+BZ25+CD25</f>
        <v>0</v>
      </c>
      <c r="AI25" s="182"/>
      <c r="AJ25" s="90"/>
      <c r="AK25" s="90"/>
      <c r="AL25" s="183">
        <f t="shared" ref="AL25:AL36" si="22">AJ25*AK25</f>
        <v>0</v>
      </c>
      <c r="AM25" s="182"/>
      <c r="AN25" s="90"/>
      <c r="AO25" s="90"/>
      <c r="AP25" s="183">
        <f t="shared" ref="AP25:AP62" si="23">AN25*AO25</f>
        <v>0</v>
      </c>
      <c r="AQ25" s="182"/>
      <c r="AR25" s="90"/>
      <c r="AS25" s="90"/>
      <c r="AT25" s="183">
        <f t="shared" ref="AT25:AT62" si="24">AR25*AS25</f>
        <v>0</v>
      </c>
      <c r="AU25" s="182"/>
      <c r="AV25" s="90"/>
      <c r="AW25" s="90"/>
      <c r="AX25" s="183">
        <f t="shared" ref="AX25:AX62" si="25">AV25*AW25</f>
        <v>0</v>
      </c>
      <c r="AY25" s="182"/>
      <c r="AZ25" s="90"/>
      <c r="BA25" s="90"/>
      <c r="BB25" s="183">
        <f t="shared" ref="BB25:BB62" si="26">AZ25*BA25</f>
        <v>0</v>
      </c>
      <c r="BC25" s="182"/>
      <c r="BD25" s="90"/>
      <c r="BE25" s="90"/>
      <c r="BF25" s="183">
        <f t="shared" ref="BF25:BF62" si="27">BD25*BE25</f>
        <v>0</v>
      </c>
      <c r="BG25" s="182"/>
      <c r="BH25" s="90"/>
      <c r="BI25" s="90"/>
      <c r="BJ25" s="183">
        <f t="shared" ref="BJ25:BJ62" si="28">BH25*BI25</f>
        <v>0</v>
      </c>
      <c r="BK25" s="182"/>
      <c r="BL25" s="90"/>
      <c r="BM25" s="90"/>
      <c r="BN25" s="183">
        <f t="shared" ref="BN25:BN62" si="29">BL25*BM25</f>
        <v>0</v>
      </c>
      <c r="BO25" s="182"/>
      <c r="BP25" s="90"/>
      <c r="BQ25" s="90"/>
      <c r="BR25" s="183">
        <f t="shared" ref="BR25:BR62" si="30">BP25*BQ25</f>
        <v>0</v>
      </c>
      <c r="BS25" s="182"/>
      <c r="BT25" s="90"/>
      <c r="BU25" s="90"/>
      <c r="BV25" s="183">
        <f t="shared" ref="BV25:BV62" si="31">BT25*BU25</f>
        <v>0</v>
      </c>
      <c r="BW25" s="182"/>
      <c r="BX25" s="90"/>
      <c r="BY25" s="90"/>
      <c r="BZ25" s="183">
        <f t="shared" ref="BZ25:BZ62" si="32">BX25*BY25</f>
        <v>0</v>
      </c>
      <c r="CA25" s="182"/>
      <c r="CB25" s="90"/>
      <c r="CC25" s="90"/>
      <c r="CD25" s="183">
        <f t="shared" ref="CD25:CD62" si="33">CB25*CC25</f>
        <v>0</v>
      </c>
    </row>
    <row r="26" spans="2:82" x14ac:dyDescent="0.3">
      <c r="B26" s="53"/>
      <c r="C26" s="53" t="str">
        <f t="shared" si="0"/>
        <v>CPU_FresagemDescontinua</v>
      </c>
      <c r="D26" s="278">
        <f t="shared" si="1"/>
        <v>145.83333333333334</v>
      </c>
      <c r="E26" s="278">
        <f t="shared" si="2"/>
        <v>18416.669999999998</v>
      </c>
      <c r="F26" s="1"/>
      <c r="G26" s="28" t="str">
        <f>IFERROR(VLOOKUP(F26,Tabela7[[RECURSO]:[CUSTO]],2,FALSE),"")</f>
        <v/>
      </c>
      <c r="H26" s="93"/>
      <c r="I26" s="90"/>
      <c r="J26" s="45">
        <f>IFERROR(VLOOKUP(F26,Tabela7[[RECURSO]:[CUSTO]],3,FALSE),0)</f>
        <v>0</v>
      </c>
      <c r="K26" s="45">
        <f t="shared" ref="K26:K36" si="34">I26*J26</f>
        <v>0</v>
      </c>
      <c r="AD26" s="144" t="str">
        <f t="shared" si="3"/>
        <v>Fresagem Descontinua</v>
      </c>
      <c r="AE26" s="179"/>
      <c r="AF26" s="180">
        <f t="shared" si="20"/>
        <v>0</v>
      </c>
      <c r="AG26" s="180">
        <f t="shared" si="17"/>
        <v>0</v>
      </c>
      <c r="AH26" s="181">
        <f t="shared" si="21"/>
        <v>0</v>
      </c>
      <c r="AI26" s="182"/>
      <c r="AJ26" s="90"/>
      <c r="AK26" s="90"/>
      <c r="AL26" s="183">
        <f t="shared" si="22"/>
        <v>0</v>
      </c>
      <c r="AM26" s="182"/>
      <c r="AN26" s="90"/>
      <c r="AO26" s="90"/>
      <c r="AP26" s="183">
        <f t="shared" si="23"/>
        <v>0</v>
      </c>
      <c r="AQ26" s="182"/>
      <c r="AR26" s="90"/>
      <c r="AS26" s="90"/>
      <c r="AT26" s="183">
        <f t="shared" si="24"/>
        <v>0</v>
      </c>
      <c r="AU26" s="182"/>
      <c r="AV26" s="90"/>
      <c r="AW26" s="90"/>
      <c r="AX26" s="183">
        <f t="shared" si="25"/>
        <v>0</v>
      </c>
      <c r="AY26" s="182"/>
      <c r="AZ26" s="90"/>
      <c r="BA26" s="90"/>
      <c r="BB26" s="183">
        <f t="shared" si="26"/>
        <v>0</v>
      </c>
      <c r="BC26" s="182"/>
      <c r="BD26" s="90"/>
      <c r="BE26" s="90"/>
      <c r="BF26" s="183">
        <f t="shared" si="27"/>
        <v>0</v>
      </c>
      <c r="BG26" s="182"/>
      <c r="BH26" s="90"/>
      <c r="BI26" s="90"/>
      <c r="BJ26" s="183">
        <f t="shared" si="28"/>
        <v>0</v>
      </c>
      <c r="BK26" s="182"/>
      <c r="BL26" s="90"/>
      <c r="BM26" s="90"/>
      <c r="BN26" s="183">
        <f t="shared" si="29"/>
        <v>0</v>
      </c>
      <c r="BO26" s="182"/>
      <c r="BP26" s="90"/>
      <c r="BQ26" s="90"/>
      <c r="BR26" s="183">
        <f t="shared" si="30"/>
        <v>0</v>
      </c>
      <c r="BS26" s="182"/>
      <c r="BT26" s="90"/>
      <c r="BU26" s="90"/>
      <c r="BV26" s="183">
        <f t="shared" si="31"/>
        <v>0</v>
      </c>
      <c r="BW26" s="182"/>
      <c r="BX26" s="90"/>
      <c r="BY26" s="90"/>
      <c r="BZ26" s="183">
        <f t="shared" si="32"/>
        <v>0</v>
      </c>
      <c r="CA26" s="182"/>
      <c r="CB26" s="90"/>
      <c r="CC26" s="90"/>
      <c r="CD26" s="183">
        <f t="shared" si="33"/>
        <v>0</v>
      </c>
    </row>
    <row r="27" spans="2:82" x14ac:dyDescent="0.3">
      <c r="B27" s="53"/>
      <c r="C27" s="53" t="str">
        <f t="shared" si="0"/>
        <v>CPU_FresagemDescontinua</v>
      </c>
      <c r="D27" s="278">
        <f t="shared" si="1"/>
        <v>145.83333333333334</v>
      </c>
      <c r="E27" s="278">
        <f t="shared" si="2"/>
        <v>18416.669999999998</v>
      </c>
      <c r="F27" s="1"/>
      <c r="G27" s="28" t="str">
        <f>IFERROR(VLOOKUP(F27,Tabela7[[RECURSO]:[CUSTO]],2,FALSE),"")</f>
        <v/>
      </c>
      <c r="H27" s="93"/>
      <c r="I27" s="90"/>
      <c r="J27" s="45">
        <f>IFERROR(VLOOKUP(F27,Tabela7[[RECURSO]:[CUSTO]],3,FALSE),0)</f>
        <v>0</v>
      </c>
      <c r="K27" s="45">
        <f t="shared" si="34"/>
        <v>0</v>
      </c>
      <c r="AD27" s="144" t="str">
        <f t="shared" si="3"/>
        <v>Fresagem Descontinua</v>
      </c>
      <c r="AE27" s="179"/>
      <c r="AF27" s="180">
        <f t="shared" si="20"/>
        <v>0</v>
      </c>
      <c r="AG27" s="180">
        <f t="shared" si="17"/>
        <v>0</v>
      </c>
      <c r="AH27" s="181">
        <f t="shared" si="21"/>
        <v>0</v>
      </c>
      <c r="AI27" s="182"/>
      <c r="AJ27" s="90"/>
      <c r="AK27" s="90"/>
      <c r="AL27" s="183">
        <f t="shared" si="22"/>
        <v>0</v>
      </c>
      <c r="AM27" s="182"/>
      <c r="AN27" s="90"/>
      <c r="AO27" s="90"/>
      <c r="AP27" s="183">
        <f t="shared" si="23"/>
        <v>0</v>
      </c>
      <c r="AQ27" s="182"/>
      <c r="AR27" s="90"/>
      <c r="AS27" s="90"/>
      <c r="AT27" s="183">
        <f t="shared" si="24"/>
        <v>0</v>
      </c>
      <c r="AU27" s="182"/>
      <c r="AV27" s="90"/>
      <c r="AW27" s="90"/>
      <c r="AX27" s="183">
        <f t="shared" si="25"/>
        <v>0</v>
      </c>
      <c r="AY27" s="182"/>
      <c r="AZ27" s="90"/>
      <c r="BA27" s="90"/>
      <c r="BB27" s="183">
        <f t="shared" si="26"/>
        <v>0</v>
      </c>
      <c r="BC27" s="182"/>
      <c r="BD27" s="90"/>
      <c r="BE27" s="90"/>
      <c r="BF27" s="183">
        <f t="shared" si="27"/>
        <v>0</v>
      </c>
      <c r="BG27" s="182"/>
      <c r="BH27" s="90"/>
      <c r="BI27" s="90"/>
      <c r="BJ27" s="183">
        <f t="shared" si="28"/>
        <v>0</v>
      </c>
      <c r="BK27" s="182"/>
      <c r="BL27" s="90"/>
      <c r="BM27" s="90"/>
      <c r="BN27" s="183">
        <f t="shared" si="29"/>
        <v>0</v>
      </c>
      <c r="BO27" s="182"/>
      <c r="BP27" s="90"/>
      <c r="BQ27" s="90"/>
      <c r="BR27" s="183">
        <f t="shared" si="30"/>
        <v>0</v>
      </c>
      <c r="BS27" s="182"/>
      <c r="BT27" s="90"/>
      <c r="BU27" s="90"/>
      <c r="BV27" s="183">
        <f t="shared" si="31"/>
        <v>0</v>
      </c>
      <c r="BW27" s="182"/>
      <c r="BX27" s="90"/>
      <c r="BY27" s="90"/>
      <c r="BZ27" s="183">
        <f t="shared" si="32"/>
        <v>0</v>
      </c>
      <c r="CA27" s="182"/>
      <c r="CB27" s="90"/>
      <c r="CC27" s="90"/>
      <c r="CD27" s="183">
        <f t="shared" si="33"/>
        <v>0</v>
      </c>
    </row>
    <row r="28" spans="2:82" x14ac:dyDescent="0.3">
      <c r="B28" s="53"/>
      <c r="C28" s="53" t="str">
        <f t="shared" si="0"/>
        <v>CPU_FresagemDescontinua</v>
      </c>
      <c r="D28" s="278">
        <f t="shared" si="1"/>
        <v>145.83333333333334</v>
      </c>
      <c r="E28" s="278">
        <f t="shared" si="2"/>
        <v>18416.669999999998</v>
      </c>
      <c r="F28" s="1"/>
      <c r="G28" s="28" t="str">
        <f>IFERROR(VLOOKUP(F28,Tabela7[[RECURSO]:[CUSTO]],2,FALSE),"")</f>
        <v/>
      </c>
      <c r="H28" s="93"/>
      <c r="I28" s="90"/>
      <c r="J28" s="45">
        <f>IFERROR(VLOOKUP(F28,Tabela7[[RECURSO]:[CUSTO]],3,FALSE),0)</f>
        <v>0</v>
      </c>
      <c r="K28" s="45">
        <f t="shared" si="34"/>
        <v>0</v>
      </c>
      <c r="AD28" s="144" t="str">
        <f t="shared" si="3"/>
        <v>Fresagem Descontinua</v>
      </c>
      <c r="AE28" s="179"/>
      <c r="AF28" s="180">
        <f t="shared" si="20"/>
        <v>0</v>
      </c>
      <c r="AG28" s="180">
        <f t="shared" si="17"/>
        <v>0</v>
      </c>
      <c r="AH28" s="181">
        <f t="shared" si="21"/>
        <v>0</v>
      </c>
      <c r="AI28" s="182"/>
      <c r="AJ28" s="90"/>
      <c r="AK28" s="90"/>
      <c r="AL28" s="183">
        <f t="shared" si="22"/>
        <v>0</v>
      </c>
      <c r="AM28" s="182"/>
      <c r="AN28" s="90"/>
      <c r="AO28" s="90"/>
      <c r="AP28" s="183">
        <f t="shared" si="23"/>
        <v>0</v>
      </c>
      <c r="AQ28" s="182"/>
      <c r="AR28" s="90"/>
      <c r="AS28" s="90"/>
      <c r="AT28" s="183">
        <f t="shared" si="24"/>
        <v>0</v>
      </c>
      <c r="AU28" s="182"/>
      <c r="AV28" s="90"/>
      <c r="AW28" s="90"/>
      <c r="AX28" s="183">
        <f t="shared" si="25"/>
        <v>0</v>
      </c>
      <c r="AY28" s="182"/>
      <c r="AZ28" s="90"/>
      <c r="BA28" s="90"/>
      <c r="BB28" s="183">
        <f t="shared" si="26"/>
        <v>0</v>
      </c>
      <c r="BC28" s="182"/>
      <c r="BD28" s="90"/>
      <c r="BE28" s="90"/>
      <c r="BF28" s="183">
        <f t="shared" si="27"/>
        <v>0</v>
      </c>
      <c r="BG28" s="182"/>
      <c r="BH28" s="90"/>
      <c r="BI28" s="90"/>
      <c r="BJ28" s="183">
        <f t="shared" si="28"/>
        <v>0</v>
      </c>
      <c r="BK28" s="182"/>
      <c r="BL28" s="90"/>
      <c r="BM28" s="90"/>
      <c r="BN28" s="183">
        <f t="shared" si="29"/>
        <v>0</v>
      </c>
      <c r="BO28" s="182"/>
      <c r="BP28" s="90"/>
      <c r="BQ28" s="90"/>
      <c r="BR28" s="183">
        <f t="shared" si="30"/>
        <v>0</v>
      </c>
      <c r="BS28" s="182"/>
      <c r="BT28" s="90"/>
      <c r="BU28" s="90"/>
      <c r="BV28" s="183">
        <f t="shared" si="31"/>
        <v>0</v>
      </c>
      <c r="BW28" s="182"/>
      <c r="BX28" s="90"/>
      <c r="BY28" s="90"/>
      <c r="BZ28" s="183">
        <f t="shared" si="32"/>
        <v>0</v>
      </c>
      <c r="CA28" s="182"/>
      <c r="CB28" s="90"/>
      <c r="CC28" s="90"/>
      <c r="CD28" s="183">
        <f t="shared" si="33"/>
        <v>0</v>
      </c>
    </row>
    <row r="29" spans="2:82" x14ac:dyDescent="0.3">
      <c r="B29" s="53"/>
      <c r="C29" s="53" t="str">
        <f t="shared" si="0"/>
        <v>CPU_FresagemDescontinua</v>
      </c>
      <c r="D29" s="278">
        <f t="shared" si="1"/>
        <v>145.83333333333334</v>
      </c>
      <c r="E29" s="278">
        <f t="shared" si="2"/>
        <v>18416.669999999998</v>
      </c>
      <c r="F29" s="1"/>
      <c r="G29" s="28" t="str">
        <f>IFERROR(VLOOKUP(F29,Tabela7[[RECURSO]:[CUSTO]],2,FALSE),"")</f>
        <v/>
      </c>
      <c r="H29" s="93"/>
      <c r="I29" s="90"/>
      <c r="J29" s="45">
        <f>IFERROR(VLOOKUP(F29,Tabela7[[RECURSO]:[CUSTO]],3,FALSE),0)</f>
        <v>0</v>
      </c>
      <c r="K29" s="45">
        <f t="shared" si="34"/>
        <v>0</v>
      </c>
      <c r="AD29" s="144" t="str">
        <f t="shared" si="3"/>
        <v>Fresagem Descontinua</v>
      </c>
      <c r="AE29" s="179"/>
      <c r="AF29" s="180">
        <f t="shared" si="20"/>
        <v>0</v>
      </c>
      <c r="AG29" s="180">
        <f t="shared" si="17"/>
        <v>0</v>
      </c>
      <c r="AH29" s="181">
        <f t="shared" si="21"/>
        <v>0</v>
      </c>
      <c r="AI29" s="182"/>
      <c r="AJ29" s="90"/>
      <c r="AK29" s="90"/>
      <c r="AL29" s="183">
        <f t="shared" si="22"/>
        <v>0</v>
      </c>
      <c r="AM29" s="182"/>
      <c r="AN29" s="90"/>
      <c r="AO29" s="90"/>
      <c r="AP29" s="183">
        <f t="shared" si="23"/>
        <v>0</v>
      </c>
      <c r="AQ29" s="182"/>
      <c r="AR29" s="90"/>
      <c r="AS29" s="90"/>
      <c r="AT29" s="183">
        <f t="shared" si="24"/>
        <v>0</v>
      </c>
      <c r="AU29" s="182"/>
      <c r="AV29" s="90"/>
      <c r="AW29" s="90"/>
      <c r="AX29" s="183">
        <f t="shared" si="25"/>
        <v>0</v>
      </c>
      <c r="AY29" s="182"/>
      <c r="AZ29" s="90"/>
      <c r="BA29" s="90"/>
      <c r="BB29" s="183">
        <f t="shared" si="26"/>
        <v>0</v>
      </c>
      <c r="BC29" s="182"/>
      <c r="BD29" s="90"/>
      <c r="BE29" s="90"/>
      <c r="BF29" s="183">
        <f t="shared" si="27"/>
        <v>0</v>
      </c>
      <c r="BG29" s="182"/>
      <c r="BH29" s="90"/>
      <c r="BI29" s="90"/>
      <c r="BJ29" s="183">
        <f t="shared" si="28"/>
        <v>0</v>
      </c>
      <c r="BK29" s="182"/>
      <c r="BL29" s="90"/>
      <c r="BM29" s="90"/>
      <c r="BN29" s="183">
        <f t="shared" si="29"/>
        <v>0</v>
      </c>
      <c r="BO29" s="182"/>
      <c r="BP29" s="90"/>
      <c r="BQ29" s="90"/>
      <c r="BR29" s="183">
        <f t="shared" si="30"/>
        <v>0</v>
      </c>
      <c r="BS29" s="182"/>
      <c r="BT29" s="90"/>
      <c r="BU29" s="90"/>
      <c r="BV29" s="183">
        <f t="shared" si="31"/>
        <v>0</v>
      </c>
      <c r="BW29" s="182"/>
      <c r="BX29" s="90"/>
      <c r="BY29" s="90"/>
      <c r="BZ29" s="183">
        <f t="shared" si="32"/>
        <v>0</v>
      </c>
      <c r="CA29" s="182"/>
      <c r="CB29" s="90"/>
      <c r="CC29" s="90"/>
      <c r="CD29" s="183">
        <f t="shared" si="33"/>
        <v>0</v>
      </c>
    </row>
    <row r="30" spans="2:82" x14ac:dyDescent="0.3">
      <c r="B30" s="53"/>
      <c r="C30" s="53" t="str">
        <f t="shared" si="0"/>
        <v>CPU_FresagemDescontinua</v>
      </c>
      <c r="D30" s="278">
        <f t="shared" si="1"/>
        <v>145.83333333333334</v>
      </c>
      <c r="E30" s="278">
        <f t="shared" si="2"/>
        <v>18416.669999999998</v>
      </c>
      <c r="F30" s="1"/>
      <c r="G30" s="28" t="str">
        <f>IFERROR(VLOOKUP(F30,Tabela7[[RECURSO]:[CUSTO]],2,FALSE),"")</f>
        <v/>
      </c>
      <c r="H30" s="93"/>
      <c r="I30" s="90"/>
      <c r="J30" s="45">
        <f>IFERROR(VLOOKUP(F30,Tabela7[[RECURSO]:[CUSTO]],3,FALSE),0)</f>
        <v>0</v>
      </c>
      <c r="K30" s="45">
        <f t="shared" si="34"/>
        <v>0</v>
      </c>
      <c r="AD30" s="144" t="str">
        <f t="shared" si="3"/>
        <v>Fresagem Descontinua</v>
      </c>
      <c r="AE30" s="179"/>
      <c r="AF30" s="180">
        <f t="shared" si="20"/>
        <v>0</v>
      </c>
      <c r="AG30" s="180">
        <f t="shared" si="17"/>
        <v>0</v>
      </c>
      <c r="AH30" s="181">
        <f t="shared" si="21"/>
        <v>0</v>
      </c>
      <c r="AI30" s="182"/>
      <c r="AJ30" s="90"/>
      <c r="AK30" s="90"/>
      <c r="AL30" s="183">
        <f t="shared" si="22"/>
        <v>0</v>
      </c>
      <c r="AM30" s="182"/>
      <c r="AN30" s="90"/>
      <c r="AO30" s="90"/>
      <c r="AP30" s="183">
        <f t="shared" si="23"/>
        <v>0</v>
      </c>
      <c r="AQ30" s="182"/>
      <c r="AR30" s="90"/>
      <c r="AS30" s="90"/>
      <c r="AT30" s="183">
        <f t="shared" si="24"/>
        <v>0</v>
      </c>
      <c r="AU30" s="182"/>
      <c r="AV30" s="90"/>
      <c r="AW30" s="90"/>
      <c r="AX30" s="183">
        <f t="shared" si="25"/>
        <v>0</v>
      </c>
      <c r="AY30" s="182"/>
      <c r="AZ30" s="90"/>
      <c r="BA30" s="90"/>
      <c r="BB30" s="183">
        <f t="shared" si="26"/>
        <v>0</v>
      </c>
      <c r="BC30" s="182"/>
      <c r="BD30" s="90"/>
      <c r="BE30" s="90"/>
      <c r="BF30" s="183">
        <f t="shared" si="27"/>
        <v>0</v>
      </c>
      <c r="BG30" s="182"/>
      <c r="BH30" s="90"/>
      <c r="BI30" s="90"/>
      <c r="BJ30" s="183">
        <f t="shared" si="28"/>
        <v>0</v>
      </c>
      <c r="BK30" s="182"/>
      <c r="BL30" s="90"/>
      <c r="BM30" s="90"/>
      <c r="BN30" s="183">
        <f t="shared" si="29"/>
        <v>0</v>
      </c>
      <c r="BO30" s="182"/>
      <c r="BP30" s="90"/>
      <c r="BQ30" s="90"/>
      <c r="BR30" s="183">
        <f t="shared" si="30"/>
        <v>0</v>
      </c>
      <c r="BS30" s="182"/>
      <c r="BT30" s="90"/>
      <c r="BU30" s="90"/>
      <c r="BV30" s="183">
        <f t="shared" si="31"/>
        <v>0</v>
      </c>
      <c r="BW30" s="182"/>
      <c r="BX30" s="90"/>
      <c r="BY30" s="90"/>
      <c r="BZ30" s="183">
        <f t="shared" si="32"/>
        <v>0</v>
      </c>
      <c r="CA30" s="182"/>
      <c r="CB30" s="90"/>
      <c r="CC30" s="90"/>
      <c r="CD30" s="183">
        <f t="shared" si="33"/>
        <v>0</v>
      </c>
    </row>
    <row r="31" spans="2:82" x14ac:dyDescent="0.3">
      <c r="B31" s="53"/>
      <c r="C31" s="53" t="str">
        <f t="shared" si="0"/>
        <v>CPU_FresagemDescontinua</v>
      </c>
      <c r="D31" s="278">
        <f t="shared" si="1"/>
        <v>145.83333333333334</v>
      </c>
      <c r="E31" s="278">
        <f t="shared" si="2"/>
        <v>18416.669999999998</v>
      </c>
      <c r="F31" s="1"/>
      <c r="G31" s="28" t="str">
        <f>IFERROR(VLOOKUP(F31,Tabela7[[RECURSO]:[CUSTO]],2,FALSE),"")</f>
        <v/>
      </c>
      <c r="H31" s="93"/>
      <c r="I31" s="90"/>
      <c r="J31" s="45">
        <f>IFERROR(VLOOKUP(F31,Tabela7[[RECURSO]:[CUSTO]],3,FALSE),0)</f>
        <v>0</v>
      </c>
      <c r="K31" s="45">
        <f t="shared" si="34"/>
        <v>0</v>
      </c>
      <c r="AD31" s="144" t="str">
        <f t="shared" si="3"/>
        <v>Fresagem Descontinua</v>
      </c>
      <c r="AE31" s="179"/>
      <c r="AF31" s="180">
        <f t="shared" si="20"/>
        <v>0</v>
      </c>
      <c r="AG31" s="180">
        <f t="shared" si="17"/>
        <v>0</v>
      </c>
      <c r="AH31" s="181">
        <f t="shared" si="21"/>
        <v>0</v>
      </c>
      <c r="AI31" s="182"/>
      <c r="AJ31" s="90"/>
      <c r="AK31" s="90"/>
      <c r="AL31" s="183">
        <f t="shared" si="22"/>
        <v>0</v>
      </c>
      <c r="AM31" s="182"/>
      <c r="AN31" s="90"/>
      <c r="AO31" s="90"/>
      <c r="AP31" s="183">
        <f t="shared" si="23"/>
        <v>0</v>
      </c>
      <c r="AQ31" s="182"/>
      <c r="AR31" s="90"/>
      <c r="AS31" s="90"/>
      <c r="AT31" s="183">
        <f t="shared" si="24"/>
        <v>0</v>
      </c>
      <c r="AU31" s="182"/>
      <c r="AV31" s="90"/>
      <c r="AW31" s="90"/>
      <c r="AX31" s="183">
        <f t="shared" si="25"/>
        <v>0</v>
      </c>
      <c r="AY31" s="182"/>
      <c r="AZ31" s="90"/>
      <c r="BA31" s="90"/>
      <c r="BB31" s="183">
        <f t="shared" si="26"/>
        <v>0</v>
      </c>
      <c r="BC31" s="182"/>
      <c r="BD31" s="90"/>
      <c r="BE31" s="90"/>
      <c r="BF31" s="183">
        <f t="shared" si="27"/>
        <v>0</v>
      </c>
      <c r="BG31" s="182"/>
      <c r="BH31" s="90"/>
      <c r="BI31" s="90"/>
      <c r="BJ31" s="183">
        <f t="shared" si="28"/>
        <v>0</v>
      </c>
      <c r="BK31" s="182"/>
      <c r="BL31" s="90"/>
      <c r="BM31" s="90"/>
      <c r="BN31" s="183">
        <f t="shared" si="29"/>
        <v>0</v>
      </c>
      <c r="BO31" s="182"/>
      <c r="BP31" s="90"/>
      <c r="BQ31" s="90"/>
      <c r="BR31" s="183">
        <f t="shared" si="30"/>
        <v>0</v>
      </c>
      <c r="BS31" s="182"/>
      <c r="BT31" s="90"/>
      <c r="BU31" s="90"/>
      <c r="BV31" s="183">
        <f t="shared" si="31"/>
        <v>0</v>
      </c>
      <c r="BW31" s="182"/>
      <c r="BX31" s="90"/>
      <c r="BY31" s="90"/>
      <c r="BZ31" s="183">
        <f t="shared" si="32"/>
        <v>0</v>
      </c>
      <c r="CA31" s="182"/>
      <c r="CB31" s="90"/>
      <c r="CC31" s="90"/>
      <c r="CD31" s="183">
        <f t="shared" si="33"/>
        <v>0</v>
      </c>
    </row>
    <row r="32" spans="2:82" x14ac:dyDescent="0.3">
      <c r="B32" s="53"/>
      <c r="C32" s="53" t="str">
        <f t="shared" si="0"/>
        <v>CPU_FresagemDescontinua</v>
      </c>
      <c r="D32" s="278">
        <f t="shared" si="1"/>
        <v>145.83333333333334</v>
      </c>
      <c r="E32" s="278">
        <f t="shared" si="2"/>
        <v>18416.669999999998</v>
      </c>
      <c r="F32" s="1"/>
      <c r="G32" s="28" t="str">
        <f>IFERROR(VLOOKUP(F32,Tabela7[[RECURSO]:[CUSTO]],2,FALSE),"")</f>
        <v/>
      </c>
      <c r="H32" s="93"/>
      <c r="I32" s="90"/>
      <c r="J32" s="45">
        <f>IFERROR(VLOOKUP(F32,Tabela7[[RECURSO]:[CUSTO]],3,FALSE),0)</f>
        <v>0</v>
      </c>
      <c r="K32" s="45">
        <f t="shared" si="34"/>
        <v>0</v>
      </c>
      <c r="AD32" s="144" t="str">
        <f t="shared" si="3"/>
        <v>Fresagem Descontinua</v>
      </c>
      <c r="AE32" s="179"/>
      <c r="AF32" s="180">
        <f t="shared" si="20"/>
        <v>0</v>
      </c>
      <c r="AG32" s="180">
        <f t="shared" si="17"/>
        <v>0</v>
      </c>
      <c r="AH32" s="181">
        <f t="shared" si="21"/>
        <v>0</v>
      </c>
      <c r="AI32" s="182"/>
      <c r="AJ32" s="90"/>
      <c r="AK32" s="90"/>
      <c r="AL32" s="183">
        <f t="shared" si="22"/>
        <v>0</v>
      </c>
      <c r="AM32" s="182"/>
      <c r="AN32" s="90"/>
      <c r="AO32" s="90"/>
      <c r="AP32" s="183">
        <f t="shared" si="23"/>
        <v>0</v>
      </c>
      <c r="AQ32" s="182"/>
      <c r="AR32" s="90"/>
      <c r="AS32" s="90"/>
      <c r="AT32" s="183">
        <f t="shared" si="24"/>
        <v>0</v>
      </c>
      <c r="AU32" s="182"/>
      <c r="AV32" s="90"/>
      <c r="AW32" s="90"/>
      <c r="AX32" s="183">
        <f t="shared" si="25"/>
        <v>0</v>
      </c>
      <c r="AY32" s="182"/>
      <c r="AZ32" s="90"/>
      <c r="BA32" s="90"/>
      <c r="BB32" s="183">
        <f t="shared" si="26"/>
        <v>0</v>
      </c>
      <c r="BC32" s="182"/>
      <c r="BD32" s="90"/>
      <c r="BE32" s="90"/>
      <c r="BF32" s="183">
        <f t="shared" si="27"/>
        <v>0</v>
      </c>
      <c r="BG32" s="182"/>
      <c r="BH32" s="90"/>
      <c r="BI32" s="90"/>
      <c r="BJ32" s="183">
        <f t="shared" si="28"/>
        <v>0</v>
      </c>
      <c r="BK32" s="182"/>
      <c r="BL32" s="90"/>
      <c r="BM32" s="90"/>
      <c r="BN32" s="183">
        <f t="shared" si="29"/>
        <v>0</v>
      </c>
      <c r="BO32" s="182"/>
      <c r="BP32" s="90"/>
      <c r="BQ32" s="90"/>
      <c r="BR32" s="183">
        <f t="shared" si="30"/>
        <v>0</v>
      </c>
      <c r="BS32" s="182"/>
      <c r="BT32" s="90"/>
      <c r="BU32" s="90"/>
      <c r="BV32" s="183">
        <f t="shared" si="31"/>
        <v>0</v>
      </c>
      <c r="BW32" s="182"/>
      <c r="BX32" s="90"/>
      <c r="BY32" s="90"/>
      <c r="BZ32" s="183">
        <f t="shared" si="32"/>
        <v>0</v>
      </c>
      <c r="CA32" s="182"/>
      <c r="CB32" s="90"/>
      <c r="CC32" s="90"/>
      <c r="CD32" s="183">
        <f t="shared" si="33"/>
        <v>0</v>
      </c>
    </row>
    <row r="33" spans="2:82" x14ac:dyDescent="0.3">
      <c r="B33" s="53"/>
      <c r="C33" s="53" t="str">
        <f t="shared" si="0"/>
        <v>CPU_FresagemDescontinua</v>
      </c>
      <c r="D33" s="278">
        <f t="shared" si="1"/>
        <v>145.83333333333334</v>
      </c>
      <c r="E33" s="278">
        <f t="shared" si="2"/>
        <v>18416.669999999998</v>
      </c>
      <c r="F33" s="1"/>
      <c r="G33" s="28" t="str">
        <f>IFERROR(VLOOKUP(F33,Tabela7[[RECURSO]:[CUSTO]],2,FALSE),"")</f>
        <v/>
      </c>
      <c r="H33" s="93"/>
      <c r="I33" s="90"/>
      <c r="J33" s="45">
        <f>IFERROR(VLOOKUP(F33,Tabela7[[RECURSO]:[CUSTO]],3,FALSE),0)</f>
        <v>0</v>
      </c>
      <c r="K33" s="45">
        <f t="shared" si="34"/>
        <v>0</v>
      </c>
      <c r="AD33" s="144" t="str">
        <f t="shared" si="3"/>
        <v>Fresagem Descontinua</v>
      </c>
      <c r="AE33" s="179"/>
      <c r="AF33" s="180">
        <f t="shared" si="20"/>
        <v>0</v>
      </c>
      <c r="AG33" s="180">
        <f t="shared" si="17"/>
        <v>0</v>
      </c>
      <c r="AH33" s="181">
        <f t="shared" si="21"/>
        <v>0</v>
      </c>
      <c r="AI33" s="182"/>
      <c r="AJ33" s="90"/>
      <c r="AK33" s="90"/>
      <c r="AL33" s="183">
        <f t="shared" si="22"/>
        <v>0</v>
      </c>
      <c r="AM33" s="182"/>
      <c r="AN33" s="90"/>
      <c r="AO33" s="90"/>
      <c r="AP33" s="183">
        <f t="shared" si="23"/>
        <v>0</v>
      </c>
      <c r="AQ33" s="182"/>
      <c r="AR33" s="90"/>
      <c r="AS33" s="90"/>
      <c r="AT33" s="183">
        <f t="shared" si="24"/>
        <v>0</v>
      </c>
      <c r="AU33" s="182"/>
      <c r="AV33" s="90"/>
      <c r="AW33" s="90"/>
      <c r="AX33" s="183">
        <f t="shared" si="25"/>
        <v>0</v>
      </c>
      <c r="AY33" s="182"/>
      <c r="AZ33" s="90"/>
      <c r="BA33" s="90"/>
      <c r="BB33" s="183">
        <f t="shared" si="26"/>
        <v>0</v>
      </c>
      <c r="BC33" s="182"/>
      <c r="BD33" s="90"/>
      <c r="BE33" s="90"/>
      <c r="BF33" s="183">
        <f t="shared" si="27"/>
        <v>0</v>
      </c>
      <c r="BG33" s="182"/>
      <c r="BH33" s="90"/>
      <c r="BI33" s="90"/>
      <c r="BJ33" s="183">
        <f t="shared" si="28"/>
        <v>0</v>
      </c>
      <c r="BK33" s="182"/>
      <c r="BL33" s="90"/>
      <c r="BM33" s="90"/>
      <c r="BN33" s="183">
        <f t="shared" si="29"/>
        <v>0</v>
      </c>
      <c r="BO33" s="182"/>
      <c r="BP33" s="90"/>
      <c r="BQ33" s="90"/>
      <c r="BR33" s="183">
        <f t="shared" si="30"/>
        <v>0</v>
      </c>
      <c r="BS33" s="182"/>
      <c r="BT33" s="90"/>
      <c r="BU33" s="90"/>
      <c r="BV33" s="183">
        <f t="shared" si="31"/>
        <v>0</v>
      </c>
      <c r="BW33" s="182"/>
      <c r="BX33" s="90"/>
      <c r="BY33" s="90"/>
      <c r="BZ33" s="183">
        <f t="shared" si="32"/>
        <v>0</v>
      </c>
      <c r="CA33" s="182"/>
      <c r="CB33" s="90"/>
      <c r="CC33" s="90"/>
      <c r="CD33" s="183">
        <f t="shared" si="33"/>
        <v>0</v>
      </c>
    </row>
    <row r="34" spans="2:82" x14ac:dyDescent="0.3">
      <c r="B34" s="53"/>
      <c r="C34" s="53" t="str">
        <f t="shared" si="0"/>
        <v>CPU_FresagemDescontinua</v>
      </c>
      <c r="D34" s="278">
        <f t="shared" si="1"/>
        <v>145.83333333333334</v>
      </c>
      <c r="E34" s="278">
        <f t="shared" si="2"/>
        <v>18416.669999999998</v>
      </c>
      <c r="F34" s="1"/>
      <c r="G34" s="28" t="str">
        <f>IFERROR(VLOOKUP(F34,Tabela7[[RECURSO]:[CUSTO]],2,FALSE),"")</f>
        <v/>
      </c>
      <c r="H34" s="93"/>
      <c r="I34" s="90"/>
      <c r="J34" s="45">
        <f>IFERROR(VLOOKUP(F34,Tabela7[[RECURSO]:[CUSTO]],3,FALSE),0)</f>
        <v>0</v>
      </c>
      <c r="K34" s="45">
        <f t="shared" si="34"/>
        <v>0</v>
      </c>
      <c r="AD34" s="144" t="str">
        <f t="shared" si="3"/>
        <v>Fresagem Descontinua</v>
      </c>
      <c r="AE34" s="179"/>
      <c r="AF34" s="180">
        <f t="shared" si="20"/>
        <v>0</v>
      </c>
      <c r="AG34" s="180">
        <f t="shared" si="17"/>
        <v>0</v>
      </c>
      <c r="AH34" s="181">
        <f t="shared" si="21"/>
        <v>0</v>
      </c>
      <c r="AI34" s="182"/>
      <c r="AJ34" s="90"/>
      <c r="AK34" s="90"/>
      <c r="AL34" s="183">
        <f t="shared" si="22"/>
        <v>0</v>
      </c>
      <c r="AM34" s="182"/>
      <c r="AN34" s="90"/>
      <c r="AO34" s="90"/>
      <c r="AP34" s="183">
        <f t="shared" si="23"/>
        <v>0</v>
      </c>
      <c r="AQ34" s="182"/>
      <c r="AR34" s="90"/>
      <c r="AS34" s="90"/>
      <c r="AT34" s="183">
        <f t="shared" si="24"/>
        <v>0</v>
      </c>
      <c r="AU34" s="182"/>
      <c r="AV34" s="90"/>
      <c r="AW34" s="90"/>
      <c r="AX34" s="183">
        <f t="shared" si="25"/>
        <v>0</v>
      </c>
      <c r="AY34" s="182"/>
      <c r="AZ34" s="90"/>
      <c r="BA34" s="90"/>
      <c r="BB34" s="183">
        <f t="shared" si="26"/>
        <v>0</v>
      </c>
      <c r="BC34" s="182"/>
      <c r="BD34" s="90"/>
      <c r="BE34" s="90"/>
      <c r="BF34" s="183">
        <f t="shared" si="27"/>
        <v>0</v>
      </c>
      <c r="BG34" s="182"/>
      <c r="BH34" s="90"/>
      <c r="BI34" s="90"/>
      <c r="BJ34" s="183">
        <f t="shared" si="28"/>
        <v>0</v>
      </c>
      <c r="BK34" s="182"/>
      <c r="BL34" s="90"/>
      <c r="BM34" s="90"/>
      <c r="BN34" s="183">
        <f t="shared" si="29"/>
        <v>0</v>
      </c>
      <c r="BO34" s="182"/>
      <c r="BP34" s="90"/>
      <c r="BQ34" s="90"/>
      <c r="BR34" s="183">
        <f t="shared" si="30"/>
        <v>0</v>
      </c>
      <c r="BS34" s="182"/>
      <c r="BT34" s="90"/>
      <c r="BU34" s="90"/>
      <c r="BV34" s="183">
        <f t="shared" si="31"/>
        <v>0</v>
      </c>
      <c r="BW34" s="182"/>
      <c r="BX34" s="90"/>
      <c r="BY34" s="90"/>
      <c r="BZ34" s="183">
        <f t="shared" si="32"/>
        <v>0</v>
      </c>
      <c r="CA34" s="182"/>
      <c r="CB34" s="90"/>
      <c r="CC34" s="90"/>
      <c r="CD34" s="183">
        <f t="shared" si="33"/>
        <v>0</v>
      </c>
    </row>
    <row r="35" spans="2:82" x14ac:dyDescent="0.3">
      <c r="B35" s="53"/>
      <c r="C35" s="53" t="str">
        <f t="shared" si="0"/>
        <v>CPU_FresagemDescontinua</v>
      </c>
      <c r="D35" s="278">
        <f t="shared" si="1"/>
        <v>145.83333333333334</v>
      </c>
      <c r="E35" s="278">
        <f t="shared" si="2"/>
        <v>18416.669999999998</v>
      </c>
      <c r="F35" s="1"/>
      <c r="G35" s="28" t="str">
        <f>IFERROR(VLOOKUP(F35,Tabela7[[RECURSO]:[CUSTO]],2,FALSE),"")</f>
        <v/>
      </c>
      <c r="H35" s="93"/>
      <c r="I35" s="90"/>
      <c r="J35" s="45">
        <f>IFERROR(VLOOKUP(F35,Tabela7[[RECURSO]:[CUSTO]],3,FALSE),0)</f>
        <v>0</v>
      </c>
      <c r="K35" s="45">
        <f t="shared" si="34"/>
        <v>0</v>
      </c>
      <c r="AD35" s="144" t="str">
        <f t="shared" si="3"/>
        <v>Fresagem Descontinua</v>
      </c>
      <c r="AE35" s="179"/>
      <c r="AF35" s="180">
        <f t="shared" si="20"/>
        <v>0</v>
      </c>
      <c r="AG35" s="180">
        <f t="shared" si="17"/>
        <v>0</v>
      </c>
      <c r="AH35" s="181">
        <f t="shared" si="21"/>
        <v>0</v>
      </c>
      <c r="AI35" s="182"/>
      <c r="AJ35" s="90"/>
      <c r="AK35" s="90"/>
      <c r="AL35" s="183">
        <f t="shared" si="22"/>
        <v>0</v>
      </c>
      <c r="AM35" s="182"/>
      <c r="AN35" s="90"/>
      <c r="AO35" s="90"/>
      <c r="AP35" s="183">
        <f t="shared" si="23"/>
        <v>0</v>
      </c>
      <c r="AQ35" s="182"/>
      <c r="AR35" s="90"/>
      <c r="AS35" s="90"/>
      <c r="AT35" s="183">
        <f t="shared" si="24"/>
        <v>0</v>
      </c>
      <c r="AU35" s="182"/>
      <c r="AV35" s="90"/>
      <c r="AW35" s="90"/>
      <c r="AX35" s="183">
        <f t="shared" si="25"/>
        <v>0</v>
      </c>
      <c r="AY35" s="182"/>
      <c r="AZ35" s="90"/>
      <c r="BA35" s="90"/>
      <c r="BB35" s="183">
        <f t="shared" si="26"/>
        <v>0</v>
      </c>
      <c r="BC35" s="182"/>
      <c r="BD35" s="90"/>
      <c r="BE35" s="90"/>
      <c r="BF35" s="183">
        <f t="shared" si="27"/>
        <v>0</v>
      </c>
      <c r="BG35" s="182"/>
      <c r="BH35" s="90"/>
      <c r="BI35" s="90"/>
      <c r="BJ35" s="183">
        <f t="shared" si="28"/>
        <v>0</v>
      </c>
      <c r="BK35" s="182"/>
      <c r="BL35" s="90"/>
      <c r="BM35" s="90"/>
      <c r="BN35" s="183">
        <f t="shared" si="29"/>
        <v>0</v>
      </c>
      <c r="BO35" s="182"/>
      <c r="BP35" s="90"/>
      <c r="BQ35" s="90"/>
      <c r="BR35" s="183">
        <f t="shared" si="30"/>
        <v>0</v>
      </c>
      <c r="BS35" s="182"/>
      <c r="BT35" s="90"/>
      <c r="BU35" s="90"/>
      <c r="BV35" s="183">
        <f t="shared" si="31"/>
        <v>0</v>
      </c>
      <c r="BW35" s="182"/>
      <c r="BX35" s="90"/>
      <c r="BY35" s="90"/>
      <c r="BZ35" s="183">
        <f t="shared" si="32"/>
        <v>0</v>
      </c>
      <c r="CA35" s="182"/>
      <c r="CB35" s="90"/>
      <c r="CC35" s="90"/>
      <c r="CD35" s="183">
        <f t="shared" si="33"/>
        <v>0</v>
      </c>
    </row>
    <row r="36" spans="2:82" x14ac:dyDescent="0.3">
      <c r="B36" s="53"/>
      <c r="C36" s="53" t="str">
        <f t="shared" si="0"/>
        <v>CPU_FresagemDescontinua</v>
      </c>
      <c r="D36" s="278">
        <f t="shared" si="1"/>
        <v>145.83333333333334</v>
      </c>
      <c r="E36" s="278">
        <f t="shared" si="2"/>
        <v>18416.669999999998</v>
      </c>
      <c r="F36" s="1"/>
      <c r="G36" s="28" t="str">
        <f>IFERROR(VLOOKUP(F36,Tabela7[[RECURSO]:[CUSTO]],2,FALSE),"")</f>
        <v/>
      </c>
      <c r="H36" s="93"/>
      <c r="I36" s="90"/>
      <c r="J36" s="45">
        <f>IFERROR(VLOOKUP(F36,Tabela7[[RECURSO]:[CUSTO]],3,FALSE),0)</f>
        <v>0</v>
      </c>
      <c r="K36" s="45">
        <f t="shared" si="34"/>
        <v>0</v>
      </c>
      <c r="AD36" s="144" t="str">
        <f t="shared" si="3"/>
        <v>Fresagem Descontinua</v>
      </c>
      <c r="AE36" s="179"/>
      <c r="AF36" s="180">
        <f t="shared" si="20"/>
        <v>0</v>
      </c>
      <c r="AG36" s="180">
        <f t="shared" si="17"/>
        <v>0</v>
      </c>
      <c r="AH36" s="181">
        <f t="shared" si="21"/>
        <v>0</v>
      </c>
      <c r="AI36" s="182"/>
      <c r="AJ36" s="90"/>
      <c r="AK36" s="90"/>
      <c r="AL36" s="183">
        <f t="shared" si="22"/>
        <v>0</v>
      </c>
      <c r="AM36" s="182"/>
      <c r="AN36" s="90"/>
      <c r="AO36" s="90"/>
      <c r="AP36" s="183">
        <f t="shared" si="23"/>
        <v>0</v>
      </c>
      <c r="AQ36" s="182"/>
      <c r="AR36" s="90"/>
      <c r="AS36" s="90"/>
      <c r="AT36" s="183">
        <f t="shared" si="24"/>
        <v>0</v>
      </c>
      <c r="AU36" s="182"/>
      <c r="AV36" s="90"/>
      <c r="AW36" s="90"/>
      <c r="AX36" s="183">
        <f t="shared" si="25"/>
        <v>0</v>
      </c>
      <c r="AY36" s="182"/>
      <c r="AZ36" s="90"/>
      <c r="BA36" s="90"/>
      <c r="BB36" s="183">
        <f t="shared" si="26"/>
        <v>0</v>
      </c>
      <c r="BC36" s="182"/>
      <c r="BD36" s="90"/>
      <c r="BE36" s="90"/>
      <c r="BF36" s="183">
        <f t="shared" si="27"/>
        <v>0</v>
      </c>
      <c r="BG36" s="182"/>
      <c r="BH36" s="90"/>
      <c r="BI36" s="90"/>
      <c r="BJ36" s="183">
        <f t="shared" si="28"/>
        <v>0</v>
      </c>
      <c r="BK36" s="182"/>
      <c r="BL36" s="90"/>
      <c r="BM36" s="90"/>
      <c r="BN36" s="183">
        <f t="shared" si="29"/>
        <v>0</v>
      </c>
      <c r="BO36" s="182"/>
      <c r="BP36" s="90"/>
      <c r="BQ36" s="90"/>
      <c r="BR36" s="183">
        <f t="shared" si="30"/>
        <v>0</v>
      </c>
      <c r="BS36" s="182"/>
      <c r="BT36" s="90"/>
      <c r="BU36" s="90"/>
      <c r="BV36" s="183">
        <f t="shared" si="31"/>
        <v>0</v>
      </c>
      <c r="BW36" s="182"/>
      <c r="BX36" s="90"/>
      <c r="BY36" s="90"/>
      <c r="BZ36" s="183">
        <f t="shared" si="32"/>
        <v>0</v>
      </c>
      <c r="CA36" s="182"/>
      <c r="CB36" s="90"/>
      <c r="CC36" s="90"/>
      <c r="CD36" s="183">
        <f t="shared" si="33"/>
        <v>0</v>
      </c>
    </row>
    <row r="37" spans="2:82" x14ac:dyDescent="0.3">
      <c r="B37" s="52" t="s">
        <v>692</v>
      </c>
      <c r="C37" s="52" t="str">
        <f t="shared" si="0"/>
        <v>CPU_FresagemDescontinua</v>
      </c>
      <c r="D37" s="277">
        <f t="shared" si="1"/>
        <v>145.83333333333334</v>
      </c>
      <c r="E37" s="277">
        <f t="shared" si="2"/>
        <v>18416.669999999998</v>
      </c>
      <c r="F37" s="37"/>
      <c r="G37" s="38"/>
      <c r="H37" s="91"/>
      <c r="I37" s="40"/>
      <c r="J37" s="40">
        <f>IFERROR(K37/$B$6,0)</f>
        <v>11.557906291053701</v>
      </c>
      <c r="K37" s="40">
        <f>SUM(K38:K49)</f>
        <v>1685.5280007786648</v>
      </c>
      <c r="N37" s="39"/>
      <c r="AD37" s="144" t="str">
        <f t="shared" si="3"/>
        <v>Fresagem Descontinua</v>
      </c>
      <c r="AE37" s="184"/>
      <c r="AF37" s="40"/>
      <c r="AG37" s="40">
        <f>IFERROR(AH37/AF$3,0)</f>
        <v>0</v>
      </c>
      <c r="AH37" s="185">
        <f>SUM(AH38:AH49)</f>
        <v>0</v>
      </c>
      <c r="AI37" s="184"/>
      <c r="AJ37" s="40"/>
      <c r="AK37" s="40">
        <f>IFERROR(AL37/AJ$3,0)</f>
        <v>0</v>
      </c>
      <c r="AL37" s="185">
        <f>SUM(AL38:AL49)</f>
        <v>0</v>
      </c>
      <c r="AM37" s="184"/>
      <c r="AN37" s="40"/>
      <c r="AO37" s="40">
        <f>IFERROR(AP37/AN$3,0)</f>
        <v>0</v>
      </c>
      <c r="AP37" s="185">
        <f>SUM(AP38:AP49)</f>
        <v>0</v>
      </c>
      <c r="AQ37" s="184"/>
      <c r="AR37" s="40"/>
      <c r="AS37" s="40">
        <f>IFERROR(AT37/AR$3,0)</f>
        <v>0</v>
      </c>
      <c r="AT37" s="185">
        <f>SUM(AT38:AT49)</f>
        <v>0</v>
      </c>
      <c r="AU37" s="184"/>
      <c r="AV37" s="40"/>
      <c r="AW37" s="40">
        <f>IFERROR(AX37/AV$3,0)</f>
        <v>0</v>
      </c>
      <c r="AX37" s="185">
        <f>SUM(AX38:AX49)</f>
        <v>0</v>
      </c>
      <c r="AY37" s="184"/>
      <c r="AZ37" s="40"/>
      <c r="BA37" s="40">
        <f>IFERROR(BB37/AZ$3,0)</f>
        <v>0</v>
      </c>
      <c r="BB37" s="185">
        <f>SUM(BB38:BB49)</f>
        <v>0</v>
      </c>
      <c r="BC37" s="184"/>
      <c r="BD37" s="40"/>
      <c r="BE37" s="40">
        <f>IFERROR(BF37/BD$3,0)</f>
        <v>0</v>
      </c>
      <c r="BF37" s="185">
        <f>SUM(BF38:BF49)</f>
        <v>0</v>
      </c>
      <c r="BG37" s="184"/>
      <c r="BH37" s="40"/>
      <c r="BI37" s="40">
        <f>IFERROR(BJ37/BH$3,0)</f>
        <v>0</v>
      </c>
      <c r="BJ37" s="185">
        <f>SUM(BJ38:BJ49)</f>
        <v>0</v>
      </c>
      <c r="BK37" s="184"/>
      <c r="BL37" s="40"/>
      <c r="BM37" s="40">
        <f>IFERROR(BN37/BL$3,0)</f>
        <v>0</v>
      </c>
      <c r="BN37" s="185">
        <f>SUM(BN38:BN49)</f>
        <v>0</v>
      </c>
      <c r="BO37" s="184"/>
      <c r="BP37" s="40"/>
      <c r="BQ37" s="40">
        <f>IFERROR(BR37/BP$3,0)</f>
        <v>0</v>
      </c>
      <c r="BR37" s="185">
        <f>SUM(BR38:BR49)</f>
        <v>0</v>
      </c>
      <c r="BS37" s="184"/>
      <c r="BT37" s="40"/>
      <c r="BU37" s="40">
        <f>IFERROR(BV37/BT$3,0)</f>
        <v>0</v>
      </c>
      <c r="BV37" s="185">
        <f>SUM(BV38:BV49)</f>
        <v>0</v>
      </c>
      <c r="BW37" s="184"/>
      <c r="BX37" s="40"/>
      <c r="BY37" s="40">
        <f>IFERROR(BZ37/BX$3,0)</f>
        <v>0</v>
      </c>
      <c r="BZ37" s="185">
        <f>SUM(BZ38:BZ49)</f>
        <v>0</v>
      </c>
      <c r="CA37" s="184"/>
      <c r="CB37" s="40"/>
      <c r="CC37" s="40">
        <f>IFERROR(CD37/CB$3,0)</f>
        <v>0</v>
      </c>
      <c r="CD37" s="185">
        <f>SUM(CD38:CD49)</f>
        <v>0</v>
      </c>
    </row>
    <row r="38" spans="2:82" x14ac:dyDescent="0.3">
      <c r="B38" s="54"/>
      <c r="C38" s="54" t="str">
        <f t="shared" si="0"/>
        <v>CPU_FresagemDescontinua</v>
      </c>
      <c r="D38" s="280">
        <f t="shared" si="1"/>
        <v>145.83333333333334</v>
      </c>
      <c r="E38" s="280">
        <f t="shared" si="2"/>
        <v>18416.669999999998</v>
      </c>
      <c r="F38" s="1" t="s">
        <v>889</v>
      </c>
      <c r="G38" s="28" t="str">
        <f>IFERROR(VLOOKUP(F38,Tabela7[[RECURSO]:[CUSTO]],2,FALSE),"")</f>
        <v>H</v>
      </c>
      <c r="H38" s="92">
        <f>H12</f>
        <v>1</v>
      </c>
      <c r="I38" s="90">
        <v>10</v>
      </c>
      <c r="J38" s="45">
        <f>IFERROR(VLOOKUP(F38,Tabela7[[RECURSO]:[CUSTO]],3,FALSE),0)</f>
        <v>54.666793361884373</v>
      </c>
      <c r="K38" s="45">
        <f>I38*J38*CPU_12[[#This Row],[Nº]]</f>
        <v>546.66793361884379</v>
      </c>
      <c r="AD38" s="144" t="str">
        <f t="shared" si="3"/>
        <v>Fresagem Descontinua</v>
      </c>
      <c r="AE38" s="186"/>
      <c r="AF38" s="180">
        <f t="shared" ref="AF38:AF49" si="35">AJ38+AN38+AR38+AV38+AZ38+BD38+BH38+BL38+BP38+BT38+BX38+CB38</f>
        <v>0</v>
      </c>
      <c r="AG38" s="180">
        <f t="shared" si="17"/>
        <v>0</v>
      </c>
      <c r="AH38" s="181">
        <f t="shared" ref="AH38:AH49" si="36">AL38+AP38+AT38+AX38+BB38+BF38+BJ38+BN38+BR38+BV38+BZ38+CD38</f>
        <v>0</v>
      </c>
      <c r="AI38" s="187"/>
      <c r="AJ38" s="90"/>
      <c r="AK38" s="90"/>
      <c r="AL38" s="183">
        <f t="shared" ref="AL38:AL49" si="37">AJ38*AK38</f>
        <v>0</v>
      </c>
      <c r="AM38" s="187"/>
      <c r="AN38" s="90"/>
      <c r="AO38" s="90"/>
      <c r="AP38" s="183">
        <f t="shared" si="23"/>
        <v>0</v>
      </c>
      <c r="AQ38" s="187"/>
      <c r="AR38" s="90"/>
      <c r="AS38" s="90"/>
      <c r="AT38" s="183">
        <f t="shared" si="24"/>
        <v>0</v>
      </c>
      <c r="AU38" s="187"/>
      <c r="AV38" s="90"/>
      <c r="AW38" s="90"/>
      <c r="AX38" s="183">
        <f t="shared" si="25"/>
        <v>0</v>
      </c>
      <c r="AY38" s="187"/>
      <c r="AZ38" s="90"/>
      <c r="BA38" s="90"/>
      <c r="BB38" s="183">
        <f t="shared" si="26"/>
        <v>0</v>
      </c>
      <c r="BC38" s="187"/>
      <c r="BD38" s="90"/>
      <c r="BE38" s="90"/>
      <c r="BF38" s="183">
        <f t="shared" si="27"/>
        <v>0</v>
      </c>
      <c r="BG38" s="187"/>
      <c r="BH38" s="90"/>
      <c r="BI38" s="90"/>
      <c r="BJ38" s="183">
        <f t="shared" si="28"/>
        <v>0</v>
      </c>
      <c r="BK38" s="187"/>
      <c r="BL38" s="90"/>
      <c r="BM38" s="90"/>
      <c r="BN38" s="183">
        <f t="shared" si="29"/>
        <v>0</v>
      </c>
      <c r="BO38" s="187"/>
      <c r="BP38" s="90"/>
      <c r="BQ38" s="90"/>
      <c r="BR38" s="183">
        <f t="shared" si="30"/>
        <v>0</v>
      </c>
      <c r="BS38" s="187"/>
      <c r="BT38" s="90"/>
      <c r="BU38" s="90"/>
      <c r="BV38" s="183">
        <f t="shared" si="31"/>
        <v>0</v>
      </c>
      <c r="BW38" s="187"/>
      <c r="BX38" s="90"/>
      <c r="BY38" s="90"/>
      <c r="BZ38" s="183">
        <f t="shared" si="32"/>
        <v>0</v>
      </c>
      <c r="CA38" s="187"/>
      <c r="CB38" s="90"/>
      <c r="CC38" s="90"/>
      <c r="CD38" s="183">
        <f t="shared" si="33"/>
        <v>0</v>
      </c>
    </row>
    <row r="39" spans="2:82" x14ac:dyDescent="0.3">
      <c r="B39" s="54"/>
      <c r="C39" s="54" t="str">
        <f t="shared" si="0"/>
        <v>CPU_FresagemDescontinua</v>
      </c>
      <c r="D39" s="280">
        <f t="shared" si="1"/>
        <v>145.83333333333334</v>
      </c>
      <c r="E39" s="280">
        <f t="shared" si="2"/>
        <v>18416.669999999998</v>
      </c>
      <c r="F39" s="1" t="s">
        <v>852</v>
      </c>
      <c r="G39" s="28" t="str">
        <f>IFERROR(VLOOKUP(F39,Tabela7[[RECURSO]:[CUSTO]],2,FALSE),"")</f>
        <v>H</v>
      </c>
      <c r="H39" s="92">
        <f>H13</f>
        <v>1</v>
      </c>
      <c r="I39" s="90">
        <v>10</v>
      </c>
      <c r="J39" s="45">
        <f>IFERROR(VLOOKUP(F39,Tabela7[[RECURSO]:[CUSTO]],3,FALSE),0)</f>
        <v>39.212114074362468</v>
      </c>
      <c r="K39" s="45">
        <f>I39*J39*CPU_12[[#This Row],[Nº]]</f>
        <v>392.12114074362466</v>
      </c>
      <c r="AD39" s="144" t="str">
        <f t="shared" si="3"/>
        <v>Fresagem Descontinua</v>
      </c>
      <c r="AE39" s="186"/>
      <c r="AF39" s="180">
        <f t="shared" si="35"/>
        <v>0</v>
      </c>
      <c r="AG39" s="180">
        <f t="shared" si="17"/>
        <v>0</v>
      </c>
      <c r="AH39" s="181">
        <f t="shared" si="36"/>
        <v>0</v>
      </c>
      <c r="AI39" s="187"/>
      <c r="AJ39" s="90"/>
      <c r="AK39" s="90"/>
      <c r="AL39" s="183">
        <f t="shared" si="37"/>
        <v>0</v>
      </c>
      <c r="AM39" s="187"/>
      <c r="AN39" s="90"/>
      <c r="AO39" s="90"/>
      <c r="AP39" s="183">
        <f t="shared" si="23"/>
        <v>0</v>
      </c>
      <c r="AQ39" s="187"/>
      <c r="AR39" s="90"/>
      <c r="AS39" s="90"/>
      <c r="AT39" s="183">
        <f t="shared" si="24"/>
        <v>0</v>
      </c>
      <c r="AU39" s="187"/>
      <c r="AV39" s="90"/>
      <c r="AW39" s="90"/>
      <c r="AX39" s="183">
        <f t="shared" si="25"/>
        <v>0</v>
      </c>
      <c r="AY39" s="187"/>
      <c r="AZ39" s="90"/>
      <c r="BA39" s="90"/>
      <c r="BB39" s="183">
        <f t="shared" si="26"/>
        <v>0</v>
      </c>
      <c r="BC39" s="187"/>
      <c r="BD39" s="90"/>
      <c r="BE39" s="90"/>
      <c r="BF39" s="183">
        <f t="shared" si="27"/>
        <v>0</v>
      </c>
      <c r="BG39" s="187"/>
      <c r="BH39" s="90"/>
      <c r="BI39" s="90"/>
      <c r="BJ39" s="183">
        <f t="shared" si="28"/>
        <v>0</v>
      </c>
      <c r="BK39" s="187"/>
      <c r="BL39" s="90"/>
      <c r="BM39" s="90"/>
      <c r="BN39" s="183">
        <f t="shared" si="29"/>
        <v>0</v>
      </c>
      <c r="BO39" s="187"/>
      <c r="BP39" s="90"/>
      <c r="BQ39" s="90"/>
      <c r="BR39" s="183">
        <f t="shared" si="30"/>
        <v>0</v>
      </c>
      <c r="BS39" s="187"/>
      <c r="BT39" s="90"/>
      <c r="BU39" s="90"/>
      <c r="BV39" s="183">
        <f t="shared" si="31"/>
        <v>0</v>
      </c>
      <c r="BW39" s="187"/>
      <c r="BX39" s="90"/>
      <c r="BY39" s="90"/>
      <c r="BZ39" s="183">
        <f t="shared" si="32"/>
        <v>0</v>
      </c>
      <c r="CA39" s="187"/>
      <c r="CB39" s="90"/>
      <c r="CC39" s="90"/>
      <c r="CD39" s="183">
        <f t="shared" si="33"/>
        <v>0</v>
      </c>
    </row>
    <row r="40" spans="2:82" x14ac:dyDescent="0.3">
      <c r="B40" s="54"/>
      <c r="C40" s="54" t="str">
        <f t="shared" si="0"/>
        <v>CPU_FresagemDescontinua</v>
      </c>
      <c r="D40" s="280">
        <f t="shared" si="1"/>
        <v>145.83333333333334</v>
      </c>
      <c r="E40" s="280">
        <f t="shared" si="2"/>
        <v>18416.669999999998</v>
      </c>
      <c r="F40" s="1" t="s">
        <v>364</v>
      </c>
      <c r="G40" s="28" t="str">
        <f>IFERROR(VLOOKUP(F40,Tabela7[[RECURSO]:[CUSTO]],2,FALSE),"")</f>
        <v>H</v>
      </c>
      <c r="H40" s="92">
        <f>H14</f>
        <v>2</v>
      </c>
      <c r="I40" s="90">
        <v>10</v>
      </c>
      <c r="J40" s="45">
        <f>IFERROR(VLOOKUP(F40,Tabela7[[RECURSO]:[CUSTO]],3,FALSE),0)</f>
        <v>37.336946320809815</v>
      </c>
      <c r="K40" s="45">
        <f>I40*J40*CPU_12[[#This Row],[Nº]]</f>
        <v>746.73892641619636</v>
      </c>
      <c r="AD40" s="144" t="str">
        <f t="shared" si="3"/>
        <v>Fresagem Descontinua</v>
      </c>
      <c r="AE40" s="186"/>
      <c r="AF40" s="180">
        <f t="shared" si="35"/>
        <v>0</v>
      </c>
      <c r="AG40" s="180">
        <f t="shared" si="17"/>
        <v>0</v>
      </c>
      <c r="AH40" s="181">
        <f t="shared" si="36"/>
        <v>0</v>
      </c>
      <c r="AI40" s="187"/>
      <c r="AJ40" s="90"/>
      <c r="AK40" s="90"/>
      <c r="AL40" s="183">
        <f t="shared" si="37"/>
        <v>0</v>
      </c>
      <c r="AM40" s="187"/>
      <c r="AN40" s="90"/>
      <c r="AO40" s="90"/>
      <c r="AP40" s="183">
        <f t="shared" si="23"/>
        <v>0</v>
      </c>
      <c r="AQ40" s="187"/>
      <c r="AR40" s="90"/>
      <c r="AS40" s="90"/>
      <c r="AT40" s="183">
        <f t="shared" si="24"/>
        <v>0</v>
      </c>
      <c r="AU40" s="187"/>
      <c r="AV40" s="90"/>
      <c r="AW40" s="90"/>
      <c r="AX40" s="183">
        <f t="shared" si="25"/>
        <v>0</v>
      </c>
      <c r="AY40" s="187"/>
      <c r="AZ40" s="90"/>
      <c r="BA40" s="90"/>
      <c r="BB40" s="183">
        <f t="shared" si="26"/>
        <v>0</v>
      </c>
      <c r="BC40" s="187"/>
      <c r="BD40" s="90"/>
      <c r="BE40" s="90"/>
      <c r="BF40" s="183">
        <f t="shared" si="27"/>
        <v>0</v>
      </c>
      <c r="BG40" s="187"/>
      <c r="BH40" s="90"/>
      <c r="BI40" s="90"/>
      <c r="BJ40" s="183">
        <f t="shared" si="28"/>
        <v>0</v>
      </c>
      <c r="BK40" s="187"/>
      <c r="BL40" s="90"/>
      <c r="BM40" s="90"/>
      <c r="BN40" s="183">
        <f t="shared" si="29"/>
        <v>0</v>
      </c>
      <c r="BO40" s="187"/>
      <c r="BP40" s="90"/>
      <c r="BQ40" s="90"/>
      <c r="BR40" s="183">
        <f t="shared" si="30"/>
        <v>0</v>
      </c>
      <c r="BS40" s="187"/>
      <c r="BT40" s="90"/>
      <c r="BU40" s="90"/>
      <c r="BV40" s="183">
        <f t="shared" si="31"/>
        <v>0</v>
      </c>
      <c r="BW40" s="187"/>
      <c r="BX40" s="90"/>
      <c r="BY40" s="90"/>
      <c r="BZ40" s="183">
        <f t="shared" si="32"/>
        <v>0</v>
      </c>
      <c r="CA40" s="187"/>
      <c r="CB40" s="90"/>
      <c r="CC40" s="90"/>
      <c r="CD40" s="183">
        <f t="shared" si="33"/>
        <v>0</v>
      </c>
    </row>
    <row r="41" spans="2:82" x14ac:dyDescent="0.3">
      <c r="B41" s="54"/>
      <c r="C41" s="54" t="str">
        <f t="shared" si="0"/>
        <v>CPU_FresagemDescontinua</v>
      </c>
      <c r="D41" s="280">
        <f t="shared" si="1"/>
        <v>145.83333333333334</v>
      </c>
      <c r="E41" s="280">
        <f t="shared" si="2"/>
        <v>18416.669999999998</v>
      </c>
      <c r="F41" s="1" t="s">
        <v>851</v>
      </c>
      <c r="G41" s="28" t="str">
        <f>IFERROR(VLOOKUP(F41,Tabela7[[RECURSO]:[CUSTO]],2,FALSE),"")</f>
        <v>H</v>
      </c>
      <c r="H41" s="92">
        <f>H15</f>
        <v>0</v>
      </c>
      <c r="I41" s="90">
        <v>10</v>
      </c>
      <c r="J41" s="45">
        <f>IFERROR(VLOOKUP(F41,Tabela7[[RECURSO]:[CUSTO]],3,FALSE),0)</f>
        <v>35.57167850885731</v>
      </c>
      <c r="K41" s="45">
        <f>I41*J41*CPU_12[[#This Row],[Nº]]</f>
        <v>0</v>
      </c>
      <c r="AD41" s="144" t="str">
        <f t="shared" si="3"/>
        <v>Fresagem Descontinua</v>
      </c>
      <c r="AE41" s="186"/>
      <c r="AF41" s="180">
        <f t="shared" si="35"/>
        <v>0</v>
      </c>
      <c r="AG41" s="180">
        <f t="shared" si="17"/>
        <v>0</v>
      </c>
      <c r="AH41" s="181">
        <f t="shared" si="36"/>
        <v>0</v>
      </c>
      <c r="AI41" s="187"/>
      <c r="AJ41" s="90"/>
      <c r="AK41" s="90"/>
      <c r="AL41" s="183">
        <f t="shared" si="37"/>
        <v>0</v>
      </c>
      <c r="AM41" s="187"/>
      <c r="AN41" s="90"/>
      <c r="AO41" s="90"/>
      <c r="AP41" s="183">
        <f t="shared" si="23"/>
        <v>0</v>
      </c>
      <c r="AQ41" s="187"/>
      <c r="AR41" s="90"/>
      <c r="AS41" s="90"/>
      <c r="AT41" s="183">
        <f t="shared" si="24"/>
        <v>0</v>
      </c>
      <c r="AU41" s="187"/>
      <c r="AV41" s="90"/>
      <c r="AW41" s="90"/>
      <c r="AX41" s="183">
        <f t="shared" si="25"/>
        <v>0</v>
      </c>
      <c r="AY41" s="187"/>
      <c r="AZ41" s="90"/>
      <c r="BA41" s="90"/>
      <c r="BB41" s="183">
        <f t="shared" si="26"/>
        <v>0</v>
      </c>
      <c r="BC41" s="187"/>
      <c r="BD41" s="90"/>
      <c r="BE41" s="90"/>
      <c r="BF41" s="183">
        <f t="shared" si="27"/>
        <v>0</v>
      </c>
      <c r="BG41" s="187"/>
      <c r="BH41" s="90"/>
      <c r="BI41" s="90"/>
      <c r="BJ41" s="183">
        <f t="shared" si="28"/>
        <v>0</v>
      </c>
      <c r="BK41" s="187"/>
      <c r="BL41" s="90"/>
      <c r="BM41" s="90"/>
      <c r="BN41" s="183">
        <f t="shared" si="29"/>
        <v>0</v>
      </c>
      <c r="BO41" s="187"/>
      <c r="BP41" s="90"/>
      <c r="BQ41" s="90"/>
      <c r="BR41" s="183">
        <f t="shared" si="30"/>
        <v>0</v>
      </c>
      <c r="BS41" s="187"/>
      <c r="BT41" s="90"/>
      <c r="BU41" s="90"/>
      <c r="BV41" s="183">
        <f t="shared" si="31"/>
        <v>0</v>
      </c>
      <c r="BW41" s="187"/>
      <c r="BX41" s="90"/>
      <c r="BY41" s="90"/>
      <c r="BZ41" s="183">
        <f t="shared" si="32"/>
        <v>0</v>
      </c>
      <c r="CA41" s="187"/>
      <c r="CB41" s="90"/>
      <c r="CC41" s="90"/>
      <c r="CD41" s="183">
        <f t="shared" si="33"/>
        <v>0</v>
      </c>
    </row>
    <row r="42" spans="2:82" x14ac:dyDescent="0.3">
      <c r="B42" s="54"/>
      <c r="C42" s="54" t="str">
        <f t="shared" si="0"/>
        <v>CPU_FresagemDescontinua</v>
      </c>
      <c r="D42" s="280">
        <f t="shared" si="1"/>
        <v>145.83333333333334</v>
      </c>
      <c r="E42" s="280">
        <f t="shared" si="2"/>
        <v>18416.669999999998</v>
      </c>
      <c r="F42" s="1"/>
      <c r="G42" s="28" t="str">
        <f>IFERROR(VLOOKUP(F42,Tabela7[[RECURSO]:[CUSTO]],2,FALSE),"")</f>
        <v/>
      </c>
      <c r="H42" s="92"/>
      <c r="I42" s="90"/>
      <c r="J42" s="45">
        <f>IFERROR(VLOOKUP(F42,Tabela7[[RECURSO]:[CUSTO]],3,FALSE),0)</f>
        <v>0</v>
      </c>
      <c r="K42" s="45">
        <f>I42*J42*CPU_12[[#This Row],[Nº]]</f>
        <v>0</v>
      </c>
      <c r="AD42" s="144" t="str">
        <f t="shared" si="3"/>
        <v>Fresagem Descontinua</v>
      </c>
      <c r="AE42" s="186"/>
      <c r="AF42" s="180">
        <f t="shared" si="35"/>
        <v>0</v>
      </c>
      <c r="AG42" s="180">
        <f t="shared" si="17"/>
        <v>0</v>
      </c>
      <c r="AH42" s="181">
        <f t="shared" si="36"/>
        <v>0</v>
      </c>
      <c r="AI42" s="187"/>
      <c r="AJ42" s="90"/>
      <c r="AK42" s="90"/>
      <c r="AL42" s="183">
        <f t="shared" si="37"/>
        <v>0</v>
      </c>
      <c r="AM42" s="187"/>
      <c r="AN42" s="90"/>
      <c r="AO42" s="90"/>
      <c r="AP42" s="183">
        <f t="shared" si="23"/>
        <v>0</v>
      </c>
      <c r="AQ42" s="187"/>
      <c r="AR42" s="90"/>
      <c r="AS42" s="90"/>
      <c r="AT42" s="183">
        <f t="shared" si="24"/>
        <v>0</v>
      </c>
      <c r="AU42" s="187"/>
      <c r="AV42" s="90"/>
      <c r="AW42" s="90"/>
      <c r="AX42" s="183">
        <f t="shared" si="25"/>
        <v>0</v>
      </c>
      <c r="AY42" s="187"/>
      <c r="AZ42" s="90"/>
      <c r="BA42" s="90"/>
      <c r="BB42" s="183">
        <f t="shared" si="26"/>
        <v>0</v>
      </c>
      <c r="BC42" s="187"/>
      <c r="BD42" s="90"/>
      <c r="BE42" s="90"/>
      <c r="BF42" s="183">
        <f t="shared" si="27"/>
        <v>0</v>
      </c>
      <c r="BG42" s="187"/>
      <c r="BH42" s="90"/>
      <c r="BI42" s="90"/>
      <c r="BJ42" s="183">
        <f t="shared" si="28"/>
        <v>0</v>
      </c>
      <c r="BK42" s="187"/>
      <c r="BL42" s="90"/>
      <c r="BM42" s="90"/>
      <c r="BN42" s="183">
        <f t="shared" si="29"/>
        <v>0</v>
      </c>
      <c r="BO42" s="187"/>
      <c r="BP42" s="90"/>
      <c r="BQ42" s="90"/>
      <c r="BR42" s="183">
        <f t="shared" si="30"/>
        <v>0</v>
      </c>
      <c r="BS42" s="187"/>
      <c r="BT42" s="90"/>
      <c r="BU42" s="90"/>
      <c r="BV42" s="183">
        <f t="shared" si="31"/>
        <v>0</v>
      </c>
      <c r="BW42" s="187"/>
      <c r="BX42" s="90"/>
      <c r="BY42" s="90"/>
      <c r="BZ42" s="183">
        <f t="shared" si="32"/>
        <v>0</v>
      </c>
      <c r="CA42" s="187"/>
      <c r="CB42" s="90"/>
      <c r="CC42" s="90"/>
      <c r="CD42" s="183">
        <f t="shared" si="33"/>
        <v>0</v>
      </c>
    </row>
    <row r="43" spans="2:82" x14ac:dyDescent="0.3">
      <c r="B43" s="54"/>
      <c r="C43" s="54" t="str">
        <f t="shared" si="0"/>
        <v>CPU_FresagemDescontinua</v>
      </c>
      <c r="D43" s="280">
        <f t="shared" si="1"/>
        <v>145.83333333333334</v>
      </c>
      <c r="E43" s="280">
        <f t="shared" si="2"/>
        <v>18416.669999999998</v>
      </c>
      <c r="F43" s="1"/>
      <c r="G43" s="28" t="str">
        <f>IFERROR(VLOOKUP(F43,Tabela7[[RECURSO]:[CUSTO]],2,FALSE),"")</f>
        <v/>
      </c>
      <c r="H43" s="92"/>
      <c r="I43" s="90"/>
      <c r="J43" s="45">
        <f>IFERROR(VLOOKUP(F43,Tabela7[[RECURSO]:[CUSTO]],3,FALSE),0)</f>
        <v>0</v>
      </c>
      <c r="K43" s="45">
        <f>I43*J43*CPU_12[[#This Row],[Nº]]</f>
        <v>0</v>
      </c>
      <c r="AD43" s="144" t="str">
        <f t="shared" si="3"/>
        <v>Fresagem Descontinua</v>
      </c>
      <c r="AE43" s="186"/>
      <c r="AF43" s="180">
        <f t="shared" si="35"/>
        <v>0</v>
      </c>
      <c r="AG43" s="180">
        <f t="shared" si="17"/>
        <v>0</v>
      </c>
      <c r="AH43" s="181">
        <f t="shared" si="36"/>
        <v>0</v>
      </c>
      <c r="AI43" s="187"/>
      <c r="AJ43" s="90"/>
      <c r="AK43" s="90"/>
      <c r="AL43" s="183">
        <f t="shared" si="37"/>
        <v>0</v>
      </c>
      <c r="AM43" s="187"/>
      <c r="AN43" s="90"/>
      <c r="AO43" s="90"/>
      <c r="AP43" s="183">
        <f t="shared" si="23"/>
        <v>0</v>
      </c>
      <c r="AQ43" s="187"/>
      <c r="AR43" s="90"/>
      <c r="AS43" s="90"/>
      <c r="AT43" s="183">
        <f t="shared" si="24"/>
        <v>0</v>
      </c>
      <c r="AU43" s="187"/>
      <c r="AV43" s="90"/>
      <c r="AW43" s="90"/>
      <c r="AX43" s="183">
        <f t="shared" si="25"/>
        <v>0</v>
      </c>
      <c r="AY43" s="187"/>
      <c r="AZ43" s="90"/>
      <c r="BA43" s="90"/>
      <c r="BB43" s="183">
        <f t="shared" si="26"/>
        <v>0</v>
      </c>
      <c r="BC43" s="187"/>
      <c r="BD43" s="90"/>
      <c r="BE43" s="90"/>
      <c r="BF43" s="183">
        <f t="shared" si="27"/>
        <v>0</v>
      </c>
      <c r="BG43" s="187"/>
      <c r="BH43" s="90"/>
      <c r="BI43" s="90"/>
      <c r="BJ43" s="183">
        <f t="shared" si="28"/>
        <v>0</v>
      </c>
      <c r="BK43" s="187"/>
      <c r="BL43" s="90"/>
      <c r="BM43" s="90"/>
      <c r="BN43" s="183">
        <f t="shared" si="29"/>
        <v>0</v>
      </c>
      <c r="BO43" s="187"/>
      <c r="BP43" s="90"/>
      <c r="BQ43" s="90"/>
      <c r="BR43" s="183">
        <f t="shared" si="30"/>
        <v>0</v>
      </c>
      <c r="BS43" s="187"/>
      <c r="BT43" s="90"/>
      <c r="BU43" s="90"/>
      <c r="BV43" s="183">
        <f t="shared" si="31"/>
        <v>0</v>
      </c>
      <c r="BW43" s="187"/>
      <c r="BX43" s="90"/>
      <c r="BY43" s="90"/>
      <c r="BZ43" s="183">
        <f t="shared" si="32"/>
        <v>0</v>
      </c>
      <c r="CA43" s="187"/>
      <c r="CB43" s="90"/>
      <c r="CC43" s="90"/>
      <c r="CD43" s="183">
        <f t="shared" si="33"/>
        <v>0</v>
      </c>
    </row>
    <row r="44" spans="2:82" x14ac:dyDescent="0.3">
      <c r="B44" s="54"/>
      <c r="C44" s="54" t="str">
        <f t="shared" si="0"/>
        <v>CPU_FresagemDescontinua</v>
      </c>
      <c r="D44" s="280">
        <f t="shared" si="1"/>
        <v>145.83333333333334</v>
      </c>
      <c r="E44" s="280">
        <f t="shared" si="2"/>
        <v>18416.669999999998</v>
      </c>
      <c r="F44" s="1"/>
      <c r="G44" s="28" t="str">
        <f>IFERROR(VLOOKUP(F44,Tabela7[[RECURSO]:[CUSTO]],2,FALSE),"")</f>
        <v/>
      </c>
      <c r="H44" s="92"/>
      <c r="I44" s="90"/>
      <c r="J44" s="45">
        <f>IFERROR(VLOOKUP(F44,Tabela7[[RECURSO]:[CUSTO]],3,FALSE),0)</f>
        <v>0</v>
      </c>
      <c r="K44" s="45">
        <f>I44*J44*CPU_12[[#This Row],[Nº]]</f>
        <v>0</v>
      </c>
      <c r="AD44" s="144" t="str">
        <f t="shared" si="3"/>
        <v>Fresagem Descontinua</v>
      </c>
      <c r="AE44" s="186"/>
      <c r="AF44" s="180">
        <f t="shared" si="35"/>
        <v>0</v>
      </c>
      <c r="AG44" s="180">
        <f t="shared" si="17"/>
        <v>0</v>
      </c>
      <c r="AH44" s="181">
        <f t="shared" si="36"/>
        <v>0</v>
      </c>
      <c r="AI44" s="187"/>
      <c r="AJ44" s="90"/>
      <c r="AK44" s="90"/>
      <c r="AL44" s="183">
        <f t="shared" si="37"/>
        <v>0</v>
      </c>
      <c r="AM44" s="187"/>
      <c r="AN44" s="90"/>
      <c r="AO44" s="90"/>
      <c r="AP44" s="183">
        <f t="shared" si="23"/>
        <v>0</v>
      </c>
      <c r="AQ44" s="187"/>
      <c r="AR44" s="90"/>
      <c r="AS44" s="90"/>
      <c r="AT44" s="183">
        <f t="shared" si="24"/>
        <v>0</v>
      </c>
      <c r="AU44" s="187"/>
      <c r="AV44" s="90"/>
      <c r="AW44" s="90"/>
      <c r="AX44" s="183">
        <f t="shared" si="25"/>
        <v>0</v>
      </c>
      <c r="AY44" s="187"/>
      <c r="AZ44" s="90"/>
      <c r="BA44" s="90"/>
      <c r="BB44" s="183">
        <f t="shared" si="26"/>
        <v>0</v>
      </c>
      <c r="BC44" s="187"/>
      <c r="BD44" s="90"/>
      <c r="BE44" s="90"/>
      <c r="BF44" s="183">
        <f t="shared" si="27"/>
        <v>0</v>
      </c>
      <c r="BG44" s="187"/>
      <c r="BH44" s="90"/>
      <c r="BI44" s="90"/>
      <c r="BJ44" s="183">
        <f t="shared" si="28"/>
        <v>0</v>
      </c>
      <c r="BK44" s="187"/>
      <c r="BL44" s="90"/>
      <c r="BM44" s="90"/>
      <c r="BN44" s="183">
        <f t="shared" si="29"/>
        <v>0</v>
      </c>
      <c r="BO44" s="187"/>
      <c r="BP44" s="90"/>
      <c r="BQ44" s="90"/>
      <c r="BR44" s="183">
        <f t="shared" si="30"/>
        <v>0</v>
      </c>
      <c r="BS44" s="187"/>
      <c r="BT44" s="90"/>
      <c r="BU44" s="90"/>
      <c r="BV44" s="183">
        <f t="shared" si="31"/>
        <v>0</v>
      </c>
      <c r="BW44" s="187"/>
      <c r="BX44" s="90"/>
      <c r="BY44" s="90"/>
      <c r="BZ44" s="183">
        <f t="shared" si="32"/>
        <v>0</v>
      </c>
      <c r="CA44" s="187"/>
      <c r="CB44" s="90"/>
      <c r="CC44" s="90"/>
      <c r="CD44" s="183">
        <f t="shared" si="33"/>
        <v>0</v>
      </c>
    </row>
    <row r="45" spans="2:82" x14ac:dyDescent="0.3">
      <c r="B45" s="53"/>
      <c r="C45" s="53" t="str">
        <f t="shared" si="0"/>
        <v>CPU_FresagemDescontinua</v>
      </c>
      <c r="D45" s="278">
        <f t="shared" si="1"/>
        <v>145.83333333333334</v>
      </c>
      <c r="E45" s="278">
        <f t="shared" si="2"/>
        <v>18416.669999999998</v>
      </c>
      <c r="F45" s="1"/>
      <c r="G45" s="28" t="str">
        <f>IFERROR(VLOOKUP(F45,Tabela7[[RECURSO]:[CUSTO]],2,FALSE),"")</f>
        <v/>
      </c>
      <c r="H45" s="92"/>
      <c r="I45" s="90"/>
      <c r="J45" s="45">
        <f>IFERROR(VLOOKUP(F45,Tabela7[[RECURSO]:[CUSTO]],3,FALSE),0)</f>
        <v>0</v>
      </c>
      <c r="K45" s="45">
        <f>I45*J45*CPU_12[[#This Row],[Nº]]</f>
        <v>0</v>
      </c>
      <c r="AD45" s="144" t="str">
        <f t="shared" si="3"/>
        <v>Fresagem Descontinua</v>
      </c>
      <c r="AE45" s="188"/>
      <c r="AF45" s="180">
        <f t="shared" si="35"/>
        <v>0</v>
      </c>
      <c r="AG45" s="180">
        <f t="shared" si="17"/>
        <v>0</v>
      </c>
      <c r="AH45" s="181">
        <f t="shared" si="36"/>
        <v>0</v>
      </c>
      <c r="AI45" s="189"/>
      <c r="AJ45" s="90"/>
      <c r="AK45" s="90"/>
      <c r="AL45" s="183">
        <f t="shared" si="37"/>
        <v>0</v>
      </c>
      <c r="AM45" s="189"/>
      <c r="AN45" s="90"/>
      <c r="AO45" s="90"/>
      <c r="AP45" s="183">
        <f t="shared" si="23"/>
        <v>0</v>
      </c>
      <c r="AQ45" s="189"/>
      <c r="AR45" s="90"/>
      <c r="AS45" s="90"/>
      <c r="AT45" s="183">
        <f t="shared" si="24"/>
        <v>0</v>
      </c>
      <c r="AU45" s="189"/>
      <c r="AV45" s="90"/>
      <c r="AW45" s="90"/>
      <c r="AX45" s="183">
        <f t="shared" si="25"/>
        <v>0</v>
      </c>
      <c r="AY45" s="189"/>
      <c r="AZ45" s="90"/>
      <c r="BA45" s="90"/>
      <c r="BB45" s="183">
        <f t="shared" si="26"/>
        <v>0</v>
      </c>
      <c r="BC45" s="189"/>
      <c r="BD45" s="90"/>
      <c r="BE45" s="90"/>
      <c r="BF45" s="183">
        <f t="shared" si="27"/>
        <v>0</v>
      </c>
      <c r="BG45" s="189"/>
      <c r="BH45" s="90"/>
      <c r="BI45" s="90"/>
      <c r="BJ45" s="183">
        <f t="shared" si="28"/>
        <v>0</v>
      </c>
      <c r="BK45" s="189"/>
      <c r="BL45" s="90"/>
      <c r="BM45" s="90"/>
      <c r="BN45" s="183">
        <f t="shared" si="29"/>
        <v>0</v>
      </c>
      <c r="BO45" s="189"/>
      <c r="BP45" s="90"/>
      <c r="BQ45" s="90"/>
      <c r="BR45" s="183">
        <f t="shared" si="30"/>
        <v>0</v>
      </c>
      <c r="BS45" s="189"/>
      <c r="BT45" s="90"/>
      <c r="BU45" s="90"/>
      <c r="BV45" s="183">
        <f t="shared" si="31"/>
        <v>0</v>
      </c>
      <c r="BW45" s="189"/>
      <c r="BX45" s="90"/>
      <c r="BY45" s="90"/>
      <c r="BZ45" s="183">
        <f t="shared" si="32"/>
        <v>0</v>
      </c>
      <c r="CA45" s="189"/>
      <c r="CB45" s="90"/>
      <c r="CC45" s="90"/>
      <c r="CD45" s="183">
        <f t="shared" si="33"/>
        <v>0</v>
      </c>
    </row>
    <row r="46" spans="2:82" x14ac:dyDescent="0.3">
      <c r="B46" s="53"/>
      <c r="C46" s="53" t="str">
        <f t="shared" si="0"/>
        <v>CPU_FresagemDescontinua</v>
      </c>
      <c r="D46" s="278">
        <f t="shared" si="1"/>
        <v>145.83333333333334</v>
      </c>
      <c r="E46" s="278">
        <f t="shared" si="2"/>
        <v>18416.669999999998</v>
      </c>
      <c r="F46" s="1"/>
      <c r="G46" s="28" t="str">
        <f>IFERROR(VLOOKUP(F46,Tabela7[[RECURSO]:[CUSTO]],2,FALSE),"")</f>
        <v/>
      </c>
      <c r="H46" s="92"/>
      <c r="I46" s="90"/>
      <c r="J46" s="45">
        <f>IFERROR(VLOOKUP(F46,Tabela7[[RECURSO]:[CUSTO]],3,FALSE),0)</f>
        <v>0</v>
      </c>
      <c r="K46" s="45">
        <f>I46*J46*CPU_12[[#This Row],[Nº]]</f>
        <v>0</v>
      </c>
      <c r="AD46" s="144" t="str">
        <f t="shared" si="3"/>
        <v>Fresagem Descontinua</v>
      </c>
      <c r="AE46" s="188"/>
      <c r="AF46" s="180">
        <f t="shared" si="35"/>
        <v>0</v>
      </c>
      <c r="AG46" s="180">
        <f t="shared" si="17"/>
        <v>0</v>
      </c>
      <c r="AH46" s="181">
        <f t="shared" si="36"/>
        <v>0</v>
      </c>
      <c r="AI46" s="189"/>
      <c r="AJ46" s="90"/>
      <c r="AK46" s="90"/>
      <c r="AL46" s="183">
        <f t="shared" si="37"/>
        <v>0</v>
      </c>
      <c r="AM46" s="189"/>
      <c r="AN46" s="90"/>
      <c r="AO46" s="90"/>
      <c r="AP46" s="183">
        <f t="shared" si="23"/>
        <v>0</v>
      </c>
      <c r="AQ46" s="189"/>
      <c r="AR46" s="90"/>
      <c r="AS46" s="90"/>
      <c r="AT46" s="183">
        <f t="shared" si="24"/>
        <v>0</v>
      </c>
      <c r="AU46" s="189"/>
      <c r="AV46" s="90"/>
      <c r="AW46" s="90"/>
      <c r="AX46" s="183">
        <f t="shared" si="25"/>
        <v>0</v>
      </c>
      <c r="AY46" s="189"/>
      <c r="AZ46" s="90"/>
      <c r="BA46" s="90"/>
      <c r="BB46" s="183">
        <f t="shared" si="26"/>
        <v>0</v>
      </c>
      <c r="BC46" s="189"/>
      <c r="BD46" s="90"/>
      <c r="BE46" s="90"/>
      <c r="BF46" s="183">
        <f t="shared" si="27"/>
        <v>0</v>
      </c>
      <c r="BG46" s="189"/>
      <c r="BH46" s="90"/>
      <c r="BI46" s="90"/>
      <c r="BJ46" s="183">
        <f t="shared" si="28"/>
        <v>0</v>
      </c>
      <c r="BK46" s="189"/>
      <c r="BL46" s="90"/>
      <c r="BM46" s="90"/>
      <c r="BN46" s="183">
        <f t="shared" si="29"/>
        <v>0</v>
      </c>
      <c r="BO46" s="189"/>
      <c r="BP46" s="90"/>
      <c r="BQ46" s="90"/>
      <c r="BR46" s="183">
        <f t="shared" si="30"/>
        <v>0</v>
      </c>
      <c r="BS46" s="189"/>
      <c r="BT46" s="90"/>
      <c r="BU46" s="90"/>
      <c r="BV46" s="183">
        <f t="shared" si="31"/>
        <v>0</v>
      </c>
      <c r="BW46" s="189"/>
      <c r="BX46" s="90"/>
      <c r="BY46" s="90"/>
      <c r="BZ46" s="183">
        <f t="shared" si="32"/>
        <v>0</v>
      </c>
      <c r="CA46" s="189"/>
      <c r="CB46" s="90"/>
      <c r="CC46" s="90"/>
      <c r="CD46" s="183">
        <f t="shared" si="33"/>
        <v>0</v>
      </c>
    </row>
    <row r="47" spans="2:82" x14ac:dyDescent="0.3">
      <c r="B47" s="53"/>
      <c r="C47" s="53" t="str">
        <f t="shared" si="0"/>
        <v>CPU_FresagemDescontinua</v>
      </c>
      <c r="D47" s="278">
        <f t="shared" si="1"/>
        <v>145.83333333333334</v>
      </c>
      <c r="E47" s="278">
        <f t="shared" si="2"/>
        <v>18416.669999999998</v>
      </c>
      <c r="F47" s="1"/>
      <c r="G47" s="28" t="str">
        <f>IFERROR(VLOOKUP(F47,Tabela7[[RECURSO]:[CUSTO]],2,FALSE),"")</f>
        <v/>
      </c>
      <c r="H47" s="92"/>
      <c r="I47" s="90"/>
      <c r="J47" s="45">
        <f>IFERROR(VLOOKUP(F47,Tabela7[[RECURSO]:[CUSTO]],3,FALSE),0)</f>
        <v>0</v>
      </c>
      <c r="K47" s="45">
        <f>I47*J47*CPU_12[[#This Row],[Nº]]</f>
        <v>0</v>
      </c>
      <c r="AD47" s="144" t="str">
        <f t="shared" si="3"/>
        <v>Fresagem Descontinua</v>
      </c>
      <c r="AE47" s="188"/>
      <c r="AF47" s="180">
        <f t="shared" si="35"/>
        <v>0</v>
      </c>
      <c r="AG47" s="180">
        <f t="shared" si="17"/>
        <v>0</v>
      </c>
      <c r="AH47" s="181">
        <f t="shared" si="36"/>
        <v>0</v>
      </c>
      <c r="AI47" s="189"/>
      <c r="AJ47" s="90"/>
      <c r="AK47" s="90"/>
      <c r="AL47" s="183">
        <f t="shared" si="37"/>
        <v>0</v>
      </c>
      <c r="AM47" s="189"/>
      <c r="AN47" s="90"/>
      <c r="AO47" s="90"/>
      <c r="AP47" s="183">
        <f t="shared" si="23"/>
        <v>0</v>
      </c>
      <c r="AQ47" s="189"/>
      <c r="AR47" s="90"/>
      <c r="AS47" s="90"/>
      <c r="AT47" s="183">
        <f t="shared" si="24"/>
        <v>0</v>
      </c>
      <c r="AU47" s="189"/>
      <c r="AV47" s="90"/>
      <c r="AW47" s="90"/>
      <c r="AX47" s="183">
        <f t="shared" si="25"/>
        <v>0</v>
      </c>
      <c r="AY47" s="189"/>
      <c r="AZ47" s="90"/>
      <c r="BA47" s="90"/>
      <c r="BB47" s="183">
        <f t="shared" si="26"/>
        <v>0</v>
      </c>
      <c r="BC47" s="189"/>
      <c r="BD47" s="90"/>
      <c r="BE47" s="90"/>
      <c r="BF47" s="183">
        <f t="shared" si="27"/>
        <v>0</v>
      </c>
      <c r="BG47" s="189"/>
      <c r="BH47" s="90"/>
      <c r="BI47" s="90"/>
      <c r="BJ47" s="183">
        <f t="shared" si="28"/>
        <v>0</v>
      </c>
      <c r="BK47" s="189"/>
      <c r="BL47" s="90"/>
      <c r="BM47" s="90"/>
      <c r="BN47" s="183">
        <f t="shared" si="29"/>
        <v>0</v>
      </c>
      <c r="BO47" s="189"/>
      <c r="BP47" s="90"/>
      <c r="BQ47" s="90"/>
      <c r="BR47" s="183">
        <f t="shared" si="30"/>
        <v>0</v>
      </c>
      <c r="BS47" s="189"/>
      <c r="BT47" s="90"/>
      <c r="BU47" s="90"/>
      <c r="BV47" s="183">
        <f t="shared" si="31"/>
        <v>0</v>
      </c>
      <c r="BW47" s="189"/>
      <c r="BX47" s="90"/>
      <c r="BY47" s="90"/>
      <c r="BZ47" s="183">
        <f t="shared" si="32"/>
        <v>0</v>
      </c>
      <c r="CA47" s="189"/>
      <c r="CB47" s="90"/>
      <c r="CC47" s="90"/>
      <c r="CD47" s="183">
        <f t="shared" si="33"/>
        <v>0</v>
      </c>
    </row>
    <row r="48" spans="2:82" x14ac:dyDescent="0.3">
      <c r="B48" s="53"/>
      <c r="C48" s="53" t="str">
        <f t="shared" si="0"/>
        <v>CPU_FresagemDescontinua</v>
      </c>
      <c r="D48" s="278">
        <f t="shared" si="1"/>
        <v>145.83333333333334</v>
      </c>
      <c r="E48" s="278">
        <f t="shared" si="2"/>
        <v>18416.669999999998</v>
      </c>
      <c r="F48" s="1"/>
      <c r="G48" s="28" t="str">
        <f>IFERROR(VLOOKUP(F48,Tabela7[[RECURSO]:[CUSTO]],2,FALSE),"")</f>
        <v/>
      </c>
      <c r="H48" s="92"/>
      <c r="I48" s="90"/>
      <c r="J48" s="45">
        <f>IFERROR(VLOOKUP(F48,Tabela7[[RECURSO]:[CUSTO]],3,FALSE),0)</f>
        <v>0</v>
      </c>
      <c r="K48" s="45">
        <f>I48*J48*CPU_12[[#This Row],[Nº]]</f>
        <v>0</v>
      </c>
      <c r="AD48" s="144" t="str">
        <f t="shared" si="3"/>
        <v>Fresagem Descontinua</v>
      </c>
      <c r="AE48" s="188"/>
      <c r="AF48" s="180">
        <f t="shared" si="35"/>
        <v>0</v>
      </c>
      <c r="AG48" s="180">
        <f t="shared" si="17"/>
        <v>0</v>
      </c>
      <c r="AH48" s="181">
        <f t="shared" si="36"/>
        <v>0</v>
      </c>
      <c r="AI48" s="189"/>
      <c r="AJ48" s="90"/>
      <c r="AK48" s="90"/>
      <c r="AL48" s="183">
        <f t="shared" si="37"/>
        <v>0</v>
      </c>
      <c r="AM48" s="189"/>
      <c r="AN48" s="90"/>
      <c r="AO48" s="90"/>
      <c r="AP48" s="183">
        <f t="shared" si="23"/>
        <v>0</v>
      </c>
      <c r="AQ48" s="189"/>
      <c r="AR48" s="90"/>
      <c r="AS48" s="90"/>
      <c r="AT48" s="183">
        <f t="shared" si="24"/>
        <v>0</v>
      </c>
      <c r="AU48" s="189"/>
      <c r="AV48" s="90"/>
      <c r="AW48" s="90"/>
      <c r="AX48" s="183">
        <f t="shared" si="25"/>
        <v>0</v>
      </c>
      <c r="AY48" s="189"/>
      <c r="AZ48" s="90"/>
      <c r="BA48" s="90"/>
      <c r="BB48" s="183">
        <f t="shared" si="26"/>
        <v>0</v>
      </c>
      <c r="BC48" s="189"/>
      <c r="BD48" s="90"/>
      <c r="BE48" s="90"/>
      <c r="BF48" s="183">
        <f t="shared" si="27"/>
        <v>0</v>
      </c>
      <c r="BG48" s="189"/>
      <c r="BH48" s="90"/>
      <c r="BI48" s="90"/>
      <c r="BJ48" s="183">
        <f t="shared" si="28"/>
        <v>0</v>
      </c>
      <c r="BK48" s="189"/>
      <c r="BL48" s="90"/>
      <c r="BM48" s="90"/>
      <c r="BN48" s="183">
        <f t="shared" si="29"/>
        <v>0</v>
      </c>
      <c r="BO48" s="189"/>
      <c r="BP48" s="90"/>
      <c r="BQ48" s="90"/>
      <c r="BR48" s="183">
        <f t="shared" si="30"/>
        <v>0</v>
      </c>
      <c r="BS48" s="189"/>
      <c r="BT48" s="90"/>
      <c r="BU48" s="90"/>
      <c r="BV48" s="183">
        <f t="shared" si="31"/>
        <v>0</v>
      </c>
      <c r="BW48" s="189"/>
      <c r="BX48" s="90"/>
      <c r="BY48" s="90"/>
      <c r="BZ48" s="183">
        <f t="shared" si="32"/>
        <v>0</v>
      </c>
      <c r="CA48" s="189"/>
      <c r="CB48" s="90"/>
      <c r="CC48" s="90"/>
      <c r="CD48" s="183">
        <f t="shared" si="33"/>
        <v>0</v>
      </c>
    </row>
    <row r="49" spans="2:82" ht="15" thickBot="1" x14ac:dyDescent="0.35">
      <c r="B49" s="53"/>
      <c r="C49" s="53" t="str">
        <f t="shared" si="0"/>
        <v>CPU_FresagemDescontinua</v>
      </c>
      <c r="D49" s="278">
        <f t="shared" si="1"/>
        <v>145.83333333333334</v>
      </c>
      <c r="E49" s="278">
        <f t="shared" si="2"/>
        <v>18416.669999999998</v>
      </c>
      <c r="F49" s="1"/>
      <c r="G49" s="28" t="str">
        <f>IFERROR(VLOOKUP(F49,Tabela7[[RECURSO]:[CUSTO]],2,FALSE),"")</f>
        <v/>
      </c>
      <c r="H49" s="92"/>
      <c r="I49" s="90"/>
      <c r="J49" s="45">
        <f>IFERROR(VLOOKUP(F49,Tabela7[[RECURSO]:[CUSTO]],3,FALSE),0)</f>
        <v>0</v>
      </c>
      <c r="K49" s="45">
        <f>I49*J49*CPU_12[[#This Row],[Nº]]</f>
        <v>0</v>
      </c>
      <c r="M49" s="83" t="s">
        <v>701</v>
      </c>
      <c r="N49" s="87" t="s">
        <v>702</v>
      </c>
      <c r="AD49" s="144" t="str">
        <f t="shared" si="3"/>
        <v>Fresagem Descontinua</v>
      </c>
      <c r="AE49" s="188"/>
      <c r="AF49" s="180">
        <f t="shared" si="35"/>
        <v>0</v>
      </c>
      <c r="AG49" s="180">
        <f t="shared" si="17"/>
        <v>0</v>
      </c>
      <c r="AH49" s="181">
        <f t="shared" si="36"/>
        <v>0</v>
      </c>
      <c r="AI49" s="189"/>
      <c r="AJ49" s="90"/>
      <c r="AK49" s="90"/>
      <c r="AL49" s="183">
        <f t="shared" si="37"/>
        <v>0</v>
      </c>
      <c r="AM49" s="189"/>
      <c r="AN49" s="90"/>
      <c r="AO49" s="90"/>
      <c r="AP49" s="183">
        <f t="shared" si="23"/>
        <v>0</v>
      </c>
      <c r="AQ49" s="189"/>
      <c r="AR49" s="90"/>
      <c r="AS49" s="90"/>
      <c r="AT49" s="183">
        <f t="shared" si="24"/>
        <v>0</v>
      </c>
      <c r="AU49" s="189"/>
      <c r="AV49" s="90"/>
      <c r="AW49" s="90"/>
      <c r="AX49" s="183">
        <f t="shared" si="25"/>
        <v>0</v>
      </c>
      <c r="AY49" s="189"/>
      <c r="AZ49" s="90"/>
      <c r="BA49" s="90"/>
      <c r="BB49" s="183">
        <f t="shared" si="26"/>
        <v>0</v>
      </c>
      <c r="BC49" s="189"/>
      <c r="BD49" s="90"/>
      <c r="BE49" s="90"/>
      <c r="BF49" s="183">
        <f t="shared" si="27"/>
        <v>0</v>
      </c>
      <c r="BG49" s="189"/>
      <c r="BH49" s="90"/>
      <c r="BI49" s="90"/>
      <c r="BJ49" s="183">
        <f t="shared" si="28"/>
        <v>0</v>
      </c>
      <c r="BK49" s="189"/>
      <c r="BL49" s="90"/>
      <c r="BM49" s="90"/>
      <c r="BN49" s="183">
        <f t="shared" si="29"/>
        <v>0</v>
      </c>
      <c r="BO49" s="189"/>
      <c r="BP49" s="90"/>
      <c r="BQ49" s="90"/>
      <c r="BR49" s="183">
        <f t="shared" si="30"/>
        <v>0</v>
      </c>
      <c r="BS49" s="189"/>
      <c r="BT49" s="90"/>
      <c r="BU49" s="90"/>
      <c r="BV49" s="183">
        <f t="shared" si="31"/>
        <v>0</v>
      </c>
      <c r="BW49" s="189"/>
      <c r="BX49" s="90"/>
      <c r="BY49" s="90"/>
      <c r="BZ49" s="183">
        <f t="shared" si="32"/>
        <v>0</v>
      </c>
      <c r="CA49" s="189"/>
      <c r="CB49" s="90"/>
      <c r="CC49" s="90"/>
      <c r="CD49" s="183">
        <f t="shared" si="33"/>
        <v>0</v>
      </c>
    </row>
    <row r="50" spans="2:82" x14ac:dyDescent="0.3">
      <c r="B50" s="52" t="s">
        <v>693</v>
      </c>
      <c r="C50" s="52" t="str">
        <f t="shared" si="0"/>
        <v>CPU_FresagemDescontinua</v>
      </c>
      <c r="D50" s="277">
        <f t="shared" si="1"/>
        <v>145.83333333333334</v>
      </c>
      <c r="E50" s="277">
        <f t="shared" si="2"/>
        <v>18416.669999999998</v>
      </c>
      <c r="F50" s="37"/>
      <c r="G50" s="38"/>
      <c r="H50" s="38"/>
      <c r="I50" s="37"/>
      <c r="J50" s="40">
        <f>IFERROR(K50/$B$6,0)</f>
        <v>8.8000000000000007</v>
      </c>
      <c r="K50" s="40">
        <f>SUM(K51:K62)</f>
        <v>1283.3333333333335</v>
      </c>
      <c r="M50" s="84" t="str">
        <f>"Consumo por "&amp;J3</f>
        <v>Consumo por M³</v>
      </c>
      <c r="N50" s="89"/>
      <c r="AD50" s="144" t="str">
        <f t="shared" si="3"/>
        <v>Fresagem Descontinua</v>
      </c>
      <c r="AE50" s="190"/>
      <c r="AF50" s="191"/>
      <c r="AG50" s="40">
        <f>IFERROR(AH50/AF$3,0)</f>
        <v>0</v>
      </c>
      <c r="AH50" s="185">
        <f>SUM(AH51:AH62)</f>
        <v>0</v>
      </c>
      <c r="AI50" s="190"/>
      <c r="AJ50" s="37"/>
      <c r="AK50" s="40">
        <f>IFERROR(AL50/AJ$3,0)</f>
        <v>0</v>
      </c>
      <c r="AL50" s="185">
        <f>SUM(AL51:AL62)</f>
        <v>0</v>
      </c>
      <c r="AM50" s="190"/>
      <c r="AN50" s="37"/>
      <c r="AO50" s="40">
        <f>IFERROR(AP50/AN$3,0)</f>
        <v>0</v>
      </c>
      <c r="AP50" s="185">
        <f>SUM(AP51:AP62)</f>
        <v>0</v>
      </c>
      <c r="AQ50" s="190"/>
      <c r="AR50" s="37"/>
      <c r="AS50" s="40">
        <f>IFERROR(AT50/AR$3,0)</f>
        <v>0</v>
      </c>
      <c r="AT50" s="185">
        <f>SUM(AT51:AT62)</f>
        <v>0</v>
      </c>
      <c r="AU50" s="190"/>
      <c r="AV50" s="37"/>
      <c r="AW50" s="40">
        <f>IFERROR(AX50/AV$3,0)</f>
        <v>0</v>
      </c>
      <c r="AX50" s="185">
        <f>SUM(AX51:AX62)</f>
        <v>0</v>
      </c>
      <c r="AY50" s="190"/>
      <c r="AZ50" s="37"/>
      <c r="BA50" s="40">
        <f>IFERROR(BB50/AZ$3,0)</f>
        <v>0</v>
      </c>
      <c r="BB50" s="185">
        <f>SUM(BB51:BB62)</f>
        <v>0</v>
      </c>
      <c r="BC50" s="190"/>
      <c r="BD50" s="37"/>
      <c r="BE50" s="40">
        <f>IFERROR(BF50/BD$3,0)</f>
        <v>0</v>
      </c>
      <c r="BF50" s="185">
        <f>SUM(BF51:BF62)</f>
        <v>0</v>
      </c>
      <c r="BG50" s="190"/>
      <c r="BH50" s="37"/>
      <c r="BI50" s="40">
        <f>IFERROR(BJ50/BH$3,0)</f>
        <v>0</v>
      </c>
      <c r="BJ50" s="185">
        <f>SUM(BJ51:BJ62)</f>
        <v>0</v>
      </c>
      <c r="BK50" s="190"/>
      <c r="BL50" s="37"/>
      <c r="BM50" s="40">
        <f>IFERROR(BN50/BL$3,0)</f>
        <v>0</v>
      </c>
      <c r="BN50" s="185">
        <f>SUM(BN51:BN62)</f>
        <v>0</v>
      </c>
      <c r="BO50" s="190"/>
      <c r="BP50" s="37"/>
      <c r="BQ50" s="40">
        <f>IFERROR(BR50/BP$3,0)</f>
        <v>0</v>
      </c>
      <c r="BR50" s="185">
        <f>SUM(BR51:BR62)</f>
        <v>0</v>
      </c>
      <c r="BS50" s="190"/>
      <c r="BT50" s="37"/>
      <c r="BU50" s="40">
        <f>IFERROR(BV50/BT$3,0)</f>
        <v>0</v>
      </c>
      <c r="BV50" s="185">
        <f>SUM(BV51:BV62)</f>
        <v>0</v>
      </c>
      <c r="BW50" s="190"/>
      <c r="BX50" s="37"/>
      <c r="BY50" s="40">
        <f>IFERROR(BZ50/BX$3,0)</f>
        <v>0</v>
      </c>
      <c r="BZ50" s="185">
        <f>SUM(BZ51:BZ62)</f>
        <v>0</v>
      </c>
      <c r="CA50" s="190"/>
      <c r="CB50" s="37"/>
      <c r="CC50" s="40">
        <f>IFERROR(CD50/CB$3,0)</f>
        <v>0</v>
      </c>
      <c r="CD50" s="185">
        <f>SUM(CD51:CD62)</f>
        <v>0</v>
      </c>
    </row>
    <row r="51" spans="2:82" x14ac:dyDescent="0.3">
      <c r="B51" s="53"/>
      <c r="C51" s="53" t="str">
        <f t="shared" si="0"/>
        <v>CPU_FresagemDescontinua</v>
      </c>
      <c r="D51" s="278">
        <f t="shared" si="1"/>
        <v>145.83333333333334</v>
      </c>
      <c r="E51" s="278">
        <f t="shared" si="2"/>
        <v>18416.669999999998</v>
      </c>
      <c r="F51" s="1" t="s">
        <v>890</v>
      </c>
      <c r="G51" s="28" t="str">
        <f>IFERROR(VLOOKUP(F51,Tabela7[[RECURSO]:[CUSTO]],2,FALSE),"")</f>
        <v>unid</v>
      </c>
      <c r="I51" s="90">
        <f>IFERROR(M51*$B$6,0)</f>
        <v>23.333333333333336</v>
      </c>
      <c r="J51" s="45">
        <f>IFERROR(VLOOKUP(F51,Tabela7[[RECURSO]:[CUSTO]],3,FALSE),0)</f>
        <v>55</v>
      </c>
      <c r="K51" s="45">
        <f>I51*J51</f>
        <v>1283.3333333333335</v>
      </c>
      <c r="M51" s="85">
        <v>0.16</v>
      </c>
      <c r="N51" s="88"/>
      <c r="AD51" s="144" t="str">
        <f t="shared" si="3"/>
        <v>Fresagem Descontinua</v>
      </c>
      <c r="AE51" s="192"/>
      <c r="AF51" s="180">
        <f t="shared" ref="AF51:AF62" si="38">AJ51+AN51+AR51+AV51+AZ51+BD51+BH51+BL51+BP51+BT51+BX51+CB51</f>
        <v>0</v>
      </c>
      <c r="AG51" s="180">
        <f t="shared" si="17"/>
        <v>0</v>
      </c>
      <c r="AH51" s="181">
        <f t="shared" ref="AH51:AH62" si="39">AL51+AP51+AT51+AX51+BB51+BF51+BJ51+BN51+BR51+BV51+BZ51+CD51</f>
        <v>0</v>
      </c>
      <c r="AI51" s="193"/>
      <c r="AJ51" s="90"/>
      <c r="AK51" s="90"/>
      <c r="AL51" s="183">
        <f t="shared" ref="AL51:AL62" si="40">AJ51*AK51</f>
        <v>0</v>
      </c>
      <c r="AM51" s="193"/>
      <c r="AN51" s="90"/>
      <c r="AO51" s="90"/>
      <c r="AP51" s="183">
        <f t="shared" si="23"/>
        <v>0</v>
      </c>
      <c r="AQ51" s="193"/>
      <c r="AR51" s="90"/>
      <c r="AS51" s="90"/>
      <c r="AT51" s="183">
        <f t="shared" si="24"/>
        <v>0</v>
      </c>
      <c r="AU51" s="193"/>
      <c r="AV51" s="90"/>
      <c r="AW51" s="90"/>
      <c r="AX51" s="183">
        <f t="shared" si="25"/>
        <v>0</v>
      </c>
      <c r="AY51" s="193"/>
      <c r="AZ51" s="90"/>
      <c r="BA51" s="90"/>
      <c r="BB51" s="183">
        <f t="shared" si="26"/>
        <v>0</v>
      </c>
      <c r="BC51" s="193"/>
      <c r="BD51" s="90"/>
      <c r="BE51" s="90"/>
      <c r="BF51" s="183">
        <f t="shared" si="27"/>
        <v>0</v>
      </c>
      <c r="BG51" s="193"/>
      <c r="BH51" s="90"/>
      <c r="BI51" s="90"/>
      <c r="BJ51" s="183">
        <f t="shared" si="28"/>
        <v>0</v>
      </c>
      <c r="BK51" s="193"/>
      <c r="BL51" s="90"/>
      <c r="BM51" s="90"/>
      <c r="BN51" s="183">
        <f t="shared" si="29"/>
        <v>0</v>
      </c>
      <c r="BO51" s="193"/>
      <c r="BP51" s="90"/>
      <c r="BQ51" s="90"/>
      <c r="BR51" s="183">
        <f t="shared" si="30"/>
        <v>0</v>
      </c>
      <c r="BS51" s="193"/>
      <c r="BT51" s="90"/>
      <c r="BU51" s="90"/>
      <c r="BV51" s="183">
        <f t="shared" si="31"/>
        <v>0</v>
      </c>
      <c r="BW51" s="193"/>
      <c r="BX51" s="90"/>
      <c r="BY51" s="90"/>
      <c r="BZ51" s="183">
        <f t="shared" si="32"/>
        <v>0</v>
      </c>
      <c r="CA51" s="193"/>
      <c r="CB51" s="90"/>
      <c r="CC51" s="90"/>
      <c r="CD51" s="183">
        <f t="shared" si="33"/>
        <v>0</v>
      </c>
    </row>
    <row r="52" spans="2:82" x14ac:dyDescent="0.3">
      <c r="B52" s="53"/>
      <c r="C52" s="53" t="str">
        <f t="shared" si="0"/>
        <v>CPU_FresagemDescontinua</v>
      </c>
      <c r="D52" s="278">
        <f t="shared" si="1"/>
        <v>145.83333333333334</v>
      </c>
      <c r="E52" s="278">
        <f t="shared" si="2"/>
        <v>18416.669999999998</v>
      </c>
      <c r="F52" s="1"/>
      <c r="G52" s="28" t="str">
        <f>IFERROR(VLOOKUP(F52,Tabela7[[RECURSO]:[CUSTO]],2,FALSE),"")</f>
        <v/>
      </c>
      <c r="I52" s="90">
        <f t="shared" ref="I52:I62" si="41">IFERROR(M52*$B$6,0)</f>
        <v>0</v>
      </c>
      <c r="J52" s="45">
        <f>IFERROR(VLOOKUP(F52,Tabela7[[RECURSO]:[CUSTO]],3,FALSE),0)</f>
        <v>0</v>
      </c>
      <c r="K52" s="45">
        <f t="shared" ref="K52:K62" si="42">I52*J52</f>
        <v>0</v>
      </c>
      <c r="M52" s="85"/>
      <c r="N52" s="88"/>
      <c r="AD52" s="144" t="str">
        <f t="shared" si="3"/>
        <v>Fresagem Descontinua</v>
      </c>
      <c r="AE52" s="192"/>
      <c r="AF52" s="180">
        <f t="shared" si="38"/>
        <v>0</v>
      </c>
      <c r="AG52" s="180">
        <f t="shared" si="17"/>
        <v>0</v>
      </c>
      <c r="AH52" s="181">
        <f t="shared" si="39"/>
        <v>0</v>
      </c>
      <c r="AI52" s="193"/>
      <c r="AJ52" s="90"/>
      <c r="AK52" s="90"/>
      <c r="AL52" s="183">
        <f t="shared" si="40"/>
        <v>0</v>
      </c>
      <c r="AM52" s="193"/>
      <c r="AN52" s="90"/>
      <c r="AO52" s="90"/>
      <c r="AP52" s="183">
        <f t="shared" si="23"/>
        <v>0</v>
      </c>
      <c r="AQ52" s="193"/>
      <c r="AR52" s="90"/>
      <c r="AS52" s="90"/>
      <c r="AT52" s="183">
        <f t="shared" si="24"/>
        <v>0</v>
      </c>
      <c r="AU52" s="193"/>
      <c r="AV52" s="90"/>
      <c r="AW52" s="90"/>
      <c r="AX52" s="183">
        <f t="shared" si="25"/>
        <v>0</v>
      </c>
      <c r="AY52" s="193"/>
      <c r="AZ52" s="90"/>
      <c r="BA52" s="90"/>
      <c r="BB52" s="183">
        <f t="shared" si="26"/>
        <v>0</v>
      </c>
      <c r="BC52" s="193"/>
      <c r="BD52" s="90"/>
      <c r="BE52" s="90"/>
      <c r="BF52" s="183">
        <f t="shared" si="27"/>
        <v>0</v>
      </c>
      <c r="BG52" s="193"/>
      <c r="BH52" s="90"/>
      <c r="BI52" s="90"/>
      <c r="BJ52" s="183">
        <f t="shared" si="28"/>
        <v>0</v>
      </c>
      <c r="BK52" s="193"/>
      <c r="BL52" s="90"/>
      <c r="BM52" s="90"/>
      <c r="BN52" s="183">
        <f t="shared" si="29"/>
        <v>0</v>
      </c>
      <c r="BO52" s="193"/>
      <c r="BP52" s="90"/>
      <c r="BQ52" s="90"/>
      <c r="BR52" s="183">
        <f t="shared" si="30"/>
        <v>0</v>
      </c>
      <c r="BS52" s="193"/>
      <c r="BT52" s="90"/>
      <c r="BU52" s="90"/>
      <c r="BV52" s="183">
        <f t="shared" si="31"/>
        <v>0</v>
      </c>
      <c r="BW52" s="193"/>
      <c r="BX52" s="90"/>
      <c r="BY52" s="90"/>
      <c r="BZ52" s="183">
        <f t="shared" si="32"/>
        <v>0</v>
      </c>
      <c r="CA52" s="193"/>
      <c r="CB52" s="90"/>
      <c r="CC52" s="90"/>
      <c r="CD52" s="183">
        <f t="shared" si="33"/>
        <v>0</v>
      </c>
    </row>
    <row r="53" spans="2:82" x14ac:dyDescent="0.3">
      <c r="B53" s="53"/>
      <c r="C53" s="53" t="str">
        <f t="shared" si="0"/>
        <v>CPU_FresagemDescontinua</v>
      </c>
      <c r="D53" s="278">
        <f t="shared" si="1"/>
        <v>145.83333333333334</v>
      </c>
      <c r="E53" s="278">
        <f t="shared" si="2"/>
        <v>18416.669999999998</v>
      </c>
      <c r="F53" s="1"/>
      <c r="G53" s="28" t="str">
        <f>IFERROR(VLOOKUP(F53,Tabela7[[RECURSO]:[CUSTO]],2,FALSE),"")</f>
        <v/>
      </c>
      <c r="I53" s="90">
        <f t="shared" si="41"/>
        <v>0</v>
      </c>
      <c r="J53" s="45">
        <f>IFERROR(VLOOKUP(F53,Tabela7[[RECURSO]:[CUSTO]],3,FALSE),0)</f>
        <v>0</v>
      </c>
      <c r="K53" s="45">
        <f t="shared" si="42"/>
        <v>0</v>
      </c>
      <c r="M53" s="85"/>
      <c r="N53" s="88"/>
      <c r="AD53" s="144" t="str">
        <f t="shared" si="3"/>
        <v>Fresagem Descontinua</v>
      </c>
      <c r="AE53" s="192"/>
      <c r="AF53" s="180">
        <f t="shared" si="38"/>
        <v>0</v>
      </c>
      <c r="AG53" s="180">
        <f t="shared" si="17"/>
        <v>0</v>
      </c>
      <c r="AH53" s="181">
        <f t="shared" si="39"/>
        <v>0</v>
      </c>
      <c r="AI53" s="193"/>
      <c r="AJ53" s="90"/>
      <c r="AK53" s="90"/>
      <c r="AL53" s="183">
        <f t="shared" si="40"/>
        <v>0</v>
      </c>
      <c r="AM53" s="193"/>
      <c r="AN53" s="90"/>
      <c r="AO53" s="90"/>
      <c r="AP53" s="183">
        <f t="shared" si="23"/>
        <v>0</v>
      </c>
      <c r="AQ53" s="193"/>
      <c r="AR53" s="90"/>
      <c r="AS53" s="90"/>
      <c r="AT53" s="183">
        <f t="shared" si="24"/>
        <v>0</v>
      </c>
      <c r="AU53" s="193"/>
      <c r="AV53" s="90"/>
      <c r="AW53" s="90"/>
      <c r="AX53" s="183">
        <f t="shared" si="25"/>
        <v>0</v>
      </c>
      <c r="AY53" s="193"/>
      <c r="AZ53" s="90"/>
      <c r="BA53" s="90"/>
      <c r="BB53" s="183">
        <f t="shared" si="26"/>
        <v>0</v>
      </c>
      <c r="BC53" s="193"/>
      <c r="BD53" s="90"/>
      <c r="BE53" s="90"/>
      <c r="BF53" s="183">
        <f t="shared" si="27"/>
        <v>0</v>
      </c>
      <c r="BG53" s="193"/>
      <c r="BH53" s="90"/>
      <c r="BI53" s="90"/>
      <c r="BJ53" s="183">
        <f t="shared" si="28"/>
        <v>0</v>
      </c>
      <c r="BK53" s="193"/>
      <c r="BL53" s="90"/>
      <c r="BM53" s="90"/>
      <c r="BN53" s="183">
        <f t="shared" si="29"/>
        <v>0</v>
      </c>
      <c r="BO53" s="193"/>
      <c r="BP53" s="90"/>
      <c r="BQ53" s="90"/>
      <c r="BR53" s="183">
        <f t="shared" si="30"/>
        <v>0</v>
      </c>
      <c r="BS53" s="193"/>
      <c r="BT53" s="90"/>
      <c r="BU53" s="90"/>
      <c r="BV53" s="183">
        <f t="shared" si="31"/>
        <v>0</v>
      </c>
      <c r="BW53" s="193"/>
      <c r="BX53" s="90"/>
      <c r="BY53" s="90"/>
      <c r="BZ53" s="183">
        <f t="shared" si="32"/>
        <v>0</v>
      </c>
      <c r="CA53" s="193"/>
      <c r="CB53" s="90"/>
      <c r="CC53" s="90"/>
      <c r="CD53" s="183">
        <f t="shared" si="33"/>
        <v>0</v>
      </c>
    </row>
    <row r="54" spans="2:82" x14ac:dyDescent="0.3">
      <c r="B54" s="53"/>
      <c r="C54" s="53" t="str">
        <f t="shared" si="0"/>
        <v>CPU_FresagemDescontinua</v>
      </c>
      <c r="D54" s="278">
        <f t="shared" si="1"/>
        <v>145.83333333333334</v>
      </c>
      <c r="E54" s="278">
        <f t="shared" si="2"/>
        <v>18416.669999999998</v>
      </c>
      <c r="F54" s="1"/>
      <c r="G54" s="28" t="str">
        <f>IFERROR(VLOOKUP(F54,Tabela7[[RECURSO]:[CUSTO]],2,FALSE),"")</f>
        <v/>
      </c>
      <c r="I54" s="90">
        <f t="shared" si="41"/>
        <v>0</v>
      </c>
      <c r="J54" s="45">
        <f>IFERROR(VLOOKUP(F54,Tabela7[[RECURSO]:[CUSTO]],3,FALSE),0)</f>
        <v>0</v>
      </c>
      <c r="K54" s="45">
        <f>I54*J54</f>
        <v>0</v>
      </c>
      <c r="M54" s="85"/>
      <c r="N54" s="88"/>
      <c r="AD54" s="144" t="str">
        <f>$B$3</f>
        <v>Fresagem Descontinua</v>
      </c>
      <c r="AE54" s="192"/>
      <c r="AF54" s="180">
        <f t="shared" si="38"/>
        <v>0</v>
      </c>
      <c r="AG54" s="180">
        <f t="shared" si="17"/>
        <v>0</v>
      </c>
      <c r="AH54" s="181">
        <f t="shared" si="39"/>
        <v>0</v>
      </c>
      <c r="AI54" s="193"/>
      <c r="AJ54" s="90"/>
      <c r="AK54" s="90"/>
      <c r="AL54" s="183">
        <f t="shared" si="40"/>
        <v>0</v>
      </c>
      <c r="AM54" s="193"/>
      <c r="AN54" s="90"/>
      <c r="AO54" s="90"/>
      <c r="AP54" s="183">
        <f t="shared" si="23"/>
        <v>0</v>
      </c>
      <c r="AQ54" s="193"/>
      <c r="AR54" s="90"/>
      <c r="AS54" s="90"/>
      <c r="AT54" s="183">
        <f t="shared" si="24"/>
        <v>0</v>
      </c>
      <c r="AU54" s="193"/>
      <c r="AV54" s="90"/>
      <c r="AW54" s="90"/>
      <c r="AX54" s="183">
        <f t="shared" si="25"/>
        <v>0</v>
      </c>
      <c r="AY54" s="193"/>
      <c r="AZ54" s="90"/>
      <c r="BA54" s="90"/>
      <c r="BB54" s="183">
        <f t="shared" si="26"/>
        <v>0</v>
      </c>
      <c r="BC54" s="193"/>
      <c r="BD54" s="90"/>
      <c r="BE54" s="90"/>
      <c r="BF54" s="183">
        <f t="shared" si="27"/>
        <v>0</v>
      </c>
      <c r="BG54" s="193"/>
      <c r="BH54" s="90"/>
      <c r="BI54" s="90"/>
      <c r="BJ54" s="183">
        <f t="shared" si="28"/>
        <v>0</v>
      </c>
      <c r="BK54" s="193"/>
      <c r="BL54" s="90"/>
      <c r="BM54" s="90"/>
      <c r="BN54" s="183">
        <f t="shared" si="29"/>
        <v>0</v>
      </c>
      <c r="BO54" s="193"/>
      <c r="BP54" s="90"/>
      <c r="BQ54" s="90"/>
      <c r="BR54" s="183">
        <f t="shared" si="30"/>
        <v>0</v>
      </c>
      <c r="BS54" s="193"/>
      <c r="BT54" s="90"/>
      <c r="BU54" s="90"/>
      <c r="BV54" s="183">
        <f t="shared" si="31"/>
        <v>0</v>
      </c>
      <c r="BW54" s="193"/>
      <c r="BX54" s="90"/>
      <c r="BY54" s="90"/>
      <c r="BZ54" s="183">
        <f t="shared" si="32"/>
        <v>0</v>
      </c>
      <c r="CA54" s="193"/>
      <c r="CB54" s="90"/>
      <c r="CC54" s="90"/>
      <c r="CD54" s="183">
        <f t="shared" si="33"/>
        <v>0</v>
      </c>
    </row>
    <row r="55" spans="2:82" x14ac:dyDescent="0.3">
      <c r="B55" s="53"/>
      <c r="C55" s="53" t="str">
        <f t="shared" si="0"/>
        <v>CPU_FresagemDescontinua</v>
      </c>
      <c r="D55" s="278">
        <f t="shared" si="1"/>
        <v>145.83333333333334</v>
      </c>
      <c r="E55" s="278">
        <f t="shared" si="2"/>
        <v>18416.669999999998</v>
      </c>
      <c r="F55" s="1"/>
      <c r="G55" s="28" t="str">
        <f>IFERROR(VLOOKUP(F55,Tabela7[[RECURSO]:[CUSTO]],2,FALSE),"")</f>
        <v/>
      </c>
      <c r="I55" s="90">
        <f t="shared" si="41"/>
        <v>0</v>
      </c>
      <c r="J55" s="45">
        <f>IFERROR(VLOOKUP(F55,Tabela7[[RECURSO]:[CUSTO]],3,FALSE),0)</f>
        <v>0</v>
      </c>
      <c r="K55" s="45">
        <f t="shared" si="42"/>
        <v>0</v>
      </c>
      <c r="M55" s="85"/>
      <c r="N55" s="88"/>
      <c r="AD55" s="144" t="str">
        <f t="shared" si="3"/>
        <v>Fresagem Descontinua</v>
      </c>
      <c r="AE55" s="192"/>
      <c r="AF55" s="180">
        <f t="shared" si="38"/>
        <v>0</v>
      </c>
      <c r="AG55" s="180">
        <f t="shared" si="17"/>
        <v>0</v>
      </c>
      <c r="AH55" s="181">
        <f t="shared" si="39"/>
        <v>0</v>
      </c>
      <c r="AI55" s="193"/>
      <c r="AJ55" s="90"/>
      <c r="AK55" s="90"/>
      <c r="AL55" s="183">
        <f t="shared" si="40"/>
        <v>0</v>
      </c>
      <c r="AM55" s="193"/>
      <c r="AN55" s="90"/>
      <c r="AO55" s="90"/>
      <c r="AP55" s="183">
        <f t="shared" si="23"/>
        <v>0</v>
      </c>
      <c r="AQ55" s="193"/>
      <c r="AR55" s="90"/>
      <c r="AS55" s="90"/>
      <c r="AT55" s="183">
        <f t="shared" si="24"/>
        <v>0</v>
      </c>
      <c r="AU55" s="193"/>
      <c r="AV55" s="90"/>
      <c r="AW55" s="90"/>
      <c r="AX55" s="183">
        <f t="shared" si="25"/>
        <v>0</v>
      </c>
      <c r="AY55" s="193"/>
      <c r="AZ55" s="90"/>
      <c r="BA55" s="90"/>
      <c r="BB55" s="183">
        <f t="shared" si="26"/>
        <v>0</v>
      </c>
      <c r="BC55" s="193"/>
      <c r="BD55" s="90"/>
      <c r="BE55" s="90"/>
      <c r="BF55" s="183">
        <f t="shared" si="27"/>
        <v>0</v>
      </c>
      <c r="BG55" s="193"/>
      <c r="BH55" s="90"/>
      <c r="BI55" s="90"/>
      <c r="BJ55" s="183">
        <f t="shared" si="28"/>
        <v>0</v>
      </c>
      <c r="BK55" s="193"/>
      <c r="BL55" s="90"/>
      <c r="BM55" s="90"/>
      <c r="BN55" s="183">
        <f t="shared" si="29"/>
        <v>0</v>
      </c>
      <c r="BO55" s="193"/>
      <c r="BP55" s="90"/>
      <c r="BQ55" s="90"/>
      <c r="BR55" s="183">
        <f t="shared" si="30"/>
        <v>0</v>
      </c>
      <c r="BS55" s="193"/>
      <c r="BT55" s="90"/>
      <c r="BU55" s="90"/>
      <c r="BV55" s="183">
        <f t="shared" si="31"/>
        <v>0</v>
      </c>
      <c r="BW55" s="193"/>
      <c r="BX55" s="90"/>
      <c r="BY55" s="90"/>
      <c r="BZ55" s="183">
        <f t="shared" si="32"/>
        <v>0</v>
      </c>
      <c r="CA55" s="193"/>
      <c r="CB55" s="90"/>
      <c r="CC55" s="90"/>
      <c r="CD55" s="183">
        <f t="shared" si="33"/>
        <v>0</v>
      </c>
    </row>
    <row r="56" spans="2:82" x14ac:dyDescent="0.3">
      <c r="B56" s="53"/>
      <c r="C56" s="53" t="str">
        <f t="shared" si="0"/>
        <v>CPU_FresagemDescontinua</v>
      </c>
      <c r="D56" s="278">
        <f t="shared" si="1"/>
        <v>145.83333333333334</v>
      </c>
      <c r="E56" s="278">
        <f t="shared" si="2"/>
        <v>18416.669999999998</v>
      </c>
      <c r="F56" s="1"/>
      <c r="G56" s="28" t="str">
        <f>IFERROR(VLOOKUP(F56,Tabela7[[RECURSO]:[CUSTO]],2,FALSE),"")</f>
        <v/>
      </c>
      <c r="I56" s="90">
        <f t="shared" si="41"/>
        <v>0</v>
      </c>
      <c r="J56" s="45">
        <f>IFERROR(VLOOKUP(F56,Tabela7[[RECURSO]:[CUSTO]],3,FALSE),0)</f>
        <v>0</v>
      </c>
      <c r="K56" s="45">
        <f t="shared" si="42"/>
        <v>0</v>
      </c>
      <c r="M56" s="85"/>
      <c r="N56" s="88"/>
      <c r="AD56" s="144" t="str">
        <f t="shared" si="3"/>
        <v>Fresagem Descontinua</v>
      </c>
      <c r="AE56" s="192"/>
      <c r="AF56" s="180">
        <f t="shared" si="38"/>
        <v>0</v>
      </c>
      <c r="AG56" s="180">
        <f t="shared" si="17"/>
        <v>0</v>
      </c>
      <c r="AH56" s="181">
        <f t="shared" si="39"/>
        <v>0</v>
      </c>
      <c r="AI56" s="193"/>
      <c r="AJ56" s="90"/>
      <c r="AK56" s="90"/>
      <c r="AL56" s="183">
        <f t="shared" si="40"/>
        <v>0</v>
      </c>
      <c r="AM56" s="193"/>
      <c r="AN56" s="90"/>
      <c r="AO56" s="90"/>
      <c r="AP56" s="183">
        <f t="shared" si="23"/>
        <v>0</v>
      </c>
      <c r="AQ56" s="193"/>
      <c r="AR56" s="90"/>
      <c r="AS56" s="90"/>
      <c r="AT56" s="183">
        <f t="shared" si="24"/>
        <v>0</v>
      </c>
      <c r="AU56" s="193"/>
      <c r="AV56" s="90"/>
      <c r="AW56" s="90"/>
      <c r="AX56" s="183">
        <f t="shared" si="25"/>
        <v>0</v>
      </c>
      <c r="AY56" s="193"/>
      <c r="AZ56" s="90"/>
      <c r="BA56" s="90"/>
      <c r="BB56" s="183">
        <f t="shared" si="26"/>
        <v>0</v>
      </c>
      <c r="BC56" s="193"/>
      <c r="BD56" s="90"/>
      <c r="BE56" s="90"/>
      <c r="BF56" s="183">
        <f t="shared" si="27"/>
        <v>0</v>
      </c>
      <c r="BG56" s="193"/>
      <c r="BH56" s="90"/>
      <c r="BI56" s="90"/>
      <c r="BJ56" s="183">
        <f t="shared" si="28"/>
        <v>0</v>
      </c>
      <c r="BK56" s="193"/>
      <c r="BL56" s="90"/>
      <c r="BM56" s="90"/>
      <c r="BN56" s="183">
        <f t="shared" si="29"/>
        <v>0</v>
      </c>
      <c r="BO56" s="193"/>
      <c r="BP56" s="90"/>
      <c r="BQ56" s="90"/>
      <c r="BR56" s="183">
        <f t="shared" si="30"/>
        <v>0</v>
      </c>
      <c r="BS56" s="193"/>
      <c r="BT56" s="90"/>
      <c r="BU56" s="90"/>
      <c r="BV56" s="183">
        <f t="shared" si="31"/>
        <v>0</v>
      </c>
      <c r="BW56" s="193"/>
      <c r="BX56" s="90"/>
      <c r="BY56" s="90"/>
      <c r="BZ56" s="183">
        <f t="shared" si="32"/>
        <v>0</v>
      </c>
      <c r="CA56" s="193"/>
      <c r="CB56" s="90"/>
      <c r="CC56" s="90"/>
      <c r="CD56" s="183">
        <f t="shared" si="33"/>
        <v>0</v>
      </c>
    </row>
    <row r="57" spans="2:82" x14ac:dyDescent="0.3">
      <c r="B57" s="53"/>
      <c r="C57" s="53" t="str">
        <f t="shared" si="0"/>
        <v>CPU_FresagemDescontinua</v>
      </c>
      <c r="D57" s="278">
        <f t="shared" si="1"/>
        <v>145.83333333333334</v>
      </c>
      <c r="E57" s="278">
        <f t="shared" si="2"/>
        <v>18416.669999999998</v>
      </c>
      <c r="F57" s="1"/>
      <c r="G57" s="28" t="str">
        <f>IFERROR(VLOOKUP(F57,Tabela7[[RECURSO]:[CUSTO]],2,FALSE),"")</f>
        <v/>
      </c>
      <c r="I57" s="90">
        <f t="shared" si="41"/>
        <v>0</v>
      </c>
      <c r="J57" s="45">
        <f>IFERROR(VLOOKUP(F57,Tabela7[[RECURSO]:[CUSTO]],3,FALSE),0)</f>
        <v>0</v>
      </c>
      <c r="K57" s="45">
        <f t="shared" si="42"/>
        <v>0</v>
      </c>
      <c r="M57" s="85"/>
      <c r="N57" s="88"/>
      <c r="AD57" s="144" t="str">
        <f t="shared" si="3"/>
        <v>Fresagem Descontinua</v>
      </c>
      <c r="AE57" s="192"/>
      <c r="AF57" s="180">
        <f t="shared" si="38"/>
        <v>0</v>
      </c>
      <c r="AG57" s="180">
        <f t="shared" si="17"/>
        <v>0</v>
      </c>
      <c r="AH57" s="181">
        <f t="shared" si="39"/>
        <v>0</v>
      </c>
      <c r="AI57" s="193"/>
      <c r="AJ57" s="90"/>
      <c r="AK57" s="90"/>
      <c r="AL57" s="183">
        <f t="shared" si="40"/>
        <v>0</v>
      </c>
      <c r="AM57" s="193"/>
      <c r="AN57" s="90"/>
      <c r="AO57" s="90"/>
      <c r="AP57" s="183">
        <f t="shared" si="23"/>
        <v>0</v>
      </c>
      <c r="AQ57" s="193"/>
      <c r="AR57" s="90"/>
      <c r="AS57" s="90"/>
      <c r="AT57" s="183">
        <f t="shared" si="24"/>
        <v>0</v>
      </c>
      <c r="AU57" s="193"/>
      <c r="AV57" s="90"/>
      <c r="AW57" s="90"/>
      <c r="AX57" s="183">
        <f t="shared" si="25"/>
        <v>0</v>
      </c>
      <c r="AY57" s="193"/>
      <c r="AZ57" s="90"/>
      <c r="BA57" s="90"/>
      <c r="BB57" s="183">
        <f t="shared" si="26"/>
        <v>0</v>
      </c>
      <c r="BC57" s="193"/>
      <c r="BD57" s="90"/>
      <c r="BE57" s="90"/>
      <c r="BF57" s="183">
        <f t="shared" si="27"/>
        <v>0</v>
      </c>
      <c r="BG57" s="193"/>
      <c r="BH57" s="90"/>
      <c r="BI57" s="90"/>
      <c r="BJ57" s="183">
        <f t="shared" si="28"/>
        <v>0</v>
      </c>
      <c r="BK57" s="193"/>
      <c r="BL57" s="90"/>
      <c r="BM57" s="90"/>
      <c r="BN57" s="183">
        <f t="shared" si="29"/>
        <v>0</v>
      </c>
      <c r="BO57" s="193"/>
      <c r="BP57" s="90"/>
      <c r="BQ57" s="90"/>
      <c r="BR57" s="183">
        <f t="shared" si="30"/>
        <v>0</v>
      </c>
      <c r="BS57" s="193"/>
      <c r="BT57" s="90"/>
      <c r="BU57" s="90"/>
      <c r="BV57" s="183">
        <f t="shared" si="31"/>
        <v>0</v>
      </c>
      <c r="BW57" s="193"/>
      <c r="BX57" s="90"/>
      <c r="BY57" s="90"/>
      <c r="BZ57" s="183">
        <f t="shared" si="32"/>
        <v>0</v>
      </c>
      <c r="CA57" s="193"/>
      <c r="CB57" s="90"/>
      <c r="CC57" s="90"/>
      <c r="CD57" s="183">
        <f t="shared" si="33"/>
        <v>0</v>
      </c>
    </row>
    <row r="58" spans="2:82" x14ac:dyDescent="0.3">
      <c r="B58" s="53"/>
      <c r="C58" s="53" t="str">
        <f t="shared" si="0"/>
        <v>CPU_FresagemDescontinua</v>
      </c>
      <c r="D58" s="278">
        <f t="shared" si="1"/>
        <v>145.83333333333334</v>
      </c>
      <c r="E58" s="278">
        <f t="shared" si="2"/>
        <v>18416.669999999998</v>
      </c>
      <c r="F58" s="1"/>
      <c r="G58" s="28" t="str">
        <f>IFERROR(VLOOKUP(F58,Tabela7[[RECURSO]:[CUSTO]],2,FALSE),"")</f>
        <v/>
      </c>
      <c r="I58" s="90">
        <f t="shared" si="41"/>
        <v>0</v>
      </c>
      <c r="J58" s="45">
        <f>IFERROR(VLOOKUP(F58,Tabela7[[RECURSO]:[CUSTO]],3,FALSE),0)</f>
        <v>0</v>
      </c>
      <c r="K58" s="45">
        <f t="shared" si="42"/>
        <v>0</v>
      </c>
      <c r="M58" s="85"/>
      <c r="N58" s="88"/>
      <c r="AD58" s="144" t="str">
        <f t="shared" si="3"/>
        <v>Fresagem Descontinua</v>
      </c>
      <c r="AE58" s="192"/>
      <c r="AF58" s="180">
        <f t="shared" si="38"/>
        <v>0</v>
      </c>
      <c r="AG58" s="180">
        <f t="shared" si="17"/>
        <v>0</v>
      </c>
      <c r="AH58" s="181">
        <f t="shared" si="39"/>
        <v>0</v>
      </c>
      <c r="AI58" s="193"/>
      <c r="AJ58" s="90"/>
      <c r="AK58" s="90"/>
      <c r="AL58" s="183">
        <f t="shared" si="40"/>
        <v>0</v>
      </c>
      <c r="AM58" s="193"/>
      <c r="AN58" s="90"/>
      <c r="AO58" s="90"/>
      <c r="AP58" s="183">
        <f t="shared" si="23"/>
        <v>0</v>
      </c>
      <c r="AQ58" s="193"/>
      <c r="AR58" s="90"/>
      <c r="AS58" s="90"/>
      <c r="AT58" s="183">
        <f t="shared" si="24"/>
        <v>0</v>
      </c>
      <c r="AU58" s="193"/>
      <c r="AV58" s="90"/>
      <c r="AW58" s="90"/>
      <c r="AX58" s="183">
        <f t="shared" si="25"/>
        <v>0</v>
      </c>
      <c r="AY58" s="193"/>
      <c r="AZ58" s="90"/>
      <c r="BA58" s="90"/>
      <c r="BB58" s="183">
        <f t="shared" si="26"/>
        <v>0</v>
      </c>
      <c r="BC58" s="193"/>
      <c r="BD58" s="90"/>
      <c r="BE58" s="90"/>
      <c r="BF58" s="183">
        <f t="shared" si="27"/>
        <v>0</v>
      </c>
      <c r="BG58" s="193"/>
      <c r="BH58" s="90"/>
      <c r="BI58" s="90"/>
      <c r="BJ58" s="183">
        <f t="shared" si="28"/>
        <v>0</v>
      </c>
      <c r="BK58" s="193"/>
      <c r="BL58" s="90"/>
      <c r="BM58" s="90"/>
      <c r="BN58" s="183">
        <f t="shared" si="29"/>
        <v>0</v>
      </c>
      <c r="BO58" s="193"/>
      <c r="BP58" s="90"/>
      <c r="BQ58" s="90"/>
      <c r="BR58" s="183">
        <f t="shared" si="30"/>
        <v>0</v>
      </c>
      <c r="BS58" s="193"/>
      <c r="BT58" s="90"/>
      <c r="BU58" s="90"/>
      <c r="BV58" s="183">
        <f t="shared" si="31"/>
        <v>0</v>
      </c>
      <c r="BW58" s="193"/>
      <c r="BX58" s="90"/>
      <c r="BY58" s="90"/>
      <c r="BZ58" s="183">
        <f t="shared" si="32"/>
        <v>0</v>
      </c>
      <c r="CA58" s="193"/>
      <c r="CB58" s="90"/>
      <c r="CC58" s="90"/>
      <c r="CD58" s="183">
        <f t="shared" si="33"/>
        <v>0</v>
      </c>
    </row>
    <row r="59" spans="2:82" x14ac:dyDescent="0.3">
      <c r="B59" s="53"/>
      <c r="C59" s="53" t="str">
        <f t="shared" si="0"/>
        <v>CPU_FresagemDescontinua</v>
      </c>
      <c r="D59" s="278">
        <f t="shared" si="1"/>
        <v>145.83333333333334</v>
      </c>
      <c r="E59" s="278">
        <f t="shared" si="2"/>
        <v>18416.669999999998</v>
      </c>
      <c r="F59" s="1"/>
      <c r="G59" s="28" t="str">
        <f>IFERROR(VLOOKUP(F59,Tabela7[[RECURSO]:[CUSTO]],2,FALSE),"")</f>
        <v/>
      </c>
      <c r="I59" s="90">
        <f t="shared" si="41"/>
        <v>0</v>
      </c>
      <c r="J59" s="45">
        <f>IFERROR(VLOOKUP(F59,Tabela7[[RECURSO]:[CUSTO]],3,FALSE),0)</f>
        <v>0</v>
      </c>
      <c r="K59" s="45">
        <f t="shared" si="42"/>
        <v>0</v>
      </c>
      <c r="M59" s="85"/>
      <c r="N59" s="88"/>
      <c r="AD59" s="144" t="str">
        <f t="shared" si="3"/>
        <v>Fresagem Descontinua</v>
      </c>
      <c r="AE59" s="192"/>
      <c r="AF59" s="180">
        <f t="shared" si="38"/>
        <v>0</v>
      </c>
      <c r="AG59" s="180">
        <f t="shared" si="17"/>
        <v>0</v>
      </c>
      <c r="AH59" s="181">
        <f t="shared" si="39"/>
        <v>0</v>
      </c>
      <c r="AI59" s="193"/>
      <c r="AJ59" s="90"/>
      <c r="AK59" s="90"/>
      <c r="AL59" s="183">
        <f t="shared" si="40"/>
        <v>0</v>
      </c>
      <c r="AM59" s="193"/>
      <c r="AN59" s="90"/>
      <c r="AO59" s="90"/>
      <c r="AP59" s="183">
        <f t="shared" si="23"/>
        <v>0</v>
      </c>
      <c r="AQ59" s="193"/>
      <c r="AR59" s="90"/>
      <c r="AS59" s="90"/>
      <c r="AT59" s="183">
        <f t="shared" si="24"/>
        <v>0</v>
      </c>
      <c r="AU59" s="193"/>
      <c r="AV59" s="90"/>
      <c r="AW59" s="90"/>
      <c r="AX59" s="183">
        <f t="shared" si="25"/>
        <v>0</v>
      </c>
      <c r="AY59" s="193"/>
      <c r="AZ59" s="90"/>
      <c r="BA59" s="90"/>
      <c r="BB59" s="183">
        <f t="shared" si="26"/>
        <v>0</v>
      </c>
      <c r="BC59" s="193"/>
      <c r="BD59" s="90"/>
      <c r="BE59" s="90"/>
      <c r="BF59" s="183">
        <f t="shared" si="27"/>
        <v>0</v>
      </c>
      <c r="BG59" s="193"/>
      <c r="BH59" s="90"/>
      <c r="BI59" s="90"/>
      <c r="BJ59" s="183">
        <f t="shared" si="28"/>
        <v>0</v>
      </c>
      <c r="BK59" s="193"/>
      <c r="BL59" s="90"/>
      <c r="BM59" s="90"/>
      <c r="BN59" s="183">
        <f t="shared" si="29"/>
        <v>0</v>
      </c>
      <c r="BO59" s="193"/>
      <c r="BP59" s="90"/>
      <c r="BQ59" s="90"/>
      <c r="BR59" s="183">
        <f t="shared" si="30"/>
        <v>0</v>
      </c>
      <c r="BS59" s="193"/>
      <c r="BT59" s="90"/>
      <c r="BU59" s="90"/>
      <c r="BV59" s="183">
        <f t="shared" si="31"/>
        <v>0</v>
      </c>
      <c r="BW59" s="193"/>
      <c r="BX59" s="90"/>
      <c r="BY59" s="90"/>
      <c r="BZ59" s="183">
        <f t="shared" si="32"/>
        <v>0</v>
      </c>
      <c r="CA59" s="193"/>
      <c r="CB59" s="90"/>
      <c r="CC59" s="90"/>
      <c r="CD59" s="183">
        <f t="shared" si="33"/>
        <v>0</v>
      </c>
    </row>
    <row r="60" spans="2:82" x14ac:dyDescent="0.3">
      <c r="B60" s="53"/>
      <c r="C60" s="53" t="str">
        <f t="shared" si="0"/>
        <v>CPU_FresagemDescontinua</v>
      </c>
      <c r="D60" s="278">
        <f t="shared" si="1"/>
        <v>145.83333333333334</v>
      </c>
      <c r="E60" s="278">
        <f t="shared" si="2"/>
        <v>18416.669999999998</v>
      </c>
      <c r="F60" s="1"/>
      <c r="G60" s="28" t="str">
        <f>IFERROR(VLOOKUP(F60,Tabela7[[RECURSO]:[CUSTO]],2,FALSE),"")</f>
        <v/>
      </c>
      <c r="I60" s="90">
        <f t="shared" si="41"/>
        <v>0</v>
      </c>
      <c r="J60" s="45">
        <f>IFERROR(VLOOKUP(F60,Tabela7[[RECURSO]:[CUSTO]],3,FALSE),0)</f>
        <v>0</v>
      </c>
      <c r="K60" s="45">
        <f t="shared" si="42"/>
        <v>0</v>
      </c>
      <c r="M60" s="85"/>
      <c r="N60" s="88"/>
      <c r="AD60" s="144" t="str">
        <f t="shared" si="3"/>
        <v>Fresagem Descontinua</v>
      </c>
      <c r="AE60" s="192"/>
      <c r="AF60" s="180">
        <f t="shared" si="38"/>
        <v>0</v>
      </c>
      <c r="AG60" s="180">
        <f t="shared" si="17"/>
        <v>0</v>
      </c>
      <c r="AH60" s="181">
        <f t="shared" si="39"/>
        <v>0</v>
      </c>
      <c r="AI60" s="193"/>
      <c r="AJ60" s="90"/>
      <c r="AK60" s="90"/>
      <c r="AL60" s="183">
        <f t="shared" si="40"/>
        <v>0</v>
      </c>
      <c r="AM60" s="193"/>
      <c r="AN60" s="90"/>
      <c r="AO60" s="90"/>
      <c r="AP60" s="183">
        <f t="shared" si="23"/>
        <v>0</v>
      </c>
      <c r="AQ60" s="193"/>
      <c r="AR60" s="90"/>
      <c r="AS60" s="90"/>
      <c r="AT60" s="183">
        <f t="shared" si="24"/>
        <v>0</v>
      </c>
      <c r="AU60" s="193"/>
      <c r="AV60" s="90"/>
      <c r="AW60" s="90"/>
      <c r="AX60" s="183">
        <f t="shared" si="25"/>
        <v>0</v>
      </c>
      <c r="AY60" s="193"/>
      <c r="AZ60" s="90"/>
      <c r="BA60" s="90"/>
      <c r="BB60" s="183">
        <f t="shared" si="26"/>
        <v>0</v>
      </c>
      <c r="BC60" s="193"/>
      <c r="BD60" s="90"/>
      <c r="BE60" s="90"/>
      <c r="BF60" s="183">
        <f t="shared" si="27"/>
        <v>0</v>
      </c>
      <c r="BG60" s="193"/>
      <c r="BH60" s="90"/>
      <c r="BI60" s="90"/>
      <c r="BJ60" s="183">
        <f t="shared" si="28"/>
        <v>0</v>
      </c>
      <c r="BK60" s="193"/>
      <c r="BL60" s="90"/>
      <c r="BM60" s="90"/>
      <c r="BN60" s="183">
        <f t="shared" si="29"/>
        <v>0</v>
      </c>
      <c r="BO60" s="193"/>
      <c r="BP60" s="90"/>
      <c r="BQ60" s="90"/>
      <c r="BR60" s="183">
        <f t="shared" si="30"/>
        <v>0</v>
      </c>
      <c r="BS60" s="193"/>
      <c r="BT60" s="90"/>
      <c r="BU60" s="90"/>
      <c r="BV60" s="183">
        <f t="shared" si="31"/>
        <v>0</v>
      </c>
      <c r="BW60" s="193"/>
      <c r="BX60" s="90"/>
      <c r="BY60" s="90"/>
      <c r="BZ60" s="183">
        <f t="shared" si="32"/>
        <v>0</v>
      </c>
      <c r="CA60" s="193"/>
      <c r="CB60" s="90"/>
      <c r="CC60" s="90"/>
      <c r="CD60" s="183">
        <f t="shared" si="33"/>
        <v>0</v>
      </c>
    </row>
    <row r="61" spans="2:82" x14ac:dyDescent="0.3">
      <c r="B61" s="53"/>
      <c r="C61" s="53" t="str">
        <f t="shared" si="0"/>
        <v>CPU_FresagemDescontinua</v>
      </c>
      <c r="D61" s="278">
        <f t="shared" si="1"/>
        <v>145.83333333333334</v>
      </c>
      <c r="E61" s="278">
        <f t="shared" si="2"/>
        <v>18416.669999999998</v>
      </c>
      <c r="F61" s="1"/>
      <c r="G61" s="28" t="str">
        <f>IFERROR(VLOOKUP(F61,Tabela7[[RECURSO]:[CUSTO]],2,FALSE),"")</f>
        <v/>
      </c>
      <c r="I61" s="90">
        <f t="shared" si="41"/>
        <v>0</v>
      </c>
      <c r="J61" s="45">
        <f>IFERROR(VLOOKUP(F61,Tabela7[[RECURSO]:[CUSTO]],3,FALSE),0)</f>
        <v>0</v>
      </c>
      <c r="K61" s="45">
        <f t="shared" si="42"/>
        <v>0</v>
      </c>
      <c r="M61" s="85"/>
      <c r="N61" s="88"/>
      <c r="AD61" s="144" t="str">
        <f t="shared" si="3"/>
        <v>Fresagem Descontinua</v>
      </c>
      <c r="AE61" s="192"/>
      <c r="AF61" s="180">
        <f t="shared" si="38"/>
        <v>0</v>
      </c>
      <c r="AG61" s="180">
        <f t="shared" si="17"/>
        <v>0</v>
      </c>
      <c r="AH61" s="181">
        <f t="shared" si="39"/>
        <v>0</v>
      </c>
      <c r="AI61" s="193"/>
      <c r="AJ61" s="90"/>
      <c r="AK61" s="90"/>
      <c r="AL61" s="183">
        <f t="shared" si="40"/>
        <v>0</v>
      </c>
      <c r="AM61" s="193"/>
      <c r="AN61" s="90"/>
      <c r="AO61" s="90"/>
      <c r="AP61" s="183">
        <f t="shared" si="23"/>
        <v>0</v>
      </c>
      <c r="AQ61" s="193"/>
      <c r="AR61" s="90"/>
      <c r="AS61" s="90"/>
      <c r="AT61" s="183">
        <f t="shared" si="24"/>
        <v>0</v>
      </c>
      <c r="AU61" s="193"/>
      <c r="AV61" s="90"/>
      <c r="AW61" s="90"/>
      <c r="AX61" s="183">
        <f t="shared" si="25"/>
        <v>0</v>
      </c>
      <c r="AY61" s="193"/>
      <c r="AZ61" s="90"/>
      <c r="BA61" s="90"/>
      <c r="BB61" s="183">
        <f t="shared" si="26"/>
        <v>0</v>
      </c>
      <c r="BC61" s="193"/>
      <c r="BD61" s="90"/>
      <c r="BE61" s="90"/>
      <c r="BF61" s="183">
        <f t="shared" si="27"/>
        <v>0</v>
      </c>
      <c r="BG61" s="193"/>
      <c r="BH61" s="90"/>
      <c r="BI61" s="90"/>
      <c r="BJ61" s="183">
        <f t="shared" si="28"/>
        <v>0</v>
      </c>
      <c r="BK61" s="193"/>
      <c r="BL61" s="90"/>
      <c r="BM61" s="90"/>
      <c r="BN61" s="183">
        <f t="shared" si="29"/>
        <v>0</v>
      </c>
      <c r="BO61" s="193"/>
      <c r="BP61" s="90"/>
      <c r="BQ61" s="90"/>
      <c r="BR61" s="183">
        <f t="shared" si="30"/>
        <v>0</v>
      </c>
      <c r="BS61" s="193"/>
      <c r="BT61" s="90"/>
      <c r="BU61" s="90"/>
      <c r="BV61" s="183">
        <f t="shared" si="31"/>
        <v>0</v>
      </c>
      <c r="BW61" s="193"/>
      <c r="BX61" s="90"/>
      <c r="BY61" s="90"/>
      <c r="BZ61" s="183">
        <f t="shared" si="32"/>
        <v>0</v>
      </c>
      <c r="CA61" s="193"/>
      <c r="CB61" s="90"/>
      <c r="CC61" s="90"/>
      <c r="CD61" s="183">
        <f t="shared" si="33"/>
        <v>0</v>
      </c>
    </row>
    <row r="62" spans="2:82" ht="15" thickBot="1" x14ac:dyDescent="0.35">
      <c r="B62" s="53"/>
      <c r="C62" s="53" t="str">
        <f t="shared" si="0"/>
        <v>CPU_FresagemDescontinua</v>
      </c>
      <c r="D62" s="278">
        <f t="shared" si="1"/>
        <v>145.83333333333334</v>
      </c>
      <c r="E62" s="278">
        <f t="shared" si="2"/>
        <v>18416.669999999998</v>
      </c>
      <c r="F62" s="1"/>
      <c r="G62" s="28" t="str">
        <f>IFERROR(VLOOKUP(F62,Tabela7[[RECURSO]:[CUSTO]],2,FALSE),"")</f>
        <v/>
      </c>
      <c r="I62" s="90">
        <f t="shared" si="41"/>
        <v>0</v>
      </c>
      <c r="J62" s="45">
        <f>IFERROR(VLOOKUP(F62,Tabela7[[RECURSO]:[CUSTO]],3,FALSE),0)</f>
        <v>0</v>
      </c>
      <c r="K62" s="45">
        <f t="shared" si="42"/>
        <v>0</v>
      </c>
      <c r="M62" s="86"/>
      <c r="N62" s="88"/>
      <c r="AD62" s="144" t="str">
        <f t="shared" si="3"/>
        <v>Fresagem Descontinua</v>
      </c>
      <c r="AE62" s="194"/>
      <c r="AF62" s="195">
        <f t="shared" si="38"/>
        <v>0</v>
      </c>
      <c r="AG62" s="195">
        <f t="shared" si="17"/>
        <v>0</v>
      </c>
      <c r="AH62" s="196">
        <f t="shared" si="39"/>
        <v>0</v>
      </c>
      <c r="AI62" s="197"/>
      <c r="AJ62" s="198"/>
      <c r="AK62" s="198"/>
      <c r="AL62" s="199">
        <f t="shared" si="40"/>
        <v>0</v>
      </c>
      <c r="AM62" s="197"/>
      <c r="AN62" s="198"/>
      <c r="AO62" s="198"/>
      <c r="AP62" s="199">
        <f t="shared" si="23"/>
        <v>0</v>
      </c>
      <c r="AQ62" s="197"/>
      <c r="AR62" s="198"/>
      <c r="AS62" s="198"/>
      <c r="AT62" s="199">
        <f t="shared" si="24"/>
        <v>0</v>
      </c>
      <c r="AU62" s="197"/>
      <c r="AV62" s="198"/>
      <c r="AW62" s="198"/>
      <c r="AX62" s="199">
        <f t="shared" si="25"/>
        <v>0</v>
      </c>
      <c r="AY62" s="197"/>
      <c r="AZ62" s="198"/>
      <c r="BA62" s="198"/>
      <c r="BB62" s="199">
        <f t="shared" si="26"/>
        <v>0</v>
      </c>
      <c r="BC62" s="197"/>
      <c r="BD62" s="198"/>
      <c r="BE62" s="198"/>
      <c r="BF62" s="199">
        <f t="shared" si="27"/>
        <v>0</v>
      </c>
      <c r="BG62" s="197"/>
      <c r="BH62" s="198"/>
      <c r="BI62" s="198"/>
      <c r="BJ62" s="199">
        <f t="shared" si="28"/>
        <v>0</v>
      </c>
      <c r="BK62" s="197"/>
      <c r="BL62" s="198"/>
      <c r="BM62" s="198"/>
      <c r="BN62" s="199">
        <f t="shared" si="29"/>
        <v>0</v>
      </c>
      <c r="BO62" s="197"/>
      <c r="BP62" s="198"/>
      <c r="BQ62" s="198"/>
      <c r="BR62" s="199">
        <f t="shared" si="30"/>
        <v>0</v>
      </c>
      <c r="BS62" s="197"/>
      <c r="BT62" s="198"/>
      <c r="BU62" s="198"/>
      <c r="BV62" s="199">
        <f t="shared" si="31"/>
        <v>0</v>
      </c>
      <c r="BW62" s="197"/>
      <c r="BX62" s="198"/>
      <c r="BY62" s="198"/>
      <c r="BZ62" s="199">
        <f t="shared" si="32"/>
        <v>0</v>
      </c>
      <c r="CA62" s="197"/>
      <c r="CB62" s="198"/>
      <c r="CC62" s="198"/>
      <c r="CD62" s="199">
        <f t="shared" si="33"/>
        <v>0</v>
      </c>
    </row>
  </sheetData>
  <conditionalFormatting sqref="K6:K7">
    <cfRule type="iconSet" priority="14">
      <iconSet>
        <cfvo type="percent" val="0"/>
        <cfvo type="num" val="0"/>
        <cfvo type="num" val="0.02"/>
      </iconSet>
    </cfRule>
  </conditionalFormatting>
  <conditionalFormatting sqref="AH6:AH7">
    <cfRule type="iconSet" priority="13">
      <iconSet>
        <cfvo type="percent" val="0"/>
        <cfvo type="num" val="0"/>
        <cfvo type="num" val="0.02"/>
      </iconSet>
    </cfRule>
  </conditionalFormatting>
  <conditionalFormatting sqref="AL6:AL7">
    <cfRule type="iconSet" priority="12">
      <iconSet>
        <cfvo type="percent" val="0"/>
        <cfvo type="num" val="0"/>
        <cfvo type="num" val="0.02"/>
      </iconSet>
    </cfRule>
  </conditionalFormatting>
  <conditionalFormatting sqref="AP6:AP7">
    <cfRule type="iconSet" priority="11">
      <iconSet>
        <cfvo type="percent" val="0"/>
        <cfvo type="num" val="0"/>
        <cfvo type="num" val="0.02"/>
      </iconSet>
    </cfRule>
  </conditionalFormatting>
  <conditionalFormatting sqref="AT6:AT7">
    <cfRule type="iconSet" priority="10">
      <iconSet>
        <cfvo type="percent" val="0"/>
        <cfvo type="num" val="0"/>
        <cfvo type="num" val="0.02"/>
      </iconSet>
    </cfRule>
  </conditionalFormatting>
  <conditionalFormatting sqref="AX6:AX7">
    <cfRule type="iconSet" priority="9">
      <iconSet>
        <cfvo type="percent" val="0"/>
        <cfvo type="num" val="0"/>
        <cfvo type="num" val="0.02"/>
      </iconSet>
    </cfRule>
  </conditionalFormatting>
  <conditionalFormatting sqref="BB6:BB7">
    <cfRule type="iconSet" priority="8">
      <iconSet>
        <cfvo type="percent" val="0"/>
        <cfvo type="num" val="0"/>
        <cfvo type="num" val="0.02"/>
      </iconSet>
    </cfRule>
  </conditionalFormatting>
  <conditionalFormatting sqref="BF6:BF7">
    <cfRule type="iconSet" priority="7">
      <iconSet>
        <cfvo type="percent" val="0"/>
        <cfvo type="num" val="0"/>
        <cfvo type="num" val="0.02"/>
      </iconSet>
    </cfRule>
  </conditionalFormatting>
  <conditionalFormatting sqref="BJ6:BJ7">
    <cfRule type="iconSet" priority="6">
      <iconSet>
        <cfvo type="percent" val="0"/>
        <cfvo type="num" val="0"/>
        <cfvo type="num" val="0.02"/>
      </iconSet>
    </cfRule>
  </conditionalFormatting>
  <conditionalFormatting sqref="BN6:BN7">
    <cfRule type="iconSet" priority="5">
      <iconSet>
        <cfvo type="percent" val="0"/>
        <cfvo type="num" val="0"/>
        <cfvo type="num" val="0.02"/>
      </iconSet>
    </cfRule>
  </conditionalFormatting>
  <conditionalFormatting sqref="BR6:BR7">
    <cfRule type="iconSet" priority="4">
      <iconSet>
        <cfvo type="percent" val="0"/>
        <cfvo type="num" val="0"/>
        <cfvo type="num" val="0.02"/>
      </iconSet>
    </cfRule>
  </conditionalFormatting>
  <conditionalFormatting sqref="BV6:BV7">
    <cfRule type="iconSet" priority="3">
      <iconSet>
        <cfvo type="percent" val="0"/>
        <cfvo type="num" val="0"/>
        <cfvo type="num" val="0.02"/>
      </iconSet>
    </cfRule>
  </conditionalFormatting>
  <conditionalFormatting sqref="BZ6:BZ7">
    <cfRule type="iconSet" priority="2">
      <iconSet>
        <cfvo type="percent" val="0"/>
        <cfvo type="num" val="0"/>
        <cfvo type="num" val="0.02"/>
      </iconSet>
    </cfRule>
  </conditionalFormatting>
  <conditionalFormatting sqref="CD6:CD7">
    <cfRule type="iconSet" priority="1">
      <iconSet>
        <cfvo type="percent" val="0"/>
        <cfvo type="num" val="0"/>
        <cfvo type="num" val="0.02"/>
      </iconSet>
    </cfRule>
  </conditionalFormatting>
  <dataValidations count="5">
    <dataValidation type="list" allowBlank="1" showInputMessage="1" showErrorMessage="1" sqref="F51:F62" xr:uid="{7D885D45-2513-4E19-B9F0-3E925370B97C}">
      <formula1>INDIRECT($B$50)</formula1>
    </dataValidation>
    <dataValidation type="list" allowBlank="1" showInputMessage="1" showErrorMessage="1" sqref="F38:F49" xr:uid="{6C6FBBAB-9EEF-4351-926E-C9BD74B86EB1}">
      <formula1>INDIRECT($B$37)</formula1>
    </dataValidation>
    <dataValidation type="list" allowBlank="1" showInputMessage="1" showErrorMessage="1" sqref="F25:F36" xr:uid="{2AA73CF5-8D65-45A5-85C2-CB5F2D85853B}">
      <formula1>INDIRECT($B$24)</formula1>
    </dataValidation>
    <dataValidation type="list" allowBlank="1" showInputMessage="1" showErrorMessage="1" sqref="F12:F23" xr:uid="{FCA9BF95-5E72-486C-ABC0-B3BE3565469D}">
      <formula1>INDIRECT($B$11)</formula1>
    </dataValidation>
    <dataValidation type="list" allowBlank="1" showInputMessage="1" showErrorMessage="1" sqref="B3:E3" xr:uid="{23ADE7C6-F0F2-49D1-9AF7-57C389C8A4BE}">
      <formula1>INDIRECT($B$2)</formula1>
    </dataValidation>
  </dataValidations>
  <pageMargins left="0.51181102362204722" right="0.51181102362204722" top="0.19685039370078741" bottom="0.19685039370078741" header="0.31496062992125984" footer="0.31496062992125984"/>
  <pageSetup paperSize="9" scale="82" orientation="portrait" r:id="rId1"/>
  <colBreaks count="1" manualBreakCount="1">
    <brk id="11" max="1048575" man="1"/>
  </colBreaks>
  <drawing r:id="rId2"/>
  <legacyDrawing r:id="rId3"/>
  <tableParts count="2">
    <tablePart r:id="rId4"/>
    <tablePart r:id="rId5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651A0-FDB3-412F-BE5F-75EA0F75B3C4}">
  <dimension ref="A1:C48"/>
  <sheetViews>
    <sheetView showGridLines="0" showRowColHeaders="0" zoomScale="115" zoomScaleNormal="115" workbookViewId="0">
      <selection sqref="A1:C2"/>
    </sheetView>
  </sheetViews>
  <sheetFormatPr defaultRowHeight="14.4" x14ac:dyDescent="0.3"/>
  <cols>
    <col min="1" max="1" width="9.88671875" customWidth="1"/>
    <col min="2" max="2" width="56.5546875" customWidth="1"/>
    <col min="3" max="3" width="55.6640625" customWidth="1"/>
  </cols>
  <sheetData>
    <row r="1" spans="1:3" ht="18" customHeight="1" x14ac:dyDescent="0.3">
      <c r="A1" s="412" t="s">
        <v>10</v>
      </c>
      <c r="B1" s="412"/>
      <c r="C1" s="412"/>
    </row>
    <row r="2" spans="1:3" ht="18" customHeight="1" x14ac:dyDescent="0.3">
      <c r="A2" s="412"/>
      <c r="B2" s="412"/>
      <c r="C2" s="412"/>
    </row>
    <row r="3" spans="1:3" s="2" customFormat="1" ht="25.2" customHeight="1" x14ac:dyDescent="0.3">
      <c r="A3" s="26" t="s">
        <v>596</v>
      </c>
      <c r="B3" s="26" t="s">
        <v>891</v>
      </c>
      <c r="C3" s="26" t="s">
        <v>892</v>
      </c>
    </row>
    <row r="4" spans="1:3" s="2" customFormat="1" ht="25.2" customHeight="1" x14ac:dyDescent="0.3"/>
    <row r="5" spans="1:3" s="2" customFormat="1" ht="25.2" customHeight="1" x14ac:dyDescent="0.3"/>
    <row r="6" spans="1:3" s="2" customFormat="1" ht="25.2" customHeight="1" x14ac:dyDescent="0.3"/>
    <row r="7" spans="1:3" s="2" customFormat="1" ht="25.2" customHeight="1" x14ac:dyDescent="0.3"/>
    <row r="8" spans="1:3" s="2" customFormat="1" ht="25.2" customHeight="1" x14ac:dyDescent="0.3"/>
    <row r="9" spans="1:3" s="2" customFormat="1" ht="25.2" customHeight="1" x14ac:dyDescent="0.3"/>
    <row r="10" spans="1:3" s="2" customFormat="1" ht="25.2" customHeight="1" x14ac:dyDescent="0.3"/>
    <row r="11" spans="1:3" s="2" customFormat="1" ht="25.2" customHeight="1" x14ac:dyDescent="0.3"/>
    <row r="12" spans="1:3" s="2" customFormat="1" ht="25.2" customHeight="1" x14ac:dyDescent="0.3"/>
    <row r="13" spans="1:3" s="2" customFormat="1" ht="25.2" customHeight="1" x14ac:dyDescent="0.3"/>
    <row r="14" spans="1:3" s="2" customFormat="1" ht="25.2" customHeight="1" x14ac:dyDescent="0.3"/>
    <row r="15" spans="1:3" s="2" customFormat="1" ht="25.2" customHeight="1" x14ac:dyDescent="0.3"/>
    <row r="16" spans="1:3" s="2" customFormat="1" ht="25.2" customHeight="1" x14ac:dyDescent="0.3"/>
    <row r="17" s="2" customFormat="1" ht="25.2" customHeight="1" x14ac:dyDescent="0.3"/>
    <row r="18" s="2" customFormat="1" ht="25.2" customHeight="1" x14ac:dyDescent="0.3"/>
    <row r="19" s="2" customFormat="1" ht="25.2" customHeight="1" x14ac:dyDescent="0.3"/>
    <row r="20" s="2" customFormat="1" ht="25.2" customHeight="1" x14ac:dyDescent="0.3"/>
    <row r="21" s="2" customFormat="1" ht="25.2" customHeight="1" x14ac:dyDescent="0.3"/>
    <row r="22" s="2" customFormat="1" ht="25.2" customHeight="1" x14ac:dyDescent="0.3"/>
    <row r="23" s="2" customFormat="1" ht="25.2" customHeight="1" x14ac:dyDescent="0.3"/>
    <row r="24" s="2" customFormat="1" ht="25.2" customHeight="1" x14ac:dyDescent="0.3"/>
    <row r="25" s="2" customFormat="1" ht="25.2" customHeight="1" x14ac:dyDescent="0.3"/>
    <row r="26" s="2" customFormat="1" ht="25.2" customHeight="1" x14ac:dyDescent="0.3"/>
    <row r="27" s="2" customFormat="1" ht="25.2" customHeight="1" x14ac:dyDescent="0.3"/>
    <row r="28" s="2" customFormat="1" ht="25.2" customHeight="1" x14ac:dyDescent="0.3"/>
    <row r="29" s="2" customFormat="1" ht="25.2" customHeight="1" x14ac:dyDescent="0.3"/>
    <row r="30" s="2" customFormat="1" ht="25.2" customHeight="1" x14ac:dyDescent="0.3"/>
    <row r="31" s="2" customFormat="1" ht="25.2" customHeight="1" x14ac:dyDescent="0.3"/>
    <row r="32" s="2" customFormat="1" ht="25.2" customHeight="1" x14ac:dyDescent="0.3"/>
    <row r="33" s="2" customFormat="1" ht="25.2" customHeight="1" x14ac:dyDescent="0.3"/>
    <row r="34" s="2" customFormat="1" ht="25.2" customHeight="1" x14ac:dyDescent="0.3"/>
    <row r="35" s="2" customFormat="1" ht="25.2" customHeight="1" x14ac:dyDescent="0.3"/>
    <row r="36" s="2" customFormat="1" ht="25.2" customHeight="1" x14ac:dyDescent="0.3"/>
    <row r="37" s="2" customFormat="1" ht="25.2" customHeight="1" x14ac:dyDescent="0.3"/>
    <row r="38" s="2" customFormat="1" ht="25.2" customHeight="1" x14ac:dyDescent="0.3"/>
    <row r="39" s="2" customFormat="1" ht="25.2" customHeight="1" x14ac:dyDescent="0.3"/>
    <row r="40" s="2" customFormat="1" ht="25.2" customHeight="1" x14ac:dyDescent="0.3"/>
    <row r="41" s="2" customFormat="1" ht="25.2" customHeight="1" x14ac:dyDescent="0.3"/>
    <row r="42" s="2" customFormat="1" ht="25.2" customHeight="1" x14ac:dyDescent="0.3"/>
    <row r="43" s="2" customFormat="1" ht="25.2" customHeight="1" x14ac:dyDescent="0.3"/>
    <row r="44" s="2" customFormat="1" ht="25.2" customHeight="1" x14ac:dyDescent="0.3"/>
    <row r="45" s="2" customFormat="1" ht="25.2" customHeight="1" x14ac:dyDescent="0.3"/>
    <row r="46" s="2" customFormat="1" ht="25.2" customHeight="1" x14ac:dyDescent="0.3"/>
    <row r="47" s="2" customFormat="1" ht="25.2" customHeight="1" x14ac:dyDescent="0.3"/>
    <row r="48" s="2" customFormat="1" ht="25.2" customHeight="1" x14ac:dyDescent="0.3"/>
  </sheetData>
  <mergeCells count="1">
    <mergeCell ref="A1:C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A9CD0-FAC9-4737-A727-8DAA6F5FCF0D}">
  <dimension ref="A1:AL169"/>
  <sheetViews>
    <sheetView showGridLines="0" showRowColHeader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G16" sqref="G16"/>
    </sheetView>
  </sheetViews>
  <sheetFormatPr defaultRowHeight="14.4" x14ac:dyDescent="0.3"/>
  <cols>
    <col min="1" max="1" width="10.5546875" bestFit="1" customWidth="1"/>
    <col min="2" max="2" width="25" bestFit="1" customWidth="1"/>
    <col min="3" max="3" width="15.6640625" customWidth="1"/>
    <col min="4" max="26" width="10.6640625" customWidth="1"/>
  </cols>
  <sheetData>
    <row r="1" spans="1:38" ht="15" thickBot="1" x14ac:dyDescent="0.35"/>
    <row r="2" spans="1:38" s="2" customFormat="1" ht="25.2" customHeight="1" thickBot="1" x14ac:dyDescent="0.35">
      <c r="B2" s="262" t="s">
        <v>893</v>
      </c>
      <c r="C2" s="263">
        <v>45292</v>
      </c>
      <c r="E2" s="261"/>
    </row>
    <row r="3" spans="1:38" s="2" customFormat="1" ht="25.2" customHeight="1" thickBot="1" x14ac:dyDescent="0.35">
      <c r="B3" s="262" t="s">
        <v>894</v>
      </c>
      <c r="C3" s="263">
        <v>45657</v>
      </c>
      <c r="E3" s="261"/>
    </row>
    <row r="4" spans="1:38" s="2" customFormat="1" ht="7.95" customHeight="1" x14ac:dyDescent="0.3">
      <c r="C4" s="254"/>
    </row>
    <row r="5" spans="1:38" s="2" customFormat="1" ht="22.95" customHeight="1" x14ac:dyDescent="0.3">
      <c r="A5" s="253"/>
      <c r="C5" s="258">
        <f>C2</f>
        <v>45292</v>
      </c>
      <c r="D5" s="258">
        <f>EOMONTH(C5,1)</f>
        <v>45351</v>
      </c>
      <c r="E5" s="258">
        <f t="shared" ref="E5:Z5" si="0">EOMONTH(D5,1)</f>
        <v>45382</v>
      </c>
      <c r="F5" s="258">
        <f t="shared" si="0"/>
        <v>45412</v>
      </c>
      <c r="G5" s="258">
        <f t="shared" si="0"/>
        <v>45443</v>
      </c>
      <c r="H5" s="258">
        <f t="shared" si="0"/>
        <v>45473</v>
      </c>
      <c r="I5" s="258">
        <f t="shared" si="0"/>
        <v>45504</v>
      </c>
      <c r="J5" s="258">
        <f t="shared" si="0"/>
        <v>45535</v>
      </c>
      <c r="K5" s="258">
        <f t="shared" si="0"/>
        <v>45565</v>
      </c>
      <c r="L5" s="258">
        <f t="shared" si="0"/>
        <v>45596</v>
      </c>
      <c r="M5" s="258">
        <f t="shared" si="0"/>
        <v>45626</v>
      </c>
      <c r="N5" s="258">
        <f t="shared" si="0"/>
        <v>45657</v>
      </c>
      <c r="O5" s="258">
        <f t="shared" si="0"/>
        <v>45688</v>
      </c>
      <c r="P5" s="258">
        <f t="shared" si="0"/>
        <v>45716</v>
      </c>
      <c r="Q5" s="258">
        <f t="shared" si="0"/>
        <v>45747</v>
      </c>
      <c r="R5" s="258">
        <f t="shared" si="0"/>
        <v>45777</v>
      </c>
      <c r="S5" s="258">
        <f t="shared" si="0"/>
        <v>45808</v>
      </c>
      <c r="T5" s="258">
        <f t="shared" si="0"/>
        <v>45838</v>
      </c>
      <c r="U5" s="258">
        <f t="shared" si="0"/>
        <v>45869</v>
      </c>
      <c r="V5" s="258">
        <f t="shared" si="0"/>
        <v>45900</v>
      </c>
      <c r="W5" s="258">
        <f t="shared" si="0"/>
        <v>45930</v>
      </c>
      <c r="X5" s="258">
        <f t="shared" si="0"/>
        <v>45961</v>
      </c>
      <c r="Y5" s="258">
        <f t="shared" si="0"/>
        <v>45991</v>
      </c>
      <c r="Z5" s="258">
        <f t="shared" si="0"/>
        <v>46022</v>
      </c>
    </row>
    <row r="6" spans="1:38" s="253" customFormat="1" ht="22.95" customHeight="1" x14ac:dyDescent="0.3">
      <c r="B6" s="260"/>
      <c r="C6" s="257">
        <f>IF(AND((EOMONTH(C5,-1)+1)&gt;=$C$2,(EOMONTH(C5,0))&lt;=$C$3),1,0)</f>
        <v>1</v>
      </c>
      <c r="D6" s="257">
        <f t="shared" ref="D6:Y6" si="1">IF(AND((EOMONTH(D5,-1)+1)&gt;=$C$2,(EOMONTH(D5,0))&lt;=$C$3),1,0)</f>
        <v>1</v>
      </c>
      <c r="E6" s="257">
        <f t="shared" si="1"/>
        <v>1</v>
      </c>
      <c r="F6" s="257">
        <f t="shared" si="1"/>
        <v>1</v>
      </c>
      <c r="G6" s="257">
        <f t="shared" si="1"/>
        <v>1</v>
      </c>
      <c r="H6" s="257">
        <f t="shared" si="1"/>
        <v>1</v>
      </c>
      <c r="I6" s="257">
        <f t="shared" si="1"/>
        <v>1</v>
      </c>
      <c r="J6" s="257">
        <f t="shared" si="1"/>
        <v>1</v>
      </c>
      <c r="K6" s="257">
        <f t="shared" si="1"/>
        <v>1</v>
      </c>
      <c r="L6" s="257">
        <f t="shared" si="1"/>
        <v>1</v>
      </c>
      <c r="M6" s="257">
        <f t="shared" si="1"/>
        <v>1</v>
      </c>
      <c r="N6" s="257">
        <f t="shared" si="1"/>
        <v>1</v>
      </c>
      <c r="O6" s="257">
        <f t="shared" si="1"/>
        <v>0</v>
      </c>
      <c r="P6" s="257">
        <f t="shared" si="1"/>
        <v>0</v>
      </c>
      <c r="Q6" s="257">
        <f t="shared" si="1"/>
        <v>0</v>
      </c>
      <c r="R6" s="257">
        <f t="shared" si="1"/>
        <v>0</v>
      </c>
      <c r="S6" s="257">
        <f t="shared" si="1"/>
        <v>0</v>
      </c>
      <c r="T6" s="257">
        <f t="shared" si="1"/>
        <v>0</v>
      </c>
      <c r="U6" s="257">
        <f t="shared" si="1"/>
        <v>0</v>
      </c>
      <c r="V6" s="257">
        <f t="shared" si="1"/>
        <v>0</v>
      </c>
      <c r="W6" s="257">
        <f t="shared" si="1"/>
        <v>0</v>
      </c>
      <c r="X6" s="257">
        <f t="shared" si="1"/>
        <v>0</v>
      </c>
      <c r="Y6" s="257">
        <f t="shared" si="1"/>
        <v>0</v>
      </c>
      <c r="Z6" s="257">
        <f>IF(AND((EOMONTH(Z5,-1)+1)&gt;=$C$2,(EOMONTH(Z5,0))&lt;=$C$3),1,0)</f>
        <v>0</v>
      </c>
    </row>
    <row r="7" spans="1:38" s="253" customFormat="1" ht="7.95" customHeight="1" x14ac:dyDescent="0.3">
      <c r="C7" s="255"/>
      <c r="D7" s="255"/>
      <c r="E7" s="255"/>
      <c r="F7" s="255"/>
      <c r="G7" s="255"/>
      <c r="H7" s="255"/>
      <c r="I7" s="255"/>
      <c r="J7" s="255"/>
      <c r="K7" s="255"/>
      <c r="L7" s="255"/>
      <c r="M7" s="255"/>
      <c r="N7" s="255"/>
      <c r="O7" s="255"/>
      <c r="P7" s="255"/>
      <c r="Q7" s="255"/>
      <c r="R7" s="255"/>
      <c r="S7" s="255"/>
      <c r="T7" s="255"/>
      <c r="U7" s="255"/>
      <c r="V7" s="255"/>
      <c r="W7" s="255"/>
      <c r="X7" s="255"/>
      <c r="Y7" s="255"/>
      <c r="Z7" s="255"/>
    </row>
    <row r="8" spans="1:38" s="2" customFormat="1" ht="22.95" customHeight="1" x14ac:dyDescent="0.3">
      <c r="B8" s="256" t="s">
        <v>895</v>
      </c>
      <c r="C8" s="257">
        <f>DAY(EOMONTH(C5,0))</f>
        <v>31</v>
      </c>
      <c r="D8" s="257">
        <f t="shared" ref="D8:Z8" si="2">DAY(EOMONTH(D5,0))</f>
        <v>29</v>
      </c>
      <c r="E8" s="257">
        <f t="shared" si="2"/>
        <v>31</v>
      </c>
      <c r="F8" s="257">
        <f t="shared" si="2"/>
        <v>30</v>
      </c>
      <c r="G8" s="257">
        <f t="shared" si="2"/>
        <v>31</v>
      </c>
      <c r="H8" s="257">
        <f t="shared" si="2"/>
        <v>30</v>
      </c>
      <c r="I8" s="257">
        <f t="shared" si="2"/>
        <v>31</v>
      </c>
      <c r="J8" s="257">
        <f t="shared" si="2"/>
        <v>31</v>
      </c>
      <c r="K8" s="257">
        <f t="shared" si="2"/>
        <v>30</v>
      </c>
      <c r="L8" s="257">
        <f t="shared" si="2"/>
        <v>31</v>
      </c>
      <c r="M8" s="257">
        <f t="shared" si="2"/>
        <v>30</v>
      </c>
      <c r="N8" s="257">
        <f t="shared" si="2"/>
        <v>31</v>
      </c>
      <c r="O8" s="257">
        <f t="shared" si="2"/>
        <v>31</v>
      </c>
      <c r="P8" s="257">
        <f t="shared" si="2"/>
        <v>28</v>
      </c>
      <c r="Q8" s="257">
        <f t="shared" si="2"/>
        <v>31</v>
      </c>
      <c r="R8" s="257">
        <f t="shared" si="2"/>
        <v>30</v>
      </c>
      <c r="S8" s="257">
        <f t="shared" si="2"/>
        <v>31</v>
      </c>
      <c r="T8" s="257">
        <f t="shared" si="2"/>
        <v>30</v>
      </c>
      <c r="U8" s="257">
        <f t="shared" si="2"/>
        <v>31</v>
      </c>
      <c r="V8" s="257">
        <f t="shared" si="2"/>
        <v>31</v>
      </c>
      <c r="W8" s="257">
        <f t="shared" si="2"/>
        <v>30</v>
      </c>
      <c r="X8" s="257">
        <f t="shared" si="2"/>
        <v>31</v>
      </c>
      <c r="Y8" s="257">
        <f t="shared" si="2"/>
        <v>30</v>
      </c>
      <c r="Z8" s="257">
        <f t="shared" si="2"/>
        <v>31</v>
      </c>
    </row>
    <row r="9" spans="1:38" s="2" customFormat="1" ht="22.95" customHeight="1" x14ac:dyDescent="0.3">
      <c r="B9" s="256" t="s">
        <v>896</v>
      </c>
      <c r="C9" s="257">
        <f>C8-NETWORKDAYS.INTL(EOMONTH(C5,-1)+1,EOMONTH(C5,0),17)</f>
        <v>4</v>
      </c>
      <c r="D9" s="257">
        <f t="shared" ref="D9:F9" si="3">D8-NETWORKDAYS.INTL(EOMONTH(D5,-1)+1,EOMONTH(D5,0),17)</f>
        <v>4</v>
      </c>
      <c r="E9" s="257">
        <f t="shared" si="3"/>
        <v>5</v>
      </c>
      <c r="F9" s="257">
        <f t="shared" si="3"/>
        <v>4</v>
      </c>
      <c r="G9" s="257">
        <f t="shared" ref="G9" si="4">G8-NETWORKDAYS.INTL(EOMONTH(G5,-1)+1,EOMONTH(G5,0),17)</f>
        <v>4</v>
      </c>
      <c r="H9" s="257">
        <f t="shared" ref="H9" si="5">H8-NETWORKDAYS.INTL(EOMONTH(H5,-1)+1,EOMONTH(H5,0),17)</f>
        <v>5</v>
      </c>
      <c r="I9" s="257">
        <f t="shared" ref="I9" si="6">I8-NETWORKDAYS.INTL(EOMONTH(I5,-1)+1,EOMONTH(I5,0),17)</f>
        <v>4</v>
      </c>
      <c r="J9" s="257">
        <f t="shared" ref="J9" si="7">J8-NETWORKDAYS.INTL(EOMONTH(J5,-1)+1,EOMONTH(J5,0),17)</f>
        <v>5</v>
      </c>
      <c r="K9" s="257">
        <f t="shared" ref="K9" si="8">K8-NETWORKDAYS.INTL(EOMONTH(K5,-1)+1,EOMONTH(K5,0),17)</f>
        <v>4</v>
      </c>
      <c r="L9" s="257">
        <f t="shared" ref="L9" si="9">L8-NETWORKDAYS.INTL(EOMONTH(L5,-1)+1,EOMONTH(L5,0),17)</f>
        <v>4</v>
      </c>
      <c r="M9" s="257">
        <f t="shared" ref="M9" si="10">M8-NETWORKDAYS.INTL(EOMONTH(M5,-1)+1,EOMONTH(M5,0),17)</f>
        <v>5</v>
      </c>
      <c r="N9" s="257">
        <f t="shared" ref="N9" si="11">N8-NETWORKDAYS.INTL(EOMONTH(N5,-1)+1,EOMONTH(N5,0),17)</f>
        <v>4</v>
      </c>
      <c r="O9" s="257">
        <f t="shared" ref="O9" si="12">O8-NETWORKDAYS.INTL(EOMONTH(O5,-1)+1,EOMONTH(O5,0),17)</f>
        <v>4</v>
      </c>
      <c r="P9" s="257">
        <f t="shared" ref="P9" si="13">P8-NETWORKDAYS.INTL(EOMONTH(P5,-1)+1,EOMONTH(P5,0),17)</f>
        <v>4</v>
      </c>
      <c r="Q9" s="257">
        <f t="shared" ref="Q9" si="14">Q8-NETWORKDAYS.INTL(EOMONTH(Q5,-1)+1,EOMONTH(Q5,0),17)</f>
        <v>5</v>
      </c>
      <c r="R9" s="257">
        <f t="shared" ref="R9" si="15">R8-NETWORKDAYS.INTL(EOMONTH(R5,-1)+1,EOMONTH(R5,0),17)</f>
        <v>4</v>
      </c>
      <c r="S9" s="257">
        <f t="shared" ref="S9" si="16">S8-NETWORKDAYS.INTL(EOMONTH(S5,-1)+1,EOMONTH(S5,0),17)</f>
        <v>5</v>
      </c>
      <c r="T9" s="257">
        <f t="shared" ref="T9" si="17">T8-NETWORKDAYS.INTL(EOMONTH(T5,-1)+1,EOMONTH(T5,0),17)</f>
        <v>4</v>
      </c>
      <c r="U9" s="257">
        <f t="shared" ref="U9" si="18">U8-NETWORKDAYS.INTL(EOMONTH(U5,-1)+1,EOMONTH(U5,0),17)</f>
        <v>4</v>
      </c>
      <c r="V9" s="257">
        <f t="shared" ref="V9" si="19">V8-NETWORKDAYS.INTL(EOMONTH(V5,-1)+1,EOMONTH(V5,0),17)</f>
        <v>5</v>
      </c>
      <c r="W9" s="257">
        <f t="shared" ref="W9" si="20">W8-NETWORKDAYS.INTL(EOMONTH(W5,-1)+1,EOMONTH(W5,0),17)</f>
        <v>4</v>
      </c>
      <c r="X9" s="257">
        <f t="shared" ref="X9" si="21">X8-NETWORKDAYS.INTL(EOMONTH(X5,-1)+1,EOMONTH(X5,0),17)</f>
        <v>4</v>
      </c>
      <c r="Y9" s="257">
        <f t="shared" ref="Y9" si="22">Y8-NETWORKDAYS.INTL(EOMONTH(Y5,-1)+1,EOMONTH(Y5,0),17)</f>
        <v>5</v>
      </c>
      <c r="Z9" s="257">
        <f t="shared" ref="Z9" si="23">Z8-NETWORKDAYS.INTL(EOMONTH(Z5,-1)+1,EOMONTH(Z5,0),17)</f>
        <v>4</v>
      </c>
    </row>
    <row r="10" spans="1:38" s="2" customFormat="1" ht="22.95" customHeight="1" x14ac:dyDescent="0.3">
      <c r="B10" s="256" t="s">
        <v>897</v>
      </c>
      <c r="C10" s="257">
        <f>C8-NETWORKDAYS.INTL(EOMONTH(C5,-1)+1,EOMONTH(C5,0),11)</f>
        <v>4</v>
      </c>
      <c r="D10" s="257">
        <f t="shared" ref="D10:Z10" si="24">D8-NETWORKDAYS.INTL(EOMONTH(D5,-1)+1,EOMONTH(D5,0),11)</f>
        <v>4</v>
      </c>
      <c r="E10" s="257">
        <f t="shared" si="24"/>
        <v>5</v>
      </c>
      <c r="F10" s="257">
        <f t="shared" si="24"/>
        <v>4</v>
      </c>
      <c r="G10" s="257">
        <f t="shared" si="24"/>
        <v>4</v>
      </c>
      <c r="H10" s="257">
        <f t="shared" si="24"/>
        <v>5</v>
      </c>
      <c r="I10" s="257">
        <f t="shared" si="24"/>
        <v>4</v>
      </c>
      <c r="J10" s="257">
        <f t="shared" si="24"/>
        <v>4</v>
      </c>
      <c r="K10" s="257">
        <f t="shared" si="24"/>
        <v>5</v>
      </c>
      <c r="L10" s="257">
        <f t="shared" si="24"/>
        <v>4</v>
      </c>
      <c r="M10" s="257">
        <f t="shared" si="24"/>
        <v>4</v>
      </c>
      <c r="N10" s="257">
        <f t="shared" si="24"/>
        <v>5</v>
      </c>
      <c r="O10" s="257">
        <f t="shared" si="24"/>
        <v>4</v>
      </c>
      <c r="P10" s="257">
        <f t="shared" si="24"/>
        <v>4</v>
      </c>
      <c r="Q10" s="257">
        <f t="shared" si="24"/>
        <v>5</v>
      </c>
      <c r="R10" s="257">
        <f t="shared" si="24"/>
        <v>4</v>
      </c>
      <c r="S10" s="257">
        <f t="shared" si="24"/>
        <v>4</v>
      </c>
      <c r="T10" s="257">
        <f t="shared" si="24"/>
        <v>5</v>
      </c>
      <c r="U10" s="257">
        <f t="shared" si="24"/>
        <v>4</v>
      </c>
      <c r="V10" s="257">
        <f t="shared" si="24"/>
        <v>5</v>
      </c>
      <c r="W10" s="257">
        <f t="shared" si="24"/>
        <v>4</v>
      </c>
      <c r="X10" s="257">
        <f t="shared" si="24"/>
        <v>4</v>
      </c>
      <c r="Y10" s="257">
        <f t="shared" si="24"/>
        <v>5</v>
      </c>
      <c r="Z10" s="257">
        <f t="shared" si="24"/>
        <v>4</v>
      </c>
    </row>
    <row r="11" spans="1:38" s="2" customFormat="1" ht="22.95" customHeight="1" x14ac:dyDescent="0.3">
      <c r="B11" s="256" t="s">
        <v>898</v>
      </c>
      <c r="C11" s="257">
        <f t="shared" ref="C11:Z11" si="25">C8-C10-NETWORKDAYS.INTL(EOMONTH(C5,-1)+1,EOMONTH(C5,0),11,$B$29:$B$169)</f>
        <v>1</v>
      </c>
      <c r="D11" s="257">
        <f t="shared" si="25"/>
        <v>1</v>
      </c>
      <c r="E11" s="257">
        <f t="shared" si="25"/>
        <v>1</v>
      </c>
      <c r="F11" s="257">
        <f t="shared" si="25"/>
        <v>0</v>
      </c>
      <c r="G11" s="257">
        <f t="shared" si="25"/>
        <v>2</v>
      </c>
      <c r="H11" s="257">
        <f t="shared" si="25"/>
        <v>0</v>
      </c>
      <c r="I11" s="257">
        <f t="shared" si="25"/>
        <v>0</v>
      </c>
      <c r="J11" s="257">
        <f t="shared" si="25"/>
        <v>0</v>
      </c>
      <c r="K11" s="257">
        <f t="shared" si="25"/>
        <v>1</v>
      </c>
      <c r="L11" s="257">
        <f t="shared" si="25"/>
        <v>1</v>
      </c>
      <c r="M11" s="257">
        <f t="shared" si="25"/>
        <v>3</v>
      </c>
      <c r="N11" s="257">
        <f t="shared" si="25"/>
        <v>1</v>
      </c>
      <c r="O11" s="257">
        <f t="shared" si="25"/>
        <v>1</v>
      </c>
      <c r="P11" s="257">
        <f t="shared" si="25"/>
        <v>0</v>
      </c>
      <c r="Q11" s="257">
        <f t="shared" si="25"/>
        <v>1</v>
      </c>
      <c r="R11" s="257">
        <f t="shared" si="25"/>
        <v>2</v>
      </c>
      <c r="S11" s="257">
        <f t="shared" si="25"/>
        <v>1</v>
      </c>
      <c r="T11" s="257">
        <f t="shared" si="25"/>
        <v>1</v>
      </c>
      <c r="U11" s="257">
        <f t="shared" si="25"/>
        <v>0</v>
      </c>
      <c r="V11" s="257">
        <f t="shared" si="25"/>
        <v>0</v>
      </c>
      <c r="W11" s="257">
        <f t="shared" si="25"/>
        <v>0</v>
      </c>
      <c r="X11" s="257">
        <f t="shared" si="25"/>
        <v>0</v>
      </c>
      <c r="Y11" s="257">
        <f t="shared" si="25"/>
        <v>2</v>
      </c>
      <c r="Z11" s="257">
        <f t="shared" si="25"/>
        <v>1</v>
      </c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</row>
    <row r="12" spans="1:38" s="2" customFormat="1" ht="22.95" customHeight="1" x14ac:dyDescent="0.3">
      <c r="B12" s="256" t="s">
        <v>899</v>
      </c>
      <c r="C12" s="257"/>
      <c r="D12" s="257"/>
      <c r="E12" s="257"/>
      <c r="F12" s="257"/>
      <c r="G12" s="257"/>
      <c r="H12" s="257"/>
      <c r="I12" s="257"/>
      <c r="J12" s="257"/>
      <c r="K12" s="257"/>
      <c r="L12" s="257"/>
      <c r="M12" s="257"/>
      <c r="N12" s="257"/>
      <c r="O12" s="257"/>
      <c r="P12" s="257"/>
      <c r="Q12" s="257"/>
      <c r="R12" s="257"/>
      <c r="S12" s="257"/>
      <c r="T12" s="257"/>
      <c r="U12" s="257"/>
      <c r="V12" s="257"/>
      <c r="W12" s="257"/>
      <c r="X12" s="257"/>
      <c r="Y12" s="257"/>
      <c r="Z12" s="257"/>
    </row>
    <row r="13" spans="1:38" s="2" customFormat="1" ht="22.95" customHeight="1" x14ac:dyDescent="0.3">
      <c r="B13" s="256" t="s">
        <v>900</v>
      </c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68"/>
      <c r="S13" s="268"/>
      <c r="T13" s="268"/>
      <c r="U13" s="268"/>
      <c r="V13" s="268"/>
      <c r="W13" s="268"/>
      <c r="X13" s="268"/>
      <c r="Y13" s="268"/>
      <c r="Z13" s="268"/>
    </row>
    <row r="14" spans="1:38" s="2" customFormat="1" ht="22.95" customHeight="1" x14ac:dyDescent="0.3">
      <c r="B14" s="256" t="s">
        <v>901</v>
      </c>
      <c r="C14" s="268"/>
      <c r="D14" s="268"/>
      <c r="E14" s="268"/>
      <c r="F14" s="268"/>
      <c r="G14" s="268"/>
      <c r="H14" s="268"/>
      <c r="I14" s="268"/>
      <c r="J14" s="268"/>
      <c r="K14" s="268"/>
      <c r="L14" s="268"/>
      <c r="M14" s="268"/>
      <c r="N14" s="268"/>
      <c r="O14" s="268"/>
      <c r="P14" s="268"/>
      <c r="Q14" s="268"/>
      <c r="R14" s="268"/>
      <c r="S14" s="268"/>
      <c r="T14" s="268"/>
      <c r="U14" s="268"/>
      <c r="V14" s="268"/>
      <c r="W14" s="268"/>
      <c r="X14" s="268"/>
      <c r="Y14" s="268"/>
      <c r="Z14" s="268"/>
    </row>
    <row r="15" spans="1:38" s="2" customFormat="1" ht="22.95" customHeight="1" x14ac:dyDescent="0.3">
      <c r="B15" s="256" t="s">
        <v>902</v>
      </c>
      <c r="C15" s="269"/>
      <c r="D15" s="269"/>
      <c r="E15" s="269"/>
      <c r="F15" s="269"/>
      <c r="G15" s="269"/>
      <c r="H15" s="269"/>
      <c r="I15" s="269"/>
      <c r="J15" s="269"/>
      <c r="K15" s="269"/>
      <c r="L15" s="269"/>
      <c r="M15" s="269"/>
      <c r="N15" s="269"/>
      <c r="O15" s="269"/>
      <c r="P15" s="269"/>
      <c r="Q15" s="269"/>
      <c r="R15" s="269"/>
      <c r="S15" s="269"/>
      <c r="T15" s="269"/>
      <c r="U15" s="269"/>
      <c r="V15" s="269"/>
      <c r="W15" s="269"/>
      <c r="X15" s="269"/>
      <c r="Y15" s="269"/>
      <c r="Z15" s="269"/>
    </row>
    <row r="16" spans="1:38" s="2" customFormat="1" ht="22.95" customHeight="1" x14ac:dyDescent="0.3">
      <c r="B16" s="256" t="s">
        <v>903</v>
      </c>
      <c r="C16" s="269"/>
      <c r="D16" s="269"/>
      <c r="E16" s="269">
        <v>4</v>
      </c>
      <c r="F16" s="269"/>
      <c r="G16" s="269">
        <v>4</v>
      </c>
      <c r="H16" s="269"/>
      <c r="I16" s="269">
        <v>4</v>
      </c>
      <c r="J16" s="269"/>
      <c r="K16" s="269">
        <v>4</v>
      </c>
      <c r="L16" s="269"/>
      <c r="M16" s="269">
        <v>4</v>
      </c>
      <c r="N16" s="269"/>
      <c r="O16" s="269">
        <v>4</v>
      </c>
      <c r="P16" s="269"/>
      <c r="Q16" s="269">
        <v>4</v>
      </c>
      <c r="R16" s="269"/>
      <c r="S16" s="269">
        <v>4</v>
      </c>
      <c r="T16" s="269"/>
      <c r="U16" s="269">
        <v>4</v>
      </c>
      <c r="V16" s="269"/>
      <c r="W16" s="269">
        <v>4</v>
      </c>
      <c r="X16" s="269"/>
      <c r="Y16" s="269">
        <v>4</v>
      </c>
      <c r="Z16" s="269"/>
    </row>
    <row r="17" spans="2:26" s="253" customFormat="1" ht="7.95" customHeight="1" x14ac:dyDescent="0.3">
      <c r="C17" s="255"/>
      <c r="D17" s="255"/>
      <c r="E17" s="255"/>
      <c r="F17" s="255"/>
      <c r="G17" s="255"/>
      <c r="H17" s="255"/>
      <c r="I17" s="255"/>
      <c r="J17" s="255"/>
      <c r="K17" s="255"/>
      <c r="L17" s="255"/>
      <c r="M17" s="255"/>
      <c r="N17" s="255"/>
      <c r="O17" s="255"/>
      <c r="P17" s="255"/>
      <c r="Q17" s="255"/>
      <c r="R17" s="255"/>
      <c r="S17" s="255"/>
      <c r="T17" s="255"/>
      <c r="U17" s="255"/>
      <c r="V17" s="255"/>
      <c r="W17" s="255"/>
      <c r="X17" s="255"/>
      <c r="Y17" s="255"/>
      <c r="Z17" s="255"/>
    </row>
    <row r="18" spans="2:26" s="2" customFormat="1" ht="22.95" customHeight="1" x14ac:dyDescent="0.3">
      <c r="B18" s="256" t="s">
        <v>904</v>
      </c>
      <c r="C18" s="256">
        <f>C8-C10-C11-C12-C15-C16-C13</f>
        <v>26</v>
      </c>
      <c r="D18" s="256">
        <f t="shared" ref="D18:Z18" si="26">D8-D10-D11-D12-D15-D16-D13</f>
        <v>24</v>
      </c>
      <c r="E18" s="256">
        <f t="shared" si="26"/>
        <v>21</v>
      </c>
      <c r="F18" s="256">
        <f t="shared" si="26"/>
        <v>26</v>
      </c>
      <c r="G18" s="256">
        <f t="shared" si="26"/>
        <v>21</v>
      </c>
      <c r="H18" s="256">
        <f t="shared" si="26"/>
        <v>25</v>
      </c>
      <c r="I18" s="256">
        <f t="shared" si="26"/>
        <v>23</v>
      </c>
      <c r="J18" s="256">
        <f t="shared" si="26"/>
        <v>27</v>
      </c>
      <c r="K18" s="256">
        <f t="shared" si="26"/>
        <v>20</v>
      </c>
      <c r="L18" s="256">
        <f t="shared" si="26"/>
        <v>26</v>
      </c>
      <c r="M18" s="256">
        <f t="shared" si="26"/>
        <v>19</v>
      </c>
      <c r="N18" s="256">
        <f t="shared" si="26"/>
        <v>25</v>
      </c>
      <c r="O18" s="256">
        <f t="shared" si="26"/>
        <v>22</v>
      </c>
      <c r="P18" s="256">
        <f t="shared" si="26"/>
        <v>24</v>
      </c>
      <c r="Q18" s="256">
        <f t="shared" si="26"/>
        <v>21</v>
      </c>
      <c r="R18" s="256">
        <f t="shared" si="26"/>
        <v>24</v>
      </c>
      <c r="S18" s="256">
        <f t="shared" si="26"/>
        <v>22</v>
      </c>
      <c r="T18" s="256">
        <f t="shared" si="26"/>
        <v>24</v>
      </c>
      <c r="U18" s="256">
        <f t="shared" si="26"/>
        <v>23</v>
      </c>
      <c r="V18" s="256">
        <f t="shared" si="26"/>
        <v>26</v>
      </c>
      <c r="W18" s="256">
        <f t="shared" si="26"/>
        <v>22</v>
      </c>
      <c r="X18" s="256">
        <f t="shared" si="26"/>
        <v>27</v>
      </c>
      <c r="Y18" s="256">
        <f t="shared" si="26"/>
        <v>19</v>
      </c>
      <c r="Z18" s="256">
        <f t="shared" si="26"/>
        <v>26</v>
      </c>
    </row>
    <row r="19" spans="2:26" ht="7.95" customHeight="1" x14ac:dyDescent="0.3"/>
    <row r="20" spans="2:26" ht="22.95" customHeight="1" x14ac:dyDescent="0.3">
      <c r="B20" s="256" t="s">
        <v>905</v>
      </c>
      <c r="C20" s="259">
        <f>SUMPRODUCT(C18:Z18,C6:Z6)/SUM(C6:Z6)</f>
        <v>23.583333333333332</v>
      </c>
    </row>
    <row r="21" spans="2:26" ht="22.95" customHeight="1" thickBot="1" x14ac:dyDescent="0.35">
      <c r="B21" s="256" t="s">
        <v>906</v>
      </c>
      <c r="C21" s="259">
        <f>C20*8-SUMPRODUCT(C9:Z9,C6:Z6)/SUM(C6:Z6)*4</f>
        <v>171.33333333333331</v>
      </c>
    </row>
    <row r="22" spans="2:26" ht="22.95" customHeight="1" thickBot="1" x14ac:dyDescent="0.35">
      <c r="B22" s="256" t="s">
        <v>907</v>
      </c>
      <c r="C22" s="259">
        <f>(C20-SUMPRODUCT(C6:Z6,C9:Z9)/SUM(C6:Z6))*F22+SUMPRODUCT(C6:Z6,C9:Z9)/SUM(C6:Z6)*H22</f>
        <v>64.5</v>
      </c>
      <c r="D22" s="22"/>
      <c r="E22" s="270" t="s">
        <v>908</v>
      </c>
      <c r="F22" s="264">
        <v>2</v>
      </c>
      <c r="G22" s="270" t="s">
        <v>909</v>
      </c>
      <c r="H22" s="264">
        <v>6</v>
      </c>
    </row>
    <row r="23" spans="2:26" ht="22.95" customHeight="1" x14ac:dyDescent="0.3">
      <c r="B23" s="2"/>
    </row>
    <row r="24" spans="2:26" ht="22.95" customHeight="1" x14ac:dyDescent="0.3">
      <c r="B24" s="2"/>
    </row>
    <row r="25" spans="2:26" ht="22.95" customHeight="1" x14ac:dyDescent="0.3">
      <c r="B25" s="2"/>
    </row>
    <row r="26" spans="2:26" ht="22.95" customHeight="1" x14ac:dyDescent="0.3">
      <c r="B26" s="2"/>
    </row>
    <row r="27" spans="2:26" ht="22.95" customHeight="1" x14ac:dyDescent="0.3"/>
    <row r="28" spans="2:26" ht="22.95" customHeight="1" x14ac:dyDescent="0.3">
      <c r="B28" s="265" t="s">
        <v>910</v>
      </c>
      <c r="C28" s="266"/>
    </row>
    <row r="29" spans="2:26" ht="22.95" customHeight="1" x14ac:dyDescent="0.3">
      <c r="B29" s="267">
        <v>44197</v>
      </c>
      <c r="C29" s="266" t="s">
        <v>911</v>
      </c>
    </row>
    <row r="30" spans="2:26" ht="22.95" customHeight="1" x14ac:dyDescent="0.3">
      <c r="B30" s="267">
        <v>44243</v>
      </c>
      <c r="C30" s="266" t="s">
        <v>912</v>
      </c>
    </row>
    <row r="31" spans="2:26" ht="22.95" customHeight="1" x14ac:dyDescent="0.3">
      <c r="B31" s="267">
        <v>44288</v>
      </c>
      <c r="C31" s="266" t="s">
        <v>913</v>
      </c>
    </row>
    <row r="32" spans="2:26" ht="22.95" customHeight="1" x14ac:dyDescent="0.3">
      <c r="B32" s="267">
        <v>44307</v>
      </c>
      <c r="C32" s="266" t="s">
        <v>914</v>
      </c>
    </row>
    <row r="33" spans="2:3" ht="22.95" customHeight="1" x14ac:dyDescent="0.3">
      <c r="B33" s="267">
        <v>44317</v>
      </c>
      <c r="C33" s="266" t="s">
        <v>915</v>
      </c>
    </row>
    <row r="34" spans="2:3" ht="22.95" customHeight="1" x14ac:dyDescent="0.3">
      <c r="B34" s="267">
        <v>44350</v>
      </c>
      <c r="C34" s="266" t="s">
        <v>916</v>
      </c>
    </row>
    <row r="35" spans="2:3" ht="22.95" customHeight="1" x14ac:dyDescent="0.3">
      <c r="B35" s="267">
        <v>44446</v>
      </c>
      <c r="C35" s="266" t="s">
        <v>917</v>
      </c>
    </row>
    <row r="36" spans="2:3" ht="22.95" customHeight="1" x14ac:dyDescent="0.3">
      <c r="B36" s="267">
        <v>44481</v>
      </c>
      <c r="C36" s="266" t="s">
        <v>918</v>
      </c>
    </row>
    <row r="37" spans="2:3" ht="22.95" customHeight="1" x14ac:dyDescent="0.3">
      <c r="B37" s="267">
        <v>44502</v>
      </c>
      <c r="C37" s="266" t="s">
        <v>919</v>
      </c>
    </row>
    <row r="38" spans="2:3" ht="22.95" customHeight="1" x14ac:dyDescent="0.3">
      <c r="B38" s="267">
        <v>44515</v>
      </c>
      <c r="C38" s="266" t="s">
        <v>920</v>
      </c>
    </row>
    <row r="39" spans="2:3" ht="22.95" customHeight="1" x14ac:dyDescent="0.3">
      <c r="B39" s="267">
        <v>44555</v>
      </c>
      <c r="C39" s="266" t="s">
        <v>921</v>
      </c>
    </row>
    <row r="40" spans="2:3" ht="22.95" customHeight="1" x14ac:dyDescent="0.3">
      <c r="B40" s="267">
        <v>44562</v>
      </c>
      <c r="C40" s="266" t="s">
        <v>911</v>
      </c>
    </row>
    <row r="41" spans="2:3" ht="22.95" customHeight="1" x14ac:dyDescent="0.3">
      <c r="B41" s="267">
        <v>44621</v>
      </c>
      <c r="C41" s="266" t="s">
        <v>912</v>
      </c>
    </row>
    <row r="42" spans="2:3" ht="22.95" customHeight="1" x14ac:dyDescent="0.3">
      <c r="B42" s="267">
        <v>44666</v>
      </c>
      <c r="C42" s="266" t="s">
        <v>913</v>
      </c>
    </row>
    <row r="43" spans="2:3" ht="22.95" customHeight="1" x14ac:dyDescent="0.3">
      <c r="B43" s="267">
        <v>44672</v>
      </c>
      <c r="C43" s="266" t="s">
        <v>914</v>
      </c>
    </row>
    <row r="44" spans="2:3" ht="22.95" customHeight="1" x14ac:dyDescent="0.3">
      <c r="B44" s="267">
        <v>44682</v>
      </c>
      <c r="C44" s="266" t="s">
        <v>915</v>
      </c>
    </row>
    <row r="45" spans="2:3" ht="22.95" customHeight="1" x14ac:dyDescent="0.3">
      <c r="B45" s="267">
        <v>44728</v>
      </c>
      <c r="C45" s="266" t="s">
        <v>916</v>
      </c>
    </row>
    <row r="46" spans="2:3" ht="22.95" customHeight="1" x14ac:dyDescent="0.3">
      <c r="B46" s="267">
        <v>44811</v>
      </c>
      <c r="C46" s="266" t="s">
        <v>917</v>
      </c>
    </row>
    <row r="47" spans="2:3" ht="22.95" customHeight="1" x14ac:dyDescent="0.3">
      <c r="B47" s="267">
        <v>44846</v>
      </c>
      <c r="C47" s="266" t="s">
        <v>918</v>
      </c>
    </row>
    <row r="48" spans="2:3" ht="22.95" customHeight="1" x14ac:dyDescent="0.3">
      <c r="B48" s="267">
        <v>44867</v>
      </c>
      <c r="C48" s="266" t="s">
        <v>919</v>
      </c>
    </row>
    <row r="49" spans="2:3" ht="22.95" customHeight="1" x14ac:dyDescent="0.3">
      <c r="B49" s="267">
        <v>44880</v>
      </c>
      <c r="C49" s="266" t="s">
        <v>920</v>
      </c>
    </row>
    <row r="50" spans="2:3" ht="22.95" customHeight="1" x14ac:dyDescent="0.3">
      <c r="B50" s="267">
        <v>44920</v>
      </c>
      <c r="C50" s="266" t="s">
        <v>921</v>
      </c>
    </row>
    <row r="51" spans="2:3" ht="22.95" customHeight="1" x14ac:dyDescent="0.3">
      <c r="B51" s="267">
        <v>44927</v>
      </c>
      <c r="C51" s="266" t="s">
        <v>911</v>
      </c>
    </row>
    <row r="52" spans="2:3" ht="22.95" customHeight="1" x14ac:dyDescent="0.3">
      <c r="B52" s="267">
        <v>44978</v>
      </c>
      <c r="C52" s="266" t="s">
        <v>912</v>
      </c>
    </row>
    <row r="53" spans="2:3" ht="22.95" customHeight="1" x14ac:dyDescent="0.3">
      <c r="B53" s="267">
        <v>45023</v>
      </c>
      <c r="C53" s="266" t="s">
        <v>913</v>
      </c>
    </row>
    <row r="54" spans="2:3" ht="22.95" customHeight="1" x14ac:dyDescent="0.3">
      <c r="B54" s="267">
        <v>45037</v>
      </c>
      <c r="C54" s="266" t="s">
        <v>914</v>
      </c>
    </row>
    <row r="55" spans="2:3" ht="22.95" customHeight="1" x14ac:dyDescent="0.3">
      <c r="B55" s="267">
        <v>45047</v>
      </c>
      <c r="C55" s="266" t="s">
        <v>915</v>
      </c>
    </row>
    <row r="56" spans="2:3" ht="22.95" customHeight="1" x14ac:dyDescent="0.3">
      <c r="B56" s="267">
        <v>45085</v>
      </c>
      <c r="C56" s="266" t="s">
        <v>916</v>
      </c>
    </row>
    <row r="57" spans="2:3" ht="22.95" customHeight="1" x14ac:dyDescent="0.3">
      <c r="B57" s="267">
        <v>45176</v>
      </c>
      <c r="C57" s="266" t="s">
        <v>917</v>
      </c>
    </row>
    <row r="58" spans="2:3" ht="22.95" customHeight="1" x14ac:dyDescent="0.3">
      <c r="B58" s="267">
        <v>45211</v>
      </c>
      <c r="C58" s="266" t="s">
        <v>918</v>
      </c>
    </row>
    <row r="59" spans="2:3" ht="22.95" customHeight="1" x14ac:dyDescent="0.3">
      <c r="B59" s="267">
        <v>45232</v>
      </c>
      <c r="C59" s="266" t="s">
        <v>919</v>
      </c>
    </row>
    <row r="60" spans="2:3" ht="22.95" customHeight="1" x14ac:dyDescent="0.3">
      <c r="B60" s="267">
        <v>45245</v>
      </c>
      <c r="C60" s="266" t="s">
        <v>920</v>
      </c>
    </row>
    <row r="61" spans="2:3" ht="22.95" customHeight="1" x14ac:dyDescent="0.3">
      <c r="B61" s="267">
        <v>45285</v>
      </c>
      <c r="C61" s="266" t="s">
        <v>921</v>
      </c>
    </row>
    <row r="62" spans="2:3" ht="22.95" customHeight="1" x14ac:dyDescent="0.3">
      <c r="B62" s="267">
        <v>45292</v>
      </c>
      <c r="C62" s="266" t="s">
        <v>911</v>
      </c>
    </row>
    <row r="63" spans="2:3" ht="22.95" customHeight="1" x14ac:dyDescent="0.3">
      <c r="B63" s="267">
        <v>45335</v>
      </c>
      <c r="C63" s="266" t="s">
        <v>912</v>
      </c>
    </row>
    <row r="64" spans="2:3" ht="22.95" customHeight="1" x14ac:dyDescent="0.3">
      <c r="B64" s="267">
        <v>45380</v>
      </c>
      <c r="C64" s="266" t="s">
        <v>913</v>
      </c>
    </row>
    <row r="65" spans="2:3" ht="22.95" customHeight="1" x14ac:dyDescent="0.3">
      <c r="B65" s="267">
        <v>45403</v>
      </c>
      <c r="C65" s="266" t="s">
        <v>914</v>
      </c>
    </row>
    <row r="66" spans="2:3" ht="22.95" customHeight="1" x14ac:dyDescent="0.3">
      <c r="B66" s="267">
        <v>45413</v>
      </c>
      <c r="C66" s="266" t="s">
        <v>915</v>
      </c>
    </row>
    <row r="67" spans="2:3" ht="22.95" customHeight="1" x14ac:dyDescent="0.3">
      <c r="B67" s="267">
        <v>45442</v>
      </c>
      <c r="C67" s="266" t="s">
        <v>916</v>
      </c>
    </row>
    <row r="68" spans="2:3" ht="22.95" customHeight="1" x14ac:dyDescent="0.3">
      <c r="B68" s="267">
        <v>45542</v>
      </c>
      <c r="C68" s="266" t="s">
        <v>917</v>
      </c>
    </row>
    <row r="69" spans="2:3" ht="22.95" customHeight="1" x14ac:dyDescent="0.3">
      <c r="B69" s="267">
        <v>45577</v>
      </c>
      <c r="C69" s="266" t="s">
        <v>918</v>
      </c>
    </row>
    <row r="70" spans="2:3" ht="22.95" customHeight="1" x14ac:dyDescent="0.3">
      <c r="B70" s="267">
        <v>45598</v>
      </c>
      <c r="C70" s="266" t="s">
        <v>919</v>
      </c>
    </row>
    <row r="71" spans="2:3" ht="22.95" customHeight="1" x14ac:dyDescent="0.3">
      <c r="B71" s="267">
        <v>45611</v>
      </c>
      <c r="C71" s="266" t="s">
        <v>920</v>
      </c>
    </row>
    <row r="72" spans="2:3" ht="22.95" customHeight="1" x14ac:dyDescent="0.3">
      <c r="B72" s="267">
        <v>45616</v>
      </c>
      <c r="C72" s="266" t="s">
        <v>922</v>
      </c>
    </row>
    <row r="73" spans="2:3" ht="22.95" customHeight="1" x14ac:dyDescent="0.3">
      <c r="B73" s="267">
        <v>45651</v>
      </c>
      <c r="C73" s="266" t="s">
        <v>921</v>
      </c>
    </row>
    <row r="74" spans="2:3" ht="22.95" customHeight="1" x14ac:dyDescent="0.3">
      <c r="B74" s="267">
        <v>45658</v>
      </c>
      <c r="C74" s="266" t="s">
        <v>911</v>
      </c>
    </row>
    <row r="75" spans="2:3" ht="22.95" customHeight="1" x14ac:dyDescent="0.3">
      <c r="B75" s="267">
        <v>45720</v>
      </c>
      <c r="C75" s="266" t="s">
        <v>912</v>
      </c>
    </row>
    <row r="76" spans="2:3" ht="22.95" customHeight="1" x14ac:dyDescent="0.3">
      <c r="B76" s="267">
        <v>45765</v>
      </c>
      <c r="C76" s="266" t="s">
        <v>913</v>
      </c>
    </row>
    <row r="77" spans="2:3" ht="22.95" customHeight="1" x14ac:dyDescent="0.3">
      <c r="B77" s="267">
        <v>45768</v>
      </c>
      <c r="C77" s="266" t="s">
        <v>914</v>
      </c>
    </row>
    <row r="78" spans="2:3" ht="22.95" customHeight="1" x14ac:dyDescent="0.3">
      <c r="B78" s="267">
        <v>45778</v>
      </c>
      <c r="C78" s="266" t="s">
        <v>915</v>
      </c>
    </row>
    <row r="79" spans="2:3" ht="22.95" customHeight="1" x14ac:dyDescent="0.3">
      <c r="B79" s="267">
        <v>45827</v>
      </c>
      <c r="C79" s="266" t="s">
        <v>916</v>
      </c>
    </row>
    <row r="80" spans="2:3" ht="22.95" customHeight="1" x14ac:dyDescent="0.3">
      <c r="B80" s="267">
        <v>45907</v>
      </c>
      <c r="C80" s="266" t="s">
        <v>917</v>
      </c>
    </row>
    <row r="81" spans="2:3" ht="22.95" customHeight="1" x14ac:dyDescent="0.3">
      <c r="B81" s="267">
        <v>45942</v>
      </c>
      <c r="C81" s="266" t="s">
        <v>918</v>
      </c>
    </row>
    <row r="82" spans="2:3" ht="22.95" customHeight="1" x14ac:dyDescent="0.3">
      <c r="B82" s="267">
        <v>45963</v>
      </c>
      <c r="C82" s="266" t="s">
        <v>919</v>
      </c>
    </row>
    <row r="83" spans="2:3" ht="22.95" customHeight="1" x14ac:dyDescent="0.3">
      <c r="B83" s="267">
        <v>45976</v>
      </c>
      <c r="C83" s="266" t="s">
        <v>920</v>
      </c>
    </row>
    <row r="84" spans="2:3" ht="22.95" customHeight="1" x14ac:dyDescent="0.3">
      <c r="B84" s="267">
        <v>45981</v>
      </c>
      <c r="C84" s="266" t="s">
        <v>922</v>
      </c>
    </row>
    <row r="85" spans="2:3" ht="22.95" customHeight="1" x14ac:dyDescent="0.3">
      <c r="B85" s="267">
        <v>46016</v>
      </c>
      <c r="C85" s="266" t="s">
        <v>921</v>
      </c>
    </row>
    <row r="86" spans="2:3" ht="22.95" customHeight="1" x14ac:dyDescent="0.3">
      <c r="B86" s="267">
        <v>46023</v>
      </c>
      <c r="C86" s="266" t="s">
        <v>911</v>
      </c>
    </row>
    <row r="87" spans="2:3" ht="22.95" customHeight="1" x14ac:dyDescent="0.3">
      <c r="B87" s="267">
        <v>46070</v>
      </c>
      <c r="C87" s="266" t="s">
        <v>912</v>
      </c>
    </row>
    <row r="88" spans="2:3" ht="22.95" customHeight="1" x14ac:dyDescent="0.3">
      <c r="B88" s="267">
        <v>46115</v>
      </c>
      <c r="C88" s="266" t="s">
        <v>913</v>
      </c>
    </row>
    <row r="89" spans="2:3" ht="22.95" customHeight="1" x14ac:dyDescent="0.3">
      <c r="B89" s="267">
        <v>46133</v>
      </c>
      <c r="C89" s="266" t="s">
        <v>914</v>
      </c>
    </row>
    <row r="90" spans="2:3" ht="22.95" customHeight="1" x14ac:dyDescent="0.3">
      <c r="B90" s="267">
        <v>46143</v>
      </c>
      <c r="C90" s="266" t="s">
        <v>915</v>
      </c>
    </row>
    <row r="91" spans="2:3" ht="22.95" customHeight="1" x14ac:dyDescent="0.3">
      <c r="B91" s="267">
        <v>46177</v>
      </c>
      <c r="C91" s="266" t="s">
        <v>916</v>
      </c>
    </row>
    <row r="92" spans="2:3" ht="22.95" customHeight="1" x14ac:dyDescent="0.3">
      <c r="B92" s="267">
        <v>46272</v>
      </c>
      <c r="C92" s="266" t="s">
        <v>917</v>
      </c>
    </row>
    <row r="93" spans="2:3" ht="22.95" customHeight="1" x14ac:dyDescent="0.3">
      <c r="B93" s="267">
        <v>46307</v>
      </c>
      <c r="C93" s="266" t="s">
        <v>918</v>
      </c>
    </row>
    <row r="94" spans="2:3" ht="22.95" customHeight="1" x14ac:dyDescent="0.3">
      <c r="B94" s="267">
        <v>46328</v>
      </c>
      <c r="C94" s="266" t="s">
        <v>919</v>
      </c>
    </row>
    <row r="95" spans="2:3" ht="22.95" customHeight="1" x14ac:dyDescent="0.3">
      <c r="B95" s="267">
        <v>46341</v>
      </c>
      <c r="C95" s="266" t="s">
        <v>920</v>
      </c>
    </row>
    <row r="96" spans="2:3" ht="22.95" customHeight="1" x14ac:dyDescent="0.3">
      <c r="B96" s="267">
        <v>46346</v>
      </c>
      <c r="C96" s="266" t="s">
        <v>922</v>
      </c>
    </row>
    <row r="97" spans="2:3" ht="22.95" customHeight="1" x14ac:dyDescent="0.3">
      <c r="B97" s="267">
        <v>46381</v>
      </c>
      <c r="C97" s="266" t="s">
        <v>921</v>
      </c>
    </row>
    <row r="98" spans="2:3" ht="22.95" customHeight="1" x14ac:dyDescent="0.3">
      <c r="B98" s="267">
        <v>46388</v>
      </c>
      <c r="C98" s="266" t="s">
        <v>911</v>
      </c>
    </row>
    <row r="99" spans="2:3" ht="22.95" customHeight="1" x14ac:dyDescent="0.3">
      <c r="B99" s="267">
        <v>46427</v>
      </c>
      <c r="C99" s="266" t="s">
        <v>912</v>
      </c>
    </row>
    <row r="100" spans="2:3" ht="22.95" customHeight="1" x14ac:dyDescent="0.3">
      <c r="B100" s="267">
        <v>46472</v>
      </c>
      <c r="C100" s="266" t="s">
        <v>913</v>
      </c>
    </row>
    <row r="101" spans="2:3" ht="22.95" customHeight="1" x14ac:dyDescent="0.3">
      <c r="B101" s="267">
        <v>46498</v>
      </c>
      <c r="C101" s="266" t="s">
        <v>914</v>
      </c>
    </row>
    <row r="102" spans="2:3" ht="22.95" customHeight="1" x14ac:dyDescent="0.3">
      <c r="B102" s="267">
        <v>46508</v>
      </c>
      <c r="C102" s="266" t="s">
        <v>915</v>
      </c>
    </row>
    <row r="103" spans="2:3" ht="22.95" customHeight="1" x14ac:dyDescent="0.3">
      <c r="B103" s="267">
        <v>46534</v>
      </c>
      <c r="C103" s="266" t="s">
        <v>916</v>
      </c>
    </row>
    <row r="104" spans="2:3" ht="22.95" customHeight="1" x14ac:dyDescent="0.3">
      <c r="B104" s="267">
        <v>46637</v>
      </c>
      <c r="C104" s="266" t="s">
        <v>917</v>
      </c>
    </row>
    <row r="105" spans="2:3" ht="22.95" customHeight="1" x14ac:dyDescent="0.3">
      <c r="B105" s="267">
        <v>46672</v>
      </c>
      <c r="C105" s="266" t="s">
        <v>918</v>
      </c>
    </row>
    <row r="106" spans="2:3" ht="22.95" customHeight="1" x14ac:dyDescent="0.3">
      <c r="B106" s="267">
        <v>46693</v>
      </c>
      <c r="C106" s="266" t="s">
        <v>919</v>
      </c>
    </row>
    <row r="107" spans="2:3" ht="22.95" customHeight="1" x14ac:dyDescent="0.3">
      <c r="B107" s="267">
        <v>46706</v>
      </c>
      <c r="C107" s="266" t="s">
        <v>920</v>
      </c>
    </row>
    <row r="108" spans="2:3" ht="22.95" customHeight="1" x14ac:dyDescent="0.3">
      <c r="B108" s="267">
        <v>46711</v>
      </c>
      <c r="C108" s="266" t="s">
        <v>922</v>
      </c>
    </row>
    <row r="109" spans="2:3" ht="22.95" customHeight="1" x14ac:dyDescent="0.3">
      <c r="B109" s="267">
        <v>46746</v>
      </c>
      <c r="C109" s="266" t="s">
        <v>921</v>
      </c>
    </row>
    <row r="110" spans="2:3" ht="22.95" customHeight="1" x14ac:dyDescent="0.3">
      <c r="B110" s="267">
        <v>46753</v>
      </c>
      <c r="C110" s="266" t="s">
        <v>911</v>
      </c>
    </row>
    <row r="111" spans="2:3" ht="22.95" customHeight="1" x14ac:dyDescent="0.3">
      <c r="B111" s="267">
        <v>46812</v>
      </c>
      <c r="C111" s="266" t="s">
        <v>912</v>
      </c>
    </row>
    <row r="112" spans="2:3" ht="22.95" customHeight="1" x14ac:dyDescent="0.3">
      <c r="B112" s="267">
        <v>46857</v>
      </c>
      <c r="C112" s="266" t="s">
        <v>913</v>
      </c>
    </row>
    <row r="113" spans="2:3" ht="22.95" customHeight="1" x14ac:dyDescent="0.3">
      <c r="B113" s="267">
        <v>46864</v>
      </c>
      <c r="C113" s="266" t="s">
        <v>914</v>
      </c>
    </row>
    <row r="114" spans="2:3" ht="22.95" customHeight="1" x14ac:dyDescent="0.3">
      <c r="B114" s="267">
        <v>46874</v>
      </c>
      <c r="C114" s="266" t="s">
        <v>915</v>
      </c>
    </row>
    <row r="115" spans="2:3" ht="22.95" customHeight="1" x14ac:dyDescent="0.3">
      <c r="B115" s="267">
        <v>46919</v>
      </c>
      <c r="C115" s="266" t="s">
        <v>916</v>
      </c>
    </row>
    <row r="116" spans="2:3" ht="22.95" customHeight="1" x14ac:dyDescent="0.3">
      <c r="B116" s="267">
        <v>47003</v>
      </c>
      <c r="C116" s="266" t="s">
        <v>917</v>
      </c>
    </row>
    <row r="117" spans="2:3" ht="22.95" customHeight="1" x14ac:dyDescent="0.3">
      <c r="B117" s="267">
        <v>47038</v>
      </c>
      <c r="C117" s="266" t="s">
        <v>918</v>
      </c>
    </row>
    <row r="118" spans="2:3" ht="22.95" customHeight="1" x14ac:dyDescent="0.3">
      <c r="B118" s="267">
        <v>47059</v>
      </c>
      <c r="C118" s="266" t="s">
        <v>919</v>
      </c>
    </row>
    <row r="119" spans="2:3" ht="22.95" customHeight="1" x14ac:dyDescent="0.3">
      <c r="B119" s="267">
        <v>47072</v>
      </c>
      <c r="C119" s="266" t="s">
        <v>920</v>
      </c>
    </row>
    <row r="120" spans="2:3" ht="22.95" customHeight="1" x14ac:dyDescent="0.3">
      <c r="B120" s="267">
        <v>47077</v>
      </c>
      <c r="C120" s="266" t="s">
        <v>922</v>
      </c>
    </row>
    <row r="121" spans="2:3" ht="22.95" customHeight="1" x14ac:dyDescent="0.3">
      <c r="B121" s="267">
        <v>47112</v>
      </c>
      <c r="C121" s="266" t="s">
        <v>921</v>
      </c>
    </row>
    <row r="122" spans="2:3" ht="22.95" customHeight="1" x14ac:dyDescent="0.3">
      <c r="B122" s="267">
        <v>47119</v>
      </c>
      <c r="C122" s="266" t="s">
        <v>911</v>
      </c>
    </row>
    <row r="123" spans="2:3" ht="22.95" customHeight="1" x14ac:dyDescent="0.3">
      <c r="B123" s="267">
        <v>47162</v>
      </c>
      <c r="C123" s="266" t="s">
        <v>912</v>
      </c>
    </row>
    <row r="124" spans="2:3" ht="22.95" customHeight="1" x14ac:dyDescent="0.3">
      <c r="B124" s="267">
        <v>47207</v>
      </c>
      <c r="C124" s="266" t="s">
        <v>913</v>
      </c>
    </row>
    <row r="125" spans="2:3" ht="22.95" customHeight="1" x14ac:dyDescent="0.3">
      <c r="B125" s="267">
        <v>47229</v>
      </c>
      <c r="C125" s="266" t="s">
        <v>914</v>
      </c>
    </row>
    <row r="126" spans="2:3" ht="22.95" customHeight="1" x14ac:dyDescent="0.3">
      <c r="B126" s="267">
        <v>47239</v>
      </c>
      <c r="C126" s="266" t="s">
        <v>915</v>
      </c>
    </row>
    <row r="127" spans="2:3" ht="22.95" customHeight="1" x14ac:dyDescent="0.3">
      <c r="B127" s="267">
        <v>47269</v>
      </c>
      <c r="C127" s="266" t="s">
        <v>916</v>
      </c>
    </row>
    <row r="128" spans="2:3" ht="22.95" customHeight="1" x14ac:dyDescent="0.3">
      <c r="B128" s="267">
        <v>47368</v>
      </c>
      <c r="C128" s="266" t="s">
        <v>917</v>
      </c>
    </row>
    <row r="129" spans="2:3" ht="22.95" customHeight="1" x14ac:dyDescent="0.3">
      <c r="B129" s="267">
        <v>47403</v>
      </c>
      <c r="C129" s="266" t="s">
        <v>918</v>
      </c>
    </row>
    <row r="130" spans="2:3" ht="22.95" customHeight="1" x14ac:dyDescent="0.3">
      <c r="B130" s="267">
        <v>47424</v>
      </c>
      <c r="C130" s="266" t="s">
        <v>919</v>
      </c>
    </row>
    <row r="131" spans="2:3" ht="22.95" customHeight="1" x14ac:dyDescent="0.3">
      <c r="B131" s="267">
        <v>47437</v>
      </c>
      <c r="C131" s="266" t="s">
        <v>920</v>
      </c>
    </row>
    <row r="132" spans="2:3" ht="22.95" customHeight="1" x14ac:dyDescent="0.3">
      <c r="B132" s="267">
        <v>47442</v>
      </c>
      <c r="C132" s="266" t="s">
        <v>922</v>
      </c>
    </row>
    <row r="133" spans="2:3" ht="22.95" customHeight="1" x14ac:dyDescent="0.3">
      <c r="B133" s="267">
        <v>47477</v>
      </c>
      <c r="C133" s="266" t="s">
        <v>921</v>
      </c>
    </row>
    <row r="134" spans="2:3" ht="22.95" customHeight="1" x14ac:dyDescent="0.3">
      <c r="B134" s="267">
        <v>47484</v>
      </c>
      <c r="C134" s="266" t="s">
        <v>911</v>
      </c>
    </row>
    <row r="135" spans="2:3" ht="22.95" customHeight="1" x14ac:dyDescent="0.3">
      <c r="B135" s="267">
        <v>47547</v>
      </c>
      <c r="C135" s="266" t="s">
        <v>912</v>
      </c>
    </row>
    <row r="136" spans="2:3" ht="22.95" customHeight="1" x14ac:dyDescent="0.3">
      <c r="B136" s="267">
        <v>47592</v>
      </c>
      <c r="C136" s="266" t="s">
        <v>913</v>
      </c>
    </row>
    <row r="137" spans="2:3" ht="22.95" customHeight="1" x14ac:dyDescent="0.3">
      <c r="B137" s="267">
        <v>47594</v>
      </c>
      <c r="C137" s="266" t="s">
        <v>914</v>
      </c>
    </row>
    <row r="138" spans="2:3" ht="22.95" customHeight="1" x14ac:dyDescent="0.3">
      <c r="B138" s="267">
        <v>47604</v>
      </c>
      <c r="C138" s="266" t="s">
        <v>915</v>
      </c>
    </row>
    <row r="139" spans="2:3" ht="22.95" customHeight="1" x14ac:dyDescent="0.3">
      <c r="B139" s="267">
        <v>47654</v>
      </c>
      <c r="C139" s="266" t="s">
        <v>916</v>
      </c>
    </row>
    <row r="140" spans="2:3" ht="22.95" customHeight="1" x14ac:dyDescent="0.3">
      <c r="B140" s="267">
        <v>47733</v>
      </c>
      <c r="C140" s="266" t="s">
        <v>917</v>
      </c>
    </row>
    <row r="141" spans="2:3" ht="22.95" customHeight="1" x14ac:dyDescent="0.3">
      <c r="B141" s="267">
        <v>47768</v>
      </c>
      <c r="C141" s="266" t="s">
        <v>918</v>
      </c>
    </row>
    <row r="142" spans="2:3" ht="22.95" customHeight="1" x14ac:dyDescent="0.3">
      <c r="B142" s="267">
        <v>47789</v>
      </c>
      <c r="C142" s="266" t="s">
        <v>919</v>
      </c>
    </row>
    <row r="143" spans="2:3" ht="22.95" customHeight="1" x14ac:dyDescent="0.3">
      <c r="B143" s="267">
        <v>47802</v>
      </c>
      <c r="C143" s="266" t="s">
        <v>920</v>
      </c>
    </row>
    <row r="144" spans="2:3" ht="22.95" customHeight="1" x14ac:dyDescent="0.3">
      <c r="B144" s="267">
        <v>47807</v>
      </c>
      <c r="C144" s="266" t="s">
        <v>922</v>
      </c>
    </row>
    <row r="145" spans="2:3" ht="22.95" customHeight="1" x14ac:dyDescent="0.3">
      <c r="B145" s="267">
        <v>47842</v>
      </c>
      <c r="C145" s="266" t="s">
        <v>921</v>
      </c>
    </row>
    <row r="146" spans="2:3" ht="22.95" customHeight="1" x14ac:dyDescent="0.3">
      <c r="B146" s="267">
        <v>47849</v>
      </c>
      <c r="C146" s="266" t="s">
        <v>911</v>
      </c>
    </row>
    <row r="147" spans="2:3" ht="22.95" customHeight="1" x14ac:dyDescent="0.3">
      <c r="B147" s="267">
        <v>47904</v>
      </c>
      <c r="C147" s="266" t="s">
        <v>912</v>
      </c>
    </row>
    <row r="148" spans="2:3" ht="22.95" customHeight="1" x14ac:dyDescent="0.3">
      <c r="B148" s="267">
        <v>47949</v>
      </c>
      <c r="C148" s="266" t="s">
        <v>913</v>
      </c>
    </row>
    <row r="149" spans="2:3" ht="22.95" customHeight="1" x14ac:dyDescent="0.3">
      <c r="B149" s="267">
        <v>47959</v>
      </c>
      <c r="C149" s="266" t="s">
        <v>914</v>
      </c>
    </row>
    <row r="150" spans="2:3" ht="22.95" customHeight="1" x14ac:dyDescent="0.3">
      <c r="B150" s="267">
        <v>47969</v>
      </c>
      <c r="C150" s="266" t="s">
        <v>915</v>
      </c>
    </row>
    <row r="151" spans="2:3" ht="22.95" customHeight="1" x14ac:dyDescent="0.3">
      <c r="B151" s="267">
        <v>48011</v>
      </c>
      <c r="C151" s="266" t="s">
        <v>916</v>
      </c>
    </row>
    <row r="152" spans="2:3" ht="22.95" customHeight="1" x14ac:dyDescent="0.3">
      <c r="B152" s="267">
        <v>48098</v>
      </c>
      <c r="C152" s="266" t="s">
        <v>917</v>
      </c>
    </row>
    <row r="153" spans="2:3" ht="22.95" customHeight="1" x14ac:dyDescent="0.3">
      <c r="B153" s="267">
        <v>48133</v>
      </c>
      <c r="C153" s="266" t="s">
        <v>918</v>
      </c>
    </row>
    <row r="154" spans="2:3" ht="22.95" customHeight="1" x14ac:dyDescent="0.3">
      <c r="B154" s="267">
        <v>48154</v>
      </c>
      <c r="C154" s="266" t="s">
        <v>919</v>
      </c>
    </row>
    <row r="155" spans="2:3" ht="22.95" customHeight="1" x14ac:dyDescent="0.3">
      <c r="B155" s="267">
        <v>48167</v>
      </c>
      <c r="C155" s="266" t="s">
        <v>920</v>
      </c>
    </row>
    <row r="156" spans="2:3" ht="22.95" customHeight="1" x14ac:dyDescent="0.3">
      <c r="B156" s="267">
        <v>48172</v>
      </c>
      <c r="C156" s="266" t="s">
        <v>922</v>
      </c>
    </row>
    <row r="157" spans="2:3" ht="22.95" customHeight="1" x14ac:dyDescent="0.3">
      <c r="B157" s="267">
        <v>48207</v>
      </c>
      <c r="C157" s="266" t="s">
        <v>921</v>
      </c>
    </row>
    <row r="158" spans="2:3" ht="22.95" customHeight="1" x14ac:dyDescent="0.3">
      <c r="B158" s="267">
        <v>48214</v>
      </c>
      <c r="C158" s="266" t="s">
        <v>911</v>
      </c>
    </row>
    <row r="159" spans="2:3" ht="22.95" customHeight="1" x14ac:dyDescent="0.3">
      <c r="B159" s="267">
        <v>48254</v>
      </c>
      <c r="C159" s="266" t="s">
        <v>912</v>
      </c>
    </row>
    <row r="160" spans="2:3" ht="22.95" customHeight="1" x14ac:dyDescent="0.3">
      <c r="B160" s="267">
        <v>48299</v>
      </c>
      <c r="C160" s="266" t="s">
        <v>913</v>
      </c>
    </row>
    <row r="161" spans="2:3" ht="22.95" customHeight="1" x14ac:dyDescent="0.3">
      <c r="B161" s="267">
        <v>48325</v>
      </c>
      <c r="C161" s="266" t="s">
        <v>914</v>
      </c>
    </row>
    <row r="162" spans="2:3" ht="22.95" customHeight="1" x14ac:dyDescent="0.3">
      <c r="B162" s="267">
        <v>48335</v>
      </c>
      <c r="C162" s="266" t="s">
        <v>915</v>
      </c>
    </row>
    <row r="163" spans="2:3" ht="22.95" customHeight="1" x14ac:dyDescent="0.3">
      <c r="B163" s="267">
        <v>48361</v>
      </c>
      <c r="C163" s="266" t="s">
        <v>916</v>
      </c>
    </row>
    <row r="164" spans="2:3" ht="22.95" customHeight="1" x14ac:dyDescent="0.3">
      <c r="B164" s="267">
        <v>48464</v>
      </c>
      <c r="C164" s="266" t="s">
        <v>917</v>
      </c>
    </row>
    <row r="165" spans="2:3" ht="22.95" customHeight="1" x14ac:dyDescent="0.3">
      <c r="B165" s="267">
        <v>48499</v>
      </c>
      <c r="C165" s="266" t="s">
        <v>918</v>
      </c>
    </row>
    <row r="166" spans="2:3" ht="22.95" customHeight="1" x14ac:dyDescent="0.3">
      <c r="B166" s="267">
        <v>48520</v>
      </c>
      <c r="C166" s="266" t="s">
        <v>919</v>
      </c>
    </row>
    <row r="167" spans="2:3" ht="22.95" customHeight="1" x14ac:dyDescent="0.3">
      <c r="B167" s="267">
        <v>48533</v>
      </c>
      <c r="C167" s="266" t="s">
        <v>920</v>
      </c>
    </row>
    <row r="168" spans="2:3" ht="22.95" customHeight="1" x14ac:dyDescent="0.3">
      <c r="B168" s="267">
        <v>48538</v>
      </c>
      <c r="C168" s="266" t="s">
        <v>922</v>
      </c>
    </row>
    <row r="169" spans="2:3" ht="22.95" customHeight="1" x14ac:dyDescent="0.3">
      <c r="B169" s="267">
        <v>48573</v>
      </c>
      <c r="C169" s="266" t="s">
        <v>921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4"/>
  <dimension ref="A1:F71"/>
  <sheetViews>
    <sheetView showGridLines="0" showRowColHeaders="0" zoomScale="115" zoomScaleNormal="115" workbookViewId="0"/>
  </sheetViews>
  <sheetFormatPr defaultRowHeight="14.4" x14ac:dyDescent="0.3"/>
  <cols>
    <col min="1" max="1" width="46.109375" bestFit="1" customWidth="1"/>
    <col min="2" max="2" width="46.109375" customWidth="1"/>
    <col min="3" max="3" width="33" bestFit="1" customWidth="1"/>
    <col min="4" max="4" width="33" customWidth="1"/>
  </cols>
  <sheetData>
    <row r="1" spans="1:6" x14ac:dyDescent="0.3">
      <c r="A1" s="76" t="s">
        <v>923</v>
      </c>
      <c r="B1" s="76" t="s">
        <v>924</v>
      </c>
      <c r="C1" s="76" t="s">
        <v>600</v>
      </c>
      <c r="D1" s="76" t="s">
        <v>925</v>
      </c>
      <c r="E1" s="76" t="s">
        <v>690</v>
      </c>
      <c r="F1" s="77" t="s">
        <v>926</v>
      </c>
    </row>
    <row r="2" spans="1:6" x14ac:dyDescent="0.3">
      <c r="A2" s="3" t="s">
        <v>617</v>
      </c>
      <c r="B2" s="3" t="str">
        <f>IF(Tabela1[[#This Row],[SERVICO]]=Tabela1[[#This Row],[ETAPA]],Tabela1[[#This Row],[SERVICO]],RIGHT(Tabela1[[#This Row],[SERVICO]],LEN(Tabela1[[#This Row],[SERVICO]])-9))</f>
        <v>inistracao local</v>
      </c>
      <c r="C2" s="3" t="s">
        <v>927</v>
      </c>
      <c r="D2" s="3">
        <f>IF(Tabela1[[#This Row],[SERVICO]]=Tabela1[[#This Row],[ETAPA]],2,1)</f>
        <v>1</v>
      </c>
      <c r="E2" s="3" t="s">
        <v>194</v>
      </c>
      <c r="F2" s="3"/>
    </row>
    <row r="3" spans="1:6" x14ac:dyDescent="0.3">
      <c r="A3" s="3" t="s">
        <v>44</v>
      </c>
      <c r="B3" s="3" t="str">
        <f>IF(Tabela1[[#This Row],[SERVICO]]=Tabela1[[#This Row],[ETAPA]],Tabela1[[#This Row],[SERVICO]],RIGHT(Tabela1[[#This Row],[SERVICO]],LEN(Tabela1[[#This Row],[SERVICO]])-9))</f>
        <v>Administracao local diversos</v>
      </c>
      <c r="C3" s="3" t="s">
        <v>927</v>
      </c>
      <c r="D3" s="3">
        <f>IF(Tabela1[[#This Row],[SERVICO]]=Tabela1[[#This Row],[ETAPA]],2,1)</f>
        <v>1</v>
      </c>
      <c r="E3" s="3" t="s">
        <v>194</v>
      </c>
      <c r="F3" s="3">
        <v>1</v>
      </c>
    </row>
    <row r="4" spans="1:6" x14ac:dyDescent="0.3">
      <c r="A4" s="3" t="s">
        <v>618</v>
      </c>
      <c r="B4" s="3" t="str">
        <f>IF(Tabela1[[#This Row],[SERVICO]]=Tabela1[[#This Row],[ETAPA]],Tabela1[[#This Row],[SERVICO]],RIGHT(Tabela1[[#This Row],[SERVICO]],LEN(Tabela1[[#This Row],[SERVICO]])-9))</f>
        <v>02 Pavimentação Urbana / Rodoviaria</v>
      </c>
      <c r="C4" s="3" t="s">
        <v>618</v>
      </c>
      <c r="D4" s="3">
        <f>IF(Tabela1[[#This Row],[SERVICO]]=Tabela1[[#This Row],[ETAPA]],2,1)</f>
        <v>2</v>
      </c>
      <c r="E4" s="3" t="s">
        <v>194</v>
      </c>
      <c r="F4" s="3"/>
    </row>
    <row r="5" spans="1:6" x14ac:dyDescent="0.3">
      <c r="A5" s="3" t="s">
        <v>619</v>
      </c>
      <c r="B5" s="3" t="str">
        <f>IF(Tabela1[[#This Row],[SERVICO]]=Tabela1[[#This Row],[ETAPA]],Tabela1[[#This Row],[SERVICO]],RIGHT(Tabela1[[#This Row],[SERVICO]],LEN(Tabela1[[#This Row],[SERVICO]])-9))</f>
        <v>02.03 Restauração</v>
      </c>
      <c r="C5" s="3" t="s">
        <v>619</v>
      </c>
      <c r="D5" s="3">
        <f>IF(Tabela1[[#This Row],[SERVICO]]=Tabela1[[#This Row],[ETAPA]],2,1)</f>
        <v>2</v>
      </c>
      <c r="E5" s="3" t="s">
        <v>194</v>
      </c>
      <c r="F5" s="3"/>
    </row>
    <row r="6" spans="1:6" x14ac:dyDescent="0.3">
      <c r="A6" s="3" t="s">
        <v>620</v>
      </c>
      <c r="B6" s="3" t="str">
        <f>IF(Tabela1[[#This Row],[SERVICO]]=Tabela1[[#This Row],[ETAPA]],Tabela1[[#This Row],[SERVICO]],RIGHT(Tabela1[[#This Row],[SERVICO]],LEN(Tabela1[[#This Row],[SERVICO]])-9))</f>
        <v>Reparos localizados profundos</v>
      </c>
      <c r="C6" s="3" t="s">
        <v>619</v>
      </c>
      <c r="D6" s="3">
        <f>IF(Tabela1[[#This Row],[SERVICO]]=Tabela1[[#This Row],[ETAPA]],2,1)</f>
        <v>1</v>
      </c>
      <c r="E6" s="3" t="s">
        <v>79</v>
      </c>
      <c r="F6" s="3"/>
    </row>
    <row r="7" spans="1:6" x14ac:dyDescent="0.3">
      <c r="A7" s="3" t="s">
        <v>621</v>
      </c>
      <c r="B7" s="3" t="str">
        <f>IF(Tabela1[[#This Row],[SERVICO]]=Tabela1[[#This Row],[ETAPA]],Tabela1[[#This Row],[SERVICO]],RIGHT(Tabela1[[#This Row],[SERVICO]],LEN(Tabela1[[#This Row],[SERVICO]])-9))</f>
        <v xml:space="preserve">Reparos localizados superficiais </v>
      </c>
      <c r="C7" s="3" t="s">
        <v>619</v>
      </c>
      <c r="D7" s="3">
        <f>IF(Tabela1[[#This Row],[SERVICO]]=Tabela1[[#This Row],[ETAPA]],2,1)</f>
        <v>1</v>
      </c>
      <c r="E7" s="3" t="s">
        <v>79</v>
      </c>
      <c r="F7" s="3"/>
    </row>
    <row r="8" spans="1:6" x14ac:dyDescent="0.3">
      <c r="A8" s="3" t="s">
        <v>622</v>
      </c>
      <c r="B8" s="3" t="str">
        <f>IF(Tabela1[[#This Row],[SERVICO]]=Tabela1[[#This Row],[ETAPA]],Tabela1[[#This Row],[SERVICO]],RIGHT(Tabela1[[#This Row],[SERVICO]],LEN(Tabela1[[#This Row],[SERVICO]])-9))</f>
        <v>Fresagem Continua</v>
      </c>
      <c r="C8" s="3" t="s">
        <v>619</v>
      </c>
      <c r="D8" s="3">
        <f>IF(Tabela1[[#This Row],[SERVICO]]=Tabela1[[#This Row],[ETAPA]],2,1)</f>
        <v>1</v>
      </c>
      <c r="E8" s="3" t="s">
        <v>79</v>
      </c>
      <c r="F8" s="3"/>
    </row>
    <row r="9" spans="1:6" x14ac:dyDescent="0.3">
      <c r="A9" s="3" t="s">
        <v>76</v>
      </c>
      <c r="B9" s="3" t="str">
        <f>IF(Tabela1[[#This Row],[SERVICO]]=Tabela1[[#This Row],[ETAPA]],Tabela1[[#This Row],[SERVICO]],RIGHT(Tabela1[[#This Row],[SERVICO]],LEN(Tabela1[[#This Row],[SERVICO]])-9))</f>
        <v>Fresagem Descontinua</v>
      </c>
      <c r="C9" s="3" t="s">
        <v>619</v>
      </c>
      <c r="D9" s="3">
        <f>IF(Tabela1[[#This Row],[SERVICO]]=Tabela1[[#This Row],[ETAPA]],2,1)</f>
        <v>1</v>
      </c>
      <c r="E9" s="3" t="s">
        <v>79</v>
      </c>
      <c r="F9" s="3">
        <v>1</v>
      </c>
    </row>
    <row r="10" spans="1:6" x14ac:dyDescent="0.3">
      <c r="A10" s="3" t="s">
        <v>623</v>
      </c>
      <c r="B10" s="3" t="str">
        <f>IF(Tabela1[[#This Row],[SERVICO]]=Tabela1[[#This Row],[ETAPA]],Tabela1[[#This Row],[SERVICO]],RIGHT(Tabela1[[#This Row],[SERVICO]],LEN(Tabela1[[#This Row],[SERVICO]])-9))</f>
        <v>Reciclagem</v>
      </c>
      <c r="C10" s="3" t="s">
        <v>619</v>
      </c>
      <c r="D10" s="3">
        <f>IF(Tabela1[[#This Row],[SERVICO]]=Tabela1[[#This Row],[ETAPA]],2,1)</f>
        <v>1</v>
      </c>
      <c r="E10" s="3" t="s">
        <v>79</v>
      </c>
      <c r="F10" s="3"/>
    </row>
    <row r="11" spans="1:6" x14ac:dyDescent="0.3">
      <c r="A11" s="3" t="s">
        <v>624</v>
      </c>
      <c r="B11" s="3" t="str">
        <f>IF(Tabela1[[#This Row],[SERVICO]]=Tabela1[[#This Row],[ETAPA]],Tabela1[[#This Row],[SERVICO]],RIGHT(Tabela1[[#This Row],[SERVICO]],LEN(Tabela1[[#This Row],[SERVICO]])-9))</f>
        <v>Base</v>
      </c>
      <c r="C11" s="3" t="s">
        <v>619</v>
      </c>
      <c r="D11" s="3">
        <f>IF(Tabela1[[#This Row],[SERVICO]]=Tabela1[[#This Row],[ETAPA]],2,1)</f>
        <v>1</v>
      </c>
      <c r="E11" s="3" t="s">
        <v>79</v>
      </c>
      <c r="F11" s="3"/>
    </row>
    <row r="12" spans="1:6" x14ac:dyDescent="0.3">
      <c r="A12" s="3" t="s">
        <v>625</v>
      </c>
      <c r="B12" s="3" t="str">
        <f>IF(Tabela1[[#This Row],[SERVICO]]=Tabela1[[#This Row],[ETAPA]],Tabela1[[#This Row],[SERVICO]],RIGHT(Tabela1[[#This Row],[SERVICO]],LEN(Tabela1[[#This Row],[SERVICO]])-9))</f>
        <v>Pré misturado a Frio - PMF</v>
      </c>
      <c r="C12" s="3" t="s">
        <v>619</v>
      </c>
      <c r="D12" s="3">
        <f>IF(Tabela1[[#This Row],[SERVICO]]=Tabela1[[#This Row],[ETAPA]],2,1)</f>
        <v>1</v>
      </c>
      <c r="E12" s="3" t="s">
        <v>79</v>
      </c>
      <c r="F12" s="3"/>
    </row>
    <row r="13" spans="1:6" x14ac:dyDescent="0.3">
      <c r="A13" s="3" t="s">
        <v>626</v>
      </c>
      <c r="B13" s="3" t="str">
        <f>IF(Tabela1[[#This Row],[SERVICO]]=Tabela1[[#This Row],[ETAPA]],Tabela1[[#This Row],[SERVICO]],RIGHT(Tabela1[[#This Row],[SERVICO]],LEN(Tabela1[[#This Row],[SERVICO]])-9))</f>
        <v>Imprimação</v>
      </c>
      <c r="C13" s="3" t="s">
        <v>619</v>
      </c>
      <c r="D13" s="3">
        <f>IF(Tabela1[[#This Row],[SERVICO]]=Tabela1[[#This Row],[ETAPA]],2,1)</f>
        <v>1</v>
      </c>
      <c r="E13" s="3" t="s">
        <v>69</v>
      </c>
      <c r="F13" s="3"/>
    </row>
    <row r="14" spans="1:6" x14ac:dyDescent="0.3">
      <c r="A14" s="3" t="s">
        <v>83</v>
      </c>
      <c r="B14" s="3" t="str">
        <f>IF(Tabela1[[#This Row],[SERVICO]]=Tabela1[[#This Row],[ETAPA]],Tabela1[[#This Row],[SERVICO]],RIGHT(Tabela1[[#This Row],[SERVICO]],LEN(Tabela1[[#This Row],[SERVICO]])-9))</f>
        <v>Pintura de Ligação</v>
      </c>
      <c r="C14" s="3" t="s">
        <v>619</v>
      </c>
      <c r="D14" s="3">
        <f>IF(Tabela1[[#This Row],[SERVICO]]=Tabela1[[#This Row],[ETAPA]],2,1)</f>
        <v>1</v>
      </c>
      <c r="E14" s="3" t="s">
        <v>69</v>
      </c>
      <c r="F14" s="3">
        <v>1</v>
      </c>
    </row>
    <row r="15" spans="1:6" x14ac:dyDescent="0.3">
      <c r="A15" s="3" t="s">
        <v>627</v>
      </c>
      <c r="B15" s="3" t="str">
        <f>IF(Tabela1[[#This Row],[SERVICO]]=Tabela1[[#This Row],[ETAPA]],Tabela1[[#This Row],[SERVICO]],RIGHT(Tabela1[[#This Row],[SERVICO]],LEN(Tabela1[[#This Row],[SERVICO]])-9))</f>
        <v>Capa - TSS</v>
      </c>
      <c r="C15" s="3" t="s">
        <v>619</v>
      </c>
      <c r="D15" s="3">
        <f>IF(Tabela1[[#This Row],[SERVICO]]=Tabela1[[#This Row],[ETAPA]],2,1)</f>
        <v>1</v>
      </c>
      <c r="E15" s="3" t="s">
        <v>69</v>
      </c>
      <c r="F15" s="3"/>
    </row>
    <row r="16" spans="1:6" x14ac:dyDescent="0.3">
      <c r="A16" s="3" t="s">
        <v>628</v>
      </c>
      <c r="B16" s="3" t="str">
        <f>IF(Tabela1[[#This Row],[SERVICO]]=Tabela1[[#This Row],[ETAPA]],Tabela1[[#This Row],[SERVICO]],RIGHT(Tabela1[[#This Row],[SERVICO]],LEN(Tabela1[[#This Row],[SERVICO]])-9))</f>
        <v>Capa - TSD</v>
      </c>
      <c r="C16" s="3" t="s">
        <v>619</v>
      </c>
      <c r="D16" s="3">
        <f>IF(Tabela1[[#This Row],[SERVICO]]=Tabela1[[#This Row],[ETAPA]],2,1)</f>
        <v>1</v>
      </c>
      <c r="E16" s="3" t="s">
        <v>69</v>
      </c>
      <c r="F16" s="3"/>
    </row>
    <row r="17" spans="1:6" x14ac:dyDescent="0.3">
      <c r="A17" s="3" t="s">
        <v>86</v>
      </c>
      <c r="B17" s="3" t="str">
        <f>IF(Tabela1[[#This Row],[SERVICO]]=Tabela1[[#This Row],[ETAPA]],Tabela1[[#This Row],[SERVICO]],RIGHT(Tabela1[[#This Row],[SERVICO]],LEN(Tabela1[[#This Row],[SERVICO]])-9))</f>
        <v>Capa - CBUQ</v>
      </c>
      <c r="C17" s="3" t="s">
        <v>619</v>
      </c>
      <c r="D17" s="3">
        <f>IF(Tabela1[[#This Row],[SERVICO]]=Tabela1[[#This Row],[ETAPA]],2,1)</f>
        <v>1</v>
      </c>
      <c r="E17" s="3" t="s">
        <v>928</v>
      </c>
      <c r="F17" s="3">
        <v>1</v>
      </c>
    </row>
    <row r="18" spans="1:6" x14ac:dyDescent="0.3">
      <c r="A18" s="3" t="s">
        <v>629</v>
      </c>
      <c r="B18" s="3" t="str">
        <f>IF(Tabela1[[#This Row],[SERVICO]]=Tabela1[[#This Row],[ETAPA]],Tabela1[[#This Row],[SERVICO]],RIGHT(Tabela1[[#This Row],[SERVICO]],LEN(Tabela1[[#This Row],[SERVICO]])-9))</f>
        <v>Capa - Concreto</v>
      </c>
      <c r="C18" s="3" t="s">
        <v>619</v>
      </c>
      <c r="D18" s="3">
        <f>IF(Tabela1[[#This Row],[SERVICO]]=Tabela1[[#This Row],[ETAPA]],2,1)</f>
        <v>1</v>
      </c>
      <c r="E18" s="3" t="s">
        <v>69</v>
      </c>
      <c r="F18" s="3"/>
    </row>
    <row r="19" spans="1:6" x14ac:dyDescent="0.3">
      <c r="A19" s="3" t="s">
        <v>80</v>
      </c>
      <c r="B19" s="3" t="str">
        <f>IF(Tabela1[[#This Row],[SERVICO]]=Tabela1[[#This Row],[ETAPA]],Tabela1[[#This Row],[SERVICO]],RIGHT(Tabela1[[#This Row],[SERVICO]],LEN(Tabela1[[#This Row],[SERVICO]])-9))</f>
        <v>Micro Revestimento</v>
      </c>
      <c r="C19" s="3" t="s">
        <v>619</v>
      </c>
      <c r="D19" s="3">
        <f>IF(Tabela1[[#This Row],[SERVICO]]=Tabela1[[#This Row],[ETAPA]],2,1)</f>
        <v>1</v>
      </c>
      <c r="E19" s="3" t="s">
        <v>69</v>
      </c>
      <c r="F19" s="3">
        <v>1</v>
      </c>
    </row>
    <row r="20" spans="1:6" x14ac:dyDescent="0.3">
      <c r="A20" s="3" t="s">
        <v>89</v>
      </c>
      <c r="B20" s="3" t="str">
        <f>IF(Tabela1[[#This Row],[SERVICO]]=Tabela1[[#This Row],[ETAPA]],Tabela1[[#This Row],[SERVICO]],RIGHT(Tabela1[[#This Row],[SERVICO]],LEN(Tabela1[[#This Row],[SERVICO]])-9))</f>
        <v>Transporte cbuq</v>
      </c>
      <c r="C20" s="3" t="s">
        <v>619</v>
      </c>
      <c r="D20" s="3">
        <f>IF(Tabela1[[#This Row],[SERVICO]]=Tabela1[[#This Row],[ETAPA]],2,1)</f>
        <v>1</v>
      </c>
      <c r="E20" s="3" t="s">
        <v>92</v>
      </c>
      <c r="F20" s="3">
        <v>1</v>
      </c>
    </row>
    <row r="21" spans="1:6" x14ac:dyDescent="0.3">
      <c r="A21" s="3" t="s">
        <v>630</v>
      </c>
      <c r="B21" s="3" t="str">
        <f>IF(Tabela1[[#This Row],[SERVICO]]=Tabela1[[#This Row],[ETAPA]],Tabela1[[#This Row],[SERVICO]],RIGHT(Tabela1[[#This Row],[SERVICO]],LEN(Tabela1[[#This Row],[SERVICO]])-9))</f>
        <v>02.04 Sinalização</v>
      </c>
      <c r="C21" s="3" t="s">
        <v>630</v>
      </c>
      <c r="D21" s="3">
        <f>IF(Tabela1[[#This Row],[SERVICO]]=Tabela1[[#This Row],[ETAPA]],2,1)</f>
        <v>2</v>
      </c>
      <c r="E21" s="3" t="s">
        <v>194</v>
      </c>
      <c r="F21" s="3"/>
    </row>
    <row r="22" spans="1:6" x14ac:dyDescent="0.3">
      <c r="A22" s="3" t="s">
        <v>66</v>
      </c>
      <c r="B22" s="3" t="str">
        <f>IF(Tabela1[[#This Row],[SERVICO]]=Tabela1[[#This Row],[ETAPA]],Tabela1[[#This Row],[SERVICO]],RIGHT(Tabela1[[#This Row],[SERVICO]],LEN(Tabela1[[#This Row],[SERVICO]])-9))</f>
        <v>Sinalização Horizontal</v>
      </c>
      <c r="C22" s="3" t="s">
        <v>630</v>
      </c>
      <c r="D22" s="3">
        <f>IF(Tabela1[[#This Row],[SERVICO]]=Tabela1[[#This Row],[ETAPA]],2,1)</f>
        <v>1</v>
      </c>
      <c r="E22" s="3" t="s">
        <v>69</v>
      </c>
      <c r="F22" s="3">
        <v>1</v>
      </c>
    </row>
    <row r="23" spans="1:6" x14ac:dyDescent="0.3">
      <c r="A23" s="3" t="s">
        <v>631</v>
      </c>
      <c r="B23" s="3" t="str">
        <f>IF(Tabela1[[#This Row],[SERVICO]]=Tabela1[[#This Row],[ETAPA]],Tabela1[[#This Row],[SERVICO]],RIGHT(Tabela1[[#This Row],[SERVICO]],LEN(Tabela1[[#This Row],[SERVICO]])-9))</f>
        <v>Sinalização Vertical</v>
      </c>
      <c r="C23" s="3" t="s">
        <v>630</v>
      </c>
      <c r="D23" s="3">
        <f>IF(Tabela1[[#This Row],[SERVICO]]=Tabela1[[#This Row],[ETAPA]],2,1)</f>
        <v>1</v>
      </c>
      <c r="E23" s="3" t="s">
        <v>69</v>
      </c>
      <c r="F23" s="3"/>
    </row>
    <row r="24" spans="1:6" x14ac:dyDescent="0.3">
      <c r="A24" s="3" t="s">
        <v>70</v>
      </c>
      <c r="B24" s="3" t="str">
        <f>IF(Tabela1[[#This Row],[SERVICO]]=Tabela1[[#This Row],[ETAPA]],Tabela1[[#This Row],[SERVICO]],RIGHT(Tabela1[[#This Row],[SERVICO]],LEN(Tabela1[[#This Row],[SERVICO]])-9))</f>
        <v>Tacha Refletiva</v>
      </c>
      <c r="C24" s="3" t="s">
        <v>630</v>
      </c>
      <c r="D24" s="3">
        <f>IF(Tabela1[[#This Row],[SERVICO]]=Tabela1[[#This Row],[ETAPA]],2,1)</f>
        <v>1</v>
      </c>
      <c r="E24" s="3" t="s">
        <v>690</v>
      </c>
      <c r="F24" s="3">
        <v>1</v>
      </c>
    </row>
    <row r="25" spans="1:6" x14ac:dyDescent="0.3">
      <c r="A25" s="3" t="s">
        <v>632</v>
      </c>
      <c r="B25" s="3" t="str">
        <f>IF(Tabela1[[#This Row],[SERVICO]]=Tabela1[[#This Row],[ETAPA]],Tabela1[[#This Row],[SERVICO]],RIGHT(Tabela1[[#This Row],[SERVICO]],LEN(Tabela1[[#This Row],[SERVICO]])-9))</f>
        <v>Defensa Metalica</v>
      </c>
      <c r="C25" s="3" t="s">
        <v>630</v>
      </c>
      <c r="D25" s="3">
        <f>IF(Tabela1[[#This Row],[SERVICO]]=Tabela1[[#This Row],[ETAPA]],2,1)</f>
        <v>1</v>
      </c>
      <c r="E25" s="3" t="s">
        <v>60</v>
      </c>
      <c r="F25" s="3"/>
    </row>
    <row r="26" spans="1:6" x14ac:dyDescent="0.3">
      <c r="A26" s="3" t="s">
        <v>633</v>
      </c>
      <c r="B26" s="3" t="str">
        <f>IF(Tabela1[[#This Row],[SERVICO]]=Tabela1[[#This Row],[ETAPA]],Tabela1[[#This Row],[SERVICO]],RIGHT(Tabela1[[#This Row],[SERVICO]],LEN(Tabela1[[#This Row],[SERVICO]])-9))</f>
        <v>Diversos SIN</v>
      </c>
      <c r="C26" s="3" t="s">
        <v>630</v>
      </c>
      <c r="D26" s="3">
        <f>IF(Tabela1[[#This Row],[SERVICO]]=Tabela1[[#This Row],[ETAPA]],2,1)</f>
        <v>1</v>
      </c>
      <c r="E26" s="3" t="s">
        <v>194</v>
      </c>
      <c r="F26" s="3"/>
    </row>
    <row r="27" spans="1:6" x14ac:dyDescent="0.3">
      <c r="A27" s="3" t="s">
        <v>634</v>
      </c>
      <c r="B27" s="3" t="str">
        <f>IF(Tabela1[[#This Row],[SERVICO]]=Tabela1[[#This Row],[ETAPA]],Tabela1[[#This Row],[SERVICO]],RIGHT(Tabela1[[#This Row],[SERVICO]],LEN(Tabela1[[#This Row],[SERVICO]])-9))</f>
        <v>02.05 Calçamento</v>
      </c>
      <c r="C27" s="3" t="s">
        <v>634</v>
      </c>
      <c r="D27" s="3">
        <f>IF(Tabela1[[#This Row],[SERVICO]]=Tabela1[[#This Row],[ETAPA]],2,1)</f>
        <v>2</v>
      </c>
      <c r="E27" s="3" t="s">
        <v>194</v>
      </c>
      <c r="F27" s="3"/>
    </row>
    <row r="28" spans="1:6" x14ac:dyDescent="0.3">
      <c r="A28" s="3" t="s">
        <v>635</v>
      </c>
      <c r="B28" s="3" t="str">
        <f>IF(Tabela1[[#This Row],[SERVICO]]=Tabela1[[#This Row],[ETAPA]],Tabela1[[#This Row],[SERVICO]],RIGHT(Tabela1[[#This Row],[SERVICO]],LEN(Tabela1[[#This Row],[SERVICO]])-9))</f>
        <v>Execução de calçada em concreto</v>
      </c>
      <c r="C28" s="3" t="s">
        <v>634</v>
      </c>
      <c r="D28" s="3">
        <f>IF(Tabela1[[#This Row],[SERVICO]]=Tabela1[[#This Row],[ETAPA]],2,1)</f>
        <v>1</v>
      </c>
      <c r="E28" s="3" t="s">
        <v>69</v>
      </c>
      <c r="F28" s="3"/>
    </row>
    <row r="29" spans="1:6" x14ac:dyDescent="0.3">
      <c r="A29" s="3" t="s">
        <v>636</v>
      </c>
      <c r="B29" s="3" t="str">
        <f>IF(Tabela1[[#This Row],[SERVICO]]=Tabela1[[#This Row],[ETAPA]],Tabela1[[#This Row],[SERVICO]],RIGHT(Tabela1[[#This Row],[SERVICO]],LEN(Tabela1[[#This Row],[SERVICO]])-9))</f>
        <v>Piso Tátil</v>
      </c>
      <c r="C29" s="3" t="s">
        <v>634</v>
      </c>
      <c r="D29" s="3">
        <f>IF(Tabela1[[#This Row],[SERVICO]]=Tabela1[[#This Row],[ETAPA]],2,1)</f>
        <v>1</v>
      </c>
      <c r="E29" s="3" t="s">
        <v>69</v>
      </c>
      <c r="F29" s="3"/>
    </row>
    <row r="30" spans="1:6" x14ac:dyDescent="0.3">
      <c r="A30" s="3" t="s">
        <v>637</v>
      </c>
      <c r="B30" s="3" t="str">
        <f>IF(Tabela1[[#This Row],[SERVICO]]=Tabela1[[#This Row],[ETAPA]],Tabela1[[#This Row],[SERVICO]],RIGHT(Tabela1[[#This Row],[SERVICO]],LEN(Tabela1[[#This Row],[SERVICO]])-9))</f>
        <v>Corte e demolição de calçada</v>
      </c>
      <c r="C30" s="3" t="s">
        <v>634</v>
      </c>
      <c r="D30" s="3">
        <f>IF(Tabela1[[#This Row],[SERVICO]]=Tabela1[[#This Row],[ETAPA]],2,1)</f>
        <v>1</v>
      </c>
      <c r="E30" s="3" t="s">
        <v>69</v>
      </c>
      <c r="F30" s="3"/>
    </row>
    <row r="31" spans="1:6" x14ac:dyDescent="0.3">
      <c r="A31" s="3" t="s">
        <v>638</v>
      </c>
      <c r="B31" s="3" t="str">
        <f>IF(Tabela1[[#This Row],[SERVICO]]=Tabela1[[#This Row],[ETAPA]],Tabela1[[#This Row],[SERVICO]],RIGHT(Tabela1[[#This Row],[SERVICO]],LEN(Tabela1[[#This Row],[SERVICO]])-9))</f>
        <v>Diversos CAL</v>
      </c>
      <c r="C31" s="3" t="s">
        <v>634</v>
      </c>
      <c r="D31" s="3">
        <f>IF(Tabela1[[#This Row],[SERVICO]]=Tabela1[[#This Row],[ETAPA]],2,1)</f>
        <v>1</v>
      </c>
      <c r="E31" s="3" t="s">
        <v>194</v>
      </c>
      <c r="F31" s="3"/>
    </row>
    <row r="32" spans="1:6" x14ac:dyDescent="0.3">
      <c r="A32" s="3" t="s">
        <v>639</v>
      </c>
      <c r="B32" s="3" t="str">
        <f>IF(Tabela1[[#This Row],[SERVICO]]=Tabela1[[#This Row],[ETAPA]],Tabela1[[#This Row],[SERVICO]],RIGHT(Tabela1[[#This Row],[SERVICO]],LEN(Tabela1[[#This Row],[SERVICO]])-9))</f>
        <v>02.06 Obras Complementares</v>
      </c>
      <c r="C32" s="3" t="s">
        <v>639</v>
      </c>
      <c r="D32" s="3">
        <f>IF(Tabela1[[#This Row],[SERVICO]]=Tabela1[[#This Row],[ETAPA]],2,1)</f>
        <v>2</v>
      </c>
      <c r="E32" s="3" t="s">
        <v>194</v>
      </c>
      <c r="F32" s="3"/>
    </row>
    <row r="33" spans="1:6" x14ac:dyDescent="0.3">
      <c r="A33" s="3" t="s">
        <v>640</v>
      </c>
      <c r="B33" s="3" t="str">
        <f>IF(Tabela1[[#This Row],[SERVICO]]=Tabela1[[#This Row],[ETAPA]],Tabela1[[#This Row],[SERVICO]],RIGHT(Tabela1[[#This Row],[SERVICO]],LEN(Tabela1[[#This Row],[SERVICO]])-9))</f>
        <v>Gabião</v>
      </c>
      <c r="C33" s="3" t="s">
        <v>639</v>
      </c>
      <c r="D33" s="3">
        <f>IF(Tabela1[[#This Row],[SERVICO]]=Tabela1[[#This Row],[ETAPA]],2,1)</f>
        <v>1</v>
      </c>
      <c r="E33" s="3" t="s">
        <v>79</v>
      </c>
      <c r="F33" s="3"/>
    </row>
    <row r="34" spans="1:6" x14ac:dyDescent="0.3">
      <c r="A34" s="3" t="s">
        <v>57</v>
      </c>
      <c r="B34" s="3" t="str">
        <f>IF(Tabela1[[#This Row],[SERVICO]]=Tabela1[[#This Row],[ETAPA]],Tabela1[[#This Row],[SERVICO]],RIGHT(Tabela1[[#This Row],[SERVICO]],LEN(Tabela1[[#This Row],[SERVICO]])-9))</f>
        <v>Cerca</v>
      </c>
      <c r="C34" s="3" t="s">
        <v>639</v>
      </c>
      <c r="D34" s="3">
        <f>IF(Tabela1[[#This Row],[SERVICO]]=Tabela1[[#This Row],[ETAPA]],2,1)</f>
        <v>1</v>
      </c>
      <c r="E34" s="3" t="s">
        <v>60</v>
      </c>
      <c r="F34" s="3">
        <v>1</v>
      </c>
    </row>
    <row r="35" spans="1:6" x14ac:dyDescent="0.3">
      <c r="A35" s="3" t="s">
        <v>61</v>
      </c>
      <c r="B35" s="3" t="str">
        <f>IF(Tabela1[[#This Row],[SERVICO]]=Tabela1[[#This Row],[ETAPA]],Tabela1[[#This Row],[SERVICO]],RIGHT(Tabela1[[#This Row],[SERVICO]],LEN(Tabela1[[#This Row],[SERVICO]])-9))</f>
        <v>Recomposição cerca</v>
      </c>
      <c r="C35" s="3" t="s">
        <v>639</v>
      </c>
      <c r="D35" s="3">
        <f>IF(Tabela1[[#This Row],[SERVICO]]=Tabela1[[#This Row],[ETAPA]],2,1)</f>
        <v>1</v>
      </c>
      <c r="E35" s="3" t="s">
        <v>60</v>
      </c>
      <c r="F35" s="3">
        <v>1</v>
      </c>
    </row>
    <row r="36" spans="1:6" x14ac:dyDescent="0.3">
      <c r="A36" s="3" t="s">
        <v>641</v>
      </c>
      <c r="B36" s="3" t="str">
        <f>IF(Tabela1[[#This Row],[SERVICO]]=Tabela1[[#This Row],[ETAPA]],Tabela1[[#This Row],[SERVICO]],RIGHT(Tabela1[[#This Row],[SERVICO]],LEN(Tabela1[[#This Row],[SERVICO]])-9))</f>
        <v>Revestimento Vegetal</v>
      </c>
      <c r="C36" s="3" t="s">
        <v>639</v>
      </c>
      <c r="D36" s="3">
        <f>IF(Tabela1[[#This Row],[SERVICO]]=Tabela1[[#This Row],[ETAPA]],2,1)</f>
        <v>1</v>
      </c>
      <c r="E36" s="3" t="s">
        <v>69</v>
      </c>
      <c r="F36" s="3"/>
    </row>
    <row r="37" spans="1:6" x14ac:dyDescent="0.3">
      <c r="A37" s="3" t="s">
        <v>642</v>
      </c>
      <c r="B37" s="3" t="str">
        <f>IF(Tabela1[[#This Row],[SERVICO]]=Tabela1[[#This Row],[ETAPA]],Tabela1[[#This Row],[SERVICO]],RIGHT(Tabela1[[#This Row],[SERVICO]],LEN(Tabela1[[#This Row],[SERVICO]])-9))</f>
        <v>Conserva</v>
      </c>
      <c r="C37" s="3" t="s">
        <v>639</v>
      </c>
      <c r="D37" s="3">
        <f>IF(Tabela1[[#This Row],[SERVICO]]=Tabela1[[#This Row],[ETAPA]],2,1)</f>
        <v>1</v>
      </c>
      <c r="E37" s="3" t="s">
        <v>929</v>
      </c>
      <c r="F37" s="3">
        <v>1</v>
      </c>
    </row>
    <row r="38" spans="1:6" x14ac:dyDescent="0.3">
      <c r="A38" s="3" t="s">
        <v>643</v>
      </c>
      <c r="B38" s="3" t="str">
        <f>IF(Tabela1[[#This Row],[SERVICO]]=Tabela1[[#This Row],[ETAPA]],Tabela1[[#This Row],[SERVICO]],RIGHT(Tabela1[[#This Row],[SERVICO]],LEN(Tabela1[[#This Row],[SERVICO]])-9))</f>
        <v>02.09 Drenagem</v>
      </c>
      <c r="C38" s="3" t="s">
        <v>643</v>
      </c>
      <c r="D38" s="3">
        <f>IF(Tabela1[[#This Row],[SERVICO]]=Tabela1[[#This Row],[ETAPA]],2,1)</f>
        <v>2</v>
      </c>
      <c r="E38" s="3" t="s">
        <v>194</v>
      </c>
      <c r="F38" s="3"/>
    </row>
    <row r="39" spans="1:6" x14ac:dyDescent="0.3">
      <c r="A39" s="3" t="s">
        <v>644</v>
      </c>
      <c r="B39" s="3" t="str">
        <f>IF(Tabela1[[#This Row],[SERVICO]]=Tabela1[[#This Row],[ETAPA]],Tabela1[[#This Row],[SERVICO]],RIGHT(Tabela1[[#This Row],[SERVICO]],LEN(Tabela1[[#This Row],[SERVICO]])-9))</f>
        <v>Dreno Profundo</v>
      </c>
      <c r="C39" s="3" t="s">
        <v>643</v>
      </c>
      <c r="D39" s="3">
        <f>IF(Tabela1[[#This Row],[SERVICO]]=Tabela1[[#This Row],[ETAPA]],2,1)</f>
        <v>1</v>
      </c>
      <c r="E39" s="3" t="s">
        <v>60</v>
      </c>
      <c r="F39" s="3"/>
    </row>
    <row r="40" spans="1:6" x14ac:dyDescent="0.3">
      <c r="A40" s="3" t="s">
        <v>645</v>
      </c>
      <c r="B40" s="3" t="str">
        <f>IF(Tabela1[[#This Row],[SERVICO]]=Tabela1[[#This Row],[ETAPA]],Tabela1[[#This Row],[SERVICO]],RIGHT(Tabela1[[#This Row],[SERVICO]],LEN(Tabela1[[#This Row],[SERVICO]])-9))</f>
        <v>Calha / Sarjeta</v>
      </c>
      <c r="C40" s="3" t="s">
        <v>643</v>
      </c>
      <c r="D40" s="3">
        <f>IF(Tabela1[[#This Row],[SERVICO]]=Tabela1[[#This Row],[ETAPA]],2,1)</f>
        <v>1</v>
      </c>
      <c r="E40" s="3" t="s">
        <v>60</v>
      </c>
      <c r="F40" s="3"/>
    </row>
    <row r="41" spans="1:6" x14ac:dyDescent="0.3">
      <c r="A41" s="3" t="s">
        <v>646</v>
      </c>
      <c r="B41" s="3" t="str">
        <f>IF(Tabela1[[#This Row],[SERVICO]]=Tabela1[[#This Row],[ETAPA]],Tabela1[[#This Row],[SERVICO]],RIGHT(Tabela1[[#This Row],[SERVICO]],LEN(Tabela1[[#This Row],[SERVICO]])-9))</f>
        <v>Meio Fio</v>
      </c>
      <c r="C41" s="3" t="s">
        <v>643</v>
      </c>
      <c r="D41" s="3">
        <f>IF(Tabela1[[#This Row],[SERVICO]]=Tabela1[[#This Row],[ETAPA]],2,1)</f>
        <v>1</v>
      </c>
      <c r="E41" s="3" t="s">
        <v>60</v>
      </c>
      <c r="F41" s="3"/>
    </row>
    <row r="42" spans="1:6" x14ac:dyDescent="0.3">
      <c r="A42" s="3" t="s">
        <v>647</v>
      </c>
      <c r="B42" s="3" t="str">
        <f>IF(Tabela1[[#This Row],[SERVICO]]=Tabela1[[#This Row],[ETAPA]],Tabela1[[#This Row],[SERVICO]],RIGHT(Tabela1[[#This Row],[SERVICO]],LEN(Tabela1[[#This Row],[SERVICO]])-9))</f>
        <v>Bueiro Tubular</v>
      </c>
      <c r="C42" s="3" t="s">
        <v>643</v>
      </c>
      <c r="D42" s="3">
        <f>IF(Tabela1[[#This Row],[SERVICO]]=Tabela1[[#This Row],[ETAPA]],2,1)</f>
        <v>1</v>
      </c>
      <c r="E42" s="3" t="s">
        <v>60</v>
      </c>
      <c r="F42" s="3"/>
    </row>
    <row r="43" spans="1:6" x14ac:dyDescent="0.3">
      <c r="A43" s="3" t="s">
        <v>648</v>
      </c>
      <c r="B43" s="3" t="str">
        <f>IF(Tabela1[[#This Row],[SERVICO]]=Tabela1[[#This Row],[ETAPA]],Tabela1[[#This Row],[SERVICO]],RIGHT(Tabela1[[#This Row],[SERVICO]],LEN(Tabela1[[#This Row],[SERVICO]])-9))</f>
        <v>Bueiro Celular</v>
      </c>
      <c r="C43" s="3" t="s">
        <v>643</v>
      </c>
      <c r="D43" s="3">
        <f>IF(Tabela1[[#This Row],[SERVICO]]=Tabela1[[#This Row],[ETAPA]],2,1)</f>
        <v>1</v>
      </c>
      <c r="E43" s="3" t="s">
        <v>60</v>
      </c>
      <c r="F43" s="3"/>
    </row>
    <row r="44" spans="1:6" x14ac:dyDescent="0.3">
      <c r="A44" s="3" t="s">
        <v>649</v>
      </c>
      <c r="B44" s="3" t="str">
        <f>IF(Tabela1[[#This Row],[SERVICO]]=Tabela1[[#This Row],[ETAPA]],Tabela1[[#This Row],[SERVICO]],RIGHT(Tabela1[[#This Row],[SERVICO]],LEN(Tabela1[[#This Row],[SERVICO]])-9))</f>
        <v>Forma DRE</v>
      </c>
      <c r="C44" s="3" t="s">
        <v>643</v>
      </c>
      <c r="D44" s="3">
        <f>IF(Tabela1[[#This Row],[SERVICO]]=Tabela1[[#This Row],[ETAPA]],2,1)</f>
        <v>1</v>
      </c>
      <c r="E44" s="3" t="s">
        <v>69</v>
      </c>
      <c r="F44" s="3"/>
    </row>
    <row r="45" spans="1:6" x14ac:dyDescent="0.3">
      <c r="A45" s="3" t="s">
        <v>650</v>
      </c>
      <c r="B45" s="3" t="str">
        <f>IF(Tabela1[[#This Row],[SERVICO]]=Tabela1[[#This Row],[ETAPA]],Tabela1[[#This Row],[SERVICO]],RIGHT(Tabela1[[#This Row],[SERVICO]],LEN(Tabela1[[#This Row],[SERVICO]])-9))</f>
        <v>Aço DRE</v>
      </c>
      <c r="C45" s="3" t="s">
        <v>643</v>
      </c>
      <c r="D45" s="3">
        <f>IF(Tabela1[[#This Row],[SERVICO]]=Tabela1[[#This Row],[ETAPA]],2,1)</f>
        <v>1</v>
      </c>
      <c r="E45" s="3" t="s">
        <v>802</v>
      </c>
      <c r="F45" s="3"/>
    </row>
    <row r="46" spans="1:6" x14ac:dyDescent="0.3">
      <c r="A46" s="3" t="s">
        <v>651</v>
      </c>
      <c r="B46" s="3" t="str">
        <f>IF(Tabela1[[#This Row],[SERVICO]]=Tabela1[[#This Row],[ETAPA]],Tabela1[[#This Row],[SERVICO]],RIGHT(Tabela1[[#This Row],[SERVICO]],LEN(Tabela1[[#This Row],[SERVICO]])-9))</f>
        <v>Concreto DRE</v>
      </c>
      <c r="C46" s="3" t="s">
        <v>643</v>
      </c>
      <c r="D46" s="3">
        <f>IF(Tabela1[[#This Row],[SERVICO]]=Tabela1[[#This Row],[ETAPA]],2,1)</f>
        <v>1</v>
      </c>
      <c r="E46" s="3" t="s">
        <v>79</v>
      </c>
      <c r="F46" s="3"/>
    </row>
    <row r="47" spans="1:6" x14ac:dyDescent="0.3">
      <c r="A47" s="3" t="s">
        <v>652</v>
      </c>
      <c r="B47" s="3" t="str">
        <f>IF(Tabela1[[#This Row],[SERVICO]]=Tabela1[[#This Row],[ETAPA]],Tabela1[[#This Row],[SERVICO]],RIGHT(Tabela1[[#This Row],[SERVICO]],LEN(Tabela1[[#This Row],[SERVICO]])-9))</f>
        <v>Diversos DRE</v>
      </c>
      <c r="C47" s="3" t="s">
        <v>643</v>
      </c>
      <c r="D47" s="3">
        <f>IF(Tabela1[[#This Row],[SERVICO]]=Tabela1[[#This Row],[ETAPA]],2,1)</f>
        <v>1</v>
      </c>
      <c r="E47" s="3" t="s">
        <v>194</v>
      </c>
      <c r="F47" s="3"/>
    </row>
    <row r="48" spans="1:6" x14ac:dyDescent="0.3">
      <c r="A48" s="3" t="s">
        <v>653</v>
      </c>
      <c r="B48" s="3" t="str">
        <f>IF(Tabela1[[#This Row],[SERVICO]]=Tabela1[[#This Row],[ETAPA]],Tabela1[[#This Row],[SERVICO]],RIGHT(Tabela1[[#This Row],[SERVICO]],LEN(Tabela1[[#This Row],[SERVICO]])-9))</f>
        <v>Colchão Drenante</v>
      </c>
      <c r="C48" s="3" t="s">
        <v>643</v>
      </c>
      <c r="D48" s="3">
        <f>IF(Tabela1[[#This Row],[SERVICO]]=Tabela1[[#This Row],[ETAPA]],2,1)</f>
        <v>1</v>
      </c>
      <c r="E48" s="3" t="s">
        <v>79</v>
      </c>
      <c r="F48" s="3"/>
    </row>
    <row r="49" spans="1:6" x14ac:dyDescent="0.3">
      <c r="A49" s="319" t="s">
        <v>654</v>
      </c>
      <c r="B49" s="3" t="str">
        <f>IF(Tabela1[[#This Row],[SERVICO]]=Tabela1[[#This Row],[ETAPA]],Tabela1[[#This Row],[SERVICO]],RIGHT(Tabela1[[#This Row],[SERVICO]],LEN(Tabela1[[#This Row],[SERVICO]])-9))</f>
        <v>02.10 SAUS</v>
      </c>
      <c r="C49" s="319" t="s">
        <v>654</v>
      </c>
      <c r="D49" s="3">
        <f>IF(Tabela1[[#This Row],[SERVICO]]=Tabela1[[#This Row],[ETAPA]],2,1)</f>
        <v>2</v>
      </c>
      <c r="E49" s="3" t="s">
        <v>690</v>
      </c>
      <c r="F49" s="3">
        <v>1</v>
      </c>
    </row>
    <row r="50" spans="1:6" x14ac:dyDescent="0.3">
      <c r="A50" s="319" t="s">
        <v>655</v>
      </c>
      <c r="B50" s="3" t="str">
        <f>IF(Tabela1[[#This Row],[SERVICO]]=Tabela1[[#This Row],[ETAPA]],Tabela1[[#This Row],[SERVICO]],RIGHT(Tabela1[[#This Row],[SERVICO]],LEN(Tabela1[[#This Row],[SERVICO]])-9))</f>
        <v>Limpeza</v>
      </c>
      <c r="C50" s="319" t="s">
        <v>654</v>
      </c>
      <c r="D50" s="3">
        <f>IF(Tabela1[[#This Row],[SERVICO]]=Tabela1[[#This Row],[ETAPA]],2,1)</f>
        <v>1</v>
      </c>
      <c r="E50" s="3" t="s">
        <v>690</v>
      </c>
      <c r="F50" s="3">
        <v>1</v>
      </c>
    </row>
    <row r="51" spans="1:6" x14ac:dyDescent="0.3">
      <c r="A51" s="319" t="s">
        <v>656</v>
      </c>
      <c r="B51" s="3" t="str">
        <f>IF(Tabela1[[#This Row],[SERVICO]]=Tabela1[[#This Row],[ETAPA]],Tabela1[[#This Row],[SERVICO]],RIGHT(Tabela1[[#This Row],[SERVICO]],LEN(Tabela1[[#This Row],[SERVICO]])-9))</f>
        <v>Terraplenagem</v>
      </c>
      <c r="C51" s="319" t="s">
        <v>654</v>
      </c>
      <c r="D51" s="3">
        <f>IF(Tabela1[[#This Row],[SERVICO]]=Tabela1[[#This Row],[ETAPA]],2,1)</f>
        <v>1</v>
      </c>
      <c r="E51" s="3" t="s">
        <v>690</v>
      </c>
      <c r="F51" s="3">
        <v>1</v>
      </c>
    </row>
    <row r="52" spans="1:6" x14ac:dyDescent="0.3">
      <c r="A52" s="319" t="s">
        <v>657</v>
      </c>
      <c r="B52" s="3" t="str">
        <f>IF(Tabela1[[#This Row],[SERVICO]]=Tabela1[[#This Row],[ETAPA]],Tabela1[[#This Row],[SERVICO]],RIGHT(Tabela1[[#This Row],[SERVICO]],LEN(Tabela1[[#This Row],[SERVICO]])-9))</f>
        <v>Base</v>
      </c>
      <c r="C52" s="319" t="s">
        <v>654</v>
      </c>
      <c r="D52" s="3">
        <f>IF(Tabela1[[#This Row],[SERVICO]]=Tabela1[[#This Row],[ETAPA]],2,1)</f>
        <v>1</v>
      </c>
      <c r="E52" s="3" t="s">
        <v>690</v>
      </c>
      <c r="F52" s="3">
        <v>1</v>
      </c>
    </row>
    <row r="53" spans="1:6" x14ac:dyDescent="0.3">
      <c r="A53" s="319" t="s">
        <v>658</v>
      </c>
      <c r="B53" s="3" t="str">
        <f>IF(Tabela1[[#This Row],[SERVICO]]=Tabela1[[#This Row],[ETAPA]],Tabela1[[#This Row],[SERVICO]],RIGHT(Tabela1[[#This Row],[SERVICO]],LEN(Tabela1[[#This Row],[SERVICO]])-9))</f>
        <v>Capa SAUS</v>
      </c>
      <c r="C53" s="319" t="s">
        <v>654</v>
      </c>
      <c r="D53" s="3">
        <f>IF(Tabela1[[#This Row],[SERVICO]]=Tabela1[[#This Row],[ETAPA]],2,1)</f>
        <v>1</v>
      </c>
      <c r="E53" s="3" t="s">
        <v>690</v>
      </c>
      <c r="F53" s="3">
        <v>1</v>
      </c>
    </row>
    <row r="54" spans="1:6" x14ac:dyDescent="0.3">
      <c r="A54" s="319" t="s">
        <v>659</v>
      </c>
      <c r="B54" s="3" t="str">
        <f>IF(Tabela1[[#This Row],[SERVICO]]=Tabela1[[#This Row],[ETAPA]],Tabela1[[#This Row],[SERVICO]],RIGHT(Tabela1[[#This Row],[SERVICO]],LEN(Tabela1[[#This Row],[SERVICO]])-9))</f>
        <v>Capa Concreto</v>
      </c>
      <c r="C54" s="319" t="s">
        <v>654</v>
      </c>
      <c r="D54" s="3">
        <f>IF(Tabela1[[#This Row],[SERVICO]]=Tabela1[[#This Row],[ETAPA]],2,1)</f>
        <v>1</v>
      </c>
      <c r="E54" s="3" t="s">
        <v>690</v>
      </c>
      <c r="F54" s="3">
        <v>1</v>
      </c>
    </row>
    <row r="55" spans="1:6" x14ac:dyDescent="0.3">
      <c r="A55" s="319" t="s">
        <v>660</v>
      </c>
      <c r="B55" s="3" t="str">
        <f>IF(Tabela1[[#This Row],[SERVICO]]=Tabela1[[#This Row],[ETAPA]],Tabela1[[#This Row],[SERVICO]],RIGHT(Tabela1[[#This Row],[SERVICO]],LEN(Tabela1[[#This Row],[SERVICO]])-9))</f>
        <v>Sinalização horiz SAUS</v>
      </c>
      <c r="C55" s="319" t="s">
        <v>654</v>
      </c>
      <c r="D55" s="3">
        <f>IF(Tabela1[[#This Row],[SERVICO]]=Tabela1[[#This Row],[ETAPA]],2,1)</f>
        <v>1</v>
      </c>
      <c r="E55" s="3" t="s">
        <v>690</v>
      </c>
      <c r="F55" s="3">
        <v>1</v>
      </c>
    </row>
    <row r="56" spans="1:6" x14ac:dyDescent="0.3">
      <c r="A56" s="319" t="s">
        <v>661</v>
      </c>
      <c r="B56" s="3" t="str">
        <f>IF(Tabela1[[#This Row],[SERVICO]]=Tabela1[[#This Row],[ETAPA]],Tabela1[[#This Row],[SERVICO]],RIGHT(Tabela1[[#This Row],[SERVICO]],LEN(Tabela1[[#This Row],[SERVICO]])-9))</f>
        <v>Sinalização vertical SAUS</v>
      </c>
      <c r="C56" s="319" t="s">
        <v>654</v>
      </c>
      <c r="D56" s="3">
        <f>IF(Tabela1[[#This Row],[SERVICO]]=Tabela1[[#This Row],[ETAPA]],2,1)</f>
        <v>1</v>
      </c>
      <c r="E56" s="3" t="s">
        <v>690</v>
      </c>
      <c r="F56" s="3">
        <v>1</v>
      </c>
    </row>
    <row r="57" spans="1:6" x14ac:dyDescent="0.3">
      <c r="A57" s="3" t="s">
        <v>662</v>
      </c>
      <c r="B57" s="3" t="str">
        <f>IF(Tabela1[[#This Row],[SERVICO]]=Tabela1[[#This Row],[ETAPA]],Tabela1[[#This Row],[SERVICO]],RIGHT(Tabela1[[#This Row],[SERVICO]],LEN(Tabela1[[#This Row],[SERVICO]])-9))</f>
        <v>Defensa</v>
      </c>
      <c r="C57" s="319" t="s">
        <v>654</v>
      </c>
      <c r="D57" s="3">
        <f>IF(Tabela1[[#This Row],[SERVICO]]=Tabela1[[#This Row],[ETAPA]],2,1)</f>
        <v>1</v>
      </c>
      <c r="E57" s="3" t="s">
        <v>690</v>
      </c>
      <c r="F57" s="3">
        <v>1</v>
      </c>
    </row>
    <row r="58" spans="1:6" x14ac:dyDescent="0.3">
      <c r="A58" s="3" t="s">
        <v>663</v>
      </c>
      <c r="B58" s="3" t="str">
        <f>IF(Tabela1[[#This Row],[SERVICO]]=Tabela1[[#This Row],[ETAPA]],Tabela1[[#This Row],[SERVICO]],RIGHT(Tabela1[[#This Row],[SERVICO]],LEN(Tabela1[[#This Row],[SERVICO]])-9))</f>
        <v>Drenagem Superficial</v>
      </c>
      <c r="C58" s="319" t="s">
        <v>654</v>
      </c>
      <c r="D58" s="3">
        <f>IF(Tabela1[[#This Row],[SERVICO]]=Tabela1[[#This Row],[ETAPA]],2,1)</f>
        <v>1</v>
      </c>
      <c r="E58" s="3" t="s">
        <v>690</v>
      </c>
      <c r="F58" s="3">
        <v>1</v>
      </c>
    </row>
    <row r="59" spans="1:6" x14ac:dyDescent="0.3">
      <c r="A59" s="3" t="s">
        <v>664</v>
      </c>
      <c r="B59" s="3" t="str">
        <f>IF(Tabela1[[#This Row],[SERVICO]]=Tabela1[[#This Row],[ETAPA]],Tabela1[[#This Row],[SERVICO]],RIGHT(Tabela1[[#This Row],[SERVICO]],LEN(Tabela1[[#This Row],[SERVICO]])-9))</f>
        <v>Passeio de concreto</v>
      </c>
      <c r="C59" s="319" t="s">
        <v>654</v>
      </c>
      <c r="D59" s="3">
        <f>IF(Tabela1[[#This Row],[SERVICO]]=Tabela1[[#This Row],[ETAPA]],2,1)</f>
        <v>1</v>
      </c>
      <c r="E59" s="3" t="s">
        <v>690</v>
      </c>
      <c r="F59" s="3">
        <v>1</v>
      </c>
    </row>
    <row r="60" spans="1:6" x14ac:dyDescent="0.3">
      <c r="A60" s="3" t="s">
        <v>665</v>
      </c>
      <c r="B60" s="3" t="str">
        <f>IF(Tabela1[[#This Row],[SERVICO]]=Tabela1[[#This Row],[ETAPA]],Tabela1[[#This Row],[SERVICO]],RIGHT(Tabela1[[#This Row],[SERVICO]],LEN(Tabela1[[#This Row],[SERVICO]])-9))</f>
        <v>Grama</v>
      </c>
      <c r="C60" s="319" t="s">
        <v>654</v>
      </c>
      <c r="D60" s="3">
        <f>IF(Tabela1[[#This Row],[SERVICO]]=Tabela1[[#This Row],[ETAPA]],2,1)</f>
        <v>1</v>
      </c>
      <c r="E60" s="3" t="s">
        <v>690</v>
      </c>
      <c r="F60" s="3">
        <v>1</v>
      </c>
    </row>
    <row r="61" spans="1:6" x14ac:dyDescent="0.3">
      <c r="A61" s="3" t="s">
        <v>666</v>
      </c>
      <c r="B61" s="3" t="str">
        <f>IF(Tabela1[[#This Row],[SERVICO]]=Tabela1[[#This Row],[ETAPA]],Tabela1[[#This Row],[SERVICO]],RIGHT(Tabela1[[#This Row],[SERVICO]],LEN(Tabela1[[#This Row],[SERVICO]])-9))</f>
        <v>Iluminação de aproximação</v>
      </c>
      <c r="C61" s="319" t="s">
        <v>654</v>
      </c>
      <c r="D61" s="3">
        <f>IF(Tabela1[[#This Row],[SERVICO]]=Tabela1[[#This Row],[ETAPA]],2,1)</f>
        <v>1</v>
      </c>
      <c r="E61" s="3" t="s">
        <v>690</v>
      </c>
      <c r="F61" s="3">
        <v>1</v>
      </c>
    </row>
    <row r="62" spans="1:6" x14ac:dyDescent="0.3">
      <c r="A62" s="3" t="s">
        <v>667</v>
      </c>
      <c r="B62" s="3" t="str">
        <f>IF(Tabela1[[#This Row],[SERVICO]]=Tabela1[[#This Row],[ETAPA]],Tabela1[[#This Row],[SERVICO]],RIGHT(Tabela1[[#This Row],[SERVICO]],LEN(Tabela1[[#This Row],[SERVICO]])-9))</f>
        <v>Iluminação BSO e SAL</v>
      </c>
      <c r="C62" s="319" t="s">
        <v>654</v>
      </c>
      <c r="D62" s="3">
        <f>IF(Tabela1[[#This Row],[SERVICO]]=Tabela1[[#This Row],[ETAPA]],2,1)</f>
        <v>1</v>
      </c>
      <c r="E62" s="3" t="s">
        <v>690</v>
      </c>
      <c r="F62" s="3">
        <v>1</v>
      </c>
    </row>
    <row r="63" spans="1:6" x14ac:dyDescent="0.3">
      <c r="A63" s="3" t="s">
        <v>668</v>
      </c>
      <c r="B63" s="3" t="str">
        <f>IF(Tabela1[[#This Row],[SERVICO]]=Tabela1[[#This Row],[ETAPA]],Tabela1[[#This Row],[SERVICO]],RIGHT(Tabela1[[#This Row],[SERVICO]],LEN(Tabela1[[#This Row],[SERVICO]])-9))</f>
        <v>Alambrado</v>
      </c>
      <c r="C63" s="319" t="s">
        <v>654</v>
      </c>
      <c r="D63" s="3">
        <f>IF(Tabela1[[#This Row],[SERVICO]]=Tabela1[[#This Row],[ETAPA]],2,1)</f>
        <v>1</v>
      </c>
      <c r="E63" s="3" t="s">
        <v>690</v>
      </c>
      <c r="F63" s="3">
        <v>1</v>
      </c>
    </row>
    <row r="64" spans="1:6" x14ac:dyDescent="0.3">
      <c r="A64" s="3" t="s">
        <v>669</v>
      </c>
      <c r="B64" s="3" t="str">
        <f>IF(Tabela1[[#This Row],[SERVICO]]=Tabela1[[#This Row],[ETAPA]],Tabela1[[#This Row],[SERVICO]],RIGHT(Tabela1[[#This Row],[SERVICO]],LEN(Tabela1[[#This Row],[SERVICO]])-9))</f>
        <v>Reservatorio</v>
      </c>
      <c r="C64" s="319" t="s">
        <v>654</v>
      </c>
      <c r="D64" s="3">
        <f>IF(Tabela1[[#This Row],[SERVICO]]=Tabela1[[#This Row],[ETAPA]],2,1)</f>
        <v>1</v>
      </c>
      <c r="E64" s="3" t="s">
        <v>690</v>
      </c>
      <c r="F64" s="3">
        <v>1</v>
      </c>
    </row>
    <row r="65" spans="1:6" x14ac:dyDescent="0.3">
      <c r="A65" s="3" t="s">
        <v>670</v>
      </c>
      <c r="B65" s="3" t="str">
        <f>IF(Tabela1[[#This Row],[SERVICO]]=Tabela1[[#This Row],[ETAPA]],Tabela1[[#This Row],[SERVICO]],RIGHT(Tabela1[[#This Row],[SERVICO]],LEN(Tabela1[[#This Row],[SERVICO]])-9))</f>
        <v>Fundação estrutura metalica</v>
      </c>
      <c r="C65" s="319" t="s">
        <v>654</v>
      </c>
      <c r="D65" s="3">
        <f>IF(Tabela1[[#This Row],[SERVICO]]=Tabela1[[#This Row],[ETAPA]],2,1)</f>
        <v>1</v>
      </c>
      <c r="E65" s="3" t="s">
        <v>690</v>
      </c>
      <c r="F65" s="3">
        <v>1</v>
      </c>
    </row>
    <row r="66" spans="1:6" x14ac:dyDescent="0.3">
      <c r="A66" s="3" t="s">
        <v>671</v>
      </c>
      <c r="B66" s="3" t="str">
        <f>IF(Tabela1[[#This Row],[SERVICO]]=Tabela1[[#This Row],[ETAPA]],Tabela1[[#This Row],[SERVICO]],RIGHT(Tabela1[[#This Row],[SERVICO]],LEN(Tabela1[[#This Row],[SERVICO]])-9))</f>
        <v>Instalação estrutura metalica</v>
      </c>
      <c r="C66" s="319" t="s">
        <v>654</v>
      </c>
      <c r="D66" s="3">
        <f>IF(Tabela1[[#This Row],[SERVICO]]=Tabela1[[#This Row],[ETAPA]],2,1)</f>
        <v>1</v>
      </c>
      <c r="E66" s="3" t="s">
        <v>690</v>
      </c>
      <c r="F66" s="3">
        <v>1</v>
      </c>
    </row>
    <row r="67" spans="1:6" x14ac:dyDescent="0.3">
      <c r="A67" s="3" t="s">
        <v>672</v>
      </c>
      <c r="B67" s="3" t="str">
        <f>IF(Tabela1[[#This Row],[SERVICO]]=Tabela1[[#This Row],[ETAPA]],Tabela1[[#This Row],[SERVICO]],RIGHT(Tabela1[[#This Row],[SERVICO]],LEN(Tabela1[[#This Row],[SERVICO]])-9))</f>
        <v>99.01 Reajuste</v>
      </c>
      <c r="C67" s="3" t="s">
        <v>672</v>
      </c>
      <c r="D67" s="3">
        <f>IF(Tabela1[[#This Row],[SERVICO]]=Tabela1[[#This Row],[ETAPA]],2,1)</f>
        <v>2</v>
      </c>
      <c r="E67" s="3" t="s">
        <v>194</v>
      </c>
      <c r="F67" s="3">
        <v>1</v>
      </c>
    </row>
    <row r="68" spans="1:6" x14ac:dyDescent="0.3">
      <c r="A68" s="3" t="s">
        <v>673</v>
      </c>
      <c r="B68" s="3" t="str">
        <f>IF(Tabela1[[#This Row],[SERVICO]]=Tabela1[[#This Row],[ETAPA]],Tabela1[[#This Row],[SERVICO]],RIGHT(Tabela1[[#This Row],[SERVICO]],LEN(Tabela1[[#This Row],[SERVICO]])-9))</f>
        <v>99.02 Riscos</v>
      </c>
      <c r="C68" s="3" t="s">
        <v>673</v>
      </c>
      <c r="D68" s="3">
        <f>IF(Tabela1[[#This Row],[SERVICO]]=Tabela1[[#This Row],[ETAPA]],2,1)</f>
        <v>2</v>
      </c>
      <c r="E68" s="3" t="s">
        <v>194</v>
      </c>
      <c r="F68" s="3"/>
    </row>
    <row r="69" spans="1:6" x14ac:dyDescent="0.3">
      <c r="A69" s="3" t="s">
        <v>674</v>
      </c>
      <c r="B69" s="3" t="str">
        <f>IF(Tabela1[[#This Row],[SERVICO]]=Tabela1[[#This Row],[ETAPA]],Tabela1[[#This Row],[SERVICO]],RIGHT(Tabela1[[#This Row],[SERVICO]],LEN(Tabela1[[#This Row],[SERVICO]])-9))</f>
        <v>Riscos Materiais</v>
      </c>
      <c r="C69" s="3" t="s">
        <v>673</v>
      </c>
      <c r="D69" s="3">
        <f>IF(Tabela1[[#This Row],[SERVICO]]=Tabela1[[#This Row],[ETAPA]],2,1)</f>
        <v>1</v>
      </c>
      <c r="E69" s="3" t="s">
        <v>194</v>
      </c>
      <c r="F69" s="3"/>
    </row>
    <row r="70" spans="1:6" x14ac:dyDescent="0.3">
      <c r="A70" s="3" t="s">
        <v>675</v>
      </c>
      <c r="B70" s="3" t="str">
        <f>IF(Tabela1[[#This Row],[SERVICO]]=Tabela1[[#This Row],[ETAPA]],Tabela1[[#This Row],[SERVICO]],RIGHT(Tabela1[[#This Row],[SERVICO]],LEN(Tabela1[[#This Row],[SERVICO]])-9))</f>
        <v>Riscos Mão de Obra</v>
      </c>
      <c r="C70" s="3" t="s">
        <v>673</v>
      </c>
      <c r="D70" s="3">
        <f>IF(Tabela1[[#This Row],[SERVICO]]=Tabela1[[#This Row],[ETAPA]],2,1)</f>
        <v>1</v>
      </c>
      <c r="E70" s="3" t="s">
        <v>194</v>
      </c>
      <c r="F70" s="3"/>
    </row>
    <row r="71" spans="1:6" x14ac:dyDescent="0.3">
      <c r="A71" s="3" t="s">
        <v>676</v>
      </c>
      <c r="B71" s="3" t="str">
        <f>IF(Tabela1[[#This Row],[SERVICO]]=Tabela1[[#This Row],[ETAPA]],Tabela1[[#This Row],[SERVICO]],RIGHT(Tabela1[[#This Row],[SERVICO]],LEN(Tabela1[[#This Row],[SERVICO]])-9))</f>
        <v>99.03 Reequilíbrio</v>
      </c>
      <c r="C71" s="3" t="s">
        <v>676</v>
      </c>
      <c r="D71" s="3">
        <f>IF(Tabela1[[#This Row],[SERVICO]]=Tabela1[[#This Row],[ETAPA]],2,1)</f>
        <v>2</v>
      </c>
      <c r="E71" s="3" t="s">
        <v>194</v>
      </c>
      <c r="F71" s="3"/>
    </row>
  </sheetData>
  <conditionalFormatting sqref="F2:F71">
    <cfRule type="iconSet" priority="68">
      <iconSet iconSet="3Symbols2" showValue="0">
        <cfvo type="percent" val="0"/>
        <cfvo type="num" val="0.999"/>
        <cfvo type="num" val="1"/>
      </iconSet>
    </cfRule>
  </conditionalFormatting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3"/>
  <dimension ref="A1:U112"/>
  <sheetViews>
    <sheetView showGridLines="0" zoomScaleNormal="100" zoomScaleSheetLayoutView="100" workbookViewId="0"/>
  </sheetViews>
  <sheetFormatPr defaultRowHeight="14.4" x14ac:dyDescent="0.3"/>
  <cols>
    <col min="1" max="1" width="12.44140625" customWidth="1"/>
    <col min="2" max="2" width="46.44140625" customWidth="1"/>
    <col min="4" max="4" width="10.33203125" bestFit="1" customWidth="1"/>
    <col min="5" max="5" width="4.109375" customWidth="1"/>
    <col min="6" max="6" width="4.44140625" customWidth="1"/>
    <col min="7" max="7" width="12.6640625" style="74" customWidth="1"/>
    <col min="8" max="16" width="12.6640625" style="28" customWidth="1"/>
    <col min="17" max="17" width="12.6640625" customWidth="1"/>
    <col min="19" max="19" width="20.44140625" bestFit="1" customWidth="1"/>
    <col min="20" max="20" width="10.33203125" bestFit="1" customWidth="1"/>
  </cols>
  <sheetData>
    <row r="1" spans="1:21" x14ac:dyDescent="0.3">
      <c r="A1" t="s">
        <v>682</v>
      </c>
      <c r="B1" t="s">
        <v>930</v>
      </c>
      <c r="C1" t="s">
        <v>690</v>
      </c>
      <c r="D1" t="s">
        <v>683</v>
      </c>
      <c r="G1" s="239" t="s">
        <v>931</v>
      </c>
      <c r="H1" s="239" t="s">
        <v>932</v>
      </c>
      <c r="I1" s="239" t="s">
        <v>933</v>
      </c>
      <c r="J1" s="239" t="s">
        <v>934</v>
      </c>
      <c r="K1" s="239" t="s">
        <v>935</v>
      </c>
      <c r="L1" s="239" t="s">
        <v>936</v>
      </c>
      <c r="M1" s="239" t="s">
        <v>937</v>
      </c>
      <c r="N1" s="239" t="s">
        <v>938</v>
      </c>
      <c r="O1" s="239" t="s">
        <v>939</v>
      </c>
      <c r="P1" s="239" t="s">
        <v>940</v>
      </c>
      <c r="Q1" s="239" t="s">
        <v>941</v>
      </c>
      <c r="S1" s="241" t="s">
        <v>942</v>
      </c>
      <c r="T1" s="271">
        <v>169</v>
      </c>
    </row>
    <row r="2" spans="1:21" x14ac:dyDescent="0.3">
      <c r="A2" s="48"/>
      <c r="B2" s="49" t="s">
        <v>692</v>
      </c>
      <c r="C2" s="48"/>
      <c r="D2" s="48"/>
      <c r="E2" s="48"/>
      <c r="G2" s="240"/>
      <c r="H2" s="240"/>
      <c r="I2" s="240"/>
      <c r="J2" s="240"/>
      <c r="K2" s="240"/>
      <c r="L2" s="240"/>
      <c r="M2" s="240"/>
      <c r="N2" s="240"/>
      <c r="O2" s="240"/>
      <c r="P2" s="240"/>
      <c r="Q2" s="240"/>
      <c r="S2" s="241" t="s">
        <v>943</v>
      </c>
      <c r="T2" s="271">
        <f>Calendario!C22</f>
        <v>64.5</v>
      </c>
      <c r="U2" s="22">
        <f>T2+T1</f>
        <v>233.5</v>
      </c>
    </row>
    <row r="3" spans="1:21" x14ac:dyDescent="0.3">
      <c r="A3" t="s">
        <v>692</v>
      </c>
      <c r="B3" s="47" t="s">
        <v>944</v>
      </c>
      <c r="C3" t="s">
        <v>945</v>
      </c>
      <c r="D3" s="247">
        <v>1</v>
      </c>
      <c r="E3" s="29"/>
      <c r="G3" s="240"/>
      <c r="H3" s="240">
        <f>$T$2</f>
        <v>64.5</v>
      </c>
      <c r="I3" s="240">
        <v>0</v>
      </c>
      <c r="J3" s="240">
        <v>0</v>
      </c>
      <c r="K3" s="240">
        <v>0</v>
      </c>
      <c r="L3" s="240">
        <f t="shared" ref="L3:L21" si="0">$T$3*25+$T$4*25</f>
        <v>1550</v>
      </c>
      <c r="M3" s="240">
        <f>$T$6</f>
        <v>0</v>
      </c>
      <c r="N3" s="240">
        <f t="shared" ref="N3:N21" si="1">$T$5</f>
        <v>100</v>
      </c>
      <c r="O3" s="240">
        <f>(G3+(G3+I3+J3+K3)/220*1.5*(1+1/6)*H3+I3+J3+K3)*$T$7</f>
        <v>0</v>
      </c>
      <c r="P3" s="244">
        <f>(G3+(G3+I3+J3+K3)/220*1.5*(1+1/6)*H3+I3+J3+K3)+O3+L3+M3+N3</f>
        <v>1650</v>
      </c>
      <c r="Q3" s="244">
        <f>P3/($T$1+H3)</f>
        <v>7.0663811563169165</v>
      </c>
      <c r="R3" s="29"/>
      <c r="S3" s="241" t="s">
        <v>946</v>
      </c>
      <c r="T3" s="242">
        <f>27+8</f>
        <v>35</v>
      </c>
    </row>
    <row r="4" spans="1:21" x14ac:dyDescent="0.3">
      <c r="A4" t="s">
        <v>692</v>
      </c>
      <c r="B4" s="47" t="s">
        <v>361</v>
      </c>
      <c r="C4" t="s">
        <v>945</v>
      </c>
      <c r="D4" s="385">
        <f t="shared" ref="D4:D33" si="2">Q4</f>
        <v>26.579984100642395</v>
      </c>
      <c r="E4" s="29"/>
      <c r="G4" s="384">
        <v>1672.99</v>
      </c>
      <c r="H4" s="240">
        <f t="shared" ref="H4:H33" si="3">$T$2</f>
        <v>64.5</v>
      </c>
      <c r="I4" s="240">
        <v>0</v>
      </c>
      <c r="J4" s="240">
        <v>0</v>
      </c>
      <c r="K4" s="240">
        <v>0</v>
      </c>
      <c r="L4" s="240">
        <f t="shared" si="0"/>
        <v>1550</v>
      </c>
      <c r="M4" s="240">
        <f t="shared" ref="M4:M33" si="4">$T$6</f>
        <v>0</v>
      </c>
      <c r="N4" s="240">
        <f t="shared" si="1"/>
        <v>100</v>
      </c>
      <c r="O4" s="240">
        <f t="shared" ref="O4:O10" si="5">(G4+(G4+I4+J4+K4)/220*1.5*(1+1/6)*H4+I4+J4+K4)*$T$7</f>
        <v>2025.0783499999998</v>
      </c>
      <c r="P4" s="244">
        <f t="shared" ref="P4:P10" si="6">(G4+(G4+I4+J4+K4)/220*1.5*(1+1/6)*H4+I4+J4+K4)+O4+L4+M4+N4</f>
        <v>6206.4262874999995</v>
      </c>
      <c r="Q4" s="244">
        <f>P4/($T$1+H4)</f>
        <v>26.579984100642395</v>
      </c>
      <c r="R4" s="29"/>
      <c r="S4" s="241" t="s">
        <v>947</v>
      </c>
      <c r="T4" s="242">
        <v>27</v>
      </c>
    </row>
    <row r="5" spans="1:21" x14ac:dyDescent="0.3">
      <c r="A5" t="s">
        <v>692</v>
      </c>
      <c r="B5" s="47" t="s">
        <v>770</v>
      </c>
      <c r="C5" t="s">
        <v>945</v>
      </c>
      <c r="D5" s="29">
        <f t="shared" si="2"/>
        <v>33.958689507494654</v>
      </c>
      <c r="E5" s="29"/>
      <c r="G5" s="240">
        <v>2305.6</v>
      </c>
      <c r="H5" s="240">
        <f t="shared" si="3"/>
        <v>64.5</v>
      </c>
      <c r="I5" s="240">
        <v>0</v>
      </c>
      <c r="J5" s="240">
        <v>0</v>
      </c>
      <c r="K5" s="240">
        <v>0</v>
      </c>
      <c r="L5" s="240">
        <f t="shared" si="0"/>
        <v>1550</v>
      </c>
      <c r="M5" s="240">
        <f t="shared" si="4"/>
        <v>0</v>
      </c>
      <c r="N5" s="240">
        <f t="shared" si="1"/>
        <v>100</v>
      </c>
      <c r="O5" s="240">
        <f t="shared" si="5"/>
        <v>2790.8240000000005</v>
      </c>
      <c r="P5" s="244">
        <f t="shared" si="6"/>
        <v>7929.3540000000012</v>
      </c>
      <c r="Q5" s="244">
        <f>P5/($T$1+H5)</f>
        <v>33.958689507494654</v>
      </c>
      <c r="R5" s="29"/>
      <c r="S5" s="241" t="s">
        <v>948</v>
      </c>
      <c r="T5" s="242">
        <v>100</v>
      </c>
    </row>
    <row r="6" spans="1:21" x14ac:dyDescent="0.3">
      <c r="A6" t="s">
        <v>692</v>
      </c>
      <c r="B6" s="47" t="s">
        <v>769</v>
      </c>
      <c r="C6" t="s">
        <v>945</v>
      </c>
      <c r="D6" s="247">
        <f t="shared" si="2"/>
        <v>33.958689507494654</v>
      </c>
      <c r="E6" s="45"/>
      <c r="G6" s="240">
        <v>2305.6</v>
      </c>
      <c r="H6" s="240">
        <f t="shared" si="3"/>
        <v>64.5</v>
      </c>
      <c r="I6" s="240">
        <v>0</v>
      </c>
      <c r="J6" s="240">
        <v>0</v>
      </c>
      <c r="K6" s="240">
        <v>0</v>
      </c>
      <c r="L6" s="240">
        <f t="shared" si="0"/>
        <v>1550</v>
      </c>
      <c r="M6" s="240">
        <f t="shared" si="4"/>
        <v>0</v>
      </c>
      <c r="N6" s="240">
        <f t="shared" si="1"/>
        <v>100</v>
      </c>
      <c r="O6" s="240">
        <f t="shared" si="5"/>
        <v>2790.8240000000005</v>
      </c>
      <c r="P6" s="244">
        <f t="shared" si="6"/>
        <v>7929.3540000000012</v>
      </c>
      <c r="Q6" s="244">
        <f>P6/($T$1+H6)</f>
        <v>33.958689507494654</v>
      </c>
      <c r="R6" s="29"/>
      <c r="S6" s="241" t="s">
        <v>949</v>
      </c>
      <c r="T6" s="386">
        <v>0</v>
      </c>
    </row>
    <row r="7" spans="1:21" x14ac:dyDescent="0.3">
      <c r="A7" t="s">
        <v>692</v>
      </c>
      <c r="B7" s="47" t="s">
        <v>950</v>
      </c>
      <c r="C7" t="s">
        <v>945</v>
      </c>
      <c r="D7" s="247">
        <f t="shared" si="2"/>
        <v>33.958689507494654</v>
      </c>
      <c r="E7" s="45"/>
      <c r="G7" s="240">
        <v>2305.6</v>
      </c>
      <c r="H7" s="240">
        <f t="shared" si="3"/>
        <v>64.5</v>
      </c>
      <c r="I7" s="240">
        <v>0</v>
      </c>
      <c r="J7" s="240">
        <v>0</v>
      </c>
      <c r="K7" s="240">
        <v>0</v>
      </c>
      <c r="L7" s="240">
        <f t="shared" si="0"/>
        <v>1550</v>
      </c>
      <c r="M7" s="240">
        <f t="shared" si="4"/>
        <v>0</v>
      </c>
      <c r="N7" s="240">
        <f t="shared" si="1"/>
        <v>100</v>
      </c>
      <c r="O7" s="240">
        <f t="shared" si="5"/>
        <v>2790.8240000000005</v>
      </c>
      <c r="P7" s="244">
        <f t="shared" si="6"/>
        <v>7929.3540000000012</v>
      </c>
      <c r="Q7" s="244">
        <f>P7/($T$1+H7)</f>
        <v>33.958689507494654</v>
      </c>
      <c r="R7" s="29"/>
      <c r="S7" s="241" t="s">
        <v>939</v>
      </c>
      <c r="T7" s="243">
        <v>0.8</v>
      </c>
    </row>
    <row r="8" spans="1:21" x14ac:dyDescent="0.3">
      <c r="A8" t="s">
        <v>692</v>
      </c>
      <c r="B8" s="47" t="s">
        <v>882</v>
      </c>
      <c r="C8" t="s">
        <v>945</v>
      </c>
      <c r="D8" s="387">
        <f t="shared" si="2"/>
        <v>40.846875705664786</v>
      </c>
      <c r="E8" s="45"/>
      <c r="G8" s="384">
        <f>4918/1.8*1.06</f>
        <v>2896.1555555555556</v>
      </c>
      <c r="H8" s="240">
        <f t="shared" si="3"/>
        <v>64.5</v>
      </c>
      <c r="I8" s="240">
        <v>0</v>
      </c>
      <c r="J8" s="240">
        <v>0</v>
      </c>
      <c r="K8" s="240">
        <v>0</v>
      </c>
      <c r="L8" s="240">
        <f t="shared" si="0"/>
        <v>1550</v>
      </c>
      <c r="M8" s="240">
        <f t="shared" si="4"/>
        <v>0</v>
      </c>
      <c r="N8" s="240">
        <f t="shared" si="1"/>
        <v>100</v>
      </c>
      <c r="O8" s="240">
        <f t="shared" si="5"/>
        <v>3505.6646565656565</v>
      </c>
      <c r="P8" s="244">
        <f t="shared" si="6"/>
        <v>9537.7454772727269</v>
      </c>
      <c r="Q8" s="244">
        <f t="shared" ref="Q8:Q33" si="7">P8/($T$1+H8)</f>
        <v>40.846875705664786</v>
      </c>
      <c r="R8" s="29">
        <f>G8/220*1.5*(1+1/6)</f>
        <v>23.03760101010101</v>
      </c>
      <c r="S8" s="272">
        <f>R8*H8</f>
        <v>1485.9252651515151</v>
      </c>
      <c r="T8">
        <f>G8+S8</f>
        <v>4382.0808207070704</v>
      </c>
    </row>
    <row r="9" spans="1:21" x14ac:dyDescent="0.3">
      <c r="A9" t="s">
        <v>692</v>
      </c>
      <c r="B9" s="47" t="s">
        <v>364</v>
      </c>
      <c r="C9" t="s">
        <v>945</v>
      </c>
      <c r="D9" s="385">
        <f t="shared" si="2"/>
        <v>37.336946320809815</v>
      </c>
      <c r="E9" s="29"/>
      <c r="G9" s="384">
        <f>4407/1.8*1.06</f>
        <v>2595.2333333333336</v>
      </c>
      <c r="H9" s="240">
        <f t="shared" si="3"/>
        <v>64.5</v>
      </c>
      <c r="I9" s="240">
        <v>0</v>
      </c>
      <c r="J9" s="240">
        <v>0</v>
      </c>
      <c r="K9" s="240">
        <v>0</v>
      </c>
      <c r="L9" s="240">
        <f t="shared" si="0"/>
        <v>1550</v>
      </c>
      <c r="M9" s="240">
        <f t="shared" si="4"/>
        <v>0</v>
      </c>
      <c r="N9" s="240">
        <f t="shared" si="1"/>
        <v>100</v>
      </c>
      <c r="O9" s="240">
        <f t="shared" si="5"/>
        <v>3141.4119848484852</v>
      </c>
      <c r="P9" s="244">
        <f t="shared" si="6"/>
        <v>8718.1769659090915</v>
      </c>
      <c r="Q9" s="244">
        <f t="shared" si="7"/>
        <v>37.336946320809815</v>
      </c>
      <c r="R9" s="29">
        <f>G9/220*1.5*(1+1/6)</f>
        <v>20.643901515151516</v>
      </c>
      <c r="S9" s="22">
        <f>R9*H9</f>
        <v>1331.5316477272727</v>
      </c>
      <c r="T9" s="22">
        <f>G9+S9</f>
        <v>3926.7649810606063</v>
      </c>
    </row>
    <row r="10" spans="1:21" x14ac:dyDescent="0.3">
      <c r="A10" t="s">
        <v>692</v>
      </c>
      <c r="B10" s="47" t="s">
        <v>322</v>
      </c>
      <c r="C10" t="s">
        <v>945</v>
      </c>
      <c r="D10" s="29">
        <f t="shared" si="2"/>
        <v>44.991580932450852</v>
      </c>
      <c r="E10" s="29"/>
      <c r="G10" s="240">
        <v>2606.36</v>
      </c>
      <c r="H10" s="240">
        <f t="shared" si="3"/>
        <v>64.5</v>
      </c>
      <c r="I10" s="240">
        <v>0</v>
      </c>
      <c r="J10" s="245">
        <v>645.14</v>
      </c>
      <c r="K10" s="240">
        <v>0</v>
      </c>
      <c r="L10" s="240">
        <f t="shared" si="0"/>
        <v>1550</v>
      </c>
      <c r="M10" s="240">
        <f t="shared" si="4"/>
        <v>0</v>
      </c>
      <c r="N10" s="240">
        <f t="shared" si="1"/>
        <v>100</v>
      </c>
      <c r="O10" s="240">
        <f t="shared" si="5"/>
        <v>3935.7929545454554</v>
      </c>
      <c r="P10" s="244">
        <f t="shared" si="6"/>
        <v>10505.534147727274</v>
      </c>
      <c r="Q10" s="244">
        <f t="shared" si="7"/>
        <v>44.991580932450852</v>
      </c>
      <c r="R10" s="29"/>
    </row>
    <row r="11" spans="1:21" x14ac:dyDescent="0.3">
      <c r="A11" t="s">
        <v>692</v>
      </c>
      <c r="B11" s="47" t="s">
        <v>884</v>
      </c>
      <c r="C11" t="s">
        <v>945</v>
      </c>
      <c r="D11" s="247">
        <f t="shared" si="2"/>
        <v>50.569728722990085</v>
      </c>
      <c r="E11" s="45"/>
      <c r="G11" s="384">
        <f>5238/1.8*1.06</f>
        <v>3084.6000000000004</v>
      </c>
      <c r="H11" s="240">
        <f t="shared" si="3"/>
        <v>64.5</v>
      </c>
      <c r="I11" s="240">
        <v>0</v>
      </c>
      <c r="J11" s="245">
        <v>645.14</v>
      </c>
      <c r="K11" s="240">
        <v>0</v>
      </c>
      <c r="L11" s="240">
        <f t="shared" si="0"/>
        <v>1550</v>
      </c>
      <c r="M11" s="240">
        <f t="shared" si="4"/>
        <v>0</v>
      </c>
      <c r="N11" s="240">
        <f t="shared" si="1"/>
        <v>100</v>
      </c>
      <c r="O11" s="240">
        <f>(G11+(G11+I11+J11+K11)/220*1.5*(1+1/6)*H11+I11+J11+K11)*$T$7</f>
        <v>4514.6807363636372</v>
      </c>
      <c r="P11" s="244">
        <f>(G11+(G11+I11+J11+K11)/220*1.5*(1+1/6)*H11+I11+J11+K11)+O11+L11+M11+N11</f>
        <v>11808.031656818184</v>
      </c>
      <c r="Q11" s="244">
        <f t="shared" si="7"/>
        <v>50.569728722990085</v>
      </c>
      <c r="R11" s="29">
        <f>G11/220*1.5*(1+1/6)</f>
        <v>24.536590909090915</v>
      </c>
      <c r="S11" s="22">
        <f>R11*H11</f>
        <v>1582.6101136363641</v>
      </c>
      <c r="T11" s="22">
        <f>G11+S11</f>
        <v>4667.2101136363644</v>
      </c>
    </row>
    <row r="12" spans="1:21" x14ac:dyDescent="0.3">
      <c r="A12" t="s">
        <v>692</v>
      </c>
      <c r="B12" s="47" t="s">
        <v>547</v>
      </c>
      <c r="C12" t="s">
        <v>945</v>
      </c>
      <c r="D12" s="247">
        <f t="shared" si="2"/>
        <v>37.466726747128675</v>
      </c>
      <c r="E12" s="45"/>
      <c r="G12" s="240">
        <v>2606.36</v>
      </c>
      <c r="H12" s="240">
        <f t="shared" si="3"/>
        <v>64.5</v>
      </c>
      <c r="I12" s="240">
        <v>0</v>
      </c>
      <c r="J12" s="240">
        <v>0</v>
      </c>
      <c r="K12" s="240">
        <v>0</v>
      </c>
      <c r="L12" s="240">
        <f t="shared" si="0"/>
        <v>1550</v>
      </c>
      <c r="M12" s="240">
        <f t="shared" si="4"/>
        <v>0</v>
      </c>
      <c r="N12" s="240">
        <f t="shared" si="1"/>
        <v>100</v>
      </c>
      <c r="O12" s="240">
        <f>(G12+(G12+I12+J12+K12)/220*1.5*(1+1/6)*H12+I12+J12+K12)*$T$7</f>
        <v>3154.8803090909096</v>
      </c>
      <c r="P12" s="244">
        <f>(G12+(G12+I12+J12+K12)/220*1.5*(1+1/6)*H12+I12+J12+K12)+O12+L12+M12+N12</f>
        <v>8748.4806954545456</v>
      </c>
      <c r="Q12" s="244">
        <f t="shared" si="7"/>
        <v>37.466726747128675</v>
      </c>
      <c r="R12" s="29"/>
    </row>
    <row r="13" spans="1:21" x14ac:dyDescent="0.3">
      <c r="A13" t="s">
        <v>692</v>
      </c>
      <c r="B13" s="47" t="s">
        <v>852</v>
      </c>
      <c r="C13" t="s">
        <v>945</v>
      </c>
      <c r="D13" s="368">
        <f t="shared" si="2"/>
        <v>39.212114074362468</v>
      </c>
      <c r="E13" s="45"/>
      <c r="G13" s="240">
        <v>2756</v>
      </c>
      <c r="H13" s="240">
        <f t="shared" si="3"/>
        <v>64.5</v>
      </c>
      <c r="I13" s="240">
        <v>0</v>
      </c>
      <c r="J13" s="240">
        <v>0</v>
      </c>
      <c r="K13" s="240">
        <v>0</v>
      </c>
      <c r="L13" s="240">
        <f t="shared" si="0"/>
        <v>1550</v>
      </c>
      <c r="M13" s="240">
        <f t="shared" si="4"/>
        <v>0</v>
      </c>
      <c r="N13" s="240">
        <f t="shared" si="1"/>
        <v>100</v>
      </c>
      <c r="O13" s="240">
        <f t="shared" ref="O13:O19" si="8">(G13+(G13+I13+J13+K13)/220*1.5*(1+1/6)*H13+I13+J13+K13)*$T$7</f>
        <v>3336.0127272727277</v>
      </c>
      <c r="P13" s="244">
        <f t="shared" ref="P13:P19" si="9">(G13+(G13+I13+J13+K13)/220*1.5*(1+1/6)*H13+I13+J13+K13)+O13+L13+M13+N13</f>
        <v>9156.0286363636369</v>
      </c>
      <c r="Q13" s="244">
        <f t="shared" si="7"/>
        <v>39.212114074362468</v>
      </c>
      <c r="R13" s="29">
        <f>G13/220*1.5*(1+1/6)</f>
        <v>21.922727272727272</v>
      </c>
      <c r="S13" s="22">
        <f>R13*H13</f>
        <v>1414.015909090909</v>
      </c>
      <c r="T13" s="22">
        <f>G13+S13</f>
        <v>4170.0159090909092</v>
      </c>
    </row>
    <row r="14" spans="1:21" x14ac:dyDescent="0.3">
      <c r="A14" t="s">
        <v>692</v>
      </c>
      <c r="B14" s="47" t="s">
        <v>549</v>
      </c>
      <c r="C14" t="s">
        <v>945</v>
      </c>
      <c r="D14" s="29">
        <f t="shared" si="2"/>
        <v>37.466726747128675</v>
      </c>
      <c r="E14" s="29"/>
      <c r="G14" s="240">
        <v>2606.36</v>
      </c>
      <c r="H14" s="240">
        <f t="shared" si="3"/>
        <v>64.5</v>
      </c>
      <c r="I14" s="240">
        <v>0</v>
      </c>
      <c r="J14" s="240">
        <v>0</v>
      </c>
      <c r="K14" s="240">
        <v>0</v>
      </c>
      <c r="L14" s="240">
        <f>$T$3*25+$T$4*25</f>
        <v>1550</v>
      </c>
      <c r="M14" s="240">
        <f t="shared" si="4"/>
        <v>0</v>
      </c>
      <c r="N14" s="240">
        <f t="shared" si="1"/>
        <v>100</v>
      </c>
      <c r="O14" s="240">
        <f t="shared" si="8"/>
        <v>3154.8803090909096</v>
      </c>
      <c r="P14" s="244">
        <f t="shared" si="9"/>
        <v>8748.4806954545456</v>
      </c>
      <c r="Q14" s="244">
        <f t="shared" si="7"/>
        <v>37.466726747128675</v>
      </c>
      <c r="R14" s="29"/>
    </row>
    <row r="15" spans="1:21" x14ac:dyDescent="0.3">
      <c r="A15" t="s">
        <v>692</v>
      </c>
      <c r="B15" s="47" t="s">
        <v>850</v>
      </c>
      <c r="C15" t="s">
        <v>945</v>
      </c>
      <c r="D15" s="247">
        <f t="shared" si="2"/>
        <v>37.466726747128675</v>
      </c>
      <c r="E15" s="45"/>
      <c r="G15" s="240">
        <v>2606.36</v>
      </c>
      <c r="H15" s="240">
        <f t="shared" si="3"/>
        <v>64.5</v>
      </c>
      <c r="I15" s="240">
        <v>0</v>
      </c>
      <c r="J15" s="240">
        <v>0</v>
      </c>
      <c r="K15" s="240">
        <v>0</v>
      </c>
      <c r="L15" s="240">
        <f t="shared" si="0"/>
        <v>1550</v>
      </c>
      <c r="M15" s="240">
        <f t="shared" si="4"/>
        <v>0</v>
      </c>
      <c r="N15" s="240">
        <f t="shared" si="1"/>
        <v>100</v>
      </c>
      <c r="O15" s="240">
        <f t="shared" si="8"/>
        <v>3154.8803090909096</v>
      </c>
      <c r="P15" s="244">
        <f t="shared" si="9"/>
        <v>8748.4806954545456</v>
      </c>
      <c r="Q15" s="244">
        <f t="shared" si="7"/>
        <v>37.466726747128675</v>
      </c>
      <c r="R15" s="29"/>
    </row>
    <row r="16" spans="1:21" x14ac:dyDescent="0.3">
      <c r="A16" t="s">
        <v>692</v>
      </c>
      <c r="B16" s="47" t="s">
        <v>166</v>
      </c>
      <c r="C16" t="s">
        <v>945</v>
      </c>
      <c r="D16" s="247">
        <f t="shared" si="2"/>
        <v>37.466726747128675</v>
      </c>
      <c r="E16" s="45"/>
      <c r="G16" s="240">
        <v>2606.36</v>
      </c>
      <c r="H16" s="240">
        <f t="shared" si="3"/>
        <v>64.5</v>
      </c>
      <c r="I16" s="240">
        <v>0</v>
      </c>
      <c r="J16" s="240">
        <v>0</v>
      </c>
      <c r="K16" s="240">
        <v>0</v>
      </c>
      <c r="L16" s="240">
        <f t="shared" si="0"/>
        <v>1550</v>
      </c>
      <c r="M16" s="240">
        <f t="shared" si="4"/>
        <v>0</v>
      </c>
      <c r="N16" s="240">
        <f t="shared" si="1"/>
        <v>100</v>
      </c>
      <c r="O16" s="240">
        <f t="shared" si="8"/>
        <v>3154.8803090909096</v>
      </c>
      <c r="P16" s="244">
        <f t="shared" si="9"/>
        <v>8748.4806954545456</v>
      </c>
      <c r="Q16" s="244">
        <f t="shared" si="7"/>
        <v>37.466726747128675</v>
      </c>
      <c r="R16" s="29"/>
    </row>
    <row r="17" spans="1:20" x14ac:dyDescent="0.3">
      <c r="A17" t="s">
        <v>692</v>
      </c>
      <c r="B17" s="47" t="s">
        <v>870</v>
      </c>
      <c r="C17" t="s">
        <v>945</v>
      </c>
      <c r="D17" s="29">
        <f t="shared" ref="D17" si="10">Q17</f>
        <v>35.621612998832006</v>
      </c>
      <c r="E17" s="29"/>
      <c r="G17" s="240">
        <v>2448.17</v>
      </c>
      <c r="H17" s="240">
        <f t="shared" si="3"/>
        <v>64.5</v>
      </c>
      <c r="I17" s="240">
        <v>0</v>
      </c>
      <c r="J17" s="240">
        <v>0</v>
      </c>
      <c r="K17" s="240">
        <v>0</v>
      </c>
      <c r="L17" s="240">
        <f t="shared" si="0"/>
        <v>1550</v>
      </c>
      <c r="M17" s="240">
        <f t="shared" si="4"/>
        <v>0</v>
      </c>
      <c r="N17" s="240">
        <f t="shared" si="1"/>
        <v>100</v>
      </c>
      <c r="O17" s="240">
        <f t="shared" si="8"/>
        <v>2963.3985045454547</v>
      </c>
      <c r="P17" s="244">
        <f t="shared" si="9"/>
        <v>8317.6466352272728</v>
      </c>
      <c r="Q17" s="244">
        <f t="shared" ref="Q17" si="11">P17/($T$1+H17)</f>
        <v>35.621612998832006</v>
      </c>
      <c r="R17" s="29"/>
    </row>
    <row r="18" spans="1:20" x14ac:dyDescent="0.3">
      <c r="A18" t="s">
        <v>692</v>
      </c>
      <c r="B18" s="47" t="s">
        <v>951</v>
      </c>
      <c r="C18" t="s">
        <v>945</v>
      </c>
      <c r="D18" s="248">
        <f>Q18</f>
        <v>65.760687030367933</v>
      </c>
      <c r="E18" s="249"/>
      <c r="G18" s="245">
        <v>5032.13</v>
      </c>
      <c r="H18" s="240">
        <f t="shared" si="3"/>
        <v>64.5</v>
      </c>
      <c r="I18" s="245">
        <v>0</v>
      </c>
      <c r="J18" s="245">
        <v>0</v>
      </c>
      <c r="K18" s="245">
        <v>0</v>
      </c>
      <c r="L18" s="245">
        <f t="shared" si="0"/>
        <v>1550</v>
      </c>
      <c r="M18" s="240">
        <f t="shared" si="4"/>
        <v>0</v>
      </c>
      <c r="N18" s="245">
        <f t="shared" si="1"/>
        <v>100</v>
      </c>
      <c r="O18" s="240">
        <f t="shared" si="8"/>
        <v>6091.1646318181829</v>
      </c>
      <c r="P18" s="244">
        <f t="shared" si="9"/>
        <v>15355.120421590911</v>
      </c>
      <c r="Q18" s="244">
        <f t="shared" si="7"/>
        <v>65.760687030367933</v>
      </c>
      <c r="R18" s="246"/>
      <c r="T18" s="246"/>
    </row>
    <row r="19" spans="1:20" x14ac:dyDescent="0.3">
      <c r="A19" t="s">
        <v>692</v>
      </c>
      <c r="B19" s="47" t="s">
        <v>885</v>
      </c>
      <c r="C19" t="s">
        <v>945</v>
      </c>
      <c r="D19" s="248">
        <f t="shared" si="2"/>
        <v>50.569728722990085</v>
      </c>
      <c r="E19" s="249"/>
      <c r="G19" s="384">
        <f>5238/1.8*1.06</f>
        <v>3084.6000000000004</v>
      </c>
      <c r="H19" s="240">
        <f t="shared" si="3"/>
        <v>64.5</v>
      </c>
      <c r="I19" s="245">
        <v>0</v>
      </c>
      <c r="J19" s="245">
        <v>645.14</v>
      </c>
      <c r="K19" s="245">
        <v>0</v>
      </c>
      <c r="L19" s="245">
        <f t="shared" si="0"/>
        <v>1550</v>
      </c>
      <c r="M19" s="240">
        <f t="shared" si="4"/>
        <v>0</v>
      </c>
      <c r="N19" s="245">
        <f t="shared" si="1"/>
        <v>100</v>
      </c>
      <c r="O19" s="240">
        <f t="shared" si="8"/>
        <v>4514.6807363636372</v>
      </c>
      <c r="P19" s="244">
        <f t="shared" si="9"/>
        <v>11808.031656818184</v>
      </c>
      <c r="Q19" s="244">
        <f t="shared" si="7"/>
        <v>50.569728722990085</v>
      </c>
      <c r="R19" s="29">
        <f>(G19+I19+J19)/220*1.5*(1+1/6)</f>
        <v>29.668386363636369</v>
      </c>
      <c r="S19" s="22">
        <f>R19*H19</f>
        <v>1913.6109204545457</v>
      </c>
      <c r="T19" s="22">
        <f>G19+S19+I19+J19</f>
        <v>5643.3509204545462</v>
      </c>
    </row>
    <row r="20" spans="1:20" x14ac:dyDescent="0.3">
      <c r="A20" t="s">
        <v>692</v>
      </c>
      <c r="B20" s="47" t="s">
        <v>889</v>
      </c>
      <c r="C20" t="s">
        <v>945</v>
      </c>
      <c r="D20" s="248">
        <f t="shared" si="2"/>
        <v>54.666793361884373</v>
      </c>
      <c r="E20" s="249"/>
      <c r="G20" s="384">
        <f>6930/1.8*1.06</f>
        <v>4081</v>
      </c>
      <c r="H20" s="240">
        <f t="shared" si="3"/>
        <v>64.5</v>
      </c>
      <c r="I20" s="245">
        <v>0</v>
      </c>
      <c r="J20" s="245">
        <v>0</v>
      </c>
      <c r="K20" s="245">
        <v>0</v>
      </c>
      <c r="L20" s="245">
        <f t="shared" si="0"/>
        <v>1550</v>
      </c>
      <c r="M20" s="240">
        <f t="shared" si="4"/>
        <v>0</v>
      </c>
      <c r="N20" s="245">
        <f t="shared" si="1"/>
        <v>100</v>
      </c>
      <c r="O20" s="240">
        <f>(G20+(G20+I20+J20+K20)/220*1.5*(1+1/6)*H20+I20+J20+K20)*$T$7</f>
        <v>4939.8650000000007</v>
      </c>
      <c r="P20" s="244">
        <f>(G20+(G20+I20+J20+K20)/220*1.5*(1+1/6)*H20+I20+J20+K20)+O20+L20+M20+N20</f>
        <v>12764.696250000001</v>
      </c>
      <c r="Q20" s="244">
        <f t="shared" si="7"/>
        <v>54.666793361884373</v>
      </c>
      <c r="R20" s="29">
        <f>(G20+I20+J20)/220*1.5*(1+1/6)</f>
        <v>32.462500000000006</v>
      </c>
      <c r="S20" s="22">
        <f>R20*H20</f>
        <v>2093.8312500000002</v>
      </c>
      <c r="T20" s="22">
        <f>G20+S20</f>
        <v>6174.8312500000002</v>
      </c>
    </row>
    <row r="21" spans="1:20" x14ac:dyDescent="0.3">
      <c r="A21" t="s">
        <v>692</v>
      </c>
      <c r="B21" s="47" t="s">
        <v>883</v>
      </c>
      <c r="C21" t="s">
        <v>945</v>
      </c>
      <c r="D21" s="248">
        <f t="shared" si="2"/>
        <v>36.226153396924282</v>
      </c>
      <c r="E21" s="249"/>
      <c r="G21" s="245">
        <v>2500</v>
      </c>
      <c r="H21" s="240">
        <f t="shared" si="3"/>
        <v>64.5</v>
      </c>
      <c r="I21" s="245">
        <v>0</v>
      </c>
      <c r="J21" s="245">
        <v>0</v>
      </c>
      <c r="K21" s="245">
        <v>0</v>
      </c>
      <c r="L21" s="245">
        <f t="shared" si="0"/>
        <v>1550</v>
      </c>
      <c r="M21" s="240">
        <f t="shared" si="4"/>
        <v>0</v>
      </c>
      <c r="N21" s="245">
        <f t="shared" si="1"/>
        <v>100</v>
      </c>
      <c r="O21" s="240">
        <f t="shared" ref="O21:O33" si="12">(G21+(G21+I21+J21+K21)/220*1.5*(1+1/6)*H21+I21+J21+K21)*$T$7</f>
        <v>3026.136363636364</v>
      </c>
      <c r="P21" s="244">
        <f t="shared" ref="P21:P33" si="13">(G21+(G21+I21+J21+K21)/220*1.5*(1+1/6)*H21+I21+J21+K21)+O21+L21+M21+N21</f>
        <v>8458.8068181818198</v>
      </c>
      <c r="Q21" s="244">
        <f t="shared" si="7"/>
        <v>36.226153396924282</v>
      </c>
      <c r="R21" s="246"/>
      <c r="T21" s="246"/>
    </row>
    <row r="22" spans="1:20" x14ac:dyDescent="0.3">
      <c r="A22" t="s">
        <v>692</v>
      </c>
      <c r="B22" s="47" t="s">
        <v>832</v>
      </c>
      <c r="C22" t="s">
        <v>945</v>
      </c>
      <c r="D22" s="248">
        <f t="shared" si="2"/>
        <v>65.760687030367933</v>
      </c>
      <c r="E22" s="249"/>
      <c r="G22" s="245">
        <v>5032.13</v>
      </c>
      <c r="H22" s="240">
        <f t="shared" si="3"/>
        <v>64.5</v>
      </c>
      <c r="I22" s="245">
        <v>0</v>
      </c>
      <c r="J22" s="245">
        <v>0</v>
      </c>
      <c r="K22" s="245">
        <v>0</v>
      </c>
      <c r="L22" s="245">
        <f t="shared" ref="L22:L33" si="14">$T$3*25+$T$4*25</f>
        <v>1550</v>
      </c>
      <c r="M22" s="240">
        <f t="shared" si="4"/>
        <v>0</v>
      </c>
      <c r="N22" s="245">
        <f t="shared" ref="N22:N33" si="15">$T$5</f>
        <v>100</v>
      </c>
      <c r="O22" s="240">
        <f t="shared" si="12"/>
        <v>6091.1646318181829</v>
      </c>
      <c r="P22" s="244">
        <f t="shared" si="13"/>
        <v>15355.120421590911</v>
      </c>
      <c r="Q22" s="244">
        <f t="shared" si="7"/>
        <v>65.760687030367933</v>
      </c>
      <c r="R22" s="246"/>
      <c r="T22" s="246"/>
    </row>
    <row r="23" spans="1:20" x14ac:dyDescent="0.3">
      <c r="A23" t="s">
        <v>692</v>
      </c>
      <c r="B23" s="47" t="s">
        <v>851</v>
      </c>
      <c r="C23" t="s">
        <v>945</v>
      </c>
      <c r="D23" s="248">
        <f t="shared" si="2"/>
        <v>35.57167850885731</v>
      </c>
      <c r="E23" s="249"/>
      <c r="G23" s="384">
        <f>4150/1.8*1.06</f>
        <v>2443.8888888888891</v>
      </c>
      <c r="H23" s="240">
        <f t="shared" si="3"/>
        <v>64.5</v>
      </c>
      <c r="I23" s="245">
        <v>0</v>
      </c>
      <c r="J23" s="245">
        <v>0</v>
      </c>
      <c r="K23" s="245">
        <v>0</v>
      </c>
      <c r="L23" s="245">
        <f t="shared" si="14"/>
        <v>1550</v>
      </c>
      <c r="M23" s="240">
        <f t="shared" si="4"/>
        <v>0</v>
      </c>
      <c r="N23" s="245">
        <f t="shared" si="15"/>
        <v>100</v>
      </c>
      <c r="O23" s="240">
        <f t="shared" si="12"/>
        <v>2958.2164141414146</v>
      </c>
      <c r="P23" s="244">
        <f t="shared" si="13"/>
        <v>8305.9869318181827</v>
      </c>
      <c r="Q23" s="244">
        <f t="shared" si="7"/>
        <v>35.57167850885731</v>
      </c>
      <c r="R23" s="29">
        <f>(G23+I23+J23)/220*1.5*(1+1/6)</f>
        <v>19.440025252525256</v>
      </c>
      <c r="S23" s="22">
        <f>R23*H23</f>
        <v>1253.881628787879</v>
      </c>
      <c r="T23" s="22">
        <f>G23+S23</f>
        <v>3697.7705176767681</v>
      </c>
    </row>
    <row r="24" spans="1:20" x14ac:dyDescent="0.3">
      <c r="A24" t="s">
        <v>692</v>
      </c>
      <c r="B24" s="47" t="s">
        <v>795</v>
      </c>
      <c r="C24" t="s">
        <v>945</v>
      </c>
      <c r="D24" s="248">
        <f t="shared" si="2"/>
        <v>39.886288008565316</v>
      </c>
      <c r="E24" s="249"/>
      <c r="G24" s="245">
        <v>2813.8</v>
      </c>
      <c r="H24" s="240">
        <f t="shared" si="3"/>
        <v>64.5</v>
      </c>
      <c r="I24" s="245">
        <v>0</v>
      </c>
      <c r="J24" s="245">
        <v>0</v>
      </c>
      <c r="K24" s="245">
        <v>0</v>
      </c>
      <c r="L24" s="245">
        <f t="shared" si="14"/>
        <v>1550</v>
      </c>
      <c r="M24" s="240">
        <f t="shared" si="4"/>
        <v>0</v>
      </c>
      <c r="N24" s="245">
        <f t="shared" si="15"/>
        <v>100</v>
      </c>
      <c r="O24" s="240">
        <f t="shared" si="12"/>
        <v>3405.9770000000008</v>
      </c>
      <c r="P24" s="244">
        <f t="shared" si="13"/>
        <v>9313.4482500000013</v>
      </c>
      <c r="Q24" s="244">
        <f t="shared" si="7"/>
        <v>39.886288008565316</v>
      </c>
      <c r="R24" s="246"/>
      <c r="T24" s="246"/>
    </row>
    <row r="25" spans="1:20" x14ac:dyDescent="0.3">
      <c r="A25" t="s">
        <v>692</v>
      </c>
      <c r="B25" s="47" t="s">
        <v>833</v>
      </c>
      <c r="C25" t="s">
        <v>945</v>
      </c>
      <c r="D25" s="248">
        <f t="shared" si="2"/>
        <v>35.57167850885731</v>
      </c>
      <c r="E25" s="249"/>
      <c r="G25" s="384">
        <f>4150/1.8*1.06</f>
        <v>2443.8888888888891</v>
      </c>
      <c r="H25" s="240">
        <f t="shared" si="3"/>
        <v>64.5</v>
      </c>
      <c r="I25" s="245">
        <v>0</v>
      </c>
      <c r="J25" s="245">
        <v>0</v>
      </c>
      <c r="K25" s="245">
        <v>0</v>
      </c>
      <c r="L25" s="245">
        <f t="shared" si="14"/>
        <v>1550</v>
      </c>
      <c r="M25" s="240">
        <f t="shared" si="4"/>
        <v>0</v>
      </c>
      <c r="N25" s="245">
        <f t="shared" si="15"/>
        <v>100</v>
      </c>
      <c r="O25" s="240">
        <f t="shared" si="12"/>
        <v>2958.2164141414146</v>
      </c>
      <c r="P25" s="244">
        <f t="shared" si="13"/>
        <v>8305.9869318181827</v>
      </c>
      <c r="Q25" s="244">
        <f t="shared" si="7"/>
        <v>35.57167850885731</v>
      </c>
      <c r="R25" s="29">
        <f>(G25+I25+J25)/220*1.5*(1+1/6)</f>
        <v>19.440025252525256</v>
      </c>
      <c r="S25" s="22">
        <f>R25*H25</f>
        <v>1253.881628787879</v>
      </c>
      <c r="T25" s="22">
        <f>G25+S25+I25</f>
        <v>3697.7705176767681</v>
      </c>
    </row>
    <row r="26" spans="1:20" x14ac:dyDescent="0.3">
      <c r="A26" t="s">
        <v>692</v>
      </c>
      <c r="B26" s="47" t="s">
        <v>835</v>
      </c>
      <c r="C26" t="s">
        <v>945</v>
      </c>
      <c r="D26" s="246">
        <f t="shared" si="2"/>
        <v>33.958689507494654</v>
      </c>
      <c r="E26" s="246"/>
      <c r="G26" s="245">
        <v>2305.6</v>
      </c>
      <c r="H26" s="240">
        <f t="shared" si="3"/>
        <v>64.5</v>
      </c>
      <c r="I26" s="245">
        <v>0</v>
      </c>
      <c r="J26" s="245">
        <v>0</v>
      </c>
      <c r="K26" s="245">
        <v>0</v>
      </c>
      <c r="L26" s="245">
        <f t="shared" si="14"/>
        <v>1550</v>
      </c>
      <c r="M26" s="240">
        <f t="shared" si="4"/>
        <v>0</v>
      </c>
      <c r="N26" s="245">
        <f t="shared" si="15"/>
        <v>100</v>
      </c>
      <c r="O26" s="240">
        <f t="shared" si="12"/>
        <v>2790.8240000000005</v>
      </c>
      <c r="P26" s="244">
        <f t="shared" si="13"/>
        <v>7929.3540000000012</v>
      </c>
      <c r="Q26" s="244">
        <f t="shared" si="7"/>
        <v>33.958689507494654</v>
      </c>
      <c r="R26" s="246"/>
      <c r="T26" s="246"/>
    </row>
    <row r="27" spans="1:20" x14ac:dyDescent="0.3">
      <c r="A27" t="s">
        <v>692</v>
      </c>
      <c r="B27" s="47" t="s">
        <v>869</v>
      </c>
      <c r="C27" t="s">
        <v>945</v>
      </c>
      <c r="D27" s="248">
        <f t="shared" si="2"/>
        <v>33.958689507494654</v>
      </c>
      <c r="E27" s="250"/>
      <c r="G27" s="245">
        <v>2305.6</v>
      </c>
      <c r="H27" s="240">
        <f t="shared" si="3"/>
        <v>64.5</v>
      </c>
      <c r="I27" s="245">
        <v>0</v>
      </c>
      <c r="J27" s="245">
        <v>0</v>
      </c>
      <c r="K27" s="245">
        <v>0</v>
      </c>
      <c r="L27" s="245">
        <f t="shared" si="14"/>
        <v>1550</v>
      </c>
      <c r="M27" s="240">
        <f t="shared" si="4"/>
        <v>0</v>
      </c>
      <c r="N27" s="245">
        <f t="shared" si="15"/>
        <v>100</v>
      </c>
      <c r="O27" s="240">
        <f t="shared" si="12"/>
        <v>2790.8240000000005</v>
      </c>
      <c r="P27" s="244">
        <f t="shared" si="13"/>
        <v>7929.3540000000012</v>
      </c>
      <c r="Q27" s="244">
        <f t="shared" si="7"/>
        <v>33.958689507494654</v>
      </c>
      <c r="R27" s="246"/>
      <c r="T27" s="246"/>
    </row>
    <row r="28" spans="1:20" x14ac:dyDescent="0.3">
      <c r="A28" t="s">
        <v>692</v>
      </c>
      <c r="B28" s="47" t="s">
        <v>952</v>
      </c>
      <c r="C28" t="s">
        <v>945</v>
      </c>
      <c r="D28" s="248">
        <f t="shared" si="2"/>
        <v>37.466726747128675</v>
      </c>
      <c r="E28" s="250"/>
      <c r="G28" s="245">
        <v>2606.36</v>
      </c>
      <c r="H28" s="240">
        <f t="shared" si="3"/>
        <v>64.5</v>
      </c>
      <c r="I28" s="245">
        <v>0</v>
      </c>
      <c r="J28" s="245">
        <v>0</v>
      </c>
      <c r="K28" s="245">
        <v>0</v>
      </c>
      <c r="L28" s="245">
        <f t="shared" si="14"/>
        <v>1550</v>
      </c>
      <c r="M28" s="240">
        <f t="shared" si="4"/>
        <v>0</v>
      </c>
      <c r="N28" s="245">
        <f t="shared" si="15"/>
        <v>100</v>
      </c>
      <c r="O28" s="240">
        <f t="shared" si="12"/>
        <v>3154.8803090909096</v>
      </c>
      <c r="P28" s="244">
        <f t="shared" si="13"/>
        <v>8748.4806954545456</v>
      </c>
      <c r="Q28" s="244">
        <f t="shared" si="7"/>
        <v>37.466726747128675</v>
      </c>
      <c r="R28" s="246"/>
      <c r="T28" s="246"/>
    </row>
    <row r="29" spans="1:20" x14ac:dyDescent="0.3">
      <c r="A29" t="s">
        <v>692</v>
      </c>
      <c r="B29" s="47" t="s">
        <v>834</v>
      </c>
      <c r="C29" t="s">
        <v>945</v>
      </c>
      <c r="D29" s="247">
        <f t="shared" ref="D29" si="16">Q29</f>
        <v>56.927258905976259</v>
      </c>
      <c r="E29" s="250"/>
      <c r="G29" s="384">
        <f>6300/1.8*1.06</f>
        <v>3710</v>
      </c>
      <c r="H29" s="240">
        <f t="shared" si="3"/>
        <v>64.5</v>
      </c>
      <c r="I29" s="240">
        <v>564.79999999999995</v>
      </c>
      <c r="J29" s="240">
        <v>0</v>
      </c>
      <c r="K29" s="240">
        <v>0</v>
      </c>
      <c r="L29" s="240">
        <f t="shared" si="14"/>
        <v>1550</v>
      </c>
      <c r="M29" s="240">
        <f t="shared" si="4"/>
        <v>0</v>
      </c>
      <c r="N29" s="240">
        <f t="shared" si="15"/>
        <v>100</v>
      </c>
      <c r="O29" s="240">
        <f t="shared" ref="O29" si="17">(G29+(G29+I29+J29+K29)/220*1.5*(1+1/6)*H29+I29+J29+K29)*$T$7</f>
        <v>5174.4510909090923</v>
      </c>
      <c r="P29" s="244">
        <f t="shared" ref="P29" si="18">(G29+(G29+I29+J29+K29)/220*1.5*(1+1/6)*H29+I29+J29+K29)+O29+L29+M29+N29</f>
        <v>13292.514954545457</v>
      </c>
      <c r="Q29" s="244">
        <f t="shared" ref="Q29" si="19">P29/($T$1+H29)</f>
        <v>56.927258905976259</v>
      </c>
      <c r="R29" s="29">
        <f>(G29+I29+J29)/220*1.5*(1+1/6)</f>
        <v>34.004090909090912</v>
      </c>
      <c r="S29" s="22">
        <f>R29*H29</f>
        <v>2193.263863636364</v>
      </c>
      <c r="T29" s="22">
        <f>G29+S29+I29</f>
        <v>6468.0638636363647</v>
      </c>
    </row>
    <row r="30" spans="1:20" x14ac:dyDescent="0.3">
      <c r="A30" t="s">
        <v>692</v>
      </c>
      <c r="B30" s="47" t="s">
        <v>853</v>
      </c>
      <c r="C30" t="s">
        <v>945</v>
      </c>
      <c r="D30" s="247">
        <f t="shared" ref="D30" si="20">Q30</f>
        <v>21.18904204788787</v>
      </c>
      <c r="E30" s="250"/>
      <c r="G30" s="240">
        <v>646</v>
      </c>
      <c r="H30" s="240">
        <f t="shared" si="3"/>
        <v>64.5</v>
      </c>
      <c r="I30" s="240">
        <v>564.79999999999995</v>
      </c>
      <c r="J30" s="240">
        <v>0</v>
      </c>
      <c r="K30" s="240">
        <v>0</v>
      </c>
      <c r="L30" s="240">
        <f t="shared" si="14"/>
        <v>1550</v>
      </c>
      <c r="M30" s="240">
        <f t="shared" si="4"/>
        <v>0</v>
      </c>
      <c r="N30" s="240">
        <f t="shared" si="15"/>
        <v>100</v>
      </c>
      <c r="O30" s="240">
        <f t="shared" ref="O30" si="21">(G30+(G30+I30+J30+K30)/220*1.5*(1+1/6)*H30+I30+J30+K30)*$T$7</f>
        <v>1465.6183636363637</v>
      </c>
      <c r="P30" s="244">
        <f t="shared" ref="P30" si="22">(G30+(G30+I30+J30+K30)/220*1.5*(1+1/6)*H30+I30+J30+K30)+O30+L30+M30+N30</f>
        <v>4947.641318181818</v>
      </c>
      <c r="Q30" s="244">
        <f t="shared" ref="Q30" si="23">P30/($T$1+H30)</f>
        <v>21.18904204788787</v>
      </c>
      <c r="R30" s="29"/>
    </row>
    <row r="31" spans="1:20" x14ac:dyDescent="0.3">
      <c r="A31" t="s">
        <v>692</v>
      </c>
      <c r="B31" s="47" t="s">
        <v>854</v>
      </c>
      <c r="C31" t="s">
        <v>945</v>
      </c>
      <c r="D31" s="247">
        <f t="shared" ref="D31" si="24">Q31</f>
        <v>42.159454253455323</v>
      </c>
      <c r="E31" s="250"/>
      <c r="G31" s="384">
        <f>4150/1.8*1.06</f>
        <v>2443.8888888888891</v>
      </c>
      <c r="H31" s="240">
        <f t="shared" si="3"/>
        <v>64.5</v>
      </c>
      <c r="I31" s="240">
        <v>564.79999999999995</v>
      </c>
      <c r="J31" s="240">
        <v>0</v>
      </c>
      <c r="K31" s="240">
        <v>0</v>
      </c>
      <c r="L31" s="240">
        <f t="shared" si="14"/>
        <v>1550</v>
      </c>
      <c r="M31" s="240">
        <f t="shared" si="4"/>
        <v>0</v>
      </c>
      <c r="N31" s="240">
        <f t="shared" si="15"/>
        <v>100</v>
      </c>
      <c r="O31" s="240">
        <f t="shared" ref="O31" si="25">(G31+(G31+I31+J31+K31)/220*1.5*(1+1/6)*H31+I31+J31+K31)*$T$7</f>
        <v>3641.8811414141419</v>
      </c>
      <c r="P31" s="244">
        <f t="shared" ref="P31" si="26">(G31+(G31+I31+J31+K31)/220*1.5*(1+1/6)*H31+I31+J31+K31)+O31+L31+M31+N31</f>
        <v>9844.2325681818184</v>
      </c>
      <c r="Q31" s="244">
        <f t="shared" ref="Q31" si="27">P31/($T$1+H31)</f>
        <v>42.159454253455323</v>
      </c>
      <c r="R31" s="29">
        <f>(G31+I31+J31)/220*1.5*(1+1/6)</f>
        <v>23.932752525252528</v>
      </c>
      <c r="S31" s="22">
        <f>R31*H31</f>
        <v>1543.662537878788</v>
      </c>
      <c r="T31" s="22">
        <f>G31+S31+I31</f>
        <v>4552.3514267676774</v>
      </c>
    </row>
    <row r="32" spans="1:20" x14ac:dyDescent="0.3">
      <c r="A32" t="s">
        <v>692</v>
      </c>
      <c r="B32" s="47" t="s">
        <v>758</v>
      </c>
      <c r="C32" t="s">
        <v>945</v>
      </c>
      <c r="D32" s="247">
        <f t="shared" ref="D32" si="28">Q32</f>
        <v>40.546465252092652</v>
      </c>
      <c r="E32" s="250"/>
      <c r="G32" s="240">
        <v>2305.6</v>
      </c>
      <c r="H32" s="240">
        <f t="shared" si="3"/>
        <v>64.5</v>
      </c>
      <c r="I32" s="240">
        <v>564.79999999999995</v>
      </c>
      <c r="J32" s="240">
        <v>0</v>
      </c>
      <c r="K32" s="240">
        <v>0</v>
      </c>
      <c r="L32" s="240">
        <f t="shared" si="14"/>
        <v>1550</v>
      </c>
      <c r="M32" s="240">
        <f t="shared" si="4"/>
        <v>0</v>
      </c>
      <c r="N32" s="240">
        <f t="shared" si="15"/>
        <v>100</v>
      </c>
      <c r="O32" s="240">
        <f t="shared" ref="O32" si="29">(G32+(G32+I32+J32+K32)/220*1.5*(1+1/6)*H32+I32+J32+K32)*$T$7</f>
        <v>3474.4887272727269</v>
      </c>
      <c r="P32" s="244">
        <f t="shared" ref="P32" si="30">(G32+(G32+I32+J32+K32)/220*1.5*(1+1/6)*H32+I32+J32+K32)+O32+L32+M32+N32</f>
        <v>9467.599636363635</v>
      </c>
      <c r="Q32" s="244">
        <f t="shared" ref="Q32" si="31">P32/($T$1+H32)</f>
        <v>40.546465252092652</v>
      </c>
      <c r="R32" s="29"/>
    </row>
    <row r="33" spans="1:20" x14ac:dyDescent="0.3">
      <c r="A33" t="s">
        <v>692</v>
      </c>
      <c r="B33" s="47" t="s">
        <v>871</v>
      </c>
      <c r="C33" t="s">
        <v>945</v>
      </c>
      <c r="D33" s="247">
        <f t="shared" si="2"/>
        <v>36.981974693400822</v>
      </c>
      <c r="E33" s="250"/>
      <c r="G33" s="240">
        <v>2000</v>
      </c>
      <c r="H33" s="240">
        <f t="shared" si="3"/>
        <v>64.5</v>
      </c>
      <c r="I33" s="240">
        <v>564.79999999999995</v>
      </c>
      <c r="J33" s="240">
        <v>0</v>
      </c>
      <c r="K33" s="240">
        <v>0</v>
      </c>
      <c r="L33" s="240">
        <f t="shared" si="14"/>
        <v>1550</v>
      </c>
      <c r="M33" s="240">
        <f t="shared" si="4"/>
        <v>0</v>
      </c>
      <c r="N33" s="240">
        <f t="shared" si="15"/>
        <v>100</v>
      </c>
      <c r="O33" s="240">
        <f t="shared" si="12"/>
        <v>3104.5738181818183</v>
      </c>
      <c r="P33" s="244">
        <f t="shared" si="13"/>
        <v>8635.2910909090915</v>
      </c>
      <c r="Q33" s="244">
        <f t="shared" si="7"/>
        <v>36.981974693400822</v>
      </c>
      <c r="R33" s="29"/>
    </row>
    <row r="34" spans="1:20" x14ac:dyDescent="0.3">
      <c r="A34" s="48"/>
      <c r="B34" s="49" t="s">
        <v>752</v>
      </c>
      <c r="C34" s="48"/>
      <c r="D34" s="251"/>
      <c r="E34" s="251"/>
    </row>
    <row r="35" spans="1:20" x14ac:dyDescent="0.3">
      <c r="A35" t="s">
        <v>685</v>
      </c>
      <c r="B35" s="47" t="s">
        <v>953</v>
      </c>
      <c r="C35" t="s">
        <v>194</v>
      </c>
      <c r="D35" s="252">
        <v>1</v>
      </c>
      <c r="E35" s="252"/>
      <c r="G35" s="74">
        <v>1672.99</v>
      </c>
      <c r="H35" s="28">
        <v>64.5</v>
      </c>
      <c r="R35" s="29">
        <f>G35/220*1.5*(1+1/6)</f>
        <v>13.307874999999999</v>
      </c>
      <c r="S35" s="22">
        <f>R35*H35</f>
        <v>858.35793749999993</v>
      </c>
      <c r="T35" s="22">
        <f>G35+S35</f>
        <v>2531.3479374999997</v>
      </c>
    </row>
    <row r="36" spans="1:20" x14ac:dyDescent="0.3">
      <c r="A36" t="s">
        <v>685</v>
      </c>
      <c r="B36" s="47" t="s">
        <v>861</v>
      </c>
      <c r="C36" t="s">
        <v>347</v>
      </c>
      <c r="D36" s="252">
        <f>12500/30</f>
        <v>416.66666666666669</v>
      </c>
      <c r="E36" s="252"/>
    </row>
    <row r="37" spans="1:20" x14ac:dyDescent="0.3">
      <c r="A37" t="s">
        <v>685</v>
      </c>
      <c r="B37" s="47" t="s">
        <v>954</v>
      </c>
      <c r="C37" t="s">
        <v>347</v>
      </c>
      <c r="D37" s="252"/>
      <c r="E37" s="252"/>
    </row>
    <row r="38" spans="1:20" x14ac:dyDescent="0.3">
      <c r="A38" t="s">
        <v>685</v>
      </c>
      <c r="B38" s="47" t="s">
        <v>955</v>
      </c>
      <c r="C38" t="s">
        <v>945</v>
      </c>
      <c r="D38" s="252"/>
      <c r="E38" s="252"/>
      <c r="O38" s="28">
        <f>O31/0.8</f>
        <v>4552.3514267676774</v>
      </c>
    </row>
    <row r="39" spans="1:20" x14ac:dyDescent="0.3">
      <c r="A39" t="s">
        <v>685</v>
      </c>
      <c r="B39" s="47" t="s">
        <v>862</v>
      </c>
      <c r="C39" t="s">
        <v>945</v>
      </c>
      <c r="D39" s="252"/>
      <c r="E39" s="252"/>
    </row>
    <row r="40" spans="1:20" x14ac:dyDescent="0.3">
      <c r="A40" t="s">
        <v>685</v>
      </c>
      <c r="B40" s="47" t="s">
        <v>863</v>
      </c>
      <c r="C40" t="s">
        <v>347</v>
      </c>
      <c r="D40" s="252">
        <f>500/30</f>
        <v>16.666666666666668</v>
      </c>
      <c r="E40" s="252"/>
    </row>
    <row r="41" spans="1:20" x14ac:dyDescent="0.3">
      <c r="A41" t="s">
        <v>685</v>
      </c>
      <c r="B41" s="47" t="s">
        <v>794</v>
      </c>
      <c r="C41" t="s">
        <v>945</v>
      </c>
      <c r="D41" s="252">
        <v>80</v>
      </c>
      <c r="E41" s="252"/>
    </row>
    <row r="42" spans="1:20" x14ac:dyDescent="0.3">
      <c r="A42" t="s">
        <v>685</v>
      </c>
      <c r="B42" s="47" t="s">
        <v>956</v>
      </c>
      <c r="C42" t="s">
        <v>945</v>
      </c>
      <c r="D42" s="252"/>
      <c r="E42" s="252"/>
    </row>
    <row r="43" spans="1:20" x14ac:dyDescent="0.3">
      <c r="A43" t="s">
        <v>685</v>
      </c>
      <c r="B43" s="47" t="s">
        <v>957</v>
      </c>
      <c r="C43" t="s">
        <v>945</v>
      </c>
      <c r="D43" s="252"/>
      <c r="E43" s="252"/>
    </row>
    <row r="44" spans="1:20" x14ac:dyDescent="0.3">
      <c r="A44" t="s">
        <v>685</v>
      </c>
      <c r="B44" s="47" t="s">
        <v>847</v>
      </c>
      <c r="C44" t="s">
        <v>347</v>
      </c>
      <c r="D44" s="252">
        <v>1200</v>
      </c>
      <c r="E44" s="252"/>
      <c r="F44" t="s">
        <v>958</v>
      </c>
    </row>
    <row r="45" spans="1:20" x14ac:dyDescent="0.3">
      <c r="A45" t="s">
        <v>685</v>
      </c>
      <c r="B45" s="47" t="s">
        <v>881</v>
      </c>
      <c r="C45" t="s">
        <v>347</v>
      </c>
      <c r="D45" s="252">
        <f>22500/30</f>
        <v>750</v>
      </c>
      <c r="E45" s="252"/>
      <c r="F45" t="s">
        <v>958</v>
      </c>
    </row>
    <row r="46" spans="1:20" x14ac:dyDescent="0.3">
      <c r="A46" t="s">
        <v>685</v>
      </c>
      <c r="B46" s="47" t="s">
        <v>880</v>
      </c>
      <c r="C46" t="s">
        <v>347</v>
      </c>
      <c r="D46" s="252">
        <f>18150/30</f>
        <v>605</v>
      </c>
      <c r="E46" s="252"/>
      <c r="F46" t="s">
        <v>958</v>
      </c>
    </row>
    <row r="47" spans="1:20" x14ac:dyDescent="0.3">
      <c r="A47" t="s">
        <v>685</v>
      </c>
      <c r="B47" s="47" t="s">
        <v>849</v>
      </c>
      <c r="C47" t="s">
        <v>347</v>
      </c>
      <c r="D47" s="252">
        <f>22222/30</f>
        <v>740.73333333333335</v>
      </c>
      <c r="E47" s="252"/>
      <c r="F47" t="s">
        <v>958</v>
      </c>
    </row>
    <row r="48" spans="1:20" x14ac:dyDescent="0.3">
      <c r="A48" t="s">
        <v>685</v>
      </c>
      <c r="B48" s="47" t="s">
        <v>959</v>
      </c>
      <c r="C48" t="s">
        <v>347</v>
      </c>
      <c r="D48" s="252"/>
      <c r="E48" s="252"/>
    </row>
    <row r="49" spans="1:6" x14ac:dyDescent="0.3">
      <c r="A49" t="s">
        <v>685</v>
      </c>
      <c r="B49" s="47" t="s">
        <v>757</v>
      </c>
      <c r="C49" t="s">
        <v>347</v>
      </c>
      <c r="D49" s="252">
        <f>15000/30</f>
        <v>500</v>
      </c>
      <c r="E49" s="252"/>
    </row>
    <row r="50" spans="1:6" x14ac:dyDescent="0.3">
      <c r="A50" t="s">
        <v>685</v>
      </c>
      <c r="B50" s="47" t="s">
        <v>960</v>
      </c>
      <c r="C50" t="s">
        <v>945</v>
      </c>
      <c r="D50" s="252">
        <v>130</v>
      </c>
      <c r="E50" s="252"/>
    </row>
    <row r="51" spans="1:6" x14ac:dyDescent="0.3">
      <c r="A51" t="s">
        <v>685</v>
      </c>
      <c r="B51" s="47" t="s">
        <v>961</v>
      </c>
      <c r="C51" t="s">
        <v>945</v>
      </c>
      <c r="D51" s="252">
        <v>145</v>
      </c>
      <c r="E51" s="252"/>
    </row>
    <row r="52" spans="1:6" x14ac:dyDescent="0.3">
      <c r="A52" t="s">
        <v>685</v>
      </c>
      <c r="B52" s="47" t="s">
        <v>888</v>
      </c>
      <c r="C52" t="s">
        <v>945</v>
      </c>
      <c r="D52" s="252">
        <f>325</f>
        <v>325</v>
      </c>
      <c r="E52" s="252"/>
      <c r="F52" t="s">
        <v>958</v>
      </c>
    </row>
    <row r="53" spans="1:6" x14ac:dyDescent="0.3">
      <c r="A53" t="s">
        <v>685</v>
      </c>
      <c r="B53" s="47" t="s">
        <v>827</v>
      </c>
      <c r="C53" t="s">
        <v>945</v>
      </c>
      <c r="D53" s="252">
        <v>225</v>
      </c>
      <c r="E53" s="252"/>
    </row>
    <row r="54" spans="1:6" x14ac:dyDescent="0.3">
      <c r="A54" t="s">
        <v>685</v>
      </c>
      <c r="B54" s="47" t="s">
        <v>879</v>
      </c>
      <c r="C54" t="s">
        <v>945</v>
      </c>
      <c r="D54" s="252">
        <v>67.5</v>
      </c>
      <c r="E54" s="252"/>
    </row>
    <row r="55" spans="1:6" x14ac:dyDescent="0.3">
      <c r="A55" t="s">
        <v>685</v>
      </c>
      <c r="B55" s="47" t="s">
        <v>848</v>
      </c>
      <c r="C55" t="s">
        <v>945</v>
      </c>
      <c r="D55" s="252">
        <v>90</v>
      </c>
      <c r="E55" s="252"/>
    </row>
    <row r="56" spans="1:6" x14ac:dyDescent="0.3">
      <c r="A56" t="s">
        <v>685</v>
      </c>
      <c r="B56" s="47" t="s">
        <v>831</v>
      </c>
      <c r="C56" t="s">
        <v>945</v>
      </c>
      <c r="D56" s="252">
        <v>95</v>
      </c>
      <c r="E56" s="252"/>
      <c r="F56" t="s">
        <v>958</v>
      </c>
    </row>
    <row r="57" spans="1:6" x14ac:dyDescent="0.3">
      <c r="A57" t="s">
        <v>685</v>
      </c>
      <c r="B57" s="47" t="s">
        <v>962</v>
      </c>
      <c r="C57" t="s">
        <v>347</v>
      </c>
      <c r="D57" s="252">
        <v>250</v>
      </c>
      <c r="E57" s="252"/>
    </row>
    <row r="58" spans="1:6" x14ac:dyDescent="0.3">
      <c r="A58" t="s">
        <v>685</v>
      </c>
      <c r="B58" s="47" t="s">
        <v>963</v>
      </c>
      <c r="C58" t="s">
        <v>945</v>
      </c>
      <c r="D58" s="252">
        <v>55</v>
      </c>
      <c r="E58" s="252"/>
    </row>
    <row r="59" spans="1:6" x14ac:dyDescent="0.3">
      <c r="A59" t="s">
        <v>685</v>
      </c>
      <c r="B59" s="47" t="s">
        <v>828</v>
      </c>
      <c r="C59" t="s">
        <v>945</v>
      </c>
      <c r="D59" s="252">
        <v>95</v>
      </c>
      <c r="E59" s="252"/>
    </row>
    <row r="60" spans="1:6" x14ac:dyDescent="0.3">
      <c r="A60" t="s">
        <v>685</v>
      </c>
      <c r="B60" s="47" t="s">
        <v>830</v>
      </c>
      <c r="C60" t="s">
        <v>945</v>
      </c>
      <c r="D60" s="252">
        <v>115</v>
      </c>
      <c r="E60" s="252"/>
      <c r="F60" t="s">
        <v>958</v>
      </c>
    </row>
    <row r="61" spans="1:6" x14ac:dyDescent="0.3">
      <c r="A61" t="s">
        <v>685</v>
      </c>
      <c r="B61" s="47" t="s">
        <v>829</v>
      </c>
      <c r="C61" t="s">
        <v>945</v>
      </c>
      <c r="D61" s="252">
        <v>220</v>
      </c>
      <c r="E61" s="252"/>
      <c r="F61" t="s">
        <v>958</v>
      </c>
    </row>
    <row r="62" spans="1:6" x14ac:dyDescent="0.3">
      <c r="A62" s="48"/>
      <c r="B62" s="49" t="s">
        <v>693</v>
      </c>
      <c r="C62" s="48"/>
      <c r="D62" s="251"/>
      <c r="E62" s="251"/>
    </row>
    <row r="63" spans="1:6" x14ac:dyDescent="0.3">
      <c r="A63" t="s">
        <v>964</v>
      </c>
      <c r="B63" s="47" t="s">
        <v>876</v>
      </c>
      <c r="C63" t="s">
        <v>194</v>
      </c>
      <c r="D63" s="73">
        <v>1</v>
      </c>
      <c r="E63" s="73"/>
    </row>
    <row r="64" spans="1:6" x14ac:dyDescent="0.3">
      <c r="A64" t="s">
        <v>693</v>
      </c>
      <c r="B64" s="47" t="s">
        <v>781</v>
      </c>
      <c r="C64" t="s">
        <v>802</v>
      </c>
      <c r="D64" s="73">
        <v>8</v>
      </c>
      <c r="E64" s="73"/>
    </row>
    <row r="65" spans="1:5" x14ac:dyDescent="0.3">
      <c r="A65" t="s">
        <v>693</v>
      </c>
      <c r="B65" s="47" t="s">
        <v>783</v>
      </c>
      <c r="C65" t="s">
        <v>802</v>
      </c>
      <c r="D65" s="73">
        <v>20</v>
      </c>
      <c r="E65" s="73"/>
    </row>
    <row r="66" spans="1:5" x14ac:dyDescent="0.3">
      <c r="A66" t="s">
        <v>693</v>
      </c>
      <c r="B66" s="47" t="s">
        <v>813</v>
      </c>
      <c r="C66" t="s">
        <v>965</v>
      </c>
      <c r="D66" s="73">
        <v>180</v>
      </c>
      <c r="E66" s="73"/>
    </row>
    <row r="67" spans="1:5" x14ac:dyDescent="0.3">
      <c r="A67" t="s">
        <v>693</v>
      </c>
      <c r="B67" s="47" t="s">
        <v>814</v>
      </c>
      <c r="C67" t="s">
        <v>802</v>
      </c>
      <c r="D67" s="73">
        <v>0.8</v>
      </c>
      <c r="E67" s="73"/>
    </row>
    <row r="68" spans="1:5" x14ac:dyDescent="0.3">
      <c r="A68" t="s">
        <v>693</v>
      </c>
      <c r="B68" s="47" t="s">
        <v>765</v>
      </c>
      <c r="C68" t="s">
        <v>92</v>
      </c>
      <c r="D68" s="73">
        <v>1.2</v>
      </c>
      <c r="E68" s="73"/>
    </row>
    <row r="69" spans="1:5" x14ac:dyDescent="0.3">
      <c r="A69" t="s">
        <v>966</v>
      </c>
      <c r="B69" s="47" t="s">
        <v>780</v>
      </c>
      <c r="C69" t="s">
        <v>967</v>
      </c>
      <c r="D69" s="73">
        <v>60</v>
      </c>
      <c r="E69" s="73"/>
    </row>
    <row r="70" spans="1:5" x14ac:dyDescent="0.3">
      <c r="A70" t="s">
        <v>966</v>
      </c>
      <c r="B70" s="47" t="s">
        <v>856</v>
      </c>
      <c r="C70" t="s">
        <v>968</v>
      </c>
      <c r="D70" s="73">
        <v>15.35</v>
      </c>
      <c r="E70" s="73"/>
    </row>
    <row r="71" spans="1:5" x14ac:dyDescent="0.3">
      <c r="A71" t="s">
        <v>966</v>
      </c>
      <c r="B71" s="47" t="s">
        <v>857</v>
      </c>
      <c r="C71" t="s">
        <v>968</v>
      </c>
      <c r="D71" s="73">
        <f>(75000/22/504)</f>
        <v>6.7640692640692643</v>
      </c>
      <c r="E71" s="73"/>
    </row>
    <row r="72" spans="1:5" x14ac:dyDescent="0.3">
      <c r="A72" t="s">
        <v>966</v>
      </c>
      <c r="B72" s="47" t="s">
        <v>841</v>
      </c>
      <c r="C72" t="s">
        <v>969</v>
      </c>
      <c r="D72" s="73">
        <v>18.5</v>
      </c>
      <c r="E72" s="73"/>
    </row>
    <row r="73" spans="1:5" x14ac:dyDescent="0.3">
      <c r="A73" t="s">
        <v>966</v>
      </c>
      <c r="B73" s="47" t="s">
        <v>820</v>
      </c>
      <c r="C73" t="s">
        <v>969</v>
      </c>
      <c r="D73" s="73">
        <v>25</v>
      </c>
      <c r="E73" s="73"/>
    </row>
    <row r="74" spans="1:5" x14ac:dyDescent="0.3">
      <c r="A74" t="s">
        <v>966</v>
      </c>
      <c r="B74" s="47" t="s">
        <v>819</v>
      </c>
      <c r="C74" t="s">
        <v>968</v>
      </c>
      <c r="D74" s="73">
        <v>20</v>
      </c>
      <c r="E74" s="73"/>
    </row>
    <row r="75" spans="1:5" x14ac:dyDescent="0.3">
      <c r="A75" t="s">
        <v>966</v>
      </c>
      <c r="B75" s="47" t="s">
        <v>817</v>
      </c>
      <c r="C75" t="s">
        <v>968</v>
      </c>
      <c r="D75" s="73">
        <v>1000</v>
      </c>
      <c r="E75" s="73"/>
    </row>
    <row r="76" spans="1:5" x14ac:dyDescent="0.3">
      <c r="A76" t="s">
        <v>966</v>
      </c>
      <c r="B76" s="47" t="s">
        <v>808</v>
      </c>
      <c r="C76" t="s">
        <v>194</v>
      </c>
      <c r="D76" s="73">
        <v>1</v>
      </c>
      <c r="E76" s="73"/>
    </row>
    <row r="77" spans="1:5" x14ac:dyDescent="0.3">
      <c r="A77" t="s">
        <v>966</v>
      </c>
      <c r="B77" s="47" t="s">
        <v>806</v>
      </c>
      <c r="C77" t="s">
        <v>194</v>
      </c>
      <c r="D77" s="73">
        <v>1</v>
      </c>
      <c r="E77" s="73"/>
    </row>
    <row r="78" spans="1:5" x14ac:dyDescent="0.3">
      <c r="A78" t="s">
        <v>966</v>
      </c>
      <c r="B78" s="47" t="s">
        <v>767</v>
      </c>
      <c r="C78" t="s">
        <v>194</v>
      </c>
      <c r="D78" s="73">
        <v>1</v>
      </c>
      <c r="E78" s="73"/>
    </row>
    <row r="79" spans="1:5" x14ac:dyDescent="0.3">
      <c r="A79" t="s">
        <v>966</v>
      </c>
      <c r="B79" s="47" t="s">
        <v>1048</v>
      </c>
      <c r="C79" t="s">
        <v>60</v>
      </c>
      <c r="D79" s="73">
        <v>10</v>
      </c>
      <c r="E79" s="73"/>
    </row>
    <row r="80" spans="1:5" x14ac:dyDescent="0.3">
      <c r="A80" t="s">
        <v>966</v>
      </c>
      <c r="B80" s="47" t="s">
        <v>1049</v>
      </c>
      <c r="C80" t="s">
        <v>60</v>
      </c>
      <c r="D80" s="73">
        <v>12</v>
      </c>
      <c r="E80" s="73"/>
    </row>
    <row r="81" spans="1:5" x14ac:dyDescent="0.3">
      <c r="A81" t="s">
        <v>693</v>
      </c>
      <c r="B81" s="47" t="s">
        <v>810</v>
      </c>
      <c r="C81" t="s">
        <v>60</v>
      </c>
      <c r="D81" s="73">
        <f>471.26/2.5</f>
        <v>188.50399999999999</v>
      </c>
      <c r="E81" s="73"/>
    </row>
    <row r="82" spans="1:5" x14ac:dyDescent="0.3">
      <c r="A82" t="s">
        <v>693</v>
      </c>
      <c r="B82" s="47" t="s">
        <v>811</v>
      </c>
      <c r="C82" t="s">
        <v>969</v>
      </c>
      <c r="D82" s="73">
        <v>196.92</v>
      </c>
      <c r="E82" s="73"/>
    </row>
    <row r="83" spans="1:5" x14ac:dyDescent="0.3">
      <c r="A83" t="s">
        <v>693</v>
      </c>
      <c r="B83" s="47" t="s">
        <v>812</v>
      </c>
      <c r="C83" t="s">
        <v>969</v>
      </c>
      <c r="D83" s="73">
        <v>4.29</v>
      </c>
      <c r="E83" s="73"/>
    </row>
    <row r="84" spans="1:5" x14ac:dyDescent="0.3">
      <c r="A84" t="s">
        <v>693</v>
      </c>
      <c r="B84" s="47" t="s">
        <v>815</v>
      </c>
      <c r="C84" t="s">
        <v>967</v>
      </c>
      <c r="D84" s="73">
        <f>234/6</f>
        <v>39</v>
      </c>
      <c r="E84" s="73"/>
    </row>
    <row r="85" spans="1:5" x14ac:dyDescent="0.3">
      <c r="A85" t="s">
        <v>693</v>
      </c>
      <c r="B85" s="47" t="s">
        <v>782</v>
      </c>
      <c r="C85" t="s">
        <v>965</v>
      </c>
      <c r="D85" s="73">
        <v>600</v>
      </c>
      <c r="E85" s="73"/>
    </row>
    <row r="86" spans="1:5" x14ac:dyDescent="0.3">
      <c r="A86" t="s">
        <v>693</v>
      </c>
      <c r="B86" s="47" t="s">
        <v>796</v>
      </c>
      <c r="C86" t="s">
        <v>802</v>
      </c>
      <c r="D86" s="73">
        <f>251.65/32.34</f>
        <v>7.7813852813852806</v>
      </c>
      <c r="E86" s="73"/>
    </row>
    <row r="87" spans="1:5" x14ac:dyDescent="0.3">
      <c r="A87" t="s">
        <v>693</v>
      </c>
      <c r="B87" s="47" t="s">
        <v>804</v>
      </c>
      <c r="C87" t="s">
        <v>802</v>
      </c>
      <c r="D87" s="73">
        <f>251.65/32.34</f>
        <v>7.7813852813852806</v>
      </c>
      <c r="E87" s="73"/>
    </row>
    <row r="88" spans="1:5" x14ac:dyDescent="0.3">
      <c r="A88" t="s">
        <v>693</v>
      </c>
      <c r="B88" s="47" t="s">
        <v>890</v>
      </c>
      <c r="C88" t="s">
        <v>969</v>
      </c>
      <c r="D88" s="73">
        <v>55</v>
      </c>
      <c r="E88" s="73"/>
    </row>
    <row r="89" spans="1:5" x14ac:dyDescent="0.3">
      <c r="A89" t="s">
        <v>693</v>
      </c>
      <c r="B89" s="47" t="s">
        <v>799</v>
      </c>
      <c r="C89" t="s">
        <v>965</v>
      </c>
      <c r="D89" s="73">
        <v>180</v>
      </c>
      <c r="E89" s="73"/>
    </row>
    <row r="90" spans="1:5" x14ac:dyDescent="0.3">
      <c r="A90" t="s">
        <v>693</v>
      </c>
      <c r="B90" s="47" t="s">
        <v>798</v>
      </c>
      <c r="C90" t="s">
        <v>60</v>
      </c>
      <c r="D90" s="73">
        <v>135</v>
      </c>
      <c r="E90" s="73"/>
    </row>
    <row r="91" spans="1:5" x14ac:dyDescent="0.3">
      <c r="A91" t="s">
        <v>693</v>
      </c>
      <c r="B91" s="47" t="s">
        <v>800</v>
      </c>
      <c r="C91" t="s">
        <v>60</v>
      </c>
      <c r="D91" s="73">
        <f>49/6</f>
        <v>8.1666666666666661</v>
      </c>
      <c r="E91" s="73"/>
    </row>
    <row r="92" spans="1:5" x14ac:dyDescent="0.3">
      <c r="A92" t="s">
        <v>693</v>
      </c>
      <c r="B92" s="47" t="s">
        <v>797</v>
      </c>
      <c r="C92" t="s">
        <v>82</v>
      </c>
      <c r="D92" s="73">
        <f>567/200</f>
        <v>2.835</v>
      </c>
      <c r="E92" s="73"/>
    </row>
    <row r="93" spans="1:5" x14ac:dyDescent="0.3">
      <c r="A93" t="s">
        <v>693</v>
      </c>
      <c r="B93" s="47" t="s">
        <v>787</v>
      </c>
      <c r="C93" t="s">
        <v>60</v>
      </c>
      <c r="D93" s="73">
        <v>12</v>
      </c>
      <c r="E93" s="73"/>
    </row>
    <row r="94" spans="1:5" x14ac:dyDescent="0.3">
      <c r="A94" t="s">
        <v>693</v>
      </c>
      <c r="B94" s="47" t="s">
        <v>784</v>
      </c>
      <c r="C94" t="s">
        <v>60</v>
      </c>
      <c r="D94" s="73">
        <v>20</v>
      </c>
      <c r="E94" s="73"/>
    </row>
    <row r="95" spans="1:5" x14ac:dyDescent="0.3">
      <c r="A95" t="s">
        <v>693</v>
      </c>
      <c r="B95" s="47" t="s">
        <v>803</v>
      </c>
      <c r="C95" t="s">
        <v>60</v>
      </c>
      <c r="D95" s="73">
        <v>8</v>
      </c>
      <c r="E95" s="73"/>
    </row>
    <row r="96" spans="1:5" x14ac:dyDescent="0.3">
      <c r="A96" t="s">
        <v>693</v>
      </c>
      <c r="B96" s="47" t="s">
        <v>785</v>
      </c>
      <c r="C96" t="s">
        <v>802</v>
      </c>
      <c r="D96" s="73">
        <v>15</v>
      </c>
      <c r="E96" s="73"/>
    </row>
    <row r="97" spans="1:5" x14ac:dyDescent="0.3">
      <c r="A97" t="s">
        <v>693</v>
      </c>
      <c r="B97" s="47" t="s">
        <v>838</v>
      </c>
      <c r="C97" t="s">
        <v>928</v>
      </c>
      <c r="D97" s="73">
        <v>3500</v>
      </c>
      <c r="E97" s="73"/>
    </row>
    <row r="98" spans="1:5" x14ac:dyDescent="0.3">
      <c r="A98" t="s">
        <v>693</v>
      </c>
      <c r="B98" s="47" t="s">
        <v>839</v>
      </c>
      <c r="C98" t="s">
        <v>928</v>
      </c>
      <c r="D98" s="73">
        <v>3500</v>
      </c>
      <c r="E98" s="48"/>
    </row>
    <row r="99" spans="1:5" x14ac:dyDescent="0.3">
      <c r="A99" t="s">
        <v>693</v>
      </c>
      <c r="B99" s="47" t="s">
        <v>760</v>
      </c>
      <c r="C99" t="s">
        <v>969</v>
      </c>
      <c r="D99" s="73">
        <v>37.9</v>
      </c>
      <c r="E99" s="48"/>
    </row>
    <row r="100" spans="1:5" x14ac:dyDescent="0.3">
      <c r="A100" t="s">
        <v>693</v>
      </c>
      <c r="B100" s="47" t="s">
        <v>761</v>
      </c>
      <c r="C100" t="s">
        <v>969</v>
      </c>
      <c r="D100" s="73">
        <v>119.9</v>
      </c>
      <c r="E100" s="48"/>
    </row>
    <row r="101" spans="1:5" x14ac:dyDescent="0.3">
      <c r="A101" t="s">
        <v>693</v>
      </c>
      <c r="B101" s="47" t="s">
        <v>762</v>
      </c>
      <c r="C101" t="s">
        <v>967</v>
      </c>
      <c r="D101" s="73">
        <v>0.55000000000000004</v>
      </c>
      <c r="E101" s="48"/>
    </row>
    <row r="102" spans="1:5" x14ac:dyDescent="0.3">
      <c r="A102" t="s">
        <v>693</v>
      </c>
      <c r="B102" s="47" t="s">
        <v>837</v>
      </c>
      <c r="C102" t="s">
        <v>928</v>
      </c>
      <c r="D102" s="73">
        <v>4950</v>
      </c>
    </row>
    <row r="103" spans="1:5" x14ac:dyDescent="0.3">
      <c r="A103" t="s">
        <v>693</v>
      </c>
      <c r="B103" s="47" t="s">
        <v>970</v>
      </c>
      <c r="C103" t="s">
        <v>969</v>
      </c>
      <c r="D103" s="73">
        <v>20000</v>
      </c>
    </row>
    <row r="104" spans="1:5" x14ac:dyDescent="0.3">
      <c r="A104" t="s">
        <v>693</v>
      </c>
      <c r="B104" s="47" t="s">
        <v>824</v>
      </c>
      <c r="C104" t="s">
        <v>969</v>
      </c>
      <c r="D104" s="73">
        <v>18000</v>
      </c>
    </row>
    <row r="105" spans="1:5" x14ac:dyDescent="0.3">
      <c r="A105" t="s">
        <v>966</v>
      </c>
      <c r="B105" s="47" t="s">
        <v>822</v>
      </c>
      <c r="C105" t="s">
        <v>82</v>
      </c>
      <c r="D105" s="73">
        <v>23</v>
      </c>
    </row>
    <row r="106" spans="1:5" x14ac:dyDescent="0.3">
      <c r="A106" t="s">
        <v>966</v>
      </c>
      <c r="B106" s="47" t="s">
        <v>801</v>
      </c>
      <c r="C106" t="s">
        <v>82</v>
      </c>
      <c r="D106" s="73">
        <v>50</v>
      </c>
    </row>
    <row r="107" spans="1:5" x14ac:dyDescent="0.3">
      <c r="A107" t="s">
        <v>693</v>
      </c>
      <c r="B107" s="47" t="s">
        <v>836</v>
      </c>
      <c r="C107" t="s">
        <v>928</v>
      </c>
      <c r="D107" s="73">
        <v>180</v>
      </c>
    </row>
    <row r="108" spans="1:5" x14ac:dyDescent="0.3">
      <c r="A108" t="s">
        <v>693</v>
      </c>
      <c r="B108" s="47" t="s">
        <v>886</v>
      </c>
      <c r="C108" t="s">
        <v>928</v>
      </c>
      <c r="D108" s="73">
        <v>78</v>
      </c>
    </row>
    <row r="109" spans="1:5" x14ac:dyDescent="0.3">
      <c r="A109" s="48"/>
      <c r="B109" s="49" t="s">
        <v>686</v>
      </c>
      <c r="C109" s="48"/>
      <c r="D109" s="48"/>
    </row>
    <row r="110" spans="1:5" x14ac:dyDescent="0.3">
      <c r="A110" t="s">
        <v>686</v>
      </c>
      <c r="B110" s="47" t="s">
        <v>175</v>
      </c>
      <c r="C110" t="s">
        <v>176</v>
      </c>
      <c r="D110">
        <v>6</v>
      </c>
    </row>
    <row r="111" spans="1:5" x14ac:dyDescent="0.3">
      <c r="A111" t="s">
        <v>686</v>
      </c>
      <c r="B111" s="47" t="s">
        <v>1034</v>
      </c>
      <c r="C111" t="s">
        <v>176</v>
      </c>
      <c r="D111">
        <v>0</v>
      </c>
    </row>
    <row r="112" spans="1:5" x14ac:dyDescent="0.3">
      <c r="A112" t="s">
        <v>686</v>
      </c>
      <c r="B112" s="47" t="s">
        <v>288</v>
      </c>
      <c r="C112" t="s">
        <v>176</v>
      </c>
      <c r="D112">
        <v>7</v>
      </c>
    </row>
  </sheetData>
  <sortState xmlns:xlrd2="http://schemas.microsoft.com/office/spreadsheetml/2017/richdata2" ref="M98:Q183">
    <sortCondition ref="N98:N183"/>
  </sortState>
  <phoneticPr fontId="58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O1999"/>
  <sheetViews>
    <sheetView zoomScaleNormal="100" workbookViewId="0">
      <selection activeCell="H35" sqref="H35"/>
    </sheetView>
  </sheetViews>
  <sheetFormatPr defaultRowHeight="14.4" x14ac:dyDescent="0.3"/>
  <cols>
    <col min="1" max="1" width="6.88671875" bestFit="1" customWidth="1"/>
    <col min="2" max="2" width="32.21875" bestFit="1" customWidth="1"/>
    <col min="3" max="3" width="24.5546875" bestFit="1" customWidth="1"/>
    <col min="4" max="4" width="19.77734375" bestFit="1" customWidth="1"/>
    <col min="5" max="5" width="7.5546875" bestFit="1" customWidth="1"/>
    <col min="6" max="6" width="80.88671875" bestFit="1" customWidth="1"/>
    <col min="7" max="7" width="8.21875" bestFit="1" customWidth="1"/>
    <col min="8" max="8" width="4.33203125" bestFit="1" customWidth="1"/>
    <col min="9" max="9" width="10" bestFit="1" customWidth="1"/>
    <col min="10" max="10" width="13.88671875" bestFit="1" customWidth="1"/>
    <col min="11" max="11" width="15.109375" bestFit="1" customWidth="1"/>
    <col min="12" max="12" width="13.6640625" bestFit="1" customWidth="1"/>
    <col min="13" max="13" width="14.88671875" bestFit="1" customWidth="1"/>
    <col min="14" max="14" width="12.109375" bestFit="1" customWidth="1"/>
    <col min="15" max="15" width="13.6640625" bestFit="1" customWidth="1"/>
  </cols>
  <sheetData>
    <row r="1" spans="1:15" x14ac:dyDescent="0.3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19</v>
      </c>
      <c r="I1" t="s">
        <v>20</v>
      </c>
      <c r="J1" t="s">
        <v>21</v>
      </c>
      <c r="K1" t="s">
        <v>22</v>
      </c>
      <c r="L1" t="s">
        <v>23</v>
      </c>
      <c r="M1" t="s">
        <v>24</v>
      </c>
      <c r="N1" t="s">
        <v>25</v>
      </c>
      <c r="O1" t="s">
        <v>971</v>
      </c>
    </row>
    <row r="2" spans="1:15" x14ac:dyDescent="0.3">
      <c r="C2" t="s">
        <v>41</v>
      </c>
      <c r="D2" t="s">
        <v>41</v>
      </c>
      <c r="K2">
        <v>0</v>
      </c>
      <c r="L2" t="s">
        <v>41</v>
      </c>
      <c r="M2" t="s">
        <v>972</v>
      </c>
      <c r="N2" t="s">
        <v>41</v>
      </c>
    </row>
    <row r="3" spans="1:15" x14ac:dyDescent="0.3">
      <c r="C3" t="s">
        <v>41</v>
      </c>
      <c r="D3" t="s">
        <v>41</v>
      </c>
      <c r="K3">
        <v>0</v>
      </c>
      <c r="L3" t="s">
        <v>41</v>
      </c>
      <c r="M3" t="s">
        <v>972</v>
      </c>
      <c r="N3" t="s">
        <v>41</v>
      </c>
    </row>
    <row r="4" spans="1:15" x14ac:dyDescent="0.3">
      <c r="C4" t="s">
        <v>41</v>
      </c>
      <c r="D4" t="s">
        <v>41</v>
      </c>
      <c r="K4">
        <v>0</v>
      </c>
      <c r="L4" t="s">
        <v>41</v>
      </c>
      <c r="M4" t="s">
        <v>972</v>
      </c>
      <c r="N4" t="s">
        <v>41</v>
      </c>
    </row>
    <row r="5" spans="1:15" x14ac:dyDescent="0.3">
      <c r="C5" t="s">
        <v>41</v>
      </c>
      <c r="D5" t="s">
        <v>41</v>
      </c>
      <c r="K5">
        <v>0</v>
      </c>
      <c r="L5" t="s">
        <v>41</v>
      </c>
      <c r="M5" t="s">
        <v>972</v>
      </c>
      <c r="N5" t="s">
        <v>41</v>
      </c>
    </row>
    <row r="6" spans="1:15" x14ac:dyDescent="0.3">
      <c r="C6" t="s">
        <v>41</v>
      </c>
      <c r="D6" t="s">
        <v>41</v>
      </c>
      <c r="K6">
        <v>0</v>
      </c>
      <c r="L6" t="s">
        <v>41</v>
      </c>
      <c r="M6" t="s">
        <v>972</v>
      </c>
      <c r="N6" t="s">
        <v>41</v>
      </c>
    </row>
    <row r="7" spans="1:15" x14ac:dyDescent="0.3">
      <c r="C7" t="s">
        <v>41</v>
      </c>
      <c r="D7" t="s">
        <v>41</v>
      </c>
      <c r="K7">
        <v>0</v>
      </c>
      <c r="L7" t="s">
        <v>41</v>
      </c>
      <c r="M7" t="s">
        <v>972</v>
      </c>
      <c r="N7" t="s">
        <v>41</v>
      </c>
    </row>
    <row r="8" spans="1:15" x14ac:dyDescent="0.3">
      <c r="C8" t="s">
        <v>41</v>
      </c>
      <c r="D8" t="s">
        <v>41</v>
      </c>
      <c r="K8">
        <v>0</v>
      </c>
      <c r="L8" t="s">
        <v>41</v>
      </c>
      <c r="M8" t="s">
        <v>972</v>
      </c>
      <c r="N8" t="s">
        <v>41</v>
      </c>
    </row>
    <row r="9" spans="1:15" x14ac:dyDescent="0.3">
      <c r="C9" t="s">
        <v>41</v>
      </c>
      <c r="D9" t="s">
        <v>41</v>
      </c>
      <c r="K9">
        <v>0</v>
      </c>
      <c r="L9" t="s">
        <v>41</v>
      </c>
      <c r="M9" t="s">
        <v>972</v>
      </c>
      <c r="N9" t="s">
        <v>41</v>
      </c>
    </row>
    <row r="10" spans="1:15" x14ac:dyDescent="0.3">
      <c r="C10" t="s">
        <v>41</v>
      </c>
      <c r="D10" t="s">
        <v>41</v>
      </c>
      <c r="K10">
        <v>0</v>
      </c>
      <c r="L10" t="s">
        <v>41</v>
      </c>
      <c r="M10" t="s">
        <v>972</v>
      </c>
      <c r="N10" t="s">
        <v>41</v>
      </c>
    </row>
    <row r="11" spans="1:15" x14ac:dyDescent="0.3">
      <c r="C11" t="s">
        <v>41</v>
      </c>
      <c r="D11" t="s">
        <v>41</v>
      </c>
      <c r="K11">
        <v>0</v>
      </c>
      <c r="L11" t="s">
        <v>41</v>
      </c>
      <c r="M11" t="s">
        <v>972</v>
      </c>
      <c r="N11" t="s">
        <v>41</v>
      </c>
    </row>
    <row r="12" spans="1:15" x14ac:dyDescent="0.3">
      <c r="C12" t="s">
        <v>41</v>
      </c>
      <c r="D12" t="s">
        <v>41</v>
      </c>
      <c r="K12">
        <v>0</v>
      </c>
      <c r="L12" t="s">
        <v>41</v>
      </c>
      <c r="M12" t="s">
        <v>972</v>
      </c>
      <c r="N12" t="s">
        <v>41</v>
      </c>
    </row>
    <row r="13" spans="1:15" x14ac:dyDescent="0.3">
      <c r="C13" t="s">
        <v>41</v>
      </c>
      <c r="D13" t="s">
        <v>41</v>
      </c>
      <c r="K13">
        <v>0</v>
      </c>
      <c r="L13" t="s">
        <v>41</v>
      </c>
      <c r="M13" t="s">
        <v>972</v>
      </c>
      <c r="N13" t="s">
        <v>41</v>
      </c>
    </row>
    <row r="14" spans="1:15" x14ac:dyDescent="0.3">
      <c r="C14" t="s">
        <v>41</v>
      </c>
      <c r="D14" t="s">
        <v>41</v>
      </c>
      <c r="K14">
        <v>0</v>
      </c>
      <c r="L14" t="s">
        <v>41</v>
      </c>
      <c r="M14" t="s">
        <v>972</v>
      </c>
      <c r="N14" t="s">
        <v>41</v>
      </c>
    </row>
    <row r="15" spans="1:15" x14ac:dyDescent="0.3">
      <c r="C15" t="s">
        <v>41</v>
      </c>
      <c r="D15" t="s">
        <v>41</v>
      </c>
      <c r="K15">
        <v>0</v>
      </c>
      <c r="L15" t="s">
        <v>41</v>
      </c>
      <c r="M15" t="s">
        <v>972</v>
      </c>
      <c r="N15" t="s">
        <v>41</v>
      </c>
    </row>
    <row r="16" spans="1:15" x14ac:dyDescent="0.3">
      <c r="C16" t="s">
        <v>41</v>
      </c>
      <c r="D16" t="s">
        <v>41</v>
      </c>
      <c r="K16">
        <v>0</v>
      </c>
      <c r="L16" t="s">
        <v>41</v>
      </c>
      <c r="M16" t="s">
        <v>972</v>
      </c>
      <c r="N16" t="s">
        <v>41</v>
      </c>
    </row>
    <row r="17" spans="3:14" x14ac:dyDescent="0.3">
      <c r="C17" t="s">
        <v>41</v>
      </c>
      <c r="D17" t="s">
        <v>41</v>
      </c>
      <c r="K17">
        <v>0</v>
      </c>
      <c r="L17" t="s">
        <v>41</v>
      </c>
      <c r="M17" t="s">
        <v>972</v>
      </c>
      <c r="N17" t="s">
        <v>41</v>
      </c>
    </row>
    <row r="18" spans="3:14" x14ac:dyDescent="0.3">
      <c r="C18" t="s">
        <v>41</v>
      </c>
      <c r="D18" t="s">
        <v>41</v>
      </c>
      <c r="K18">
        <v>0</v>
      </c>
      <c r="L18" t="s">
        <v>41</v>
      </c>
      <c r="M18" t="s">
        <v>972</v>
      </c>
      <c r="N18" t="s">
        <v>41</v>
      </c>
    </row>
    <row r="19" spans="3:14" x14ac:dyDescent="0.3">
      <c r="C19" t="s">
        <v>41</v>
      </c>
      <c r="D19" t="s">
        <v>41</v>
      </c>
      <c r="K19">
        <v>0</v>
      </c>
      <c r="L19" t="s">
        <v>41</v>
      </c>
      <c r="M19" t="s">
        <v>972</v>
      </c>
      <c r="N19" t="s">
        <v>41</v>
      </c>
    </row>
    <row r="20" spans="3:14" x14ac:dyDescent="0.3">
      <c r="C20" t="s">
        <v>41</v>
      </c>
      <c r="D20" t="s">
        <v>41</v>
      </c>
      <c r="K20">
        <v>0</v>
      </c>
      <c r="L20" t="s">
        <v>41</v>
      </c>
      <c r="M20" t="s">
        <v>972</v>
      </c>
      <c r="N20" t="s">
        <v>41</v>
      </c>
    </row>
    <row r="21" spans="3:14" x14ac:dyDescent="0.3">
      <c r="C21" t="s">
        <v>41</v>
      </c>
      <c r="D21" t="s">
        <v>41</v>
      </c>
      <c r="K21">
        <v>0</v>
      </c>
      <c r="L21" t="s">
        <v>41</v>
      </c>
      <c r="M21" t="s">
        <v>972</v>
      </c>
      <c r="N21" t="s">
        <v>41</v>
      </c>
    </row>
    <row r="22" spans="3:14" x14ac:dyDescent="0.3">
      <c r="C22" t="s">
        <v>41</v>
      </c>
      <c r="D22" t="s">
        <v>41</v>
      </c>
      <c r="K22">
        <v>0</v>
      </c>
      <c r="L22" t="s">
        <v>41</v>
      </c>
      <c r="M22" t="s">
        <v>972</v>
      </c>
      <c r="N22" t="s">
        <v>41</v>
      </c>
    </row>
    <row r="23" spans="3:14" x14ac:dyDescent="0.3">
      <c r="C23" t="s">
        <v>41</v>
      </c>
      <c r="D23" t="s">
        <v>41</v>
      </c>
      <c r="K23">
        <v>0</v>
      </c>
      <c r="L23" t="s">
        <v>41</v>
      </c>
      <c r="M23" t="s">
        <v>972</v>
      </c>
      <c r="N23" t="s">
        <v>41</v>
      </c>
    </row>
    <row r="24" spans="3:14" x14ac:dyDescent="0.3">
      <c r="C24" t="s">
        <v>41</v>
      </c>
      <c r="D24" t="s">
        <v>41</v>
      </c>
      <c r="K24">
        <v>0</v>
      </c>
      <c r="L24" t="s">
        <v>41</v>
      </c>
      <c r="M24" t="s">
        <v>972</v>
      </c>
      <c r="N24" t="s">
        <v>41</v>
      </c>
    </row>
    <row r="25" spans="3:14" x14ac:dyDescent="0.3">
      <c r="C25" t="s">
        <v>41</v>
      </c>
      <c r="D25" t="s">
        <v>41</v>
      </c>
      <c r="K25">
        <v>0</v>
      </c>
      <c r="L25" t="s">
        <v>41</v>
      </c>
      <c r="M25" t="s">
        <v>972</v>
      </c>
      <c r="N25" t="s">
        <v>41</v>
      </c>
    </row>
    <row r="26" spans="3:14" x14ac:dyDescent="0.3">
      <c r="C26" t="s">
        <v>41</v>
      </c>
      <c r="D26" t="s">
        <v>41</v>
      </c>
      <c r="K26">
        <v>0</v>
      </c>
      <c r="L26" t="s">
        <v>41</v>
      </c>
      <c r="M26" t="s">
        <v>972</v>
      </c>
      <c r="N26" t="s">
        <v>41</v>
      </c>
    </row>
    <row r="27" spans="3:14" x14ac:dyDescent="0.3">
      <c r="C27" t="s">
        <v>41</v>
      </c>
      <c r="D27" t="s">
        <v>41</v>
      </c>
      <c r="K27">
        <v>0</v>
      </c>
      <c r="L27" t="s">
        <v>41</v>
      </c>
      <c r="M27" t="s">
        <v>972</v>
      </c>
      <c r="N27" t="s">
        <v>41</v>
      </c>
    </row>
    <row r="28" spans="3:14" x14ac:dyDescent="0.3">
      <c r="C28" t="s">
        <v>41</v>
      </c>
      <c r="D28" t="s">
        <v>41</v>
      </c>
      <c r="K28">
        <v>0</v>
      </c>
      <c r="L28" t="s">
        <v>41</v>
      </c>
      <c r="M28" t="s">
        <v>972</v>
      </c>
      <c r="N28" t="s">
        <v>41</v>
      </c>
    </row>
    <row r="29" spans="3:14" x14ac:dyDescent="0.3">
      <c r="C29" t="s">
        <v>41</v>
      </c>
      <c r="D29" t="s">
        <v>41</v>
      </c>
      <c r="K29">
        <v>0</v>
      </c>
      <c r="L29" t="s">
        <v>41</v>
      </c>
      <c r="M29" t="s">
        <v>972</v>
      </c>
      <c r="N29" t="s">
        <v>41</v>
      </c>
    </row>
    <row r="30" spans="3:14" x14ac:dyDescent="0.3">
      <c r="C30" t="s">
        <v>41</v>
      </c>
      <c r="D30" t="s">
        <v>41</v>
      </c>
      <c r="K30">
        <v>0</v>
      </c>
      <c r="L30" t="s">
        <v>41</v>
      </c>
      <c r="M30" t="s">
        <v>972</v>
      </c>
      <c r="N30" t="s">
        <v>41</v>
      </c>
    </row>
    <row r="31" spans="3:14" x14ac:dyDescent="0.3">
      <c r="C31" t="s">
        <v>41</v>
      </c>
      <c r="D31" t="s">
        <v>41</v>
      </c>
      <c r="K31">
        <v>0</v>
      </c>
      <c r="L31" t="s">
        <v>41</v>
      </c>
      <c r="M31" t="s">
        <v>972</v>
      </c>
      <c r="N31" t="s">
        <v>41</v>
      </c>
    </row>
    <row r="32" spans="3:14" x14ac:dyDescent="0.3">
      <c r="C32" t="s">
        <v>41</v>
      </c>
      <c r="D32" t="s">
        <v>41</v>
      </c>
      <c r="K32">
        <v>0</v>
      </c>
      <c r="L32" t="s">
        <v>41</v>
      </c>
      <c r="M32" t="s">
        <v>972</v>
      </c>
      <c r="N32" t="s">
        <v>41</v>
      </c>
    </row>
    <row r="33" spans="3:14" x14ac:dyDescent="0.3">
      <c r="C33" t="s">
        <v>41</v>
      </c>
      <c r="D33" t="s">
        <v>41</v>
      </c>
      <c r="K33">
        <v>0</v>
      </c>
      <c r="L33" t="s">
        <v>41</v>
      </c>
      <c r="M33" t="s">
        <v>972</v>
      </c>
      <c r="N33" t="s">
        <v>41</v>
      </c>
    </row>
    <row r="34" spans="3:14" x14ac:dyDescent="0.3">
      <c r="C34" t="s">
        <v>41</v>
      </c>
      <c r="D34" t="s">
        <v>41</v>
      </c>
      <c r="K34">
        <v>0</v>
      </c>
      <c r="L34" t="s">
        <v>41</v>
      </c>
      <c r="M34" t="s">
        <v>972</v>
      </c>
      <c r="N34" t="s">
        <v>41</v>
      </c>
    </row>
    <row r="35" spans="3:14" x14ac:dyDescent="0.3">
      <c r="C35" t="s">
        <v>41</v>
      </c>
      <c r="D35" t="s">
        <v>41</v>
      </c>
      <c r="K35">
        <v>0</v>
      </c>
      <c r="L35" t="s">
        <v>41</v>
      </c>
      <c r="M35" t="s">
        <v>972</v>
      </c>
      <c r="N35" t="s">
        <v>41</v>
      </c>
    </row>
    <row r="36" spans="3:14" x14ac:dyDescent="0.3">
      <c r="C36" t="s">
        <v>41</v>
      </c>
      <c r="D36" t="s">
        <v>41</v>
      </c>
      <c r="K36">
        <v>0</v>
      </c>
      <c r="L36" t="s">
        <v>41</v>
      </c>
      <c r="M36" t="s">
        <v>972</v>
      </c>
      <c r="N36" t="s">
        <v>41</v>
      </c>
    </row>
    <row r="37" spans="3:14" x14ac:dyDescent="0.3">
      <c r="C37" t="s">
        <v>41</v>
      </c>
      <c r="D37" t="s">
        <v>41</v>
      </c>
      <c r="K37">
        <v>0</v>
      </c>
      <c r="L37" t="s">
        <v>41</v>
      </c>
      <c r="M37" t="s">
        <v>972</v>
      </c>
      <c r="N37" t="s">
        <v>41</v>
      </c>
    </row>
    <row r="38" spans="3:14" x14ac:dyDescent="0.3">
      <c r="C38" t="s">
        <v>41</v>
      </c>
      <c r="D38" t="s">
        <v>41</v>
      </c>
      <c r="K38">
        <v>0</v>
      </c>
      <c r="L38" t="s">
        <v>41</v>
      </c>
      <c r="M38" t="s">
        <v>972</v>
      </c>
      <c r="N38" t="s">
        <v>41</v>
      </c>
    </row>
    <row r="39" spans="3:14" x14ac:dyDescent="0.3">
      <c r="C39" t="s">
        <v>41</v>
      </c>
      <c r="D39" t="s">
        <v>41</v>
      </c>
      <c r="K39">
        <v>0</v>
      </c>
      <c r="L39" t="s">
        <v>41</v>
      </c>
      <c r="M39" t="s">
        <v>972</v>
      </c>
      <c r="N39" t="s">
        <v>41</v>
      </c>
    </row>
    <row r="40" spans="3:14" x14ac:dyDescent="0.3">
      <c r="C40" t="s">
        <v>41</v>
      </c>
      <c r="D40" t="s">
        <v>41</v>
      </c>
      <c r="K40">
        <v>0</v>
      </c>
      <c r="L40" t="s">
        <v>41</v>
      </c>
      <c r="M40" t="s">
        <v>972</v>
      </c>
      <c r="N40" t="s">
        <v>41</v>
      </c>
    </row>
    <row r="41" spans="3:14" x14ac:dyDescent="0.3">
      <c r="C41" t="s">
        <v>41</v>
      </c>
      <c r="D41" t="s">
        <v>41</v>
      </c>
      <c r="K41">
        <v>0</v>
      </c>
      <c r="L41" t="s">
        <v>41</v>
      </c>
      <c r="M41" t="s">
        <v>972</v>
      </c>
      <c r="N41" t="s">
        <v>41</v>
      </c>
    </row>
    <row r="42" spans="3:14" x14ac:dyDescent="0.3">
      <c r="C42" t="s">
        <v>41</v>
      </c>
      <c r="D42" t="s">
        <v>41</v>
      </c>
      <c r="K42">
        <v>0</v>
      </c>
      <c r="L42" t="s">
        <v>41</v>
      </c>
      <c r="M42" t="s">
        <v>972</v>
      </c>
      <c r="N42" t="s">
        <v>41</v>
      </c>
    </row>
    <row r="43" spans="3:14" x14ac:dyDescent="0.3">
      <c r="C43" t="s">
        <v>41</v>
      </c>
      <c r="D43" t="s">
        <v>41</v>
      </c>
      <c r="K43">
        <v>0</v>
      </c>
      <c r="L43" t="s">
        <v>41</v>
      </c>
      <c r="M43" t="s">
        <v>972</v>
      </c>
      <c r="N43" t="s">
        <v>41</v>
      </c>
    </row>
    <row r="44" spans="3:14" x14ac:dyDescent="0.3">
      <c r="C44" t="s">
        <v>41</v>
      </c>
      <c r="D44" t="s">
        <v>41</v>
      </c>
      <c r="K44">
        <v>0</v>
      </c>
      <c r="L44" t="s">
        <v>41</v>
      </c>
      <c r="M44" t="s">
        <v>972</v>
      </c>
      <c r="N44" t="s">
        <v>41</v>
      </c>
    </row>
    <row r="45" spans="3:14" x14ac:dyDescent="0.3">
      <c r="C45" t="s">
        <v>41</v>
      </c>
      <c r="D45" t="s">
        <v>41</v>
      </c>
      <c r="K45">
        <v>0</v>
      </c>
      <c r="L45" t="s">
        <v>41</v>
      </c>
      <c r="M45" t="s">
        <v>972</v>
      </c>
      <c r="N45" t="s">
        <v>41</v>
      </c>
    </row>
    <row r="46" spans="3:14" x14ac:dyDescent="0.3">
      <c r="C46" t="s">
        <v>41</v>
      </c>
      <c r="D46" t="s">
        <v>41</v>
      </c>
      <c r="K46">
        <v>0</v>
      </c>
      <c r="L46" t="s">
        <v>41</v>
      </c>
      <c r="M46" t="s">
        <v>972</v>
      </c>
      <c r="N46" t="s">
        <v>41</v>
      </c>
    </row>
    <row r="47" spans="3:14" x14ac:dyDescent="0.3">
      <c r="C47" t="s">
        <v>41</v>
      </c>
      <c r="D47" t="s">
        <v>41</v>
      </c>
      <c r="K47">
        <v>0</v>
      </c>
      <c r="L47" t="s">
        <v>41</v>
      </c>
      <c r="M47" t="s">
        <v>972</v>
      </c>
      <c r="N47" t="s">
        <v>41</v>
      </c>
    </row>
    <row r="48" spans="3:14" x14ac:dyDescent="0.3">
      <c r="C48" t="s">
        <v>41</v>
      </c>
      <c r="D48" t="s">
        <v>41</v>
      </c>
      <c r="K48">
        <v>0</v>
      </c>
      <c r="L48" t="s">
        <v>41</v>
      </c>
      <c r="M48" t="s">
        <v>972</v>
      </c>
      <c r="N48" t="s">
        <v>41</v>
      </c>
    </row>
    <row r="49" spans="3:14" x14ac:dyDescent="0.3">
      <c r="C49" t="s">
        <v>41</v>
      </c>
      <c r="D49" t="s">
        <v>41</v>
      </c>
      <c r="K49">
        <v>0</v>
      </c>
      <c r="L49" t="s">
        <v>41</v>
      </c>
      <c r="M49" t="s">
        <v>972</v>
      </c>
      <c r="N49" t="s">
        <v>41</v>
      </c>
    </row>
    <row r="50" spans="3:14" x14ac:dyDescent="0.3">
      <c r="C50" t="s">
        <v>41</v>
      </c>
      <c r="D50" t="s">
        <v>41</v>
      </c>
      <c r="K50">
        <v>0</v>
      </c>
      <c r="L50" t="s">
        <v>41</v>
      </c>
      <c r="M50" t="s">
        <v>972</v>
      </c>
      <c r="N50" t="s">
        <v>41</v>
      </c>
    </row>
    <row r="51" spans="3:14" x14ac:dyDescent="0.3">
      <c r="C51" t="s">
        <v>41</v>
      </c>
      <c r="D51" t="s">
        <v>41</v>
      </c>
      <c r="K51">
        <v>0</v>
      </c>
      <c r="L51" t="s">
        <v>41</v>
      </c>
      <c r="M51" t="s">
        <v>972</v>
      </c>
      <c r="N51" t="s">
        <v>41</v>
      </c>
    </row>
    <row r="52" spans="3:14" x14ac:dyDescent="0.3">
      <c r="C52" t="s">
        <v>41</v>
      </c>
      <c r="D52" t="s">
        <v>41</v>
      </c>
      <c r="K52">
        <v>0</v>
      </c>
      <c r="L52" t="s">
        <v>41</v>
      </c>
      <c r="M52" t="s">
        <v>972</v>
      </c>
      <c r="N52" t="s">
        <v>41</v>
      </c>
    </row>
    <row r="53" spans="3:14" x14ac:dyDescent="0.3">
      <c r="C53" t="s">
        <v>41</v>
      </c>
      <c r="D53" t="s">
        <v>41</v>
      </c>
      <c r="K53">
        <v>0</v>
      </c>
      <c r="L53" t="s">
        <v>41</v>
      </c>
      <c r="M53" t="s">
        <v>972</v>
      </c>
      <c r="N53" t="s">
        <v>41</v>
      </c>
    </row>
    <row r="54" spans="3:14" x14ac:dyDescent="0.3">
      <c r="C54" t="s">
        <v>41</v>
      </c>
      <c r="D54" t="s">
        <v>41</v>
      </c>
      <c r="K54">
        <v>0</v>
      </c>
      <c r="L54" t="s">
        <v>41</v>
      </c>
      <c r="M54" t="s">
        <v>972</v>
      </c>
      <c r="N54" t="s">
        <v>41</v>
      </c>
    </row>
    <row r="55" spans="3:14" x14ac:dyDescent="0.3">
      <c r="C55" t="s">
        <v>41</v>
      </c>
      <c r="D55" t="s">
        <v>41</v>
      </c>
      <c r="K55">
        <v>0</v>
      </c>
      <c r="L55" t="s">
        <v>41</v>
      </c>
      <c r="M55" t="s">
        <v>972</v>
      </c>
      <c r="N55" t="s">
        <v>41</v>
      </c>
    </row>
    <row r="56" spans="3:14" x14ac:dyDescent="0.3">
      <c r="C56" t="s">
        <v>41</v>
      </c>
      <c r="D56" t="s">
        <v>41</v>
      </c>
      <c r="K56">
        <v>0</v>
      </c>
      <c r="L56" t="s">
        <v>41</v>
      </c>
      <c r="M56" t="s">
        <v>972</v>
      </c>
      <c r="N56" t="s">
        <v>41</v>
      </c>
    </row>
    <row r="57" spans="3:14" x14ac:dyDescent="0.3">
      <c r="C57" t="s">
        <v>41</v>
      </c>
      <c r="D57" t="s">
        <v>41</v>
      </c>
      <c r="K57">
        <v>0</v>
      </c>
      <c r="L57" t="s">
        <v>41</v>
      </c>
      <c r="M57" t="s">
        <v>972</v>
      </c>
      <c r="N57" t="s">
        <v>41</v>
      </c>
    </row>
    <row r="58" spans="3:14" x14ac:dyDescent="0.3">
      <c r="C58" t="s">
        <v>41</v>
      </c>
      <c r="D58" t="s">
        <v>41</v>
      </c>
      <c r="K58">
        <v>0</v>
      </c>
      <c r="L58" t="s">
        <v>41</v>
      </c>
      <c r="M58" t="s">
        <v>972</v>
      </c>
      <c r="N58" t="s">
        <v>41</v>
      </c>
    </row>
    <row r="59" spans="3:14" x14ac:dyDescent="0.3">
      <c r="C59" t="s">
        <v>41</v>
      </c>
      <c r="D59" t="s">
        <v>41</v>
      </c>
      <c r="K59">
        <v>0</v>
      </c>
      <c r="L59" t="s">
        <v>41</v>
      </c>
      <c r="M59" t="s">
        <v>972</v>
      </c>
      <c r="N59" t="s">
        <v>41</v>
      </c>
    </row>
    <row r="60" spans="3:14" x14ac:dyDescent="0.3">
      <c r="C60" t="s">
        <v>41</v>
      </c>
      <c r="D60" t="s">
        <v>41</v>
      </c>
      <c r="K60">
        <v>0</v>
      </c>
      <c r="L60" t="s">
        <v>41</v>
      </c>
      <c r="M60" t="s">
        <v>972</v>
      </c>
      <c r="N60" t="s">
        <v>41</v>
      </c>
    </row>
    <row r="61" spans="3:14" x14ac:dyDescent="0.3">
      <c r="C61" t="s">
        <v>41</v>
      </c>
      <c r="D61" t="s">
        <v>41</v>
      </c>
      <c r="K61">
        <v>0</v>
      </c>
      <c r="L61" t="s">
        <v>41</v>
      </c>
      <c r="M61" t="s">
        <v>972</v>
      </c>
      <c r="N61" t="s">
        <v>41</v>
      </c>
    </row>
    <row r="62" spans="3:14" x14ac:dyDescent="0.3">
      <c r="C62" t="s">
        <v>41</v>
      </c>
      <c r="D62" t="s">
        <v>41</v>
      </c>
      <c r="K62">
        <v>0</v>
      </c>
      <c r="L62" t="s">
        <v>41</v>
      </c>
      <c r="M62" t="s">
        <v>972</v>
      </c>
      <c r="N62" t="s">
        <v>41</v>
      </c>
    </row>
    <row r="63" spans="3:14" x14ac:dyDescent="0.3">
      <c r="C63" t="s">
        <v>41</v>
      </c>
      <c r="D63" t="s">
        <v>41</v>
      </c>
      <c r="K63">
        <v>0</v>
      </c>
      <c r="L63" t="s">
        <v>41</v>
      </c>
      <c r="M63" t="s">
        <v>972</v>
      </c>
      <c r="N63" t="s">
        <v>41</v>
      </c>
    </row>
    <row r="64" spans="3:14" x14ac:dyDescent="0.3">
      <c r="C64" t="s">
        <v>41</v>
      </c>
      <c r="D64" t="s">
        <v>41</v>
      </c>
      <c r="K64">
        <v>0</v>
      </c>
      <c r="L64" t="s">
        <v>41</v>
      </c>
      <c r="M64" t="s">
        <v>972</v>
      </c>
      <c r="N64" t="s">
        <v>41</v>
      </c>
    </row>
    <row r="65" spans="3:14" x14ac:dyDescent="0.3">
      <c r="C65" t="s">
        <v>41</v>
      </c>
      <c r="D65" t="s">
        <v>41</v>
      </c>
      <c r="K65">
        <v>0</v>
      </c>
      <c r="L65" t="s">
        <v>41</v>
      </c>
      <c r="M65" t="s">
        <v>972</v>
      </c>
      <c r="N65" t="s">
        <v>41</v>
      </c>
    </row>
    <row r="66" spans="3:14" x14ac:dyDescent="0.3">
      <c r="C66" t="s">
        <v>41</v>
      </c>
      <c r="D66" t="s">
        <v>41</v>
      </c>
      <c r="K66">
        <v>0</v>
      </c>
      <c r="L66" t="s">
        <v>41</v>
      </c>
      <c r="M66" t="s">
        <v>972</v>
      </c>
      <c r="N66" t="s">
        <v>41</v>
      </c>
    </row>
    <row r="67" spans="3:14" x14ac:dyDescent="0.3">
      <c r="C67" t="s">
        <v>41</v>
      </c>
      <c r="D67" t="s">
        <v>41</v>
      </c>
      <c r="K67">
        <v>0</v>
      </c>
      <c r="L67" t="s">
        <v>41</v>
      </c>
      <c r="M67" t="s">
        <v>972</v>
      </c>
      <c r="N67" t="s">
        <v>41</v>
      </c>
    </row>
    <row r="68" spans="3:14" x14ac:dyDescent="0.3">
      <c r="C68" t="s">
        <v>41</v>
      </c>
      <c r="D68" t="s">
        <v>41</v>
      </c>
      <c r="K68">
        <v>0</v>
      </c>
      <c r="L68" t="s">
        <v>41</v>
      </c>
      <c r="M68" t="s">
        <v>972</v>
      </c>
      <c r="N68" t="s">
        <v>41</v>
      </c>
    </row>
    <row r="69" spans="3:14" x14ac:dyDescent="0.3">
      <c r="C69" t="s">
        <v>41</v>
      </c>
      <c r="D69" t="s">
        <v>41</v>
      </c>
      <c r="K69">
        <v>0</v>
      </c>
      <c r="L69" t="s">
        <v>41</v>
      </c>
      <c r="M69" t="s">
        <v>972</v>
      </c>
      <c r="N69" t="s">
        <v>41</v>
      </c>
    </row>
    <row r="70" spans="3:14" x14ac:dyDescent="0.3">
      <c r="C70" t="s">
        <v>41</v>
      </c>
      <c r="D70" t="s">
        <v>41</v>
      </c>
      <c r="K70">
        <v>0</v>
      </c>
      <c r="L70" t="s">
        <v>41</v>
      </c>
      <c r="M70" t="s">
        <v>972</v>
      </c>
      <c r="N70" t="s">
        <v>41</v>
      </c>
    </row>
    <row r="71" spans="3:14" x14ac:dyDescent="0.3">
      <c r="C71" t="s">
        <v>41</v>
      </c>
      <c r="D71" t="s">
        <v>41</v>
      </c>
      <c r="K71">
        <v>0</v>
      </c>
      <c r="L71" t="s">
        <v>41</v>
      </c>
      <c r="M71" t="s">
        <v>972</v>
      </c>
      <c r="N71" t="s">
        <v>41</v>
      </c>
    </row>
    <row r="72" spans="3:14" x14ac:dyDescent="0.3">
      <c r="C72" t="s">
        <v>41</v>
      </c>
      <c r="D72" t="s">
        <v>41</v>
      </c>
      <c r="K72">
        <v>0</v>
      </c>
      <c r="L72" t="s">
        <v>41</v>
      </c>
      <c r="M72" t="s">
        <v>972</v>
      </c>
      <c r="N72" t="s">
        <v>41</v>
      </c>
    </row>
    <row r="73" spans="3:14" x14ac:dyDescent="0.3">
      <c r="C73" t="s">
        <v>41</v>
      </c>
      <c r="D73" t="s">
        <v>41</v>
      </c>
      <c r="K73">
        <v>0</v>
      </c>
      <c r="L73" t="s">
        <v>41</v>
      </c>
      <c r="M73" t="s">
        <v>972</v>
      </c>
      <c r="N73" t="s">
        <v>41</v>
      </c>
    </row>
    <row r="74" spans="3:14" x14ac:dyDescent="0.3">
      <c r="C74" t="s">
        <v>41</v>
      </c>
      <c r="D74" t="s">
        <v>41</v>
      </c>
      <c r="K74">
        <v>0</v>
      </c>
      <c r="L74" t="s">
        <v>41</v>
      </c>
      <c r="M74" t="s">
        <v>972</v>
      </c>
      <c r="N74" t="s">
        <v>41</v>
      </c>
    </row>
    <row r="75" spans="3:14" x14ac:dyDescent="0.3">
      <c r="C75" t="s">
        <v>41</v>
      </c>
      <c r="D75" t="s">
        <v>41</v>
      </c>
      <c r="K75">
        <v>0</v>
      </c>
      <c r="L75" t="s">
        <v>41</v>
      </c>
      <c r="M75" t="s">
        <v>972</v>
      </c>
      <c r="N75" t="s">
        <v>41</v>
      </c>
    </row>
    <row r="76" spans="3:14" x14ac:dyDescent="0.3">
      <c r="C76" t="s">
        <v>41</v>
      </c>
      <c r="D76" t="s">
        <v>41</v>
      </c>
      <c r="K76">
        <v>0</v>
      </c>
      <c r="L76" t="s">
        <v>41</v>
      </c>
      <c r="M76" t="s">
        <v>972</v>
      </c>
      <c r="N76" t="s">
        <v>41</v>
      </c>
    </row>
    <row r="77" spans="3:14" x14ac:dyDescent="0.3">
      <c r="C77" t="s">
        <v>41</v>
      </c>
      <c r="D77" t="s">
        <v>41</v>
      </c>
      <c r="K77">
        <v>0</v>
      </c>
      <c r="L77" t="s">
        <v>41</v>
      </c>
      <c r="M77" t="s">
        <v>972</v>
      </c>
      <c r="N77" t="s">
        <v>41</v>
      </c>
    </row>
    <row r="78" spans="3:14" x14ac:dyDescent="0.3">
      <c r="C78" t="s">
        <v>41</v>
      </c>
      <c r="D78" t="s">
        <v>41</v>
      </c>
      <c r="K78">
        <v>0</v>
      </c>
      <c r="L78" t="s">
        <v>41</v>
      </c>
      <c r="M78" t="s">
        <v>972</v>
      </c>
      <c r="N78" t="s">
        <v>41</v>
      </c>
    </row>
    <row r="79" spans="3:14" x14ac:dyDescent="0.3">
      <c r="C79" t="s">
        <v>41</v>
      </c>
      <c r="D79" t="s">
        <v>41</v>
      </c>
      <c r="K79">
        <v>0</v>
      </c>
      <c r="L79" t="s">
        <v>41</v>
      </c>
      <c r="M79" t="s">
        <v>972</v>
      </c>
      <c r="N79" t="s">
        <v>41</v>
      </c>
    </row>
    <row r="80" spans="3:14" x14ac:dyDescent="0.3">
      <c r="C80" t="s">
        <v>41</v>
      </c>
      <c r="D80" t="s">
        <v>41</v>
      </c>
      <c r="K80">
        <v>0</v>
      </c>
      <c r="L80" t="s">
        <v>41</v>
      </c>
      <c r="M80" t="s">
        <v>972</v>
      </c>
      <c r="N80" t="s">
        <v>41</v>
      </c>
    </row>
    <row r="81" spans="3:14" x14ac:dyDescent="0.3">
      <c r="C81" t="s">
        <v>41</v>
      </c>
      <c r="D81" t="s">
        <v>41</v>
      </c>
      <c r="K81">
        <v>0</v>
      </c>
      <c r="L81" t="s">
        <v>41</v>
      </c>
      <c r="M81" t="s">
        <v>972</v>
      </c>
      <c r="N81" t="s">
        <v>41</v>
      </c>
    </row>
    <row r="82" spans="3:14" x14ac:dyDescent="0.3">
      <c r="C82" t="s">
        <v>41</v>
      </c>
      <c r="D82" t="s">
        <v>41</v>
      </c>
      <c r="K82">
        <v>0</v>
      </c>
      <c r="L82" t="s">
        <v>41</v>
      </c>
      <c r="M82" t="s">
        <v>972</v>
      </c>
      <c r="N82" t="s">
        <v>41</v>
      </c>
    </row>
    <row r="83" spans="3:14" x14ac:dyDescent="0.3">
      <c r="C83" t="s">
        <v>41</v>
      </c>
      <c r="D83" t="s">
        <v>41</v>
      </c>
      <c r="K83">
        <v>0</v>
      </c>
      <c r="L83" t="s">
        <v>41</v>
      </c>
      <c r="M83" t="s">
        <v>972</v>
      </c>
      <c r="N83" t="s">
        <v>41</v>
      </c>
    </row>
    <row r="84" spans="3:14" x14ac:dyDescent="0.3">
      <c r="C84" t="s">
        <v>41</v>
      </c>
      <c r="D84" t="s">
        <v>41</v>
      </c>
      <c r="K84">
        <v>0</v>
      </c>
      <c r="L84" t="s">
        <v>41</v>
      </c>
      <c r="M84" t="s">
        <v>972</v>
      </c>
      <c r="N84" t="s">
        <v>41</v>
      </c>
    </row>
    <row r="85" spans="3:14" x14ac:dyDescent="0.3">
      <c r="C85" t="s">
        <v>41</v>
      </c>
      <c r="D85" t="s">
        <v>41</v>
      </c>
      <c r="K85">
        <v>0</v>
      </c>
      <c r="L85" t="s">
        <v>41</v>
      </c>
      <c r="M85" t="s">
        <v>972</v>
      </c>
      <c r="N85" t="s">
        <v>41</v>
      </c>
    </row>
    <row r="86" spans="3:14" x14ac:dyDescent="0.3">
      <c r="C86" t="s">
        <v>41</v>
      </c>
      <c r="D86" t="s">
        <v>41</v>
      </c>
      <c r="K86">
        <v>0</v>
      </c>
      <c r="L86" t="s">
        <v>41</v>
      </c>
      <c r="M86" t="s">
        <v>972</v>
      </c>
      <c r="N86" t="s">
        <v>41</v>
      </c>
    </row>
    <row r="87" spans="3:14" x14ac:dyDescent="0.3">
      <c r="C87" t="s">
        <v>41</v>
      </c>
      <c r="D87" t="s">
        <v>41</v>
      </c>
      <c r="K87">
        <v>0</v>
      </c>
      <c r="L87" t="s">
        <v>41</v>
      </c>
      <c r="M87" t="s">
        <v>972</v>
      </c>
      <c r="N87" t="s">
        <v>41</v>
      </c>
    </row>
    <row r="88" spans="3:14" x14ac:dyDescent="0.3">
      <c r="C88" t="s">
        <v>41</v>
      </c>
      <c r="D88" t="s">
        <v>41</v>
      </c>
      <c r="K88">
        <v>0</v>
      </c>
      <c r="L88" t="s">
        <v>41</v>
      </c>
      <c r="M88" t="s">
        <v>972</v>
      </c>
      <c r="N88" t="s">
        <v>41</v>
      </c>
    </row>
    <row r="89" spans="3:14" x14ac:dyDescent="0.3">
      <c r="C89" t="s">
        <v>41</v>
      </c>
      <c r="D89" t="s">
        <v>41</v>
      </c>
      <c r="K89">
        <v>0</v>
      </c>
      <c r="L89" t="s">
        <v>41</v>
      </c>
      <c r="M89" t="s">
        <v>972</v>
      </c>
      <c r="N89" t="s">
        <v>41</v>
      </c>
    </row>
    <row r="90" spans="3:14" x14ac:dyDescent="0.3">
      <c r="C90" t="s">
        <v>41</v>
      </c>
      <c r="D90" t="s">
        <v>41</v>
      </c>
      <c r="K90">
        <v>0</v>
      </c>
      <c r="L90" t="s">
        <v>41</v>
      </c>
      <c r="M90" t="s">
        <v>972</v>
      </c>
      <c r="N90" t="s">
        <v>41</v>
      </c>
    </row>
    <row r="91" spans="3:14" x14ac:dyDescent="0.3">
      <c r="C91" t="s">
        <v>41</v>
      </c>
      <c r="D91" t="s">
        <v>41</v>
      </c>
      <c r="K91">
        <v>0</v>
      </c>
      <c r="L91" t="s">
        <v>41</v>
      </c>
      <c r="M91" t="s">
        <v>972</v>
      </c>
      <c r="N91" t="s">
        <v>41</v>
      </c>
    </row>
    <row r="92" spans="3:14" x14ac:dyDescent="0.3">
      <c r="C92" t="s">
        <v>41</v>
      </c>
      <c r="D92" t="s">
        <v>41</v>
      </c>
      <c r="K92">
        <v>0</v>
      </c>
      <c r="L92" t="s">
        <v>41</v>
      </c>
      <c r="M92" t="s">
        <v>972</v>
      </c>
      <c r="N92" t="s">
        <v>41</v>
      </c>
    </row>
    <row r="93" spans="3:14" x14ac:dyDescent="0.3">
      <c r="C93" t="s">
        <v>41</v>
      </c>
      <c r="D93" t="s">
        <v>41</v>
      </c>
      <c r="K93">
        <v>0</v>
      </c>
      <c r="L93" t="s">
        <v>41</v>
      </c>
      <c r="M93" t="s">
        <v>972</v>
      </c>
      <c r="N93" t="s">
        <v>41</v>
      </c>
    </row>
    <row r="94" spans="3:14" x14ac:dyDescent="0.3">
      <c r="C94" t="s">
        <v>41</v>
      </c>
      <c r="D94" t="s">
        <v>41</v>
      </c>
      <c r="K94">
        <v>0</v>
      </c>
      <c r="L94" t="s">
        <v>41</v>
      </c>
      <c r="M94" t="s">
        <v>972</v>
      </c>
      <c r="N94" t="s">
        <v>41</v>
      </c>
    </row>
    <row r="95" spans="3:14" x14ac:dyDescent="0.3">
      <c r="C95" t="s">
        <v>41</v>
      </c>
      <c r="D95" t="s">
        <v>41</v>
      </c>
      <c r="K95">
        <v>0</v>
      </c>
      <c r="L95" t="s">
        <v>41</v>
      </c>
      <c r="M95" t="s">
        <v>972</v>
      </c>
      <c r="N95" t="s">
        <v>41</v>
      </c>
    </row>
    <row r="96" spans="3:14" x14ac:dyDescent="0.3">
      <c r="C96" t="s">
        <v>41</v>
      </c>
      <c r="D96" t="s">
        <v>41</v>
      </c>
      <c r="K96">
        <v>0</v>
      </c>
      <c r="L96" t="s">
        <v>41</v>
      </c>
      <c r="M96" t="s">
        <v>972</v>
      </c>
      <c r="N96" t="s">
        <v>41</v>
      </c>
    </row>
    <row r="97" spans="3:14" x14ac:dyDescent="0.3">
      <c r="C97" t="s">
        <v>41</v>
      </c>
      <c r="D97" t="s">
        <v>41</v>
      </c>
      <c r="K97">
        <v>0</v>
      </c>
      <c r="L97" t="s">
        <v>41</v>
      </c>
      <c r="M97" t="s">
        <v>972</v>
      </c>
      <c r="N97" t="s">
        <v>41</v>
      </c>
    </row>
    <row r="98" spans="3:14" x14ac:dyDescent="0.3">
      <c r="C98" t="s">
        <v>41</v>
      </c>
      <c r="D98" t="s">
        <v>41</v>
      </c>
      <c r="K98">
        <v>0</v>
      </c>
      <c r="L98" t="s">
        <v>41</v>
      </c>
      <c r="M98" t="s">
        <v>972</v>
      </c>
      <c r="N98" t="s">
        <v>41</v>
      </c>
    </row>
    <row r="99" spans="3:14" x14ac:dyDescent="0.3">
      <c r="C99" t="s">
        <v>41</v>
      </c>
      <c r="D99" t="s">
        <v>41</v>
      </c>
      <c r="K99">
        <v>0</v>
      </c>
      <c r="L99" t="s">
        <v>41</v>
      </c>
      <c r="M99" t="s">
        <v>972</v>
      </c>
      <c r="N99" t="s">
        <v>41</v>
      </c>
    </row>
    <row r="100" spans="3:14" x14ac:dyDescent="0.3">
      <c r="C100" t="s">
        <v>41</v>
      </c>
      <c r="D100" t="s">
        <v>41</v>
      </c>
      <c r="K100">
        <v>0</v>
      </c>
      <c r="L100" t="s">
        <v>41</v>
      </c>
      <c r="M100" t="s">
        <v>972</v>
      </c>
      <c r="N100" t="s">
        <v>41</v>
      </c>
    </row>
    <row r="101" spans="3:14" x14ac:dyDescent="0.3">
      <c r="C101" t="s">
        <v>41</v>
      </c>
      <c r="D101" t="s">
        <v>41</v>
      </c>
      <c r="K101">
        <v>0</v>
      </c>
      <c r="L101" t="s">
        <v>41</v>
      </c>
      <c r="M101" t="s">
        <v>972</v>
      </c>
      <c r="N101" t="s">
        <v>41</v>
      </c>
    </row>
    <row r="102" spans="3:14" x14ac:dyDescent="0.3">
      <c r="C102" t="s">
        <v>41</v>
      </c>
      <c r="D102" t="s">
        <v>41</v>
      </c>
      <c r="K102">
        <v>0</v>
      </c>
      <c r="L102" t="s">
        <v>41</v>
      </c>
      <c r="M102" t="s">
        <v>972</v>
      </c>
      <c r="N102" t="s">
        <v>41</v>
      </c>
    </row>
    <row r="103" spans="3:14" x14ac:dyDescent="0.3">
      <c r="C103" t="s">
        <v>41</v>
      </c>
      <c r="D103" t="s">
        <v>41</v>
      </c>
      <c r="K103">
        <v>0</v>
      </c>
      <c r="L103" t="s">
        <v>41</v>
      </c>
      <c r="M103" t="s">
        <v>972</v>
      </c>
      <c r="N103" t="s">
        <v>41</v>
      </c>
    </row>
    <row r="104" spans="3:14" x14ac:dyDescent="0.3">
      <c r="C104" t="s">
        <v>41</v>
      </c>
      <c r="D104" t="s">
        <v>41</v>
      </c>
      <c r="K104">
        <v>0</v>
      </c>
      <c r="L104" t="s">
        <v>41</v>
      </c>
      <c r="M104" t="s">
        <v>972</v>
      </c>
      <c r="N104" t="s">
        <v>41</v>
      </c>
    </row>
    <row r="105" spans="3:14" x14ac:dyDescent="0.3">
      <c r="C105" t="s">
        <v>41</v>
      </c>
      <c r="D105" t="s">
        <v>41</v>
      </c>
      <c r="K105">
        <v>0</v>
      </c>
      <c r="L105" t="s">
        <v>41</v>
      </c>
      <c r="M105" t="s">
        <v>972</v>
      </c>
      <c r="N105" t="s">
        <v>41</v>
      </c>
    </row>
    <row r="106" spans="3:14" x14ac:dyDescent="0.3">
      <c r="C106" t="s">
        <v>41</v>
      </c>
      <c r="D106" t="s">
        <v>41</v>
      </c>
      <c r="K106">
        <v>0</v>
      </c>
      <c r="L106" t="s">
        <v>41</v>
      </c>
      <c r="M106" t="s">
        <v>972</v>
      </c>
      <c r="N106" t="s">
        <v>41</v>
      </c>
    </row>
    <row r="107" spans="3:14" x14ac:dyDescent="0.3">
      <c r="C107" t="s">
        <v>41</v>
      </c>
      <c r="D107" t="s">
        <v>41</v>
      </c>
      <c r="K107">
        <v>0</v>
      </c>
      <c r="L107" t="s">
        <v>41</v>
      </c>
      <c r="M107" t="s">
        <v>972</v>
      </c>
      <c r="N107" t="s">
        <v>41</v>
      </c>
    </row>
    <row r="108" spans="3:14" x14ac:dyDescent="0.3">
      <c r="C108" t="s">
        <v>41</v>
      </c>
      <c r="D108" t="s">
        <v>41</v>
      </c>
      <c r="K108">
        <v>0</v>
      </c>
      <c r="L108" t="s">
        <v>41</v>
      </c>
      <c r="M108" t="s">
        <v>972</v>
      </c>
      <c r="N108" t="s">
        <v>41</v>
      </c>
    </row>
    <row r="109" spans="3:14" x14ac:dyDescent="0.3">
      <c r="C109" t="s">
        <v>41</v>
      </c>
      <c r="D109" t="s">
        <v>41</v>
      </c>
      <c r="K109">
        <v>0</v>
      </c>
      <c r="L109" t="s">
        <v>41</v>
      </c>
      <c r="M109" t="s">
        <v>972</v>
      </c>
      <c r="N109" t="s">
        <v>41</v>
      </c>
    </row>
    <row r="110" spans="3:14" x14ac:dyDescent="0.3">
      <c r="C110" t="s">
        <v>41</v>
      </c>
      <c r="D110" t="s">
        <v>41</v>
      </c>
      <c r="K110">
        <v>0</v>
      </c>
      <c r="L110" t="s">
        <v>41</v>
      </c>
      <c r="M110" t="s">
        <v>972</v>
      </c>
      <c r="N110" t="s">
        <v>41</v>
      </c>
    </row>
    <row r="111" spans="3:14" x14ac:dyDescent="0.3">
      <c r="C111" t="s">
        <v>41</v>
      </c>
      <c r="D111" t="s">
        <v>41</v>
      </c>
      <c r="K111">
        <v>0</v>
      </c>
      <c r="L111" t="s">
        <v>41</v>
      </c>
      <c r="M111" t="s">
        <v>972</v>
      </c>
      <c r="N111" t="s">
        <v>41</v>
      </c>
    </row>
    <row r="112" spans="3:14" x14ac:dyDescent="0.3">
      <c r="C112" t="s">
        <v>41</v>
      </c>
      <c r="D112" t="s">
        <v>41</v>
      </c>
      <c r="K112">
        <v>0</v>
      </c>
      <c r="L112" t="s">
        <v>41</v>
      </c>
      <c r="M112" t="s">
        <v>972</v>
      </c>
      <c r="N112" t="s">
        <v>41</v>
      </c>
    </row>
    <row r="113" spans="3:14" x14ac:dyDescent="0.3">
      <c r="C113" t="s">
        <v>41</v>
      </c>
      <c r="D113" t="s">
        <v>41</v>
      </c>
      <c r="K113">
        <v>0</v>
      </c>
      <c r="L113" t="s">
        <v>41</v>
      </c>
      <c r="M113" t="s">
        <v>972</v>
      </c>
      <c r="N113" t="s">
        <v>41</v>
      </c>
    </row>
    <row r="114" spans="3:14" x14ac:dyDescent="0.3">
      <c r="C114" t="s">
        <v>41</v>
      </c>
      <c r="D114" t="s">
        <v>41</v>
      </c>
      <c r="K114">
        <v>0</v>
      </c>
      <c r="L114" t="s">
        <v>41</v>
      </c>
      <c r="M114" t="s">
        <v>972</v>
      </c>
      <c r="N114" t="s">
        <v>41</v>
      </c>
    </row>
    <row r="115" spans="3:14" x14ac:dyDescent="0.3">
      <c r="C115" t="s">
        <v>41</v>
      </c>
      <c r="D115" t="s">
        <v>41</v>
      </c>
      <c r="K115">
        <v>0</v>
      </c>
      <c r="L115" t="s">
        <v>41</v>
      </c>
      <c r="M115" t="s">
        <v>972</v>
      </c>
      <c r="N115" t="s">
        <v>41</v>
      </c>
    </row>
    <row r="116" spans="3:14" x14ac:dyDescent="0.3">
      <c r="C116" t="s">
        <v>41</v>
      </c>
      <c r="D116" t="s">
        <v>41</v>
      </c>
      <c r="K116">
        <v>0</v>
      </c>
      <c r="L116" t="s">
        <v>41</v>
      </c>
      <c r="M116" t="s">
        <v>972</v>
      </c>
      <c r="N116" t="s">
        <v>41</v>
      </c>
    </row>
    <row r="117" spans="3:14" x14ac:dyDescent="0.3">
      <c r="C117" t="s">
        <v>41</v>
      </c>
      <c r="D117" t="s">
        <v>41</v>
      </c>
      <c r="K117">
        <v>0</v>
      </c>
      <c r="L117" t="s">
        <v>41</v>
      </c>
      <c r="M117" t="s">
        <v>972</v>
      </c>
      <c r="N117" t="s">
        <v>41</v>
      </c>
    </row>
    <row r="118" spans="3:14" x14ac:dyDescent="0.3">
      <c r="C118" t="s">
        <v>41</v>
      </c>
      <c r="D118" t="s">
        <v>41</v>
      </c>
      <c r="K118">
        <v>0</v>
      </c>
      <c r="L118" t="s">
        <v>41</v>
      </c>
      <c r="M118" t="s">
        <v>972</v>
      </c>
      <c r="N118" t="s">
        <v>41</v>
      </c>
    </row>
    <row r="119" spans="3:14" x14ac:dyDescent="0.3">
      <c r="C119" t="s">
        <v>41</v>
      </c>
      <c r="D119" t="s">
        <v>41</v>
      </c>
      <c r="K119">
        <v>0</v>
      </c>
      <c r="L119" t="s">
        <v>41</v>
      </c>
      <c r="M119" t="s">
        <v>972</v>
      </c>
      <c r="N119" t="s">
        <v>41</v>
      </c>
    </row>
    <row r="120" spans="3:14" x14ac:dyDescent="0.3">
      <c r="C120" t="s">
        <v>41</v>
      </c>
      <c r="D120" t="s">
        <v>41</v>
      </c>
      <c r="K120">
        <v>0</v>
      </c>
      <c r="L120" t="s">
        <v>41</v>
      </c>
      <c r="M120" t="s">
        <v>972</v>
      </c>
      <c r="N120" t="s">
        <v>41</v>
      </c>
    </row>
    <row r="121" spans="3:14" x14ac:dyDescent="0.3">
      <c r="C121" t="s">
        <v>41</v>
      </c>
      <c r="D121" t="s">
        <v>41</v>
      </c>
      <c r="K121">
        <v>0</v>
      </c>
      <c r="L121" t="s">
        <v>41</v>
      </c>
      <c r="M121" t="s">
        <v>972</v>
      </c>
      <c r="N121" t="s">
        <v>41</v>
      </c>
    </row>
    <row r="122" spans="3:14" x14ac:dyDescent="0.3">
      <c r="C122" t="s">
        <v>41</v>
      </c>
      <c r="D122" t="s">
        <v>41</v>
      </c>
      <c r="K122">
        <v>0</v>
      </c>
      <c r="L122" t="s">
        <v>41</v>
      </c>
      <c r="M122" t="s">
        <v>972</v>
      </c>
      <c r="N122" t="s">
        <v>41</v>
      </c>
    </row>
    <row r="123" spans="3:14" x14ac:dyDescent="0.3">
      <c r="C123" t="s">
        <v>41</v>
      </c>
      <c r="D123" t="s">
        <v>41</v>
      </c>
      <c r="K123">
        <v>0</v>
      </c>
      <c r="L123" t="s">
        <v>41</v>
      </c>
      <c r="M123" t="s">
        <v>972</v>
      </c>
      <c r="N123" t="s">
        <v>41</v>
      </c>
    </row>
    <row r="124" spans="3:14" x14ac:dyDescent="0.3">
      <c r="C124" t="s">
        <v>41</v>
      </c>
      <c r="D124" t="s">
        <v>41</v>
      </c>
      <c r="K124">
        <v>0</v>
      </c>
      <c r="L124" t="s">
        <v>41</v>
      </c>
      <c r="M124" t="s">
        <v>972</v>
      </c>
      <c r="N124" t="s">
        <v>41</v>
      </c>
    </row>
    <row r="125" spans="3:14" x14ac:dyDescent="0.3">
      <c r="C125" t="s">
        <v>41</v>
      </c>
      <c r="D125" t="s">
        <v>41</v>
      </c>
      <c r="K125">
        <v>0</v>
      </c>
      <c r="L125" t="s">
        <v>41</v>
      </c>
      <c r="M125" t="s">
        <v>972</v>
      </c>
      <c r="N125" t="s">
        <v>41</v>
      </c>
    </row>
    <row r="126" spans="3:14" x14ac:dyDescent="0.3">
      <c r="C126" t="s">
        <v>41</v>
      </c>
      <c r="D126" t="s">
        <v>41</v>
      </c>
      <c r="K126">
        <v>0</v>
      </c>
      <c r="L126" t="s">
        <v>41</v>
      </c>
      <c r="M126" t="s">
        <v>972</v>
      </c>
      <c r="N126" t="s">
        <v>41</v>
      </c>
    </row>
    <row r="127" spans="3:14" x14ac:dyDescent="0.3">
      <c r="C127" t="s">
        <v>41</v>
      </c>
      <c r="D127" t="s">
        <v>41</v>
      </c>
      <c r="K127">
        <v>0</v>
      </c>
      <c r="L127" t="s">
        <v>41</v>
      </c>
      <c r="M127" t="s">
        <v>972</v>
      </c>
      <c r="N127" t="s">
        <v>41</v>
      </c>
    </row>
    <row r="128" spans="3:14" x14ac:dyDescent="0.3">
      <c r="C128" t="s">
        <v>41</v>
      </c>
      <c r="D128" t="s">
        <v>41</v>
      </c>
      <c r="K128">
        <v>0</v>
      </c>
      <c r="L128" t="s">
        <v>41</v>
      </c>
      <c r="M128" t="s">
        <v>972</v>
      </c>
      <c r="N128" t="s">
        <v>41</v>
      </c>
    </row>
    <row r="129" spans="3:14" x14ac:dyDescent="0.3">
      <c r="C129" t="s">
        <v>41</v>
      </c>
      <c r="D129" t="s">
        <v>41</v>
      </c>
      <c r="K129">
        <v>0</v>
      </c>
      <c r="L129" t="s">
        <v>41</v>
      </c>
      <c r="M129" t="s">
        <v>972</v>
      </c>
      <c r="N129" t="s">
        <v>41</v>
      </c>
    </row>
    <row r="130" spans="3:14" x14ac:dyDescent="0.3">
      <c r="C130" t="s">
        <v>41</v>
      </c>
      <c r="D130" t="s">
        <v>41</v>
      </c>
      <c r="K130">
        <v>0</v>
      </c>
      <c r="L130" t="s">
        <v>41</v>
      </c>
      <c r="M130" t="s">
        <v>972</v>
      </c>
      <c r="N130" t="s">
        <v>41</v>
      </c>
    </row>
    <row r="131" spans="3:14" x14ac:dyDescent="0.3">
      <c r="C131" t="s">
        <v>41</v>
      </c>
      <c r="D131" t="s">
        <v>41</v>
      </c>
      <c r="K131">
        <v>0</v>
      </c>
      <c r="L131" t="s">
        <v>41</v>
      </c>
      <c r="M131" t="s">
        <v>972</v>
      </c>
      <c r="N131" t="s">
        <v>41</v>
      </c>
    </row>
    <row r="132" spans="3:14" x14ac:dyDescent="0.3">
      <c r="C132" t="s">
        <v>41</v>
      </c>
      <c r="D132" t="s">
        <v>41</v>
      </c>
      <c r="K132">
        <v>0</v>
      </c>
      <c r="L132" t="s">
        <v>41</v>
      </c>
      <c r="M132" t="s">
        <v>972</v>
      </c>
      <c r="N132" t="s">
        <v>41</v>
      </c>
    </row>
    <row r="133" spans="3:14" x14ac:dyDescent="0.3">
      <c r="C133" t="s">
        <v>41</v>
      </c>
      <c r="D133" t="s">
        <v>41</v>
      </c>
      <c r="K133">
        <v>0</v>
      </c>
      <c r="L133" t="s">
        <v>41</v>
      </c>
      <c r="M133" t="s">
        <v>972</v>
      </c>
      <c r="N133" t="s">
        <v>41</v>
      </c>
    </row>
    <row r="134" spans="3:14" x14ac:dyDescent="0.3">
      <c r="C134" t="s">
        <v>41</v>
      </c>
      <c r="D134" t="s">
        <v>41</v>
      </c>
      <c r="K134">
        <v>0</v>
      </c>
      <c r="L134" t="s">
        <v>41</v>
      </c>
      <c r="M134" t="s">
        <v>972</v>
      </c>
      <c r="N134" t="s">
        <v>41</v>
      </c>
    </row>
    <row r="135" spans="3:14" x14ac:dyDescent="0.3">
      <c r="C135" t="s">
        <v>41</v>
      </c>
      <c r="D135" t="s">
        <v>41</v>
      </c>
      <c r="K135">
        <v>0</v>
      </c>
      <c r="L135" t="s">
        <v>41</v>
      </c>
      <c r="M135" t="s">
        <v>972</v>
      </c>
      <c r="N135" t="s">
        <v>41</v>
      </c>
    </row>
    <row r="136" spans="3:14" x14ac:dyDescent="0.3">
      <c r="C136" t="s">
        <v>41</v>
      </c>
      <c r="D136" t="s">
        <v>41</v>
      </c>
      <c r="K136">
        <v>0</v>
      </c>
      <c r="L136" t="s">
        <v>41</v>
      </c>
      <c r="M136" t="s">
        <v>972</v>
      </c>
      <c r="N136" t="s">
        <v>41</v>
      </c>
    </row>
    <row r="137" spans="3:14" x14ac:dyDescent="0.3">
      <c r="C137" t="s">
        <v>41</v>
      </c>
      <c r="D137" t="s">
        <v>41</v>
      </c>
      <c r="K137">
        <v>0</v>
      </c>
      <c r="L137" t="s">
        <v>41</v>
      </c>
      <c r="M137" t="s">
        <v>972</v>
      </c>
      <c r="N137" t="s">
        <v>41</v>
      </c>
    </row>
    <row r="138" spans="3:14" x14ac:dyDescent="0.3">
      <c r="C138" t="s">
        <v>41</v>
      </c>
      <c r="D138" t="s">
        <v>41</v>
      </c>
      <c r="K138">
        <v>0</v>
      </c>
      <c r="L138" t="s">
        <v>41</v>
      </c>
      <c r="M138" t="s">
        <v>972</v>
      </c>
      <c r="N138" t="s">
        <v>41</v>
      </c>
    </row>
    <row r="139" spans="3:14" x14ac:dyDescent="0.3">
      <c r="C139" t="s">
        <v>41</v>
      </c>
      <c r="D139" t="s">
        <v>41</v>
      </c>
      <c r="K139">
        <v>0</v>
      </c>
      <c r="L139" t="s">
        <v>41</v>
      </c>
      <c r="M139" t="s">
        <v>972</v>
      </c>
      <c r="N139" t="s">
        <v>41</v>
      </c>
    </row>
    <row r="140" spans="3:14" x14ac:dyDescent="0.3">
      <c r="C140" t="s">
        <v>41</v>
      </c>
      <c r="D140" t="s">
        <v>41</v>
      </c>
      <c r="K140">
        <v>0</v>
      </c>
      <c r="L140" t="s">
        <v>41</v>
      </c>
      <c r="M140" t="s">
        <v>972</v>
      </c>
      <c r="N140" t="s">
        <v>41</v>
      </c>
    </row>
    <row r="141" spans="3:14" x14ac:dyDescent="0.3">
      <c r="C141" t="s">
        <v>41</v>
      </c>
      <c r="D141" t="s">
        <v>41</v>
      </c>
      <c r="K141">
        <v>0</v>
      </c>
      <c r="L141" t="s">
        <v>41</v>
      </c>
      <c r="M141" t="s">
        <v>972</v>
      </c>
      <c r="N141" t="s">
        <v>41</v>
      </c>
    </row>
    <row r="142" spans="3:14" x14ac:dyDescent="0.3">
      <c r="C142" t="s">
        <v>41</v>
      </c>
      <c r="D142" t="s">
        <v>41</v>
      </c>
      <c r="K142">
        <v>0</v>
      </c>
      <c r="L142" t="s">
        <v>41</v>
      </c>
      <c r="M142" t="s">
        <v>972</v>
      </c>
      <c r="N142" t="s">
        <v>41</v>
      </c>
    </row>
    <row r="143" spans="3:14" x14ac:dyDescent="0.3">
      <c r="C143" t="s">
        <v>41</v>
      </c>
      <c r="D143" t="s">
        <v>41</v>
      </c>
      <c r="K143">
        <v>0</v>
      </c>
      <c r="L143" t="s">
        <v>41</v>
      </c>
      <c r="M143" t="s">
        <v>972</v>
      </c>
      <c r="N143" t="s">
        <v>41</v>
      </c>
    </row>
    <row r="144" spans="3:14" x14ac:dyDescent="0.3">
      <c r="C144" t="s">
        <v>41</v>
      </c>
      <c r="D144" t="s">
        <v>41</v>
      </c>
      <c r="K144">
        <v>0</v>
      </c>
      <c r="L144" t="s">
        <v>41</v>
      </c>
      <c r="M144" t="s">
        <v>972</v>
      </c>
      <c r="N144" t="s">
        <v>41</v>
      </c>
    </row>
    <row r="145" spans="3:14" x14ac:dyDescent="0.3">
      <c r="C145" t="s">
        <v>41</v>
      </c>
      <c r="D145" t="s">
        <v>41</v>
      </c>
      <c r="K145">
        <v>0</v>
      </c>
      <c r="L145" t="s">
        <v>41</v>
      </c>
      <c r="M145" t="s">
        <v>972</v>
      </c>
      <c r="N145" t="s">
        <v>41</v>
      </c>
    </row>
    <row r="146" spans="3:14" x14ac:dyDescent="0.3">
      <c r="C146" t="s">
        <v>41</v>
      </c>
      <c r="D146" t="s">
        <v>41</v>
      </c>
      <c r="K146">
        <v>0</v>
      </c>
      <c r="L146" t="s">
        <v>41</v>
      </c>
      <c r="M146" t="s">
        <v>972</v>
      </c>
      <c r="N146" t="s">
        <v>41</v>
      </c>
    </row>
    <row r="147" spans="3:14" x14ac:dyDescent="0.3">
      <c r="C147" t="s">
        <v>41</v>
      </c>
      <c r="D147" t="s">
        <v>41</v>
      </c>
      <c r="K147">
        <v>0</v>
      </c>
      <c r="L147" t="s">
        <v>41</v>
      </c>
      <c r="M147" t="s">
        <v>972</v>
      </c>
      <c r="N147" t="s">
        <v>41</v>
      </c>
    </row>
    <row r="148" spans="3:14" x14ac:dyDescent="0.3">
      <c r="C148" t="s">
        <v>41</v>
      </c>
      <c r="D148" t="s">
        <v>41</v>
      </c>
      <c r="K148">
        <v>0</v>
      </c>
      <c r="L148" t="s">
        <v>41</v>
      </c>
      <c r="M148" t="s">
        <v>972</v>
      </c>
      <c r="N148" t="s">
        <v>41</v>
      </c>
    </row>
    <row r="149" spans="3:14" x14ac:dyDescent="0.3">
      <c r="C149" t="s">
        <v>41</v>
      </c>
      <c r="D149" t="s">
        <v>41</v>
      </c>
      <c r="K149">
        <v>0</v>
      </c>
      <c r="L149" t="s">
        <v>41</v>
      </c>
      <c r="M149" t="s">
        <v>972</v>
      </c>
      <c r="N149" t="s">
        <v>41</v>
      </c>
    </row>
    <row r="150" spans="3:14" x14ac:dyDescent="0.3">
      <c r="C150" t="s">
        <v>41</v>
      </c>
      <c r="D150" t="s">
        <v>41</v>
      </c>
      <c r="K150">
        <v>0</v>
      </c>
      <c r="L150" t="s">
        <v>41</v>
      </c>
      <c r="M150" t="s">
        <v>972</v>
      </c>
      <c r="N150" t="s">
        <v>41</v>
      </c>
    </row>
    <row r="151" spans="3:14" x14ac:dyDescent="0.3">
      <c r="C151" t="s">
        <v>41</v>
      </c>
      <c r="D151" t="s">
        <v>41</v>
      </c>
      <c r="K151">
        <v>0</v>
      </c>
      <c r="L151" t="s">
        <v>41</v>
      </c>
      <c r="M151" t="s">
        <v>972</v>
      </c>
      <c r="N151" t="s">
        <v>41</v>
      </c>
    </row>
    <row r="152" spans="3:14" x14ac:dyDescent="0.3">
      <c r="C152" t="s">
        <v>41</v>
      </c>
      <c r="D152" t="s">
        <v>41</v>
      </c>
      <c r="K152">
        <v>0</v>
      </c>
      <c r="L152" t="s">
        <v>41</v>
      </c>
      <c r="M152" t="s">
        <v>972</v>
      </c>
      <c r="N152" t="s">
        <v>41</v>
      </c>
    </row>
    <row r="153" spans="3:14" x14ac:dyDescent="0.3">
      <c r="C153" t="s">
        <v>41</v>
      </c>
      <c r="D153" t="s">
        <v>41</v>
      </c>
      <c r="K153">
        <v>0</v>
      </c>
      <c r="L153" t="s">
        <v>41</v>
      </c>
      <c r="M153" t="s">
        <v>972</v>
      </c>
      <c r="N153" t="s">
        <v>41</v>
      </c>
    </row>
    <row r="154" spans="3:14" x14ac:dyDescent="0.3">
      <c r="C154" t="s">
        <v>41</v>
      </c>
      <c r="D154" t="s">
        <v>41</v>
      </c>
      <c r="K154">
        <v>0</v>
      </c>
      <c r="L154" t="s">
        <v>41</v>
      </c>
      <c r="M154" t="s">
        <v>972</v>
      </c>
      <c r="N154" t="s">
        <v>41</v>
      </c>
    </row>
    <row r="155" spans="3:14" x14ac:dyDescent="0.3">
      <c r="C155" t="s">
        <v>41</v>
      </c>
      <c r="D155" t="s">
        <v>41</v>
      </c>
      <c r="K155">
        <v>0</v>
      </c>
      <c r="L155" t="s">
        <v>41</v>
      </c>
      <c r="M155" t="s">
        <v>972</v>
      </c>
      <c r="N155" t="s">
        <v>41</v>
      </c>
    </row>
    <row r="156" spans="3:14" x14ac:dyDescent="0.3">
      <c r="C156" t="s">
        <v>41</v>
      </c>
      <c r="D156" t="s">
        <v>41</v>
      </c>
      <c r="K156">
        <v>0</v>
      </c>
      <c r="L156" t="s">
        <v>41</v>
      </c>
      <c r="M156" t="s">
        <v>972</v>
      </c>
      <c r="N156" t="s">
        <v>41</v>
      </c>
    </row>
    <row r="157" spans="3:14" x14ac:dyDescent="0.3">
      <c r="C157" t="s">
        <v>41</v>
      </c>
      <c r="D157" t="s">
        <v>41</v>
      </c>
      <c r="K157">
        <v>0</v>
      </c>
      <c r="L157" t="s">
        <v>41</v>
      </c>
      <c r="M157" t="s">
        <v>972</v>
      </c>
      <c r="N157" t="s">
        <v>41</v>
      </c>
    </row>
    <row r="158" spans="3:14" x14ac:dyDescent="0.3">
      <c r="C158" t="s">
        <v>41</v>
      </c>
      <c r="D158" t="s">
        <v>41</v>
      </c>
      <c r="K158">
        <v>0</v>
      </c>
      <c r="L158" t="s">
        <v>41</v>
      </c>
      <c r="M158" t="s">
        <v>972</v>
      </c>
      <c r="N158" t="s">
        <v>41</v>
      </c>
    </row>
    <row r="159" spans="3:14" x14ac:dyDescent="0.3">
      <c r="C159" t="s">
        <v>41</v>
      </c>
      <c r="D159" t="s">
        <v>41</v>
      </c>
      <c r="K159">
        <v>0</v>
      </c>
      <c r="L159" t="s">
        <v>41</v>
      </c>
      <c r="M159" t="s">
        <v>972</v>
      </c>
      <c r="N159" t="s">
        <v>41</v>
      </c>
    </row>
    <row r="160" spans="3:14" x14ac:dyDescent="0.3">
      <c r="C160" t="s">
        <v>41</v>
      </c>
      <c r="D160" t="s">
        <v>41</v>
      </c>
      <c r="K160">
        <v>0</v>
      </c>
      <c r="L160" t="s">
        <v>41</v>
      </c>
      <c r="M160" t="s">
        <v>972</v>
      </c>
      <c r="N160" t="s">
        <v>41</v>
      </c>
    </row>
    <row r="161" spans="3:14" x14ac:dyDescent="0.3">
      <c r="C161" t="s">
        <v>41</v>
      </c>
      <c r="D161" t="s">
        <v>41</v>
      </c>
      <c r="K161">
        <v>0</v>
      </c>
      <c r="L161" t="s">
        <v>41</v>
      </c>
      <c r="M161" t="s">
        <v>972</v>
      </c>
      <c r="N161" t="s">
        <v>41</v>
      </c>
    </row>
    <row r="162" spans="3:14" x14ac:dyDescent="0.3">
      <c r="C162" t="s">
        <v>41</v>
      </c>
      <c r="D162" t="s">
        <v>41</v>
      </c>
      <c r="K162">
        <v>0</v>
      </c>
      <c r="L162" t="s">
        <v>41</v>
      </c>
      <c r="M162" t="s">
        <v>972</v>
      </c>
      <c r="N162" t="s">
        <v>41</v>
      </c>
    </row>
    <row r="163" spans="3:14" x14ac:dyDescent="0.3">
      <c r="C163" t="s">
        <v>41</v>
      </c>
      <c r="D163" t="s">
        <v>41</v>
      </c>
      <c r="K163">
        <v>0</v>
      </c>
      <c r="L163" t="s">
        <v>41</v>
      </c>
      <c r="M163" t="s">
        <v>972</v>
      </c>
      <c r="N163" t="s">
        <v>41</v>
      </c>
    </row>
    <row r="164" spans="3:14" x14ac:dyDescent="0.3">
      <c r="C164" t="s">
        <v>41</v>
      </c>
      <c r="D164" t="s">
        <v>41</v>
      </c>
      <c r="K164">
        <v>0</v>
      </c>
      <c r="L164" t="s">
        <v>41</v>
      </c>
      <c r="M164" t="s">
        <v>972</v>
      </c>
      <c r="N164" t="s">
        <v>41</v>
      </c>
    </row>
    <row r="165" spans="3:14" x14ac:dyDescent="0.3">
      <c r="C165" t="s">
        <v>41</v>
      </c>
      <c r="D165" t="s">
        <v>41</v>
      </c>
      <c r="K165">
        <v>0</v>
      </c>
      <c r="L165" t="s">
        <v>41</v>
      </c>
      <c r="M165" t="s">
        <v>972</v>
      </c>
      <c r="N165" t="s">
        <v>41</v>
      </c>
    </row>
    <row r="166" spans="3:14" x14ac:dyDescent="0.3">
      <c r="C166" t="s">
        <v>41</v>
      </c>
      <c r="D166" t="s">
        <v>41</v>
      </c>
      <c r="K166">
        <v>0</v>
      </c>
      <c r="L166" t="s">
        <v>41</v>
      </c>
      <c r="M166" t="s">
        <v>972</v>
      </c>
      <c r="N166" t="s">
        <v>41</v>
      </c>
    </row>
    <row r="167" spans="3:14" x14ac:dyDescent="0.3">
      <c r="C167" t="s">
        <v>41</v>
      </c>
      <c r="D167" t="s">
        <v>41</v>
      </c>
      <c r="K167">
        <v>0</v>
      </c>
      <c r="L167" t="s">
        <v>41</v>
      </c>
      <c r="M167" t="s">
        <v>972</v>
      </c>
      <c r="N167" t="s">
        <v>41</v>
      </c>
    </row>
    <row r="168" spans="3:14" x14ac:dyDescent="0.3">
      <c r="C168" t="s">
        <v>41</v>
      </c>
      <c r="D168" t="s">
        <v>41</v>
      </c>
      <c r="K168">
        <v>0</v>
      </c>
      <c r="L168" t="s">
        <v>41</v>
      </c>
      <c r="M168" t="s">
        <v>972</v>
      </c>
      <c r="N168" t="s">
        <v>41</v>
      </c>
    </row>
    <row r="169" spans="3:14" x14ac:dyDescent="0.3">
      <c r="C169" t="s">
        <v>41</v>
      </c>
      <c r="D169" t="s">
        <v>41</v>
      </c>
      <c r="K169">
        <v>0</v>
      </c>
      <c r="L169" t="s">
        <v>41</v>
      </c>
      <c r="M169" t="s">
        <v>972</v>
      </c>
      <c r="N169" t="s">
        <v>41</v>
      </c>
    </row>
    <row r="170" spans="3:14" x14ac:dyDescent="0.3">
      <c r="C170" t="s">
        <v>41</v>
      </c>
      <c r="D170" t="s">
        <v>41</v>
      </c>
      <c r="K170">
        <v>0</v>
      </c>
      <c r="L170" t="s">
        <v>41</v>
      </c>
      <c r="M170" t="s">
        <v>972</v>
      </c>
      <c r="N170" t="s">
        <v>41</v>
      </c>
    </row>
    <row r="171" spans="3:14" x14ac:dyDescent="0.3">
      <c r="C171" t="s">
        <v>41</v>
      </c>
      <c r="D171" t="s">
        <v>41</v>
      </c>
      <c r="K171">
        <v>0</v>
      </c>
      <c r="L171" t="s">
        <v>41</v>
      </c>
      <c r="M171" t="s">
        <v>972</v>
      </c>
      <c r="N171" t="s">
        <v>41</v>
      </c>
    </row>
    <row r="172" spans="3:14" x14ac:dyDescent="0.3">
      <c r="C172" t="s">
        <v>41</v>
      </c>
      <c r="D172" t="s">
        <v>41</v>
      </c>
      <c r="K172">
        <v>0</v>
      </c>
      <c r="L172" t="s">
        <v>41</v>
      </c>
      <c r="M172" t="s">
        <v>972</v>
      </c>
      <c r="N172" t="s">
        <v>41</v>
      </c>
    </row>
    <row r="173" spans="3:14" x14ac:dyDescent="0.3">
      <c r="C173" t="s">
        <v>41</v>
      </c>
      <c r="D173" t="s">
        <v>41</v>
      </c>
      <c r="K173">
        <v>0</v>
      </c>
      <c r="L173" t="s">
        <v>41</v>
      </c>
      <c r="M173" t="s">
        <v>972</v>
      </c>
      <c r="N173" t="s">
        <v>41</v>
      </c>
    </row>
    <row r="174" spans="3:14" x14ac:dyDescent="0.3">
      <c r="C174" t="s">
        <v>41</v>
      </c>
      <c r="D174" t="s">
        <v>41</v>
      </c>
      <c r="K174">
        <v>0</v>
      </c>
      <c r="L174" t="s">
        <v>41</v>
      </c>
      <c r="M174" t="s">
        <v>972</v>
      </c>
      <c r="N174" t="s">
        <v>41</v>
      </c>
    </row>
    <row r="175" spans="3:14" x14ac:dyDescent="0.3">
      <c r="C175" t="s">
        <v>41</v>
      </c>
      <c r="D175" t="s">
        <v>41</v>
      </c>
      <c r="K175">
        <v>0</v>
      </c>
      <c r="L175" t="s">
        <v>41</v>
      </c>
      <c r="M175" t="s">
        <v>972</v>
      </c>
      <c r="N175" t="s">
        <v>41</v>
      </c>
    </row>
    <row r="176" spans="3:14" x14ac:dyDescent="0.3">
      <c r="C176" t="s">
        <v>41</v>
      </c>
      <c r="D176" t="s">
        <v>41</v>
      </c>
      <c r="K176">
        <v>0</v>
      </c>
      <c r="L176" t="s">
        <v>41</v>
      </c>
      <c r="M176" t="s">
        <v>972</v>
      </c>
      <c r="N176" t="s">
        <v>41</v>
      </c>
    </row>
    <row r="177" spans="3:14" x14ac:dyDescent="0.3">
      <c r="C177" t="s">
        <v>41</v>
      </c>
      <c r="D177" t="s">
        <v>41</v>
      </c>
      <c r="K177">
        <v>0</v>
      </c>
      <c r="L177" t="s">
        <v>41</v>
      </c>
      <c r="M177" t="s">
        <v>972</v>
      </c>
      <c r="N177" t="s">
        <v>41</v>
      </c>
    </row>
    <row r="178" spans="3:14" x14ac:dyDescent="0.3">
      <c r="C178" t="s">
        <v>41</v>
      </c>
      <c r="D178" t="s">
        <v>41</v>
      </c>
      <c r="K178">
        <v>0</v>
      </c>
      <c r="L178" t="s">
        <v>41</v>
      </c>
      <c r="M178" t="s">
        <v>972</v>
      </c>
      <c r="N178" t="s">
        <v>41</v>
      </c>
    </row>
    <row r="179" spans="3:14" x14ac:dyDescent="0.3">
      <c r="C179" t="s">
        <v>41</v>
      </c>
      <c r="D179" t="s">
        <v>41</v>
      </c>
      <c r="K179">
        <v>0</v>
      </c>
      <c r="L179" t="s">
        <v>41</v>
      </c>
      <c r="M179" t="s">
        <v>972</v>
      </c>
      <c r="N179" t="s">
        <v>41</v>
      </c>
    </row>
    <row r="180" spans="3:14" x14ac:dyDescent="0.3">
      <c r="C180" t="s">
        <v>41</v>
      </c>
      <c r="D180" t="s">
        <v>41</v>
      </c>
      <c r="K180">
        <v>0</v>
      </c>
      <c r="L180" t="s">
        <v>41</v>
      </c>
      <c r="M180" t="s">
        <v>972</v>
      </c>
      <c r="N180" t="s">
        <v>41</v>
      </c>
    </row>
    <row r="181" spans="3:14" x14ac:dyDescent="0.3">
      <c r="C181" t="s">
        <v>41</v>
      </c>
      <c r="D181" t="s">
        <v>41</v>
      </c>
      <c r="K181">
        <v>0</v>
      </c>
      <c r="L181" t="s">
        <v>41</v>
      </c>
      <c r="M181" t="s">
        <v>972</v>
      </c>
      <c r="N181" t="s">
        <v>41</v>
      </c>
    </row>
    <row r="182" spans="3:14" x14ac:dyDescent="0.3">
      <c r="C182" t="s">
        <v>41</v>
      </c>
      <c r="D182" t="s">
        <v>41</v>
      </c>
      <c r="K182">
        <v>0</v>
      </c>
      <c r="L182" t="s">
        <v>41</v>
      </c>
      <c r="M182" t="s">
        <v>972</v>
      </c>
      <c r="N182" t="s">
        <v>41</v>
      </c>
    </row>
    <row r="183" spans="3:14" x14ac:dyDescent="0.3">
      <c r="C183" t="s">
        <v>41</v>
      </c>
      <c r="D183" t="s">
        <v>41</v>
      </c>
      <c r="K183">
        <v>0</v>
      </c>
      <c r="L183" t="s">
        <v>41</v>
      </c>
      <c r="M183" t="s">
        <v>972</v>
      </c>
      <c r="N183" t="s">
        <v>41</v>
      </c>
    </row>
    <row r="184" spans="3:14" x14ac:dyDescent="0.3">
      <c r="C184" t="s">
        <v>41</v>
      </c>
      <c r="D184" t="s">
        <v>41</v>
      </c>
      <c r="K184">
        <v>0</v>
      </c>
      <c r="L184" t="s">
        <v>41</v>
      </c>
      <c r="M184" t="s">
        <v>972</v>
      </c>
      <c r="N184" t="s">
        <v>41</v>
      </c>
    </row>
    <row r="185" spans="3:14" x14ac:dyDescent="0.3">
      <c r="C185" t="s">
        <v>41</v>
      </c>
      <c r="D185" t="s">
        <v>41</v>
      </c>
      <c r="K185">
        <v>0</v>
      </c>
      <c r="L185" t="s">
        <v>41</v>
      </c>
      <c r="M185" t="s">
        <v>972</v>
      </c>
      <c r="N185" t="s">
        <v>41</v>
      </c>
    </row>
    <row r="186" spans="3:14" x14ac:dyDescent="0.3">
      <c r="C186" t="s">
        <v>41</v>
      </c>
      <c r="D186" t="s">
        <v>41</v>
      </c>
      <c r="K186">
        <v>0</v>
      </c>
      <c r="L186" t="s">
        <v>41</v>
      </c>
      <c r="M186" t="s">
        <v>972</v>
      </c>
      <c r="N186" t="s">
        <v>41</v>
      </c>
    </row>
    <row r="187" spans="3:14" x14ac:dyDescent="0.3">
      <c r="C187" t="s">
        <v>41</v>
      </c>
      <c r="D187" t="s">
        <v>41</v>
      </c>
      <c r="K187">
        <v>0</v>
      </c>
      <c r="L187" t="s">
        <v>41</v>
      </c>
      <c r="M187" t="s">
        <v>972</v>
      </c>
      <c r="N187" t="s">
        <v>41</v>
      </c>
    </row>
    <row r="188" spans="3:14" x14ac:dyDescent="0.3">
      <c r="C188" t="s">
        <v>41</v>
      </c>
      <c r="D188" t="s">
        <v>41</v>
      </c>
      <c r="K188">
        <v>0</v>
      </c>
      <c r="L188" t="s">
        <v>41</v>
      </c>
      <c r="M188" t="s">
        <v>972</v>
      </c>
      <c r="N188" t="s">
        <v>41</v>
      </c>
    </row>
    <row r="189" spans="3:14" x14ac:dyDescent="0.3">
      <c r="C189" t="s">
        <v>41</v>
      </c>
      <c r="D189" t="s">
        <v>41</v>
      </c>
      <c r="K189">
        <v>0</v>
      </c>
      <c r="L189" t="s">
        <v>41</v>
      </c>
      <c r="M189" t="s">
        <v>972</v>
      </c>
      <c r="N189" t="s">
        <v>41</v>
      </c>
    </row>
    <row r="190" spans="3:14" x14ac:dyDescent="0.3">
      <c r="C190" t="s">
        <v>41</v>
      </c>
      <c r="D190" t="s">
        <v>41</v>
      </c>
      <c r="K190">
        <v>0</v>
      </c>
      <c r="L190" t="s">
        <v>41</v>
      </c>
      <c r="M190" t="s">
        <v>972</v>
      </c>
      <c r="N190" t="s">
        <v>41</v>
      </c>
    </row>
    <row r="191" spans="3:14" x14ac:dyDescent="0.3">
      <c r="C191" t="s">
        <v>41</v>
      </c>
      <c r="D191" t="s">
        <v>41</v>
      </c>
      <c r="K191">
        <v>0</v>
      </c>
      <c r="L191" t="s">
        <v>41</v>
      </c>
      <c r="M191" t="s">
        <v>972</v>
      </c>
      <c r="N191" t="s">
        <v>41</v>
      </c>
    </row>
    <row r="192" spans="3:14" x14ac:dyDescent="0.3">
      <c r="C192" t="s">
        <v>41</v>
      </c>
      <c r="D192" t="s">
        <v>41</v>
      </c>
      <c r="K192">
        <v>0</v>
      </c>
      <c r="L192" t="s">
        <v>41</v>
      </c>
      <c r="M192" t="s">
        <v>972</v>
      </c>
      <c r="N192" t="s">
        <v>41</v>
      </c>
    </row>
    <row r="193" spans="3:14" x14ac:dyDescent="0.3">
      <c r="C193" t="s">
        <v>41</v>
      </c>
      <c r="D193" t="s">
        <v>41</v>
      </c>
      <c r="K193">
        <v>0</v>
      </c>
      <c r="L193" t="s">
        <v>41</v>
      </c>
      <c r="M193" t="s">
        <v>972</v>
      </c>
      <c r="N193" t="s">
        <v>41</v>
      </c>
    </row>
    <row r="194" spans="3:14" x14ac:dyDescent="0.3">
      <c r="C194" t="s">
        <v>41</v>
      </c>
      <c r="D194" t="s">
        <v>41</v>
      </c>
      <c r="K194">
        <v>0</v>
      </c>
      <c r="L194" t="s">
        <v>41</v>
      </c>
      <c r="M194" t="s">
        <v>972</v>
      </c>
      <c r="N194" t="s">
        <v>41</v>
      </c>
    </row>
    <row r="195" spans="3:14" x14ac:dyDescent="0.3">
      <c r="C195" t="s">
        <v>41</v>
      </c>
      <c r="D195" t="s">
        <v>41</v>
      </c>
      <c r="K195">
        <v>0</v>
      </c>
      <c r="L195" t="s">
        <v>41</v>
      </c>
      <c r="M195" t="s">
        <v>972</v>
      </c>
      <c r="N195" t="s">
        <v>41</v>
      </c>
    </row>
    <row r="196" spans="3:14" x14ac:dyDescent="0.3">
      <c r="C196" t="s">
        <v>41</v>
      </c>
      <c r="D196" t="s">
        <v>41</v>
      </c>
      <c r="K196">
        <v>0</v>
      </c>
      <c r="L196" t="s">
        <v>41</v>
      </c>
      <c r="M196" t="s">
        <v>972</v>
      </c>
      <c r="N196" t="s">
        <v>41</v>
      </c>
    </row>
    <row r="197" spans="3:14" x14ac:dyDescent="0.3">
      <c r="C197" t="s">
        <v>41</v>
      </c>
      <c r="D197" t="s">
        <v>41</v>
      </c>
      <c r="K197">
        <v>0</v>
      </c>
      <c r="L197" t="s">
        <v>41</v>
      </c>
      <c r="M197" t="s">
        <v>972</v>
      </c>
      <c r="N197" t="s">
        <v>41</v>
      </c>
    </row>
    <row r="198" spans="3:14" x14ac:dyDescent="0.3">
      <c r="C198" t="s">
        <v>41</v>
      </c>
      <c r="D198" t="s">
        <v>41</v>
      </c>
      <c r="K198">
        <v>0</v>
      </c>
      <c r="L198" t="s">
        <v>41</v>
      </c>
      <c r="M198" t="s">
        <v>972</v>
      </c>
      <c r="N198" t="s">
        <v>41</v>
      </c>
    </row>
    <row r="199" spans="3:14" x14ac:dyDescent="0.3">
      <c r="C199" t="s">
        <v>41</v>
      </c>
      <c r="D199" t="s">
        <v>41</v>
      </c>
      <c r="K199">
        <v>0</v>
      </c>
      <c r="L199" t="s">
        <v>41</v>
      </c>
      <c r="M199" t="s">
        <v>972</v>
      </c>
      <c r="N199" t="s">
        <v>41</v>
      </c>
    </row>
    <row r="200" spans="3:14" x14ac:dyDescent="0.3">
      <c r="C200" t="s">
        <v>41</v>
      </c>
      <c r="D200" t="s">
        <v>41</v>
      </c>
      <c r="K200">
        <v>0</v>
      </c>
      <c r="L200" t="s">
        <v>41</v>
      </c>
      <c r="M200" t="s">
        <v>972</v>
      </c>
      <c r="N200" t="s">
        <v>41</v>
      </c>
    </row>
    <row r="201" spans="3:14" x14ac:dyDescent="0.3">
      <c r="C201" t="s">
        <v>41</v>
      </c>
      <c r="D201" t="s">
        <v>41</v>
      </c>
      <c r="K201">
        <v>0</v>
      </c>
      <c r="L201" t="s">
        <v>41</v>
      </c>
      <c r="M201" t="s">
        <v>972</v>
      </c>
      <c r="N201" t="s">
        <v>41</v>
      </c>
    </row>
    <row r="202" spans="3:14" x14ac:dyDescent="0.3">
      <c r="C202" t="s">
        <v>41</v>
      </c>
      <c r="D202" t="s">
        <v>41</v>
      </c>
      <c r="K202">
        <v>0</v>
      </c>
      <c r="L202" t="s">
        <v>41</v>
      </c>
      <c r="M202" t="s">
        <v>972</v>
      </c>
      <c r="N202" t="s">
        <v>41</v>
      </c>
    </row>
    <row r="203" spans="3:14" x14ac:dyDescent="0.3">
      <c r="C203" t="s">
        <v>41</v>
      </c>
      <c r="D203" t="s">
        <v>41</v>
      </c>
      <c r="K203">
        <v>0</v>
      </c>
      <c r="L203" t="s">
        <v>41</v>
      </c>
      <c r="M203" t="s">
        <v>972</v>
      </c>
      <c r="N203" t="s">
        <v>41</v>
      </c>
    </row>
    <row r="204" spans="3:14" x14ac:dyDescent="0.3">
      <c r="C204" t="s">
        <v>41</v>
      </c>
      <c r="D204" t="s">
        <v>41</v>
      </c>
      <c r="K204">
        <v>0</v>
      </c>
      <c r="L204" t="s">
        <v>41</v>
      </c>
      <c r="M204" t="s">
        <v>972</v>
      </c>
      <c r="N204" t="s">
        <v>41</v>
      </c>
    </row>
    <row r="205" spans="3:14" x14ac:dyDescent="0.3">
      <c r="C205" t="s">
        <v>41</v>
      </c>
      <c r="D205" t="s">
        <v>41</v>
      </c>
      <c r="K205">
        <v>0</v>
      </c>
      <c r="L205" t="s">
        <v>41</v>
      </c>
      <c r="M205" t="s">
        <v>972</v>
      </c>
      <c r="N205" t="s">
        <v>41</v>
      </c>
    </row>
    <row r="206" spans="3:14" x14ac:dyDescent="0.3">
      <c r="C206" t="s">
        <v>41</v>
      </c>
      <c r="D206" t="s">
        <v>41</v>
      </c>
      <c r="K206">
        <v>0</v>
      </c>
      <c r="L206" t="s">
        <v>41</v>
      </c>
      <c r="M206" t="s">
        <v>972</v>
      </c>
      <c r="N206" t="s">
        <v>41</v>
      </c>
    </row>
    <row r="207" spans="3:14" x14ac:dyDescent="0.3">
      <c r="C207" t="s">
        <v>41</v>
      </c>
      <c r="D207" t="s">
        <v>41</v>
      </c>
      <c r="K207">
        <v>0</v>
      </c>
      <c r="L207" t="s">
        <v>41</v>
      </c>
      <c r="M207" t="s">
        <v>972</v>
      </c>
      <c r="N207" t="s">
        <v>41</v>
      </c>
    </row>
    <row r="208" spans="3:14" x14ac:dyDescent="0.3">
      <c r="C208" t="s">
        <v>41</v>
      </c>
      <c r="D208" t="s">
        <v>41</v>
      </c>
      <c r="K208">
        <v>0</v>
      </c>
      <c r="L208" t="s">
        <v>41</v>
      </c>
      <c r="M208" t="s">
        <v>972</v>
      </c>
      <c r="N208" t="s">
        <v>41</v>
      </c>
    </row>
    <row r="209" spans="3:14" x14ac:dyDescent="0.3">
      <c r="C209" t="s">
        <v>41</v>
      </c>
      <c r="D209" t="s">
        <v>41</v>
      </c>
      <c r="K209">
        <v>0</v>
      </c>
      <c r="L209" t="s">
        <v>41</v>
      </c>
      <c r="M209" t="s">
        <v>972</v>
      </c>
      <c r="N209" t="s">
        <v>41</v>
      </c>
    </row>
    <row r="210" spans="3:14" x14ac:dyDescent="0.3">
      <c r="C210" t="s">
        <v>41</v>
      </c>
      <c r="D210" t="s">
        <v>41</v>
      </c>
      <c r="K210">
        <v>0</v>
      </c>
      <c r="L210" t="s">
        <v>41</v>
      </c>
      <c r="M210" t="s">
        <v>972</v>
      </c>
      <c r="N210" t="s">
        <v>41</v>
      </c>
    </row>
    <row r="211" spans="3:14" x14ac:dyDescent="0.3">
      <c r="C211" t="s">
        <v>41</v>
      </c>
      <c r="D211" t="s">
        <v>41</v>
      </c>
      <c r="K211">
        <v>0</v>
      </c>
      <c r="L211" t="s">
        <v>41</v>
      </c>
      <c r="M211" t="s">
        <v>972</v>
      </c>
      <c r="N211" t="s">
        <v>41</v>
      </c>
    </row>
    <row r="212" spans="3:14" x14ac:dyDescent="0.3">
      <c r="C212" t="s">
        <v>41</v>
      </c>
      <c r="D212" t="s">
        <v>41</v>
      </c>
      <c r="K212">
        <v>0</v>
      </c>
      <c r="L212" t="s">
        <v>41</v>
      </c>
      <c r="M212" t="s">
        <v>972</v>
      </c>
      <c r="N212" t="s">
        <v>41</v>
      </c>
    </row>
    <row r="213" spans="3:14" x14ac:dyDescent="0.3">
      <c r="C213" t="s">
        <v>41</v>
      </c>
      <c r="D213" t="s">
        <v>41</v>
      </c>
      <c r="K213">
        <v>0</v>
      </c>
      <c r="L213" t="s">
        <v>41</v>
      </c>
      <c r="M213" t="s">
        <v>972</v>
      </c>
      <c r="N213" t="s">
        <v>41</v>
      </c>
    </row>
    <row r="214" spans="3:14" x14ac:dyDescent="0.3">
      <c r="C214" t="s">
        <v>41</v>
      </c>
      <c r="D214" t="s">
        <v>41</v>
      </c>
      <c r="K214">
        <v>0</v>
      </c>
      <c r="L214" t="s">
        <v>41</v>
      </c>
      <c r="M214" t="s">
        <v>972</v>
      </c>
      <c r="N214" t="s">
        <v>41</v>
      </c>
    </row>
    <row r="215" spans="3:14" x14ac:dyDescent="0.3">
      <c r="C215" t="s">
        <v>41</v>
      </c>
      <c r="D215" t="s">
        <v>41</v>
      </c>
      <c r="K215">
        <v>0</v>
      </c>
      <c r="L215" t="s">
        <v>41</v>
      </c>
      <c r="M215" t="s">
        <v>972</v>
      </c>
      <c r="N215" t="s">
        <v>41</v>
      </c>
    </row>
    <row r="216" spans="3:14" x14ac:dyDescent="0.3">
      <c r="C216" t="s">
        <v>41</v>
      </c>
      <c r="D216" t="s">
        <v>41</v>
      </c>
      <c r="K216">
        <v>0</v>
      </c>
      <c r="L216" t="s">
        <v>41</v>
      </c>
      <c r="M216" t="s">
        <v>972</v>
      </c>
      <c r="N216" t="s">
        <v>41</v>
      </c>
    </row>
    <row r="217" spans="3:14" x14ac:dyDescent="0.3">
      <c r="C217" t="s">
        <v>41</v>
      </c>
      <c r="D217" t="s">
        <v>41</v>
      </c>
      <c r="K217">
        <v>0</v>
      </c>
      <c r="L217" t="s">
        <v>41</v>
      </c>
      <c r="M217" t="s">
        <v>972</v>
      </c>
      <c r="N217" t="s">
        <v>41</v>
      </c>
    </row>
    <row r="218" spans="3:14" x14ac:dyDescent="0.3">
      <c r="C218" t="s">
        <v>41</v>
      </c>
      <c r="D218" t="s">
        <v>41</v>
      </c>
      <c r="K218">
        <v>0</v>
      </c>
      <c r="L218" t="s">
        <v>41</v>
      </c>
      <c r="M218" t="s">
        <v>972</v>
      </c>
      <c r="N218" t="s">
        <v>41</v>
      </c>
    </row>
    <row r="219" spans="3:14" x14ac:dyDescent="0.3">
      <c r="C219" t="s">
        <v>41</v>
      </c>
      <c r="D219" t="s">
        <v>41</v>
      </c>
      <c r="K219">
        <v>0</v>
      </c>
      <c r="L219" t="s">
        <v>41</v>
      </c>
      <c r="M219" t="s">
        <v>972</v>
      </c>
      <c r="N219" t="s">
        <v>41</v>
      </c>
    </row>
    <row r="220" spans="3:14" x14ac:dyDescent="0.3">
      <c r="C220" t="s">
        <v>41</v>
      </c>
      <c r="D220" t="s">
        <v>41</v>
      </c>
      <c r="K220">
        <v>0</v>
      </c>
      <c r="L220" t="s">
        <v>41</v>
      </c>
      <c r="M220" t="s">
        <v>972</v>
      </c>
      <c r="N220" t="s">
        <v>41</v>
      </c>
    </row>
    <row r="221" spans="3:14" x14ac:dyDescent="0.3">
      <c r="C221" t="s">
        <v>41</v>
      </c>
      <c r="D221" t="s">
        <v>41</v>
      </c>
      <c r="K221">
        <v>0</v>
      </c>
      <c r="L221" t="s">
        <v>41</v>
      </c>
      <c r="M221" t="s">
        <v>972</v>
      </c>
      <c r="N221" t="s">
        <v>41</v>
      </c>
    </row>
    <row r="222" spans="3:14" x14ac:dyDescent="0.3">
      <c r="C222" t="s">
        <v>41</v>
      </c>
      <c r="D222" t="s">
        <v>41</v>
      </c>
      <c r="K222">
        <v>0</v>
      </c>
      <c r="L222" t="s">
        <v>41</v>
      </c>
      <c r="M222" t="s">
        <v>972</v>
      </c>
      <c r="N222" t="s">
        <v>41</v>
      </c>
    </row>
    <row r="223" spans="3:14" x14ac:dyDescent="0.3">
      <c r="C223" t="s">
        <v>41</v>
      </c>
      <c r="D223" t="s">
        <v>41</v>
      </c>
      <c r="K223">
        <v>0</v>
      </c>
      <c r="L223" t="s">
        <v>41</v>
      </c>
      <c r="M223" t="s">
        <v>972</v>
      </c>
      <c r="N223" t="s">
        <v>41</v>
      </c>
    </row>
    <row r="224" spans="3:14" x14ac:dyDescent="0.3">
      <c r="C224" t="s">
        <v>41</v>
      </c>
      <c r="D224" t="s">
        <v>41</v>
      </c>
      <c r="K224">
        <v>0</v>
      </c>
      <c r="L224" t="s">
        <v>41</v>
      </c>
      <c r="M224" t="s">
        <v>972</v>
      </c>
      <c r="N224" t="s">
        <v>41</v>
      </c>
    </row>
    <row r="225" spans="3:14" x14ac:dyDescent="0.3">
      <c r="C225" t="s">
        <v>41</v>
      </c>
      <c r="D225" t="s">
        <v>41</v>
      </c>
      <c r="K225">
        <v>0</v>
      </c>
      <c r="L225" t="s">
        <v>41</v>
      </c>
      <c r="M225" t="s">
        <v>972</v>
      </c>
      <c r="N225" t="s">
        <v>41</v>
      </c>
    </row>
    <row r="226" spans="3:14" x14ac:dyDescent="0.3">
      <c r="C226" t="s">
        <v>41</v>
      </c>
      <c r="D226" t="s">
        <v>41</v>
      </c>
      <c r="K226">
        <v>0</v>
      </c>
      <c r="L226" t="s">
        <v>41</v>
      </c>
      <c r="M226" t="s">
        <v>972</v>
      </c>
      <c r="N226" t="s">
        <v>41</v>
      </c>
    </row>
    <row r="227" spans="3:14" x14ac:dyDescent="0.3">
      <c r="C227" t="s">
        <v>41</v>
      </c>
      <c r="D227" t="s">
        <v>41</v>
      </c>
      <c r="K227">
        <v>0</v>
      </c>
      <c r="L227" t="s">
        <v>41</v>
      </c>
      <c r="M227" t="s">
        <v>972</v>
      </c>
      <c r="N227" t="s">
        <v>41</v>
      </c>
    </row>
    <row r="228" spans="3:14" x14ac:dyDescent="0.3">
      <c r="C228" t="s">
        <v>41</v>
      </c>
      <c r="D228" t="s">
        <v>41</v>
      </c>
      <c r="K228">
        <v>0</v>
      </c>
      <c r="L228" t="s">
        <v>41</v>
      </c>
      <c r="M228" t="s">
        <v>972</v>
      </c>
      <c r="N228" t="s">
        <v>41</v>
      </c>
    </row>
    <row r="229" spans="3:14" x14ac:dyDescent="0.3">
      <c r="C229" t="s">
        <v>41</v>
      </c>
      <c r="D229" t="s">
        <v>41</v>
      </c>
      <c r="K229">
        <v>0</v>
      </c>
      <c r="L229" t="s">
        <v>41</v>
      </c>
      <c r="M229" t="s">
        <v>972</v>
      </c>
      <c r="N229" t="s">
        <v>41</v>
      </c>
    </row>
    <row r="230" spans="3:14" x14ac:dyDescent="0.3">
      <c r="C230" t="s">
        <v>41</v>
      </c>
      <c r="D230" t="s">
        <v>41</v>
      </c>
      <c r="K230">
        <v>0</v>
      </c>
      <c r="L230" t="s">
        <v>41</v>
      </c>
      <c r="M230" t="s">
        <v>972</v>
      </c>
      <c r="N230" t="s">
        <v>41</v>
      </c>
    </row>
    <row r="231" spans="3:14" x14ac:dyDescent="0.3">
      <c r="C231" t="s">
        <v>41</v>
      </c>
      <c r="D231" t="s">
        <v>41</v>
      </c>
      <c r="K231">
        <v>0</v>
      </c>
      <c r="L231" t="s">
        <v>41</v>
      </c>
      <c r="M231" t="s">
        <v>972</v>
      </c>
      <c r="N231" t="s">
        <v>41</v>
      </c>
    </row>
    <row r="232" spans="3:14" x14ac:dyDescent="0.3">
      <c r="C232" t="s">
        <v>41</v>
      </c>
      <c r="D232" t="s">
        <v>41</v>
      </c>
      <c r="K232">
        <v>0</v>
      </c>
      <c r="L232" t="s">
        <v>41</v>
      </c>
      <c r="M232" t="s">
        <v>972</v>
      </c>
      <c r="N232" t="s">
        <v>41</v>
      </c>
    </row>
    <row r="233" spans="3:14" x14ac:dyDescent="0.3">
      <c r="C233" t="s">
        <v>41</v>
      </c>
      <c r="D233" t="s">
        <v>41</v>
      </c>
      <c r="K233">
        <v>0</v>
      </c>
      <c r="L233" t="s">
        <v>41</v>
      </c>
      <c r="M233" t="s">
        <v>972</v>
      </c>
      <c r="N233" t="s">
        <v>41</v>
      </c>
    </row>
    <row r="234" spans="3:14" x14ac:dyDescent="0.3">
      <c r="C234" t="s">
        <v>41</v>
      </c>
      <c r="D234" t="s">
        <v>41</v>
      </c>
      <c r="K234">
        <v>0</v>
      </c>
      <c r="L234" t="s">
        <v>41</v>
      </c>
      <c r="M234" t="s">
        <v>972</v>
      </c>
      <c r="N234" t="s">
        <v>41</v>
      </c>
    </row>
    <row r="235" spans="3:14" x14ac:dyDescent="0.3">
      <c r="C235" t="s">
        <v>41</v>
      </c>
      <c r="D235" t="s">
        <v>41</v>
      </c>
      <c r="K235">
        <v>0</v>
      </c>
      <c r="L235" t="s">
        <v>41</v>
      </c>
      <c r="M235" t="s">
        <v>972</v>
      </c>
      <c r="N235" t="s">
        <v>41</v>
      </c>
    </row>
    <row r="236" spans="3:14" x14ac:dyDescent="0.3">
      <c r="C236" t="s">
        <v>41</v>
      </c>
      <c r="D236" t="s">
        <v>41</v>
      </c>
      <c r="K236">
        <v>0</v>
      </c>
      <c r="L236" t="s">
        <v>41</v>
      </c>
      <c r="M236" t="s">
        <v>972</v>
      </c>
      <c r="N236" t="s">
        <v>41</v>
      </c>
    </row>
    <row r="237" spans="3:14" x14ac:dyDescent="0.3">
      <c r="C237" t="s">
        <v>41</v>
      </c>
      <c r="D237" t="s">
        <v>41</v>
      </c>
      <c r="K237">
        <v>0</v>
      </c>
      <c r="L237" t="s">
        <v>41</v>
      </c>
      <c r="M237" t="s">
        <v>972</v>
      </c>
      <c r="N237" t="s">
        <v>41</v>
      </c>
    </row>
    <row r="238" spans="3:14" x14ac:dyDescent="0.3">
      <c r="C238" t="s">
        <v>41</v>
      </c>
      <c r="D238" t="s">
        <v>41</v>
      </c>
      <c r="K238">
        <v>0</v>
      </c>
      <c r="L238" t="s">
        <v>41</v>
      </c>
      <c r="M238" t="s">
        <v>972</v>
      </c>
      <c r="N238" t="s">
        <v>41</v>
      </c>
    </row>
    <row r="239" spans="3:14" x14ac:dyDescent="0.3">
      <c r="C239" t="s">
        <v>41</v>
      </c>
      <c r="D239" t="s">
        <v>41</v>
      </c>
      <c r="K239">
        <v>0</v>
      </c>
      <c r="L239" t="s">
        <v>41</v>
      </c>
      <c r="M239" t="s">
        <v>972</v>
      </c>
      <c r="N239" t="s">
        <v>41</v>
      </c>
    </row>
    <row r="240" spans="3:14" x14ac:dyDescent="0.3">
      <c r="C240" t="s">
        <v>41</v>
      </c>
      <c r="D240" t="s">
        <v>41</v>
      </c>
      <c r="K240">
        <v>0</v>
      </c>
      <c r="L240" t="s">
        <v>41</v>
      </c>
      <c r="M240" t="s">
        <v>972</v>
      </c>
      <c r="N240" t="s">
        <v>41</v>
      </c>
    </row>
    <row r="241" spans="3:14" x14ac:dyDescent="0.3">
      <c r="C241" t="s">
        <v>41</v>
      </c>
      <c r="D241" t="s">
        <v>41</v>
      </c>
      <c r="K241">
        <v>0</v>
      </c>
      <c r="L241" t="s">
        <v>41</v>
      </c>
      <c r="M241" t="s">
        <v>972</v>
      </c>
      <c r="N241" t="s">
        <v>41</v>
      </c>
    </row>
    <row r="242" spans="3:14" x14ac:dyDescent="0.3">
      <c r="C242" t="s">
        <v>41</v>
      </c>
      <c r="D242" t="s">
        <v>41</v>
      </c>
      <c r="K242">
        <v>0</v>
      </c>
      <c r="L242" t="s">
        <v>41</v>
      </c>
      <c r="M242" t="s">
        <v>972</v>
      </c>
      <c r="N242" t="s">
        <v>41</v>
      </c>
    </row>
    <row r="243" spans="3:14" x14ac:dyDescent="0.3">
      <c r="C243" t="s">
        <v>41</v>
      </c>
      <c r="D243" t="s">
        <v>41</v>
      </c>
      <c r="K243">
        <v>0</v>
      </c>
      <c r="L243" t="s">
        <v>41</v>
      </c>
      <c r="M243" t="s">
        <v>972</v>
      </c>
      <c r="N243" t="s">
        <v>41</v>
      </c>
    </row>
    <row r="244" spans="3:14" x14ac:dyDescent="0.3">
      <c r="C244" t="s">
        <v>41</v>
      </c>
      <c r="D244" t="s">
        <v>41</v>
      </c>
      <c r="K244">
        <v>0</v>
      </c>
      <c r="L244" t="s">
        <v>41</v>
      </c>
      <c r="M244" t="s">
        <v>972</v>
      </c>
      <c r="N244" t="s">
        <v>41</v>
      </c>
    </row>
    <row r="245" spans="3:14" x14ac:dyDescent="0.3">
      <c r="C245" t="s">
        <v>41</v>
      </c>
      <c r="D245" t="s">
        <v>41</v>
      </c>
      <c r="K245">
        <v>0</v>
      </c>
      <c r="L245" t="s">
        <v>41</v>
      </c>
      <c r="M245" t="s">
        <v>972</v>
      </c>
      <c r="N245" t="s">
        <v>41</v>
      </c>
    </row>
    <row r="246" spans="3:14" x14ac:dyDescent="0.3">
      <c r="C246" t="s">
        <v>41</v>
      </c>
      <c r="D246" t="s">
        <v>41</v>
      </c>
      <c r="K246">
        <v>0</v>
      </c>
      <c r="L246" t="s">
        <v>41</v>
      </c>
      <c r="M246" t="s">
        <v>972</v>
      </c>
      <c r="N246" t="s">
        <v>41</v>
      </c>
    </row>
    <row r="247" spans="3:14" x14ac:dyDescent="0.3">
      <c r="C247" t="s">
        <v>41</v>
      </c>
      <c r="D247" t="s">
        <v>41</v>
      </c>
      <c r="K247">
        <v>0</v>
      </c>
      <c r="L247" t="s">
        <v>41</v>
      </c>
      <c r="M247" t="s">
        <v>972</v>
      </c>
      <c r="N247" t="s">
        <v>41</v>
      </c>
    </row>
    <row r="248" spans="3:14" x14ac:dyDescent="0.3">
      <c r="C248" t="s">
        <v>41</v>
      </c>
      <c r="D248" t="s">
        <v>41</v>
      </c>
      <c r="K248">
        <v>0</v>
      </c>
      <c r="L248" t="s">
        <v>41</v>
      </c>
      <c r="M248" t="s">
        <v>972</v>
      </c>
      <c r="N248" t="s">
        <v>41</v>
      </c>
    </row>
    <row r="249" spans="3:14" x14ac:dyDescent="0.3">
      <c r="C249" t="s">
        <v>41</v>
      </c>
      <c r="D249" t="s">
        <v>41</v>
      </c>
      <c r="K249">
        <v>0</v>
      </c>
      <c r="L249" t="s">
        <v>41</v>
      </c>
      <c r="M249" t="s">
        <v>972</v>
      </c>
      <c r="N249" t="s">
        <v>41</v>
      </c>
    </row>
    <row r="250" spans="3:14" x14ac:dyDescent="0.3">
      <c r="C250" t="s">
        <v>41</v>
      </c>
      <c r="D250" t="s">
        <v>41</v>
      </c>
      <c r="K250">
        <v>0</v>
      </c>
      <c r="L250" t="s">
        <v>41</v>
      </c>
      <c r="M250" t="s">
        <v>972</v>
      </c>
      <c r="N250" t="s">
        <v>41</v>
      </c>
    </row>
    <row r="251" spans="3:14" x14ac:dyDescent="0.3">
      <c r="C251" t="s">
        <v>41</v>
      </c>
      <c r="D251" t="s">
        <v>41</v>
      </c>
      <c r="K251">
        <v>0</v>
      </c>
      <c r="L251" t="s">
        <v>41</v>
      </c>
      <c r="M251" t="s">
        <v>972</v>
      </c>
      <c r="N251" t="s">
        <v>41</v>
      </c>
    </row>
    <row r="252" spans="3:14" x14ac:dyDescent="0.3">
      <c r="C252" t="s">
        <v>41</v>
      </c>
      <c r="D252" t="s">
        <v>41</v>
      </c>
      <c r="K252">
        <v>0</v>
      </c>
      <c r="L252" t="s">
        <v>41</v>
      </c>
      <c r="M252" t="s">
        <v>972</v>
      </c>
      <c r="N252" t="s">
        <v>41</v>
      </c>
    </row>
    <row r="253" spans="3:14" x14ac:dyDescent="0.3">
      <c r="C253" t="s">
        <v>41</v>
      </c>
      <c r="D253" t="s">
        <v>41</v>
      </c>
      <c r="K253">
        <v>0</v>
      </c>
      <c r="L253" t="s">
        <v>41</v>
      </c>
      <c r="M253" t="s">
        <v>972</v>
      </c>
      <c r="N253" t="s">
        <v>41</v>
      </c>
    </row>
    <row r="254" spans="3:14" x14ac:dyDescent="0.3">
      <c r="C254" t="s">
        <v>41</v>
      </c>
      <c r="D254" t="s">
        <v>41</v>
      </c>
      <c r="K254">
        <v>0</v>
      </c>
      <c r="L254" t="s">
        <v>41</v>
      </c>
      <c r="M254" t="s">
        <v>972</v>
      </c>
      <c r="N254" t="s">
        <v>41</v>
      </c>
    </row>
    <row r="255" spans="3:14" x14ac:dyDescent="0.3">
      <c r="C255" t="s">
        <v>41</v>
      </c>
      <c r="D255" t="s">
        <v>41</v>
      </c>
      <c r="K255">
        <v>0</v>
      </c>
      <c r="L255" t="s">
        <v>41</v>
      </c>
      <c r="M255" t="s">
        <v>972</v>
      </c>
      <c r="N255" t="s">
        <v>41</v>
      </c>
    </row>
    <row r="256" spans="3:14" x14ac:dyDescent="0.3">
      <c r="C256" t="s">
        <v>41</v>
      </c>
      <c r="D256" t="s">
        <v>41</v>
      </c>
      <c r="K256">
        <v>0</v>
      </c>
      <c r="L256" t="s">
        <v>41</v>
      </c>
      <c r="M256" t="s">
        <v>972</v>
      </c>
      <c r="N256" t="s">
        <v>41</v>
      </c>
    </row>
    <row r="257" spans="3:14" x14ac:dyDescent="0.3">
      <c r="C257" t="s">
        <v>41</v>
      </c>
      <c r="D257" t="s">
        <v>41</v>
      </c>
      <c r="K257">
        <v>0</v>
      </c>
      <c r="L257" t="s">
        <v>41</v>
      </c>
      <c r="M257" t="s">
        <v>972</v>
      </c>
      <c r="N257" t="s">
        <v>41</v>
      </c>
    </row>
    <row r="258" spans="3:14" x14ac:dyDescent="0.3">
      <c r="C258" t="s">
        <v>41</v>
      </c>
      <c r="D258" t="s">
        <v>41</v>
      </c>
      <c r="K258">
        <v>0</v>
      </c>
      <c r="L258" t="s">
        <v>41</v>
      </c>
      <c r="M258" t="s">
        <v>972</v>
      </c>
      <c r="N258" t="s">
        <v>41</v>
      </c>
    </row>
    <row r="259" spans="3:14" x14ac:dyDescent="0.3">
      <c r="C259" t="s">
        <v>41</v>
      </c>
      <c r="D259" t="s">
        <v>41</v>
      </c>
      <c r="K259">
        <v>0</v>
      </c>
      <c r="L259" t="s">
        <v>41</v>
      </c>
      <c r="M259" t="s">
        <v>972</v>
      </c>
      <c r="N259" t="s">
        <v>41</v>
      </c>
    </row>
    <row r="260" spans="3:14" x14ac:dyDescent="0.3">
      <c r="C260" t="s">
        <v>41</v>
      </c>
      <c r="D260" t="s">
        <v>41</v>
      </c>
      <c r="K260">
        <v>0</v>
      </c>
      <c r="L260" t="s">
        <v>41</v>
      </c>
      <c r="M260" t="s">
        <v>972</v>
      </c>
      <c r="N260" t="s">
        <v>41</v>
      </c>
    </row>
    <row r="261" spans="3:14" x14ac:dyDescent="0.3">
      <c r="C261" t="s">
        <v>41</v>
      </c>
      <c r="D261" t="s">
        <v>41</v>
      </c>
      <c r="K261">
        <v>0</v>
      </c>
      <c r="L261" t="s">
        <v>41</v>
      </c>
      <c r="M261" t="s">
        <v>972</v>
      </c>
      <c r="N261" t="s">
        <v>41</v>
      </c>
    </row>
    <row r="262" spans="3:14" x14ac:dyDescent="0.3">
      <c r="C262" t="s">
        <v>41</v>
      </c>
      <c r="D262" t="s">
        <v>41</v>
      </c>
      <c r="K262">
        <v>0</v>
      </c>
      <c r="L262" t="s">
        <v>41</v>
      </c>
      <c r="M262" t="s">
        <v>972</v>
      </c>
      <c r="N262" t="s">
        <v>41</v>
      </c>
    </row>
    <row r="263" spans="3:14" x14ac:dyDescent="0.3">
      <c r="C263" t="s">
        <v>41</v>
      </c>
      <c r="D263" t="s">
        <v>41</v>
      </c>
      <c r="K263">
        <v>0</v>
      </c>
      <c r="L263" t="s">
        <v>41</v>
      </c>
      <c r="M263" t="s">
        <v>972</v>
      </c>
      <c r="N263" t="s">
        <v>41</v>
      </c>
    </row>
    <row r="264" spans="3:14" x14ac:dyDescent="0.3">
      <c r="C264" t="s">
        <v>41</v>
      </c>
      <c r="D264" t="s">
        <v>41</v>
      </c>
      <c r="K264">
        <v>0</v>
      </c>
      <c r="L264" t="s">
        <v>41</v>
      </c>
      <c r="M264" t="s">
        <v>972</v>
      </c>
      <c r="N264" t="s">
        <v>41</v>
      </c>
    </row>
    <row r="265" spans="3:14" x14ac:dyDescent="0.3">
      <c r="C265" t="s">
        <v>41</v>
      </c>
      <c r="D265" t="s">
        <v>41</v>
      </c>
      <c r="K265">
        <v>0</v>
      </c>
      <c r="L265" t="s">
        <v>41</v>
      </c>
      <c r="M265" t="s">
        <v>972</v>
      </c>
      <c r="N265" t="s">
        <v>41</v>
      </c>
    </row>
    <row r="266" spans="3:14" x14ac:dyDescent="0.3">
      <c r="C266" t="s">
        <v>41</v>
      </c>
      <c r="D266" t="s">
        <v>41</v>
      </c>
      <c r="K266">
        <v>0</v>
      </c>
      <c r="L266" t="s">
        <v>41</v>
      </c>
      <c r="M266" t="s">
        <v>972</v>
      </c>
      <c r="N266" t="s">
        <v>41</v>
      </c>
    </row>
    <row r="267" spans="3:14" x14ac:dyDescent="0.3">
      <c r="C267" t="s">
        <v>41</v>
      </c>
      <c r="D267" t="s">
        <v>41</v>
      </c>
      <c r="K267">
        <v>0</v>
      </c>
      <c r="L267" t="s">
        <v>41</v>
      </c>
      <c r="M267" t="s">
        <v>972</v>
      </c>
      <c r="N267" t="s">
        <v>41</v>
      </c>
    </row>
    <row r="268" spans="3:14" x14ac:dyDescent="0.3">
      <c r="C268" t="s">
        <v>41</v>
      </c>
      <c r="D268" t="s">
        <v>41</v>
      </c>
      <c r="K268">
        <v>0</v>
      </c>
      <c r="L268" t="s">
        <v>41</v>
      </c>
      <c r="M268" t="s">
        <v>972</v>
      </c>
      <c r="N268" t="s">
        <v>41</v>
      </c>
    </row>
    <row r="269" spans="3:14" x14ac:dyDescent="0.3">
      <c r="C269" t="s">
        <v>41</v>
      </c>
      <c r="D269" t="s">
        <v>41</v>
      </c>
      <c r="K269">
        <v>0</v>
      </c>
      <c r="L269" t="s">
        <v>41</v>
      </c>
      <c r="M269" t="s">
        <v>972</v>
      </c>
      <c r="N269" t="s">
        <v>41</v>
      </c>
    </row>
    <row r="270" spans="3:14" x14ac:dyDescent="0.3">
      <c r="C270" t="s">
        <v>41</v>
      </c>
      <c r="D270" t="s">
        <v>41</v>
      </c>
      <c r="K270">
        <v>0</v>
      </c>
      <c r="L270" t="s">
        <v>41</v>
      </c>
      <c r="M270" t="s">
        <v>972</v>
      </c>
      <c r="N270" t="s">
        <v>41</v>
      </c>
    </row>
    <row r="271" spans="3:14" x14ac:dyDescent="0.3">
      <c r="C271" t="s">
        <v>41</v>
      </c>
      <c r="D271" t="s">
        <v>41</v>
      </c>
      <c r="K271">
        <v>0</v>
      </c>
      <c r="L271" t="s">
        <v>41</v>
      </c>
      <c r="M271" t="s">
        <v>972</v>
      </c>
      <c r="N271" t="s">
        <v>41</v>
      </c>
    </row>
    <row r="272" spans="3:14" x14ac:dyDescent="0.3">
      <c r="C272" t="s">
        <v>41</v>
      </c>
      <c r="D272" t="s">
        <v>41</v>
      </c>
      <c r="K272">
        <v>0</v>
      </c>
      <c r="L272" t="s">
        <v>41</v>
      </c>
      <c r="M272" t="s">
        <v>972</v>
      </c>
      <c r="N272" t="s">
        <v>41</v>
      </c>
    </row>
    <row r="273" spans="3:14" x14ac:dyDescent="0.3">
      <c r="C273" t="s">
        <v>41</v>
      </c>
      <c r="D273" t="s">
        <v>41</v>
      </c>
      <c r="K273">
        <v>0</v>
      </c>
      <c r="L273" t="s">
        <v>41</v>
      </c>
      <c r="M273" t="s">
        <v>972</v>
      </c>
      <c r="N273" t="s">
        <v>41</v>
      </c>
    </row>
    <row r="274" spans="3:14" x14ac:dyDescent="0.3">
      <c r="C274" t="s">
        <v>41</v>
      </c>
      <c r="D274" t="s">
        <v>41</v>
      </c>
      <c r="K274">
        <v>0</v>
      </c>
      <c r="L274" t="s">
        <v>41</v>
      </c>
      <c r="M274" t="s">
        <v>972</v>
      </c>
      <c r="N274" t="s">
        <v>41</v>
      </c>
    </row>
    <row r="275" spans="3:14" x14ac:dyDescent="0.3">
      <c r="C275" t="s">
        <v>41</v>
      </c>
      <c r="D275" t="s">
        <v>41</v>
      </c>
      <c r="K275">
        <v>0</v>
      </c>
      <c r="L275" t="s">
        <v>41</v>
      </c>
      <c r="M275" t="s">
        <v>972</v>
      </c>
      <c r="N275" t="s">
        <v>41</v>
      </c>
    </row>
    <row r="276" spans="3:14" x14ac:dyDescent="0.3">
      <c r="C276" t="s">
        <v>41</v>
      </c>
      <c r="D276" t="s">
        <v>41</v>
      </c>
      <c r="K276">
        <v>0</v>
      </c>
      <c r="L276" t="s">
        <v>41</v>
      </c>
      <c r="M276" t="s">
        <v>972</v>
      </c>
      <c r="N276" t="s">
        <v>41</v>
      </c>
    </row>
    <row r="277" spans="3:14" x14ac:dyDescent="0.3">
      <c r="C277" t="s">
        <v>41</v>
      </c>
      <c r="D277" t="s">
        <v>41</v>
      </c>
      <c r="K277">
        <v>0</v>
      </c>
      <c r="L277" t="s">
        <v>41</v>
      </c>
      <c r="M277" t="s">
        <v>972</v>
      </c>
      <c r="N277" t="s">
        <v>41</v>
      </c>
    </row>
    <row r="278" spans="3:14" x14ac:dyDescent="0.3">
      <c r="C278" t="s">
        <v>41</v>
      </c>
      <c r="D278" t="s">
        <v>41</v>
      </c>
      <c r="K278">
        <v>0</v>
      </c>
      <c r="L278" t="s">
        <v>41</v>
      </c>
      <c r="M278" t="s">
        <v>972</v>
      </c>
      <c r="N278" t="s">
        <v>41</v>
      </c>
    </row>
    <row r="279" spans="3:14" x14ac:dyDescent="0.3">
      <c r="C279" t="s">
        <v>41</v>
      </c>
      <c r="D279" t="s">
        <v>41</v>
      </c>
      <c r="K279">
        <v>0</v>
      </c>
      <c r="L279" t="s">
        <v>41</v>
      </c>
      <c r="M279" t="s">
        <v>972</v>
      </c>
      <c r="N279" t="s">
        <v>41</v>
      </c>
    </row>
    <row r="280" spans="3:14" x14ac:dyDescent="0.3">
      <c r="C280" t="s">
        <v>41</v>
      </c>
      <c r="D280" t="s">
        <v>41</v>
      </c>
      <c r="K280">
        <v>0</v>
      </c>
      <c r="L280" t="s">
        <v>41</v>
      </c>
      <c r="M280" t="s">
        <v>972</v>
      </c>
      <c r="N280" t="s">
        <v>41</v>
      </c>
    </row>
    <row r="281" spans="3:14" x14ac:dyDescent="0.3">
      <c r="C281" t="s">
        <v>41</v>
      </c>
      <c r="D281" t="s">
        <v>41</v>
      </c>
      <c r="K281">
        <v>0</v>
      </c>
      <c r="L281" t="s">
        <v>41</v>
      </c>
      <c r="M281" t="s">
        <v>972</v>
      </c>
      <c r="N281" t="s">
        <v>41</v>
      </c>
    </row>
    <row r="282" spans="3:14" x14ac:dyDescent="0.3">
      <c r="C282" t="s">
        <v>41</v>
      </c>
      <c r="D282" t="s">
        <v>41</v>
      </c>
      <c r="K282">
        <v>0</v>
      </c>
      <c r="L282" t="s">
        <v>41</v>
      </c>
      <c r="M282" t="s">
        <v>972</v>
      </c>
      <c r="N282" t="s">
        <v>41</v>
      </c>
    </row>
    <row r="283" spans="3:14" x14ac:dyDescent="0.3">
      <c r="C283" t="s">
        <v>41</v>
      </c>
      <c r="D283" t="s">
        <v>41</v>
      </c>
      <c r="K283">
        <v>0</v>
      </c>
      <c r="L283" t="s">
        <v>41</v>
      </c>
      <c r="M283" t="s">
        <v>972</v>
      </c>
      <c r="N283" t="s">
        <v>41</v>
      </c>
    </row>
    <row r="284" spans="3:14" x14ac:dyDescent="0.3">
      <c r="C284" t="s">
        <v>41</v>
      </c>
      <c r="D284" t="s">
        <v>41</v>
      </c>
      <c r="K284">
        <v>0</v>
      </c>
      <c r="L284" t="s">
        <v>41</v>
      </c>
      <c r="M284" t="s">
        <v>972</v>
      </c>
      <c r="N284" t="s">
        <v>41</v>
      </c>
    </row>
    <row r="285" spans="3:14" x14ac:dyDescent="0.3">
      <c r="C285" t="s">
        <v>41</v>
      </c>
      <c r="D285" t="s">
        <v>41</v>
      </c>
      <c r="K285">
        <v>0</v>
      </c>
      <c r="L285" t="s">
        <v>41</v>
      </c>
      <c r="M285" t="s">
        <v>972</v>
      </c>
      <c r="N285" t="s">
        <v>41</v>
      </c>
    </row>
    <row r="286" spans="3:14" x14ac:dyDescent="0.3">
      <c r="C286" t="s">
        <v>41</v>
      </c>
      <c r="D286" t="s">
        <v>41</v>
      </c>
      <c r="K286">
        <v>0</v>
      </c>
      <c r="L286" t="s">
        <v>41</v>
      </c>
      <c r="M286" t="s">
        <v>972</v>
      </c>
      <c r="N286" t="s">
        <v>41</v>
      </c>
    </row>
    <row r="287" spans="3:14" x14ac:dyDescent="0.3">
      <c r="C287" t="s">
        <v>41</v>
      </c>
      <c r="D287" t="s">
        <v>41</v>
      </c>
      <c r="K287">
        <v>0</v>
      </c>
      <c r="L287" t="s">
        <v>41</v>
      </c>
      <c r="M287" t="s">
        <v>972</v>
      </c>
      <c r="N287" t="s">
        <v>41</v>
      </c>
    </row>
    <row r="288" spans="3:14" x14ac:dyDescent="0.3">
      <c r="C288" t="s">
        <v>41</v>
      </c>
      <c r="D288" t="s">
        <v>41</v>
      </c>
      <c r="K288">
        <v>0</v>
      </c>
      <c r="L288" t="s">
        <v>41</v>
      </c>
      <c r="M288" t="s">
        <v>972</v>
      </c>
      <c r="N288" t="s">
        <v>41</v>
      </c>
    </row>
    <row r="289" spans="3:14" x14ac:dyDescent="0.3">
      <c r="C289" t="s">
        <v>41</v>
      </c>
      <c r="D289" t="s">
        <v>41</v>
      </c>
      <c r="K289">
        <v>0</v>
      </c>
      <c r="L289" t="s">
        <v>41</v>
      </c>
      <c r="M289" t="s">
        <v>972</v>
      </c>
      <c r="N289" t="s">
        <v>41</v>
      </c>
    </row>
    <row r="290" spans="3:14" x14ac:dyDescent="0.3">
      <c r="C290" t="s">
        <v>41</v>
      </c>
      <c r="D290" t="s">
        <v>41</v>
      </c>
      <c r="K290">
        <v>0</v>
      </c>
      <c r="L290" t="s">
        <v>41</v>
      </c>
      <c r="M290" t="s">
        <v>972</v>
      </c>
      <c r="N290" t="s">
        <v>41</v>
      </c>
    </row>
    <row r="291" spans="3:14" x14ac:dyDescent="0.3">
      <c r="C291" t="s">
        <v>41</v>
      </c>
      <c r="D291" t="s">
        <v>41</v>
      </c>
      <c r="K291">
        <v>0</v>
      </c>
      <c r="L291" t="s">
        <v>41</v>
      </c>
      <c r="M291" t="s">
        <v>972</v>
      </c>
      <c r="N291" t="s">
        <v>41</v>
      </c>
    </row>
    <row r="292" spans="3:14" x14ac:dyDescent="0.3">
      <c r="C292" t="s">
        <v>41</v>
      </c>
      <c r="D292" t="s">
        <v>41</v>
      </c>
      <c r="K292">
        <v>0</v>
      </c>
      <c r="L292" t="s">
        <v>41</v>
      </c>
      <c r="M292" t="s">
        <v>972</v>
      </c>
      <c r="N292" t="s">
        <v>41</v>
      </c>
    </row>
    <row r="293" spans="3:14" x14ac:dyDescent="0.3">
      <c r="C293" t="s">
        <v>41</v>
      </c>
      <c r="D293" t="s">
        <v>41</v>
      </c>
      <c r="K293">
        <v>0</v>
      </c>
      <c r="L293" t="s">
        <v>41</v>
      </c>
      <c r="M293" t="s">
        <v>972</v>
      </c>
      <c r="N293" t="s">
        <v>41</v>
      </c>
    </row>
    <row r="294" spans="3:14" x14ac:dyDescent="0.3">
      <c r="C294" t="s">
        <v>41</v>
      </c>
      <c r="D294" t="s">
        <v>41</v>
      </c>
      <c r="K294">
        <v>0</v>
      </c>
      <c r="L294" t="s">
        <v>41</v>
      </c>
      <c r="M294" t="s">
        <v>972</v>
      </c>
      <c r="N294" t="s">
        <v>41</v>
      </c>
    </row>
    <row r="295" spans="3:14" x14ac:dyDescent="0.3">
      <c r="C295" t="s">
        <v>41</v>
      </c>
      <c r="D295" t="s">
        <v>41</v>
      </c>
      <c r="K295">
        <v>0</v>
      </c>
      <c r="L295" t="s">
        <v>41</v>
      </c>
      <c r="M295" t="s">
        <v>972</v>
      </c>
      <c r="N295" t="s">
        <v>41</v>
      </c>
    </row>
    <row r="296" spans="3:14" x14ac:dyDescent="0.3">
      <c r="C296" t="s">
        <v>41</v>
      </c>
      <c r="D296" t="s">
        <v>41</v>
      </c>
      <c r="K296">
        <v>0</v>
      </c>
      <c r="L296" t="s">
        <v>41</v>
      </c>
      <c r="M296" t="s">
        <v>972</v>
      </c>
      <c r="N296" t="s">
        <v>41</v>
      </c>
    </row>
    <row r="297" spans="3:14" x14ac:dyDescent="0.3">
      <c r="C297" t="s">
        <v>41</v>
      </c>
      <c r="D297" t="s">
        <v>41</v>
      </c>
      <c r="K297">
        <v>0</v>
      </c>
      <c r="L297" t="s">
        <v>41</v>
      </c>
      <c r="M297" t="s">
        <v>972</v>
      </c>
      <c r="N297" t="s">
        <v>41</v>
      </c>
    </row>
    <row r="298" spans="3:14" x14ac:dyDescent="0.3">
      <c r="C298" t="s">
        <v>41</v>
      </c>
      <c r="D298" t="s">
        <v>41</v>
      </c>
      <c r="K298">
        <v>0</v>
      </c>
      <c r="L298" t="s">
        <v>41</v>
      </c>
      <c r="M298" t="s">
        <v>972</v>
      </c>
      <c r="N298" t="s">
        <v>41</v>
      </c>
    </row>
    <row r="299" spans="3:14" x14ac:dyDescent="0.3">
      <c r="C299" t="s">
        <v>41</v>
      </c>
      <c r="D299" t="s">
        <v>41</v>
      </c>
      <c r="K299">
        <v>0</v>
      </c>
      <c r="L299" t="s">
        <v>41</v>
      </c>
      <c r="M299" t="s">
        <v>972</v>
      </c>
      <c r="N299" t="s">
        <v>41</v>
      </c>
    </row>
    <row r="300" spans="3:14" x14ac:dyDescent="0.3">
      <c r="C300" t="s">
        <v>41</v>
      </c>
      <c r="D300" t="s">
        <v>41</v>
      </c>
      <c r="K300">
        <v>0</v>
      </c>
      <c r="L300" t="s">
        <v>41</v>
      </c>
      <c r="M300" t="s">
        <v>972</v>
      </c>
      <c r="N300" t="s">
        <v>41</v>
      </c>
    </row>
    <row r="301" spans="3:14" x14ac:dyDescent="0.3">
      <c r="C301" t="s">
        <v>41</v>
      </c>
      <c r="D301" t="s">
        <v>41</v>
      </c>
      <c r="K301">
        <v>0</v>
      </c>
      <c r="L301" t="s">
        <v>41</v>
      </c>
      <c r="M301" t="s">
        <v>972</v>
      </c>
      <c r="N301" t="s">
        <v>41</v>
      </c>
    </row>
    <row r="302" spans="3:14" x14ac:dyDescent="0.3">
      <c r="C302" t="s">
        <v>41</v>
      </c>
      <c r="D302" t="s">
        <v>41</v>
      </c>
      <c r="K302">
        <v>0</v>
      </c>
      <c r="L302" t="s">
        <v>41</v>
      </c>
      <c r="M302" t="s">
        <v>972</v>
      </c>
      <c r="N302" t="s">
        <v>41</v>
      </c>
    </row>
    <row r="303" spans="3:14" x14ac:dyDescent="0.3">
      <c r="C303" t="s">
        <v>41</v>
      </c>
      <c r="D303" t="s">
        <v>41</v>
      </c>
      <c r="K303">
        <v>0</v>
      </c>
      <c r="L303" t="s">
        <v>41</v>
      </c>
      <c r="M303" t="s">
        <v>972</v>
      </c>
      <c r="N303" t="s">
        <v>41</v>
      </c>
    </row>
    <row r="304" spans="3:14" x14ac:dyDescent="0.3">
      <c r="C304" t="s">
        <v>41</v>
      </c>
      <c r="D304" t="s">
        <v>41</v>
      </c>
      <c r="K304">
        <v>0</v>
      </c>
      <c r="L304" t="s">
        <v>41</v>
      </c>
      <c r="M304" t="s">
        <v>972</v>
      </c>
      <c r="N304" t="s">
        <v>41</v>
      </c>
    </row>
    <row r="305" spans="3:14" x14ac:dyDescent="0.3">
      <c r="C305" t="s">
        <v>41</v>
      </c>
      <c r="D305" t="s">
        <v>41</v>
      </c>
      <c r="K305">
        <v>0</v>
      </c>
      <c r="L305" t="s">
        <v>41</v>
      </c>
      <c r="M305" t="s">
        <v>972</v>
      </c>
      <c r="N305" t="s">
        <v>41</v>
      </c>
    </row>
    <row r="306" spans="3:14" x14ac:dyDescent="0.3">
      <c r="C306" t="s">
        <v>41</v>
      </c>
      <c r="D306" t="s">
        <v>41</v>
      </c>
      <c r="K306">
        <v>0</v>
      </c>
      <c r="L306" t="s">
        <v>41</v>
      </c>
      <c r="M306" t="s">
        <v>972</v>
      </c>
      <c r="N306" t="s">
        <v>41</v>
      </c>
    </row>
    <row r="307" spans="3:14" x14ac:dyDescent="0.3">
      <c r="C307" t="s">
        <v>41</v>
      </c>
      <c r="D307" t="s">
        <v>41</v>
      </c>
      <c r="K307">
        <v>0</v>
      </c>
      <c r="L307" t="s">
        <v>41</v>
      </c>
      <c r="M307" t="s">
        <v>972</v>
      </c>
      <c r="N307" t="s">
        <v>41</v>
      </c>
    </row>
    <row r="308" spans="3:14" x14ac:dyDescent="0.3">
      <c r="C308" t="s">
        <v>41</v>
      </c>
      <c r="D308" t="s">
        <v>41</v>
      </c>
      <c r="K308">
        <v>0</v>
      </c>
      <c r="L308" t="s">
        <v>41</v>
      </c>
      <c r="M308" t="s">
        <v>972</v>
      </c>
      <c r="N308" t="s">
        <v>41</v>
      </c>
    </row>
    <row r="309" spans="3:14" x14ac:dyDescent="0.3">
      <c r="C309" t="s">
        <v>41</v>
      </c>
      <c r="D309" t="s">
        <v>41</v>
      </c>
      <c r="K309">
        <v>0</v>
      </c>
      <c r="L309" t="s">
        <v>41</v>
      </c>
      <c r="M309" t="s">
        <v>972</v>
      </c>
      <c r="N309" t="s">
        <v>41</v>
      </c>
    </row>
    <row r="310" spans="3:14" x14ac:dyDescent="0.3">
      <c r="C310" t="s">
        <v>41</v>
      </c>
      <c r="D310" t="s">
        <v>41</v>
      </c>
      <c r="K310">
        <v>0</v>
      </c>
      <c r="L310" t="s">
        <v>41</v>
      </c>
      <c r="M310" t="s">
        <v>972</v>
      </c>
      <c r="N310" t="s">
        <v>41</v>
      </c>
    </row>
    <row r="311" spans="3:14" x14ac:dyDescent="0.3">
      <c r="C311" t="s">
        <v>41</v>
      </c>
      <c r="D311" t="s">
        <v>41</v>
      </c>
      <c r="K311">
        <v>0</v>
      </c>
      <c r="L311" t="s">
        <v>41</v>
      </c>
      <c r="M311" t="s">
        <v>972</v>
      </c>
      <c r="N311" t="s">
        <v>41</v>
      </c>
    </row>
    <row r="312" spans="3:14" x14ac:dyDescent="0.3">
      <c r="C312" t="s">
        <v>41</v>
      </c>
      <c r="D312" t="s">
        <v>41</v>
      </c>
      <c r="K312">
        <v>0</v>
      </c>
      <c r="L312" t="s">
        <v>41</v>
      </c>
      <c r="M312" t="s">
        <v>972</v>
      </c>
      <c r="N312" t="s">
        <v>41</v>
      </c>
    </row>
    <row r="313" spans="3:14" x14ac:dyDescent="0.3">
      <c r="C313" t="s">
        <v>41</v>
      </c>
      <c r="D313" t="s">
        <v>41</v>
      </c>
      <c r="K313">
        <v>0</v>
      </c>
      <c r="L313" t="s">
        <v>41</v>
      </c>
      <c r="M313" t="s">
        <v>972</v>
      </c>
      <c r="N313" t="s">
        <v>41</v>
      </c>
    </row>
    <row r="314" spans="3:14" x14ac:dyDescent="0.3">
      <c r="C314" t="s">
        <v>41</v>
      </c>
      <c r="D314" t="s">
        <v>41</v>
      </c>
      <c r="K314">
        <v>0</v>
      </c>
      <c r="L314" t="s">
        <v>41</v>
      </c>
      <c r="M314" t="s">
        <v>972</v>
      </c>
      <c r="N314" t="s">
        <v>41</v>
      </c>
    </row>
    <row r="315" spans="3:14" x14ac:dyDescent="0.3">
      <c r="C315" t="s">
        <v>41</v>
      </c>
      <c r="D315" t="s">
        <v>41</v>
      </c>
      <c r="K315">
        <v>0</v>
      </c>
      <c r="L315" t="s">
        <v>41</v>
      </c>
      <c r="M315" t="s">
        <v>972</v>
      </c>
      <c r="N315" t="s">
        <v>41</v>
      </c>
    </row>
    <row r="316" spans="3:14" x14ac:dyDescent="0.3">
      <c r="C316" t="s">
        <v>41</v>
      </c>
      <c r="D316" t="s">
        <v>41</v>
      </c>
      <c r="K316">
        <v>0</v>
      </c>
      <c r="L316" t="s">
        <v>41</v>
      </c>
      <c r="M316" t="s">
        <v>972</v>
      </c>
      <c r="N316" t="s">
        <v>41</v>
      </c>
    </row>
    <row r="317" spans="3:14" x14ac:dyDescent="0.3">
      <c r="C317" t="s">
        <v>41</v>
      </c>
      <c r="D317" t="s">
        <v>41</v>
      </c>
      <c r="K317">
        <v>0</v>
      </c>
      <c r="L317" t="s">
        <v>41</v>
      </c>
      <c r="M317" t="s">
        <v>972</v>
      </c>
      <c r="N317" t="s">
        <v>41</v>
      </c>
    </row>
    <row r="318" spans="3:14" x14ac:dyDescent="0.3">
      <c r="C318" t="s">
        <v>41</v>
      </c>
      <c r="D318" t="s">
        <v>41</v>
      </c>
      <c r="K318">
        <v>0</v>
      </c>
      <c r="L318" t="s">
        <v>41</v>
      </c>
      <c r="M318" t="s">
        <v>972</v>
      </c>
      <c r="N318" t="s">
        <v>41</v>
      </c>
    </row>
    <row r="319" spans="3:14" x14ac:dyDescent="0.3">
      <c r="C319" t="s">
        <v>41</v>
      </c>
      <c r="D319" t="s">
        <v>41</v>
      </c>
      <c r="K319">
        <v>0</v>
      </c>
      <c r="L319" t="s">
        <v>41</v>
      </c>
      <c r="M319" t="s">
        <v>972</v>
      </c>
      <c r="N319" t="s">
        <v>41</v>
      </c>
    </row>
    <row r="320" spans="3:14" x14ac:dyDescent="0.3">
      <c r="C320" t="s">
        <v>41</v>
      </c>
      <c r="D320" t="s">
        <v>41</v>
      </c>
      <c r="K320">
        <v>0</v>
      </c>
      <c r="L320" t="s">
        <v>41</v>
      </c>
      <c r="M320" t="s">
        <v>972</v>
      </c>
      <c r="N320" t="s">
        <v>41</v>
      </c>
    </row>
    <row r="321" spans="3:14" x14ac:dyDescent="0.3">
      <c r="C321" t="s">
        <v>41</v>
      </c>
      <c r="D321" t="s">
        <v>41</v>
      </c>
      <c r="K321">
        <v>0</v>
      </c>
      <c r="L321" t="s">
        <v>41</v>
      </c>
      <c r="M321" t="s">
        <v>972</v>
      </c>
      <c r="N321" t="s">
        <v>41</v>
      </c>
    </row>
    <row r="322" spans="3:14" x14ac:dyDescent="0.3">
      <c r="C322" t="s">
        <v>41</v>
      </c>
      <c r="D322" t="s">
        <v>41</v>
      </c>
      <c r="K322">
        <v>0</v>
      </c>
      <c r="L322" t="s">
        <v>41</v>
      </c>
      <c r="M322" t="s">
        <v>972</v>
      </c>
      <c r="N322" t="s">
        <v>41</v>
      </c>
    </row>
    <row r="323" spans="3:14" x14ac:dyDescent="0.3">
      <c r="C323" t="s">
        <v>41</v>
      </c>
      <c r="D323" t="s">
        <v>41</v>
      </c>
      <c r="K323">
        <v>0</v>
      </c>
      <c r="L323" t="s">
        <v>41</v>
      </c>
      <c r="M323" t="s">
        <v>972</v>
      </c>
      <c r="N323" t="s">
        <v>41</v>
      </c>
    </row>
    <row r="324" spans="3:14" x14ac:dyDescent="0.3">
      <c r="C324" t="s">
        <v>41</v>
      </c>
      <c r="D324" t="s">
        <v>41</v>
      </c>
      <c r="K324">
        <v>0</v>
      </c>
      <c r="L324" t="s">
        <v>41</v>
      </c>
      <c r="M324" t="s">
        <v>972</v>
      </c>
      <c r="N324" t="s">
        <v>41</v>
      </c>
    </row>
    <row r="325" spans="3:14" x14ac:dyDescent="0.3">
      <c r="C325" t="s">
        <v>41</v>
      </c>
      <c r="D325" t="s">
        <v>41</v>
      </c>
      <c r="K325">
        <v>0</v>
      </c>
      <c r="L325" t="s">
        <v>41</v>
      </c>
      <c r="M325" t="s">
        <v>972</v>
      </c>
      <c r="N325" t="s">
        <v>41</v>
      </c>
    </row>
    <row r="326" spans="3:14" x14ac:dyDescent="0.3">
      <c r="C326" t="s">
        <v>41</v>
      </c>
      <c r="D326" t="s">
        <v>41</v>
      </c>
      <c r="K326">
        <v>0</v>
      </c>
      <c r="L326" t="s">
        <v>41</v>
      </c>
      <c r="M326" t="s">
        <v>972</v>
      </c>
      <c r="N326" t="s">
        <v>41</v>
      </c>
    </row>
    <row r="327" spans="3:14" x14ac:dyDescent="0.3">
      <c r="C327" t="s">
        <v>41</v>
      </c>
      <c r="D327" t="s">
        <v>41</v>
      </c>
      <c r="K327">
        <v>0</v>
      </c>
      <c r="L327" t="s">
        <v>41</v>
      </c>
      <c r="M327" t="s">
        <v>972</v>
      </c>
      <c r="N327" t="s">
        <v>41</v>
      </c>
    </row>
    <row r="328" spans="3:14" x14ac:dyDescent="0.3">
      <c r="C328" t="s">
        <v>41</v>
      </c>
      <c r="D328" t="s">
        <v>41</v>
      </c>
      <c r="K328">
        <v>0</v>
      </c>
      <c r="L328" t="s">
        <v>41</v>
      </c>
      <c r="M328" t="s">
        <v>972</v>
      </c>
      <c r="N328" t="s">
        <v>41</v>
      </c>
    </row>
    <row r="329" spans="3:14" x14ac:dyDescent="0.3">
      <c r="C329" t="s">
        <v>41</v>
      </c>
      <c r="D329" t="s">
        <v>41</v>
      </c>
      <c r="K329">
        <v>0</v>
      </c>
      <c r="L329" t="s">
        <v>41</v>
      </c>
      <c r="M329" t="s">
        <v>972</v>
      </c>
      <c r="N329" t="s">
        <v>41</v>
      </c>
    </row>
    <row r="330" spans="3:14" x14ac:dyDescent="0.3">
      <c r="C330" t="s">
        <v>41</v>
      </c>
      <c r="D330" t="s">
        <v>41</v>
      </c>
      <c r="K330">
        <v>0</v>
      </c>
      <c r="L330" t="s">
        <v>41</v>
      </c>
      <c r="M330" t="s">
        <v>972</v>
      </c>
      <c r="N330" t="s">
        <v>41</v>
      </c>
    </row>
    <row r="331" spans="3:14" x14ac:dyDescent="0.3">
      <c r="C331" t="s">
        <v>41</v>
      </c>
      <c r="D331" t="s">
        <v>41</v>
      </c>
      <c r="K331">
        <v>0</v>
      </c>
      <c r="L331" t="s">
        <v>41</v>
      </c>
      <c r="M331" t="s">
        <v>972</v>
      </c>
      <c r="N331" t="s">
        <v>41</v>
      </c>
    </row>
    <row r="332" spans="3:14" x14ac:dyDescent="0.3">
      <c r="C332" t="s">
        <v>41</v>
      </c>
      <c r="D332" t="s">
        <v>41</v>
      </c>
      <c r="K332">
        <v>0</v>
      </c>
      <c r="L332" t="s">
        <v>41</v>
      </c>
      <c r="M332" t="s">
        <v>972</v>
      </c>
      <c r="N332" t="s">
        <v>41</v>
      </c>
    </row>
    <row r="333" spans="3:14" x14ac:dyDescent="0.3">
      <c r="C333" t="s">
        <v>41</v>
      </c>
      <c r="D333" t="s">
        <v>41</v>
      </c>
      <c r="K333">
        <v>0</v>
      </c>
      <c r="L333" t="s">
        <v>41</v>
      </c>
      <c r="M333" t="s">
        <v>972</v>
      </c>
      <c r="N333" t="s">
        <v>41</v>
      </c>
    </row>
    <row r="334" spans="3:14" x14ac:dyDescent="0.3">
      <c r="C334" t="s">
        <v>41</v>
      </c>
      <c r="D334" t="s">
        <v>41</v>
      </c>
      <c r="K334">
        <v>0</v>
      </c>
      <c r="L334" t="s">
        <v>41</v>
      </c>
      <c r="M334" t="s">
        <v>972</v>
      </c>
      <c r="N334" t="s">
        <v>41</v>
      </c>
    </row>
    <row r="335" spans="3:14" x14ac:dyDescent="0.3">
      <c r="C335" t="s">
        <v>41</v>
      </c>
      <c r="D335" t="s">
        <v>41</v>
      </c>
      <c r="K335">
        <v>0</v>
      </c>
      <c r="L335" t="s">
        <v>41</v>
      </c>
      <c r="M335" t="s">
        <v>972</v>
      </c>
      <c r="N335" t="s">
        <v>41</v>
      </c>
    </row>
    <row r="336" spans="3:14" x14ac:dyDescent="0.3">
      <c r="C336" t="s">
        <v>41</v>
      </c>
      <c r="D336" t="s">
        <v>41</v>
      </c>
      <c r="K336">
        <v>0</v>
      </c>
      <c r="L336" t="s">
        <v>41</v>
      </c>
      <c r="M336" t="s">
        <v>972</v>
      </c>
      <c r="N336" t="s">
        <v>41</v>
      </c>
    </row>
    <row r="337" spans="3:14" x14ac:dyDescent="0.3">
      <c r="C337" t="s">
        <v>41</v>
      </c>
      <c r="D337" t="s">
        <v>41</v>
      </c>
      <c r="K337">
        <v>0</v>
      </c>
      <c r="L337" t="s">
        <v>41</v>
      </c>
      <c r="M337" t="s">
        <v>972</v>
      </c>
      <c r="N337" t="s">
        <v>41</v>
      </c>
    </row>
    <row r="338" spans="3:14" x14ac:dyDescent="0.3">
      <c r="C338" t="s">
        <v>41</v>
      </c>
      <c r="D338" t="s">
        <v>41</v>
      </c>
      <c r="K338">
        <v>0</v>
      </c>
      <c r="L338" t="s">
        <v>41</v>
      </c>
      <c r="M338" t="s">
        <v>972</v>
      </c>
      <c r="N338" t="s">
        <v>41</v>
      </c>
    </row>
    <row r="339" spans="3:14" x14ac:dyDescent="0.3">
      <c r="C339" t="s">
        <v>41</v>
      </c>
      <c r="D339" t="s">
        <v>41</v>
      </c>
      <c r="K339">
        <v>0</v>
      </c>
      <c r="L339" t="s">
        <v>41</v>
      </c>
      <c r="M339" t="s">
        <v>972</v>
      </c>
      <c r="N339" t="s">
        <v>41</v>
      </c>
    </row>
    <row r="340" spans="3:14" x14ac:dyDescent="0.3">
      <c r="C340" t="s">
        <v>41</v>
      </c>
      <c r="D340" t="s">
        <v>41</v>
      </c>
      <c r="K340">
        <v>0</v>
      </c>
      <c r="L340" t="s">
        <v>41</v>
      </c>
      <c r="M340" t="s">
        <v>972</v>
      </c>
      <c r="N340" t="s">
        <v>41</v>
      </c>
    </row>
    <row r="341" spans="3:14" x14ac:dyDescent="0.3">
      <c r="C341" t="s">
        <v>41</v>
      </c>
      <c r="D341" t="s">
        <v>41</v>
      </c>
      <c r="K341">
        <v>0</v>
      </c>
      <c r="L341" t="s">
        <v>41</v>
      </c>
      <c r="M341" t="s">
        <v>972</v>
      </c>
      <c r="N341" t="s">
        <v>41</v>
      </c>
    </row>
    <row r="342" spans="3:14" x14ac:dyDescent="0.3">
      <c r="C342" t="s">
        <v>41</v>
      </c>
      <c r="D342" t="s">
        <v>41</v>
      </c>
      <c r="K342">
        <v>0</v>
      </c>
      <c r="L342" t="s">
        <v>41</v>
      </c>
      <c r="M342" t="s">
        <v>972</v>
      </c>
      <c r="N342" t="s">
        <v>41</v>
      </c>
    </row>
    <row r="343" spans="3:14" x14ac:dyDescent="0.3">
      <c r="C343" t="s">
        <v>41</v>
      </c>
      <c r="D343" t="s">
        <v>41</v>
      </c>
      <c r="K343">
        <v>0</v>
      </c>
      <c r="L343" t="s">
        <v>41</v>
      </c>
      <c r="M343" t="s">
        <v>972</v>
      </c>
      <c r="N343" t="s">
        <v>41</v>
      </c>
    </row>
    <row r="344" spans="3:14" x14ac:dyDescent="0.3">
      <c r="C344" t="s">
        <v>41</v>
      </c>
      <c r="D344" t="s">
        <v>41</v>
      </c>
      <c r="K344">
        <v>0</v>
      </c>
      <c r="L344" t="s">
        <v>41</v>
      </c>
      <c r="M344" t="s">
        <v>972</v>
      </c>
      <c r="N344" t="s">
        <v>41</v>
      </c>
    </row>
    <row r="345" spans="3:14" x14ac:dyDescent="0.3">
      <c r="C345" t="s">
        <v>41</v>
      </c>
      <c r="D345" t="s">
        <v>41</v>
      </c>
      <c r="K345">
        <v>0</v>
      </c>
      <c r="L345" t="s">
        <v>41</v>
      </c>
      <c r="M345" t="s">
        <v>972</v>
      </c>
      <c r="N345" t="s">
        <v>41</v>
      </c>
    </row>
    <row r="346" spans="3:14" x14ac:dyDescent="0.3">
      <c r="C346" t="s">
        <v>41</v>
      </c>
      <c r="D346" t="s">
        <v>41</v>
      </c>
      <c r="K346">
        <v>0</v>
      </c>
      <c r="L346" t="s">
        <v>41</v>
      </c>
      <c r="M346" t="s">
        <v>972</v>
      </c>
      <c r="N346" t="s">
        <v>41</v>
      </c>
    </row>
    <row r="347" spans="3:14" x14ac:dyDescent="0.3">
      <c r="C347" t="s">
        <v>41</v>
      </c>
      <c r="D347" t="s">
        <v>41</v>
      </c>
      <c r="K347">
        <v>0</v>
      </c>
      <c r="L347" t="s">
        <v>41</v>
      </c>
      <c r="M347" t="s">
        <v>972</v>
      </c>
      <c r="N347" t="s">
        <v>41</v>
      </c>
    </row>
    <row r="348" spans="3:14" x14ac:dyDescent="0.3">
      <c r="C348" t="s">
        <v>41</v>
      </c>
      <c r="D348" t="s">
        <v>41</v>
      </c>
      <c r="K348">
        <v>0</v>
      </c>
      <c r="L348" t="s">
        <v>41</v>
      </c>
      <c r="M348" t="s">
        <v>972</v>
      </c>
      <c r="N348" t="s">
        <v>41</v>
      </c>
    </row>
    <row r="349" spans="3:14" x14ac:dyDescent="0.3">
      <c r="C349" t="s">
        <v>41</v>
      </c>
      <c r="D349" t="s">
        <v>41</v>
      </c>
      <c r="K349">
        <v>0</v>
      </c>
      <c r="L349" t="s">
        <v>41</v>
      </c>
      <c r="M349" t="s">
        <v>972</v>
      </c>
      <c r="N349" t="s">
        <v>41</v>
      </c>
    </row>
    <row r="350" spans="3:14" x14ac:dyDescent="0.3">
      <c r="C350" t="s">
        <v>41</v>
      </c>
      <c r="D350" t="s">
        <v>41</v>
      </c>
      <c r="K350">
        <v>0</v>
      </c>
      <c r="L350" t="s">
        <v>41</v>
      </c>
      <c r="M350" t="s">
        <v>972</v>
      </c>
      <c r="N350" t="s">
        <v>41</v>
      </c>
    </row>
    <row r="351" spans="3:14" x14ac:dyDescent="0.3">
      <c r="C351" t="s">
        <v>41</v>
      </c>
      <c r="D351" t="s">
        <v>41</v>
      </c>
      <c r="K351">
        <v>0</v>
      </c>
      <c r="L351" t="s">
        <v>41</v>
      </c>
      <c r="M351" t="s">
        <v>972</v>
      </c>
      <c r="N351" t="s">
        <v>41</v>
      </c>
    </row>
    <row r="352" spans="3:14" x14ac:dyDescent="0.3">
      <c r="C352" t="s">
        <v>41</v>
      </c>
      <c r="D352" t="s">
        <v>41</v>
      </c>
      <c r="K352">
        <v>0</v>
      </c>
      <c r="L352" t="s">
        <v>41</v>
      </c>
      <c r="M352" t="s">
        <v>972</v>
      </c>
      <c r="N352" t="s">
        <v>41</v>
      </c>
    </row>
    <row r="353" spans="3:14" x14ac:dyDescent="0.3">
      <c r="C353" t="s">
        <v>41</v>
      </c>
      <c r="D353" t="s">
        <v>41</v>
      </c>
      <c r="K353">
        <v>0</v>
      </c>
      <c r="L353" t="s">
        <v>41</v>
      </c>
      <c r="M353" t="s">
        <v>972</v>
      </c>
      <c r="N353" t="s">
        <v>41</v>
      </c>
    </row>
    <row r="354" spans="3:14" x14ac:dyDescent="0.3">
      <c r="C354" t="s">
        <v>41</v>
      </c>
      <c r="D354" t="s">
        <v>41</v>
      </c>
      <c r="K354">
        <v>0</v>
      </c>
      <c r="L354" t="s">
        <v>41</v>
      </c>
      <c r="M354" t="s">
        <v>972</v>
      </c>
      <c r="N354" t="s">
        <v>41</v>
      </c>
    </row>
    <row r="355" spans="3:14" x14ac:dyDescent="0.3">
      <c r="C355" t="s">
        <v>41</v>
      </c>
      <c r="D355" t="s">
        <v>41</v>
      </c>
      <c r="K355">
        <v>0</v>
      </c>
      <c r="L355" t="s">
        <v>41</v>
      </c>
      <c r="M355" t="s">
        <v>972</v>
      </c>
      <c r="N355" t="s">
        <v>41</v>
      </c>
    </row>
    <row r="356" spans="3:14" x14ac:dyDescent="0.3">
      <c r="C356" t="s">
        <v>41</v>
      </c>
      <c r="D356" t="s">
        <v>41</v>
      </c>
      <c r="K356">
        <v>0</v>
      </c>
      <c r="L356" t="s">
        <v>41</v>
      </c>
      <c r="M356" t="s">
        <v>972</v>
      </c>
      <c r="N356" t="s">
        <v>41</v>
      </c>
    </row>
    <row r="357" spans="3:14" x14ac:dyDescent="0.3">
      <c r="C357" t="s">
        <v>41</v>
      </c>
      <c r="D357" t="s">
        <v>41</v>
      </c>
      <c r="K357">
        <v>0</v>
      </c>
      <c r="L357" t="s">
        <v>41</v>
      </c>
      <c r="M357" t="s">
        <v>972</v>
      </c>
      <c r="N357" t="s">
        <v>41</v>
      </c>
    </row>
    <row r="358" spans="3:14" x14ac:dyDescent="0.3">
      <c r="C358" t="s">
        <v>41</v>
      </c>
      <c r="D358" t="s">
        <v>41</v>
      </c>
      <c r="K358">
        <v>0</v>
      </c>
      <c r="L358" t="s">
        <v>41</v>
      </c>
      <c r="M358" t="s">
        <v>972</v>
      </c>
      <c r="N358" t="s">
        <v>41</v>
      </c>
    </row>
    <row r="359" spans="3:14" x14ac:dyDescent="0.3">
      <c r="C359" t="s">
        <v>41</v>
      </c>
      <c r="D359" t="s">
        <v>41</v>
      </c>
      <c r="K359">
        <v>0</v>
      </c>
      <c r="L359" t="s">
        <v>41</v>
      </c>
      <c r="M359" t="s">
        <v>972</v>
      </c>
      <c r="N359" t="s">
        <v>41</v>
      </c>
    </row>
    <row r="360" spans="3:14" x14ac:dyDescent="0.3">
      <c r="C360" t="s">
        <v>41</v>
      </c>
      <c r="D360" t="s">
        <v>41</v>
      </c>
      <c r="K360">
        <v>0</v>
      </c>
      <c r="L360" t="s">
        <v>41</v>
      </c>
      <c r="M360" t="s">
        <v>972</v>
      </c>
      <c r="N360" t="s">
        <v>41</v>
      </c>
    </row>
    <row r="361" spans="3:14" x14ac:dyDescent="0.3">
      <c r="C361" t="s">
        <v>41</v>
      </c>
      <c r="D361" t="s">
        <v>41</v>
      </c>
      <c r="K361">
        <v>0</v>
      </c>
      <c r="L361" t="s">
        <v>41</v>
      </c>
      <c r="M361" t="s">
        <v>972</v>
      </c>
      <c r="N361" t="s">
        <v>41</v>
      </c>
    </row>
    <row r="362" spans="3:14" x14ac:dyDescent="0.3">
      <c r="C362" t="s">
        <v>41</v>
      </c>
      <c r="D362" t="s">
        <v>41</v>
      </c>
      <c r="K362">
        <v>0</v>
      </c>
      <c r="L362" t="s">
        <v>41</v>
      </c>
      <c r="M362" t="s">
        <v>972</v>
      </c>
      <c r="N362" t="s">
        <v>41</v>
      </c>
    </row>
    <row r="363" spans="3:14" x14ac:dyDescent="0.3">
      <c r="C363" t="s">
        <v>41</v>
      </c>
      <c r="D363" t="s">
        <v>41</v>
      </c>
      <c r="K363">
        <v>0</v>
      </c>
      <c r="L363" t="s">
        <v>41</v>
      </c>
      <c r="M363" t="s">
        <v>972</v>
      </c>
      <c r="N363" t="s">
        <v>41</v>
      </c>
    </row>
    <row r="364" spans="3:14" x14ac:dyDescent="0.3">
      <c r="C364" t="s">
        <v>41</v>
      </c>
      <c r="D364" t="s">
        <v>41</v>
      </c>
      <c r="K364">
        <v>0</v>
      </c>
      <c r="L364" t="s">
        <v>41</v>
      </c>
      <c r="M364" t="s">
        <v>972</v>
      </c>
      <c r="N364" t="s">
        <v>41</v>
      </c>
    </row>
    <row r="365" spans="3:14" x14ac:dyDescent="0.3">
      <c r="C365" t="s">
        <v>41</v>
      </c>
      <c r="D365" t="s">
        <v>41</v>
      </c>
      <c r="K365">
        <v>0</v>
      </c>
      <c r="L365" t="s">
        <v>41</v>
      </c>
      <c r="M365" t="s">
        <v>972</v>
      </c>
      <c r="N365" t="s">
        <v>41</v>
      </c>
    </row>
    <row r="366" spans="3:14" x14ac:dyDescent="0.3">
      <c r="C366" t="s">
        <v>41</v>
      </c>
      <c r="D366" t="s">
        <v>41</v>
      </c>
      <c r="K366">
        <v>0</v>
      </c>
      <c r="L366" t="s">
        <v>41</v>
      </c>
      <c r="M366" t="s">
        <v>972</v>
      </c>
      <c r="N366" t="s">
        <v>41</v>
      </c>
    </row>
    <row r="367" spans="3:14" x14ac:dyDescent="0.3">
      <c r="C367" t="s">
        <v>41</v>
      </c>
      <c r="D367" t="s">
        <v>41</v>
      </c>
      <c r="K367">
        <v>0</v>
      </c>
      <c r="L367" t="s">
        <v>41</v>
      </c>
      <c r="M367" t="s">
        <v>972</v>
      </c>
      <c r="N367" t="s">
        <v>41</v>
      </c>
    </row>
    <row r="368" spans="3:14" x14ac:dyDescent="0.3">
      <c r="C368" t="s">
        <v>41</v>
      </c>
      <c r="D368" t="s">
        <v>41</v>
      </c>
      <c r="K368">
        <v>0</v>
      </c>
      <c r="L368" t="s">
        <v>41</v>
      </c>
      <c r="M368" t="s">
        <v>972</v>
      </c>
      <c r="N368" t="s">
        <v>41</v>
      </c>
    </row>
    <row r="369" spans="3:14" x14ac:dyDescent="0.3">
      <c r="C369" t="s">
        <v>41</v>
      </c>
      <c r="D369" t="s">
        <v>41</v>
      </c>
      <c r="K369">
        <v>0</v>
      </c>
      <c r="L369" t="s">
        <v>41</v>
      </c>
      <c r="M369" t="s">
        <v>972</v>
      </c>
      <c r="N369" t="s">
        <v>41</v>
      </c>
    </row>
    <row r="370" spans="3:14" x14ac:dyDescent="0.3">
      <c r="C370" t="s">
        <v>41</v>
      </c>
      <c r="D370" t="s">
        <v>41</v>
      </c>
      <c r="K370">
        <v>0</v>
      </c>
      <c r="L370" t="s">
        <v>41</v>
      </c>
      <c r="M370" t="s">
        <v>972</v>
      </c>
      <c r="N370" t="s">
        <v>41</v>
      </c>
    </row>
    <row r="371" spans="3:14" x14ac:dyDescent="0.3">
      <c r="C371" t="s">
        <v>41</v>
      </c>
      <c r="D371" t="s">
        <v>41</v>
      </c>
      <c r="K371">
        <v>0</v>
      </c>
      <c r="L371" t="s">
        <v>41</v>
      </c>
      <c r="M371" t="s">
        <v>972</v>
      </c>
      <c r="N371" t="s">
        <v>41</v>
      </c>
    </row>
    <row r="372" spans="3:14" x14ac:dyDescent="0.3">
      <c r="C372" t="s">
        <v>41</v>
      </c>
      <c r="D372" t="s">
        <v>41</v>
      </c>
      <c r="K372">
        <v>0</v>
      </c>
      <c r="L372" t="s">
        <v>41</v>
      </c>
      <c r="M372" t="s">
        <v>972</v>
      </c>
      <c r="N372" t="s">
        <v>41</v>
      </c>
    </row>
    <row r="373" spans="3:14" x14ac:dyDescent="0.3">
      <c r="C373" t="s">
        <v>41</v>
      </c>
      <c r="D373" t="s">
        <v>41</v>
      </c>
      <c r="K373">
        <v>0</v>
      </c>
      <c r="L373" t="s">
        <v>41</v>
      </c>
      <c r="M373" t="s">
        <v>972</v>
      </c>
      <c r="N373" t="s">
        <v>41</v>
      </c>
    </row>
    <row r="374" spans="3:14" x14ac:dyDescent="0.3">
      <c r="C374" t="s">
        <v>41</v>
      </c>
      <c r="D374" t="s">
        <v>41</v>
      </c>
      <c r="K374">
        <v>0</v>
      </c>
      <c r="L374" t="s">
        <v>41</v>
      </c>
      <c r="M374" t="s">
        <v>972</v>
      </c>
      <c r="N374" t="s">
        <v>41</v>
      </c>
    </row>
    <row r="375" spans="3:14" x14ac:dyDescent="0.3">
      <c r="C375" t="s">
        <v>41</v>
      </c>
      <c r="D375" t="s">
        <v>41</v>
      </c>
      <c r="K375">
        <v>0</v>
      </c>
      <c r="L375" t="s">
        <v>41</v>
      </c>
      <c r="M375" t="s">
        <v>972</v>
      </c>
      <c r="N375" t="s">
        <v>41</v>
      </c>
    </row>
    <row r="376" spans="3:14" x14ac:dyDescent="0.3">
      <c r="C376" t="s">
        <v>41</v>
      </c>
      <c r="D376" t="s">
        <v>41</v>
      </c>
      <c r="K376">
        <v>0</v>
      </c>
      <c r="L376" t="s">
        <v>41</v>
      </c>
      <c r="M376" t="s">
        <v>972</v>
      </c>
      <c r="N376" t="s">
        <v>41</v>
      </c>
    </row>
    <row r="377" spans="3:14" x14ac:dyDescent="0.3">
      <c r="C377" t="s">
        <v>41</v>
      </c>
      <c r="D377" t="s">
        <v>41</v>
      </c>
      <c r="K377">
        <v>0</v>
      </c>
      <c r="L377" t="s">
        <v>41</v>
      </c>
      <c r="M377" t="s">
        <v>972</v>
      </c>
      <c r="N377" t="s">
        <v>41</v>
      </c>
    </row>
    <row r="378" spans="3:14" x14ac:dyDescent="0.3">
      <c r="C378" t="s">
        <v>41</v>
      </c>
      <c r="D378" t="s">
        <v>41</v>
      </c>
      <c r="K378">
        <v>0</v>
      </c>
      <c r="L378" t="s">
        <v>41</v>
      </c>
      <c r="M378" t="s">
        <v>972</v>
      </c>
      <c r="N378" t="s">
        <v>41</v>
      </c>
    </row>
    <row r="379" spans="3:14" x14ac:dyDescent="0.3">
      <c r="C379" t="s">
        <v>41</v>
      </c>
      <c r="D379" t="s">
        <v>41</v>
      </c>
      <c r="K379">
        <v>0</v>
      </c>
      <c r="L379" t="s">
        <v>41</v>
      </c>
      <c r="M379" t="s">
        <v>972</v>
      </c>
      <c r="N379" t="s">
        <v>41</v>
      </c>
    </row>
    <row r="380" spans="3:14" x14ac:dyDescent="0.3">
      <c r="C380" t="s">
        <v>41</v>
      </c>
      <c r="D380" t="s">
        <v>41</v>
      </c>
      <c r="K380">
        <v>0</v>
      </c>
      <c r="L380" t="s">
        <v>41</v>
      </c>
      <c r="M380" t="s">
        <v>972</v>
      </c>
      <c r="N380" t="s">
        <v>41</v>
      </c>
    </row>
    <row r="381" spans="3:14" x14ac:dyDescent="0.3">
      <c r="C381" t="s">
        <v>41</v>
      </c>
      <c r="D381" t="s">
        <v>41</v>
      </c>
      <c r="K381">
        <v>0</v>
      </c>
      <c r="L381" t="s">
        <v>41</v>
      </c>
      <c r="M381" t="s">
        <v>972</v>
      </c>
      <c r="N381" t="s">
        <v>41</v>
      </c>
    </row>
    <row r="382" spans="3:14" x14ac:dyDescent="0.3">
      <c r="C382" t="s">
        <v>41</v>
      </c>
      <c r="D382" t="s">
        <v>41</v>
      </c>
      <c r="K382">
        <v>0</v>
      </c>
      <c r="L382" t="s">
        <v>41</v>
      </c>
      <c r="M382" t="s">
        <v>972</v>
      </c>
      <c r="N382" t="s">
        <v>41</v>
      </c>
    </row>
    <row r="383" spans="3:14" x14ac:dyDescent="0.3">
      <c r="C383" t="s">
        <v>41</v>
      </c>
      <c r="D383" t="s">
        <v>41</v>
      </c>
      <c r="K383">
        <v>0</v>
      </c>
      <c r="L383" t="s">
        <v>41</v>
      </c>
      <c r="M383" t="s">
        <v>972</v>
      </c>
      <c r="N383" t="s">
        <v>41</v>
      </c>
    </row>
    <row r="384" spans="3:14" x14ac:dyDescent="0.3">
      <c r="C384" t="s">
        <v>41</v>
      </c>
      <c r="D384" t="s">
        <v>41</v>
      </c>
      <c r="K384">
        <v>0</v>
      </c>
      <c r="L384" t="s">
        <v>41</v>
      </c>
      <c r="M384" t="s">
        <v>972</v>
      </c>
      <c r="N384" t="s">
        <v>41</v>
      </c>
    </row>
    <row r="385" spans="3:14" x14ac:dyDescent="0.3">
      <c r="C385" t="s">
        <v>41</v>
      </c>
      <c r="D385" t="s">
        <v>41</v>
      </c>
      <c r="K385">
        <v>0</v>
      </c>
      <c r="L385" t="s">
        <v>41</v>
      </c>
      <c r="M385" t="s">
        <v>972</v>
      </c>
      <c r="N385" t="s">
        <v>41</v>
      </c>
    </row>
    <row r="386" spans="3:14" x14ac:dyDescent="0.3">
      <c r="C386" t="s">
        <v>41</v>
      </c>
      <c r="D386" t="s">
        <v>41</v>
      </c>
      <c r="K386">
        <v>0</v>
      </c>
      <c r="L386" t="s">
        <v>41</v>
      </c>
      <c r="M386" t="s">
        <v>972</v>
      </c>
      <c r="N386" t="s">
        <v>41</v>
      </c>
    </row>
    <row r="387" spans="3:14" x14ac:dyDescent="0.3">
      <c r="C387" t="s">
        <v>41</v>
      </c>
      <c r="D387" t="s">
        <v>41</v>
      </c>
      <c r="K387">
        <v>0</v>
      </c>
      <c r="L387" t="s">
        <v>41</v>
      </c>
      <c r="M387" t="s">
        <v>972</v>
      </c>
      <c r="N387" t="s">
        <v>41</v>
      </c>
    </row>
    <row r="388" spans="3:14" x14ac:dyDescent="0.3">
      <c r="C388" t="s">
        <v>41</v>
      </c>
      <c r="D388" t="s">
        <v>41</v>
      </c>
      <c r="K388">
        <v>0</v>
      </c>
      <c r="L388" t="s">
        <v>41</v>
      </c>
      <c r="M388" t="s">
        <v>972</v>
      </c>
      <c r="N388" t="s">
        <v>41</v>
      </c>
    </row>
    <row r="389" spans="3:14" x14ac:dyDescent="0.3">
      <c r="C389" t="s">
        <v>41</v>
      </c>
      <c r="D389" t="s">
        <v>41</v>
      </c>
      <c r="K389">
        <v>0</v>
      </c>
      <c r="L389" t="s">
        <v>41</v>
      </c>
      <c r="M389" t="s">
        <v>972</v>
      </c>
      <c r="N389" t="s">
        <v>41</v>
      </c>
    </row>
    <row r="390" spans="3:14" x14ac:dyDescent="0.3">
      <c r="C390" t="s">
        <v>41</v>
      </c>
      <c r="D390" t="s">
        <v>41</v>
      </c>
      <c r="K390">
        <v>0</v>
      </c>
      <c r="L390" t="s">
        <v>41</v>
      </c>
      <c r="M390" t="s">
        <v>972</v>
      </c>
      <c r="N390" t="s">
        <v>41</v>
      </c>
    </row>
    <row r="391" spans="3:14" x14ac:dyDescent="0.3">
      <c r="C391" t="s">
        <v>41</v>
      </c>
      <c r="D391" t="s">
        <v>41</v>
      </c>
      <c r="K391">
        <v>0</v>
      </c>
      <c r="L391" t="s">
        <v>41</v>
      </c>
      <c r="M391" t="s">
        <v>972</v>
      </c>
      <c r="N391" t="s">
        <v>41</v>
      </c>
    </row>
    <row r="392" spans="3:14" x14ac:dyDescent="0.3">
      <c r="C392" t="s">
        <v>41</v>
      </c>
      <c r="D392" t="s">
        <v>41</v>
      </c>
      <c r="K392">
        <v>0</v>
      </c>
      <c r="L392" t="s">
        <v>41</v>
      </c>
      <c r="M392" t="s">
        <v>972</v>
      </c>
      <c r="N392" t="s">
        <v>41</v>
      </c>
    </row>
    <row r="393" spans="3:14" x14ac:dyDescent="0.3">
      <c r="C393" t="s">
        <v>41</v>
      </c>
      <c r="D393" t="s">
        <v>41</v>
      </c>
      <c r="K393">
        <v>0</v>
      </c>
      <c r="L393" t="s">
        <v>41</v>
      </c>
      <c r="M393" t="s">
        <v>972</v>
      </c>
      <c r="N393" t="s">
        <v>41</v>
      </c>
    </row>
    <row r="394" spans="3:14" x14ac:dyDescent="0.3">
      <c r="C394" t="s">
        <v>41</v>
      </c>
      <c r="D394" t="s">
        <v>41</v>
      </c>
      <c r="K394">
        <v>0</v>
      </c>
      <c r="L394" t="s">
        <v>41</v>
      </c>
      <c r="M394" t="s">
        <v>972</v>
      </c>
      <c r="N394" t="s">
        <v>41</v>
      </c>
    </row>
    <row r="395" spans="3:14" x14ac:dyDescent="0.3">
      <c r="C395" t="s">
        <v>41</v>
      </c>
      <c r="D395" t="s">
        <v>41</v>
      </c>
      <c r="K395">
        <v>0</v>
      </c>
      <c r="L395" t="s">
        <v>41</v>
      </c>
      <c r="M395" t="s">
        <v>972</v>
      </c>
      <c r="N395" t="s">
        <v>41</v>
      </c>
    </row>
    <row r="396" spans="3:14" x14ac:dyDescent="0.3">
      <c r="C396" t="s">
        <v>41</v>
      </c>
      <c r="D396" t="s">
        <v>41</v>
      </c>
      <c r="K396">
        <v>0</v>
      </c>
      <c r="L396" t="s">
        <v>41</v>
      </c>
      <c r="M396" t="s">
        <v>972</v>
      </c>
      <c r="N396" t="s">
        <v>41</v>
      </c>
    </row>
    <row r="397" spans="3:14" x14ac:dyDescent="0.3">
      <c r="C397" t="s">
        <v>41</v>
      </c>
      <c r="D397" t="s">
        <v>41</v>
      </c>
      <c r="K397">
        <v>0</v>
      </c>
      <c r="L397" t="s">
        <v>41</v>
      </c>
      <c r="M397" t="s">
        <v>972</v>
      </c>
      <c r="N397" t="s">
        <v>41</v>
      </c>
    </row>
    <row r="398" spans="3:14" x14ac:dyDescent="0.3">
      <c r="C398" t="s">
        <v>41</v>
      </c>
      <c r="D398" t="s">
        <v>41</v>
      </c>
      <c r="K398">
        <v>0</v>
      </c>
      <c r="L398" t="s">
        <v>41</v>
      </c>
      <c r="M398" t="s">
        <v>972</v>
      </c>
      <c r="N398" t="s">
        <v>41</v>
      </c>
    </row>
    <row r="399" spans="3:14" x14ac:dyDescent="0.3">
      <c r="C399" t="s">
        <v>41</v>
      </c>
      <c r="D399" t="s">
        <v>41</v>
      </c>
      <c r="K399">
        <v>0</v>
      </c>
      <c r="L399" t="s">
        <v>41</v>
      </c>
      <c r="M399" t="s">
        <v>972</v>
      </c>
      <c r="N399" t="s">
        <v>41</v>
      </c>
    </row>
    <row r="400" spans="3:14" x14ac:dyDescent="0.3">
      <c r="C400" t="s">
        <v>41</v>
      </c>
      <c r="D400" t="s">
        <v>41</v>
      </c>
      <c r="K400">
        <v>0</v>
      </c>
      <c r="L400" t="s">
        <v>41</v>
      </c>
      <c r="M400" t="s">
        <v>972</v>
      </c>
      <c r="N400" t="s">
        <v>41</v>
      </c>
    </row>
    <row r="401" spans="3:14" x14ac:dyDescent="0.3">
      <c r="C401" t="s">
        <v>41</v>
      </c>
      <c r="D401" t="s">
        <v>41</v>
      </c>
      <c r="K401">
        <v>0</v>
      </c>
      <c r="L401" t="s">
        <v>41</v>
      </c>
      <c r="M401" t="s">
        <v>972</v>
      </c>
      <c r="N401" t="s">
        <v>41</v>
      </c>
    </row>
    <row r="402" spans="3:14" x14ac:dyDescent="0.3">
      <c r="C402" t="s">
        <v>41</v>
      </c>
      <c r="D402" t="s">
        <v>41</v>
      </c>
      <c r="K402">
        <v>0</v>
      </c>
      <c r="L402" t="s">
        <v>41</v>
      </c>
      <c r="M402" t="s">
        <v>972</v>
      </c>
      <c r="N402" t="s">
        <v>41</v>
      </c>
    </row>
    <row r="403" spans="3:14" x14ac:dyDescent="0.3">
      <c r="C403" t="s">
        <v>41</v>
      </c>
      <c r="D403" t="s">
        <v>41</v>
      </c>
      <c r="K403">
        <v>0</v>
      </c>
      <c r="L403" t="s">
        <v>41</v>
      </c>
      <c r="M403" t="s">
        <v>972</v>
      </c>
      <c r="N403" t="s">
        <v>41</v>
      </c>
    </row>
    <row r="404" spans="3:14" x14ac:dyDescent="0.3">
      <c r="C404" t="s">
        <v>41</v>
      </c>
      <c r="D404" t="s">
        <v>41</v>
      </c>
      <c r="K404">
        <v>0</v>
      </c>
      <c r="L404" t="s">
        <v>41</v>
      </c>
      <c r="M404" t="s">
        <v>972</v>
      </c>
      <c r="N404" t="s">
        <v>41</v>
      </c>
    </row>
    <row r="405" spans="3:14" x14ac:dyDescent="0.3">
      <c r="C405" t="s">
        <v>41</v>
      </c>
      <c r="D405" t="s">
        <v>41</v>
      </c>
      <c r="K405">
        <v>0</v>
      </c>
      <c r="L405" t="s">
        <v>41</v>
      </c>
      <c r="M405" t="s">
        <v>972</v>
      </c>
      <c r="N405" t="s">
        <v>41</v>
      </c>
    </row>
    <row r="406" spans="3:14" x14ac:dyDescent="0.3">
      <c r="C406" t="s">
        <v>41</v>
      </c>
      <c r="D406" t="s">
        <v>41</v>
      </c>
      <c r="K406">
        <v>0</v>
      </c>
      <c r="L406" t="s">
        <v>41</v>
      </c>
      <c r="M406" t="s">
        <v>972</v>
      </c>
      <c r="N406" t="s">
        <v>41</v>
      </c>
    </row>
    <row r="407" spans="3:14" x14ac:dyDescent="0.3">
      <c r="C407" t="s">
        <v>41</v>
      </c>
      <c r="D407" t="s">
        <v>41</v>
      </c>
      <c r="K407">
        <v>0</v>
      </c>
      <c r="L407" t="s">
        <v>41</v>
      </c>
      <c r="M407" t="s">
        <v>972</v>
      </c>
      <c r="N407" t="s">
        <v>41</v>
      </c>
    </row>
    <row r="408" spans="3:14" x14ac:dyDescent="0.3">
      <c r="C408" t="s">
        <v>41</v>
      </c>
      <c r="D408" t="s">
        <v>41</v>
      </c>
      <c r="K408">
        <v>0</v>
      </c>
      <c r="L408" t="s">
        <v>41</v>
      </c>
      <c r="M408" t="s">
        <v>972</v>
      </c>
      <c r="N408" t="s">
        <v>41</v>
      </c>
    </row>
    <row r="409" spans="3:14" x14ac:dyDescent="0.3">
      <c r="C409" t="s">
        <v>41</v>
      </c>
      <c r="D409" t="s">
        <v>41</v>
      </c>
      <c r="K409">
        <v>0</v>
      </c>
      <c r="L409" t="s">
        <v>41</v>
      </c>
      <c r="M409" t="s">
        <v>972</v>
      </c>
      <c r="N409" t="s">
        <v>41</v>
      </c>
    </row>
    <row r="410" spans="3:14" x14ac:dyDescent="0.3">
      <c r="C410" t="s">
        <v>41</v>
      </c>
      <c r="D410" t="s">
        <v>41</v>
      </c>
      <c r="K410">
        <v>0</v>
      </c>
      <c r="L410" t="s">
        <v>41</v>
      </c>
      <c r="M410" t="s">
        <v>972</v>
      </c>
      <c r="N410" t="s">
        <v>41</v>
      </c>
    </row>
    <row r="411" spans="3:14" x14ac:dyDescent="0.3">
      <c r="C411" t="s">
        <v>41</v>
      </c>
      <c r="D411" t="s">
        <v>41</v>
      </c>
      <c r="K411">
        <v>0</v>
      </c>
      <c r="L411" t="s">
        <v>41</v>
      </c>
      <c r="M411" t="s">
        <v>972</v>
      </c>
      <c r="N411" t="s">
        <v>41</v>
      </c>
    </row>
    <row r="412" spans="3:14" x14ac:dyDescent="0.3">
      <c r="C412" t="s">
        <v>41</v>
      </c>
      <c r="D412" t="s">
        <v>41</v>
      </c>
      <c r="K412">
        <v>0</v>
      </c>
      <c r="L412" t="s">
        <v>41</v>
      </c>
      <c r="M412" t="s">
        <v>972</v>
      </c>
      <c r="N412" t="s">
        <v>41</v>
      </c>
    </row>
    <row r="413" spans="3:14" x14ac:dyDescent="0.3">
      <c r="C413" t="s">
        <v>41</v>
      </c>
      <c r="D413" t="s">
        <v>41</v>
      </c>
      <c r="K413">
        <v>0</v>
      </c>
      <c r="L413" t="s">
        <v>41</v>
      </c>
      <c r="M413" t="s">
        <v>972</v>
      </c>
      <c r="N413" t="s">
        <v>41</v>
      </c>
    </row>
    <row r="414" spans="3:14" x14ac:dyDescent="0.3">
      <c r="C414" t="s">
        <v>41</v>
      </c>
      <c r="D414" t="s">
        <v>41</v>
      </c>
      <c r="K414">
        <v>0</v>
      </c>
      <c r="L414" t="s">
        <v>41</v>
      </c>
      <c r="M414" t="s">
        <v>972</v>
      </c>
      <c r="N414" t="s">
        <v>41</v>
      </c>
    </row>
    <row r="415" spans="3:14" x14ac:dyDescent="0.3">
      <c r="C415" t="s">
        <v>41</v>
      </c>
      <c r="D415" t="s">
        <v>41</v>
      </c>
      <c r="K415">
        <v>0</v>
      </c>
      <c r="L415" t="s">
        <v>41</v>
      </c>
      <c r="M415" t="s">
        <v>972</v>
      </c>
      <c r="N415" t="s">
        <v>41</v>
      </c>
    </row>
    <row r="416" spans="3:14" x14ac:dyDescent="0.3">
      <c r="C416" t="s">
        <v>41</v>
      </c>
      <c r="D416" t="s">
        <v>41</v>
      </c>
      <c r="K416">
        <v>0</v>
      </c>
      <c r="L416" t="s">
        <v>41</v>
      </c>
      <c r="M416" t="s">
        <v>972</v>
      </c>
      <c r="N416" t="s">
        <v>41</v>
      </c>
    </row>
    <row r="417" spans="3:14" x14ac:dyDescent="0.3">
      <c r="C417" t="s">
        <v>41</v>
      </c>
      <c r="D417" t="s">
        <v>41</v>
      </c>
      <c r="K417">
        <v>0</v>
      </c>
      <c r="L417" t="s">
        <v>41</v>
      </c>
      <c r="M417" t="s">
        <v>972</v>
      </c>
      <c r="N417" t="s">
        <v>41</v>
      </c>
    </row>
    <row r="418" spans="3:14" x14ac:dyDescent="0.3">
      <c r="C418" t="s">
        <v>41</v>
      </c>
      <c r="D418" t="s">
        <v>41</v>
      </c>
      <c r="K418">
        <v>0</v>
      </c>
      <c r="L418" t="s">
        <v>41</v>
      </c>
      <c r="M418" t="s">
        <v>972</v>
      </c>
      <c r="N418" t="s">
        <v>41</v>
      </c>
    </row>
    <row r="419" spans="3:14" x14ac:dyDescent="0.3">
      <c r="C419" t="s">
        <v>41</v>
      </c>
      <c r="D419" t="s">
        <v>41</v>
      </c>
      <c r="K419">
        <v>0</v>
      </c>
      <c r="L419" t="s">
        <v>41</v>
      </c>
      <c r="M419" t="s">
        <v>972</v>
      </c>
      <c r="N419" t="s">
        <v>41</v>
      </c>
    </row>
    <row r="420" spans="3:14" x14ac:dyDescent="0.3">
      <c r="C420" t="s">
        <v>41</v>
      </c>
      <c r="D420" t="s">
        <v>41</v>
      </c>
      <c r="K420">
        <v>0</v>
      </c>
      <c r="L420" t="s">
        <v>41</v>
      </c>
      <c r="M420" t="s">
        <v>972</v>
      </c>
      <c r="N420" t="s">
        <v>41</v>
      </c>
    </row>
    <row r="421" spans="3:14" x14ac:dyDescent="0.3">
      <c r="C421" t="s">
        <v>41</v>
      </c>
      <c r="D421" t="s">
        <v>41</v>
      </c>
      <c r="K421">
        <v>0</v>
      </c>
      <c r="L421" t="s">
        <v>41</v>
      </c>
      <c r="M421" t="s">
        <v>972</v>
      </c>
      <c r="N421" t="s">
        <v>41</v>
      </c>
    </row>
    <row r="422" spans="3:14" x14ac:dyDescent="0.3">
      <c r="C422" t="s">
        <v>41</v>
      </c>
      <c r="D422" t="s">
        <v>41</v>
      </c>
      <c r="K422">
        <v>0</v>
      </c>
      <c r="L422" t="s">
        <v>41</v>
      </c>
      <c r="M422" t="s">
        <v>972</v>
      </c>
      <c r="N422" t="s">
        <v>41</v>
      </c>
    </row>
    <row r="423" spans="3:14" x14ac:dyDescent="0.3">
      <c r="C423" t="s">
        <v>41</v>
      </c>
      <c r="D423" t="s">
        <v>41</v>
      </c>
      <c r="K423">
        <v>0</v>
      </c>
      <c r="L423" t="s">
        <v>41</v>
      </c>
      <c r="M423" t="s">
        <v>972</v>
      </c>
      <c r="N423" t="s">
        <v>41</v>
      </c>
    </row>
    <row r="424" spans="3:14" x14ac:dyDescent="0.3">
      <c r="C424" t="s">
        <v>41</v>
      </c>
      <c r="D424" t="s">
        <v>41</v>
      </c>
      <c r="K424">
        <v>0</v>
      </c>
      <c r="L424" t="s">
        <v>41</v>
      </c>
      <c r="M424" t="s">
        <v>972</v>
      </c>
      <c r="N424" t="s">
        <v>41</v>
      </c>
    </row>
    <row r="425" spans="3:14" x14ac:dyDescent="0.3">
      <c r="C425" t="s">
        <v>41</v>
      </c>
      <c r="D425" t="s">
        <v>41</v>
      </c>
      <c r="K425">
        <v>0</v>
      </c>
      <c r="L425" t="s">
        <v>41</v>
      </c>
      <c r="M425" t="s">
        <v>972</v>
      </c>
      <c r="N425" t="s">
        <v>41</v>
      </c>
    </row>
    <row r="426" spans="3:14" x14ac:dyDescent="0.3">
      <c r="C426" t="s">
        <v>41</v>
      </c>
      <c r="D426" t="s">
        <v>41</v>
      </c>
      <c r="K426">
        <v>0</v>
      </c>
      <c r="L426" t="s">
        <v>41</v>
      </c>
      <c r="M426" t="s">
        <v>972</v>
      </c>
      <c r="N426" t="s">
        <v>41</v>
      </c>
    </row>
    <row r="427" spans="3:14" x14ac:dyDescent="0.3">
      <c r="C427" t="s">
        <v>41</v>
      </c>
      <c r="D427" t="s">
        <v>41</v>
      </c>
      <c r="K427">
        <v>0</v>
      </c>
      <c r="L427" t="s">
        <v>41</v>
      </c>
      <c r="M427" t="s">
        <v>972</v>
      </c>
      <c r="N427" t="s">
        <v>41</v>
      </c>
    </row>
    <row r="428" spans="3:14" x14ac:dyDescent="0.3">
      <c r="C428" t="s">
        <v>41</v>
      </c>
      <c r="D428" t="s">
        <v>41</v>
      </c>
      <c r="K428">
        <v>0</v>
      </c>
      <c r="L428" t="s">
        <v>41</v>
      </c>
      <c r="M428" t="s">
        <v>972</v>
      </c>
      <c r="N428" t="s">
        <v>41</v>
      </c>
    </row>
    <row r="429" spans="3:14" x14ac:dyDescent="0.3">
      <c r="C429" t="s">
        <v>41</v>
      </c>
      <c r="D429" t="s">
        <v>41</v>
      </c>
      <c r="K429">
        <v>0</v>
      </c>
      <c r="L429" t="s">
        <v>41</v>
      </c>
      <c r="M429" t="s">
        <v>972</v>
      </c>
      <c r="N429" t="s">
        <v>41</v>
      </c>
    </row>
    <row r="430" spans="3:14" x14ac:dyDescent="0.3">
      <c r="C430" t="s">
        <v>41</v>
      </c>
      <c r="D430" t="s">
        <v>41</v>
      </c>
      <c r="K430">
        <v>0</v>
      </c>
      <c r="L430" t="s">
        <v>41</v>
      </c>
      <c r="M430" t="s">
        <v>972</v>
      </c>
      <c r="N430" t="s">
        <v>41</v>
      </c>
    </row>
    <row r="431" spans="3:14" x14ac:dyDescent="0.3">
      <c r="C431" t="s">
        <v>41</v>
      </c>
      <c r="D431" t="s">
        <v>41</v>
      </c>
      <c r="K431">
        <v>0</v>
      </c>
      <c r="L431" t="s">
        <v>41</v>
      </c>
      <c r="M431" t="s">
        <v>972</v>
      </c>
      <c r="N431" t="s">
        <v>41</v>
      </c>
    </row>
    <row r="432" spans="3:14" x14ac:dyDescent="0.3">
      <c r="C432" t="s">
        <v>41</v>
      </c>
      <c r="D432" t="s">
        <v>41</v>
      </c>
      <c r="K432">
        <v>0</v>
      </c>
      <c r="L432" t="s">
        <v>41</v>
      </c>
      <c r="M432" t="s">
        <v>972</v>
      </c>
      <c r="N432" t="s">
        <v>41</v>
      </c>
    </row>
    <row r="433" spans="3:14" x14ac:dyDescent="0.3">
      <c r="C433" t="s">
        <v>41</v>
      </c>
      <c r="D433" t="s">
        <v>41</v>
      </c>
      <c r="K433">
        <v>0</v>
      </c>
      <c r="L433" t="s">
        <v>41</v>
      </c>
      <c r="M433" t="s">
        <v>972</v>
      </c>
      <c r="N433" t="s">
        <v>41</v>
      </c>
    </row>
    <row r="434" spans="3:14" x14ac:dyDescent="0.3">
      <c r="C434" t="s">
        <v>41</v>
      </c>
      <c r="D434" t="s">
        <v>41</v>
      </c>
      <c r="K434">
        <v>0</v>
      </c>
      <c r="L434" t="s">
        <v>41</v>
      </c>
      <c r="M434" t="s">
        <v>972</v>
      </c>
      <c r="N434" t="s">
        <v>41</v>
      </c>
    </row>
    <row r="435" spans="3:14" x14ac:dyDescent="0.3">
      <c r="C435" t="s">
        <v>41</v>
      </c>
      <c r="D435" t="s">
        <v>41</v>
      </c>
      <c r="K435">
        <v>0</v>
      </c>
      <c r="L435" t="s">
        <v>41</v>
      </c>
      <c r="M435" t="s">
        <v>972</v>
      </c>
      <c r="N435" t="s">
        <v>41</v>
      </c>
    </row>
    <row r="436" spans="3:14" x14ac:dyDescent="0.3">
      <c r="C436" t="s">
        <v>41</v>
      </c>
      <c r="D436" t="s">
        <v>41</v>
      </c>
      <c r="K436">
        <v>0</v>
      </c>
      <c r="L436" t="s">
        <v>41</v>
      </c>
      <c r="M436" t="s">
        <v>972</v>
      </c>
      <c r="N436" t="s">
        <v>41</v>
      </c>
    </row>
    <row r="437" spans="3:14" x14ac:dyDescent="0.3">
      <c r="C437" t="s">
        <v>41</v>
      </c>
      <c r="D437" t="s">
        <v>41</v>
      </c>
      <c r="K437">
        <v>0</v>
      </c>
      <c r="L437" t="s">
        <v>41</v>
      </c>
      <c r="M437" t="s">
        <v>972</v>
      </c>
      <c r="N437" t="s">
        <v>41</v>
      </c>
    </row>
    <row r="438" spans="3:14" x14ac:dyDescent="0.3">
      <c r="C438" t="s">
        <v>41</v>
      </c>
      <c r="D438" t="s">
        <v>41</v>
      </c>
      <c r="K438">
        <v>0</v>
      </c>
      <c r="L438" t="s">
        <v>41</v>
      </c>
      <c r="M438" t="s">
        <v>972</v>
      </c>
      <c r="N438" t="s">
        <v>41</v>
      </c>
    </row>
    <row r="439" spans="3:14" x14ac:dyDescent="0.3">
      <c r="C439" t="s">
        <v>41</v>
      </c>
      <c r="D439" t="s">
        <v>41</v>
      </c>
      <c r="K439">
        <v>0</v>
      </c>
      <c r="L439" t="s">
        <v>41</v>
      </c>
      <c r="M439" t="s">
        <v>972</v>
      </c>
      <c r="N439" t="s">
        <v>41</v>
      </c>
    </row>
    <row r="440" spans="3:14" x14ac:dyDescent="0.3">
      <c r="C440" t="s">
        <v>41</v>
      </c>
      <c r="D440" t="s">
        <v>41</v>
      </c>
      <c r="K440">
        <v>0</v>
      </c>
      <c r="L440" t="s">
        <v>41</v>
      </c>
      <c r="M440" t="s">
        <v>972</v>
      </c>
      <c r="N440" t="s">
        <v>41</v>
      </c>
    </row>
    <row r="441" spans="3:14" x14ac:dyDescent="0.3">
      <c r="C441" t="s">
        <v>41</v>
      </c>
      <c r="D441" t="s">
        <v>41</v>
      </c>
      <c r="K441">
        <v>0</v>
      </c>
      <c r="L441" t="s">
        <v>41</v>
      </c>
      <c r="M441" t="s">
        <v>972</v>
      </c>
      <c r="N441" t="s">
        <v>41</v>
      </c>
    </row>
    <row r="442" spans="3:14" x14ac:dyDescent="0.3">
      <c r="C442" t="s">
        <v>41</v>
      </c>
      <c r="D442" t="s">
        <v>41</v>
      </c>
      <c r="K442">
        <v>0</v>
      </c>
      <c r="L442" t="s">
        <v>41</v>
      </c>
      <c r="M442" t="s">
        <v>972</v>
      </c>
      <c r="N442" t="s">
        <v>41</v>
      </c>
    </row>
    <row r="443" spans="3:14" x14ac:dyDescent="0.3">
      <c r="C443" t="s">
        <v>41</v>
      </c>
      <c r="D443" t="s">
        <v>41</v>
      </c>
      <c r="K443">
        <v>0</v>
      </c>
      <c r="L443" t="s">
        <v>41</v>
      </c>
      <c r="M443" t="s">
        <v>972</v>
      </c>
      <c r="N443" t="s">
        <v>41</v>
      </c>
    </row>
    <row r="444" spans="3:14" x14ac:dyDescent="0.3">
      <c r="C444" t="s">
        <v>41</v>
      </c>
      <c r="D444" t="s">
        <v>41</v>
      </c>
      <c r="K444">
        <v>0</v>
      </c>
      <c r="L444" t="s">
        <v>41</v>
      </c>
      <c r="M444" t="s">
        <v>972</v>
      </c>
      <c r="N444" t="s">
        <v>41</v>
      </c>
    </row>
    <row r="445" spans="3:14" x14ac:dyDescent="0.3">
      <c r="C445" t="s">
        <v>41</v>
      </c>
      <c r="D445" t="s">
        <v>41</v>
      </c>
      <c r="K445">
        <v>0</v>
      </c>
      <c r="L445" t="s">
        <v>41</v>
      </c>
      <c r="M445" t="s">
        <v>972</v>
      </c>
      <c r="N445" t="s">
        <v>41</v>
      </c>
    </row>
    <row r="446" spans="3:14" x14ac:dyDescent="0.3">
      <c r="C446" t="s">
        <v>41</v>
      </c>
      <c r="D446" t="s">
        <v>41</v>
      </c>
      <c r="K446">
        <v>0</v>
      </c>
      <c r="L446" t="s">
        <v>41</v>
      </c>
      <c r="M446" t="s">
        <v>972</v>
      </c>
      <c r="N446" t="s">
        <v>41</v>
      </c>
    </row>
    <row r="447" spans="3:14" x14ac:dyDescent="0.3">
      <c r="C447" t="s">
        <v>41</v>
      </c>
      <c r="D447" t="s">
        <v>41</v>
      </c>
      <c r="K447">
        <v>0</v>
      </c>
      <c r="L447" t="s">
        <v>41</v>
      </c>
      <c r="M447" t="s">
        <v>972</v>
      </c>
      <c r="N447" t="s">
        <v>41</v>
      </c>
    </row>
    <row r="448" spans="3:14" x14ac:dyDescent="0.3">
      <c r="C448" t="s">
        <v>41</v>
      </c>
      <c r="D448" t="s">
        <v>41</v>
      </c>
      <c r="K448">
        <v>0</v>
      </c>
      <c r="L448" t="s">
        <v>41</v>
      </c>
      <c r="M448" t="s">
        <v>972</v>
      </c>
      <c r="N448" t="s">
        <v>41</v>
      </c>
    </row>
    <row r="449" spans="3:14" x14ac:dyDescent="0.3">
      <c r="C449" t="s">
        <v>41</v>
      </c>
      <c r="D449" t="s">
        <v>41</v>
      </c>
      <c r="K449">
        <v>0</v>
      </c>
      <c r="L449" t="s">
        <v>41</v>
      </c>
      <c r="M449" t="s">
        <v>972</v>
      </c>
      <c r="N449" t="s">
        <v>41</v>
      </c>
    </row>
    <row r="450" spans="3:14" x14ac:dyDescent="0.3">
      <c r="C450" t="s">
        <v>41</v>
      </c>
      <c r="D450" t="s">
        <v>41</v>
      </c>
      <c r="K450">
        <v>0</v>
      </c>
      <c r="L450" t="s">
        <v>41</v>
      </c>
      <c r="M450" t="s">
        <v>972</v>
      </c>
      <c r="N450" t="s">
        <v>41</v>
      </c>
    </row>
    <row r="451" spans="3:14" x14ac:dyDescent="0.3">
      <c r="C451" t="s">
        <v>41</v>
      </c>
      <c r="D451" t="s">
        <v>41</v>
      </c>
      <c r="K451">
        <v>0</v>
      </c>
      <c r="L451" t="s">
        <v>41</v>
      </c>
      <c r="M451" t="s">
        <v>972</v>
      </c>
      <c r="N451" t="s">
        <v>41</v>
      </c>
    </row>
    <row r="452" spans="3:14" x14ac:dyDescent="0.3">
      <c r="C452" t="s">
        <v>41</v>
      </c>
      <c r="D452" t="s">
        <v>41</v>
      </c>
      <c r="K452">
        <v>0</v>
      </c>
      <c r="L452" t="s">
        <v>41</v>
      </c>
      <c r="M452" t="s">
        <v>972</v>
      </c>
      <c r="N452" t="s">
        <v>41</v>
      </c>
    </row>
    <row r="453" spans="3:14" x14ac:dyDescent="0.3">
      <c r="C453" t="s">
        <v>41</v>
      </c>
      <c r="D453" t="s">
        <v>41</v>
      </c>
      <c r="K453">
        <v>0</v>
      </c>
      <c r="L453" t="s">
        <v>41</v>
      </c>
      <c r="M453" t="s">
        <v>972</v>
      </c>
      <c r="N453" t="s">
        <v>41</v>
      </c>
    </row>
    <row r="454" spans="3:14" x14ac:dyDescent="0.3">
      <c r="C454" t="s">
        <v>41</v>
      </c>
      <c r="D454" t="s">
        <v>41</v>
      </c>
      <c r="K454">
        <v>0</v>
      </c>
      <c r="L454" t="s">
        <v>41</v>
      </c>
      <c r="M454" t="s">
        <v>972</v>
      </c>
      <c r="N454" t="s">
        <v>41</v>
      </c>
    </row>
    <row r="455" spans="3:14" x14ac:dyDescent="0.3">
      <c r="C455" t="s">
        <v>41</v>
      </c>
      <c r="D455" t="s">
        <v>41</v>
      </c>
      <c r="K455">
        <v>0</v>
      </c>
      <c r="L455" t="s">
        <v>41</v>
      </c>
      <c r="M455" t="s">
        <v>972</v>
      </c>
      <c r="N455" t="s">
        <v>41</v>
      </c>
    </row>
    <row r="456" spans="3:14" x14ac:dyDescent="0.3">
      <c r="C456" t="s">
        <v>41</v>
      </c>
      <c r="D456" t="s">
        <v>41</v>
      </c>
      <c r="K456">
        <v>0</v>
      </c>
      <c r="L456" t="s">
        <v>41</v>
      </c>
      <c r="M456" t="s">
        <v>972</v>
      </c>
      <c r="N456" t="s">
        <v>41</v>
      </c>
    </row>
    <row r="457" spans="3:14" x14ac:dyDescent="0.3">
      <c r="C457" t="s">
        <v>41</v>
      </c>
      <c r="D457" t="s">
        <v>41</v>
      </c>
      <c r="K457">
        <v>0</v>
      </c>
      <c r="L457" t="s">
        <v>41</v>
      </c>
      <c r="M457" t="s">
        <v>972</v>
      </c>
      <c r="N457" t="s">
        <v>41</v>
      </c>
    </row>
    <row r="458" spans="3:14" x14ac:dyDescent="0.3">
      <c r="C458" t="s">
        <v>41</v>
      </c>
      <c r="D458" t="s">
        <v>41</v>
      </c>
      <c r="K458">
        <v>0</v>
      </c>
      <c r="L458" t="s">
        <v>41</v>
      </c>
      <c r="M458" t="s">
        <v>972</v>
      </c>
      <c r="N458" t="s">
        <v>41</v>
      </c>
    </row>
    <row r="459" spans="3:14" x14ac:dyDescent="0.3">
      <c r="C459" t="s">
        <v>41</v>
      </c>
      <c r="D459" t="s">
        <v>41</v>
      </c>
      <c r="K459">
        <v>0</v>
      </c>
      <c r="L459" t="s">
        <v>41</v>
      </c>
      <c r="M459" t="s">
        <v>972</v>
      </c>
      <c r="N459" t="s">
        <v>41</v>
      </c>
    </row>
    <row r="460" spans="3:14" x14ac:dyDescent="0.3">
      <c r="C460" t="s">
        <v>41</v>
      </c>
      <c r="D460" t="s">
        <v>41</v>
      </c>
      <c r="K460">
        <v>0</v>
      </c>
      <c r="L460" t="s">
        <v>41</v>
      </c>
      <c r="M460" t="s">
        <v>972</v>
      </c>
      <c r="N460" t="s">
        <v>41</v>
      </c>
    </row>
    <row r="461" spans="3:14" x14ac:dyDescent="0.3">
      <c r="C461" t="s">
        <v>41</v>
      </c>
      <c r="D461" t="s">
        <v>41</v>
      </c>
      <c r="K461">
        <v>0</v>
      </c>
      <c r="L461" t="s">
        <v>41</v>
      </c>
      <c r="M461" t="s">
        <v>972</v>
      </c>
      <c r="N461" t="s">
        <v>41</v>
      </c>
    </row>
    <row r="462" spans="3:14" x14ac:dyDescent="0.3">
      <c r="C462" t="s">
        <v>41</v>
      </c>
      <c r="D462" t="s">
        <v>41</v>
      </c>
      <c r="K462">
        <v>0</v>
      </c>
      <c r="L462" t="s">
        <v>41</v>
      </c>
      <c r="M462" t="s">
        <v>972</v>
      </c>
      <c r="N462" t="s">
        <v>41</v>
      </c>
    </row>
    <row r="463" spans="3:14" x14ac:dyDescent="0.3">
      <c r="C463" t="s">
        <v>41</v>
      </c>
      <c r="D463" t="s">
        <v>41</v>
      </c>
      <c r="K463">
        <v>0</v>
      </c>
      <c r="L463" t="s">
        <v>41</v>
      </c>
      <c r="M463" t="s">
        <v>972</v>
      </c>
      <c r="N463" t="s">
        <v>41</v>
      </c>
    </row>
    <row r="464" spans="3:14" x14ac:dyDescent="0.3">
      <c r="C464" t="s">
        <v>41</v>
      </c>
      <c r="D464" t="s">
        <v>41</v>
      </c>
      <c r="K464">
        <v>0</v>
      </c>
      <c r="L464" t="s">
        <v>41</v>
      </c>
      <c r="M464" t="s">
        <v>972</v>
      </c>
      <c r="N464" t="s">
        <v>41</v>
      </c>
    </row>
    <row r="465" spans="3:14" x14ac:dyDescent="0.3">
      <c r="C465" t="s">
        <v>41</v>
      </c>
      <c r="D465" t="s">
        <v>41</v>
      </c>
      <c r="K465">
        <v>0</v>
      </c>
      <c r="L465" t="s">
        <v>41</v>
      </c>
      <c r="M465" t="s">
        <v>972</v>
      </c>
      <c r="N465" t="s">
        <v>41</v>
      </c>
    </row>
    <row r="466" spans="3:14" x14ac:dyDescent="0.3">
      <c r="C466" t="s">
        <v>41</v>
      </c>
      <c r="D466" t="s">
        <v>41</v>
      </c>
      <c r="K466">
        <v>0</v>
      </c>
      <c r="L466" t="s">
        <v>41</v>
      </c>
      <c r="M466" t="s">
        <v>972</v>
      </c>
      <c r="N466" t="s">
        <v>41</v>
      </c>
    </row>
    <row r="467" spans="3:14" x14ac:dyDescent="0.3">
      <c r="C467" t="s">
        <v>41</v>
      </c>
      <c r="D467" t="s">
        <v>41</v>
      </c>
      <c r="K467">
        <v>0</v>
      </c>
      <c r="L467" t="s">
        <v>41</v>
      </c>
      <c r="M467" t="s">
        <v>972</v>
      </c>
      <c r="N467" t="s">
        <v>41</v>
      </c>
    </row>
    <row r="468" spans="3:14" x14ac:dyDescent="0.3">
      <c r="C468" t="s">
        <v>41</v>
      </c>
      <c r="D468" t="s">
        <v>41</v>
      </c>
      <c r="K468">
        <v>0</v>
      </c>
      <c r="L468" t="s">
        <v>41</v>
      </c>
      <c r="M468" t="s">
        <v>972</v>
      </c>
      <c r="N468" t="s">
        <v>41</v>
      </c>
    </row>
    <row r="469" spans="3:14" x14ac:dyDescent="0.3">
      <c r="C469" t="s">
        <v>41</v>
      </c>
      <c r="D469" t="s">
        <v>41</v>
      </c>
      <c r="K469">
        <v>0</v>
      </c>
      <c r="L469" t="s">
        <v>41</v>
      </c>
      <c r="M469" t="s">
        <v>972</v>
      </c>
      <c r="N469" t="s">
        <v>41</v>
      </c>
    </row>
    <row r="470" spans="3:14" x14ac:dyDescent="0.3">
      <c r="C470" t="s">
        <v>41</v>
      </c>
      <c r="D470" t="s">
        <v>41</v>
      </c>
      <c r="K470">
        <v>0</v>
      </c>
      <c r="L470" t="s">
        <v>41</v>
      </c>
      <c r="M470" t="s">
        <v>972</v>
      </c>
      <c r="N470" t="s">
        <v>41</v>
      </c>
    </row>
    <row r="471" spans="3:14" x14ac:dyDescent="0.3">
      <c r="C471" t="s">
        <v>41</v>
      </c>
      <c r="D471" t="s">
        <v>41</v>
      </c>
      <c r="K471">
        <v>0</v>
      </c>
      <c r="L471" t="s">
        <v>41</v>
      </c>
      <c r="M471" t="s">
        <v>972</v>
      </c>
      <c r="N471" t="s">
        <v>41</v>
      </c>
    </row>
    <row r="472" spans="3:14" x14ac:dyDescent="0.3">
      <c r="C472" t="s">
        <v>41</v>
      </c>
      <c r="D472" t="s">
        <v>41</v>
      </c>
      <c r="K472">
        <v>0</v>
      </c>
      <c r="L472" t="s">
        <v>41</v>
      </c>
      <c r="M472" t="s">
        <v>972</v>
      </c>
      <c r="N472" t="s">
        <v>41</v>
      </c>
    </row>
    <row r="473" spans="3:14" x14ac:dyDescent="0.3">
      <c r="C473" t="s">
        <v>41</v>
      </c>
      <c r="D473" t="s">
        <v>41</v>
      </c>
      <c r="K473">
        <v>0</v>
      </c>
      <c r="L473" t="s">
        <v>41</v>
      </c>
      <c r="M473" t="s">
        <v>972</v>
      </c>
      <c r="N473" t="s">
        <v>41</v>
      </c>
    </row>
    <row r="474" spans="3:14" x14ac:dyDescent="0.3">
      <c r="C474" t="s">
        <v>41</v>
      </c>
      <c r="D474" t="s">
        <v>41</v>
      </c>
      <c r="K474">
        <v>0</v>
      </c>
      <c r="L474" t="s">
        <v>41</v>
      </c>
      <c r="M474" t="s">
        <v>972</v>
      </c>
      <c r="N474" t="s">
        <v>41</v>
      </c>
    </row>
    <row r="475" spans="3:14" x14ac:dyDescent="0.3">
      <c r="C475" t="s">
        <v>41</v>
      </c>
      <c r="D475" t="s">
        <v>41</v>
      </c>
      <c r="K475">
        <v>0</v>
      </c>
      <c r="L475" t="s">
        <v>41</v>
      </c>
      <c r="M475" t="s">
        <v>972</v>
      </c>
      <c r="N475" t="s">
        <v>41</v>
      </c>
    </row>
    <row r="476" spans="3:14" x14ac:dyDescent="0.3">
      <c r="C476" t="s">
        <v>41</v>
      </c>
      <c r="D476" t="s">
        <v>41</v>
      </c>
      <c r="K476">
        <v>0</v>
      </c>
      <c r="L476" t="s">
        <v>41</v>
      </c>
      <c r="M476" t="s">
        <v>972</v>
      </c>
      <c r="N476" t="s">
        <v>41</v>
      </c>
    </row>
    <row r="477" spans="3:14" x14ac:dyDescent="0.3">
      <c r="C477" t="s">
        <v>41</v>
      </c>
      <c r="D477" t="s">
        <v>41</v>
      </c>
      <c r="K477">
        <v>0</v>
      </c>
      <c r="L477" t="s">
        <v>41</v>
      </c>
      <c r="M477" t="s">
        <v>972</v>
      </c>
      <c r="N477" t="s">
        <v>41</v>
      </c>
    </row>
    <row r="478" spans="3:14" x14ac:dyDescent="0.3">
      <c r="C478" t="s">
        <v>41</v>
      </c>
      <c r="D478" t="s">
        <v>41</v>
      </c>
      <c r="K478">
        <v>0</v>
      </c>
      <c r="L478" t="s">
        <v>41</v>
      </c>
      <c r="M478" t="s">
        <v>972</v>
      </c>
      <c r="N478" t="s">
        <v>41</v>
      </c>
    </row>
    <row r="479" spans="3:14" x14ac:dyDescent="0.3">
      <c r="C479" t="s">
        <v>41</v>
      </c>
      <c r="D479" t="s">
        <v>41</v>
      </c>
      <c r="K479">
        <v>0</v>
      </c>
      <c r="L479" t="s">
        <v>41</v>
      </c>
      <c r="M479" t="s">
        <v>972</v>
      </c>
      <c r="N479" t="s">
        <v>41</v>
      </c>
    </row>
    <row r="480" spans="3:14" x14ac:dyDescent="0.3">
      <c r="C480" t="s">
        <v>41</v>
      </c>
      <c r="D480" t="s">
        <v>41</v>
      </c>
      <c r="K480">
        <v>0</v>
      </c>
      <c r="L480" t="s">
        <v>41</v>
      </c>
      <c r="M480" t="s">
        <v>972</v>
      </c>
      <c r="N480" t="s">
        <v>41</v>
      </c>
    </row>
    <row r="481" spans="3:14" x14ac:dyDescent="0.3">
      <c r="C481" t="s">
        <v>41</v>
      </c>
      <c r="D481" t="s">
        <v>41</v>
      </c>
      <c r="K481">
        <v>0</v>
      </c>
      <c r="L481" t="s">
        <v>41</v>
      </c>
      <c r="M481" t="s">
        <v>972</v>
      </c>
      <c r="N481" t="s">
        <v>41</v>
      </c>
    </row>
    <row r="482" spans="3:14" x14ac:dyDescent="0.3">
      <c r="C482" t="s">
        <v>41</v>
      </c>
      <c r="D482" t="s">
        <v>41</v>
      </c>
      <c r="K482">
        <v>0</v>
      </c>
      <c r="L482" t="s">
        <v>41</v>
      </c>
      <c r="M482" t="s">
        <v>972</v>
      </c>
      <c r="N482" t="s">
        <v>41</v>
      </c>
    </row>
    <row r="483" spans="3:14" x14ac:dyDescent="0.3">
      <c r="C483" t="s">
        <v>41</v>
      </c>
      <c r="D483" t="s">
        <v>41</v>
      </c>
      <c r="K483">
        <v>0</v>
      </c>
      <c r="L483" t="s">
        <v>41</v>
      </c>
      <c r="M483" t="s">
        <v>972</v>
      </c>
      <c r="N483" t="s">
        <v>41</v>
      </c>
    </row>
    <row r="484" spans="3:14" x14ac:dyDescent="0.3">
      <c r="C484" t="s">
        <v>41</v>
      </c>
      <c r="D484" t="s">
        <v>41</v>
      </c>
      <c r="K484">
        <v>0</v>
      </c>
      <c r="L484" t="s">
        <v>41</v>
      </c>
      <c r="M484" t="s">
        <v>972</v>
      </c>
      <c r="N484" t="s">
        <v>41</v>
      </c>
    </row>
    <row r="485" spans="3:14" x14ac:dyDescent="0.3">
      <c r="C485" t="s">
        <v>41</v>
      </c>
      <c r="D485" t="s">
        <v>41</v>
      </c>
      <c r="K485">
        <v>0</v>
      </c>
      <c r="L485" t="s">
        <v>41</v>
      </c>
      <c r="M485" t="s">
        <v>972</v>
      </c>
      <c r="N485" t="s">
        <v>41</v>
      </c>
    </row>
    <row r="486" spans="3:14" x14ac:dyDescent="0.3">
      <c r="C486" t="s">
        <v>41</v>
      </c>
      <c r="D486" t="s">
        <v>41</v>
      </c>
      <c r="K486">
        <v>0</v>
      </c>
      <c r="L486" t="s">
        <v>41</v>
      </c>
      <c r="M486" t="s">
        <v>972</v>
      </c>
      <c r="N486" t="s">
        <v>41</v>
      </c>
    </row>
    <row r="487" spans="3:14" x14ac:dyDescent="0.3">
      <c r="C487" t="s">
        <v>41</v>
      </c>
      <c r="D487" t="s">
        <v>41</v>
      </c>
      <c r="K487">
        <v>0</v>
      </c>
      <c r="L487" t="s">
        <v>41</v>
      </c>
      <c r="M487" t="s">
        <v>972</v>
      </c>
      <c r="N487" t="s">
        <v>41</v>
      </c>
    </row>
    <row r="488" spans="3:14" x14ac:dyDescent="0.3">
      <c r="C488" t="s">
        <v>41</v>
      </c>
      <c r="D488" t="s">
        <v>41</v>
      </c>
      <c r="K488">
        <v>0</v>
      </c>
      <c r="L488" t="s">
        <v>41</v>
      </c>
      <c r="M488" t="s">
        <v>972</v>
      </c>
      <c r="N488" t="s">
        <v>41</v>
      </c>
    </row>
    <row r="489" spans="3:14" x14ac:dyDescent="0.3">
      <c r="C489" t="s">
        <v>41</v>
      </c>
      <c r="D489" t="s">
        <v>41</v>
      </c>
      <c r="K489">
        <v>0</v>
      </c>
      <c r="L489" t="s">
        <v>41</v>
      </c>
      <c r="M489" t="s">
        <v>972</v>
      </c>
      <c r="N489" t="s">
        <v>41</v>
      </c>
    </row>
    <row r="490" spans="3:14" x14ac:dyDescent="0.3">
      <c r="C490" t="s">
        <v>41</v>
      </c>
      <c r="D490" t="s">
        <v>41</v>
      </c>
      <c r="K490">
        <v>0</v>
      </c>
      <c r="L490" t="s">
        <v>41</v>
      </c>
      <c r="M490" t="s">
        <v>972</v>
      </c>
      <c r="N490" t="s">
        <v>41</v>
      </c>
    </row>
    <row r="491" spans="3:14" x14ac:dyDescent="0.3">
      <c r="C491" t="s">
        <v>41</v>
      </c>
      <c r="D491" t="s">
        <v>41</v>
      </c>
      <c r="K491">
        <v>0</v>
      </c>
      <c r="L491" t="s">
        <v>41</v>
      </c>
      <c r="M491" t="s">
        <v>972</v>
      </c>
      <c r="N491" t="s">
        <v>41</v>
      </c>
    </row>
    <row r="492" spans="3:14" x14ac:dyDescent="0.3">
      <c r="C492" t="s">
        <v>41</v>
      </c>
      <c r="D492" t="s">
        <v>41</v>
      </c>
      <c r="K492">
        <v>0</v>
      </c>
      <c r="L492" t="s">
        <v>41</v>
      </c>
      <c r="M492" t="s">
        <v>972</v>
      </c>
      <c r="N492" t="s">
        <v>41</v>
      </c>
    </row>
    <row r="493" spans="3:14" x14ac:dyDescent="0.3">
      <c r="C493" t="s">
        <v>41</v>
      </c>
      <c r="D493" t="s">
        <v>41</v>
      </c>
      <c r="K493">
        <v>0</v>
      </c>
      <c r="L493" t="s">
        <v>41</v>
      </c>
      <c r="M493" t="s">
        <v>972</v>
      </c>
      <c r="N493" t="s">
        <v>41</v>
      </c>
    </row>
    <row r="494" spans="3:14" x14ac:dyDescent="0.3">
      <c r="C494" t="s">
        <v>41</v>
      </c>
      <c r="D494" t="s">
        <v>41</v>
      </c>
      <c r="K494">
        <v>0</v>
      </c>
      <c r="L494" t="s">
        <v>41</v>
      </c>
      <c r="M494" t="s">
        <v>972</v>
      </c>
      <c r="N494" t="s">
        <v>41</v>
      </c>
    </row>
    <row r="495" spans="3:14" x14ac:dyDescent="0.3">
      <c r="C495" t="s">
        <v>41</v>
      </c>
      <c r="D495" t="s">
        <v>41</v>
      </c>
      <c r="K495">
        <v>0</v>
      </c>
      <c r="L495" t="s">
        <v>41</v>
      </c>
      <c r="M495" t="s">
        <v>972</v>
      </c>
      <c r="N495" t="s">
        <v>41</v>
      </c>
    </row>
    <row r="496" spans="3:14" x14ac:dyDescent="0.3">
      <c r="C496" t="s">
        <v>41</v>
      </c>
      <c r="D496" t="s">
        <v>41</v>
      </c>
      <c r="K496">
        <v>0</v>
      </c>
      <c r="L496" t="s">
        <v>41</v>
      </c>
      <c r="M496" t="s">
        <v>972</v>
      </c>
      <c r="N496" t="s">
        <v>41</v>
      </c>
    </row>
    <row r="497" spans="3:14" x14ac:dyDescent="0.3">
      <c r="C497" t="s">
        <v>41</v>
      </c>
      <c r="D497" t="s">
        <v>41</v>
      </c>
      <c r="K497">
        <v>0</v>
      </c>
      <c r="L497" t="s">
        <v>41</v>
      </c>
      <c r="M497" t="s">
        <v>972</v>
      </c>
      <c r="N497" t="s">
        <v>41</v>
      </c>
    </row>
    <row r="498" spans="3:14" x14ac:dyDescent="0.3">
      <c r="C498" t="s">
        <v>41</v>
      </c>
      <c r="D498" t="s">
        <v>41</v>
      </c>
      <c r="K498">
        <v>0</v>
      </c>
      <c r="L498" t="s">
        <v>41</v>
      </c>
      <c r="M498" t="s">
        <v>972</v>
      </c>
      <c r="N498" t="s">
        <v>41</v>
      </c>
    </row>
    <row r="499" spans="3:14" x14ac:dyDescent="0.3">
      <c r="C499" t="s">
        <v>41</v>
      </c>
      <c r="D499" t="s">
        <v>41</v>
      </c>
      <c r="K499">
        <v>0</v>
      </c>
      <c r="L499" t="s">
        <v>41</v>
      </c>
      <c r="M499" t="s">
        <v>972</v>
      </c>
      <c r="N499" t="s">
        <v>41</v>
      </c>
    </row>
    <row r="500" spans="3:14" x14ac:dyDescent="0.3">
      <c r="C500" t="s">
        <v>41</v>
      </c>
      <c r="D500" t="s">
        <v>41</v>
      </c>
      <c r="K500">
        <v>0</v>
      </c>
      <c r="L500" t="s">
        <v>41</v>
      </c>
      <c r="M500" t="s">
        <v>972</v>
      </c>
      <c r="N500" t="s">
        <v>41</v>
      </c>
    </row>
    <row r="501" spans="3:14" x14ac:dyDescent="0.3">
      <c r="C501" t="s">
        <v>41</v>
      </c>
      <c r="D501" t="s">
        <v>41</v>
      </c>
      <c r="K501">
        <v>0</v>
      </c>
      <c r="L501" t="s">
        <v>41</v>
      </c>
      <c r="M501" t="s">
        <v>972</v>
      </c>
      <c r="N501" t="s">
        <v>41</v>
      </c>
    </row>
    <row r="502" spans="3:14" x14ac:dyDescent="0.3">
      <c r="C502" t="s">
        <v>41</v>
      </c>
      <c r="D502" t="s">
        <v>41</v>
      </c>
      <c r="K502">
        <v>0</v>
      </c>
      <c r="L502" t="s">
        <v>41</v>
      </c>
      <c r="M502" t="s">
        <v>972</v>
      </c>
      <c r="N502" t="s">
        <v>41</v>
      </c>
    </row>
    <row r="503" spans="3:14" x14ac:dyDescent="0.3">
      <c r="C503" t="s">
        <v>41</v>
      </c>
      <c r="D503" t="s">
        <v>41</v>
      </c>
      <c r="K503">
        <v>0</v>
      </c>
      <c r="L503" t="s">
        <v>41</v>
      </c>
      <c r="M503" t="s">
        <v>972</v>
      </c>
      <c r="N503" t="s">
        <v>41</v>
      </c>
    </row>
    <row r="504" spans="3:14" x14ac:dyDescent="0.3">
      <c r="C504" t="s">
        <v>41</v>
      </c>
      <c r="D504" t="s">
        <v>41</v>
      </c>
      <c r="K504">
        <v>0</v>
      </c>
      <c r="L504" t="s">
        <v>41</v>
      </c>
      <c r="M504" t="s">
        <v>972</v>
      </c>
      <c r="N504" t="s">
        <v>41</v>
      </c>
    </row>
    <row r="505" spans="3:14" x14ac:dyDescent="0.3">
      <c r="C505" t="s">
        <v>41</v>
      </c>
      <c r="D505" t="s">
        <v>41</v>
      </c>
      <c r="K505">
        <v>0</v>
      </c>
      <c r="L505" t="s">
        <v>41</v>
      </c>
      <c r="M505" t="s">
        <v>972</v>
      </c>
      <c r="N505" t="s">
        <v>41</v>
      </c>
    </row>
    <row r="506" spans="3:14" x14ac:dyDescent="0.3">
      <c r="C506" t="s">
        <v>41</v>
      </c>
      <c r="D506" t="s">
        <v>41</v>
      </c>
      <c r="K506">
        <v>0</v>
      </c>
      <c r="L506" t="s">
        <v>41</v>
      </c>
      <c r="M506" t="s">
        <v>972</v>
      </c>
      <c r="N506" t="s">
        <v>41</v>
      </c>
    </row>
    <row r="507" spans="3:14" x14ac:dyDescent="0.3">
      <c r="C507" t="s">
        <v>41</v>
      </c>
      <c r="D507" t="s">
        <v>41</v>
      </c>
      <c r="K507">
        <v>0</v>
      </c>
      <c r="L507" t="s">
        <v>41</v>
      </c>
      <c r="M507" t="s">
        <v>972</v>
      </c>
      <c r="N507" t="s">
        <v>41</v>
      </c>
    </row>
    <row r="508" spans="3:14" x14ac:dyDescent="0.3">
      <c r="C508" t="s">
        <v>41</v>
      </c>
      <c r="D508" t="s">
        <v>41</v>
      </c>
      <c r="K508">
        <v>0</v>
      </c>
      <c r="L508" t="s">
        <v>41</v>
      </c>
      <c r="M508" t="s">
        <v>972</v>
      </c>
      <c r="N508" t="s">
        <v>41</v>
      </c>
    </row>
    <row r="509" spans="3:14" x14ac:dyDescent="0.3">
      <c r="C509" t="s">
        <v>41</v>
      </c>
      <c r="D509" t="s">
        <v>41</v>
      </c>
      <c r="K509">
        <v>0</v>
      </c>
      <c r="L509" t="s">
        <v>41</v>
      </c>
      <c r="M509" t="s">
        <v>972</v>
      </c>
      <c r="N509" t="s">
        <v>41</v>
      </c>
    </row>
    <row r="510" spans="3:14" x14ac:dyDescent="0.3">
      <c r="C510" t="s">
        <v>41</v>
      </c>
      <c r="D510" t="s">
        <v>41</v>
      </c>
      <c r="K510">
        <v>0</v>
      </c>
      <c r="L510" t="s">
        <v>41</v>
      </c>
      <c r="M510" t="s">
        <v>972</v>
      </c>
      <c r="N510" t="s">
        <v>41</v>
      </c>
    </row>
    <row r="511" spans="3:14" x14ac:dyDescent="0.3">
      <c r="C511" t="s">
        <v>41</v>
      </c>
      <c r="D511" t="s">
        <v>41</v>
      </c>
      <c r="K511">
        <v>0</v>
      </c>
      <c r="L511" t="s">
        <v>41</v>
      </c>
      <c r="M511" t="s">
        <v>972</v>
      </c>
      <c r="N511" t="s">
        <v>41</v>
      </c>
    </row>
    <row r="512" spans="3:14" x14ac:dyDescent="0.3">
      <c r="C512" t="s">
        <v>41</v>
      </c>
      <c r="D512" t="s">
        <v>41</v>
      </c>
      <c r="K512">
        <v>0</v>
      </c>
      <c r="L512" t="s">
        <v>41</v>
      </c>
      <c r="M512" t="s">
        <v>972</v>
      </c>
      <c r="N512" t="s">
        <v>41</v>
      </c>
    </row>
    <row r="513" spans="3:14" x14ac:dyDescent="0.3">
      <c r="C513" t="s">
        <v>41</v>
      </c>
      <c r="D513" t="s">
        <v>41</v>
      </c>
      <c r="K513">
        <v>0</v>
      </c>
      <c r="L513" t="s">
        <v>41</v>
      </c>
      <c r="M513" t="s">
        <v>972</v>
      </c>
      <c r="N513" t="s">
        <v>41</v>
      </c>
    </row>
    <row r="514" spans="3:14" x14ac:dyDescent="0.3">
      <c r="C514" t="s">
        <v>41</v>
      </c>
      <c r="D514" t="s">
        <v>41</v>
      </c>
      <c r="K514">
        <v>0</v>
      </c>
      <c r="L514" t="s">
        <v>41</v>
      </c>
      <c r="M514" t="s">
        <v>972</v>
      </c>
      <c r="N514" t="s">
        <v>41</v>
      </c>
    </row>
    <row r="515" spans="3:14" x14ac:dyDescent="0.3">
      <c r="C515" t="s">
        <v>41</v>
      </c>
      <c r="D515" t="s">
        <v>41</v>
      </c>
      <c r="K515">
        <v>0</v>
      </c>
      <c r="L515" t="s">
        <v>41</v>
      </c>
      <c r="M515" t="s">
        <v>972</v>
      </c>
      <c r="N515" t="s">
        <v>41</v>
      </c>
    </row>
    <row r="516" spans="3:14" x14ac:dyDescent="0.3">
      <c r="C516" t="s">
        <v>41</v>
      </c>
      <c r="D516" t="s">
        <v>41</v>
      </c>
      <c r="K516">
        <v>0</v>
      </c>
      <c r="L516" t="s">
        <v>41</v>
      </c>
      <c r="M516" t="s">
        <v>972</v>
      </c>
      <c r="N516" t="s">
        <v>41</v>
      </c>
    </row>
    <row r="517" spans="3:14" x14ac:dyDescent="0.3">
      <c r="C517" t="s">
        <v>41</v>
      </c>
      <c r="D517" t="s">
        <v>41</v>
      </c>
      <c r="K517">
        <v>0</v>
      </c>
      <c r="L517" t="s">
        <v>41</v>
      </c>
      <c r="M517" t="s">
        <v>972</v>
      </c>
      <c r="N517" t="s">
        <v>41</v>
      </c>
    </row>
    <row r="518" spans="3:14" x14ac:dyDescent="0.3">
      <c r="C518" t="s">
        <v>41</v>
      </c>
      <c r="D518" t="s">
        <v>41</v>
      </c>
      <c r="K518">
        <v>0</v>
      </c>
      <c r="L518" t="s">
        <v>41</v>
      </c>
      <c r="M518" t="s">
        <v>972</v>
      </c>
      <c r="N518" t="s">
        <v>41</v>
      </c>
    </row>
    <row r="519" spans="3:14" x14ac:dyDescent="0.3">
      <c r="C519" t="s">
        <v>41</v>
      </c>
      <c r="D519" t="s">
        <v>41</v>
      </c>
      <c r="K519">
        <v>0</v>
      </c>
      <c r="L519" t="s">
        <v>41</v>
      </c>
      <c r="M519" t="s">
        <v>972</v>
      </c>
      <c r="N519" t="s">
        <v>41</v>
      </c>
    </row>
    <row r="520" spans="3:14" x14ac:dyDescent="0.3">
      <c r="C520" t="s">
        <v>41</v>
      </c>
      <c r="D520" t="s">
        <v>41</v>
      </c>
      <c r="K520">
        <v>0</v>
      </c>
      <c r="L520" t="s">
        <v>41</v>
      </c>
      <c r="M520" t="s">
        <v>972</v>
      </c>
      <c r="N520" t="s">
        <v>41</v>
      </c>
    </row>
    <row r="521" spans="3:14" x14ac:dyDescent="0.3">
      <c r="C521" t="s">
        <v>41</v>
      </c>
      <c r="D521" t="s">
        <v>41</v>
      </c>
      <c r="K521">
        <v>0</v>
      </c>
      <c r="L521" t="s">
        <v>41</v>
      </c>
      <c r="M521" t="s">
        <v>972</v>
      </c>
      <c r="N521" t="s">
        <v>41</v>
      </c>
    </row>
    <row r="522" spans="3:14" x14ac:dyDescent="0.3">
      <c r="C522" t="s">
        <v>41</v>
      </c>
      <c r="D522" t="s">
        <v>41</v>
      </c>
      <c r="K522">
        <v>0</v>
      </c>
      <c r="L522" t="s">
        <v>41</v>
      </c>
      <c r="M522" t="s">
        <v>972</v>
      </c>
      <c r="N522" t="s">
        <v>41</v>
      </c>
    </row>
    <row r="523" spans="3:14" x14ac:dyDescent="0.3">
      <c r="C523" t="s">
        <v>41</v>
      </c>
      <c r="D523" t="s">
        <v>41</v>
      </c>
      <c r="K523">
        <v>0</v>
      </c>
      <c r="L523" t="s">
        <v>41</v>
      </c>
      <c r="M523" t="s">
        <v>972</v>
      </c>
      <c r="N523" t="s">
        <v>41</v>
      </c>
    </row>
    <row r="524" spans="3:14" x14ac:dyDescent="0.3">
      <c r="C524" t="s">
        <v>41</v>
      </c>
      <c r="D524" t="s">
        <v>41</v>
      </c>
      <c r="K524">
        <v>0</v>
      </c>
      <c r="L524" t="s">
        <v>41</v>
      </c>
      <c r="M524" t="s">
        <v>972</v>
      </c>
      <c r="N524" t="s">
        <v>41</v>
      </c>
    </row>
    <row r="525" spans="3:14" x14ac:dyDescent="0.3">
      <c r="C525" t="s">
        <v>41</v>
      </c>
      <c r="D525" t="s">
        <v>41</v>
      </c>
      <c r="K525">
        <v>0</v>
      </c>
      <c r="L525" t="s">
        <v>41</v>
      </c>
      <c r="M525" t="s">
        <v>972</v>
      </c>
      <c r="N525" t="s">
        <v>41</v>
      </c>
    </row>
    <row r="526" spans="3:14" x14ac:dyDescent="0.3">
      <c r="C526" t="s">
        <v>41</v>
      </c>
      <c r="D526" t="s">
        <v>41</v>
      </c>
      <c r="K526">
        <v>0</v>
      </c>
      <c r="L526" t="s">
        <v>41</v>
      </c>
      <c r="M526" t="s">
        <v>972</v>
      </c>
      <c r="N526" t="s">
        <v>41</v>
      </c>
    </row>
    <row r="527" spans="3:14" x14ac:dyDescent="0.3">
      <c r="C527" t="s">
        <v>41</v>
      </c>
      <c r="D527" t="s">
        <v>41</v>
      </c>
      <c r="K527">
        <v>0</v>
      </c>
      <c r="L527" t="s">
        <v>41</v>
      </c>
      <c r="M527" t="s">
        <v>972</v>
      </c>
      <c r="N527" t="s">
        <v>41</v>
      </c>
    </row>
    <row r="528" spans="3:14" x14ac:dyDescent="0.3">
      <c r="C528" t="s">
        <v>41</v>
      </c>
      <c r="D528" t="s">
        <v>41</v>
      </c>
      <c r="K528">
        <v>0</v>
      </c>
      <c r="L528" t="s">
        <v>41</v>
      </c>
      <c r="M528" t="s">
        <v>972</v>
      </c>
      <c r="N528" t="s">
        <v>41</v>
      </c>
    </row>
    <row r="529" spans="3:14" x14ac:dyDescent="0.3">
      <c r="C529" t="s">
        <v>41</v>
      </c>
      <c r="D529" t="s">
        <v>41</v>
      </c>
      <c r="K529">
        <v>0</v>
      </c>
      <c r="L529" t="s">
        <v>41</v>
      </c>
      <c r="M529" t="s">
        <v>972</v>
      </c>
      <c r="N529" t="s">
        <v>41</v>
      </c>
    </row>
    <row r="530" spans="3:14" x14ac:dyDescent="0.3">
      <c r="C530" t="s">
        <v>41</v>
      </c>
      <c r="D530" t="s">
        <v>41</v>
      </c>
      <c r="K530">
        <v>0</v>
      </c>
      <c r="L530" t="s">
        <v>41</v>
      </c>
      <c r="M530" t="s">
        <v>972</v>
      </c>
      <c r="N530" t="s">
        <v>41</v>
      </c>
    </row>
    <row r="531" spans="3:14" x14ac:dyDescent="0.3">
      <c r="C531" t="s">
        <v>41</v>
      </c>
      <c r="D531" t="s">
        <v>41</v>
      </c>
      <c r="K531">
        <v>0</v>
      </c>
      <c r="L531" t="s">
        <v>41</v>
      </c>
      <c r="M531" t="s">
        <v>972</v>
      </c>
      <c r="N531" t="s">
        <v>41</v>
      </c>
    </row>
    <row r="532" spans="3:14" x14ac:dyDescent="0.3">
      <c r="C532" t="s">
        <v>41</v>
      </c>
      <c r="D532" t="s">
        <v>41</v>
      </c>
      <c r="K532">
        <v>0</v>
      </c>
      <c r="L532" t="s">
        <v>41</v>
      </c>
      <c r="M532" t="s">
        <v>972</v>
      </c>
      <c r="N532" t="s">
        <v>41</v>
      </c>
    </row>
    <row r="533" spans="3:14" x14ac:dyDescent="0.3">
      <c r="C533" t="s">
        <v>41</v>
      </c>
      <c r="D533" t="s">
        <v>41</v>
      </c>
      <c r="K533">
        <v>0</v>
      </c>
      <c r="L533" t="s">
        <v>41</v>
      </c>
      <c r="M533" t="s">
        <v>972</v>
      </c>
      <c r="N533" t="s">
        <v>41</v>
      </c>
    </row>
    <row r="534" spans="3:14" x14ac:dyDescent="0.3">
      <c r="C534" t="s">
        <v>41</v>
      </c>
      <c r="D534" t="s">
        <v>41</v>
      </c>
      <c r="K534">
        <v>0</v>
      </c>
      <c r="L534" t="s">
        <v>41</v>
      </c>
      <c r="M534" t="s">
        <v>972</v>
      </c>
      <c r="N534" t="s">
        <v>41</v>
      </c>
    </row>
    <row r="535" spans="3:14" x14ac:dyDescent="0.3">
      <c r="C535" t="s">
        <v>41</v>
      </c>
      <c r="D535" t="s">
        <v>41</v>
      </c>
      <c r="K535">
        <v>0</v>
      </c>
      <c r="L535" t="s">
        <v>41</v>
      </c>
      <c r="M535" t="s">
        <v>972</v>
      </c>
      <c r="N535" t="s">
        <v>41</v>
      </c>
    </row>
    <row r="536" spans="3:14" x14ac:dyDescent="0.3">
      <c r="C536" t="s">
        <v>41</v>
      </c>
      <c r="D536" t="s">
        <v>41</v>
      </c>
      <c r="K536">
        <v>0</v>
      </c>
      <c r="L536" t="s">
        <v>41</v>
      </c>
      <c r="M536" t="s">
        <v>972</v>
      </c>
      <c r="N536" t="s">
        <v>41</v>
      </c>
    </row>
    <row r="537" spans="3:14" x14ac:dyDescent="0.3">
      <c r="C537" t="s">
        <v>41</v>
      </c>
      <c r="D537" t="s">
        <v>41</v>
      </c>
      <c r="K537">
        <v>0</v>
      </c>
      <c r="L537" t="s">
        <v>41</v>
      </c>
      <c r="M537" t="s">
        <v>972</v>
      </c>
      <c r="N537" t="s">
        <v>41</v>
      </c>
    </row>
    <row r="538" spans="3:14" x14ac:dyDescent="0.3">
      <c r="C538" t="s">
        <v>41</v>
      </c>
      <c r="D538" t="s">
        <v>41</v>
      </c>
      <c r="K538">
        <v>0</v>
      </c>
      <c r="L538" t="s">
        <v>41</v>
      </c>
      <c r="M538" t="s">
        <v>972</v>
      </c>
      <c r="N538" t="s">
        <v>41</v>
      </c>
    </row>
    <row r="539" spans="3:14" x14ac:dyDescent="0.3">
      <c r="C539" t="s">
        <v>41</v>
      </c>
      <c r="D539" t="s">
        <v>41</v>
      </c>
      <c r="K539">
        <v>0</v>
      </c>
      <c r="L539" t="s">
        <v>41</v>
      </c>
      <c r="M539" t="s">
        <v>972</v>
      </c>
      <c r="N539" t="s">
        <v>41</v>
      </c>
    </row>
    <row r="540" spans="3:14" x14ac:dyDescent="0.3">
      <c r="C540" t="s">
        <v>41</v>
      </c>
      <c r="D540" t="s">
        <v>41</v>
      </c>
      <c r="K540">
        <v>0</v>
      </c>
      <c r="L540" t="s">
        <v>41</v>
      </c>
      <c r="M540" t="s">
        <v>972</v>
      </c>
      <c r="N540" t="s">
        <v>41</v>
      </c>
    </row>
    <row r="541" spans="3:14" x14ac:dyDescent="0.3">
      <c r="C541" t="s">
        <v>41</v>
      </c>
      <c r="D541" t="s">
        <v>41</v>
      </c>
      <c r="K541">
        <v>0</v>
      </c>
      <c r="L541" t="s">
        <v>41</v>
      </c>
      <c r="M541" t="s">
        <v>972</v>
      </c>
      <c r="N541" t="s">
        <v>41</v>
      </c>
    </row>
    <row r="542" spans="3:14" x14ac:dyDescent="0.3">
      <c r="C542" t="s">
        <v>41</v>
      </c>
      <c r="D542" t="s">
        <v>41</v>
      </c>
      <c r="K542">
        <v>0</v>
      </c>
      <c r="L542" t="s">
        <v>41</v>
      </c>
      <c r="M542" t="s">
        <v>972</v>
      </c>
      <c r="N542" t="s">
        <v>41</v>
      </c>
    </row>
    <row r="543" spans="3:14" x14ac:dyDescent="0.3">
      <c r="C543" t="s">
        <v>41</v>
      </c>
      <c r="D543" t="s">
        <v>41</v>
      </c>
      <c r="K543">
        <v>0</v>
      </c>
      <c r="L543" t="s">
        <v>41</v>
      </c>
      <c r="M543" t="s">
        <v>972</v>
      </c>
      <c r="N543" t="s">
        <v>41</v>
      </c>
    </row>
    <row r="544" spans="3:14" x14ac:dyDescent="0.3">
      <c r="C544" t="s">
        <v>41</v>
      </c>
      <c r="D544" t="s">
        <v>41</v>
      </c>
      <c r="K544">
        <v>0</v>
      </c>
      <c r="L544" t="s">
        <v>41</v>
      </c>
      <c r="M544" t="s">
        <v>972</v>
      </c>
      <c r="N544" t="s">
        <v>41</v>
      </c>
    </row>
    <row r="545" spans="3:14" x14ac:dyDescent="0.3">
      <c r="C545" t="s">
        <v>41</v>
      </c>
      <c r="D545" t="s">
        <v>41</v>
      </c>
      <c r="K545">
        <v>0</v>
      </c>
      <c r="L545" t="s">
        <v>41</v>
      </c>
      <c r="M545" t="s">
        <v>972</v>
      </c>
      <c r="N545" t="s">
        <v>41</v>
      </c>
    </row>
    <row r="546" spans="3:14" x14ac:dyDescent="0.3">
      <c r="C546" t="s">
        <v>41</v>
      </c>
      <c r="D546" t="s">
        <v>41</v>
      </c>
      <c r="K546">
        <v>0</v>
      </c>
      <c r="L546" t="s">
        <v>41</v>
      </c>
      <c r="M546" t="s">
        <v>972</v>
      </c>
      <c r="N546" t="s">
        <v>41</v>
      </c>
    </row>
    <row r="547" spans="3:14" x14ac:dyDescent="0.3">
      <c r="C547" t="s">
        <v>41</v>
      </c>
      <c r="D547" t="s">
        <v>41</v>
      </c>
      <c r="K547">
        <v>0</v>
      </c>
      <c r="L547" t="s">
        <v>41</v>
      </c>
      <c r="M547" t="s">
        <v>972</v>
      </c>
      <c r="N547" t="s">
        <v>41</v>
      </c>
    </row>
    <row r="548" spans="3:14" x14ac:dyDescent="0.3">
      <c r="C548" t="s">
        <v>41</v>
      </c>
      <c r="D548" t="s">
        <v>41</v>
      </c>
      <c r="K548">
        <v>0</v>
      </c>
      <c r="L548" t="s">
        <v>41</v>
      </c>
      <c r="M548" t="s">
        <v>972</v>
      </c>
      <c r="N548" t="s">
        <v>41</v>
      </c>
    </row>
    <row r="549" spans="3:14" x14ac:dyDescent="0.3">
      <c r="C549" t="s">
        <v>41</v>
      </c>
      <c r="D549" t="s">
        <v>41</v>
      </c>
      <c r="K549">
        <v>0</v>
      </c>
      <c r="L549" t="s">
        <v>41</v>
      </c>
      <c r="M549" t="s">
        <v>972</v>
      </c>
      <c r="N549" t="s">
        <v>41</v>
      </c>
    </row>
    <row r="550" spans="3:14" x14ac:dyDescent="0.3">
      <c r="C550" t="s">
        <v>41</v>
      </c>
      <c r="D550" t="s">
        <v>41</v>
      </c>
      <c r="K550">
        <v>0</v>
      </c>
      <c r="L550" t="s">
        <v>41</v>
      </c>
      <c r="M550" t="s">
        <v>972</v>
      </c>
      <c r="N550" t="s">
        <v>41</v>
      </c>
    </row>
    <row r="551" spans="3:14" x14ac:dyDescent="0.3">
      <c r="C551" t="s">
        <v>41</v>
      </c>
      <c r="D551" t="s">
        <v>41</v>
      </c>
      <c r="K551">
        <v>0</v>
      </c>
      <c r="L551" t="s">
        <v>41</v>
      </c>
      <c r="M551" t="s">
        <v>972</v>
      </c>
      <c r="N551" t="s">
        <v>41</v>
      </c>
    </row>
    <row r="552" spans="3:14" x14ac:dyDescent="0.3">
      <c r="C552" t="s">
        <v>41</v>
      </c>
      <c r="D552" t="s">
        <v>41</v>
      </c>
      <c r="K552">
        <v>0</v>
      </c>
      <c r="L552" t="s">
        <v>41</v>
      </c>
      <c r="M552" t="s">
        <v>972</v>
      </c>
      <c r="N552" t="s">
        <v>41</v>
      </c>
    </row>
    <row r="553" spans="3:14" x14ac:dyDescent="0.3">
      <c r="C553" t="s">
        <v>41</v>
      </c>
      <c r="D553" t="s">
        <v>41</v>
      </c>
      <c r="K553">
        <v>0</v>
      </c>
      <c r="L553" t="s">
        <v>41</v>
      </c>
      <c r="M553" t="s">
        <v>972</v>
      </c>
      <c r="N553" t="s">
        <v>41</v>
      </c>
    </row>
    <row r="554" spans="3:14" x14ac:dyDescent="0.3">
      <c r="C554" t="s">
        <v>41</v>
      </c>
      <c r="D554" t="s">
        <v>41</v>
      </c>
      <c r="K554">
        <v>0</v>
      </c>
      <c r="L554" t="s">
        <v>41</v>
      </c>
      <c r="M554" t="s">
        <v>972</v>
      </c>
      <c r="N554" t="s">
        <v>41</v>
      </c>
    </row>
    <row r="555" spans="3:14" x14ac:dyDescent="0.3">
      <c r="C555" t="s">
        <v>41</v>
      </c>
      <c r="D555" t="s">
        <v>41</v>
      </c>
      <c r="K555">
        <v>0</v>
      </c>
      <c r="L555" t="s">
        <v>41</v>
      </c>
      <c r="M555" t="s">
        <v>972</v>
      </c>
      <c r="N555" t="s">
        <v>41</v>
      </c>
    </row>
    <row r="556" spans="3:14" x14ac:dyDescent="0.3">
      <c r="C556" t="s">
        <v>41</v>
      </c>
      <c r="D556" t="s">
        <v>41</v>
      </c>
      <c r="K556">
        <v>0</v>
      </c>
      <c r="L556" t="s">
        <v>41</v>
      </c>
      <c r="M556" t="s">
        <v>972</v>
      </c>
      <c r="N556" t="s">
        <v>41</v>
      </c>
    </row>
    <row r="557" spans="3:14" x14ac:dyDescent="0.3">
      <c r="C557" t="s">
        <v>41</v>
      </c>
      <c r="D557" t="s">
        <v>41</v>
      </c>
      <c r="K557">
        <v>0</v>
      </c>
      <c r="L557" t="s">
        <v>41</v>
      </c>
      <c r="M557" t="s">
        <v>972</v>
      </c>
      <c r="N557" t="s">
        <v>41</v>
      </c>
    </row>
    <row r="558" spans="3:14" x14ac:dyDescent="0.3">
      <c r="C558" t="s">
        <v>41</v>
      </c>
      <c r="D558" t="s">
        <v>41</v>
      </c>
      <c r="K558">
        <v>0</v>
      </c>
      <c r="L558" t="s">
        <v>41</v>
      </c>
      <c r="M558" t="s">
        <v>972</v>
      </c>
      <c r="N558" t="s">
        <v>41</v>
      </c>
    </row>
    <row r="559" spans="3:14" x14ac:dyDescent="0.3">
      <c r="C559" t="s">
        <v>41</v>
      </c>
      <c r="D559" t="s">
        <v>41</v>
      </c>
      <c r="K559">
        <v>0</v>
      </c>
      <c r="L559" t="s">
        <v>41</v>
      </c>
      <c r="M559" t="s">
        <v>972</v>
      </c>
      <c r="N559" t="s">
        <v>41</v>
      </c>
    </row>
    <row r="560" spans="3:14" x14ac:dyDescent="0.3">
      <c r="C560" t="s">
        <v>41</v>
      </c>
      <c r="D560" t="s">
        <v>41</v>
      </c>
      <c r="K560">
        <v>0</v>
      </c>
      <c r="L560" t="s">
        <v>41</v>
      </c>
      <c r="M560" t="s">
        <v>972</v>
      </c>
      <c r="N560" t="s">
        <v>41</v>
      </c>
    </row>
    <row r="561" spans="3:14" x14ac:dyDescent="0.3">
      <c r="C561" t="s">
        <v>41</v>
      </c>
      <c r="D561" t="s">
        <v>41</v>
      </c>
      <c r="K561">
        <v>0</v>
      </c>
      <c r="L561" t="s">
        <v>41</v>
      </c>
      <c r="M561" t="s">
        <v>972</v>
      </c>
      <c r="N561" t="s">
        <v>41</v>
      </c>
    </row>
    <row r="562" spans="3:14" x14ac:dyDescent="0.3">
      <c r="C562" t="s">
        <v>41</v>
      </c>
      <c r="D562" t="s">
        <v>41</v>
      </c>
      <c r="K562">
        <v>0</v>
      </c>
      <c r="L562" t="s">
        <v>41</v>
      </c>
      <c r="M562" t="s">
        <v>972</v>
      </c>
      <c r="N562" t="s">
        <v>41</v>
      </c>
    </row>
    <row r="563" spans="3:14" x14ac:dyDescent="0.3">
      <c r="C563" t="s">
        <v>41</v>
      </c>
      <c r="D563" t="s">
        <v>41</v>
      </c>
      <c r="K563">
        <v>0</v>
      </c>
      <c r="L563" t="s">
        <v>41</v>
      </c>
      <c r="M563" t="s">
        <v>972</v>
      </c>
      <c r="N563" t="s">
        <v>41</v>
      </c>
    </row>
    <row r="564" spans="3:14" x14ac:dyDescent="0.3">
      <c r="C564" t="s">
        <v>41</v>
      </c>
      <c r="D564" t="s">
        <v>41</v>
      </c>
      <c r="K564">
        <v>0</v>
      </c>
      <c r="L564" t="s">
        <v>41</v>
      </c>
      <c r="M564" t="s">
        <v>972</v>
      </c>
      <c r="N564" t="s">
        <v>41</v>
      </c>
    </row>
    <row r="565" spans="3:14" x14ac:dyDescent="0.3">
      <c r="C565" t="s">
        <v>41</v>
      </c>
      <c r="D565" t="s">
        <v>41</v>
      </c>
      <c r="K565">
        <v>0</v>
      </c>
      <c r="L565" t="s">
        <v>41</v>
      </c>
      <c r="M565" t="s">
        <v>972</v>
      </c>
      <c r="N565" t="s">
        <v>41</v>
      </c>
    </row>
    <row r="566" spans="3:14" x14ac:dyDescent="0.3">
      <c r="C566" t="s">
        <v>41</v>
      </c>
      <c r="D566" t="s">
        <v>41</v>
      </c>
      <c r="K566">
        <v>0</v>
      </c>
      <c r="L566" t="s">
        <v>41</v>
      </c>
      <c r="M566" t="s">
        <v>972</v>
      </c>
      <c r="N566" t="s">
        <v>41</v>
      </c>
    </row>
    <row r="567" spans="3:14" x14ac:dyDescent="0.3">
      <c r="C567" t="s">
        <v>41</v>
      </c>
      <c r="D567" t="s">
        <v>41</v>
      </c>
      <c r="K567">
        <v>0</v>
      </c>
      <c r="L567" t="s">
        <v>41</v>
      </c>
      <c r="M567" t="s">
        <v>972</v>
      </c>
      <c r="N567" t="s">
        <v>41</v>
      </c>
    </row>
    <row r="568" spans="3:14" x14ac:dyDescent="0.3">
      <c r="C568" t="s">
        <v>41</v>
      </c>
      <c r="D568" t="s">
        <v>41</v>
      </c>
      <c r="K568">
        <v>0</v>
      </c>
      <c r="L568" t="s">
        <v>41</v>
      </c>
      <c r="M568" t="s">
        <v>972</v>
      </c>
      <c r="N568" t="s">
        <v>41</v>
      </c>
    </row>
    <row r="569" spans="3:14" x14ac:dyDescent="0.3">
      <c r="C569" t="s">
        <v>41</v>
      </c>
      <c r="D569" t="s">
        <v>41</v>
      </c>
      <c r="K569">
        <v>0</v>
      </c>
      <c r="L569" t="s">
        <v>41</v>
      </c>
      <c r="M569" t="s">
        <v>972</v>
      </c>
      <c r="N569" t="s">
        <v>41</v>
      </c>
    </row>
    <row r="570" spans="3:14" x14ac:dyDescent="0.3">
      <c r="C570" t="s">
        <v>41</v>
      </c>
      <c r="D570" t="s">
        <v>41</v>
      </c>
      <c r="K570">
        <v>0</v>
      </c>
      <c r="L570" t="s">
        <v>41</v>
      </c>
      <c r="M570" t="s">
        <v>972</v>
      </c>
      <c r="N570" t="s">
        <v>41</v>
      </c>
    </row>
    <row r="571" spans="3:14" x14ac:dyDescent="0.3">
      <c r="C571" t="s">
        <v>41</v>
      </c>
      <c r="D571" t="s">
        <v>41</v>
      </c>
      <c r="K571">
        <v>0</v>
      </c>
      <c r="L571" t="s">
        <v>41</v>
      </c>
      <c r="M571" t="s">
        <v>972</v>
      </c>
      <c r="N571" t="s">
        <v>41</v>
      </c>
    </row>
    <row r="572" spans="3:14" x14ac:dyDescent="0.3">
      <c r="C572" t="s">
        <v>41</v>
      </c>
      <c r="D572" t="s">
        <v>41</v>
      </c>
      <c r="K572">
        <v>0</v>
      </c>
      <c r="L572" t="s">
        <v>41</v>
      </c>
      <c r="M572" t="s">
        <v>972</v>
      </c>
      <c r="N572" t="s">
        <v>41</v>
      </c>
    </row>
    <row r="573" spans="3:14" x14ac:dyDescent="0.3">
      <c r="C573" t="s">
        <v>41</v>
      </c>
      <c r="D573" t="s">
        <v>41</v>
      </c>
      <c r="K573">
        <v>0</v>
      </c>
      <c r="L573" t="s">
        <v>41</v>
      </c>
      <c r="M573" t="s">
        <v>972</v>
      </c>
      <c r="N573" t="s">
        <v>41</v>
      </c>
    </row>
    <row r="574" spans="3:14" x14ac:dyDescent="0.3">
      <c r="C574" t="s">
        <v>41</v>
      </c>
      <c r="D574" t="s">
        <v>41</v>
      </c>
      <c r="K574">
        <v>0</v>
      </c>
      <c r="L574" t="s">
        <v>41</v>
      </c>
      <c r="M574" t="s">
        <v>972</v>
      </c>
      <c r="N574" t="s">
        <v>41</v>
      </c>
    </row>
    <row r="575" spans="3:14" x14ac:dyDescent="0.3">
      <c r="C575" t="s">
        <v>41</v>
      </c>
      <c r="D575" t="s">
        <v>41</v>
      </c>
      <c r="K575">
        <v>0</v>
      </c>
      <c r="L575" t="s">
        <v>41</v>
      </c>
      <c r="M575" t="s">
        <v>972</v>
      </c>
      <c r="N575" t="s">
        <v>41</v>
      </c>
    </row>
    <row r="576" spans="3:14" x14ac:dyDescent="0.3">
      <c r="C576" t="s">
        <v>41</v>
      </c>
      <c r="D576" t="s">
        <v>41</v>
      </c>
      <c r="K576">
        <v>0</v>
      </c>
      <c r="L576" t="s">
        <v>41</v>
      </c>
      <c r="M576" t="s">
        <v>972</v>
      </c>
      <c r="N576" t="s">
        <v>41</v>
      </c>
    </row>
    <row r="577" spans="3:14" x14ac:dyDescent="0.3">
      <c r="C577" t="s">
        <v>41</v>
      </c>
      <c r="D577" t="s">
        <v>41</v>
      </c>
      <c r="K577">
        <v>0</v>
      </c>
      <c r="L577" t="s">
        <v>41</v>
      </c>
      <c r="M577" t="s">
        <v>972</v>
      </c>
      <c r="N577" t="s">
        <v>41</v>
      </c>
    </row>
    <row r="578" spans="3:14" x14ac:dyDescent="0.3">
      <c r="C578" t="s">
        <v>41</v>
      </c>
      <c r="D578" t="s">
        <v>41</v>
      </c>
      <c r="K578">
        <v>0</v>
      </c>
      <c r="L578" t="s">
        <v>41</v>
      </c>
      <c r="M578" t="s">
        <v>972</v>
      </c>
      <c r="N578" t="s">
        <v>41</v>
      </c>
    </row>
    <row r="579" spans="3:14" x14ac:dyDescent="0.3">
      <c r="C579" t="s">
        <v>41</v>
      </c>
      <c r="D579" t="s">
        <v>41</v>
      </c>
      <c r="K579">
        <v>0</v>
      </c>
      <c r="L579" t="s">
        <v>41</v>
      </c>
      <c r="M579" t="s">
        <v>972</v>
      </c>
      <c r="N579" t="s">
        <v>41</v>
      </c>
    </row>
    <row r="580" spans="3:14" x14ac:dyDescent="0.3">
      <c r="C580" t="s">
        <v>41</v>
      </c>
      <c r="D580" t="s">
        <v>41</v>
      </c>
      <c r="K580">
        <v>0</v>
      </c>
      <c r="L580" t="s">
        <v>41</v>
      </c>
      <c r="M580" t="s">
        <v>972</v>
      </c>
      <c r="N580" t="s">
        <v>41</v>
      </c>
    </row>
    <row r="581" spans="3:14" x14ac:dyDescent="0.3">
      <c r="C581" t="s">
        <v>41</v>
      </c>
      <c r="D581" t="s">
        <v>41</v>
      </c>
      <c r="K581">
        <v>0</v>
      </c>
      <c r="L581" t="s">
        <v>41</v>
      </c>
      <c r="M581" t="s">
        <v>972</v>
      </c>
      <c r="N581" t="s">
        <v>41</v>
      </c>
    </row>
    <row r="582" spans="3:14" x14ac:dyDescent="0.3">
      <c r="C582" t="s">
        <v>41</v>
      </c>
      <c r="D582" t="s">
        <v>41</v>
      </c>
      <c r="K582">
        <v>0</v>
      </c>
      <c r="L582" t="s">
        <v>41</v>
      </c>
      <c r="M582" t="s">
        <v>972</v>
      </c>
      <c r="N582" t="s">
        <v>41</v>
      </c>
    </row>
    <row r="583" spans="3:14" x14ac:dyDescent="0.3">
      <c r="C583" t="s">
        <v>41</v>
      </c>
      <c r="D583" t="s">
        <v>41</v>
      </c>
      <c r="K583">
        <v>0</v>
      </c>
      <c r="L583" t="s">
        <v>41</v>
      </c>
      <c r="M583" t="s">
        <v>972</v>
      </c>
      <c r="N583" t="s">
        <v>41</v>
      </c>
    </row>
    <row r="584" spans="3:14" x14ac:dyDescent="0.3">
      <c r="C584" t="s">
        <v>41</v>
      </c>
      <c r="D584" t="s">
        <v>41</v>
      </c>
      <c r="K584">
        <v>0</v>
      </c>
      <c r="L584" t="s">
        <v>41</v>
      </c>
      <c r="M584" t="s">
        <v>972</v>
      </c>
      <c r="N584" t="s">
        <v>41</v>
      </c>
    </row>
    <row r="585" spans="3:14" x14ac:dyDescent="0.3">
      <c r="C585" t="s">
        <v>41</v>
      </c>
      <c r="D585" t="s">
        <v>41</v>
      </c>
      <c r="K585">
        <v>0</v>
      </c>
      <c r="L585" t="s">
        <v>41</v>
      </c>
      <c r="M585" t="s">
        <v>972</v>
      </c>
      <c r="N585" t="s">
        <v>41</v>
      </c>
    </row>
    <row r="586" spans="3:14" x14ac:dyDescent="0.3">
      <c r="C586" t="s">
        <v>41</v>
      </c>
      <c r="D586" t="s">
        <v>41</v>
      </c>
      <c r="K586">
        <v>0</v>
      </c>
      <c r="L586" t="s">
        <v>41</v>
      </c>
      <c r="M586" t="s">
        <v>972</v>
      </c>
      <c r="N586" t="s">
        <v>41</v>
      </c>
    </row>
    <row r="587" spans="3:14" x14ac:dyDescent="0.3">
      <c r="C587" t="s">
        <v>41</v>
      </c>
      <c r="D587" t="s">
        <v>41</v>
      </c>
      <c r="K587">
        <v>0</v>
      </c>
      <c r="L587" t="s">
        <v>41</v>
      </c>
      <c r="M587" t="s">
        <v>972</v>
      </c>
      <c r="N587" t="s">
        <v>41</v>
      </c>
    </row>
    <row r="588" spans="3:14" x14ac:dyDescent="0.3">
      <c r="C588" t="s">
        <v>41</v>
      </c>
      <c r="D588" t="s">
        <v>41</v>
      </c>
      <c r="K588">
        <v>0</v>
      </c>
      <c r="L588" t="s">
        <v>41</v>
      </c>
      <c r="M588" t="s">
        <v>972</v>
      </c>
      <c r="N588" t="s">
        <v>41</v>
      </c>
    </row>
    <row r="589" spans="3:14" x14ac:dyDescent="0.3">
      <c r="C589" t="s">
        <v>41</v>
      </c>
      <c r="D589" t="s">
        <v>41</v>
      </c>
      <c r="K589">
        <v>0</v>
      </c>
      <c r="L589" t="s">
        <v>41</v>
      </c>
      <c r="M589" t="s">
        <v>972</v>
      </c>
      <c r="N589" t="s">
        <v>41</v>
      </c>
    </row>
    <row r="590" spans="3:14" x14ac:dyDescent="0.3">
      <c r="C590" t="s">
        <v>41</v>
      </c>
      <c r="D590" t="s">
        <v>41</v>
      </c>
      <c r="K590">
        <v>0</v>
      </c>
      <c r="L590" t="s">
        <v>41</v>
      </c>
      <c r="M590" t="s">
        <v>972</v>
      </c>
      <c r="N590" t="s">
        <v>41</v>
      </c>
    </row>
    <row r="591" spans="3:14" x14ac:dyDescent="0.3">
      <c r="C591" t="s">
        <v>41</v>
      </c>
      <c r="D591" t="s">
        <v>41</v>
      </c>
      <c r="K591">
        <v>0</v>
      </c>
      <c r="L591" t="s">
        <v>41</v>
      </c>
      <c r="M591" t="s">
        <v>972</v>
      </c>
      <c r="N591" t="s">
        <v>41</v>
      </c>
    </row>
    <row r="592" spans="3:14" x14ac:dyDescent="0.3">
      <c r="C592" t="s">
        <v>41</v>
      </c>
      <c r="D592" t="s">
        <v>41</v>
      </c>
      <c r="K592">
        <v>0</v>
      </c>
      <c r="L592" t="s">
        <v>41</v>
      </c>
      <c r="M592" t="s">
        <v>972</v>
      </c>
      <c r="N592" t="s">
        <v>41</v>
      </c>
    </row>
    <row r="593" spans="3:14" x14ac:dyDescent="0.3">
      <c r="C593" t="s">
        <v>41</v>
      </c>
      <c r="D593" t="s">
        <v>41</v>
      </c>
      <c r="K593">
        <v>0</v>
      </c>
      <c r="L593" t="s">
        <v>41</v>
      </c>
      <c r="M593" t="s">
        <v>972</v>
      </c>
      <c r="N593" t="s">
        <v>41</v>
      </c>
    </row>
    <row r="594" spans="3:14" x14ac:dyDescent="0.3">
      <c r="C594" t="s">
        <v>41</v>
      </c>
      <c r="D594" t="s">
        <v>41</v>
      </c>
      <c r="K594">
        <v>0</v>
      </c>
      <c r="L594" t="s">
        <v>41</v>
      </c>
      <c r="M594" t="s">
        <v>972</v>
      </c>
      <c r="N594" t="s">
        <v>41</v>
      </c>
    </row>
    <row r="595" spans="3:14" x14ac:dyDescent="0.3">
      <c r="C595" t="s">
        <v>41</v>
      </c>
      <c r="D595" t="s">
        <v>41</v>
      </c>
      <c r="K595">
        <v>0</v>
      </c>
      <c r="L595" t="s">
        <v>41</v>
      </c>
      <c r="M595" t="s">
        <v>972</v>
      </c>
      <c r="N595" t="s">
        <v>41</v>
      </c>
    </row>
    <row r="596" spans="3:14" x14ac:dyDescent="0.3">
      <c r="C596" t="s">
        <v>41</v>
      </c>
      <c r="D596" t="s">
        <v>41</v>
      </c>
      <c r="K596">
        <v>0</v>
      </c>
      <c r="L596" t="s">
        <v>41</v>
      </c>
      <c r="M596" t="s">
        <v>972</v>
      </c>
      <c r="N596" t="s">
        <v>41</v>
      </c>
    </row>
    <row r="597" spans="3:14" x14ac:dyDescent="0.3">
      <c r="C597" t="s">
        <v>41</v>
      </c>
      <c r="D597" t="s">
        <v>41</v>
      </c>
      <c r="K597">
        <v>0</v>
      </c>
      <c r="L597" t="s">
        <v>41</v>
      </c>
      <c r="M597" t="s">
        <v>972</v>
      </c>
      <c r="N597" t="s">
        <v>41</v>
      </c>
    </row>
    <row r="598" spans="3:14" x14ac:dyDescent="0.3">
      <c r="C598" t="s">
        <v>41</v>
      </c>
      <c r="D598" t="s">
        <v>41</v>
      </c>
      <c r="K598">
        <v>0</v>
      </c>
      <c r="L598" t="s">
        <v>41</v>
      </c>
      <c r="M598" t="s">
        <v>972</v>
      </c>
      <c r="N598" t="s">
        <v>41</v>
      </c>
    </row>
    <row r="599" spans="3:14" x14ac:dyDescent="0.3">
      <c r="C599" t="s">
        <v>41</v>
      </c>
      <c r="D599" t="s">
        <v>41</v>
      </c>
      <c r="K599">
        <v>0</v>
      </c>
      <c r="L599" t="s">
        <v>41</v>
      </c>
      <c r="M599" t="s">
        <v>972</v>
      </c>
      <c r="N599" t="s">
        <v>41</v>
      </c>
    </row>
    <row r="600" spans="3:14" x14ac:dyDescent="0.3">
      <c r="C600" t="s">
        <v>41</v>
      </c>
      <c r="D600" t="s">
        <v>41</v>
      </c>
      <c r="K600">
        <v>0</v>
      </c>
      <c r="L600" t="s">
        <v>41</v>
      </c>
      <c r="M600" t="s">
        <v>972</v>
      </c>
      <c r="N600" t="s">
        <v>41</v>
      </c>
    </row>
    <row r="601" spans="3:14" x14ac:dyDescent="0.3">
      <c r="C601" t="s">
        <v>41</v>
      </c>
      <c r="D601" t="s">
        <v>41</v>
      </c>
      <c r="K601">
        <v>0</v>
      </c>
      <c r="L601" t="s">
        <v>41</v>
      </c>
      <c r="M601" t="s">
        <v>972</v>
      </c>
      <c r="N601" t="s">
        <v>41</v>
      </c>
    </row>
    <row r="602" spans="3:14" x14ac:dyDescent="0.3">
      <c r="C602" t="s">
        <v>41</v>
      </c>
      <c r="D602" t="s">
        <v>41</v>
      </c>
      <c r="K602">
        <v>0</v>
      </c>
      <c r="L602" t="s">
        <v>41</v>
      </c>
      <c r="M602" t="s">
        <v>972</v>
      </c>
      <c r="N602" t="s">
        <v>41</v>
      </c>
    </row>
    <row r="603" spans="3:14" x14ac:dyDescent="0.3">
      <c r="C603" t="s">
        <v>41</v>
      </c>
      <c r="D603" t="s">
        <v>41</v>
      </c>
      <c r="K603">
        <v>0</v>
      </c>
      <c r="L603" t="s">
        <v>41</v>
      </c>
      <c r="M603" t="s">
        <v>972</v>
      </c>
      <c r="N603" t="s">
        <v>41</v>
      </c>
    </row>
    <row r="604" spans="3:14" x14ac:dyDescent="0.3">
      <c r="C604" t="s">
        <v>41</v>
      </c>
      <c r="D604" t="s">
        <v>41</v>
      </c>
      <c r="K604">
        <v>0</v>
      </c>
      <c r="L604" t="s">
        <v>41</v>
      </c>
      <c r="M604" t="s">
        <v>972</v>
      </c>
      <c r="N604" t="s">
        <v>41</v>
      </c>
    </row>
    <row r="605" spans="3:14" x14ac:dyDescent="0.3">
      <c r="C605" t="s">
        <v>41</v>
      </c>
      <c r="D605" t="s">
        <v>41</v>
      </c>
      <c r="K605">
        <v>0</v>
      </c>
      <c r="L605" t="s">
        <v>41</v>
      </c>
      <c r="M605" t="s">
        <v>972</v>
      </c>
      <c r="N605" t="s">
        <v>41</v>
      </c>
    </row>
    <row r="606" spans="3:14" x14ac:dyDescent="0.3">
      <c r="C606" t="s">
        <v>41</v>
      </c>
      <c r="D606" t="s">
        <v>41</v>
      </c>
      <c r="K606">
        <v>0</v>
      </c>
      <c r="L606" t="s">
        <v>41</v>
      </c>
      <c r="M606" t="s">
        <v>972</v>
      </c>
      <c r="N606" t="s">
        <v>41</v>
      </c>
    </row>
    <row r="607" spans="3:14" x14ac:dyDescent="0.3">
      <c r="C607" t="s">
        <v>41</v>
      </c>
      <c r="D607" t="s">
        <v>41</v>
      </c>
      <c r="K607">
        <v>0</v>
      </c>
      <c r="L607" t="s">
        <v>41</v>
      </c>
      <c r="M607" t="s">
        <v>972</v>
      </c>
      <c r="N607" t="s">
        <v>41</v>
      </c>
    </row>
    <row r="608" spans="3:14" x14ac:dyDescent="0.3">
      <c r="C608" t="s">
        <v>41</v>
      </c>
      <c r="D608" t="s">
        <v>41</v>
      </c>
      <c r="K608">
        <v>0</v>
      </c>
      <c r="L608" t="s">
        <v>41</v>
      </c>
      <c r="M608" t="s">
        <v>972</v>
      </c>
      <c r="N608" t="s">
        <v>41</v>
      </c>
    </row>
    <row r="609" spans="3:14" x14ac:dyDescent="0.3">
      <c r="C609" t="s">
        <v>41</v>
      </c>
      <c r="D609" t="s">
        <v>41</v>
      </c>
      <c r="K609">
        <v>0</v>
      </c>
      <c r="L609" t="s">
        <v>41</v>
      </c>
      <c r="M609" t="s">
        <v>972</v>
      </c>
      <c r="N609" t="s">
        <v>41</v>
      </c>
    </row>
    <row r="610" spans="3:14" x14ac:dyDescent="0.3">
      <c r="C610" t="s">
        <v>41</v>
      </c>
      <c r="D610" t="s">
        <v>41</v>
      </c>
      <c r="K610">
        <v>0</v>
      </c>
      <c r="L610" t="s">
        <v>41</v>
      </c>
      <c r="M610" t="s">
        <v>972</v>
      </c>
      <c r="N610" t="s">
        <v>41</v>
      </c>
    </row>
    <row r="611" spans="3:14" x14ac:dyDescent="0.3">
      <c r="C611" t="s">
        <v>41</v>
      </c>
      <c r="D611" t="s">
        <v>41</v>
      </c>
      <c r="K611">
        <v>0</v>
      </c>
      <c r="L611" t="s">
        <v>41</v>
      </c>
      <c r="M611" t="s">
        <v>972</v>
      </c>
      <c r="N611" t="s">
        <v>41</v>
      </c>
    </row>
    <row r="612" spans="3:14" x14ac:dyDescent="0.3">
      <c r="C612" t="s">
        <v>41</v>
      </c>
      <c r="D612" t="s">
        <v>41</v>
      </c>
      <c r="K612">
        <v>0</v>
      </c>
      <c r="L612" t="s">
        <v>41</v>
      </c>
      <c r="M612" t="s">
        <v>972</v>
      </c>
      <c r="N612" t="s">
        <v>41</v>
      </c>
    </row>
    <row r="613" spans="3:14" x14ac:dyDescent="0.3">
      <c r="C613" t="s">
        <v>41</v>
      </c>
      <c r="D613" t="s">
        <v>41</v>
      </c>
      <c r="K613">
        <v>0</v>
      </c>
      <c r="L613" t="s">
        <v>41</v>
      </c>
      <c r="M613" t="s">
        <v>972</v>
      </c>
      <c r="N613" t="s">
        <v>41</v>
      </c>
    </row>
    <row r="614" spans="3:14" x14ac:dyDescent="0.3">
      <c r="C614" t="s">
        <v>41</v>
      </c>
      <c r="D614" t="s">
        <v>41</v>
      </c>
      <c r="K614">
        <v>0</v>
      </c>
      <c r="L614" t="s">
        <v>41</v>
      </c>
      <c r="M614" t="s">
        <v>972</v>
      </c>
      <c r="N614" t="s">
        <v>41</v>
      </c>
    </row>
    <row r="615" spans="3:14" x14ac:dyDescent="0.3">
      <c r="C615" t="s">
        <v>41</v>
      </c>
      <c r="D615" t="s">
        <v>41</v>
      </c>
      <c r="K615">
        <v>0</v>
      </c>
      <c r="L615" t="s">
        <v>41</v>
      </c>
      <c r="M615" t="s">
        <v>972</v>
      </c>
      <c r="N615" t="s">
        <v>41</v>
      </c>
    </row>
    <row r="616" spans="3:14" x14ac:dyDescent="0.3">
      <c r="C616" t="s">
        <v>41</v>
      </c>
      <c r="D616" t="s">
        <v>41</v>
      </c>
      <c r="K616">
        <v>0</v>
      </c>
      <c r="L616" t="s">
        <v>41</v>
      </c>
      <c r="M616" t="s">
        <v>972</v>
      </c>
      <c r="N616" t="s">
        <v>41</v>
      </c>
    </row>
    <row r="617" spans="3:14" x14ac:dyDescent="0.3">
      <c r="C617" t="s">
        <v>41</v>
      </c>
      <c r="D617" t="s">
        <v>41</v>
      </c>
      <c r="K617">
        <v>0</v>
      </c>
      <c r="L617" t="s">
        <v>41</v>
      </c>
      <c r="M617" t="s">
        <v>972</v>
      </c>
      <c r="N617" t="s">
        <v>41</v>
      </c>
    </row>
    <row r="618" spans="3:14" x14ac:dyDescent="0.3">
      <c r="C618" t="s">
        <v>41</v>
      </c>
      <c r="D618" t="s">
        <v>41</v>
      </c>
      <c r="K618">
        <v>0</v>
      </c>
      <c r="L618" t="s">
        <v>41</v>
      </c>
      <c r="M618" t="s">
        <v>972</v>
      </c>
      <c r="N618" t="s">
        <v>41</v>
      </c>
    </row>
    <row r="619" spans="3:14" x14ac:dyDescent="0.3">
      <c r="C619" t="s">
        <v>41</v>
      </c>
      <c r="D619" t="s">
        <v>41</v>
      </c>
      <c r="K619">
        <v>0</v>
      </c>
      <c r="L619" t="s">
        <v>41</v>
      </c>
      <c r="M619" t="s">
        <v>972</v>
      </c>
      <c r="N619" t="s">
        <v>41</v>
      </c>
    </row>
    <row r="620" spans="3:14" x14ac:dyDescent="0.3">
      <c r="C620" t="s">
        <v>41</v>
      </c>
      <c r="D620" t="s">
        <v>41</v>
      </c>
      <c r="K620">
        <v>0</v>
      </c>
      <c r="L620" t="s">
        <v>41</v>
      </c>
      <c r="M620" t="s">
        <v>972</v>
      </c>
      <c r="N620" t="s">
        <v>41</v>
      </c>
    </row>
    <row r="621" spans="3:14" x14ac:dyDescent="0.3">
      <c r="C621" t="s">
        <v>41</v>
      </c>
      <c r="D621" t="s">
        <v>41</v>
      </c>
      <c r="K621">
        <v>0</v>
      </c>
      <c r="L621" t="s">
        <v>41</v>
      </c>
      <c r="M621" t="s">
        <v>972</v>
      </c>
      <c r="N621" t="s">
        <v>41</v>
      </c>
    </row>
    <row r="622" spans="3:14" x14ac:dyDescent="0.3">
      <c r="C622" t="s">
        <v>41</v>
      </c>
      <c r="D622" t="s">
        <v>41</v>
      </c>
      <c r="K622">
        <v>0</v>
      </c>
      <c r="L622" t="s">
        <v>41</v>
      </c>
      <c r="M622" t="s">
        <v>972</v>
      </c>
      <c r="N622" t="s">
        <v>41</v>
      </c>
    </row>
    <row r="623" spans="3:14" x14ac:dyDescent="0.3">
      <c r="C623" t="s">
        <v>41</v>
      </c>
      <c r="D623" t="s">
        <v>41</v>
      </c>
      <c r="K623">
        <v>0</v>
      </c>
      <c r="L623" t="s">
        <v>41</v>
      </c>
      <c r="M623" t="s">
        <v>972</v>
      </c>
      <c r="N623" t="s">
        <v>41</v>
      </c>
    </row>
    <row r="624" spans="3:14" x14ac:dyDescent="0.3">
      <c r="C624" t="s">
        <v>41</v>
      </c>
      <c r="D624" t="s">
        <v>41</v>
      </c>
      <c r="K624">
        <v>0</v>
      </c>
      <c r="L624" t="s">
        <v>41</v>
      </c>
      <c r="M624" t="s">
        <v>972</v>
      </c>
      <c r="N624" t="s">
        <v>41</v>
      </c>
    </row>
    <row r="625" spans="3:14" x14ac:dyDescent="0.3">
      <c r="C625" t="s">
        <v>41</v>
      </c>
      <c r="D625" t="s">
        <v>41</v>
      </c>
      <c r="K625">
        <v>0</v>
      </c>
      <c r="L625" t="s">
        <v>41</v>
      </c>
      <c r="M625" t="s">
        <v>972</v>
      </c>
      <c r="N625" t="s">
        <v>41</v>
      </c>
    </row>
    <row r="626" spans="3:14" x14ac:dyDescent="0.3">
      <c r="C626" t="s">
        <v>41</v>
      </c>
      <c r="D626" t="s">
        <v>41</v>
      </c>
      <c r="K626">
        <v>0</v>
      </c>
      <c r="L626" t="s">
        <v>41</v>
      </c>
      <c r="M626" t="s">
        <v>972</v>
      </c>
      <c r="N626" t="s">
        <v>41</v>
      </c>
    </row>
    <row r="627" spans="3:14" x14ac:dyDescent="0.3">
      <c r="C627" t="s">
        <v>41</v>
      </c>
      <c r="D627" t="s">
        <v>41</v>
      </c>
      <c r="K627">
        <v>0</v>
      </c>
      <c r="L627" t="s">
        <v>41</v>
      </c>
      <c r="M627" t="s">
        <v>972</v>
      </c>
      <c r="N627" t="s">
        <v>41</v>
      </c>
    </row>
    <row r="628" spans="3:14" x14ac:dyDescent="0.3">
      <c r="C628" t="s">
        <v>41</v>
      </c>
      <c r="D628" t="s">
        <v>41</v>
      </c>
      <c r="K628">
        <v>0</v>
      </c>
      <c r="L628" t="s">
        <v>41</v>
      </c>
      <c r="M628" t="s">
        <v>972</v>
      </c>
      <c r="N628" t="s">
        <v>41</v>
      </c>
    </row>
    <row r="629" spans="3:14" x14ac:dyDescent="0.3">
      <c r="C629" t="s">
        <v>41</v>
      </c>
      <c r="D629" t="s">
        <v>41</v>
      </c>
      <c r="K629">
        <v>0</v>
      </c>
      <c r="L629" t="s">
        <v>41</v>
      </c>
      <c r="M629" t="s">
        <v>972</v>
      </c>
      <c r="N629" t="s">
        <v>41</v>
      </c>
    </row>
    <row r="630" spans="3:14" x14ac:dyDescent="0.3">
      <c r="C630" t="s">
        <v>41</v>
      </c>
      <c r="D630" t="s">
        <v>41</v>
      </c>
      <c r="K630">
        <v>0</v>
      </c>
      <c r="L630" t="s">
        <v>41</v>
      </c>
      <c r="M630" t="s">
        <v>972</v>
      </c>
      <c r="N630" t="s">
        <v>41</v>
      </c>
    </row>
    <row r="631" spans="3:14" x14ac:dyDescent="0.3">
      <c r="C631" t="s">
        <v>41</v>
      </c>
      <c r="D631" t="s">
        <v>41</v>
      </c>
      <c r="K631">
        <v>0</v>
      </c>
      <c r="L631" t="s">
        <v>41</v>
      </c>
      <c r="M631" t="s">
        <v>972</v>
      </c>
      <c r="N631" t="s">
        <v>41</v>
      </c>
    </row>
    <row r="632" spans="3:14" x14ac:dyDescent="0.3">
      <c r="C632" t="s">
        <v>41</v>
      </c>
      <c r="D632" t="s">
        <v>41</v>
      </c>
      <c r="K632">
        <v>0</v>
      </c>
      <c r="L632" t="s">
        <v>41</v>
      </c>
      <c r="M632" t="s">
        <v>972</v>
      </c>
      <c r="N632" t="s">
        <v>41</v>
      </c>
    </row>
    <row r="633" spans="3:14" x14ac:dyDescent="0.3">
      <c r="C633" t="s">
        <v>41</v>
      </c>
      <c r="D633" t="s">
        <v>41</v>
      </c>
      <c r="K633">
        <v>0</v>
      </c>
      <c r="L633" t="s">
        <v>41</v>
      </c>
      <c r="M633" t="s">
        <v>972</v>
      </c>
      <c r="N633" t="s">
        <v>41</v>
      </c>
    </row>
    <row r="634" spans="3:14" x14ac:dyDescent="0.3">
      <c r="C634" t="s">
        <v>41</v>
      </c>
      <c r="D634" t="s">
        <v>41</v>
      </c>
      <c r="K634">
        <v>0</v>
      </c>
      <c r="L634" t="s">
        <v>41</v>
      </c>
      <c r="M634" t="s">
        <v>972</v>
      </c>
      <c r="N634" t="s">
        <v>41</v>
      </c>
    </row>
    <row r="635" spans="3:14" x14ac:dyDescent="0.3">
      <c r="C635" t="s">
        <v>41</v>
      </c>
      <c r="D635" t="s">
        <v>41</v>
      </c>
      <c r="K635">
        <v>0</v>
      </c>
      <c r="L635" t="s">
        <v>41</v>
      </c>
      <c r="M635" t="s">
        <v>972</v>
      </c>
      <c r="N635" t="s">
        <v>41</v>
      </c>
    </row>
    <row r="636" spans="3:14" x14ac:dyDescent="0.3">
      <c r="C636" t="s">
        <v>41</v>
      </c>
      <c r="D636" t="s">
        <v>41</v>
      </c>
      <c r="K636">
        <v>0</v>
      </c>
      <c r="L636" t="s">
        <v>41</v>
      </c>
      <c r="M636" t="s">
        <v>972</v>
      </c>
      <c r="N636" t="s">
        <v>41</v>
      </c>
    </row>
    <row r="637" spans="3:14" x14ac:dyDescent="0.3">
      <c r="C637" t="s">
        <v>41</v>
      </c>
      <c r="D637" t="s">
        <v>41</v>
      </c>
      <c r="K637">
        <v>0</v>
      </c>
      <c r="L637" t="s">
        <v>41</v>
      </c>
      <c r="M637" t="s">
        <v>972</v>
      </c>
      <c r="N637" t="s">
        <v>41</v>
      </c>
    </row>
    <row r="638" spans="3:14" x14ac:dyDescent="0.3">
      <c r="C638" t="s">
        <v>41</v>
      </c>
      <c r="D638" t="s">
        <v>41</v>
      </c>
      <c r="K638">
        <v>0</v>
      </c>
      <c r="L638" t="s">
        <v>41</v>
      </c>
      <c r="M638" t="s">
        <v>972</v>
      </c>
      <c r="N638" t="s">
        <v>41</v>
      </c>
    </row>
    <row r="639" spans="3:14" x14ac:dyDescent="0.3">
      <c r="C639" t="s">
        <v>41</v>
      </c>
      <c r="D639" t="s">
        <v>41</v>
      </c>
      <c r="K639">
        <v>0</v>
      </c>
      <c r="L639" t="s">
        <v>41</v>
      </c>
      <c r="M639" t="s">
        <v>972</v>
      </c>
      <c r="N639" t="s">
        <v>41</v>
      </c>
    </row>
    <row r="640" spans="3:14" x14ac:dyDescent="0.3">
      <c r="C640" t="s">
        <v>41</v>
      </c>
      <c r="D640" t="s">
        <v>41</v>
      </c>
      <c r="K640">
        <v>0</v>
      </c>
      <c r="L640" t="s">
        <v>41</v>
      </c>
      <c r="M640" t="s">
        <v>972</v>
      </c>
      <c r="N640" t="s">
        <v>41</v>
      </c>
    </row>
    <row r="641" spans="3:14" x14ac:dyDescent="0.3">
      <c r="C641" t="s">
        <v>41</v>
      </c>
      <c r="D641" t="s">
        <v>41</v>
      </c>
      <c r="K641">
        <v>0</v>
      </c>
      <c r="L641" t="s">
        <v>41</v>
      </c>
      <c r="M641" t="s">
        <v>972</v>
      </c>
      <c r="N641" t="s">
        <v>41</v>
      </c>
    </row>
    <row r="642" spans="3:14" x14ac:dyDescent="0.3">
      <c r="C642" t="s">
        <v>41</v>
      </c>
      <c r="D642" t="s">
        <v>41</v>
      </c>
      <c r="K642">
        <v>0</v>
      </c>
      <c r="L642" t="s">
        <v>41</v>
      </c>
      <c r="M642" t="s">
        <v>972</v>
      </c>
      <c r="N642" t="s">
        <v>41</v>
      </c>
    </row>
    <row r="643" spans="3:14" x14ac:dyDescent="0.3">
      <c r="C643" t="s">
        <v>41</v>
      </c>
      <c r="D643" t="s">
        <v>41</v>
      </c>
      <c r="K643">
        <v>0</v>
      </c>
      <c r="L643" t="s">
        <v>41</v>
      </c>
      <c r="M643" t="s">
        <v>972</v>
      </c>
      <c r="N643" t="s">
        <v>41</v>
      </c>
    </row>
    <row r="644" spans="3:14" x14ac:dyDescent="0.3">
      <c r="C644" t="s">
        <v>41</v>
      </c>
      <c r="D644" t="s">
        <v>41</v>
      </c>
      <c r="K644">
        <v>0</v>
      </c>
      <c r="L644" t="s">
        <v>41</v>
      </c>
      <c r="M644" t="s">
        <v>972</v>
      </c>
      <c r="N644" t="s">
        <v>41</v>
      </c>
    </row>
    <row r="645" spans="3:14" x14ac:dyDescent="0.3">
      <c r="C645" t="s">
        <v>41</v>
      </c>
      <c r="D645" t="s">
        <v>41</v>
      </c>
      <c r="K645">
        <v>0</v>
      </c>
      <c r="L645" t="s">
        <v>41</v>
      </c>
      <c r="M645" t="s">
        <v>972</v>
      </c>
      <c r="N645" t="s">
        <v>41</v>
      </c>
    </row>
    <row r="646" spans="3:14" x14ac:dyDescent="0.3">
      <c r="C646" t="s">
        <v>41</v>
      </c>
      <c r="D646" t="s">
        <v>41</v>
      </c>
      <c r="K646">
        <v>0</v>
      </c>
      <c r="L646" t="s">
        <v>41</v>
      </c>
      <c r="M646" t="s">
        <v>972</v>
      </c>
      <c r="N646" t="s">
        <v>41</v>
      </c>
    </row>
    <row r="647" spans="3:14" x14ac:dyDescent="0.3">
      <c r="C647" t="s">
        <v>41</v>
      </c>
      <c r="D647" t="s">
        <v>41</v>
      </c>
      <c r="K647">
        <v>0</v>
      </c>
      <c r="L647" t="s">
        <v>41</v>
      </c>
      <c r="M647" t="s">
        <v>972</v>
      </c>
      <c r="N647" t="s">
        <v>41</v>
      </c>
    </row>
    <row r="648" spans="3:14" x14ac:dyDescent="0.3">
      <c r="C648" t="s">
        <v>41</v>
      </c>
      <c r="D648" t="s">
        <v>41</v>
      </c>
      <c r="K648">
        <v>0</v>
      </c>
      <c r="L648" t="s">
        <v>41</v>
      </c>
      <c r="M648" t="s">
        <v>972</v>
      </c>
      <c r="N648" t="s">
        <v>41</v>
      </c>
    </row>
    <row r="649" spans="3:14" x14ac:dyDescent="0.3">
      <c r="C649" t="s">
        <v>41</v>
      </c>
      <c r="D649" t="s">
        <v>41</v>
      </c>
      <c r="K649">
        <v>0</v>
      </c>
      <c r="L649" t="s">
        <v>41</v>
      </c>
      <c r="M649" t="s">
        <v>972</v>
      </c>
      <c r="N649" t="s">
        <v>41</v>
      </c>
    </row>
    <row r="650" spans="3:14" x14ac:dyDescent="0.3">
      <c r="C650" t="s">
        <v>41</v>
      </c>
      <c r="D650" t="s">
        <v>41</v>
      </c>
      <c r="K650">
        <v>0</v>
      </c>
      <c r="L650" t="s">
        <v>41</v>
      </c>
      <c r="M650" t="s">
        <v>972</v>
      </c>
      <c r="N650" t="s">
        <v>41</v>
      </c>
    </row>
    <row r="651" spans="3:14" x14ac:dyDescent="0.3">
      <c r="C651" t="s">
        <v>41</v>
      </c>
      <c r="D651" t="s">
        <v>41</v>
      </c>
      <c r="K651">
        <v>0</v>
      </c>
      <c r="L651" t="s">
        <v>41</v>
      </c>
      <c r="M651" t="s">
        <v>972</v>
      </c>
      <c r="N651" t="s">
        <v>41</v>
      </c>
    </row>
    <row r="652" spans="3:14" x14ac:dyDescent="0.3">
      <c r="C652" t="s">
        <v>41</v>
      </c>
      <c r="D652" t="s">
        <v>41</v>
      </c>
      <c r="K652">
        <v>0</v>
      </c>
      <c r="L652" t="s">
        <v>41</v>
      </c>
      <c r="M652" t="s">
        <v>972</v>
      </c>
      <c r="N652" t="s">
        <v>41</v>
      </c>
    </row>
    <row r="653" spans="3:14" x14ac:dyDescent="0.3">
      <c r="C653" t="s">
        <v>41</v>
      </c>
      <c r="D653" t="s">
        <v>41</v>
      </c>
      <c r="K653">
        <v>0</v>
      </c>
      <c r="L653" t="s">
        <v>41</v>
      </c>
      <c r="M653" t="s">
        <v>972</v>
      </c>
      <c r="N653" t="s">
        <v>41</v>
      </c>
    </row>
    <row r="654" spans="3:14" x14ac:dyDescent="0.3">
      <c r="C654" t="s">
        <v>41</v>
      </c>
      <c r="D654" t="s">
        <v>41</v>
      </c>
      <c r="K654">
        <v>0</v>
      </c>
      <c r="L654" t="s">
        <v>41</v>
      </c>
      <c r="M654" t="s">
        <v>972</v>
      </c>
      <c r="N654" t="s">
        <v>41</v>
      </c>
    </row>
    <row r="655" spans="3:14" x14ac:dyDescent="0.3">
      <c r="C655" t="s">
        <v>41</v>
      </c>
      <c r="D655" t="s">
        <v>41</v>
      </c>
      <c r="K655">
        <v>0</v>
      </c>
      <c r="L655" t="s">
        <v>41</v>
      </c>
      <c r="M655" t="s">
        <v>972</v>
      </c>
      <c r="N655" t="s">
        <v>41</v>
      </c>
    </row>
    <row r="656" spans="3:14" x14ac:dyDescent="0.3">
      <c r="C656" t="s">
        <v>41</v>
      </c>
      <c r="D656" t="s">
        <v>41</v>
      </c>
      <c r="K656">
        <v>0</v>
      </c>
      <c r="L656" t="s">
        <v>41</v>
      </c>
      <c r="M656" t="s">
        <v>972</v>
      </c>
      <c r="N656" t="s">
        <v>41</v>
      </c>
    </row>
    <row r="657" spans="3:14" x14ac:dyDescent="0.3">
      <c r="C657" t="s">
        <v>41</v>
      </c>
      <c r="D657" t="s">
        <v>41</v>
      </c>
      <c r="K657">
        <v>0</v>
      </c>
      <c r="L657" t="s">
        <v>41</v>
      </c>
      <c r="M657" t="s">
        <v>972</v>
      </c>
      <c r="N657" t="s">
        <v>41</v>
      </c>
    </row>
    <row r="658" spans="3:14" x14ac:dyDescent="0.3">
      <c r="C658" t="s">
        <v>41</v>
      </c>
      <c r="D658" t="s">
        <v>41</v>
      </c>
      <c r="K658">
        <v>0</v>
      </c>
      <c r="L658" t="s">
        <v>41</v>
      </c>
      <c r="M658" t="s">
        <v>972</v>
      </c>
      <c r="N658" t="s">
        <v>41</v>
      </c>
    </row>
    <row r="659" spans="3:14" x14ac:dyDescent="0.3">
      <c r="C659" t="s">
        <v>41</v>
      </c>
      <c r="D659" t="s">
        <v>41</v>
      </c>
      <c r="K659">
        <v>0</v>
      </c>
      <c r="L659" t="s">
        <v>41</v>
      </c>
      <c r="M659" t="s">
        <v>972</v>
      </c>
      <c r="N659" t="s">
        <v>41</v>
      </c>
    </row>
    <row r="660" spans="3:14" x14ac:dyDescent="0.3">
      <c r="C660" t="s">
        <v>41</v>
      </c>
      <c r="D660" t="s">
        <v>41</v>
      </c>
      <c r="K660">
        <v>0</v>
      </c>
      <c r="L660" t="s">
        <v>41</v>
      </c>
      <c r="M660" t="s">
        <v>972</v>
      </c>
      <c r="N660" t="s">
        <v>41</v>
      </c>
    </row>
    <row r="661" spans="3:14" x14ac:dyDescent="0.3">
      <c r="C661" t="s">
        <v>41</v>
      </c>
      <c r="D661" t="s">
        <v>41</v>
      </c>
      <c r="K661">
        <v>0</v>
      </c>
      <c r="L661" t="s">
        <v>41</v>
      </c>
      <c r="M661" t="s">
        <v>972</v>
      </c>
      <c r="N661" t="s">
        <v>41</v>
      </c>
    </row>
    <row r="662" spans="3:14" x14ac:dyDescent="0.3">
      <c r="C662" t="s">
        <v>41</v>
      </c>
      <c r="D662" t="s">
        <v>41</v>
      </c>
      <c r="K662">
        <v>0</v>
      </c>
      <c r="L662" t="s">
        <v>41</v>
      </c>
      <c r="M662" t="s">
        <v>972</v>
      </c>
      <c r="N662" t="s">
        <v>41</v>
      </c>
    </row>
    <row r="663" spans="3:14" x14ac:dyDescent="0.3">
      <c r="C663" t="s">
        <v>41</v>
      </c>
      <c r="D663" t="s">
        <v>41</v>
      </c>
      <c r="K663">
        <v>0</v>
      </c>
      <c r="L663" t="s">
        <v>41</v>
      </c>
      <c r="M663" t="s">
        <v>972</v>
      </c>
      <c r="N663" t="s">
        <v>41</v>
      </c>
    </row>
    <row r="664" spans="3:14" x14ac:dyDescent="0.3">
      <c r="C664" t="s">
        <v>41</v>
      </c>
      <c r="D664" t="s">
        <v>41</v>
      </c>
      <c r="K664">
        <v>0</v>
      </c>
      <c r="L664" t="s">
        <v>41</v>
      </c>
      <c r="M664" t="s">
        <v>972</v>
      </c>
      <c r="N664" t="s">
        <v>41</v>
      </c>
    </row>
    <row r="665" spans="3:14" x14ac:dyDescent="0.3">
      <c r="C665" t="s">
        <v>41</v>
      </c>
      <c r="D665" t="s">
        <v>41</v>
      </c>
      <c r="K665">
        <v>0</v>
      </c>
      <c r="L665" t="s">
        <v>41</v>
      </c>
      <c r="M665" t="s">
        <v>972</v>
      </c>
      <c r="N665" t="s">
        <v>41</v>
      </c>
    </row>
    <row r="666" spans="3:14" x14ac:dyDescent="0.3">
      <c r="C666" t="s">
        <v>41</v>
      </c>
      <c r="D666" t="s">
        <v>41</v>
      </c>
      <c r="K666">
        <v>0</v>
      </c>
      <c r="L666" t="s">
        <v>41</v>
      </c>
      <c r="M666" t="s">
        <v>972</v>
      </c>
      <c r="N666" t="s">
        <v>41</v>
      </c>
    </row>
    <row r="667" spans="3:14" x14ac:dyDescent="0.3">
      <c r="C667" t="s">
        <v>41</v>
      </c>
      <c r="D667" t="s">
        <v>41</v>
      </c>
      <c r="K667">
        <v>0</v>
      </c>
      <c r="L667" t="s">
        <v>41</v>
      </c>
      <c r="M667" t="s">
        <v>972</v>
      </c>
      <c r="N667" t="s">
        <v>41</v>
      </c>
    </row>
    <row r="668" spans="3:14" x14ac:dyDescent="0.3">
      <c r="C668" t="s">
        <v>41</v>
      </c>
      <c r="D668" t="s">
        <v>41</v>
      </c>
      <c r="K668">
        <v>0</v>
      </c>
      <c r="L668" t="s">
        <v>41</v>
      </c>
      <c r="M668" t="s">
        <v>972</v>
      </c>
      <c r="N668" t="s">
        <v>41</v>
      </c>
    </row>
    <row r="669" spans="3:14" x14ac:dyDescent="0.3">
      <c r="C669" t="s">
        <v>41</v>
      </c>
      <c r="D669" t="s">
        <v>41</v>
      </c>
      <c r="K669">
        <v>0</v>
      </c>
      <c r="L669" t="s">
        <v>41</v>
      </c>
      <c r="M669" t="s">
        <v>972</v>
      </c>
      <c r="N669" t="s">
        <v>41</v>
      </c>
    </row>
    <row r="670" spans="3:14" x14ac:dyDescent="0.3">
      <c r="C670" t="s">
        <v>41</v>
      </c>
      <c r="D670" t="s">
        <v>41</v>
      </c>
      <c r="K670">
        <v>0</v>
      </c>
      <c r="L670" t="s">
        <v>41</v>
      </c>
      <c r="M670" t="s">
        <v>972</v>
      </c>
      <c r="N670" t="s">
        <v>41</v>
      </c>
    </row>
    <row r="671" spans="3:14" x14ac:dyDescent="0.3">
      <c r="C671" t="s">
        <v>41</v>
      </c>
      <c r="D671" t="s">
        <v>41</v>
      </c>
      <c r="K671">
        <v>0</v>
      </c>
      <c r="L671" t="s">
        <v>41</v>
      </c>
      <c r="M671" t="s">
        <v>972</v>
      </c>
      <c r="N671" t="s">
        <v>41</v>
      </c>
    </row>
    <row r="672" spans="3:14" x14ac:dyDescent="0.3">
      <c r="C672" t="s">
        <v>41</v>
      </c>
      <c r="D672" t="s">
        <v>41</v>
      </c>
      <c r="K672">
        <v>0</v>
      </c>
      <c r="L672" t="s">
        <v>41</v>
      </c>
      <c r="M672" t="s">
        <v>972</v>
      </c>
      <c r="N672" t="s">
        <v>41</v>
      </c>
    </row>
    <row r="673" spans="3:14" x14ac:dyDescent="0.3">
      <c r="C673" t="s">
        <v>41</v>
      </c>
      <c r="D673" t="s">
        <v>41</v>
      </c>
      <c r="K673">
        <v>0</v>
      </c>
      <c r="L673" t="s">
        <v>41</v>
      </c>
      <c r="M673" t="s">
        <v>972</v>
      </c>
      <c r="N673" t="s">
        <v>41</v>
      </c>
    </row>
    <row r="674" spans="3:14" x14ac:dyDescent="0.3">
      <c r="C674" t="s">
        <v>41</v>
      </c>
      <c r="D674" t="s">
        <v>41</v>
      </c>
      <c r="K674">
        <v>0</v>
      </c>
      <c r="L674" t="s">
        <v>41</v>
      </c>
      <c r="M674" t="s">
        <v>972</v>
      </c>
      <c r="N674" t="s">
        <v>41</v>
      </c>
    </row>
    <row r="675" spans="3:14" x14ac:dyDescent="0.3">
      <c r="C675" t="s">
        <v>41</v>
      </c>
      <c r="D675" t="s">
        <v>41</v>
      </c>
      <c r="K675">
        <v>0</v>
      </c>
      <c r="L675" t="s">
        <v>41</v>
      </c>
      <c r="M675" t="s">
        <v>972</v>
      </c>
      <c r="N675" t="s">
        <v>41</v>
      </c>
    </row>
    <row r="676" spans="3:14" x14ac:dyDescent="0.3">
      <c r="C676" t="s">
        <v>41</v>
      </c>
      <c r="D676" t="s">
        <v>41</v>
      </c>
      <c r="K676">
        <v>0</v>
      </c>
      <c r="L676" t="s">
        <v>41</v>
      </c>
      <c r="M676" t="s">
        <v>972</v>
      </c>
      <c r="N676" t="s">
        <v>41</v>
      </c>
    </row>
    <row r="677" spans="3:14" x14ac:dyDescent="0.3">
      <c r="C677" t="s">
        <v>41</v>
      </c>
      <c r="D677" t="s">
        <v>41</v>
      </c>
      <c r="K677">
        <v>0</v>
      </c>
      <c r="L677" t="s">
        <v>41</v>
      </c>
      <c r="M677" t="s">
        <v>972</v>
      </c>
      <c r="N677" t="s">
        <v>41</v>
      </c>
    </row>
    <row r="678" spans="3:14" x14ac:dyDescent="0.3">
      <c r="C678" t="s">
        <v>41</v>
      </c>
      <c r="D678" t="s">
        <v>41</v>
      </c>
      <c r="K678">
        <v>0</v>
      </c>
      <c r="L678" t="s">
        <v>41</v>
      </c>
      <c r="M678" t="s">
        <v>972</v>
      </c>
      <c r="N678" t="s">
        <v>41</v>
      </c>
    </row>
    <row r="679" spans="3:14" x14ac:dyDescent="0.3">
      <c r="C679" t="s">
        <v>41</v>
      </c>
      <c r="D679" t="s">
        <v>41</v>
      </c>
      <c r="K679">
        <v>0</v>
      </c>
      <c r="L679" t="s">
        <v>41</v>
      </c>
      <c r="M679" t="s">
        <v>972</v>
      </c>
      <c r="N679" t="s">
        <v>41</v>
      </c>
    </row>
    <row r="680" spans="3:14" x14ac:dyDescent="0.3">
      <c r="C680" t="s">
        <v>41</v>
      </c>
      <c r="D680" t="s">
        <v>41</v>
      </c>
      <c r="K680">
        <v>0</v>
      </c>
      <c r="L680" t="s">
        <v>41</v>
      </c>
      <c r="M680" t="s">
        <v>972</v>
      </c>
      <c r="N680" t="s">
        <v>41</v>
      </c>
    </row>
    <row r="681" spans="3:14" x14ac:dyDescent="0.3">
      <c r="C681" t="s">
        <v>41</v>
      </c>
      <c r="D681" t="s">
        <v>41</v>
      </c>
      <c r="K681">
        <v>0</v>
      </c>
      <c r="L681" t="s">
        <v>41</v>
      </c>
      <c r="M681" t="s">
        <v>972</v>
      </c>
      <c r="N681" t="s">
        <v>41</v>
      </c>
    </row>
    <row r="682" spans="3:14" x14ac:dyDescent="0.3">
      <c r="C682" t="s">
        <v>41</v>
      </c>
      <c r="D682" t="s">
        <v>41</v>
      </c>
      <c r="K682">
        <v>0</v>
      </c>
      <c r="L682" t="s">
        <v>41</v>
      </c>
      <c r="M682" t="s">
        <v>972</v>
      </c>
      <c r="N682" t="s">
        <v>41</v>
      </c>
    </row>
    <row r="683" spans="3:14" x14ac:dyDescent="0.3">
      <c r="C683" t="s">
        <v>41</v>
      </c>
      <c r="D683" t="s">
        <v>41</v>
      </c>
      <c r="K683">
        <v>0</v>
      </c>
      <c r="L683" t="s">
        <v>41</v>
      </c>
      <c r="M683" t="s">
        <v>972</v>
      </c>
      <c r="N683" t="s">
        <v>41</v>
      </c>
    </row>
    <row r="684" spans="3:14" x14ac:dyDescent="0.3">
      <c r="C684" t="s">
        <v>41</v>
      </c>
      <c r="D684" t="s">
        <v>41</v>
      </c>
      <c r="K684">
        <v>0</v>
      </c>
      <c r="L684" t="s">
        <v>41</v>
      </c>
      <c r="M684" t="s">
        <v>972</v>
      </c>
      <c r="N684" t="s">
        <v>41</v>
      </c>
    </row>
    <row r="685" spans="3:14" x14ac:dyDescent="0.3">
      <c r="C685" t="s">
        <v>41</v>
      </c>
      <c r="D685" t="s">
        <v>41</v>
      </c>
      <c r="K685">
        <v>0</v>
      </c>
      <c r="L685" t="s">
        <v>41</v>
      </c>
      <c r="M685" t="s">
        <v>972</v>
      </c>
      <c r="N685" t="s">
        <v>41</v>
      </c>
    </row>
    <row r="686" spans="3:14" x14ac:dyDescent="0.3">
      <c r="C686" t="s">
        <v>41</v>
      </c>
      <c r="D686" t="s">
        <v>41</v>
      </c>
      <c r="K686">
        <v>0</v>
      </c>
      <c r="L686" t="s">
        <v>41</v>
      </c>
      <c r="M686" t="s">
        <v>972</v>
      </c>
      <c r="N686" t="s">
        <v>41</v>
      </c>
    </row>
    <row r="687" spans="3:14" x14ac:dyDescent="0.3">
      <c r="C687" t="s">
        <v>41</v>
      </c>
      <c r="D687" t="s">
        <v>41</v>
      </c>
      <c r="K687">
        <v>0</v>
      </c>
      <c r="L687" t="s">
        <v>41</v>
      </c>
      <c r="M687" t="s">
        <v>972</v>
      </c>
      <c r="N687" t="s">
        <v>41</v>
      </c>
    </row>
    <row r="688" spans="3:14" x14ac:dyDescent="0.3">
      <c r="C688" t="s">
        <v>41</v>
      </c>
      <c r="D688" t="s">
        <v>41</v>
      </c>
      <c r="K688">
        <v>0</v>
      </c>
      <c r="L688" t="s">
        <v>41</v>
      </c>
      <c r="M688" t="s">
        <v>972</v>
      </c>
      <c r="N688" t="s">
        <v>41</v>
      </c>
    </row>
    <row r="689" spans="3:14" x14ac:dyDescent="0.3">
      <c r="C689" t="s">
        <v>41</v>
      </c>
      <c r="D689" t="s">
        <v>41</v>
      </c>
      <c r="K689">
        <v>0</v>
      </c>
      <c r="L689" t="s">
        <v>41</v>
      </c>
      <c r="M689" t="s">
        <v>972</v>
      </c>
      <c r="N689" t="s">
        <v>41</v>
      </c>
    </row>
    <row r="690" spans="3:14" x14ac:dyDescent="0.3">
      <c r="C690" t="s">
        <v>41</v>
      </c>
      <c r="D690" t="s">
        <v>41</v>
      </c>
      <c r="K690">
        <v>0</v>
      </c>
      <c r="L690" t="s">
        <v>41</v>
      </c>
      <c r="M690" t="s">
        <v>972</v>
      </c>
      <c r="N690" t="s">
        <v>41</v>
      </c>
    </row>
    <row r="691" spans="3:14" x14ac:dyDescent="0.3">
      <c r="C691" t="s">
        <v>41</v>
      </c>
      <c r="D691" t="s">
        <v>41</v>
      </c>
      <c r="K691">
        <v>0</v>
      </c>
      <c r="L691" t="s">
        <v>41</v>
      </c>
      <c r="M691" t="s">
        <v>972</v>
      </c>
      <c r="N691" t="s">
        <v>41</v>
      </c>
    </row>
    <row r="692" spans="3:14" x14ac:dyDescent="0.3">
      <c r="C692" t="s">
        <v>41</v>
      </c>
      <c r="D692" t="s">
        <v>41</v>
      </c>
      <c r="K692">
        <v>0</v>
      </c>
      <c r="L692" t="s">
        <v>41</v>
      </c>
      <c r="M692" t="s">
        <v>972</v>
      </c>
      <c r="N692" t="s">
        <v>41</v>
      </c>
    </row>
    <row r="693" spans="3:14" x14ac:dyDescent="0.3">
      <c r="C693" t="s">
        <v>41</v>
      </c>
      <c r="D693" t="s">
        <v>41</v>
      </c>
      <c r="K693">
        <v>0</v>
      </c>
      <c r="L693" t="s">
        <v>41</v>
      </c>
      <c r="M693" t="s">
        <v>972</v>
      </c>
      <c r="N693" t="s">
        <v>41</v>
      </c>
    </row>
    <row r="694" spans="3:14" x14ac:dyDescent="0.3">
      <c r="C694" t="s">
        <v>41</v>
      </c>
      <c r="D694" t="s">
        <v>41</v>
      </c>
      <c r="K694">
        <v>0</v>
      </c>
      <c r="L694" t="s">
        <v>41</v>
      </c>
      <c r="M694" t="s">
        <v>972</v>
      </c>
      <c r="N694" t="s">
        <v>41</v>
      </c>
    </row>
    <row r="695" spans="3:14" x14ac:dyDescent="0.3">
      <c r="C695" t="s">
        <v>41</v>
      </c>
      <c r="D695" t="s">
        <v>41</v>
      </c>
      <c r="K695">
        <v>0</v>
      </c>
      <c r="L695" t="s">
        <v>41</v>
      </c>
      <c r="M695" t="s">
        <v>972</v>
      </c>
      <c r="N695" t="s">
        <v>41</v>
      </c>
    </row>
    <row r="696" spans="3:14" x14ac:dyDescent="0.3">
      <c r="C696" t="s">
        <v>41</v>
      </c>
      <c r="D696" t="s">
        <v>41</v>
      </c>
      <c r="K696">
        <v>0</v>
      </c>
      <c r="L696" t="s">
        <v>41</v>
      </c>
      <c r="M696" t="s">
        <v>972</v>
      </c>
      <c r="N696" t="s">
        <v>41</v>
      </c>
    </row>
    <row r="697" spans="3:14" x14ac:dyDescent="0.3">
      <c r="C697" t="s">
        <v>41</v>
      </c>
      <c r="D697" t="s">
        <v>41</v>
      </c>
      <c r="K697">
        <v>0</v>
      </c>
      <c r="L697" t="s">
        <v>41</v>
      </c>
      <c r="M697" t="s">
        <v>972</v>
      </c>
      <c r="N697" t="s">
        <v>41</v>
      </c>
    </row>
    <row r="698" spans="3:14" x14ac:dyDescent="0.3">
      <c r="C698" t="s">
        <v>41</v>
      </c>
      <c r="D698" t="s">
        <v>41</v>
      </c>
      <c r="K698">
        <v>0</v>
      </c>
      <c r="L698" t="s">
        <v>41</v>
      </c>
      <c r="M698" t="s">
        <v>972</v>
      </c>
      <c r="N698" t="s">
        <v>41</v>
      </c>
    </row>
    <row r="699" spans="3:14" x14ac:dyDescent="0.3">
      <c r="C699" t="s">
        <v>41</v>
      </c>
      <c r="D699" t="s">
        <v>41</v>
      </c>
      <c r="K699">
        <v>0</v>
      </c>
      <c r="L699" t="s">
        <v>41</v>
      </c>
      <c r="M699" t="s">
        <v>972</v>
      </c>
      <c r="N699" t="s">
        <v>41</v>
      </c>
    </row>
    <row r="700" spans="3:14" x14ac:dyDescent="0.3">
      <c r="C700" t="s">
        <v>41</v>
      </c>
      <c r="D700" t="s">
        <v>41</v>
      </c>
      <c r="K700">
        <v>0</v>
      </c>
      <c r="L700" t="s">
        <v>41</v>
      </c>
      <c r="M700" t="s">
        <v>972</v>
      </c>
      <c r="N700" t="s">
        <v>41</v>
      </c>
    </row>
    <row r="701" spans="3:14" x14ac:dyDescent="0.3">
      <c r="C701" t="s">
        <v>41</v>
      </c>
      <c r="D701" t="s">
        <v>41</v>
      </c>
      <c r="K701">
        <v>0</v>
      </c>
      <c r="L701" t="s">
        <v>41</v>
      </c>
      <c r="M701" t="s">
        <v>972</v>
      </c>
      <c r="N701" t="s">
        <v>41</v>
      </c>
    </row>
    <row r="702" spans="3:14" x14ac:dyDescent="0.3">
      <c r="C702" t="s">
        <v>41</v>
      </c>
      <c r="D702" t="s">
        <v>41</v>
      </c>
      <c r="K702">
        <v>0</v>
      </c>
      <c r="L702" t="s">
        <v>41</v>
      </c>
      <c r="M702" t="s">
        <v>972</v>
      </c>
      <c r="N702" t="s">
        <v>41</v>
      </c>
    </row>
    <row r="703" spans="3:14" x14ac:dyDescent="0.3">
      <c r="C703" t="s">
        <v>41</v>
      </c>
      <c r="D703" t="s">
        <v>41</v>
      </c>
      <c r="K703">
        <v>0</v>
      </c>
      <c r="L703" t="s">
        <v>41</v>
      </c>
      <c r="M703" t="s">
        <v>972</v>
      </c>
      <c r="N703" t="s">
        <v>41</v>
      </c>
    </row>
    <row r="704" spans="3:14" x14ac:dyDescent="0.3">
      <c r="C704" t="s">
        <v>41</v>
      </c>
      <c r="D704" t="s">
        <v>41</v>
      </c>
      <c r="K704">
        <v>0</v>
      </c>
      <c r="L704" t="s">
        <v>41</v>
      </c>
      <c r="M704" t="s">
        <v>972</v>
      </c>
      <c r="N704" t="s">
        <v>41</v>
      </c>
    </row>
    <row r="705" spans="3:14" x14ac:dyDescent="0.3">
      <c r="C705" t="s">
        <v>41</v>
      </c>
      <c r="D705" t="s">
        <v>41</v>
      </c>
      <c r="K705">
        <v>0</v>
      </c>
      <c r="L705" t="s">
        <v>41</v>
      </c>
      <c r="M705" t="s">
        <v>972</v>
      </c>
      <c r="N705" t="s">
        <v>41</v>
      </c>
    </row>
    <row r="706" spans="3:14" x14ac:dyDescent="0.3">
      <c r="C706" t="s">
        <v>41</v>
      </c>
      <c r="D706" t="s">
        <v>41</v>
      </c>
      <c r="K706">
        <v>0</v>
      </c>
      <c r="L706" t="s">
        <v>41</v>
      </c>
      <c r="M706" t="s">
        <v>972</v>
      </c>
      <c r="N706" t="s">
        <v>41</v>
      </c>
    </row>
    <row r="707" spans="3:14" x14ac:dyDescent="0.3">
      <c r="C707" t="s">
        <v>41</v>
      </c>
      <c r="D707" t="s">
        <v>41</v>
      </c>
      <c r="K707">
        <v>0</v>
      </c>
      <c r="L707" t="s">
        <v>41</v>
      </c>
      <c r="M707" t="s">
        <v>972</v>
      </c>
      <c r="N707" t="s">
        <v>41</v>
      </c>
    </row>
    <row r="708" spans="3:14" x14ac:dyDescent="0.3">
      <c r="C708" t="s">
        <v>41</v>
      </c>
      <c r="D708" t="s">
        <v>41</v>
      </c>
      <c r="K708">
        <v>0</v>
      </c>
      <c r="L708" t="s">
        <v>41</v>
      </c>
      <c r="M708" t="s">
        <v>972</v>
      </c>
      <c r="N708" t="s">
        <v>41</v>
      </c>
    </row>
    <row r="709" spans="3:14" x14ac:dyDescent="0.3">
      <c r="C709" t="s">
        <v>41</v>
      </c>
      <c r="D709" t="s">
        <v>41</v>
      </c>
      <c r="K709">
        <v>0</v>
      </c>
      <c r="L709" t="s">
        <v>41</v>
      </c>
      <c r="M709" t="s">
        <v>972</v>
      </c>
      <c r="N709" t="s">
        <v>41</v>
      </c>
    </row>
    <row r="710" spans="3:14" x14ac:dyDescent="0.3">
      <c r="C710" t="s">
        <v>41</v>
      </c>
      <c r="D710" t="s">
        <v>41</v>
      </c>
      <c r="K710">
        <v>0</v>
      </c>
      <c r="L710" t="s">
        <v>41</v>
      </c>
      <c r="M710" t="s">
        <v>972</v>
      </c>
      <c r="N710" t="s">
        <v>41</v>
      </c>
    </row>
    <row r="711" spans="3:14" x14ac:dyDescent="0.3">
      <c r="C711" t="s">
        <v>41</v>
      </c>
      <c r="D711" t="s">
        <v>41</v>
      </c>
      <c r="K711">
        <v>0</v>
      </c>
      <c r="L711" t="s">
        <v>41</v>
      </c>
      <c r="M711" t="s">
        <v>972</v>
      </c>
      <c r="N711" t="s">
        <v>41</v>
      </c>
    </row>
    <row r="712" spans="3:14" x14ac:dyDescent="0.3">
      <c r="C712" t="s">
        <v>41</v>
      </c>
      <c r="D712" t="s">
        <v>41</v>
      </c>
      <c r="K712">
        <v>0</v>
      </c>
      <c r="L712" t="s">
        <v>41</v>
      </c>
      <c r="M712" t="s">
        <v>972</v>
      </c>
      <c r="N712" t="s">
        <v>41</v>
      </c>
    </row>
    <row r="713" spans="3:14" x14ac:dyDescent="0.3">
      <c r="C713" t="s">
        <v>41</v>
      </c>
      <c r="D713" t="s">
        <v>41</v>
      </c>
      <c r="K713">
        <v>0</v>
      </c>
      <c r="L713" t="s">
        <v>41</v>
      </c>
      <c r="M713" t="s">
        <v>972</v>
      </c>
      <c r="N713" t="s">
        <v>41</v>
      </c>
    </row>
    <row r="714" spans="3:14" x14ac:dyDescent="0.3">
      <c r="C714" t="s">
        <v>41</v>
      </c>
      <c r="D714" t="s">
        <v>41</v>
      </c>
      <c r="K714">
        <v>0</v>
      </c>
      <c r="L714" t="s">
        <v>41</v>
      </c>
      <c r="M714" t="s">
        <v>972</v>
      </c>
      <c r="N714" t="s">
        <v>41</v>
      </c>
    </row>
    <row r="715" spans="3:14" x14ac:dyDescent="0.3">
      <c r="C715" t="s">
        <v>41</v>
      </c>
      <c r="D715" t="s">
        <v>41</v>
      </c>
      <c r="K715">
        <v>0</v>
      </c>
      <c r="L715" t="s">
        <v>41</v>
      </c>
      <c r="M715" t="s">
        <v>972</v>
      </c>
      <c r="N715" t="s">
        <v>41</v>
      </c>
    </row>
    <row r="716" spans="3:14" x14ac:dyDescent="0.3">
      <c r="C716" t="s">
        <v>41</v>
      </c>
      <c r="D716" t="s">
        <v>41</v>
      </c>
      <c r="K716">
        <v>0</v>
      </c>
      <c r="L716" t="s">
        <v>41</v>
      </c>
      <c r="M716" t="s">
        <v>972</v>
      </c>
      <c r="N716" t="s">
        <v>41</v>
      </c>
    </row>
    <row r="717" spans="3:14" x14ac:dyDescent="0.3">
      <c r="C717" t="s">
        <v>41</v>
      </c>
      <c r="D717" t="s">
        <v>41</v>
      </c>
      <c r="K717">
        <v>0</v>
      </c>
      <c r="L717" t="s">
        <v>41</v>
      </c>
      <c r="M717" t="s">
        <v>972</v>
      </c>
      <c r="N717" t="s">
        <v>41</v>
      </c>
    </row>
    <row r="718" spans="3:14" x14ac:dyDescent="0.3">
      <c r="C718" t="s">
        <v>41</v>
      </c>
      <c r="D718" t="s">
        <v>41</v>
      </c>
      <c r="K718">
        <v>0</v>
      </c>
      <c r="L718" t="s">
        <v>41</v>
      </c>
      <c r="M718" t="s">
        <v>972</v>
      </c>
      <c r="N718" t="s">
        <v>41</v>
      </c>
    </row>
    <row r="719" spans="3:14" x14ac:dyDescent="0.3">
      <c r="C719" t="s">
        <v>41</v>
      </c>
      <c r="D719" t="s">
        <v>41</v>
      </c>
      <c r="K719">
        <v>0</v>
      </c>
      <c r="L719" t="s">
        <v>41</v>
      </c>
      <c r="M719" t="s">
        <v>972</v>
      </c>
      <c r="N719" t="s">
        <v>41</v>
      </c>
    </row>
    <row r="720" spans="3:14" x14ac:dyDescent="0.3">
      <c r="C720" t="s">
        <v>41</v>
      </c>
      <c r="D720" t="s">
        <v>41</v>
      </c>
      <c r="K720">
        <v>0</v>
      </c>
      <c r="L720" t="s">
        <v>41</v>
      </c>
      <c r="M720" t="s">
        <v>972</v>
      </c>
      <c r="N720" t="s">
        <v>41</v>
      </c>
    </row>
    <row r="721" spans="3:14" x14ac:dyDescent="0.3">
      <c r="C721" t="s">
        <v>41</v>
      </c>
      <c r="D721" t="s">
        <v>41</v>
      </c>
      <c r="K721">
        <v>0</v>
      </c>
      <c r="L721" t="s">
        <v>41</v>
      </c>
      <c r="M721" t="s">
        <v>972</v>
      </c>
      <c r="N721" t="s">
        <v>41</v>
      </c>
    </row>
    <row r="722" spans="3:14" x14ac:dyDescent="0.3">
      <c r="C722" t="s">
        <v>41</v>
      </c>
      <c r="D722" t="s">
        <v>41</v>
      </c>
      <c r="K722">
        <v>0</v>
      </c>
      <c r="L722" t="s">
        <v>41</v>
      </c>
      <c r="M722" t="s">
        <v>972</v>
      </c>
      <c r="N722" t="s">
        <v>41</v>
      </c>
    </row>
    <row r="723" spans="3:14" x14ac:dyDescent="0.3">
      <c r="C723" t="s">
        <v>41</v>
      </c>
      <c r="D723" t="s">
        <v>41</v>
      </c>
      <c r="K723">
        <v>0</v>
      </c>
      <c r="L723" t="s">
        <v>41</v>
      </c>
      <c r="M723" t="s">
        <v>972</v>
      </c>
      <c r="N723" t="s">
        <v>41</v>
      </c>
    </row>
    <row r="724" spans="3:14" x14ac:dyDescent="0.3">
      <c r="C724" t="s">
        <v>41</v>
      </c>
      <c r="D724" t="s">
        <v>41</v>
      </c>
      <c r="K724">
        <v>0</v>
      </c>
      <c r="L724" t="s">
        <v>41</v>
      </c>
      <c r="M724" t="s">
        <v>972</v>
      </c>
      <c r="N724" t="s">
        <v>41</v>
      </c>
    </row>
    <row r="725" spans="3:14" x14ac:dyDescent="0.3">
      <c r="C725" t="s">
        <v>41</v>
      </c>
      <c r="D725" t="s">
        <v>41</v>
      </c>
      <c r="K725">
        <v>0</v>
      </c>
      <c r="L725" t="s">
        <v>41</v>
      </c>
      <c r="M725" t="s">
        <v>972</v>
      </c>
      <c r="N725" t="s">
        <v>41</v>
      </c>
    </row>
    <row r="726" spans="3:14" x14ac:dyDescent="0.3">
      <c r="C726" t="s">
        <v>41</v>
      </c>
      <c r="D726" t="s">
        <v>41</v>
      </c>
      <c r="K726">
        <v>0</v>
      </c>
      <c r="L726" t="s">
        <v>41</v>
      </c>
      <c r="M726" t="s">
        <v>972</v>
      </c>
      <c r="N726" t="s">
        <v>41</v>
      </c>
    </row>
    <row r="727" spans="3:14" x14ac:dyDescent="0.3">
      <c r="C727" t="s">
        <v>41</v>
      </c>
      <c r="D727" t="s">
        <v>41</v>
      </c>
      <c r="K727">
        <v>0</v>
      </c>
      <c r="L727" t="s">
        <v>41</v>
      </c>
      <c r="M727" t="s">
        <v>972</v>
      </c>
      <c r="N727" t="s">
        <v>41</v>
      </c>
    </row>
    <row r="728" spans="3:14" x14ac:dyDescent="0.3">
      <c r="C728" t="s">
        <v>41</v>
      </c>
      <c r="D728" t="s">
        <v>41</v>
      </c>
      <c r="K728">
        <v>0</v>
      </c>
      <c r="L728" t="s">
        <v>41</v>
      </c>
      <c r="M728" t="s">
        <v>972</v>
      </c>
      <c r="N728" t="s">
        <v>41</v>
      </c>
    </row>
    <row r="729" spans="3:14" x14ac:dyDescent="0.3">
      <c r="C729" t="s">
        <v>41</v>
      </c>
      <c r="D729" t="s">
        <v>41</v>
      </c>
      <c r="K729">
        <v>0</v>
      </c>
      <c r="L729" t="s">
        <v>41</v>
      </c>
      <c r="M729" t="s">
        <v>972</v>
      </c>
      <c r="N729" t="s">
        <v>41</v>
      </c>
    </row>
    <row r="730" spans="3:14" x14ac:dyDescent="0.3">
      <c r="C730" t="s">
        <v>41</v>
      </c>
      <c r="D730" t="s">
        <v>41</v>
      </c>
      <c r="K730">
        <v>0</v>
      </c>
      <c r="L730" t="s">
        <v>41</v>
      </c>
      <c r="M730" t="s">
        <v>972</v>
      </c>
      <c r="N730" t="s">
        <v>41</v>
      </c>
    </row>
    <row r="731" spans="3:14" x14ac:dyDescent="0.3">
      <c r="C731" t="s">
        <v>41</v>
      </c>
      <c r="D731" t="s">
        <v>41</v>
      </c>
      <c r="K731">
        <v>0</v>
      </c>
      <c r="L731" t="s">
        <v>41</v>
      </c>
      <c r="M731" t="s">
        <v>972</v>
      </c>
      <c r="N731" t="s">
        <v>41</v>
      </c>
    </row>
    <row r="732" spans="3:14" x14ac:dyDescent="0.3">
      <c r="C732" t="s">
        <v>41</v>
      </c>
      <c r="D732" t="s">
        <v>41</v>
      </c>
      <c r="K732">
        <v>0</v>
      </c>
      <c r="L732" t="s">
        <v>41</v>
      </c>
      <c r="M732" t="s">
        <v>972</v>
      </c>
      <c r="N732" t="s">
        <v>41</v>
      </c>
    </row>
    <row r="733" spans="3:14" x14ac:dyDescent="0.3">
      <c r="C733" t="s">
        <v>41</v>
      </c>
      <c r="D733" t="s">
        <v>41</v>
      </c>
      <c r="K733">
        <v>0</v>
      </c>
      <c r="L733" t="s">
        <v>41</v>
      </c>
      <c r="M733" t="s">
        <v>972</v>
      </c>
      <c r="N733" t="s">
        <v>41</v>
      </c>
    </row>
    <row r="734" spans="3:14" x14ac:dyDescent="0.3">
      <c r="C734" t="s">
        <v>41</v>
      </c>
      <c r="D734" t="s">
        <v>41</v>
      </c>
      <c r="K734">
        <v>0</v>
      </c>
      <c r="L734" t="s">
        <v>41</v>
      </c>
      <c r="M734" t="s">
        <v>972</v>
      </c>
      <c r="N734" t="s">
        <v>41</v>
      </c>
    </row>
    <row r="735" spans="3:14" x14ac:dyDescent="0.3">
      <c r="C735" t="s">
        <v>41</v>
      </c>
      <c r="D735" t="s">
        <v>41</v>
      </c>
      <c r="K735">
        <v>0</v>
      </c>
      <c r="L735" t="s">
        <v>41</v>
      </c>
      <c r="M735" t="s">
        <v>972</v>
      </c>
      <c r="N735" t="s">
        <v>41</v>
      </c>
    </row>
    <row r="736" spans="3:14" x14ac:dyDescent="0.3">
      <c r="C736" t="s">
        <v>41</v>
      </c>
      <c r="D736" t="s">
        <v>41</v>
      </c>
      <c r="K736">
        <v>0</v>
      </c>
      <c r="L736" t="s">
        <v>41</v>
      </c>
      <c r="M736" t="s">
        <v>972</v>
      </c>
      <c r="N736" t="s">
        <v>41</v>
      </c>
    </row>
    <row r="737" spans="3:14" x14ac:dyDescent="0.3">
      <c r="C737" t="s">
        <v>41</v>
      </c>
      <c r="D737" t="s">
        <v>41</v>
      </c>
      <c r="K737">
        <v>0</v>
      </c>
      <c r="L737" t="s">
        <v>41</v>
      </c>
      <c r="M737" t="s">
        <v>972</v>
      </c>
      <c r="N737" t="s">
        <v>41</v>
      </c>
    </row>
    <row r="738" spans="3:14" x14ac:dyDescent="0.3">
      <c r="C738" t="s">
        <v>41</v>
      </c>
      <c r="D738" t="s">
        <v>41</v>
      </c>
      <c r="K738">
        <v>0</v>
      </c>
      <c r="L738" t="s">
        <v>41</v>
      </c>
      <c r="M738" t="s">
        <v>972</v>
      </c>
      <c r="N738" t="s">
        <v>41</v>
      </c>
    </row>
    <row r="739" spans="3:14" x14ac:dyDescent="0.3">
      <c r="C739" t="s">
        <v>41</v>
      </c>
      <c r="D739" t="s">
        <v>41</v>
      </c>
      <c r="K739">
        <v>0</v>
      </c>
      <c r="L739" t="s">
        <v>41</v>
      </c>
      <c r="M739" t="s">
        <v>972</v>
      </c>
      <c r="N739" t="s">
        <v>41</v>
      </c>
    </row>
    <row r="740" spans="3:14" x14ac:dyDescent="0.3">
      <c r="C740" t="s">
        <v>41</v>
      </c>
      <c r="D740" t="s">
        <v>41</v>
      </c>
      <c r="K740">
        <v>0</v>
      </c>
      <c r="L740" t="s">
        <v>41</v>
      </c>
      <c r="M740" t="s">
        <v>972</v>
      </c>
      <c r="N740" t="s">
        <v>41</v>
      </c>
    </row>
    <row r="741" spans="3:14" x14ac:dyDescent="0.3">
      <c r="C741" t="s">
        <v>41</v>
      </c>
      <c r="D741" t="s">
        <v>41</v>
      </c>
      <c r="K741">
        <v>0</v>
      </c>
      <c r="L741" t="s">
        <v>41</v>
      </c>
      <c r="M741" t="s">
        <v>972</v>
      </c>
      <c r="N741" t="s">
        <v>41</v>
      </c>
    </row>
    <row r="742" spans="3:14" x14ac:dyDescent="0.3">
      <c r="C742" t="s">
        <v>41</v>
      </c>
      <c r="D742" t="s">
        <v>41</v>
      </c>
      <c r="K742">
        <v>0</v>
      </c>
      <c r="L742" t="s">
        <v>41</v>
      </c>
      <c r="M742" t="s">
        <v>972</v>
      </c>
      <c r="N742" t="s">
        <v>41</v>
      </c>
    </row>
    <row r="743" spans="3:14" x14ac:dyDescent="0.3">
      <c r="C743" t="s">
        <v>41</v>
      </c>
      <c r="D743" t="s">
        <v>41</v>
      </c>
      <c r="K743">
        <v>0</v>
      </c>
      <c r="L743" t="s">
        <v>41</v>
      </c>
      <c r="M743" t="s">
        <v>972</v>
      </c>
      <c r="N743" t="s">
        <v>41</v>
      </c>
    </row>
    <row r="744" spans="3:14" x14ac:dyDescent="0.3">
      <c r="C744" t="s">
        <v>41</v>
      </c>
      <c r="D744" t="s">
        <v>41</v>
      </c>
      <c r="K744">
        <v>0</v>
      </c>
      <c r="L744" t="s">
        <v>41</v>
      </c>
      <c r="M744" t="s">
        <v>972</v>
      </c>
      <c r="N744" t="s">
        <v>41</v>
      </c>
    </row>
    <row r="745" spans="3:14" x14ac:dyDescent="0.3">
      <c r="C745" t="s">
        <v>41</v>
      </c>
      <c r="D745" t="s">
        <v>41</v>
      </c>
      <c r="K745">
        <v>0</v>
      </c>
      <c r="L745" t="s">
        <v>41</v>
      </c>
      <c r="M745" t="s">
        <v>972</v>
      </c>
      <c r="N745" t="s">
        <v>41</v>
      </c>
    </row>
    <row r="746" spans="3:14" x14ac:dyDescent="0.3">
      <c r="C746" t="s">
        <v>41</v>
      </c>
      <c r="D746" t="s">
        <v>41</v>
      </c>
      <c r="K746">
        <v>0</v>
      </c>
      <c r="L746" t="s">
        <v>41</v>
      </c>
      <c r="M746" t="s">
        <v>972</v>
      </c>
      <c r="N746" t="s">
        <v>41</v>
      </c>
    </row>
    <row r="747" spans="3:14" x14ac:dyDescent="0.3">
      <c r="C747" t="s">
        <v>41</v>
      </c>
      <c r="D747" t="s">
        <v>41</v>
      </c>
      <c r="K747">
        <v>0</v>
      </c>
      <c r="L747" t="s">
        <v>41</v>
      </c>
      <c r="M747" t="s">
        <v>972</v>
      </c>
      <c r="N747" t="s">
        <v>41</v>
      </c>
    </row>
    <row r="748" spans="3:14" x14ac:dyDescent="0.3">
      <c r="C748" t="s">
        <v>41</v>
      </c>
      <c r="D748" t="s">
        <v>41</v>
      </c>
      <c r="K748">
        <v>0</v>
      </c>
      <c r="L748" t="s">
        <v>41</v>
      </c>
      <c r="M748" t="s">
        <v>972</v>
      </c>
      <c r="N748" t="s">
        <v>41</v>
      </c>
    </row>
    <row r="749" spans="3:14" x14ac:dyDescent="0.3">
      <c r="C749" t="s">
        <v>41</v>
      </c>
      <c r="D749" t="s">
        <v>41</v>
      </c>
      <c r="K749">
        <v>0</v>
      </c>
      <c r="L749" t="s">
        <v>41</v>
      </c>
      <c r="M749" t="s">
        <v>972</v>
      </c>
      <c r="N749" t="s">
        <v>41</v>
      </c>
    </row>
    <row r="750" spans="3:14" x14ac:dyDescent="0.3">
      <c r="C750" t="s">
        <v>41</v>
      </c>
      <c r="D750" t="s">
        <v>41</v>
      </c>
      <c r="K750">
        <v>0</v>
      </c>
      <c r="L750" t="s">
        <v>41</v>
      </c>
      <c r="M750" t="s">
        <v>972</v>
      </c>
      <c r="N750" t="s">
        <v>41</v>
      </c>
    </row>
    <row r="751" spans="3:14" x14ac:dyDescent="0.3">
      <c r="C751" t="s">
        <v>41</v>
      </c>
      <c r="D751" t="s">
        <v>41</v>
      </c>
      <c r="K751">
        <v>0</v>
      </c>
      <c r="L751" t="s">
        <v>41</v>
      </c>
      <c r="M751" t="s">
        <v>972</v>
      </c>
      <c r="N751" t="s">
        <v>41</v>
      </c>
    </row>
    <row r="752" spans="3:14" x14ac:dyDescent="0.3">
      <c r="C752" t="s">
        <v>41</v>
      </c>
      <c r="D752" t="s">
        <v>41</v>
      </c>
      <c r="K752">
        <v>0</v>
      </c>
      <c r="L752" t="s">
        <v>41</v>
      </c>
      <c r="M752" t="s">
        <v>972</v>
      </c>
      <c r="N752" t="s">
        <v>41</v>
      </c>
    </row>
    <row r="753" spans="3:14" x14ac:dyDescent="0.3">
      <c r="C753" t="s">
        <v>41</v>
      </c>
      <c r="D753" t="s">
        <v>41</v>
      </c>
      <c r="K753">
        <v>0</v>
      </c>
      <c r="L753" t="s">
        <v>41</v>
      </c>
      <c r="M753" t="s">
        <v>972</v>
      </c>
      <c r="N753" t="s">
        <v>41</v>
      </c>
    </row>
    <row r="754" spans="3:14" x14ac:dyDescent="0.3">
      <c r="C754" t="s">
        <v>41</v>
      </c>
      <c r="D754" t="s">
        <v>41</v>
      </c>
      <c r="K754">
        <v>0</v>
      </c>
      <c r="L754" t="s">
        <v>41</v>
      </c>
      <c r="M754" t="s">
        <v>972</v>
      </c>
      <c r="N754" t="s">
        <v>41</v>
      </c>
    </row>
    <row r="755" spans="3:14" x14ac:dyDescent="0.3">
      <c r="C755" t="s">
        <v>41</v>
      </c>
      <c r="D755" t="s">
        <v>41</v>
      </c>
      <c r="K755">
        <v>0</v>
      </c>
      <c r="L755" t="s">
        <v>41</v>
      </c>
      <c r="M755" t="s">
        <v>972</v>
      </c>
      <c r="N755" t="s">
        <v>41</v>
      </c>
    </row>
    <row r="756" spans="3:14" x14ac:dyDescent="0.3">
      <c r="C756" t="s">
        <v>41</v>
      </c>
      <c r="D756" t="s">
        <v>41</v>
      </c>
      <c r="K756">
        <v>0</v>
      </c>
      <c r="L756" t="s">
        <v>41</v>
      </c>
      <c r="M756" t="s">
        <v>972</v>
      </c>
      <c r="N756" t="s">
        <v>41</v>
      </c>
    </row>
    <row r="757" spans="3:14" x14ac:dyDescent="0.3">
      <c r="C757" t="s">
        <v>41</v>
      </c>
      <c r="D757" t="s">
        <v>41</v>
      </c>
      <c r="K757">
        <v>0</v>
      </c>
      <c r="L757" t="s">
        <v>41</v>
      </c>
      <c r="M757" t="s">
        <v>972</v>
      </c>
      <c r="N757" t="s">
        <v>41</v>
      </c>
    </row>
    <row r="758" spans="3:14" x14ac:dyDescent="0.3">
      <c r="C758" t="s">
        <v>41</v>
      </c>
      <c r="D758" t="s">
        <v>41</v>
      </c>
      <c r="K758">
        <v>0</v>
      </c>
      <c r="L758" t="s">
        <v>41</v>
      </c>
      <c r="M758" t="s">
        <v>972</v>
      </c>
      <c r="N758" t="s">
        <v>41</v>
      </c>
    </row>
    <row r="759" spans="3:14" x14ac:dyDescent="0.3">
      <c r="C759" t="s">
        <v>41</v>
      </c>
      <c r="D759" t="s">
        <v>41</v>
      </c>
      <c r="K759">
        <v>0</v>
      </c>
      <c r="L759" t="s">
        <v>41</v>
      </c>
      <c r="M759" t="s">
        <v>972</v>
      </c>
      <c r="N759" t="s">
        <v>41</v>
      </c>
    </row>
    <row r="760" spans="3:14" x14ac:dyDescent="0.3">
      <c r="C760" t="s">
        <v>41</v>
      </c>
      <c r="D760" t="s">
        <v>41</v>
      </c>
      <c r="K760">
        <v>0</v>
      </c>
      <c r="L760" t="s">
        <v>41</v>
      </c>
      <c r="M760" t="s">
        <v>972</v>
      </c>
      <c r="N760" t="s">
        <v>41</v>
      </c>
    </row>
    <row r="761" spans="3:14" x14ac:dyDescent="0.3">
      <c r="C761" t="s">
        <v>41</v>
      </c>
      <c r="D761" t="s">
        <v>41</v>
      </c>
      <c r="K761">
        <v>0</v>
      </c>
      <c r="L761" t="s">
        <v>41</v>
      </c>
      <c r="M761" t="s">
        <v>972</v>
      </c>
      <c r="N761" t="s">
        <v>41</v>
      </c>
    </row>
    <row r="762" spans="3:14" x14ac:dyDescent="0.3">
      <c r="C762" t="s">
        <v>41</v>
      </c>
      <c r="D762" t="s">
        <v>41</v>
      </c>
      <c r="K762">
        <v>0</v>
      </c>
      <c r="L762" t="s">
        <v>41</v>
      </c>
      <c r="M762" t="s">
        <v>972</v>
      </c>
      <c r="N762" t="s">
        <v>41</v>
      </c>
    </row>
    <row r="763" spans="3:14" x14ac:dyDescent="0.3">
      <c r="C763" t="s">
        <v>41</v>
      </c>
      <c r="D763" t="s">
        <v>41</v>
      </c>
      <c r="K763">
        <v>0</v>
      </c>
      <c r="L763" t="s">
        <v>41</v>
      </c>
      <c r="M763" t="s">
        <v>972</v>
      </c>
      <c r="N763" t="s">
        <v>41</v>
      </c>
    </row>
    <row r="764" spans="3:14" x14ac:dyDescent="0.3">
      <c r="C764" t="s">
        <v>41</v>
      </c>
      <c r="D764" t="s">
        <v>41</v>
      </c>
      <c r="K764">
        <v>0</v>
      </c>
      <c r="L764" t="s">
        <v>41</v>
      </c>
      <c r="M764" t="s">
        <v>972</v>
      </c>
      <c r="N764" t="s">
        <v>41</v>
      </c>
    </row>
    <row r="765" spans="3:14" x14ac:dyDescent="0.3">
      <c r="C765" t="s">
        <v>41</v>
      </c>
      <c r="D765" t="s">
        <v>41</v>
      </c>
      <c r="K765">
        <v>0</v>
      </c>
      <c r="L765" t="s">
        <v>41</v>
      </c>
      <c r="M765" t="s">
        <v>972</v>
      </c>
      <c r="N765" t="s">
        <v>41</v>
      </c>
    </row>
    <row r="766" spans="3:14" x14ac:dyDescent="0.3">
      <c r="C766" t="s">
        <v>41</v>
      </c>
      <c r="D766" t="s">
        <v>41</v>
      </c>
      <c r="K766">
        <v>0</v>
      </c>
      <c r="L766" t="s">
        <v>41</v>
      </c>
      <c r="M766" t="s">
        <v>972</v>
      </c>
      <c r="N766" t="s">
        <v>41</v>
      </c>
    </row>
    <row r="767" spans="3:14" x14ac:dyDescent="0.3">
      <c r="C767" t="s">
        <v>41</v>
      </c>
      <c r="D767" t="s">
        <v>41</v>
      </c>
      <c r="K767">
        <v>0</v>
      </c>
      <c r="L767" t="s">
        <v>41</v>
      </c>
      <c r="M767" t="s">
        <v>972</v>
      </c>
      <c r="N767" t="s">
        <v>41</v>
      </c>
    </row>
    <row r="768" spans="3:14" x14ac:dyDescent="0.3">
      <c r="C768" t="s">
        <v>41</v>
      </c>
      <c r="D768" t="s">
        <v>41</v>
      </c>
      <c r="K768">
        <v>0</v>
      </c>
      <c r="L768" t="s">
        <v>41</v>
      </c>
      <c r="M768" t="s">
        <v>972</v>
      </c>
      <c r="N768" t="s">
        <v>41</v>
      </c>
    </row>
    <row r="769" spans="3:14" x14ac:dyDescent="0.3">
      <c r="C769" t="s">
        <v>41</v>
      </c>
      <c r="D769" t="s">
        <v>41</v>
      </c>
      <c r="K769">
        <v>0</v>
      </c>
      <c r="L769" t="s">
        <v>41</v>
      </c>
      <c r="M769" t="s">
        <v>972</v>
      </c>
      <c r="N769" t="s">
        <v>41</v>
      </c>
    </row>
    <row r="770" spans="3:14" x14ac:dyDescent="0.3">
      <c r="C770" t="s">
        <v>41</v>
      </c>
      <c r="D770" t="s">
        <v>41</v>
      </c>
      <c r="K770">
        <v>0</v>
      </c>
      <c r="L770" t="s">
        <v>41</v>
      </c>
      <c r="M770" t="s">
        <v>972</v>
      </c>
      <c r="N770" t="s">
        <v>41</v>
      </c>
    </row>
    <row r="771" spans="3:14" x14ac:dyDescent="0.3">
      <c r="C771" t="s">
        <v>41</v>
      </c>
      <c r="D771" t="s">
        <v>41</v>
      </c>
      <c r="K771">
        <v>0</v>
      </c>
      <c r="L771" t="s">
        <v>41</v>
      </c>
      <c r="M771" t="s">
        <v>972</v>
      </c>
      <c r="N771" t="s">
        <v>41</v>
      </c>
    </row>
    <row r="772" spans="3:14" x14ac:dyDescent="0.3">
      <c r="C772" t="s">
        <v>41</v>
      </c>
      <c r="D772" t="s">
        <v>41</v>
      </c>
      <c r="K772">
        <v>0</v>
      </c>
      <c r="L772" t="s">
        <v>41</v>
      </c>
      <c r="M772" t="s">
        <v>972</v>
      </c>
      <c r="N772" t="s">
        <v>41</v>
      </c>
    </row>
    <row r="773" spans="3:14" x14ac:dyDescent="0.3">
      <c r="C773" t="s">
        <v>41</v>
      </c>
      <c r="D773" t="s">
        <v>41</v>
      </c>
      <c r="K773">
        <v>0</v>
      </c>
      <c r="L773" t="s">
        <v>41</v>
      </c>
      <c r="M773" t="s">
        <v>972</v>
      </c>
      <c r="N773" t="s">
        <v>41</v>
      </c>
    </row>
    <row r="774" spans="3:14" x14ac:dyDescent="0.3">
      <c r="C774" t="s">
        <v>41</v>
      </c>
      <c r="D774" t="s">
        <v>41</v>
      </c>
      <c r="K774">
        <v>0</v>
      </c>
      <c r="L774" t="s">
        <v>41</v>
      </c>
      <c r="M774" t="s">
        <v>972</v>
      </c>
      <c r="N774" t="s">
        <v>41</v>
      </c>
    </row>
    <row r="775" spans="3:14" x14ac:dyDescent="0.3">
      <c r="C775" t="s">
        <v>41</v>
      </c>
      <c r="D775" t="s">
        <v>41</v>
      </c>
      <c r="K775">
        <v>0</v>
      </c>
      <c r="L775" t="s">
        <v>41</v>
      </c>
      <c r="M775" t="s">
        <v>972</v>
      </c>
      <c r="N775" t="s">
        <v>41</v>
      </c>
    </row>
    <row r="776" spans="3:14" x14ac:dyDescent="0.3">
      <c r="C776" t="s">
        <v>41</v>
      </c>
      <c r="D776" t="s">
        <v>41</v>
      </c>
      <c r="K776">
        <v>0</v>
      </c>
      <c r="L776" t="s">
        <v>41</v>
      </c>
      <c r="M776" t="s">
        <v>972</v>
      </c>
      <c r="N776" t="s">
        <v>41</v>
      </c>
    </row>
    <row r="777" spans="3:14" x14ac:dyDescent="0.3">
      <c r="C777" t="s">
        <v>41</v>
      </c>
      <c r="D777" t="s">
        <v>41</v>
      </c>
      <c r="K777">
        <v>0</v>
      </c>
      <c r="L777" t="s">
        <v>41</v>
      </c>
      <c r="M777" t="s">
        <v>972</v>
      </c>
      <c r="N777" t="s">
        <v>41</v>
      </c>
    </row>
    <row r="778" spans="3:14" x14ac:dyDescent="0.3">
      <c r="C778" t="s">
        <v>41</v>
      </c>
      <c r="D778" t="s">
        <v>41</v>
      </c>
      <c r="K778">
        <v>0</v>
      </c>
      <c r="L778" t="s">
        <v>41</v>
      </c>
      <c r="M778" t="s">
        <v>972</v>
      </c>
      <c r="N778" t="s">
        <v>41</v>
      </c>
    </row>
    <row r="779" spans="3:14" x14ac:dyDescent="0.3">
      <c r="C779" t="s">
        <v>41</v>
      </c>
      <c r="D779" t="s">
        <v>41</v>
      </c>
      <c r="K779">
        <v>0</v>
      </c>
      <c r="L779" t="s">
        <v>41</v>
      </c>
      <c r="M779" t="s">
        <v>972</v>
      </c>
      <c r="N779" t="s">
        <v>41</v>
      </c>
    </row>
    <row r="780" spans="3:14" x14ac:dyDescent="0.3">
      <c r="C780" t="s">
        <v>41</v>
      </c>
      <c r="D780" t="s">
        <v>41</v>
      </c>
      <c r="K780">
        <v>0</v>
      </c>
      <c r="L780" t="s">
        <v>41</v>
      </c>
      <c r="M780" t="s">
        <v>972</v>
      </c>
      <c r="N780" t="s">
        <v>41</v>
      </c>
    </row>
    <row r="781" spans="3:14" x14ac:dyDescent="0.3">
      <c r="C781" t="s">
        <v>41</v>
      </c>
      <c r="D781" t="s">
        <v>41</v>
      </c>
      <c r="K781">
        <v>0</v>
      </c>
      <c r="L781" t="s">
        <v>41</v>
      </c>
      <c r="M781" t="s">
        <v>972</v>
      </c>
      <c r="N781" t="s">
        <v>41</v>
      </c>
    </row>
    <row r="782" spans="3:14" x14ac:dyDescent="0.3">
      <c r="C782" t="s">
        <v>41</v>
      </c>
      <c r="D782" t="s">
        <v>41</v>
      </c>
      <c r="K782">
        <v>0</v>
      </c>
      <c r="L782" t="s">
        <v>41</v>
      </c>
      <c r="M782" t="s">
        <v>972</v>
      </c>
      <c r="N782" t="s">
        <v>41</v>
      </c>
    </row>
    <row r="783" spans="3:14" x14ac:dyDescent="0.3">
      <c r="C783" t="s">
        <v>41</v>
      </c>
      <c r="D783" t="s">
        <v>41</v>
      </c>
      <c r="K783">
        <v>0</v>
      </c>
      <c r="L783" t="s">
        <v>41</v>
      </c>
      <c r="M783" t="s">
        <v>972</v>
      </c>
      <c r="N783" t="s">
        <v>41</v>
      </c>
    </row>
    <row r="784" spans="3:14" x14ac:dyDescent="0.3">
      <c r="C784" t="s">
        <v>41</v>
      </c>
      <c r="D784" t="s">
        <v>41</v>
      </c>
      <c r="K784">
        <v>0</v>
      </c>
      <c r="L784" t="s">
        <v>41</v>
      </c>
      <c r="M784" t="s">
        <v>972</v>
      </c>
      <c r="N784" t="s">
        <v>41</v>
      </c>
    </row>
    <row r="785" spans="3:14" x14ac:dyDescent="0.3">
      <c r="C785" t="s">
        <v>41</v>
      </c>
      <c r="D785" t="s">
        <v>41</v>
      </c>
      <c r="K785">
        <v>0</v>
      </c>
      <c r="L785" t="s">
        <v>41</v>
      </c>
      <c r="M785" t="s">
        <v>972</v>
      </c>
      <c r="N785" t="s">
        <v>41</v>
      </c>
    </row>
    <row r="786" spans="3:14" x14ac:dyDescent="0.3">
      <c r="C786" t="s">
        <v>41</v>
      </c>
      <c r="D786" t="s">
        <v>41</v>
      </c>
      <c r="K786">
        <v>0</v>
      </c>
      <c r="L786" t="s">
        <v>41</v>
      </c>
      <c r="M786" t="s">
        <v>972</v>
      </c>
      <c r="N786" t="s">
        <v>41</v>
      </c>
    </row>
    <row r="787" spans="3:14" x14ac:dyDescent="0.3">
      <c r="C787" t="s">
        <v>41</v>
      </c>
      <c r="D787" t="s">
        <v>41</v>
      </c>
      <c r="K787">
        <v>0</v>
      </c>
      <c r="L787" t="s">
        <v>41</v>
      </c>
      <c r="M787" t="s">
        <v>972</v>
      </c>
      <c r="N787" t="s">
        <v>41</v>
      </c>
    </row>
    <row r="788" spans="3:14" x14ac:dyDescent="0.3">
      <c r="C788" t="s">
        <v>41</v>
      </c>
      <c r="D788" t="s">
        <v>41</v>
      </c>
      <c r="K788">
        <v>0</v>
      </c>
      <c r="L788" t="s">
        <v>41</v>
      </c>
      <c r="M788" t="s">
        <v>972</v>
      </c>
      <c r="N788" t="s">
        <v>41</v>
      </c>
    </row>
    <row r="789" spans="3:14" x14ac:dyDescent="0.3">
      <c r="C789" t="s">
        <v>41</v>
      </c>
      <c r="D789" t="s">
        <v>41</v>
      </c>
      <c r="K789">
        <v>0</v>
      </c>
      <c r="L789" t="s">
        <v>41</v>
      </c>
      <c r="M789" t="s">
        <v>972</v>
      </c>
      <c r="N789" t="s">
        <v>41</v>
      </c>
    </row>
    <row r="790" spans="3:14" x14ac:dyDescent="0.3">
      <c r="C790" t="s">
        <v>41</v>
      </c>
      <c r="D790" t="s">
        <v>41</v>
      </c>
      <c r="K790">
        <v>0</v>
      </c>
      <c r="L790" t="s">
        <v>41</v>
      </c>
      <c r="M790" t="s">
        <v>972</v>
      </c>
      <c r="N790" t="s">
        <v>41</v>
      </c>
    </row>
    <row r="791" spans="3:14" x14ac:dyDescent="0.3">
      <c r="C791" t="s">
        <v>41</v>
      </c>
      <c r="D791" t="s">
        <v>41</v>
      </c>
      <c r="K791">
        <v>0</v>
      </c>
      <c r="L791" t="s">
        <v>41</v>
      </c>
      <c r="M791" t="s">
        <v>972</v>
      </c>
      <c r="N791" t="s">
        <v>41</v>
      </c>
    </row>
    <row r="792" spans="3:14" x14ac:dyDescent="0.3">
      <c r="C792" t="s">
        <v>41</v>
      </c>
      <c r="D792" t="s">
        <v>41</v>
      </c>
      <c r="K792">
        <v>0</v>
      </c>
      <c r="L792" t="s">
        <v>41</v>
      </c>
      <c r="M792" t="s">
        <v>972</v>
      </c>
      <c r="N792" t="s">
        <v>41</v>
      </c>
    </row>
    <row r="793" spans="3:14" x14ac:dyDescent="0.3">
      <c r="C793" t="s">
        <v>41</v>
      </c>
      <c r="D793" t="s">
        <v>41</v>
      </c>
      <c r="K793">
        <v>0</v>
      </c>
      <c r="L793" t="s">
        <v>41</v>
      </c>
      <c r="M793" t="s">
        <v>972</v>
      </c>
      <c r="N793" t="s">
        <v>41</v>
      </c>
    </row>
    <row r="794" spans="3:14" x14ac:dyDescent="0.3">
      <c r="C794" t="s">
        <v>41</v>
      </c>
      <c r="D794" t="s">
        <v>41</v>
      </c>
      <c r="K794">
        <v>0</v>
      </c>
      <c r="L794" t="s">
        <v>41</v>
      </c>
      <c r="M794" t="s">
        <v>972</v>
      </c>
      <c r="N794" t="s">
        <v>41</v>
      </c>
    </row>
    <row r="795" spans="3:14" x14ac:dyDescent="0.3">
      <c r="C795" t="s">
        <v>41</v>
      </c>
      <c r="D795" t="s">
        <v>41</v>
      </c>
      <c r="K795">
        <v>0</v>
      </c>
      <c r="L795" t="s">
        <v>41</v>
      </c>
      <c r="M795" t="s">
        <v>972</v>
      </c>
      <c r="N795" t="s">
        <v>41</v>
      </c>
    </row>
    <row r="796" spans="3:14" x14ac:dyDescent="0.3">
      <c r="C796" t="s">
        <v>41</v>
      </c>
      <c r="D796" t="s">
        <v>41</v>
      </c>
      <c r="K796">
        <v>0</v>
      </c>
      <c r="L796" t="s">
        <v>41</v>
      </c>
      <c r="M796" t="s">
        <v>972</v>
      </c>
      <c r="N796" t="s">
        <v>41</v>
      </c>
    </row>
    <row r="797" spans="3:14" x14ac:dyDescent="0.3">
      <c r="C797" t="s">
        <v>41</v>
      </c>
      <c r="D797" t="s">
        <v>41</v>
      </c>
      <c r="K797">
        <v>0</v>
      </c>
      <c r="L797" t="s">
        <v>41</v>
      </c>
      <c r="M797" t="s">
        <v>972</v>
      </c>
      <c r="N797" t="s">
        <v>41</v>
      </c>
    </row>
    <row r="798" spans="3:14" x14ac:dyDescent="0.3">
      <c r="C798" t="s">
        <v>41</v>
      </c>
      <c r="D798" t="s">
        <v>41</v>
      </c>
      <c r="K798">
        <v>0</v>
      </c>
      <c r="L798" t="s">
        <v>41</v>
      </c>
      <c r="M798" t="s">
        <v>972</v>
      </c>
      <c r="N798" t="s">
        <v>41</v>
      </c>
    </row>
    <row r="799" spans="3:14" x14ac:dyDescent="0.3">
      <c r="C799" t="s">
        <v>41</v>
      </c>
      <c r="D799" t="s">
        <v>41</v>
      </c>
      <c r="K799">
        <v>0</v>
      </c>
      <c r="L799" t="s">
        <v>41</v>
      </c>
      <c r="M799" t="s">
        <v>972</v>
      </c>
      <c r="N799" t="s">
        <v>41</v>
      </c>
    </row>
    <row r="800" spans="3:14" x14ac:dyDescent="0.3">
      <c r="C800" t="s">
        <v>41</v>
      </c>
      <c r="D800" t="s">
        <v>41</v>
      </c>
      <c r="K800">
        <v>0</v>
      </c>
      <c r="L800" t="s">
        <v>41</v>
      </c>
      <c r="M800" t="s">
        <v>972</v>
      </c>
      <c r="N800" t="s">
        <v>41</v>
      </c>
    </row>
    <row r="801" spans="3:14" x14ac:dyDescent="0.3">
      <c r="C801" t="s">
        <v>41</v>
      </c>
      <c r="D801" t="s">
        <v>41</v>
      </c>
      <c r="K801">
        <v>0</v>
      </c>
      <c r="L801" t="s">
        <v>41</v>
      </c>
      <c r="M801" t="s">
        <v>972</v>
      </c>
      <c r="N801" t="s">
        <v>41</v>
      </c>
    </row>
    <row r="802" spans="3:14" x14ac:dyDescent="0.3">
      <c r="C802" t="s">
        <v>41</v>
      </c>
      <c r="D802" t="s">
        <v>41</v>
      </c>
      <c r="K802">
        <v>0</v>
      </c>
      <c r="L802" t="s">
        <v>41</v>
      </c>
      <c r="M802" t="s">
        <v>972</v>
      </c>
      <c r="N802" t="s">
        <v>41</v>
      </c>
    </row>
    <row r="803" spans="3:14" x14ac:dyDescent="0.3">
      <c r="C803" t="s">
        <v>41</v>
      </c>
      <c r="D803" t="s">
        <v>41</v>
      </c>
      <c r="K803">
        <v>0</v>
      </c>
      <c r="L803" t="s">
        <v>41</v>
      </c>
      <c r="M803" t="s">
        <v>972</v>
      </c>
      <c r="N803" t="s">
        <v>41</v>
      </c>
    </row>
    <row r="804" spans="3:14" x14ac:dyDescent="0.3">
      <c r="C804" t="s">
        <v>41</v>
      </c>
      <c r="D804" t="s">
        <v>41</v>
      </c>
      <c r="K804">
        <v>0</v>
      </c>
      <c r="L804" t="s">
        <v>41</v>
      </c>
      <c r="M804" t="s">
        <v>972</v>
      </c>
      <c r="N804" t="s">
        <v>41</v>
      </c>
    </row>
    <row r="805" spans="3:14" x14ac:dyDescent="0.3">
      <c r="C805" t="s">
        <v>41</v>
      </c>
      <c r="D805" t="s">
        <v>41</v>
      </c>
      <c r="K805">
        <v>0</v>
      </c>
      <c r="L805" t="s">
        <v>41</v>
      </c>
      <c r="M805" t="s">
        <v>972</v>
      </c>
      <c r="N805" t="s">
        <v>41</v>
      </c>
    </row>
    <row r="806" spans="3:14" x14ac:dyDescent="0.3">
      <c r="C806" t="s">
        <v>41</v>
      </c>
      <c r="D806" t="s">
        <v>41</v>
      </c>
      <c r="K806">
        <v>0</v>
      </c>
      <c r="L806" t="s">
        <v>41</v>
      </c>
      <c r="M806" t="s">
        <v>972</v>
      </c>
      <c r="N806" t="s">
        <v>41</v>
      </c>
    </row>
    <row r="807" spans="3:14" x14ac:dyDescent="0.3">
      <c r="C807" t="s">
        <v>41</v>
      </c>
      <c r="D807" t="s">
        <v>41</v>
      </c>
      <c r="K807">
        <v>0</v>
      </c>
      <c r="L807" t="s">
        <v>41</v>
      </c>
      <c r="M807" t="s">
        <v>972</v>
      </c>
      <c r="N807" t="s">
        <v>41</v>
      </c>
    </row>
    <row r="808" spans="3:14" x14ac:dyDescent="0.3">
      <c r="C808" t="s">
        <v>41</v>
      </c>
      <c r="D808" t="s">
        <v>41</v>
      </c>
      <c r="K808">
        <v>0</v>
      </c>
      <c r="L808" t="s">
        <v>41</v>
      </c>
      <c r="M808" t="s">
        <v>972</v>
      </c>
      <c r="N808" t="s">
        <v>41</v>
      </c>
    </row>
    <row r="809" spans="3:14" x14ac:dyDescent="0.3">
      <c r="C809" t="s">
        <v>41</v>
      </c>
      <c r="D809" t="s">
        <v>41</v>
      </c>
      <c r="K809">
        <v>0</v>
      </c>
      <c r="L809" t="s">
        <v>41</v>
      </c>
      <c r="M809" t="s">
        <v>972</v>
      </c>
      <c r="N809" t="s">
        <v>41</v>
      </c>
    </row>
    <row r="810" spans="3:14" x14ac:dyDescent="0.3">
      <c r="C810" t="s">
        <v>41</v>
      </c>
      <c r="D810" t="s">
        <v>41</v>
      </c>
      <c r="K810">
        <v>0</v>
      </c>
      <c r="L810" t="s">
        <v>41</v>
      </c>
      <c r="M810" t="s">
        <v>972</v>
      </c>
      <c r="N810" t="s">
        <v>41</v>
      </c>
    </row>
    <row r="811" spans="3:14" x14ac:dyDescent="0.3">
      <c r="C811" t="s">
        <v>41</v>
      </c>
      <c r="D811" t="s">
        <v>41</v>
      </c>
      <c r="K811">
        <v>0</v>
      </c>
      <c r="L811" t="s">
        <v>41</v>
      </c>
      <c r="M811" t="s">
        <v>972</v>
      </c>
      <c r="N811" t="s">
        <v>41</v>
      </c>
    </row>
    <row r="812" spans="3:14" x14ac:dyDescent="0.3">
      <c r="C812" t="s">
        <v>41</v>
      </c>
      <c r="D812" t="s">
        <v>41</v>
      </c>
      <c r="K812">
        <v>0</v>
      </c>
      <c r="L812" t="s">
        <v>41</v>
      </c>
      <c r="M812" t="s">
        <v>972</v>
      </c>
      <c r="N812" t="s">
        <v>41</v>
      </c>
    </row>
    <row r="813" spans="3:14" x14ac:dyDescent="0.3">
      <c r="C813" t="s">
        <v>41</v>
      </c>
      <c r="D813" t="s">
        <v>41</v>
      </c>
      <c r="K813">
        <v>0</v>
      </c>
      <c r="L813" t="s">
        <v>41</v>
      </c>
      <c r="M813" t="s">
        <v>972</v>
      </c>
      <c r="N813" t="s">
        <v>41</v>
      </c>
    </row>
    <row r="814" spans="3:14" x14ac:dyDescent="0.3">
      <c r="C814" t="s">
        <v>41</v>
      </c>
      <c r="D814" t="s">
        <v>41</v>
      </c>
      <c r="K814">
        <v>0</v>
      </c>
      <c r="L814" t="s">
        <v>41</v>
      </c>
      <c r="M814" t="s">
        <v>972</v>
      </c>
      <c r="N814" t="s">
        <v>41</v>
      </c>
    </row>
    <row r="815" spans="3:14" x14ac:dyDescent="0.3">
      <c r="C815" t="s">
        <v>41</v>
      </c>
      <c r="D815" t="s">
        <v>41</v>
      </c>
      <c r="K815">
        <v>0</v>
      </c>
      <c r="L815" t="s">
        <v>41</v>
      </c>
      <c r="M815" t="s">
        <v>972</v>
      </c>
      <c r="N815" t="s">
        <v>41</v>
      </c>
    </row>
    <row r="816" spans="3:14" x14ac:dyDescent="0.3">
      <c r="C816" t="s">
        <v>41</v>
      </c>
      <c r="D816" t="s">
        <v>41</v>
      </c>
      <c r="K816">
        <v>0</v>
      </c>
      <c r="L816" t="s">
        <v>41</v>
      </c>
      <c r="M816" t="s">
        <v>972</v>
      </c>
      <c r="N816" t="s">
        <v>41</v>
      </c>
    </row>
    <row r="817" spans="3:14" x14ac:dyDescent="0.3">
      <c r="C817" t="s">
        <v>41</v>
      </c>
      <c r="D817" t="s">
        <v>41</v>
      </c>
      <c r="K817">
        <v>0</v>
      </c>
      <c r="L817" t="s">
        <v>41</v>
      </c>
      <c r="M817" t="s">
        <v>972</v>
      </c>
      <c r="N817" t="s">
        <v>41</v>
      </c>
    </row>
    <row r="818" spans="3:14" x14ac:dyDescent="0.3">
      <c r="C818" t="s">
        <v>41</v>
      </c>
      <c r="D818" t="s">
        <v>41</v>
      </c>
      <c r="K818">
        <v>0</v>
      </c>
      <c r="L818" t="s">
        <v>41</v>
      </c>
      <c r="M818" t="s">
        <v>972</v>
      </c>
      <c r="N818" t="s">
        <v>41</v>
      </c>
    </row>
    <row r="819" spans="3:14" x14ac:dyDescent="0.3">
      <c r="C819" t="s">
        <v>41</v>
      </c>
      <c r="D819" t="s">
        <v>41</v>
      </c>
      <c r="K819">
        <v>0</v>
      </c>
      <c r="L819" t="s">
        <v>41</v>
      </c>
      <c r="M819" t="s">
        <v>972</v>
      </c>
      <c r="N819" t="s">
        <v>41</v>
      </c>
    </row>
    <row r="820" spans="3:14" x14ac:dyDescent="0.3">
      <c r="C820" t="s">
        <v>41</v>
      </c>
      <c r="D820" t="s">
        <v>41</v>
      </c>
      <c r="K820">
        <v>0</v>
      </c>
      <c r="L820" t="s">
        <v>41</v>
      </c>
      <c r="M820" t="s">
        <v>972</v>
      </c>
      <c r="N820" t="s">
        <v>41</v>
      </c>
    </row>
    <row r="821" spans="3:14" x14ac:dyDescent="0.3">
      <c r="C821" t="s">
        <v>41</v>
      </c>
      <c r="D821" t="s">
        <v>41</v>
      </c>
      <c r="K821">
        <v>0</v>
      </c>
      <c r="L821" t="s">
        <v>41</v>
      </c>
      <c r="M821" t="s">
        <v>972</v>
      </c>
      <c r="N821" t="s">
        <v>41</v>
      </c>
    </row>
    <row r="822" spans="3:14" x14ac:dyDescent="0.3">
      <c r="C822" t="s">
        <v>41</v>
      </c>
      <c r="D822" t="s">
        <v>41</v>
      </c>
      <c r="K822">
        <v>0</v>
      </c>
      <c r="L822" t="s">
        <v>41</v>
      </c>
      <c r="M822" t="s">
        <v>972</v>
      </c>
      <c r="N822" t="s">
        <v>41</v>
      </c>
    </row>
    <row r="823" spans="3:14" x14ac:dyDescent="0.3">
      <c r="C823" t="s">
        <v>41</v>
      </c>
      <c r="D823" t="s">
        <v>41</v>
      </c>
      <c r="K823">
        <v>0</v>
      </c>
      <c r="L823" t="s">
        <v>41</v>
      </c>
      <c r="M823" t="s">
        <v>972</v>
      </c>
      <c r="N823" t="s">
        <v>41</v>
      </c>
    </row>
    <row r="824" spans="3:14" x14ac:dyDescent="0.3">
      <c r="C824" t="s">
        <v>41</v>
      </c>
      <c r="D824" t="s">
        <v>41</v>
      </c>
      <c r="K824">
        <v>0</v>
      </c>
      <c r="L824" t="s">
        <v>41</v>
      </c>
      <c r="M824" t="s">
        <v>972</v>
      </c>
      <c r="N824" t="s">
        <v>41</v>
      </c>
    </row>
    <row r="825" spans="3:14" x14ac:dyDescent="0.3">
      <c r="C825" t="s">
        <v>41</v>
      </c>
      <c r="D825" t="s">
        <v>41</v>
      </c>
      <c r="K825">
        <v>0</v>
      </c>
      <c r="L825" t="s">
        <v>41</v>
      </c>
      <c r="M825" t="s">
        <v>972</v>
      </c>
      <c r="N825" t="s">
        <v>41</v>
      </c>
    </row>
    <row r="826" spans="3:14" x14ac:dyDescent="0.3">
      <c r="C826" t="s">
        <v>41</v>
      </c>
      <c r="D826" t="s">
        <v>41</v>
      </c>
      <c r="K826">
        <v>0</v>
      </c>
      <c r="L826" t="s">
        <v>41</v>
      </c>
      <c r="M826" t="s">
        <v>972</v>
      </c>
      <c r="N826" t="s">
        <v>41</v>
      </c>
    </row>
    <row r="827" spans="3:14" x14ac:dyDescent="0.3">
      <c r="C827" t="s">
        <v>41</v>
      </c>
      <c r="D827" t="s">
        <v>41</v>
      </c>
      <c r="K827">
        <v>0</v>
      </c>
      <c r="L827" t="s">
        <v>41</v>
      </c>
      <c r="M827" t="s">
        <v>972</v>
      </c>
      <c r="N827" t="s">
        <v>41</v>
      </c>
    </row>
    <row r="828" spans="3:14" x14ac:dyDescent="0.3">
      <c r="C828" t="s">
        <v>41</v>
      </c>
      <c r="D828" t="s">
        <v>41</v>
      </c>
      <c r="K828">
        <v>0</v>
      </c>
      <c r="L828" t="s">
        <v>41</v>
      </c>
      <c r="M828" t="s">
        <v>972</v>
      </c>
      <c r="N828" t="s">
        <v>41</v>
      </c>
    </row>
    <row r="829" spans="3:14" x14ac:dyDescent="0.3">
      <c r="C829" t="s">
        <v>41</v>
      </c>
      <c r="D829" t="s">
        <v>41</v>
      </c>
      <c r="K829">
        <v>0</v>
      </c>
      <c r="L829" t="s">
        <v>41</v>
      </c>
      <c r="M829" t="s">
        <v>972</v>
      </c>
      <c r="N829" t="s">
        <v>41</v>
      </c>
    </row>
    <row r="830" spans="3:14" x14ac:dyDescent="0.3">
      <c r="C830" t="s">
        <v>41</v>
      </c>
      <c r="D830" t="s">
        <v>41</v>
      </c>
      <c r="K830">
        <v>0</v>
      </c>
      <c r="L830" t="s">
        <v>41</v>
      </c>
      <c r="M830" t="s">
        <v>972</v>
      </c>
      <c r="N830" t="s">
        <v>41</v>
      </c>
    </row>
    <row r="831" spans="3:14" x14ac:dyDescent="0.3">
      <c r="C831" t="s">
        <v>41</v>
      </c>
      <c r="D831" t="s">
        <v>41</v>
      </c>
      <c r="K831">
        <v>0</v>
      </c>
      <c r="L831" t="s">
        <v>41</v>
      </c>
      <c r="M831" t="s">
        <v>972</v>
      </c>
      <c r="N831" t="s">
        <v>41</v>
      </c>
    </row>
    <row r="832" spans="3:14" x14ac:dyDescent="0.3">
      <c r="C832" t="s">
        <v>41</v>
      </c>
      <c r="D832" t="s">
        <v>41</v>
      </c>
      <c r="K832">
        <v>0</v>
      </c>
      <c r="L832" t="s">
        <v>41</v>
      </c>
      <c r="M832" t="s">
        <v>972</v>
      </c>
      <c r="N832" t="s">
        <v>41</v>
      </c>
    </row>
    <row r="833" spans="3:14" x14ac:dyDescent="0.3">
      <c r="C833" t="s">
        <v>41</v>
      </c>
      <c r="D833" t="s">
        <v>41</v>
      </c>
      <c r="K833">
        <v>0</v>
      </c>
      <c r="L833" t="s">
        <v>41</v>
      </c>
      <c r="M833" t="s">
        <v>972</v>
      </c>
      <c r="N833" t="s">
        <v>41</v>
      </c>
    </row>
    <row r="834" spans="3:14" x14ac:dyDescent="0.3">
      <c r="C834" t="s">
        <v>41</v>
      </c>
      <c r="D834" t="s">
        <v>41</v>
      </c>
      <c r="K834">
        <v>0</v>
      </c>
      <c r="L834" t="s">
        <v>41</v>
      </c>
      <c r="M834" t="s">
        <v>972</v>
      </c>
      <c r="N834" t="s">
        <v>41</v>
      </c>
    </row>
    <row r="835" spans="3:14" x14ac:dyDescent="0.3">
      <c r="C835" t="s">
        <v>41</v>
      </c>
      <c r="D835" t="s">
        <v>41</v>
      </c>
      <c r="K835">
        <v>0</v>
      </c>
      <c r="L835" t="s">
        <v>41</v>
      </c>
      <c r="M835" t="s">
        <v>972</v>
      </c>
      <c r="N835" t="s">
        <v>41</v>
      </c>
    </row>
    <row r="836" spans="3:14" x14ac:dyDescent="0.3">
      <c r="C836" t="s">
        <v>41</v>
      </c>
      <c r="D836" t="s">
        <v>41</v>
      </c>
      <c r="K836">
        <v>0</v>
      </c>
      <c r="L836" t="s">
        <v>41</v>
      </c>
      <c r="M836" t="s">
        <v>972</v>
      </c>
      <c r="N836" t="s">
        <v>41</v>
      </c>
    </row>
    <row r="837" spans="3:14" x14ac:dyDescent="0.3">
      <c r="C837" t="s">
        <v>41</v>
      </c>
      <c r="D837" t="s">
        <v>41</v>
      </c>
      <c r="K837">
        <v>0</v>
      </c>
      <c r="L837" t="s">
        <v>41</v>
      </c>
      <c r="M837" t="s">
        <v>972</v>
      </c>
      <c r="N837" t="s">
        <v>41</v>
      </c>
    </row>
    <row r="838" spans="3:14" x14ac:dyDescent="0.3">
      <c r="C838" t="s">
        <v>41</v>
      </c>
      <c r="D838" t="s">
        <v>41</v>
      </c>
      <c r="K838">
        <v>0</v>
      </c>
      <c r="L838" t="s">
        <v>41</v>
      </c>
      <c r="M838" t="s">
        <v>972</v>
      </c>
      <c r="N838" t="s">
        <v>41</v>
      </c>
    </row>
    <row r="839" spans="3:14" x14ac:dyDescent="0.3">
      <c r="C839" t="s">
        <v>41</v>
      </c>
      <c r="D839" t="s">
        <v>41</v>
      </c>
      <c r="K839">
        <v>0</v>
      </c>
      <c r="L839" t="s">
        <v>41</v>
      </c>
      <c r="M839" t="s">
        <v>972</v>
      </c>
      <c r="N839" t="s">
        <v>41</v>
      </c>
    </row>
    <row r="840" spans="3:14" x14ac:dyDescent="0.3">
      <c r="C840" t="s">
        <v>41</v>
      </c>
      <c r="D840" t="s">
        <v>41</v>
      </c>
      <c r="K840">
        <v>0</v>
      </c>
      <c r="L840" t="s">
        <v>41</v>
      </c>
      <c r="M840" t="s">
        <v>972</v>
      </c>
      <c r="N840" t="s">
        <v>41</v>
      </c>
    </row>
    <row r="841" spans="3:14" x14ac:dyDescent="0.3">
      <c r="C841" t="s">
        <v>41</v>
      </c>
      <c r="D841" t="s">
        <v>41</v>
      </c>
      <c r="K841">
        <v>0</v>
      </c>
      <c r="L841" t="s">
        <v>41</v>
      </c>
      <c r="M841" t="s">
        <v>972</v>
      </c>
      <c r="N841" t="s">
        <v>41</v>
      </c>
    </row>
    <row r="842" spans="3:14" x14ac:dyDescent="0.3">
      <c r="C842" t="s">
        <v>41</v>
      </c>
      <c r="D842" t="s">
        <v>41</v>
      </c>
      <c r="K842">
        <v>0</v>
      </c>
      <c r="L842" t="s">
        <v>41</v>
      </c>
      <c r="M842" t="s">
        <v>972</v>
      </c>
      <c r="N842" t="s">
        <v>41</v>
      </c>
    </row>
    <row r="843" spans="3:14" x14ac:dyDescent="0.3">
      <c r="C843" t="s">
        <v>41</v>
      </c>
      <c r="D843" t="s">
        <v>41</v>
      </c>
      <c r="K843">
        <v>0</v>
      </c>
      <c r="L843" t="s">
        <v>41</v>
      </c>
      <c r="M843" t="s">
        <v>972</v>
      </c>
      <c r="N843" t="s">
        <v>41</v>
      </c>
    </row>
    <row r="844" spans="3:14" x14ac:dyDescent="0.3">
      <c r="C844" t="s">
        <v>41</v>
      </c>
      <c r="D844" t="s">
        <v>41</v>
      </c>
      <c r="K844">
        <v>0</v>
      </c>
      <c r="L844" t="s">
        <v>41</v>
      </c>
      <c r="M844" t="s">
        <v>972</v>
      </c>
      <c r="N844" t="s">
        <v>41</v>
      </c>
    </row>
    <row r="845" spans="3:14" x14ac:dyDescent="0.3">
      <c r="C845" t="s">
        <v>41</v>
      </c>
      <c r="D845" t="s">
        <v>41</v>
      </c>
      <c r="K845">
        <v>0</v>
      </c>
      <c r="L845" t="s">
        <v>41</v>
      </c>
      <c r="M845" t="s">
        <v>972</v>
      </c>
      <c r="N845" t="s">
        <v>41</v>
      </c>
    </row>
    <row r="846" spans="3:14" x14ac:dyDescent="0.3">
      <c r="C846" t="s">
        <v>41</v>
      </c>
      <c r="D846" t="s">
        <v>41</v>
      </c>
      <c r="K846">
        <v>0</v>
      </c>
      <c r="L846" t="s">
        <v>41</v>
      </c>
      <c r="M846" t="s">
        <v>972</v>
      </c>
      <c r="N846" t="s">
        <v>41</v>
      </c>
    </row>
    <row r="847" spans="3:14" x14ac:dyDescent="0.3">
      <c r="C847" t="s">
        <v>41</v>
      </c>
      <c r="D847" t="s">
        <v>41</v>
      </c>
      <c r="K847">
        <v>0</v>
      </c>
      <c r="L847" t="s">
        <v>41</v>
      </c>
      <c r="M847" t="s">
        <v>972</v>
      </c>
      <c r="N847" t="s">
        <v>41</v>
      </c>
    </row>
    <row r="848" spans="3:14" x14ac:dyDescent="0.3">
      <c r="C848" t="s">
        <v>41</v>
      </c>
      <c r="D848" t="s">
        <v>41</v>
      </c>
      <c r="K848">
        <v>0</v>
      </c>
      <c r="L848" t="s">
        <v>41</v>
      </c>
      <c r="M848" t="s">
        <v>972</v>
      </c>
      <c r="N848" t="s">
        <v>41</v>
      </c>
    </row>
    <row r="849" spans="3:14" x14ac:dyDescent="0.3">
      <c r="C849" t="s">
        <v>41</v>
      </c>
      <c r="D849" t="s">
        <v>41</v>
      </c>
      <c r="K849">
        <v>0</v>
      </c>
      <c r="L849" t="s">
        <v>41</v>
      </c>
      <c r="M849" t="s">
        <v>972</v>
      </c>
      <c r="N849" t="s">
        <v>41</v>
      </c>
    </row>
    <row r="850" spans="3:14" x14ac:dyDescent="0.3">
      <c r="C850" t="s">
        <v>41</v>
      </c>
      <c r="D850" t="s">
        <v>41</v>
      </c>
      <c r="K850">
        <v>0</v>
      </c>
      <c r="L850" t="s">
        <v>41</v>
      </c>
      <c r="M850" t="s">
        <v>972</v>
      </c>
      <c r="N850" t="s">
        <v>41</v>
      </c>
    </row>
    <row r="851" spans="3:14" x14ac:dyDescent="0.3">
      <c r="C851" t="s">
        <v>41</v>
      </c>
      <c r="D851" t="s">
        <v>41</v>
      </c>
      <c r="K851">
        <v>0</v>
      </c>
      <c r="L851" t="s">
        <v>41</v>
      </c>
      <c r="M851" t="s">
        <v>972</v>
      </c>
      <c r="N851" t="s">
        <v>41</v>
      </c>
    </row>
    <row r="852" spans="3:14" x14ac:dyDescent="0.3">
      <c r="C852" t="s">
        <v>41</v>
      </c>
      <c r="D852" t="s">
        <v>41</v>
      </c>
      <c r="K852">
        <v>0</v>
      </c>
      <c r="L852" t="s">
        <v>41</v>
      </c>
      <c r="M852" t="s">
        <v>972</v>
      </c>
      <c r="N852" t="s">
        <v>41</v>
      </c>
    </row>
    <row r="853" spans="3:14" x14ac:dyDescent="0.3">
      <c r="C853" t="s">
        <v>41</v>
      </c>
      <c r="D853" t="s">
        <v>41</v>
      </c>
      <c r="K853">
        <v>0</v>
      </c>
      <c r="L853" t="s">
        <v>41</v>
      </c>
      <c r="M853" t="s">
        <v>972</v>
      </c>
      <c r="N853" t="s">
        <v>41</v>
      </c>
    </row>
    <row r="854" spans="3:14" x14ac:dyDescent="0.3">
      <c r="C854" t="s">
        <v>41</v>
      </c>
      <c r="D854" t="s">
        <v>41</v>
      </c>
      <c r="K854">
        <v>0</v>
      </c>
      <c r="L854" t="s">
        <v>41</v>
      </c>
      <c r="M854" t="s">
        <v>972</v>
      </c>
      <c r="N854" t="s">
        <v>41</v>
      </c>
    </row>
    <row r="855" spans="3:14" x14ac:dyDescent="0.3">
      <c r="C855" t="s">
        <v>41</v>
      </c>
      <c r="D855" t="s">
        <v>41</v>
      </c>
      <c r="K855">
        <v>0</v>
      </c>
      <c r="L855" t="s">
        <v>41</v>
      </c>
      <c r="M855" t="s">
        <v>972</v>
      </c>
      <c r="N855" t="s">
        <v>41</v>
      </c>
    </row>
    <row r="856" spans="3:14" x14ac:dyDescent="0.3">
      <c r="C856" t="s">
        <v>41</v>
      </c>
      <c r="D856" t="s">
        <v>41</v>
      </c>
      <c r="K856">
        <v>0</v>
      </c>
      <c r="L856" t="s">
        <v>41</v>
      </c>
      <c r="M856" t="s">
        <v>972</v>
      </c>
      <c r="N856" t="s">
        <v>41</v>
      </c>
    </row>
    <row r="857" spans="3:14" x14ac:dyDescent="0.3">
      <c r="C857" t="s">
        <v>41</v>
      </c>
      <c r="D857" t="s">
        <v>41</v>
      </c>
      <c r="K857">
        <v>0</v>
      </c>
      <c r="L857" t="s">
        <v>41</v>
      </c>
      <c r="M857" t="s">
        <v>972</v>
      </c>
      <c r="N857" t="s">
        <v>41</v>
      </c>
    </row>
    <row r="858" spans="3:14" x14ac:dyDescent="0.3">
      <c r="C858" t="s">
        <v>41</v>
      </c>
      <c r="D858" t="s">
        <v>41</v>
      </c>
      <c r="K858">
        <v>0</v>
      </c>
      <c r="L858" t="s">
        <v>41</v>
      </c>
      <c r="M858" t="s">
        <v>972</v>
      </c>
      <c r="N858" t="s">
        <v>41</v>
      </c>
    </row>
    <row r="859" spans="3:14" x14ac:dyDescent="0.3">
      <c r="C859" t="s">
        <v>41</v>
      </c>
      <c r="D859" t="s">
        <v>41</v>
      </c>
      <c r="K859">
        <v>0</v>
      </c>
      <c r="L859" t="s">
        <v>41</v>
      </c>
      <c r="M859" t="s">
        <v>972</v>
      </c>
      <c r="N859" t="s">
        <v>41</v>
      </c>
    </row>
    <row r="860" spans="3:14" x14ac:dyDescent="0.3">
      <c r="C860" t="s">
        <v>41</v>
      </c>
      <c r="D860" t="s">
        <v>41</v>
      </c>
      <c r="K860">
        <v>0</v>
      </c>
      <c r="L860" t="s">
        <v>41</v>
      </c>
      <c r="M860" t="s">
        <v>972</v>
      </c>
      <c r="N860" t="s">
        <v>41</v>
      </c>
    </row>
    <row r="861" spans="3:14" x14ac:dyDescent="0.3">
      <c r="C861" t="s">
        <v>41</v>
      </c>
      <c r="D861" t="s">
        <v>41</v>
      </c>
      <c r="K861">
        <v>0</v>
      </c>
      <c r="L861" t="s">
        <v>41</v>
      </c>
      <c r="M861" t="s">
        <v>972</v>
      </c>
      <c r="N861" t="s">
        <v>41</v>
      </c>
    </row>
    <row r="862" spans="3:14" x14ac:dyDescent="0.3">
      <c r="C862" t="s">
        <v>41</v>
      </c>
      <c r="D862" t="s">
        <v>41</v>
      </c>
      <c r="K862">
        <v>0</v>
      </c>
      <c r="L862" t="s">
        <v>41</v>
      </c>
      <c r="M862" t="s">
        <v>972</v>
      </c>
      <c r="N862" t="s">
        <v>41</v>
      </c>
    </row>
    <row r="863" spans="3:14" x14ac:dyDescent="0.3">
      <c r="C863" t="s">
        <v>41</v>
      </c>
      <c r="D863" t="s">
        <v>41</v>
      </c>
      <c r="K863">
        <v>0</v>
      </c>
      <c r="L863" t="s">
        <v>41</v>
      </c>
      <c r="M863" t="s">
        <v>972</v>
      </c>
      <c r="N863" t="s">
        <v>41</v>
      </c>
    </row>
    <row r="864" spans="3:14" x14ac:dyDescent="0.3">
      <c r="C864" t="s">
        <v>41</v>
      </c>
      <c r="D864" t="s">
        <v>41</v>
      </c>
      <c r="K864">
        <v>0</v>
      </c>
      <c r="L864" t="s">
        <v>41</v>
      </c>
      <c r="M864" t="s">
        <v>972</v>
      </c>
      <c r="N864" t="s">
        <v>41</v>
      </c>
    </row>
    <row r="865" spans="3:14" x14ac:dyDescent="0.3">
      <c r="C865" t="s">
        <v>41</v>
      </c>
      <c r="D865" t="s">
        <v>41</v>
      </c>
      <c r="K865">
        <v>0</v>
      </c>
      <c r="L865" t="s">
        <v>41</v>
      </c>
      <c r="M865" t="s">
        <v>972</v>
      </c>
      <c r="N865" t="s">
        <v>41</v>
      </c>
    </row>
    <row r="866" spans="3:14" x14ac:dyDescent="0.3">
      <c r="C866" t="s">
        <v>41</v>
      </c>
      <c r="D866" t="s">
        <v>41</v>
      </c>
      <c r="K866">
        <v>0</v>
      </c>
      <c r="L866" t="s">
        <v>41</v>
      </c>
      <c r="M866" t="s">
        <v>972</v>
      </c>
      <c r="N866" t="s">
        <v>41</v>
      </c>
    </row>
    <row r="867" spans="3:14" x14ac:dyDescent="0.3">
      <c r="C867" t="s">
        <v>41</v>
      </c>
      <c r="D867" t="s">
        <v>41</v>
      </c>
      <c r="K867">
        <v>0</v>
      </c>
      <c r="L867" t="s">
        <v>41</v>
      </c>
      <c r="M867" t="s">
        <v>972</v>
      </c>
      <c r="N867" t="s">
        <v>41</v>
      </c>
    </row>
    <row r="868" spans="3:14" x14ac:dyDescent="0.3">
      <c r="C868" t="s">
        <v>41</v>
      </c>
      <c r="D868" t="s">
        <v>41</v>
      </c>
      <c r="K868">
        <v>0</v>
      </c>
      <c r="L868" t="s">
        <v>41</v>
      </c>
      <c r="M868" t="s">
        <v>972</v>
      </c>
      <c r="N868" t="s">
        <v>41</v>
      </c>
    </row>
    <row r="869" spans="3:14" x14ac:dyDescent="0.3">
      <c r="C869" t="s">
        <v>41</v>
      </c>
      <c r="D869" t="s">
        <v>41</v>
      </c>
      <c r="K869">
        <v>0</v>
      </c>
      <c r="L869" t="s">
        <v>41</v>
      </c>
      <c r="M869" t="s">
        <v>972</v>
      </c>
      <c r="N869" t="s">
        <v>41</v>
      </c>
    </row>
    <row r="870" spans="3:14" x14ac:dyDescent="0.3">
      <c r="C870" t="s">
        <v>41</v>
      </c>
      <c r="D870" t="s">
        <v>41</v>
      </c>
      <c r="K870">
        <v>0</v>
      </c>
      <c r="L870" t="s">
        <v>41</v>
      </c>
      <c r="M870" t="s">
        <v>972</v>
      </c>
      <c r="N870" t="s">
        <v>41</v>
      </c>
    </row>
    <row r="871" spans="3:14" x14ac:dyDescent="0.3">
      <c r="C871" t="s">
        <v>41</v>
      </c>
      <c r="D871" t="s">
        <v>41</v>
      </c>
      <c r="K871">
        <v>0</v>
      </c>
      <c r="L871" t="s">
        <v>41</v>
      </c>
      <c r="M871" t="s">
        <v>972</v>
      </c>
      <c r="N871" t="s">
        <v>41</v>
      </c>
    </row>
    <row r="872" spans="3:14" x14ac:dyDescent="0.3">
      <c r="C872" t="s">
        <v>41</v>
      </c>
      <c r="D872" t="s">
        <v>41</v>
      </c>
      <c r="K872">
        <v>0</v>
      </c>
      <c r="L872" t="s">
        <v>41</v>
      </c>
      <c r="M872" t="s">
        <v>972</v>
      </c>
      <c r="N872" t="s">
        <v>41</v>
      </c>
    </row>
    <row r="873" spans="3:14" x14ac:dyDescent="0.3">
      <c r="C873" t="s">
        <v>41</v>
      </c>
      <c r="D873" t="s">
        <v>41</v>
      </c>
      <c r="K873">
        <v>0</v>
      </c>
      <c r="L873" t="s">
        <v>41</v>
      </c>
      <c r="M873" t="s">
        <v>972</v>
      </c>
      <c r="N873" t="s">
        <v>41</v>
      </c>
    </row>
    <row r="874" spans="3:14" x14ac:dyDescent="0.3">
      <c r="C874" t="s">
        <v>41</v>
      </c>
      <c r="D874" t="s">
        <v>41</v>
      </c>
      <c r="K874">
        <v>0</v>
      </c>
      <c r="L874" t="s">
        <v>41</v>
      </c>
      <c r="M874" t="s">
        <v>972</v>
      </c>
      <c r="N874" t="s">
        <v>41</v>
      </c>
    </row>
    <row r="875" spans="3:14" x14ac:dyDescent="0.3">
      <c r="C875" t="s">
        <v>41</v>
      </c>
      <c r="D875" t="s">
        <v>41</v>
      </c>
      <c r="K875">
        <v>0</v>
      </c>
      <c r="L875" t="s">
        <v>41</v>
      </c>
      <c r="M875" t="s">
        <v>972</v>
      </c>
      <c r="N875" t="s">
        <v>41</v>
      </c>
    </row>
    <row r="876" spans="3:14" x14ac:dyDescent="0.3">
      <c r="C876" t="s">
        <v>41</v>
      </c>
      <c r="D876" t="s">
        <v>41</v>
      </c>
      <c r="K876">
        <v>0</v>
      </c>
      <c r="L876" t="s">
        <v>41</v>
      </c>
      <c r="M876" t="s">
        <v>972</v>
      </c>
      <c r="N876" t="s">
        <v>41</v>
      </c>
    </row>
    <row r="877" spans="3:14" x14ac:dyDescent="0.3">
      <c r="C877" t="s">
        <v>41</v>
      </c>
      <c r="D877" t="s">
        <v>41</v>
      </c>
      <c r="K877">
        <v>0</v>
      </c>
      <c r="L877" t="s">
        <v>41</v>
      </c>
      <c r="M877" t="s">
        <v>972</v>
      </c>
      <c r="N877" t="s">
        <v>41</v>
      </c>
    </row>
    <row r="878" spans="3:14" x14ac:dyDescent="0.3">
      <c r="C878" t="s">
        <v>41</v>
      </c>
      <c r="D878" t="s">
        <v>41</v>
      </c>
      <c r="K878">
        <v>0</v>
      </c>
      <c r="L878" t="s">
        <v>41</v>
      </c>
      <c r="M878" t="s">
        <v>972</v>
      </c>
      <c r="N878" t="s">
        <v>41</v>
      </c>
    </row>
    <row r="879" spans="3:14" x14ac:dyDescent="0.3">
      <c r="C879" t="s">
        <v>41</v>
      </c>
      <c r="D879" t="s">
        <v>41</v>
      </c>
      <c r="K879">
        <v>0</v>
      </c>
      <c r="L879" t="s">
        <v>41</v>
      </c>
      <c r="M879" t="s">
        <v>972</v>
      </c>
      <c r="N879" t="s">
        <v>41</v>
      </c>
    </row>
    <row r="880" spans="3:14" x14ac:dyDescent="0.3">
      <c r="C880" t="s">
        <v>41</v>
      </c>
      <c r="D880" t="s">
        <v>41</v>
      </c>
      <c r="K880">
        <v>0</v>
      </c>
      <c r="L880" t="s">
        <v>41</v>
      </c>
      <c r="M880" t="s">
        <v>972</v>
      </c>
      <c r="N880" t="s">
        <v>41</v>
      </c>
    </row>
    <row r="881" spans="3:14" x14ac:dyDescent="0.3">
      <c r="C881" t="s">
        <v>41</v>
      </c>
      <c r="D881" t="s">
        <v>41</v>
      </c>
      <c r="K881">
        <v>0</v>
      </c>
      <c r="L881" t="s">
        <v>41</v>
      </c>
      <c r="M881" t="s">
        <v>972</v>
      </c>
      <c r="N881" t="s">
        <v>41</v>
      </c>
    </row>
    <row r="882" spans="3:14" x14ac:dyDescent="0.3">
      <c r="C882" t="s">
        <v>41</v>
      </c>
      <c r="D882" t="s">
        <v>41</v>
      </c>
      <c r="K882">
        <v>0</v>
      </c>
      <c r="L882" t="s">
        <v>41</v>
      </c>
      <c r="M882" t="s">
        <v>972</v>
      </c>
      <c r="N882" t="s">
        <v>41</v>
      </c>
    </row>
    <row r="883" spans="3:14" x14ac:dyDescent="0.3">
      <c r="C883" t="s">
        <v>41</v>
      </c>
      <c r="D883" t="s">
        <v>41</v>
      </c>
      <c r="K883">
        <v>0</v>
      </c>
      <c r="L883" t="s">
        <v>41</v>
      </c>
      <c r="M883" t="s">
        <v>972</v>
      </c>
      <c r="N883" t="s">
        <v>41</v>
      </c>
    </row>
    <row r="884" spans="3:14" x14ac:dyDescent="0.3">
      <c r="C884" t="s">
        <v>41</v>
      </c>
      <c r="D884" t="s">
        <v>41</v>
      </c>
      <c r="K884">
        <v>0</v>
      </c>
      <c r="L884" t="s">
        <v>41</v>
      </c>
      <c r="M884" t="s">
        <v>972</v>
      </c>
      <c r="N884" t="s">
        <v>41</v>
      </c>
    </row>
    <row r="885" spans="3:14" x14ac:dyDescent="0.3">
      <c r="C885" t="s">
        <v>41</v>
      </c>
      <c r="D885" t="s">
        <v>41</v>
      </c>
      <c r="K885">
        <v>0</v>
      </c>
      <c r="L885" t="s">
        <v>41</v>
      </c>
      <c r="M885" t="s">
        <v>972</v>
      </c>
      <c r="N885" t="s">
        <v>41</v>
      </c>
    </row>
    <row r="886" spans="3:14" x14ac:dyDescent="0.3">
      <c r="C886" t="s">
        <v>41</v>
      </c>
      <c r="D886" t="s">
        <v>41</v>
      </c>
      <c r="K886">
        <v>0</v>
      </c>
      <c r="L886" t="s">
        <v>41</v>
      </c>
      <c r="M886" t="s">
        <v>972</v>
      </c>
      <c r="N886" t="s">
        <v>41</v>
      </c>
    </row>
    <row r="887" spans="3:14" x14ac:dyDescent="0.3">
      <c r="C887" t="s">
        <v>41</v>
      </c>
      <c r="D887" t="s">
        <v>41</v>
      </c>
      <c r="K887">
        <v>0</v>
      </c>
      <c r="L887" t="s">
        <v>41</v>
      </c>
      <c r="M887" t="s">
        <v>972</v>
      </c>
      <c r="N887" t="s">
        <v>41</v>
      </c>
    </row>
    <row r="888" spans="3:14" x14ac:dyDescent="0.3">
      <c r="C888" t="s">
        <v>41</v>
      </c>
      <c r="D888" t="s">
        <v>41</v>
      </c>
      <c r="K888">
        <v>0</v>
      </c>
      <c r="L888" t="s">
        <v>41</v>
      </c>
      <c r="M888" t="s">
        <v>972</v>
      </c>
      <c r="N888" t="s">
        <v>41</v>
      </c>
    </row>
    <row r="889" spans="3:14" x14ac:dyDescent="0.3">
      <c r="C889" t="s">
        <v>41</v>
      </c>
      <c r="D889" t="s">
        <v>41</v>
      </c>
      <c r="K889">
        <v>0</v>
      </c>
      <c r="L889" t="s">
        <v>41</v>
      </c>
      <c r="M889" t="s">
        <v>972</v>
      </c>
      <c r="N889" t="s">
        <v>41</v>
      </c>
    </row>
    <row r="890" spans="3:14" x14ac:dyDescent="0.3">
      <c r="C890" t="s">
        <v>41</v>
      </c>
      <c r="D890" t="s">
        <v>41</v>
      </c>
      <c r="K890">
        <v>0</v>
      </c>
      <c r="L890" t="s">
        <v>41</v>
      </c>
      <c r="M890" t="s">
        <v>972</v>
      </c>
      <c r="N890" t="s">
        <v>41</v>
      </c>
    </row>
    <row r="891" spans="3:14" x14ac:dyDescent="0.3">
      <c r="C891" t="s">
        <v>41</v>
      </c>
      <c r="D891" t="s">
        <v>41</v>
      </c>
      <c r="K891">
        <v>0</v>
      </c>
      <c r="L891" t="s">
        <v>41</v>
      </c>
      <c r="M891" t="s">
        <v>972</v>
      </c>
      <c r="N891" t="s">
        <v>41</v>
      </c>
    </row>
    <row r="892" spans="3:14" x14ac:dyDescent="0.3">
      <c r="C892" t="s">
        <v>41</v>
      </c>
      <c r="D892" t="s">
        <v>41</v>
      </c>
      <c r="K892">
        <v>0</v>
      </c>
      <c r="L892" t="s">
        <v>41</v>
      </c>
      <c r="M892" t="s">
        <v>972</v>
      </c>
      <c r="N892" t="s">
        <v>41</v>
      </c>
    </row>
    <row r="893" spans="3:14" x14ac:dyDescent="0.3">
      <c r="C893" t="s">
        <v>41</v>
      </c>
      <c r="D893" t="s">
        <v>41</v>
      </c>
      <c r="K893">
        <v>0</v>
      </c>
      <c r="L893" t="s">
        <v>41</v>
      </c>
      <c r="M893" t="s">
        <v>972</v>
      </c>
      <c r="N893" t="s">
        <v>41</v>
      </c>
    </row>
    <row r="894" spans="3:14" x14ac:dyDescent="0.3">
      <c r="C894" t="s">
        <v>41</v>
      </c>
      <c r="D894" t="s">
        <v>41</v>
      </c>
      <c r="K894">
        <v>0</v>
      </c>
      <c r="L894" t="s">
        <v>41</v>
      </c>
      <c r="M894" t="s">
        <v>972</v>
      </c>
      <c r="N894" t="s">
        <v>41</v>
      </c>
    </row>
    <row r="895" spans="3:14" x14ac:dyDescent="0.3">
      <c r="C895" t="s">
        <v>41</v>
      </c>
      <c r="D895" t="s">
        <v>41</v>
      </c>
      <c r="K895">
        <v>0</v>
      </c>
      <c r="L895" t="s">
        <v>41</v>
      </c>
      <c r="M895" t="s">
        <v>972</v>
      </c>
      <c r="N895" t="s">
        <v>41</v>
      </c>
    </row>
    <row r="896" spans="3:14" x14ac:dyDescent="0.3">
      <c r="C896" t="s">
        <v>41</v>
      </c>
      <c r="D896" t="s">
        <v>41</v>
      </c>
      <c r="K896">
        <v>0</v>
      </c>
      <c r="L896" t="s">
        <v>41</v>
      </c>
      <c r="M896" t="s">
        <v>972</v>
      </c>
      <c r="N896" t="s">
        <v>41</v>
      </c>
    </row>
    <row r="897" spans="3:14" x14ac:dyDescent="0.3">
      <c r="C897" t="s">
        <v>41</v>
      </c>
      <c r="D897" t="s">
        <v>41</v>
      </c>
      <c r="K897">
        <v>0</v>
      </c>
      <c r="L897" t="s">
        <v>41</v>
      </c>
      <c r="M897" t="s">
        <v>972</v>
      </c>
      <c r="N897" t="s">
        <v>41</v>
      </c>
    </row>
    <row r="898" spans="3:14" x14ac:dyDescent="0.3">
      <c r="C898" t="s">
        <v>41</v>
      </c>
      <c r="D898" t="s">
        <v>41</v>
      </c>
      <c r="K898">
        <v>0</v>
      </c>
      <c r="L898" t="s">
        <v>41</v>
      </c>
      <c r="M898" t="s">
        <v>972</v>
      </c>
      <c r="N898" t="s">
        <v>41</v>
      </c>
    </row>
    <row r="899" spans="3:14" x14ac:dyDescent="0.3">
      <c r="C899" t="s">
        <v>41</v>
      </c>
      <c r="D899" t="s">
        <v>41</v>
      </c>
      <c r="K899">
        <v>0</v>
      </c>
      <c r="L899" t="s">
        <v>41</v>
      </c>
      <c r="M899" t="s">
        <v>972</v>
      </c>
      <c r="N899" t="s">
        <v>41</v>
      </c>
    </row>
    <row r="900" spans="3:14" x14ac:dyDescent="0.3">
      <c r="C900" t="s">
        <v>41</v>
      </c>
      <c r="D900" t="s">
        <v>41</v>
      </c>
      <c r="K900">
        <v>0</v>
      </c>
      <c r="L900" t="s">
        <v>41</v>
      </c>
      <c r="M900" t="s">
        <v>972</v>
      </c>
      <c r="N900" t="s">
        <v>41</v>
      </c>
    </row>
    <row r="901" spans="3:14" x14ac:dyDescent="0.3">
      <c r="C901" t="s">
        <v>41</v>
      </c>
      <c r="D901" t="s">
        <v>41</v>
      </c>
      <c r="K901">
        <v>0</v>
      </c>
      <c r="L901" t="s">
        <v>41</v>
      </c>
      <c r="M901" t="s">
        <v>972</v>
      </c>
      <c r="N901" t="s">
        <v>41</v>
      </c>
    </row>
    <row r="902" spans="3:14" x14ac:dyDescent="0.3">
      <c r="C902" t="s">
        <v>41</v>
      </c>
      <c r="D902" t="s">
        <v>41</v>
      </c>
      <c r="K902">
        <v>0</v>
      </c>
      <c r="L902" t="s">
        <v>41</v>
      </c>
      <c r="M902" t="s">
        <v>972</v>
      </c>
      <c r="N902" t="s">
        <v>41</v>
      </c>
    </row>
    <row r="903" spans="3:14" x14ac:dyDescent="0.3">
      <c r="C903" t="s">
        <v>41</v>
      </c>
      <c r="D903" t="s">
        <v>41</v>
      </c>
      <c r="K903">
        <v>0</v>
      </c>
      <c r="L903" t="s">
        <v>41</v>
      </c>
      <c r="M903" t="s">
        <v>972</v>
      </c>
      <c r="N903" t="s">
        <v>41</v>
      </c>
    </row>
    <row r="904" spans="3:14" x14ac:dyDescent="0.3">
      <c r="C904" t="s">
        <v>41</v>
      </c>
      <c r="D904" t="s">
        <v>41</v>
      </c>
      <c r="K904">
        <v>0</v>
      </c>
      <c r="L904" t="s">
        <v>41</v>
      </c>
      <c r="M904" t="s">
        <v>972</v>
      </c>
      <c r="N904" t="s">
        <v>41</v>
      </c>
    </row>
    <row r="905" spans="3:14" x14ac:dyDescent="0.3">
      <c r="C905" t="s">
        <v>41</v>
      </c>
      <c r="D905" t="s">
        <v>41</v>
      </c>
      <c r="K905">
        <v>0</v>
      </c>
      <c r="L905" t="s">
        <v>41</v>
      </c>
      <c r="M905" t="s">
        <v>972</v>
      </c>
      <c r="N905" t="s">
        <v>41</v>
      </c>
    </row>
    <row r="906" spans="3:14" x14ac:dyDescent="0.3">
      <c r="C906" t="s">
        <v>41</v>
      </c>
      <c r="D906" t="s">
        <v>41</v>
      </c>
      <c r="K906">
        <v>0</v>
      </c>
      <c r="L906" t="s">
        <v>41</v>
      </c>
      <c r="M906" t="s">
        <v>972</v>
      </c>
      <c r="N906" t="s">
        <v>41</v>
      </c>
    </row>
    <row r="907" spans="3:14" x14ac:dyDescent="0.3">
      <c r="C907" t="s">
        <v>41</v>
      </c>
      <c r="D907" t="s">
        <v>41</v>
      </c>
      <c r="K907">
        <v>0</v>
      </c>
      <c r="L907" t="s">
        <v>41</v>
      </c>
      <c r="M907" t="s">
        <v>972</v>
      </c>
      <c r="N907" t="s">
        <v>41</v>
      </c>
    </row>
    <row r="908" spans="3:14" x14ac:dyDescent="0.3">
      <c r="C908" t="s">
        <v>41</v>
      </c>
      <c r="D908" t="s">
        <v>41</v>
      </c>
      <c r="K908">
        <v>0</v>
      </c>
      <c r="L908" t="s">
        <v>41</v>
      </c>
      <c r="M908" t="s">
        <v>972</v>
      </c>
      <c r="N908" t="s">
        <v>41</v>
      </c>
    </row>
    <row r="909" spans="3:14" x14ac:dyDescent="0.3">
      <c r="C909" t="s">
        <v>41</v>
      </c>
      <c r="D909" t="s">
        <v>41</v>
      </c>
      <c r="K909">
        <v>0</v>
      </c>
      <c r="L909" t="s">
        <v>41</v>
      </c>
      <c r="M909" t="s">
        <v>972</v>
      </c>
      <c r="N909" t="s">
        <v>41</v>
      </c>
    </row>
    <row r="910" spans="3:14" x14ac:dyDescent="0.3">
      <c r="C910" t="s">
        <v>41</v>
      </c>
      <c r="D910" t="s">
        <v>41</v>
      </c>
      <c r="K910">
        <v>0</v>
      </c>
      <c r="L910" t="s">
        <v>41</v>
      </c>
      <c r="M910" t="s">
        <v>972</v>
      </c>
      <c r="N910" t="s">
        <v>41</v>
      </c>
    </row>
    <row r="911" spans="3:14" x14ac:dyDescent="0.3">
      <c r="C911" t="s">
        <v>41</v>
      </c>
      <c r="D911" t="s">
        <v>41</v>
      </c>
      <c r="K911">
        <v>0</v>
      </c>
      <c r="L911" t="s">
        <v>41</v>
      </c>
      <c r="M911" t="s">
        <v>972</v>
      </c>
      <c r="N911" t="s">
        <v>41</v>
      </c>
    </row>
    <row r="912" spans="3:14" x14ac:dyDescent="0.3">
      <c r="C912" t="s">
        <v>41</v>
      </c>
      <c r="D912" t="s">
        <v>41</v>
      </c>
      <c r="K912">
        <v>0</v>
      </c>
      <c r="L912" t="s">
        <v>41</v>
      </c>
      <c r="M912" t="s">
        <v>972</v>
      </c>
      <c r="N912" t="s">
        <v>41</v>
      </c>
    </row>
    <row r="913" spans="3:14" x14ac:dyDescent="0.3">
      <c r="C913" t="s">
        <v>41</v>
      </c>
      <c r="D913" t="s">
        <v>41</v>
      </c>
      <c r="K913">
        <v>0</v>
      </c>
      <c r="L913" t="s">
        <v>41</v>
      </c>
      <c r="M913" t="s">
        <v>972</v>
      </c>
      <c r="N913" t="s">
        <v>41</v>
      </c>
    </row>
    <row r="914" spans="3:14" x14ac:dyDescent="0.3">
      <c r="C914" t="s">
        <v>41</v>
      </c>
      <c r="D914" t="s">
        <v>41</v>
      </c>
      <c r="K914">
        <v>0</v>
      </c>
      <c r="L914" t="s">
        <v>41</v>
      </c>
      <c r="M914" t="s">
        <v>972</v>
      </c>
      <c r="N914" t="s">
        <v>41</v>
      </c>
    </row>
    <row r="915" spans="3:14" x14ac:dyDescent="0.3">
      <c r="C915" t="s">
        <v>41</v>
      </c>
      <c r="D915" t="s">
        <v>41</v>
      </c>
      <c r="K915">
        <v>0</v>
      </c>
      <c r="L915" t="s">
        <v>41</v>
      </c>
      <c r="M915" t="s">
        <v>972</v>
      </c>
      <c r="N915" t="s">
        <v>41</v>
      </c>
    </row>
    <row r="916" spans="3:14" x14ac:dyDescent="0.3">
      <c r="C916" t="s">
        <v>41</v>
      </c>
      <c r="D916" t="s">
        <v>41</v>
      </c>
      <c r="K916">
        <v>0</v>
      </c>
      <c r="L916" t="s">
        <v>41</v>
      </c>
      <c r="M916" t="s">
        <v>972</v>
      </c>
      <c r="N916" t="s">
        <v>41</v>
      </c>
    </row>
    <row r="917" spans="3:14" x14ac:dyDescent="0.3">
      <c r="C917" t="s">
        <v>41</v>
      </c>
      <c r="D917" t="s">
        <v>41</v>
      </c>
      <c r="K917">
        <v>0</v>
      </c>
      <c r="L917" t="s">
        <v>41</v>
      </c>
      <c r="M917" t="s">
        <v>972</v>
      </c>
      <c r="N917" t="s">
        <v>41</v>
      </c>
    </row>
    <row r="918" spans="3:14" x14ac:dyDescent="0.3">
      <c r="C918" t="s">
        <v>41</v>
      </c>
      <c r="D918" t="s">
        <v>41</v>
      </c>
      <c r="K918">
        <v>0</v>
      </c>
      <c r="L918" t="s">
        <v>41</v>
      </c>
      <c r="M918" t="s">
        <v>972</v>
      </c>
      <c r="N918" t="s">
        <v>41</v>
      </c>
    </row>
    <row r="919" spans="3:14" x14ac:dyDescent="0.3">
      <c r="C919" t="s">
        <v>41</v>
      </c>
      <c r="D919" t="s">
        <v>41</v>
      </c>
      <c r="K919">
        <v>0</v>
      </c>
      <c r="L919" t="s">
        <v>41</v>
      </c>
      <c r="M919" t="s">
        <v>972</v>
      </c>
      <c r="N919" t="s">
        <v>41</v>
      </c>
    </row>
    <row r="920" spans="3:14" x14ac:dyDescent="0.3">
      <c r="C920" t="s">
        <v>41</v>
      </c>
      <c r="D920" t="s">
        <v>41</v>
      </c>
      <c r="K920">
        <v>0</v>
      </c>
      <c r="L920" t="s">
        <v>41</v>
      </c>
      <c r="M920" t="s">
        <v>972</v>
      </c>
      <c r="N920" t="s">
        <v>41</v>
      </c>
    </row>
    <row r="921" spans="3:14" x14ac:dyDescent="0.3">
      <c r="C921" t="s">
        <v>41</v>
      </c>
      <c r="D921" t="s">
        <v>41</v>
      </c>
      <c r="K921">
        <v>0</v>
      </c>
      <c r="L921" t="s">
        <v>41</v>
      </c>
      <c r="M921" t="s">
        <v>972</v>
      </c>
      <c r="N921" t="s">
        <v>41</v>
      </c>
    </row>
    <row r="922" spans="3:14" x14ac:dyDescent="0.3">
      <c r="C922" t="s">
        <v>41</v>
      </c>
      <c r="D922" t="s">
        <v>41</v>
      </c>
      <c r="K922">
        <v>0</v>
      </c>
      <c r="L922" t="s">
        <v>41</v>
      </c>
      <c r="M922" t="s">
        <v>972</v>
      </c>
      <c r="N922" t="s">
        <v>41</v>
      </c>
    </row>
    <row r="923" spans="3:14" x14ac:dyDescent="0.3">
      <c r="C923" t="s">
        <v>41</v>
      </c>
      <c r="D923" t="s">
        <v>41</v>
      </c>
      <c r="K923">
        <v>0</v>
      </c>
      <c r="L923" t="s">
        <v>41</v>
      </c>
      <c r="M923" t="s">
        <v>972</v>
      </c>
      <c r="N923" t="s">
        <v>41</v>
      </c>
    </row>
    <row r="924" spans="3:14" x14ac:dyDescent="0.3">
      <c r="C924" t="s">
        <v>41</v>
      </c>
      <c r="D924" t="s">
        <v>41</v>
      </c>
      <c r="K924">
        <v>0</v>
      </c>
      <c r="L924" t="s">
        <v>41</v>
      </c>
      <c r="M924" t="s">
        <v>972</v>
      </c>
      <c r="N924" t="s">
        <v>41</v>
      </c>
    </row>
    <row r="925" spans="3:14" x14ac:dyDescent="0.3">
      <c r="C925" t="s">
        <v>41</v>
      </c>
      <c r="D925" t="s">
        <v>41</v>
      </c>
      <c r="K925">
        <v>0</v>
      </c>
      <c r="L925" t="s">
        <v>41</v>
      </c>
      <c r="M925" t="s">
        <v>972</v>
      </c>
      <c r="N925" t="s">
        <v>41</v>
      </c>
    </row>
    <row r="926" spans="3:14" x14ac:dyDescent="0.3">
      <c r="C926" t="s">
        <v>41</v>
      </c>
      <c r="D926" t="s">
        <v>41</v>
      </c>
      <c r="K926">
        <v>0</v>
      </c>
      <c r="L926" t="s">
        <v>41</v>
      </c>
      <c r="M926" t="s">
        <v>972</v>
      </c>
      <c r="N926" t="s">
        <v>41</v>
      </c>
    </row>
    <row r="927" spans="3:14" x14ac:dyDescent="0.3">
      <c r="C927" t="s">
        <v>41</v>
      </c>
      <c r="D927" t="s">
        <v>41</v>
      </c>
      <c r="K927">
        <v>0</v>
      </c>
      <c r="L927" t="s">
        <v>41</v>
      </c>
      <c r="M927" t="s">
        <v>972</v>
      </c>
      <c r="N927" t="s">
        <v>41</v>
      </c>
    </row>
    <row r="928" spans="3:14" x14ac:dyDescent="0.3">
      <c r="C928" t="s">
        <v>41</v>
      </c>
      <c r="D928" t="s">
        <v>41</v>
      </c>
      <c r="K928">
        <v>0</v>
      </c>
      <c r="L928" t="s">
        <v>41</v>
      </c>
      <c r="M928" t="s">
        <v>972</v>
      </c>
      <c r="N928" t="s">
        <v>41</v>
      </c>
    </row>
    <row r="929" spans="3:14" x14ac:dyDescent="0.3">
      <c r="C929" t="s">
        <v>41</v>
      </c>
      <c r="D929" t="s">
        <v>41</v>
      </c>
      <c r="K929">
        <v>0</v>
      </c>
      <c r="L929" t="s">
        <v>41</v>
      </c>
      <c r="M929" t="s">
        <v>972</v>
      </c>
      <c r="N929" t="s">
        <v>41</v>
      </c>
    </row>
    <row r="930" spans="3:14" x14ac:dyDescent="0.3">
      <c r="C930" t="s">
        <v>41</v>
      </c>
      <c r="D930" t="s">
        <v>41</v>
      </c>
      <c r="K930">
        <v>0</v>
      </c>
      <c r="L930" t="s">
        <v>41</v>
      </c>
      <c r="M930" t="s">
        <v>972</v>
      </c>
      <c r="N930" t="s">
        <v>41</v>
      </c>
    </row>
    <row r="931" spans="3:14" x14ac:dyDescent="0.3">
      <c r="C931" t="s">
        <v>41</v>
      </c>
      <c r="D931" t="s">
        <v>41</v>
      </c>
      <c r="K931">
        <v>0</v>
      </c>
      <c r="L931" t="s">
        <v>41</v>
      </c>
      <c r="M931" t="s">
        <v>972</v>
      </c>
      <c r="N931" t="s">
        <v>41</v>
      </c>
    </row>
    <row r="932" spans="3:14" x14ac:dyDescent="0.3">
      <c r="C932" t="s">
        <v>41</v>
      </c>
      <c r="D932" t="s">
        <v>41</v>
      </c>
      <c r="K932">
        <v>0</v>
      </c>
      <c r="L932" t="s">
        <v>41</v>
      </c>
      <c r="M932" t="s">
        <v>972</v>
      </c>
      <c r="N932" t="s">
        <v>41</v>
      </c>
    </row>
    <row r="933" spans="3:14" x14ac:dyDescent="0.3">
      <c r="C933" t="s">
        <v>41</v>
      </c>
      <c r="D933" t="s">
        <v>41</v>
      </c>
      <c r="K933">
        <v>0</v>
      </c>
      <c r="L933" t="s">
        <v>41</v>
      </c>
      <c r="M933" t="s">
        <v>972</v>
      </c>
      <c r="N933" t="s">
        <v>41</v>
      </c>
    </row>
    <row r="934" spans="3:14" x14ac:dyDescent="0.3">
      <c r="C934" t="s">
        <v>41</v>
      </c>
      <c r="D934" t="s">
        <v>41</v>
      </c>
      <c r="K934">
        <v>0</v>
      </c>
      <c r="L934" t="s">
        <v>41</v>
      </c>
      <c r="M934" t="s">
        <v>972</v>
      </c>
      <c r="N934" t="s">
        <v>41</v>
      </c>
    </row>
    <row r="935" spans="3:14" x14ac:dyDescent="0.3">
      <c r="C935" t="s">
        <v>41</v>
      </c>
      <c r="D935" t="s">
        <v>41</v>
      </c>
      <c r="K935">
        <v>0</v>
      </c>
      <c r="L935" t="s">
        <v>41</v>
      </c>
      <c r="M935" t="s">
        <v>972</v>
      </c>
      <c r="N935" t="s">
        <v>41</v>
      </c>
    </row>
    <row r="936" spans="3:14" x14ac:dyDescent="0.3">
      <c r="C936" t="s">
        <v>41</v>
      </c>
      <c r="D936" t="s">
        <v>41</v>
      </c>
      <c r="K936">
        <v>0</v>
      </c>
      <c r="L936" t="s">
        <v>41</v>
      </c>
      <c r="M936" t="s">
        <v>972</v>
      </c>
      <c r="N936" t="s">
        <v>41</v>
      </c>
    </row>
    <row r="937" spans="3:14" x14ac:dyDescent="0.3">
      <c r="C937" t="s">
        <v>41</v>
      </c>
      <c r="D937" t="s">
        <v>41</v>
      </c>
      <c r="K937">
        <v>0</v>
      </c>
      <c r="L937" t="s">
        <v>41</v>
      </c>
      <c r="M937" t="s">
        <v>972</v>
      </c>
      <c r="N937" t="s">
        <v>41</v>
      </c>
    </row>
    <row r="938" spans="3:14" x14ac:dyDescent="0.3">
      <c r="C938" t="s">
        <v>41</v>
      </c>
      <c r="D938" t="s">
        <v>41</v>
      </c>
      <c r="K938">
        <v>0</v>
      </c>
      <c r="L938" t="s">
        <v>41</v>
      </c>
      <c r="M938" t="s">
        <v>972</v>
      </c>
      <c r="N938" t="s">
        <v>41</v>
      </c>
    </row>
    <row r="939" spans="3:14" x14ac:dyDescent="0.3">
      <c r="C939" t="s">
        <v>41</v>
      </c>
      <c r="D939" t="s">
        <v>41</v>
      </c>
      <c r="K939">
        <v>0</v>
      </c>
      <c r="L939" t="s">
        <v>41</v>
      </c>
      <c r="M939" t="s">
        <v>972</v>
      </c>
      <c r="N939" t="s">
        <v>41</v>
      </c>
    </row>
    <row r="940" spans="3:14" x14ac:dyDescent="0.3">
      <c r="C940" t="s">
        <v>41</v>
      </c>
      <c r="D940" t="s">
        <v>41</v>
      </c>
      <c r="K940">
        <v>0</v>
      </c>
      <c r="L940" t="s">
        <v>41</v>
      </c>
      <c r="M940" t="s">
        <v>972</v>
      </c>
      <c r="N940" t="s">
        <v>41</v>
      </c>
    </row>
    <row r="941" spans="3:14" x14ac:dyDescent="0.3">
      <c r="C941" t="s">
        <v>41</v>
      </c>
      <c r="D941" t="s">
        <v>41</v>
      </c>
      <c r="K941">
        <v>0</v>
      </c>
      <c r="L941" t="s">
        <v>41</v>
      </c>
      <c r="M941" t="s">
        <v>972</v>
      </c>
      <c r="N941" t="s">
        <v>41</v>
      </c>
    </row>
    <row r="942" spans="3:14" x14ac:dyDescent="0.3">
      <c r="C942" t="s">
        <v>41</v>
      </c>
      <c r="D942" t="s">
        <v>41</v>
      </c>
      <c r="K942">
        <v>0</v>
      </c>
      <c r="L942" t="s">
        <v>41</v>
      </c>
      <c r="M942" t="s">
        <v>972</v>
      </c>
      <c r="N942" t="s">
        <v>41</v>
      </c>
    </row>
    <row r="943" spans="3:14" x14ac:dyDescent="0.3">
      <c r="C943" t="s">
        <v>41</v>
      </c>
      <c r="D943" t="s">
        <v>41</v>
      </c>
      <c r="K943">
        <v>0</v>
      </c>
      <c r="L943" t="s">
        <v>41</v>
      </c>
      <c r="M943" t="s">
        <v>972</v>
      </c>
      <c r="N943" t="s">
        <v>41</v>
      </c>
    </row>
    <row r="944" spans="3:14" x14ac:dyDescent="0.3">
      <c r="C944" t="s">
        <v>41</v>
      </c>
      <c r="D944" t="s">
        <v>41</v>
      </c>
      <c r="K944">
        <v>0</v>
      </c>
      <c r="L944" t="s">
        <v>41</v>
      </c>
      <c r="M944" t="s">
        <v>972</v>
      </c>
      <c r="N944" t="s">
        <v>41</v>
      </c>
    </row>
    <row r="945" spans="3:14" x14ac:dyDescent="0.3">
      <c r="C945" t="s">
        <v>41</v>
      </c>
      <c r="D945" t="s">
        <v>41</v>
      </c>
      <c r="K945">
        <v>0</v>
      </c>
      <c r="L945" t="s">
        <v>41</v>
      </c>
      <c r="M945" t="s">
        <v>972</v>
      </c>
      <c r="N945" t="s">
        <v>41</v>
      </c>
    </row>
    <row r="946" spans="3:14" x14ac:dyDescent="0.3">
      <c r="C946" t="s">
        <v>41</v>
      </c>
      <c r="D946" t="s">
        <v>41</v>
      </c>
      <c r="K946">
        <v>0</v>
      </c>
      <c r="L946" t="s">
        <v>41</v>
      </c>
      <c r="M946" t="s">
        <v>972</v>
      </c>
      <c r="N946" t="s">
        <v>41</v>
      </c>
    </row>
    <row r="947" spans="3:14" x14ac:dyDescent="0.3">
      <c r="C947" t="s">
        <v>41</v>
      </c>
      <c r="D947" t="s">
        <v>41</v>
      </c>
      <c r="K947">
        <v>0</v>
      </c>
      <c r="L947" t="s">
        <v>41</v>
      </c>
      <c r="M947" t="s">
        <v>972</v>
      </c>
      <c r="N947" t="s">
        <v>41</v>
      </c>
    </row>
    <row r="948" spans="3:14" x14ac:dyDescent="0.3">
      <c r="C948" t="s">
        <v>41</v>
      </c>
      <c r="D948" t="s">
        <v>41</v>
      </c>
      <c r="K948">
        <v>0</v>
      </c>
      <c r="L948" t="s">
        <v>41</v>
      </c>
      <c r="M948" t="s">
        <v>972</v>
      </c>
      <c r="N948" t="s">
        <v>41</v>
      </c>
    </row>
    <row r="949" spans="3:14" x14ac:dyDescent="0.3">
      <c r="C949" t="s">
        <v>41</v>
      </c>
      <c r="D949" t="s">
        <v>41</v>
      </c>
      <c r="K949">
        <v>0</v>
      </c>
      <c r="L949" t="s">
        <v>41</v>
      </c>
      <c r="M949" t="s">
        <v>972</v>
      </c>
      <c r="N949" t="s">
        <v>41</v>
      </c>
    </row>
    <row r="950" spans="3:14" x14ac:dyDescent="0.3">
      <c r="C950" t="s">
        <v>41</v>
      </c>
      <c r="D950" t="s">
        <v>41</v>
      </c>
      <c r="K950">
        <v>0</v>
      </c>
      <c r="L950" t="s">
        <v>41</v>
      </c>
      <c r="M950" t="s">
        <v>972</v>
      </c>
      <c r="N950" t="s">
        <v>41</v>
      </c>
    </row>
    <row r="951" spans="3:14" x14ac:dyDescent="0.3">
      <c r="C951" t="s">
        <v>41</v>
      </c>
      <c r="D951" t="s">
        <v>41</v>
      </c>
      <c r="K951">
        <v>0</v>
      </c>
      <c r="L951" t="s">
        <v>41</v>
      </c>
      <c r="M951" t="s">
        <v>972</v>
      </c>
      <c r="N951" t="s">
        <v>41</v>
      </c>
    </row>
    <row r="952" spans="3:14" x14ac:dyDescent="0.3">
      <c r="C952" t="s">
        <v>41</v>
      </c>
      <c r="D952" t="s">
        <v>41</v>
      </c>
      <c r="K952">
        <v>0</v>
      </c>
      <c r="L952" t="s">
        <v>41</v>
      </c>
      <c r="M952" t="s">
        <v>972</v>
      </c>
      <c r="N952" t="s">
        <v>41</v>
      </c>
    </row>
    <row r="953" spans="3:14" x14ac:dyDescent="0.3">
      <c r="C953" t="s">
        <v>41</v>
      </c>
      <c r="D953" t="s">
        <v>41</v>
      </c>
      <c r="K953">
        <v>0</v>
      </c>
      <c r="L953" t="s">
        <v>41</v>
      </c>
      <c r="M953" t="s">
        <v>972</v>
      </c>
      <c r="N953" t="s">
        <v>41</v>
      </c>
    </row>
    <row r="954" spans="3:14" x14ac:dyDescent="0.3">
      <c r="C954" t="s">
        <v>41</v>
      </c>
      <c r="D954" t="s">
        <v>41</v>
      </c>
      <c r="K954">
        <v>0</v>
      </c>
      <c r="L954" t="s">
        <v>41</v>
      </c>
      <c r="M954" t="s">
        <v>972</v>
      </c>
      <c r="N954" t="s">
        <v>41</v>
      </c>
    </row>
    <row r="955" spans="3:14" x14ac:dyDescent="0.3">
      <c r="C955" t="s">
        <v>41</v>
      </c>
      <c r="D955" t="s">
        <v>41</v>
      </c>
      <c r="K955">
        <v>0</v>
      </c>
      <c r="L955" t="s">
        <v>41</v>
      </c>
      <c r="M955" t="s">
        <v>972</v>
      </c>
      <c r="N955" t="s">
        <v>41</v>
      </c>
    </row>
    <row r="956" spans="3:14" x14ac:dyDescent="0.3">
      <c r="C956" t="s">
        <v>41</v>
      </c>
      <c r="D956" t="s">
        <v>41</v>
      </c>
      <c r="K956">
        <v>0</v>
      </c>
      <c r="L956" t="s">
        <v>41</v>
      </c>
      <c r="M956" t="s">
        <v>972</v>
      </c>
      <c r="N956" t="s">
        <v>41</v>
      </c>
    </row>
    <row r="957" spans="3:14" x14ac:dyDescent="0.3">
      <c r="C957" t="s">
        <v>41</v>
      </c>
      <c r="D957" t="s">
        <v>41</v>
      </c>
      <c r="K957">
        <v>0</v>
      </c>
      <c r="L957" t="s">
        <v>41</v>
      </c>
      <c r="M957" t="s">
        <v>972</v>
      </c>
      <c r="N957" t="s">
        <v>41</v>
      </c>
    </row>
    <row r="958" spans="3:14" x14ac:dyDescent="0.3">
      <c r="C958" t="s">
        <v>41</v>
      </c>
      <c r="D958" t="s">
        <v>41</v>
      </c>
      <c r="K958">
        <v>0</v>
      </c>
      <c r="L958" t="s">
        <v>41</v>
      </c>
      <c r="M958" t="s">
        <v>972</v>
      </c>
      <c r="N958" t="s">
        <v>41</v>
      </c>
    </row>
    <row r="959" spans="3:14" x14ac:dyDescent="0.3">
      <c r="C959" t="s">
        <v>41</v>
      </c>
      <c r="D959" t="s">
        <v>41</v>
      </c>
      <c r="K959">
        <v>0</v>
      </c>
      <c r="L959" t="s">
        <v>41</v>
      </c>
      <c r="M959" t="s">
        <v>972</v>
      </c>
      <c r="N959" t="s">
        <v>41</v>
      </c>
    </row>
    <row r="960" spans="3:14" x14ac:dyDescent="0.3">
      <c r="C960" t="s">
        <v>41</v>
      </c>
      <c r="D960" t="s">
        <v>41</v>
      </c>
      <c r="K960">
        <v>0</v>
      </c>
      <c r="L960" t="s">
        <v>41</v>
      </c>
      <c r="M960" t="s">
        <v>972</v>
      </c>
      <c r="N960" t="s">
        <v>41</v>
      </c>
    </row>
    <row r="961" spans="3:14" x14ac:dyDescent="0.3">
      <c r="C961" t="s">
        <v>41</v>
      </c>
      <c r="D961" t="s">
        <v>41</v>
      </c>
      <c r="K961">
        <v>0</v>
      </c>
      <c r="L961" t="s">
        <v>41</v>
      </c>
      <c r="M961" t="s">
        <v>972</v>
      </c>
      <c r="N961" t="s">
        <v>41</v>
      </c>
    </row>
    <row r="962" spans="3:14" x14ac:dyDescent="0.3">
      <c r="C962" t="s">
        <v>41</v>
      </c>
      <c r="D962" t="s">
        <v>41</v>
      </c>
      <c r="K962">
        <v>0</v>
      </c>
      <c r="L962" t="s">
        <v>41</v>
      </c>
      <c r="M962" t="s">
        <v>972</v>
      </c>
      <c r="N962" t="s">
        <v>41</v>
      </c>
    </row>
    <row r="963" spans="3:14" x14ac:dyDescent="0.3">
      <c r="C963" t="s">
        <v>41</v>
      </c>
      <c r="D963" t="s">
        <v>41</v>
      </c>
      <c r="K963">
        <v>0</v>
      </c>
      <c r="L963" t="s">
        <v>41</v>
      </c>
      <c r="M963" t="s">
        <v>972</v>
      </c>
      <c r="N963" t="s">
        <v>41</v>
      </c>
    </row>
    <row r="964" spans="3:14" x14ac:dyDescent="0.3">
      <c r="C964" t="s">
        <v>41</v>
      </c>
      <c r="D964" t="s">
        <v>41</v>
      </c>
      <c r="K964">
        <v>0</v>
      </c>
      <c r="L964" t="s">
        <v>41</v>
      </c>
      <c r="M964" t="s">
        <v>972</v>
      </c>
      <c r="N964" t="s">
        <v>41</v>
      </c>
    </row>
    <row r="965" spans="3:14" x14ac:dyDescent="0.3">
      <c r="C965" t="s">
        <v>41</v>
      </c>
      <c r="D965" t="s">
        <v>41</v>
      </c>
      <c r="K965">
        <v>0</v>
      </c>
      <c r="L965" t="s">
        <v>41</v>
      </c>
      <c r="M965" t="s">
        <v>972</v>
      </c>
      <c r="N965" t="s">
        <v>41</v>
      </c>
    </row>
    <row r="966" spans="3:14" x14ac:dyDescent="0.3">
      <c r="C966" t="s">
        <v>41</v>
      </c>
      <c r="D966" t="s">
        <v>41</v>
      </c>
      <c r="K966">
        <v>0</v>
      </c>
      <c r="L966" t="s">
        <v>41</v>
      </c>
      <c r="M966" t="s">
        <v>972</v>
      </c>
      <c r="N966" t="s">
        <v>41</v>
      </c>
    </row>
    <row r="967" spans="3:14" x14ac:dyDescent="0.3">
      <c r="C967" t="s">
        <v>41</v>
      </c>
      <c r="D967" t="s">
        <v>41</v>
      </c>
      <c r="K967">
        <v>0</v>
      </c>
      <c r="L967" t="s">
        <v>41</v>
      </c>
      <c r="M967" t="s">
        <v>972</v>
      </c>
      <c r="N967" t="s">
        <v>41</v>
      </c>
    </row>
    <row r="968" spans="3:14" x14ac:dyDescent="0.3">
      <c r="C968" t="s">
        <v>41</v>
      </c>
      <c r="D968" t="s">
        <v>41</v>
      </c>
      <c r="K968">
        <v>0</v>
      </c>
      <c r="L968" t="s">
        <v>41</v>
      </c>
      <c r="M968" t="s">
        <v>972</v>
      </c>
      <c r="N968" t="s">
        <v>41</v>
      </c>
    </row>
    <row r="969" spans="3:14" x14ac:dyDescent="0.3">
      <c r="C969" t="s">
        <v>41</v>
      </c>
      <c r="D969" t="s">
        <v>41</v>
      </c>
      <c r="K969">
        <v>0</v>
      </c>
      <c r="L969" t="s">
        <v>41</v>
      </c>
      <c r="M969" t="s">
        <v>972</v>
      </c>
      <c r="N969" t="s">
        <v>41</v>
      </c>
    </row>
    <row r="970" spans="3:14" x14ac:dyDescent="0.3">
      <c r="C970" t="s">
        <v>41</v>
      </c>
      <c r="D970" t="s">
        <v>41</v>
      </c>
      <c r="K970">
        <v>0</v>
      </c>
      <c r="L970" t="s">
        <v>41</v>
      </c>
      <c r="M970" t="s">
        <v>972</v>
      </c>
      <c r="N970" t="s">
        <v>41</v>
      </c>
    </row>
    <row r="971" spans="3:14" x14ac:dyDescent="0.3">
      <c r="C971" t="s">
        <v>41</v>
      </c>
      <c r="D971" t="s">
        <v>41</v>
      </c>
      <c r="K971">
        <v>0</v>
      </c>
      <c r="L971" t="s">
        <v>41</v>
      </c>
      <c r="M971" t="s">
        <v>972</v>
      </c>
      <c r="N971" t="s">
        <v>41</v>
      </c>
    </row>
    <row r="972" spans="3:14" x14ac:dyDescent="0.3">
      <c r="C972" t="s">
        <v>41</v>
      </c>
      <c r="D972" t="s">
        <v>41</v>
      </c>
      <c r="K972">
        <v>0</v>
      </c>
      <c r="L972" t="s">
        <v>41</v>
      </c>
      <c r="M972" t="s">
        <v>972</v>
      </c>
      <c r="N972" t="s">
        <v>41</v>
      </c>
    </row>
    <row r="973" spans="3:14" x14ac:dyDescent="0.3">
      <c r="C973" t="s">
        <v>41</v>
      </c>
      <c r="D973" t="s">
        <v>41</v>
      </c>
      <c r="K973">
        <v>0</v>
      </c>
      <c r="L973" t="s">
        <v>41</v>
      </c>
      <c r="M973" t="s">
        <v>972</v>
      </c>
      <c r="N973" t="s">
        <v>41</v>
      </c>
    </row>
    <row r="974" spans="3:14" x14ac:dyDescent="0.3">
      <c r="C974" t="s">
        <v>41</v>
      </c>
      <c r="D974" t="s">
        <v>41</v>
      </c>
      <c r="K974">
        <v>0</v>
      </c>
      <c r="L974" t="s">
        <v>41</v>
      </c>
      <c r="M974" t="s">
        <v>972</v>
      </c>
      <c r="N974" t="s">
        <v>41</v>
      </c>
    </row>
    <row r="975" spans="3:14" x14ac:dyDescent="0.3">
      <c r="C975" t="s">
        <v>41</v>
      </c>
      <c r="D975" t="s">
        <v>41</v>
      </c>
      <c r="K975">
        <v>0</v>
      </c>
      <c r="L975" t="s">
        <v>41</v>
      </c>
      <c r="M975" t="s">
        <v>972</v>
      </c>
      <c r="N975" t="s">
        <v>41</v>
      </c>
    </row>
    <row r="976" spans="3:14" x14ac:dyDescent="0.3">
      <c r="C976" t="s">
        <v>41</v>
      </c>
      <c r="D976" t="s">
        <v>41</v>
      </c>
      <c r="K976">
        <v>0</v>
      </c>
      <c r="L976" t="s">
        <v>41</v>
      </c>
      <c r="M976" t="s">
        <v>972</v>
      </c>
      <c r="N976" t="s">
        <v>41</v>
      </c>
    </row>
    <row r="977" spans="3:14" x14ac:dyDescent="0.3">
      <c r="C977" t="s">
        <v>41</v>
      </c>
      <c r="D977" t="s">
        <v>41</v>
      </c>
      <c r="K977">
        <v>0</v>
      </c>
      <c r="L977" t="s">
        <v>41</v>
      </c>
      <c r="M977" t="s">
        <v>972</v>
      </c>
      <c r="N977" t="s">
        <v>41</v>
      </c>
    </row>
    <row r="978" spans="3:14" x14ac:dyDescent="0.3">
      <c r="C978" t="s">
        <v>41</v>
      </c>
      <c r="D978" t="s">
        <v>41</v>
      </c>
      <c r="K978">
        <v>0</v>
      </c>
      <c r="L978" t="s">
        <v>41</v>
      </c>
      <c r="M978" t="s">
        <v>972</v>
      </c>
      <c r="N978" t="s">
        <v>41</v>
      </c>
    </row>
    <row r="979" spans="3:14" x14ac:dyDescent="0.3">
      <c r="C979" t="s">
        <v>41</v>
      </c>
      <c r="D979" t="s">
        <v>41</v>
      </c>
      <c r="K979">
        <v>0</v>
      </c>
      <c r="L979" t="s">
        <v>41</v>
      </c>
      <c r="M979" t="s">
        <v>972</v>
      </c>
      <c r="N979" t="s">
        <v>41</v>
      </c>
    </row>
    <row r="980" spans="3:14" x14ac:dyDescent="0.3">
      <c r="C980" t="s">
        <v>41</v>
      </c>
      <c r="D980" t="s">
        <v>41</v>
      </c>
      <c r="K980">
        <v>0</v>
      </c>
      <c r="L980" t="s">
        <v>41</v>
      </c>
      <c r="M980" t="s">
        <v>972</v>
      </c>
      <c r="N980" t="s">
        <v>41</v>
      </c>
    </row>
    <row r="981" spans="3:14" x14ac:dyDescent="0.3">
      <c r="C981" t="s">
        <v>41</v>
      </c>
      <c r="D981" t="s">
        <v>41</v>
      </c>
      <c r="K981">
        <v>0</v>
      </c>
      <c r="L981" t="s">
        <v>41</v>
      </c>
      <c r="M981" t="s">
        <v>972</v>
      </c>
      <c r="N981" t="s">
        <v>41</v>
      </c>
    </row>
    <row r="982" spans="3:14" x14ac:dyDescent="0.3">
      <c r="C982" t="s">
        <v>41</v>
      </c>
      <c r="D982" t="s">
        <v>41</v>
      </c>
      <c r="K982">
        <v>0</v>
      </c>
      <c r="L982" t="s">
        <v>41</v>
      </c>
      <c r="M982" t="s">
        <v>972</v>
      </c>
      <c r="N982" t="s">
        <v>41</v>
      </c>
    </row>
    <row r="983" spans="3:14" x14ac:dyDescent="0.3">
      <c r="C983" t="s">
        <v>41</v>
      </c>
      <c r="D983" t="s">
        <v>41</v>
      </c>
      <c r="K983">
        <v>0</v>
      </c>
      <c r="L983" t="s">
        <v>41</v>
      </c>
      <c r="M983" t="s">
        <v>972</v>
      </c>
      <c r="N983" t="s">
        <v>41</v>
      </c>
    </row>
    <row r="984" spans="3:14" x14ac:dyDescent="0.3">
      <c r="C984" t="s">
        <v>41</v>
      </c>
      <c r="D984" t="s">
        <v>41</v>
      </c>
      <c r="K984">
        <v>0</v>
      </c>
      <c r="L984" t="s">
        <v>41</v>
      </c>
      <c r="M984" t="s">
        <v>972</v>
      </c>
      <c r="N984" t="s">
        <v>41</v>
      </c>
    </row>
    <row r="985" spans="3:14" x14ac:dyDescent="0.3">
      <c r="C985" t="s">
        <v>41</v>
      </c>
      <c r="D985" t="s">
        <v>41</v>
      </c>
      <c r="K985">
        <v>0</v>
      </c>
      <c r="L985" t="s">
        <v>41</v>
      </c>
      <c r="M985" t="s">
        <v>972</v>
      </c>
      <c r="N985" t="s">
        <v>41</v>
      </c>
    </row>
    <row r="986" spans="3:14" x14ac:dyDescent="0.3">
      <c r="C986" t="s">
        <v>41</v>
      </c>
      <c r="D986" t="s">
        <v>41</v>
      </c>
      <c r="K986">
        <v>0</v>
      </c>
      <c r="L986" t="s">
        <v>41</v>
      </c>
      <c r="M986" t="s">
        <v>972</v>
      </c>
      <c r="N986" t="s">
        <v>41</v>
      </c>
    </row>
    <row r="987" spans="3:14" x14ac:dyDescent="0.3">
      <c r="C987" t="s">
        <v>41</v>
      </c>
      <c r="D987" t="s">
        <v>41</v>
      </c>
      <c r="K987">
        <v>0</v>
      </c>
      <c r="L987" t="s">
        <v>41</v>
      </c>
      <c r="M987" t="s">
        <v>972</v>
      </c>
      <c r="N987" t="s">
        <v>41</v>
      </c>
    </row>
    <row r="988" spans="3:14" x14ac:dyDescent="0.3">
      <c r="C988" t="s">
        <v>41</v>
      </c>
      <c r="D988" t="s">
        <v>41</v>
      </c>
      <c r="K988">
        <v>0</v>
      </c>
      <c r="L988" t="s">
        <v>41</v>
      </c>
      <c r="M988" t="s">
        <v>972</v>
      </c>
      <c r="N988" t="s">
        <v>41</v>
      </c>
    </row>
    <row r="989" spans="3:14" x14ac:dyDescent="0.3">
      <c r="C989" t="s">
        <v>41</v>
      </c>
      <c r="D989" t="s">
        <v>41</v>
      </c>
      <c r="K989">
        <v>0</v>
      </c>
      <c r="L989" t="s">
        <v>41</v>
      </c>
      <c r="M989" t="s">
        <v>972</v>
      </c>
      <c r="N989" t="s">
        <v>41</v>
      </c>
    </row>
    <row r="990" spans="3:14" x14ac:dyDescent="0.3">
      <c r="C990" t="s">
        <v>41</v>
      </c>
      <c r="D990" t="s">
        <v>41</v>
      </c>
      <c r="K990">
        <v>0</v>
      </c>
      <c r="L990" t="s">
        <v>41</v>
      </c>
      <c r="M990" t="s">
        <v>972</v>
      </c>
      <c r="N990" t="s">
        <v>41</v>
      </c>
    </row>
    <row r="991" spans="3:14" x14ac:dyDescent="0.3">
      <c r="C991" t="s">
        <v>41</v>
      </c>
      <c r="D991" t="s">
        <v>41</v>
      </c>
      <c r="K991">
        <v>0</v>
      </c>
      <c r="L991" t="s">
        <v>41</v>
      </c>
      <c r="M991" t="s">
        <v>972</v>
      </c>
      <c r="N991" t="s">
        <v>41</v>
      </c>
    </row>
    <row r="992" spans="3:14" x14ac:dyDescent="0.3">
      <c r="C992" t="s">
        <v>41</v>
      </c>
      <c r="D992" t="s">
        <v>41</v>
      </c>
      <c r="K992">
        <v>0</v>
      </c>
      <c r="L992" t="s">
        <v>41</v>
      </c>
      <c r="M992" t="s">
        <v>972</v>
      </c>
      <c r="N992" t="s">
        <v>41</v>
      </c>
    </row>
    <row r="993" spans="3:14" x14ac:dyDescent="0.3">
      <c r="C993" t="s">
        <v>41</v>
      </c>
      <c r="D993" t="s">
        <v>41</v>
      </c>
      <c r="K993">
        <v>0</v>
      </c>
      <c r="L993" t="s">
        <v>41</v>
      </c>
      <c r="M993" t="s">
        <v>972</v>
      </c>
      <c r="N993" t="s">
        <v>41</v>
      </c>
    </row>
    <row r="994" spans="3:14" x14ac:dyDescent="0.3">
      <c r="C994" t="s">
        <v>41</v>
      </c>
      <c r="D994" t="s">
        <v>41</v>
      </c>
      <c r="K994">
        <v>0</v>
      </c>
      <c r="L994" t="s">
        <v>41</v>
      </c>
      <c r="M994" t="s">
        <v>972</v>
      </c>
      <c r="N994" t="s">
        <v>41</v>
      </c>
    </row>
    <row r="995" spans="3:14" x14ac:dyDescent="0.3">
      <c r="C995" t="s">
        <v>41</v>
      </c>
      <c r="D995" t="s">
        <v>41</v>
      </c>
      <c r="K995">
        <v>0</v>
      </c>
      <c r="L995" t="s">
        <v>41</v>
      </c>
      <c r="M995" t="s">
        <v>972</v>
      </c>
      <c r="N995" t="s">
        <v>41</v>
      </c>
    </row>
    <row r="996" spans="3:14" x14ac:dyDescent="0.3">
      <c r="C996" t="s">
        <v>41</v>
      </c>
      <c r="D996" t="s">
        <v>41</v>
      </c>
      <c r="K996">
        <v>0</v>
      </c>
      <c r="L996" t="s">
        <v>41</v>
      </c>
      <c r="M996" t="s">
        <v>972</v>
      </c>
      <c r="N996" t="s">
        <v>41</v>
      </c>
    </row>
    <row r="997" spans="3:14" x14ac:dyDescent="0.3">
      <c r="C997" t="s">
        <v>41</v>
      </c>
      <c r="D997" t="s">
        <v>41</v>
      </c>
      <c r="K997">
        <v>0</v>
      </c>
      <c r="L997" t="s">
        <v>41</v>
      </c>
      <c r="M997" t="s">
        <v>972</v>
      </c>
      <c r="N997" t="s">
        <v>41</v>
      </c>
    </row>
    <row r="998" spans="3:14" x14ac:dyDescent="0.3">
      <c r="C998" t="s">
        <v>41</v>
      </c>
      <c r="D998" t="s">
        <v>41</v>
      </c>
      <c r="K998">
        <v>0</v>
      </c>
      <c r="L998" t="s">
        <v>41</v>
      </c>
      <c r="M998" t="s">
        <v>972</v>
      </c>
      <c r="N998" t="s">
        <v>41</v>
      </c>
    </row>
    <row r="999" spans="3:14" x14ac:dyDescent="0.3">
      <c r="C999" t="s">
        <v>41</v>
      </c>
      <c r="D999" t="s">
        <v>41</v>
      </c>
      <c r="K999">
        <v>0</v>
      </c>
      <c r="L999" t="s">
        <v>41</v>
      </c>
      <c r="M999" t="s">
        <v>972</v>
      </c>
      <c r="N999" t="s">
        <v>41</v>
      </c>
    </row>
    <row r="1000" spans="3:14" x14ac:dyDescent="0.3">
      <c r="C1000" t="s">
        <v>41</v>
      </c>
      <c r="D1000" t="s">
        <v>41</v>
      </c>
      <c r="K1000">
        <v>0</v>
      </c>
      <c r="L1000" t="s">
        <v>41</v>
      </c>
      <c r="M1000" t="s">
        <v>972</v>
      </c>
      <c r="N1000" t="s">
        <v>41</v>
      </c>
    </row>
    <row r="1001" spans="3:14" x14ac:dyDescent="0.3">
      <c r="C1001" t="s">
        <v>41</v>
      </c>
      <c r="D1001" t="s">
        <v>41</v>
      </c>
      <c r="K1001">
        <v>0</v>
      </c>
      <c r="L1001" t="s">
        <v>41</v>
      </c>
      <c r="M1001" t="s">
        <v>972</v>
      </c>
      <c r="N1001" t="s">
        <v>41</v>
      </c>
    </row>
    <row r="1002" spans="3:14" x14ac:dyDescent="0.3">
      <c r="C1002" t="s">
        <v>41</v>
      </c>
      <c r="D1002" t="s">
        <v>41</v>
      </c>
      <c r="K1002">
        <v>0</v>
      </c>
      <c r="L1002" t="s">
        <v>41</v>
      </c>
      <c r="M1002" t="s">
        <v>972</v>
      </c>
      <c r="N1002" t="s">
        <v>41</v>
      </c>
    </row>
    <row r="1003" spans="3:14" x14ac:dyDescent="0.3">
      <c r="C1003" t="s">
        <v>41</v>
      </c>
      <c r="D1003" t="s">
        <v>41</v>
      </c>
      <c r="K1003">
        <v>0</v>
      </c>
      <c r="L1003" t="s">
        <v>41</v>
      </c>
      <c r="M1003" t="s">
        <v>972</v>
      </c>
      <c r="N1003" t="s">
        <v>41</v>
      </c>
    </row>
    <row r="1004" spans="3:14" x14ac:dyDescent="0.3">
      <c r="C1004" t="s">
        <v>41</v>
      </c>
      <c r="D1004" t="s">
        <v>41</v>
      </c>
      <c r="K1004">
        <v>0</v>
      </c>
      <c r="L1004" t="s">
        <v>41</v>
      </c>
      <c r="M1004" t="s">
        <v>972</v>
      </c>
      <c r="N1004" t="s">
        <v>41</v>
      </c>
    </row>
    <row r="1005" spans="3:14" x14ac:dyDescent="0.3">
      <c r="C1005" t="s">
        <v>41</v>
      </c>
      <c r="D1005" t="s">
        <v>41</v>
      </c>
      <c r="K1005">
        <v>0</v>
      </c>
      <c r="L1005" t="s">
        <v>41</v>
      </c>
      <c r="M1005" t="s">
        <v>972</v>
      </c>
      <c r="N1005" t="s">
        <v>41</v>
      </c>
    </row>
    <row r="1006" spans="3:14" x14ac:dyDescent="0.3">
      <c r="C1006" t="s">
        <v>41</v>
      </c>
      <c r="D1006" t="s">
        <v>41</v>
      </c>
      <c r="K1006">
        <v>0</v>
      </c>
      <c r="L1006" t="s">
        <v>41</v>
      </c>
      <c r="M1006" t="s">
        <v>972</v>
      </c>
      <c r="N1006" t="s">
        <v>41</v>
      </c>
    </row>
    <row r="1007" spans="3:14" x14ac:dyDescent="0.3">
      <c r="C1007" t="s">
        <v>41</v>
      </c>
      <c r="D1007" t="s">
        <v>41</v>
      </c>
      <c r="K1007">
        <v>0</v>
      </c>
      <c r="L1007" t="s">
        <v>41</v>
      </c>
      <c r="M1007" t="s">
        <v>972</v>
      </c>
      <c r="N1007" t="s">
        <v>41</v>
      </c>
    </row>
    <row r="1008" spans="3:14" x14ac:dyDescent="0.3">
      <c r="C1008" t="s">
        <v>41</v>
      </c>
      <c r="D1008" t="s">
        <v>41</v>
      </c>
      <c r="K1008">
        <v>0</v>
      </c>
      <c r="L1008" t="s">
        <v>41</v>
      </c>
      <c r="M1008" t="s">
        <v>972</v>
      </c>
      <c r="N1008" t="s">
        <v>41</v>
      </c>
    </row>
    <row r="1009" spans="3:14" x14ac:dyDescent="0.3">
      <c r="C1009" t="s">
        <v>41</v>
      </c>
      <c r="D1009" t="s">
        <v>41</v>
      </c>
      <c r="K1009">
        <v>0</v>
      </c>
      <c r="L1009" t="s">
        <v>41</v>
      </c>
      <c r="M1009" t="s">
        <v>972</v>
      </c>
      <c r="N1009" t="s">
        <v>41</v>
      </c>
    </row>
    <row r="1010" spans="3:14" x14ac:dyDescent="0.3">
      <c r="C1010" t="s">
        <v>41</v>
      </c>
      <c r="D1010" t="s">
        <v>41</v>
      </c>
      <c r="K1010">
        <v>0</v>
      </c>
      <c r="L1010" t="s">
        <v>41</v>
      </c>
      <c r="M1010" t="s">
        <v>972</v>
      </c>
      <c r="N1010" t="s">
        <v>41</v>
      </c>
    </row>
    <row r="1011" spans="3:14" x14ac:dyDescent="0.3">
      <c r="C1011" t="s">
        <v>41</v>
      </c>
      <c r="D1011" t="s">
        <v>41</v>
      </c>
      <c r="K1011">
        <v>0</v>
      </c>
      <c r="L1011" t="s">
        <v>41</v>
      </c>
      <c r="M1011" t="s">
        <v>972</v>
      </c>
      <c r="N1011" t="s">
        <v>41</v>
      </c>
    </row>
    <row r="1012" spans="3:14" x14ac:dyDescent="0.3">
      <c r="C1012" t="s">
        <v>41</v>
      </c>
      <c r="D1012" t="s">
        <v>41</v>
      </c>
      <c r="K1012">
        <v>0</v>
      </c>
      <c r="L1012" t="s">
        <v>41</v>
      </c>
      <c r="M1012" t="s">
        <v>972</v>
      </c>
      <c r="N1012" t="s">
        <v>41</v>
      </c>
    </row>
    <row r="1013" spans="3:14" x14ac:dyDescent="0.3">
      <c r="C1013" t="s">
        <v>41</v>
      </c>
      <c r="D1013" t="s">
        <v>41</v>
      </c>
      <c r="K1013">
        <v>0</v>
      </c>
      <c r="L1013" t="s">
        <v>41</v>
      </c>
      <c r="M1013" t="s">
        <v>972</v>
      </c>
      <c r="N1013" t="s">
        <v>41</v>
      </c>
    </row>
    <row r="1014" spans="3:14" x14ac:dyDescent="0.3">
      <c r="C1014" t="s">
        <v>41</v>
      </c>
      <c r="D1014" t="s">
        <v>41</v>
      </c>
      <c r="K1014">
        <v>0</v>
      </c>
      <c r="L1014" t="s">
        <v>41</v>
      </c>
      <c r="M1014" t="s">
        <v>972</v>
      </c>
      <c r="N1014" t="s">
        <v>41</v>
      </c>
    </row>
    <row r="1015" spans="3:14" x14ac:dyDescent="0.3">
      <c r="C1015" t="s">
        <v>41</v>
      </c>
      <c r="D1015" t="s">
        <v>41</v>
      </c>
      <c r="K1015">
        <v>0</v>
      </c>
      <c r="L1015" t="s">
        <v>41</v>
      </c>
      <c r="M1015" t="s">
        <v>972</v>
      </c>
      <c r="N1015" t="s">
        <v>41</v>
      </c>
    </row>
    <row r="1016" spans="3:14" x14ac:dyDescent="0.3">
      <c r="C1016" t="s">
        <v>41</v>
      </c>
      <c r="D1016" t="s">
        <v>41</v>
      </c>
      <c r="K1016">
        <v>0</v>
      </c>
      <c r="L1016" t="s">
        <v>41</v>
      </c>
      <c r="M1016" t="s">
        <v>972</v>
      </c>
      <c r="N1016" t="s">
        <v>41</v>
      </c>
    </row>
    <row r="1017" spans="3:14" x14ac:dyDescent="0.3">
      <c r="C1017" t="s">
        <v>41</v>
      </c>
      <c r="D1017" t="s">
        <v>41</v>
      </c>
      <c r="K1017">
        <v>0</v>
      </c>
      <c r="L1017" t="s">
        <v>41</v>
      </c>
      <c r="M1017" t="s">
        <v>972</v>
      </c>
      <c r="N1017" t="s">
        <v>41</v>
      </c>
    </row>
    <row r="1018" spans="3:14" x14ac:dyDescent="0.3">
      <c r="C1018" t="s">
        <v>41</v>
      </c>
      <c r="D1018" t="s">
        <v>41</v>
      </c>
      <c r="K1018">
        <v>0</v>
      </c>
      <c r="L1018" t="s">
        <v>41</v>
      </c>
      <c r="M1018" t="s">
        <v>972</v>
      </c>
      <c r="N1018" t="s">
        <v>41</v>
      </c>
    </row>
    <row r="1019" spans="3:14" x14ac:dyDescent="0.3">
      <c r="C1019" t="s">
        <v>41</v>
      </c>
      <c r="D1019" t="s">
        <v>41</v>
      </c>
      <c r="K1019">
        <v>0</v>
      </c>
      <c r="L1019" t="s">
        <v>41</v>
      </c>
      <c r="M1019" t="s">
        <v>972</v>
      </c>
      <c r="N1019" t="s">
        <v>41</v>
      </c>
    </row>
    <row r="1020" spans="3:14" x14ac:dyDescent="0.3">
      <c r="C1020" t="s">
        <v>41</v>
      </c>
      <c r="D1020" t="s">
        <v>41</v>
      </c>
      <c r="K1020">
        <v>0</v>
      </c>
      <c r="L1020" t="s">
        <v>41</v>
      </c>
      <c r="M1020" t="s">
        <v>972</v>
      </c>
      <c r="N1020" t="s">
        <v>41</v>
      </c>
    </row>
    <row r="1021" spans="3:14" x14ac:dyDescent="0.3">
      <c r="C1021" t="s">
        <v>41</v>
      </c>
      <c r="D1021" t="s">
        <v>41</v>
      </c>
      <c r="K1021">
        <v>0</v>
      </c>
      <c r="L1021" t="s">
        <v>41</v>
      </c>
      <c r="M1021" t="s">
        <v>972</v>
      </c>
      <c r="N1021" t="s">
        <v>41</v>
      </c>
    </row>
    <row r="1022" spans="3:14" x14ac:dyDescent="0.3">
      <c r="C1022" t="s">
        <v>41</v>
      </c>
      <c r="D1022" t="s">
        <v>41</v>
      </c>
      <c r="K1022">
        <v>0</v>
      </c>
      <c r="L1022" t="s">
        <v>41</v>
      </c>
      <c r="M1022" t="s">
        <v>972</v>
      </c>
      <c r="N1022" t="s">
        <v>41</v>
      </c>
    </row>
    <row r="1023" spans="3:14" x14ac:dyDescent="0.3">
      <c r="C1023" t="s">
        <v>41</v>
      </c>
      <c r="D1023" t="s">
        <v>41</v>
      </c>
      <c r="K1023">
        <v>0</v>
      </c>
      <c r="L1023" t="s">
        <v>41</v>
      </c>
      <c r="M1023" t="s">
        <v>972</v>
      </c>
      <c r="N1023" t="s">
        <v>41</v>
      </c>
    </row>
    <row r="1024" spans="3:14" x14ac:dyDescent="0.3">
      <c r="C1024" t="s">
        <v>41</v>
      </c>
      <c r="D1024" t="s">
        <v>41</v>
      </c>
      <c r="K1024">
        <v>0</v>
      </c>
      <c r="L1024" t="s">
        <v>41</v>
      </c>
      <c r="M1024" t="s">
        <v>972</v>
      </c>
      <c r="N1024" t="s">
        <v>41</v>
      </c>
    </row>
    <row r="1025" spans="3:14" x14ac:dyDescent="0.3">
      <c r="C1025" t="s">
        <v>41</v>
      </c>
      <c r="D1025" t="s">
        <v>41</v>
      </c>
      <c r="K1025">
        <v>0</v>
      </c>
      <c r="L1025" t="s">
        <v>41</v>
      </c>
      <c r="M1025" t="s">
        <v>972</v>
      </c>
      <c r="N1025" t="s">
        <v>41</v>
      </c>
    </row>
    <row r="1026" spans="3:14" x14ac:dyDescent="0.3">
      <c r="C1026" t="s">
        <v>41</v>
      </c>
      <c r="D1026" t="s">
        <v>41</v>
      </c>
      <c r="K1026">
        <v>0</v>
      </c>
      <c r="L1026" t="s">
        <v>41</v>
      </c>
      <c r="M1026" t="s">
        <v>972</v>
      </c>
      <c r="N1026" t="s">
        <v>41</v>
      </c>
    </row>
    <row r="1027" spans="3:14" x14ac:dyDescent="0.3">
      <c r="C1027" t="s">
        <v>41</v>
      </c>
      <c r="D1027" t="s">
        <v>41</v>
      </c>
      <c r="K1027">
        <v>0</v>
      </c>
      <c r="L1027" t="s">
        <v>41</v>
      </c>
      <c r="M1027" t="s">
        <v>972</v>
      </c>
      <c r="N1027" t="s">
        <v>41</v>
      </c>
    </row>
    <row r="1028" spans="3:14" x14ac:dyDescent="0.3">
      <c r="C1028" t="s">
        <v>41</v>
      </c>
      <c r="D1028" t="s">
        <v>41</v>
      </c>
      <c r="K1028">
        <v>0</v>
      </c>
      <c r="L1028" t="s">
        <v>41</v>
      </c>
      <c r="M1028" t="s">
        <v>972</v>
      </c>
      <c r="N1028" t="s">
        <v>41</v>
      </c>
    </row>
    <row r="1029" spans="3:14" x14ac:dyDescent="0.3">
      <c r="C1029" t="s">
        <v>41</v>
      </c>
      <c r="D1029" t="s">
        <v>41</v>
      </c>
      <c r="K1029">
        <v>0</v>
      </c>
      <c r="L1029" t="s">
        <v>41</v>
      </c>
      <c r="M1029" t="s">
        <v>972</v>
      </c>
      <c r="N1029" t="s">
        <v>41</v>
      </c>
    </row>
    <row r="1030" spans="3:14" x14ac:dyDescent="0.3">
      <c r="C1030" t="s">
        <v>41</v>
      </c>
      <c r="D1030" t="s">
        <v>41</v>
      </c>
      <c r="K1030">
        <v>0</v>
      </c>
      <c r="L1030" t="s">
        <v>41</v>
      </c>
      <c r="M1030" t="s">
        <v>972</v>
      </c>
      <c r="N1030" t="s">
        <v>41</v>
      </c>
    </row>
    <row r="1031" spans="3:14" x14ac:dyDescent="0.3">
      <c r="C1031" t="s">
        <v>41</v>
      </c>
      <c r="D1031" t="s">
        <v>41</v>
      </c>
      <c r="K1031">
        <v>0</v>
      </c>
      <c r="L1031" t="s">
        <v>41</v>
      </c>
      <c r="M1031" t="s">
        <v>972</v>
      </c>
      <c r="N1031" t="s">
        <v>41</v>
      </c>
    </row>
    <row r="1032" spans="3:14" x14ac:dyDescent="0.3">
      <c r="C1032" t="s">
        <v>41</v>
      </c>
      <c r="D1032" t="s">
        <v>41</v>
      </c>
      <c r="K1032">
        <v>0</v>
      </c>
      <c r="L1032" t="s">
        <v>41</v>
      </c>
      <c r="M1032" t="s">
        <v>972</v>
      </c>
      <c r="N1032" t="s">
        <v>41</v>
      </c>
    </row>
    <row r="1033" spans="3:14" x14ac:dyDescent="0.3">
      <c r="C1033" t="s">
        <v>41</v>
      </c>
      <c r="D1033" t="s">
        <v>41</v>
      </c>
      <c r="K1033">
        <v>0</v>
      </c>
      <c r="L1033" t="s">
        <v>41</v>
      </c>
      <c r="M1033" t="s">
        <v>972</v>
      </c>
      <c r="N1033" t="s">
        <v>41</v>
      </c>
    </row>
    <row r="1034" spans="3:14" x14ac:dyDescent="0.3">
      <c r="C1034" t="s">
        <v>41</v>
      </c>
      <c r="D1034" t="s">
        <v>41</v>
      </c>
      <c r="K1034">
        <v>0</v>
      </c>
      <c r="L1034" t="s">
        <v>41</v>
      </c>
      <c r="M1034" t="s">
        <v>972</v>
      </c>
      <c r="N1034" t="s">
        <v>41</v>
      </c>
    </row>
    <row r="1035" spans="3:14" x14ac:dyDescent="0.3">
      <c r="C1035" t="s">
        <v>41</v>
      </c>
      <c r="D1035" t="s">
        <v>41</v>
      </c>
      <c r="K1035">
        <v>0</v>
      </c>
      <c r="L1035" t="s">
        <v>41</v>
      </c>
      <c r="M1035" t="s">
        <v>972</v>
      </c>
      <c r="N1035" t="s">
        <v>41</v>
      </c>
    </row>
    <row r="1036" spans="3:14" x14ac:dyDescent="0.3">
      <c r="C1036" t="s">
        <v>41</v>
      </c>
      <c r="D1036" t="s">
        <v>41</v>
      </c>
      <c r="K1036">
        <v>0</v>
      </c>
      <c r="L1036" t="s">
        <v>41</v>
      </c>
      <c r="M1036" t="s">
        <v>972</v>
      </c>
      <c r="N1036" t="s">
        <v>41</v>
      </c>
    </row>
    <row r="1037" spans="3:14" x14ac:dyDescent="0.3">
      <c r="C1037" t="s">
        <v>41</v>
      </c>
      <c r="D1037" t="s">
        <v>41</v>
      </c>
      <c r="K1037">
        <v>0</v>
      </c>
      <c r="L1037" t="s">
        <v>41</v>
      </c>
      <c r="M1037" t="s">
        <v>972</v>
      </c>
      <c r="N1037" t="s">
        <v>41</v>
      </c>
    </row>
    <row r="1038" spans="3:14" x14ac:dyDescent="0.3">
      <c r="C1038" t="s">
        <v>41</v>
      </c>
      <c r="D1038" t="s">
        <v>41</v>
      </c>
      <c r="K1038">
        <v>0</v>
      </c>
      <c r="L1038" t="s">
        <v>41</v>
      </c>
      <c r="M1038" t="s">
        <v>972</v>
      </c>
      <c r="N1038" t="s">
        <v>41</v>
      </c>
    </row>
    <row r="1039" spans="3:14" x14ac:dyDescent="0.3">
      <c r="C1039" t="s">
        <v>41</v>
      </c>
      <c r="D1039" t="s">
        <v>41</v>
      </c>
      <c r="K1039">
        <v>0</v>
      </c>
      <c r="L1039" t="s">
        <v>41</v>
      </c>
      <c r="M1039" t="s">
        <v>972</v>
      </c>
      <c r="N1039" t="s">
        <v>41</v>
      </c>
    </row>
    <row r="1040" spans="3:14" x14ac:dyDescent="0.3">
      <c r="C1040" t="s">
        <v>41</v>
      </c>
      <c r="D1040" t="s">
        <v>41</v>
      </c>
      <c r="K1040">
        <v>0</v>
      </c>
      <c r="L1040" t="s">
        <v>41</v>
      </c>
      <c r="M1040" t="s">
        <v>972</v>
      </c>
      <c r="N1040" t="s">
        <v>41</v>
      </c>
    </row>
    <row r="1041" spans="3:14" x14ac:dyDescent="0.3">
      <c r="C1041" t="s">
        <v>41</v>
      </c>
      <c r="D1041" t="s">
        <v>41</v>
      </c>
      <c r="K1041">
        <v>0</v>
      </c>
      <c r="L1041" t="s">
        <v>41</v>
      </c>
      <c r="M1041" t="s">
        <v>972</v>
      </c>
      <c r="N1041" t="s">
        <v>41</v>
      </c>
    </row>
    <row r="1042" spans="3:14" x14ac:dyDescent="0.3">
      <c r="C1042" t="s">
        <v>41</v>
      </c>
      <c r="D1042" t="s">
        <v>41</v>
      </c>
      <c r="K1042">
        <v>0</v>
      </c>
      <c r="L1042" t="s">
        <v>41</v>
      </c>
      <c r="M1042" t="s">
        <v>972</v>
      </c>
      <c r="N1042" t="s">
        <v>41</v>
      </c>
    </row>
    <row r="1043" spans="3:14" x14ac:dyDescent="0.3">
      <c r="C1043" t="s">
        <v>41</v>
      </c>
      <c r="D1043" t="s">
        <v>41</v>
      </c>
      <c r="K1043">
        <v>0</v>
      </c>
      <c r="L1043" t="s">
        <v>41</v>
      </c>
      <c r="M1043" t="s">
        <v>972</v>
      </c>
      <c r="N1043" t="s">
        <v>41</v>
      </c>
    </row>
    <row r="1044" spans="3:14" x14ac:dyDescent="0.3">
      <c r="C1044" t="s">
        <v>41</v>
      </c>
      <c r="D1044" t="s">
        <v>41</v>
      </c>
      <c r="K1044">
        <v>0</v>
      </c>
      <c r="L1044" t="s">
        <v>41</v>
      </c>
      <c r="M1044" t="s">
        <v>972</v>
      </c>
      <c r="N1044" t="s">
        <v>41</v>
      </c>
    </row>
    <row r="1045" spans="3:14" x14ac:dyDescent="0.3">
      <c r="C1045" t="s">
        <v>41</v>
      </c>
      <c r="D1045" t="s">
        <v>41</v>
      </c>
      <c r="K1045">
        <v>0</v>
      </c>
      <c r="L1045" t="s">
        <v>41</v>
      </c>
      <c r="M1045" t="s">
        <v>972</v>
      </c>
      <c r="N1045" t="s">
        <v>41</v>
      </c>
    </row>
    <row r="1046" spans="3:14" x14ac:dyDescent="0.3">
      <c r="C1046" t="s">
        <v>41</v>
      </c>
      <c r="D1046" t="s">
        <v>41</v>
      </c>
      <c r="K1046">
        <v>0</v>
      </c>
      <c r="L1046" t="s">
        <v>41</v>
      </c>
      <c r="M1046" t="s">
        <v>972</v>
      </c>
      <c r="N1046" t="s">
        <v>41</v>
      </c>
    </row>
    <row r="1047" spans="3:14" x14ac:dyDescent="0.3">
      <c r="C1047" t="s">
        <v>41</v>
      </c>
      <c r="D1047" t="s">
        <v>41</v>
      </c>
      <c r="K1047">
        <v>0</v>
      </c>
      <c r="L1047" t="s">
        <v>41</v>
      </c>
      <c r="M1047" t="s">
        <v>972</v>
      </c>
      <c r="N1047" t="s">
        <v>41</v>
      </c>
    </row>
    <row r="1048" spans="3:14" x14ac:dyDescent="0.3">
      <c r="C1048" t="s">
        <v>41</v>
      </c>
      <c r="D1048" t="s">
        <v>41</v>
      </c>
      <c r="K1048">
        <v>0</v>
      </c>
      <c r="L1048" t="s">
        <v>41</v>
      </c>
      <c r="M1048" t="s">
        <v>972</v>
      </c>
      <c r="N1048" t="s">
        <v>41</v>
      </c>
    </row>
    <row r="1049" spans="3:14" x14ac:dyDescent="0.3">
      <c r="C1049" t="s">
        <v>41</v>
      </c>
      <c r="D1049" t="s">
        <v>41</v>
      </c>
      <c r="K1049">
        <v>0</v>
      </c>
      <c r="L1049" t="s">
        <v>41</v>
      </c>
      <c r="M1049" t="s">
        <v>972</v>
      </c>
      <c r="N1049" t="s">
        <v>41</v>
      </c>
    </row>
    <row r="1050" spans="3:14" x14ac:dyDescent="0.3">
      <c r="C1050" t="s">
        <v>41</v>
      </c>
      <c r="D1050" t="s">
        <v>41</v>
      </c>
      <c r="K1050">
        <v>0</v>
      </c>
      <c r="L1050" t="s">
        <v>41</v>
      </c>
      <c r="M1050" t="s">
        <v>972</v>
      </c>
      <c r="N1050" t="s">
        <v>41</v>
      </c>
    </row>
    <row r="1051" spans="3:14" x14ac:dyDescent="0.3">
      <c r="C1051" t="s">
        <v>41</v>
      </c>
      <c r="D1051" t="s">
        <v>41</v>
      </c>
      <c r="K1051">
        <v>0</v>
      </c>
      <c r="L1051" t="s">
        <v>41</v>
      </c>
      <c r="M1051" t="s">
        <v>972</v>
      </c>
      <c r="N1051" t="s">
        <v>41</v>
      </c>
    </row>
    <row r="1052" spans="3:14" x14ac:dyDescent="0.3">
      <c r="C1052" t="s">
        <v>41</v>
      </c>
      <c r="D1052" t="s">
        <v>41</v>
      </c>
      <c r="K1052">
        <v>0</v>
      </c>
      <c r="L1052" t="s">
        <v>41</v>
      </c>
      <c r="M1052" t="s">
        <v>972</v>
      </c>
      <c r="N1052" t="s">
        <v>41</v>
      </c>
    </row>
    <row r="1053" spans="3:14" x14ac:dyDescent="0.3">
      <c r="C1053" t="s">
        <v>41</v>
      </c>
      <c r="D1053" t="s">
        <v>41</v>
      </c>
      <c r="K1053">
        <v>0</v>
      </c>
      <c r="L1053" t="s">
        <v>41</v>
      </c>
      <c r="M1053" t="s">
        <v>972</v>
      </c>
      <c r="N1053" t="s">
        <v>41</v>
      </c>
    </row>
    <row r="1054" spans="3:14" x14ac:dyDescent="0.3">
      <c r="C1054" t="s">
        <v>41</v>
      </c>
      <c r="D1054" t="s">
        <v>41</v>
      </c>
      <c r="K1054">
        <v>0</v>
      </c>
      <c r="L1054" t="s">
        <v>41</v>
      </c>
      <c r="M1054" t="s">
        <v>972</v>
      </c>
      <c r="N1054" t="s">
        <v>41</v>
      </c>
    </row>
    <row r="1055" spans="3:14" x14ac:dyDescent="0.3">
      <c r="C1055" t="s">
        <v>41</v>
      </c>
      <c r="D1055" t="s">
        <v>41</v>
      </c>
      <c r="K1055">
        <v>0</v>
      </c>
      <c r="L1055" t="s">
        <v>41</v>
      </c>
      <c r="M1055" t="s">
        <v>972</v>
      </c>
      <c r="N1055" t="s">
        <v>41</v>
      </c>
    </row>
    <row r="1056" spans="3:14" x14ac:dyDescent="0.3">
      <c r="C1056" t="s">
        <v>41</v>
      </c>
      <c r="D1056" t="s">
        <v>41</v>
      </c>
      <c r="K1056">
        <v>0</v>
      </c>
      <c r="L1056" t="s">
        <v>41</v>
      </c>
      <c r="M1056" t="s">
        <v>972</v>
      </c>
      <c r="N1056" t="s">
        <v>41</v>
      </c>
    </row>
    <row r="1057" spans="3:14" x14ac:dyDescent="0.3">
      <c r="C1057" t="s">
        <v>41</v>
      </c>
      <c r="D1057" t="s">
        <v>41</v>
      </c>
      <c r="K1057">
        <v>0</v>
      </c>
      <c r="L1057" t="s">
        <v>41</v>
      </c>
      <c r="M1057" t="s">
        <v>972</v>
      </c>
      <c r="N1057" t="s">
        <v>41</v>
      </c>
    </row>
    <row r="1058" spans="3:14" x14ac:dyDescent="0.3">
      <c r="C1058" t="s">
        <v>41</v>
      </c>
      <c r="D1058" t="s">
        <v>41</v>
      </c>
      <c r="K1058">
        <v>0</v>
      </c>
      <c r="L1058" t="s">
        <v>41</v>
      </c>
      <c r="M1058" t="s">
        <v>972</v>
      </c>
      <c r="N1058" t="s">
        <v>41</v>
      </c>
    </row>
    <row r="1059" spans="3:14" x14ac:dyDescent="0.3">
      <c r="C1059" t="s">
        <v>41</v>
      </c>
      <c r="D1059" t="s">
        <v>41</v>
      </c>
      <c r="K1059">
        <v>0</v>
      </c>
      <c r="L1059" t="s">
        <v>41</v>
      </c>
      <c r="M1059" t="s">
        <v>972</v>
      </c>
      <c r="N1059" t="s">
        <v>41</v>
      </c>
    </row>
    <row r="1060" spans="3:14" x14ac:dyDescent="0.3">
      <c r="C1060" t="s">
        <v>41</v>
      </c>
      <c r="D1060" t="s">
        <v>41</v>
      </c>
      <c r="K1060">
        <v>0</v>
      </c>
      <c r="L1060" t="s">
        <v>41</v>
      </c>
      <c r="M1060" t="s">
        <v>972</v>
      </c>
      <c r="N1060" t="s">
        <v>41</v>
      </c>
    </row>
    <row r="1061" spans="3:14" x14ac:dyDescent="0.3">
      <c r="C1061" t="s">
        <v>41</v>
      </c>
      <c r="D1061" t="s">
        <v>41</v>
      </c>
      <c r="K1061">
        <v>0</v>
      </c>
      <c r="L1061" t="s">
        <v>41</v>
      </c>
      <c r="M1061" t="s">
        <v>972</v>
      </c>
      <c r="N1061" t="s">
        <v>41</v>
      </c>
    </row>
    <row r="1062" spans="3:14" x14ac:dyDescent="0.3">
      <c r="C1062" t="s">
        <v>41</v>
      </c>
      <c r="D1062" t="s">
        <v>41</v>
      </c>
      <c r="K1062">
        <v>0</v>
      </c>
      <c r="L1062" t="s">
        <v>41</v>
      </c>
      <c r="M1062" t="s">
        <v>972</v>
      </c>
      <c r="N1062" t="s">
        <v>41</v>
      </c>
    </row>
    <row r="1063" spans="3:14" x14ac:dyDescent="0.3">
      <c r="C1063" t="s">
        <v>41</v>
      </c>
      <c r="D1063" t="s">
        <v>41</v>
      </c>
      <c r="K1063">
        <v>0</v>
      </c>
      <c r="L1063" t="s">
        <v>41</v>
      </c>
      <c r="M1063" t="s">
        <v>972</v>
      </c>
      <c r="N1063" t="s">
        <v>41</v>
      </c>
    </row>
    <row r="1064" spans="3:14" x14ac:dyDescent="0.3">
      <c r="C1064" t="s">
        <v>41</v>
      </c>
      <c r="D1064" t="s">
        <v>41</v>
      </c>
      <c r="K1064">
        <v>0</v>
      </c>
      <c r="L1064" t="s">
        <v>41</v>
      </c>
      <c r="M1064" t="s">
        <v>972</v>
      </c>
      <c r="N1064" t="s">
        <v>41</v>
      </c>
    </row>
    <row r="1065" spans="3:14" x14ac:dyDescent="0.3">
      <c r="C1065" t="s">
        <v>41</v>
      </c>
      <c r="D1065" t="s">
        <v>41</v>
      </c>
      <c r="K1065">
        <v>0</v>
      </c>
      <c r="L1065" t="s">
        <v>41</v>
      </c>
      <c r="M1065" t="s">
        <v>972</v>
      </c>
      <c r="N1065" t="s">
        <v>41</v>
      </c>
    </row>
    <row r="1066" spans="3:14" x14ac:dyDescent="0.3">
      <c r="C1066" t="s">
        <v>41</v>
      </c>
      <c r="D1066" t="s">
        <v>41</v>
      </c>
      <c r="K1066">
        <v>0</v>
      </c>
      <c r="L1066" t="s">
        <v>41</v>
      </c>
      <c r="M1066" t="s">
        <v>972</v>
      </c>
      <c r="N1066" t="s">
        <v>41</v>
      </c>
    </row>
    <row r="1067" spans="3:14" x14ac:dyDescent="0.3">
      <c r="C1067" t="s">
        <v>41</v>
      </c>
      <c r="D1067" t="s">
        <v>41</v>
      </c>
      <c r="K1067">
        <v>0</v>
      </c>
      <c r="L1067" t="s">
        <v>41</v>
      </c>
      <c r="M1067" t="s">
        <v>972</v>
      </c>
      <c r="N1067" t="s">
        <v>41</v>
      </c>
    </row>
    <row r="1068" spans="3:14" x14ac:dyDescent="0.3">
      <c r="C1068" t="s">
        <v>41</v>
      </c>
      <c r="D1068" t="s">
        <v>41</v>
      </c>
      <c r="K1068">
        <v>0</v>
      </c>
      <c r="L1068" t="s">
        <v>41</v>
      </c>
      <c r="M1068" t="s">
        <v>972</v>
      </c>
      <c r="N1068" t="s">
        <v>41</v>
      </c>
    </row>
    <row r="1069" spans="3:14" x14ac:dyDescent="0.3">
      <c r="C1069" t="s">
        <v>41</v>
      </c>
      <c r="D1069" t="s">
        <v>41</v>
      </c>
      <c r="K1069">
        <v>0</v>
      </c>
      <c r="L1069" t="s">
        <v>41</v>
      </c>
      <c r="M1069" t="s">
        <v>972</v>
      </c>
      <c r="N1069" t="s">
        <v>41</v>
      </c>
    </row>
    <row r="1070" spans="3:14" x14ac:dyDescent="0.3">
      <c r="C1070" t="s">
        <v>41</v>
      </c>
      <c r="D1070" t="s">
        <v>41</v>
      </c>
      <c r="K1070">
        <v>0</v>
      </c>
      <c r="L1070" t="s">
        <v>41</v>
      </c>
      <c r="M1070" t="s">
        <v>972</v>
      </c>
      <c r="N1070" t="s">
        <v>41</v>
      </c>
    </row>
    <row r="1071" spans="3:14" x14ac:dyDescent="0.3">
      <c r="C1071" t="s">
        <v>41</v>
      </c>
      <c r="D1071" t="s">
        <v>41</v>
      </c>
      <c r="K1071">
        <v>0</v>
      </c>
      <c r="L1071" t="s">
        <v>41</v>
      </c>
      <c r="M1071" t="s">
        <v>972</v>
      </c>
      <c r="N1071" t="s">
        <v>41</v>
      </c>
    </row>
    <row r="1072" spans="3:14" x14ac:dyDescent="0.3">
      <c r="C1072" t="s">
        <v>41</v>
      </c>
      <c r="D1072" t="s">
        <v>41</v>
      </c>
      <c r="K1072">
        <v>0</v>
      </c>
      <c r="L1072" t="s">
        <v>41</v>
      </c>
      <c r="M1072" t="s">
        <v>972</v>
      </c>
      <c r="N1072" t="s">
        <v>41</v>
      </c>
    </row>
    <row r="1073" spans="3:14" x14ac:dyDescent="0.3">
      <c r="C1073" t="s">
        <v>41</v>
      </c>
      <c r="D1073" t="s">
        <v>41</v>
      </c>
      <c r="K1073">
        <v>0</v>
      </c>
      <c r="L1073" t="s">
        <v>41</v>
      </c>
      <c r="M1073" t="s">
        <v>972</v>
      </c>
      <c r="N1073" t="s">
        <v>41</v>
      </c>
    </row>
    <row r="1074" spans="3:14" x14ac:dyDescent="0.3">
      <c r="C1074" t="s">
        <v>41</v>
      </c>
      <c r="D1074" t="s">
        <v>41</v>
      </c>
      <c r="K1074">
        <v>0</v>
      </c>
      <c r="L1074" t="s">
        <v>41</v>
      </c>
      <c r="M1074" t="s">
        <v>972</v>
      </c>
      <c r="N1074" t="s">
        <v>41</v>
      </c>
    </row>
    <row r="1075" spans="3:14" x14ac:dyDescent="0.3">
      <c r="C1075" t="s">
        <v>41</v>
      </c>
      <c r="D1075" t="s">
        <v>41</v>
      </c>
      <c r="K1075">
        <v>0</v>
      </c>
      <c r="L1075" t="s">
        <v>41</v>
      </c>
      <c r="M1075" t="s">
        <v>972</v>
      </c>
      <c r="N1075" t="s">
        <v>41</v>
      </c>
    </row>
    <row r="1076" spans="3:14" x14ac:dyDescent="0.3">
      <c r="C1076" t="s">
        <v>41</v>
      </c>
      <c r="D1076" t="s">
        <v>41</v>
      </c>
      <c r="K1076">
        <v>0</v>
      </c>
      <c r="L1076" t="s">
        <v>41</v>
      </c>
      <c r="M1076" t="s">
        <v>972</v>
      </c>
      <c r="N1076" t="s">
        <v>41</v>
      </c>
    </row>
    <row r="1077" spans="3:14" x14ac:dyDescent="0.3">
      <c r="C1077" t="s">
        <v>41</v>
      </c>
      <c r="D1077" t="s">
        <v>41</v>
      </c>
      <c r="K1077">
        <v>0</v>
      </c>
      <c r="L1077" t="s">
        <v>41</v>
      </c>
      <c r="M1077" t="s">
        <v>972</v>
      </c>
      <c r="N1077" t="s">
        <v>41</v>
      </c>
    </row>
    <row r="1078" spans="3:14" x14ac:dyDescent="0.3">
      <c r="C1078" t="s">
        <v>41</v>
      </c>
      <c r="D1078" t="s">
        <v>41</v>
      </c>
      <c r="K1078">
        <v>0</v>
      </c>
      <c r="L1078" t="s">
        <v>41</v>
      </c>
      <c r="M1078" t="s">
        <v>972</v>
      </c>
      <c r="N1078" t="s">
        <v>41</v>
      </c>
    </row>
    <row r="1079" spans="3:14" x14ac:dyDescent="0.3">
      <c r="C1079" t="s">
        <v>41</v>
      </c>
      <c r="D1079" t="s">
        <v>41</v>
      </c>
      <c r="K1079">
        <v>0</v>
      </c>
      <c r="L1079" t="s">
        <v>41</v>
      </c>
      <c r="M1079" t="s">
        <v>972</v>
      </c>
      <c r="N1079" t="s">
        <v>41</v>
      </c>
    </row>
    <row r="1080" spans="3:14" x14ac:dyDescent="0.3">
      <c r="C1080" t="s">
        <v>41</v>
      </c>
      <c r="D1080" t="s">
        <v>41</v>
      </c>
      <c r="K1080">
        <v>0</v>
      </c>
      <c r="L1080" t="s">
        <v>41</v>
      </c>
      <c r="M1080" t="s">
        <v>972</v>
      </c>
      <c r="N1080" t="s">
        <v>41</v>
      </c>
    </row>
    <row r="1081" spans="3:14" x14ac:dyDescent="0.3">
      <c r="C1081" t="s">
        <v>41</v>
      </c>
      <c r="D1081" t="s">
        <v>41</v>
      </c>
      <c r="K1081">
        <v>0</v>
      </c>
      <c r="L1081" t="s">
        <v>41</v>
      </c>
      <c r="M1081" t="s">
        <v>972</v>
      </c>
      <c r="N1081" t="s">
        <v>41</v>
      </c>
    </row>
    <row r="1082" spans="3:14" x14ac:dyDescent="0.3">
      <c r="C1082" t="s">
        <v>41</v>
      </c>
      <c r="D1082" t="s">
        <v>41</v>
      </c>
      <c r="K1082">
        <v>0</v>
      </c>
      <c r="L1082" t="s">
        <v>41</v>
      </c>
      <c r="M1082" t="s">
        <v>972</v>
      </c>
      <c r="N1082" t="s">
        <v>41</v>
      </c>
    </row>
    <row r="1083" spans="3:14" x14ac:dyDescent="0.3">
      <c r="C1083" t="s">
        <v>41</v>
      </c>
      <c r="D1083" t="s">
        <v>41</v>
      </c>
      <c r="K1083">
        <v>0</v>
      </c>
      <c r="L1083" t="s">
        <v>41</v>
      </c>
      <c r="M1083" t="s">
        <v>972</v>
      </c>
      <c r="N1083" t="s">
        <v>41</v>
      </c>
    </row>
    <row r="1084" spans="3:14" x14ac:dyDescent="0.3">
      <c r="C1084" t="s">
        <v>41</v>
      </c>
      <c r="D1084" t="s">
        <v>41</v>
      </c>
      <c r="K1084">
        <v>0</v>
      </c>
      <c r="L1084" t="s">
        <v>41</v>
      </c>
      <c r="M1084" t="s">
        <v>972</v>
      </c>
      <c r="N1084" t="s">
        <v>41</v>
      </c>
    </row>
    <row r="1085" spans="3:14" x14ac:dyDescent="0.3">
      <c r="C1085" t="s">
        <v>41</v>
      </c>
      <c r="D1085" t="s">
        <v>41</v>
      </c>
      <c r="K1085">
        <v>0</v>
      </c>
      <c r="L1085" t="s">
        <v>41</v>
      </c>
      <c r="M1085" t="s">
        <v>972</v>
      </c>
      <c r="N1085" t="s">
        <v>41</v>
      </c>
    </row>
    <row r="1086" spans="3:14" x14ac:dyDescent="0.3">
      <c r="C1086" t="s">
        <v>41</v>
      </c>
      <c r="D1086" t="s">
        <v>41</v>
      </c>
      <c r="K1086">
        <v>0</v>
      </c>
      <c r="L1086" t="s">
        <v>41</v>
      </c>
      <c r="M1086" t="s">
        <v>972</v>
      </c>
      <c r="N1086" t="s">
        <v>41</v>
      </c>
    </row>
    <row r="1087" spans="3:14" x14ac:dyDescent="0.3">
      <c r="C1087" t="s">
        <v>41</v>
      </c>
      <c r="D1087" t="s">
        <v>41</v>
      </c>
      <c r="K1087">
        <v>0</v>
      </c>
      <c r="L1087" t="s">
        <v>41</v>
      </c>
      <c r="M1087" t="s">
        <v>972</v>
      </c>
      <c r="N1087" t="s">
        <v>41</v>
      </c>
    </row>
    <row r="1088" spans="3:14" x14ac:dyDescent="0.3">
      <c r="C1088" t="s">
        <v>41</v>
      </c>
      <c r="D1088" t="s">
        <v>41</v>
      </c>
      <c r="K1088">
        <v>0</v>
      </c>
      <c r="L1088" t="s">
        <v>41</v>
      </c>
      <c r="M1088" t="s">
        <v>972</v>
      </c>
      <c r="N1088" t="s">
        <v>41</v>
      </c>
    </row>
    <row r="1089" spans="3:14" x14ac:dyDescent="0.3">
      <c r="C1089" t="s">
        <v>41</v>
      </c>
      <c r="D1089" t="s">
        <v>41</v>
      </c>
      <c r="K1089">
        <v>0</v>
      </c>
      <c r="L1089" t="s">
        <v>41</v>
      </c>
      <c r="M1089" t="s">
        <v>972</v>
      </c>
      <c r="N1089" t="s">
        <v>41</v>
      </c>
    </row>
    <row r="1090" spans="3:14" x14ac:dyDescent="0.3">
      <c r="C1090" t="s">
        <v>41</v>
      </c>
      <c r="D1090" t="s">
        <v>41</v>
      </c>
      <c r="K1090">
        <v>0</v>
      </c>
      <c r="L1090" t="s">
        <v>41</v>
      </c>
      <c r="M1090" t="s">
        <v>972</v>
      </c>
      <c r="N1090" t="s">
        <v>41</v>
      </c>
    </row>
    <row r="1091" spans="3:14" x14ac:dyDescent="0.3">
      <c r="C1091" t="s">
        <v>41</v>
      </c>
      <c r="D1091" t="s">
        <v>41</v>
      </c>
      <c r="K1091">
        <v>0</v>
      </c>
      <c r="L1091" t="s">
        <v>41</v>
      </c>
      <c r="M1091" t="s">
        <v>972</v>
      </c>
      <c r="N1091" t="s">
        <v>41</v>
      </c>
    </row>
    <row r="1092" spans="3:14" x14ac:dyDescent="0.3">
      <c r="C1092" t="s">
        <v>41</v>
      </c>
      <c r="D1092" t="s">
        <v>41</v>
      </c>
      <c r="K1092">
        <v>0</v>
      </c>
      <c r="L1092" t="s">
        <v>41</v>
      </c>
      <c r="M1092" t="s">
        <v>972</v>
      </c>
      <c r="N1092" t="s">
        <v>41</v>
      </c>
    </row>
    <row r="1093" spans="3:14" x14ac:dyDescent="0.3">
      <c r="C1093" t="s">
        <v>41</v>
      </c>
      <c r="D1093" t="s">
        <v>41</v>
      </c>
      <c r="K1093">
        <v>0</v>
      </c>
      <c r="L1093" t="s">
        <v>41</v>
      </c>
      <c r="M1093" t="s">
        <v>972</v>
      </c>
      <c r="N1093" t="s">
        <v>41</v>
      </c>
    </row>
    <row r="1094" spans="3:14" x14ac:dyDescent="0.3">
      <c r="C1094" t="s">
        <v>41</v>
      </c>
      <c r="D1094" t="s">
        <v>41</v>
      </c>
      <c r="K1094">
        <v>0</v>
      </c>
      <c r="L1094" t="s">
        <v>41</v>
      </c>
      <c r="M1094" t="s">
        <v>972</v>
      </c>
      <c r="N1094" t="s">
        <v>41</v>
      </c>
    </row>
    <row r="1095" spans="3:14" x14ac:dyDescent="0.3">
      <c r="C1095" t="s">
        <v>41</v>
      </c>
      <c r="D1095" t="s">
        <v>41</v>
      </c>
      <c r="K1095">
        <v>0</v>
      </c>
      <c r="L1095" t="s">
        <v>41</v>
      </c>
      <c r="M1095" t="s">
        <v>972</v>
      </c>
      <c r="N1095" t="s">
        <v>41</v>
      </c>
    </row>
    <row r="1096" spans="3:14" x14ac:dyDescent="0.3">
      <c r="C1096" t="s">
        <v>41</v>
      </c>
      <c r="D1096" t="s">
        <v>41</v>
      </c>
      <c r="K1096">
        <v>0</v>
      </c>
      <c r="L1096" t="s">
        <v>41</v>
      </c>
      <c r="M1096" t="s">
        <v>972</v>
      </c>
      <c r="N1096" t="s">
        <v>41</v>
      </c>
    </row>
    <row r="1097" spans="3:14" x14ac:dyDescent="0.3">
      <c r="C1097" t="s">
        <v>41</v>
      </c>
      <c r="D1097" t="s">
        <v>41</v>
      </c>
      <c r="K1097">
        <v>0</v>
      </c>
      <c r="L1097" t="s">
        <v>41</v>
      </c>
      <c r="M1097" t="s">
        <v>972</v>
      </c>
      <c r="N1097" t="s">
        <v>41</v>
      </c>
    </row>
    <row r="1098" spans="3:14" x14ac:dyDescent="0.3">
      <c r="C1098" t="s">
        <v>41</v>
      </c>
      <c r="D1098" t="s">
        <v>41</v>
      </c>
      <c r="K1098">
        <v>0</v>
      </c>
      <c r="L1098" t="s">
        <v>41</v>
      </c>
      <c r="M1098" t="s">
        <v>972</v>
      </c>
      <c r="N1098" t="s">
        <v>41</v>
      </c>
    </row>
    <row r="1099" spans="3:14" x14ac:dyDescent="0.3">
      <c r="C1099" t="s">
        <v>41</v>
      </c>
      <c r="D1099" t="s">
        <v>41</v>
      </c>
      <c r="K1099">
        <v>0</v>
      </c>
      <c r="L1099" t="s">
        <v>41</v>
      </c>
      <c r="M1099" t="s">
        <v>972</v>
      </c>
      <c r="N1099" t="s">
        <v>41</v>
      </c>
    </row>
    <row r="1100" spans="3:14" x14ac:dyDescent="0.3">
      <c r="C1100" t="s">
        <v>41</v>
      </c>
      <c r="D1100" t="s">
        <v>41</v>
      </c>
      <c r="K1100">
        <v>0</v>
      </c>
      <c r="L1100" t="s">
        <v>41</v>
      </c>
      <c r="M1100" t="s">
        <v>972</v>
      </c>
      <c r="N1100" t="s">
        <v>41</v>
      </c>
    </row>
    <row r="1101" spans="3:14" x14ac:dyDescent="0.3">
      <c r="C1101" t="s">
        <v>41</v>
      </c>
      <c r="D1101" t="s">
        <v>41</v>
      </c>
      <c r="K1101">
        <v>0</v>
      </c>
      <c r="L1101" t="s">
        <v>41</v>
      </c>
      <c r="M1101" t="s">
        <v>972</v>
      </c>
      <c r="N1101" t="s">
        <v>41</v>
      </c>
    </row>
    <row r="1102" spans="3:14" x14ac:dyDescent="0.3">
      <c r="C1102" t="s">
        <v>41</v>
      </c>
      <c r="D1102" t="s">
        <v>41</v>
      </c>
      <c r="K1102">
        <v>0</v>
      </c>
      <c r="L1102" t="s">
        <v>41</v>
      </c>
      <c r="M1102" t="s">
        <v>972</v>
      </c>
      <c r="N1102" t="s">
        <v>41</v>
      </c>
    </row>
    <row r="1103" spans="3:14" x14ac:dyDescent="0.3">
      <c r="C1103" t="s">
        <v>41</v>
      </c>
      <c r="D1103" t="s">
        <v>41</v>
      </c>
      <c r="K1103">
        <v>0</v>
      </c>
      <c r="L1103" t="s">
        <v>41</v>
      </c>
      <c r="M1103" t="s">
        <v>972</v>
      </c>
      <c r="N1103" t="s">
        <v>41</v>
      </c>
    </row>
    <row r="1104" spans="3:14" x14ac:dyDescent="0.3">
      <c r="C1104" t="s">
        <v>41</v>
      </c>
      <c r="D1104" t="s">
        <v>41</v>
      </c>
      <c r="K1104">
        <v>0</v>
      </c>
      <c r="L1104" t="s">
        <v>41</v>
      </c>
      <c r="M1104" t="s">
        <v>972</v>
      </c>
      <c r="N1104" t="s">
        <v>41</v>
      </c>
    </row>
    <row r="1105" spans="3:14" x14ac:dyDescent="0.3">
      <c r="C1105" t="s">
        <v>41</v>
      </c>
      <c r="D1105" t="s">
        <v>41</v>
      </c>
      <c r="K1105">
        <v>0</v>
      </c>
      <c r="L1105" t="s">
        <v>41</v>
      </c>
      <c r="M1105" t="s">
        <v>972</v>
      </c>
      <c r="N1105" t="s">
        <v>41</v>
      </c>
    </row>
    <row r="1106" spans="3:14" x14ac:dyDescent="0.3">
      <c r="C1106" t="s">
        <v>41</v>
      </c>
      <c r="D1106" t="s">
        <v>41</v>
      </c>
      <c r="K1106">
        <v>0</v>
      </c>
      <c r="L1106" t="s">
        <v>41</v>
      </c>
      <c r="M1106" t="s">
        <v>972</v>
      </c>
      <c r="N1106" t="s">
        <v>41</v>
      </c>
    </row>
    <row r="1107" spans="3:14" x14ac:dyDescent="0.3">
      <c r="C1107" t="s">
        <v>41</v>
      </c>
      <c r="D1107" t="s">
        <v>41</v>
      </c>
      <c r="K1107">
        <v>0</v>
      </c>
      <c r="L1107" t="s">
        <v>41</v>
      </c>
      <c r="M1107" t="s">
        <v>972</v>
      </c>
      <c r="N1107" t="s">
        <v>41</v>
      </c>
    </row>
    <row r="1108" spans="3:14" x14ac:dyDescent="0.3">
      <c r="C1108" t="s">
        <v>41</v>
      </c>
      <c r="D1108" t="s">
        <v>41</v>
      </c>
      <c r="K1108">
        <v>0</v>
      </c>
      <c r="L1108" t="s">
        <v>41</v>
      </c>
      <c r="M1108" t="s">
        <v>972</v>
      </c>
      <c r="N1108" t="s">
        <v>41</v>
      </c>
    </row>
    <row r="1109" spans="3:14" x14ac:dyDescent="0.3">
      <c r="C1109" t="s">
        <v>41</v>
      </c>
      <c r="D1109" t="s">
        <v>41</v>
      </c>
      <c r="K1109">
        <v>0</v>
      </c>
      <c r="L1109" t="s">
        <v>41</v>
      </c>
      <c r="M1109" t="s">
        <v>972</v>
      </c>
      <c r="N1109" t="s">
        <v>41</v>
      </c>
    </row>
    <row r="1110" spans="3:14" x14ac:dyDescent="0.3">
      <c r="C1110" t="s">
        <v>41</v>
      </c>
      <c r="D1110" t="s">
        <v>41</v>
      </c>
      <c r="K1110">
        <v>0</v>
      </c>
      <c r="L1110" t="s">
        <v>41</v>
      </c>
      <c r="M1110" t="s">
        <v>972</v>
      </c>
      <c r="N1110" t="s">
        <v>41</v>
      </c>
    </row>
    <row r="1111" spans="3:14" x14ac:dyDescent="0.3">
      <c r="C1111" t="s">
        <v>41</v>
      </c>
      <c r="D1111" t="s">
        <v>41</v>
      </c>
      <c r="K1111">
        <v>0</v>
      </c>
      <c r="L1111" t="s">
        <v>41</v>
      </c>
      <c r="M1111" t="s">
        <v>972</v>
      </c>
      <c r="N1111" t="s">
        <v>41</v>
      </c>
    </row>
    <row r="1112" spans="3:14" x14ac:dyDescent="0.3">
      <c r="C1112" t="s">
        <v>41</v>
      </c>
      <c r="D1112" t="s">
        <v>41</v>
      </c>
      <c r="K1112">
        <v>0</v>
      </c>
      <c r="L1112" t="s">
        <v>41</v>
      </c>
      <c r="M1112" t="s">
        <v>972</v>
      </c>
      <c r="N1112" t="s">
        <v>41</v>
      </c>
    </row>
    <row r="1113" spans="3:14" x14ac:dyDescent="0.3">
      <c r="C1113" t="s">
        <v>41</v>
      </c>
      <c r="D1113" t="s">
        <v>41</v>
      </c>
      <c r="K1113">
        <v>0</v>
      </c>
      <c r="L1113" t="s">
        <v>41</v>
      </c>
      <c r="M1113" t="s">
        <v>972</v>
      </c>
      <c r="N1113" t="s">
        <v>41</v>
      </c>
    </row>
    <row r="1114" spans="3:14" x14ac:dyDescent="0.3">
      <c r="C1114" t="s">
        <v>41</v>
      </c>
      <c r="D1114" t="s">
        <v>41</v>
      </c>
      <c r="K1114">
        <v>0</v>
      </c>
      <c r="L1114" t="s">
        <v>41</v>
      </c>
      <c r="M1114" t="s">
        <v>972</v>
      </c>
      <c r="N1114" t="s">
        <v>41</v>
      </c>
    </row>
    <row r="1115" spans="3:14" x14ac:dyDescent="0.3">
      <c r="C1115" t="s">
        <v>41</v>
      </c>
      <c r="D1115" t="s">
        <v>41</v>
      </c>
      <c r="K1115">
        <v>0</v>
      </c>
      <c r="L1115" t="s">
        <v>41</v>
      </c>
      <c r="M1115" t="s">
        <v>972</v>
      </c>
      <c r="N1115" t="s">
        <v>41</v>
      </c>
    </row>
    <row r="1116" spans="3:14" x14ac:dyDescent="0.3">
      <c r="C1116" t="s">
        <v>41</v>
      </c>
      <c r="D1116" t="s">
        <v>41</v>
      </c>
      <c r="K1116">
        <v>0</v>
      </c>
      <c r="L1116" t="s">
        <v>41</v>
      </c>
      <c r="M1116" t="s">
        <v>972</v>
      </c>
      <c r="N1116" t="s">
        <v>41</v>
      </c>
    </row>
    <row r="1117" spans="3:14" x14ac:dyDescent="0.3">
      <c r="C1117" t="s">
        <v>41</v>
      </c>
      <c r="D1117" t="s">
        <v>41</v>
      </c>
      <c r="K1117">
        <v>0</v>
      </c>
      <c r="L1117" t="s">
        <v>41</v>
      </c>
      <c r="M1117" t="s">
        <v>972</v>
      </c>
      <c r="N1117" t="s">
        <v>41</v>
      </c>
    </row>
    <row r="1118" spans="3:14" x14ac:dyDescent="0.3">
      <c r="C1118" t="s">
        <v>41</v>
      </c>
      <c r="D1118" t="s">
        <v>41</v>
      </c>
      <c r="K1118">
        <v>0</v>
      </c>
      <c r="L1118" t="s">
        <v>41</v>
      </c>
      <c r="M1118" t="s">
        <v>972</v>
      </c>
      <c r="N1118" t="s">
        <v>41</v>
      </c>
    </row>
    <row r="1119" spans="3:14" x14ac:dyDescent="0.3">
      <c r="C1119" t="s">
        <v>41</v>
      </c>
      <c r="D1119" t="s">
        <v>41</v>
      </c>
      <c r="K1119">
        <v>0</v>
      </c>
      <c r="L1119" t="s">
        <v>41</v>
      </c>
      <c r="M1119" t="s">
        <v>972</v>
      </c>
      <c r="N1119" t="s">
        <v>41</v>
      </c>
    </row>
    <row r="1120" spans="3:14" x14ac:dyDescent="0.3">
      <c r="C1120" t="s">
        <v>41</v>
      </c>
      <c r="D1120" t="s">
        <v>41</v>
      </c>
      <c r="K1120">
        <v>0</v>
      </c>
      <c r="L1120" t="s">
        <v>41</v>
      </c>
      <c r="M1120" t="s">
        <v>972</v>
      </c>
      <c r="N1120" t="s">
        <v>41</v>
      </c>
    </row>
    <row r="1121" spans="3:14" x14ac:dyDescent="0.3">
      <c r="C1121" t="s">
        <v>41</v>
      </c>
      <c r="D1121" t="s">
        <v>41</v>
      </c>
      <c r="K1121">
        <v>0</v>
      </c>
      <c r="L1121" t="s">
        <v>41</v>
      </c>
      <c r="M1121" t="s">
        <v>972</v>
      </c>
      <c r="N1121" t="s">
        <v>41</v>
      </c>
    </row>
    <row r="1122" spans="3:14" x14ac:dyDescent="0.3">
      <c r="C1122" t="s">
        <v>41</v>
      </c>
      <c r="D1122" t="s">
        <v>41</v>
      </c>
      <c r="K1122">
        <v>0</v>
      </c>
      <c r="L1122" t="s">
        <v>41</v>
      </c>
      <c r="M1122" t="s">
        <v>972</v>
      </c>
      <c r="N1122" t="s">
        <v>41</v>
      </c>
    </row>
    <row r="1123" spans="3:14" x14ac:dyDescent="0.3">
      <c r="C1123" t="s">
        <v>41</v>
      </c>
      <c r="D1123" t="s">
        <v>41</v>
      </c>
      <c r="K1123">
        <v>0</v>
      </c>
      <c r="L1123" t="s">
        <v>41</v>
      </c>
      <c r="M1123" t="s">
        <v>972</v>
      </c>
      <c r="N1123" t="s">
        <v>41</v>
      </c>
    </row>
    <row r="1124" spans="3:14" x14ac:dyDescent="0.3">
      <c r="C1124" t="s">
        <v>41</v>
      </c>
      <c r="D1124" t="s">
        <v>41</v>
      </c>
      <c r="K1124">
        <v>0</v>
      </c>
      <c r="L1124" t="s">
        <v>41</v>
      </c>
      <c r="M1124" t="s">
        <v>972</v>
      </c>
      <c r="N1124" t="s">
        <v>41</v>
      </c>
    </row>
    <row r="1125" spans="3:14" x14ac:dyDescent="0.3">
      <c r="C1125" t="s">
        <v>41</v>
      </c>
      <c r="D1125" t="s">
        <v>41</v>
      </c>
      <c r="K1125">
        <v>0</v>
      </c>
      <c r="L1125" t="s">
        <v>41</v>
      </c>
      <c r="M1125" t="s">
        <v>972</v>
      </c>
      <c r="N1125" t="s">
        <v>41</v>
      </c>
    </row>
    <row r="1126" spans="3:14" x14ac:dyDescent="0.3">
      <c r="C1126" t="s">
        <v>41</v>
      </c>
      <c r="D1126" t="s">
        <v>41</v>
      </c>
      <c r="K1126">
        <v>0</v>
      </c>
      <c r="L1126" t="s">
        <v>41</v>
      </c>
      <c r="M1126" t="s">
        <v>972</v>
      </c>
      <c r="N1126" t="s">
        <v>41</v>
      </c>
    </row>
    <row r="1127" spans="3:14" x14ac:dyDescent="0.3">
      <c r="C1127" t="s">
        <v>41</v>
      </c>
      <c r="D1127" t="s">
        <v>41</v>
      </c>
      <c r="K1127">
        <v>0</v>
      </c>
      <c r="L1127" t="s">
        <v>41</v>
      </c>
      <c r="M1127" t="s">
        <v>972</v>
      </c>
      <c r="N1127" t="s">
        <v>41</v>
      </c>
    </row>
    <row r="1128" spans="3:14" x14ac:dyDescent="0.3">
      <c r="C1128" t="s">
        <v>41</v>
      </c>
      <c r="D1128" t="s">
        <v>41</v>
      </c>
      <c r="K1128">
        <v>0</v>
      </c>
      <c r="L1128" t="s">
        <v>41</v>
      </c>
      <c r="M1128" t="s">
        <v>972</v>
      </c>
      <c r="N1128" t="s">
        <v>41</v>
      </c>
    </row>
    <row r="1129" spans="3:14" x14ac:dyDescent="0.3">
      <c r="C1129" t="s">
        <v>41</v>
      </c>
      <c r="D1129" t="s">
        <v>41</v>
      </c>
      <c r="K1129">
        <v>0</v>
      </c>
      <c r="L1129" t="s">
        <v>41</v>
      </c>
      <c r="M1129" t="s">
        <v>972</v>
      </c>
      <c r="N1129" t="s">
        <v>41</v>
      </c>
    </row>
    <row r="1130" spans="3:14" x14ac:dyDescent="0.3">
      <c r="C1130" t="s">
        <v>41</v>
      </c>
      <c r="D1130" t="s">
        <v>41</v>
      </c>
      <c r="K1130">
        <v>0</v>
      </c>
      <c r="L1130" t="s">
        <v>41</v>
      </c>
      <c r="M1130" t="s">
        <v>972</v>
      </c>
      <c r="N1130" t="s">
        <v>41</v>
      </c>
    </row>
    <row r="1131" spans="3:14" x14ac:dyDescent="0.3">
      <c r="C1131" t="s">
        <v>41</v>
      </c>
      <c r="D1131" t="s">
        <v>41</v>
      </c>
      <c r="K1131">
        <v>0</v>
      </c>
      <c r="L1131" t="s">
        <v>41</v>
      </c>
      <c r="M1131" t="s">
        <v>972</v>
      </c>
      <c r="N1131" t="s">
        <v>41</v>
      </c>
    </row>
    <row r="1132" spans="3:14" x14ac:dyDescent="0.3">
      <c r="C1132" t="s">
        <v>41</v>
      </c>
      <c r="D1132" t="s">
        <v>41</v>
      </c>
      <c r="K1132">
        <v>0</v>
      </c>
      <c r="L1132" t="s">
        <v>41</v>
      </c>
      <c r="M1132" t="s">
        <v>972</v>
      </c>
      <c r="N1132" t="s">
        <v>41</v>
      </c>
    </row>
    <row r="1133" spans="3:14" x14ac:dyDescent="0.3">
      <c r="C1133" t="s">
        <v>41</v>
      </c>
      <c r="D1133" t="s">
        <v>41</v>
      </c>
      <c r="K1133">
        <v>0</v>
      </c>
      <c r="L1133" t="s">
        <v>41</v>
      </c>
      <c r="M1133" t="s">
        <v>972</v>
      </c>
      <c r="N1133" t="s">
        <v>41</v>
      </c>
    </row>
    <row r="1134" spans="3:14" x14ac:dyDescent="0.3">
      <c r="C1134" t="s">
        <v>41</v>
      </c>
      <c r="D1134" t="s">
        <v>41</v>
      </c>
      <c r="K1134">
        <v>0</v>
      </c>
      <c r="L1134" t="s">
        <v>41</v>
      </c>
      <c r="M1134" t="s">
        <v>972</v>
      </c>
      <c r="N1134" t="s">
        <v>41</v>
      </c>
    </row>
    <row r="1135" spans="3:14" x14ac:dyDescent="0.3">
      <c r="C1135" t="s">
        <v>41</v>
      </c>
      <c r="D1135" t="s">
        <v>41</v>
      </c>
      <c r="K1135">
        <v>0</v>
      </c>
      <c r="L1135" t="s">
        <v>41</v>
      </c>
      <c r="M1135" t="s">
        <v>972</v>
      </c>
      <c r="N1135" t="s">
        <v>41</v>
      </c>
    </row>
    <row r="1136" spans="3:14" x14ac:dyDescent="0.3">
      <c r="C1136" t="s">
        <v>41</v>
      </c>
      <c r="D1136" t="s">
        <v>41</v>
      </c>
      <c r="K1136">
        <v>0</v>
      </c>
      <c r="L1136" t="s">
        <v>41</v>
      </c>
      <c r="M1136" t="s">
        <v>972</v>
      </c>
      <c r="N1136" t="s">
        <v>41</v>
      </c>
    </row>
    <row r="1137" spans="3:14" x14ac:dyDescent="0.3">
      <c r="C1137" t="s">
        <v>41</v>
      </c>
      <c r="D1137" t="s">
        <v>41</v>
      </c>
      <c r="K1137">
        <v>0</v>
      </c>
      <c r="L1137" t="s">
        <v>41</v>
      </c>
      <c r="M1137" t="s">
        <v>972</v>
      </c>
      <c r="N1137" t="s">
        <v>41</v>
      </c>
    </row>
    <row r="1138" spans="3:14" x14ac:dyDescent="0.3">
      <c r="C1138" t="s">
        <v>41</v>
      </c>
      <c r="D1138" t="s">
        <v>41</v>
      </c>
      <c r="K1138">
        <v>0</v>
      </c>
      <c r="L1138" t="s">
        <v>41</v>
      </c>
      <c r="M1138" t="s">
        <v>972</v>
      </c>
      <c r="N1138" t="s">
        <v>41</v>
      </c>
    </row>
    <row r="1139" spans="3:14" x14ac:dyDescent="0.3">
      <c r="C1139" t="s">
        <v>41</v>
      </c>
      <c r="D1139" t="s">
        <v>41</v>
      </c>
      <c r="K1139">
        <v>0</v>
      </c>
      <c r="L1139" t="s">
        <v>41</v>
      </c>
      <c r="M1139" t="s">
        <v>972</v>
      </c>
      <c r="N1139" t="s">
        <v>41</v>
      </c>
    </row>
    <row r="1140" spans="3:14" x14ac:dyDescent="0.3">
      <c r="C1140" t="s">
        <v>41</v>
      </c>
      <c r="D1140" t="s">
        <v>41</v>
      </c>
      <c r="K1140">
        <v>0</v>
      </c>
      <c r="L1140" t="s">
        <v>41</v>
      </c>
      <c r="M1140" t="s">
        <v>972</v>
      </c>
      <c r="N1140" t="s">
        <v>41</v>
      </c>
    </row>
    <row r="1141" spans="3:14" x14ac:dyDescent="0.3">
      <c r="C1141" t="s">
        <v>41</v>
      </c>
      <c r="D1141" t="s">
        <v>41</v>
      </c>
      <c r="K1141">
        <v>0</v>
      </c>
      <c r="L1141" t="s">
        <v>41</v>
      </c>
      <c r="M1141" t="s">
        <v>972</v>
      </c>
      <c r="N1141" t="s">
        <v>41</v>
      </c>
    </row>
    <row r="1142" spans="3:14" x14ac:dyDescent="0.3">
      <c r="C1142" t="s">
        <v>41</v>
      </c>
      <c r="D1142" t="s">
        <v>41</v>
      </c>
      <c r="K1142">
        <v>0</v>
      </c>
      <c r="L1142" t="s">
        <v>41</v>
      </c>
      <c r="M1142" t="s">
        <v>972</v>
      </c>
      <c r="N1142" t="s">
        <v>41</v>
      </c>
    </row>
    <row r="1143" spans="3:14" x14ac:dyDescent="0.3">
      <c r="C1143" t="s">
        <v>41</v>
      </c>
      <c r="D1143" t="s">
        <v>41</v>
      </c>
      <c r="K1143">
        <v>0</v>
      </c>
      <c r="L1143" t="s">
        <v>41</v>
      </c>
      <c r="M1143" t="s">
        <v>972</v>
      </c>
      <c r="N1143" t="s">
        <v>41</v>
      </c>
    </row>
    <row r="1144" spans="3:14" x14ac:dyDescent="0.3">
      <c r="C1144" t="s">
        <v>41</v>
      </c>
      <c r="D1144" t="s">
        <v>41</v>
      </c>
      <c r="K1144">
        <v>0</v>
      </c>
      <c r="L1144" t="s">
        <v>41</v>
      </c>
      <c r="M1144" t="s">
        <v>972</v>
      </c>
      <c r="N1144" t="s">
        <v>41</v>
      </c>
    </row>
    <row r="1145" spans="3:14" x14ac:dyDescent="0.3">
      <c r="C1145" t="s">
        <v>41</v>
      </c>
      <c r="D1145" t="s">
        <v>41</v>
      </c>
      <c r="K1145">
        <v>0</v>
      </c>
      <c r="L1145" t="s">
        <v>41</v>
      </c>
      <c r="M1145" t="s">
        <v>972</v>
      </c>
      <c r="N1145" t="s">
        <v>41</v>
      </c>
    </row>
    <row r="1146" spans="3:14" x14ac:dyDescent="0.3">
      <c r="C1146" t="s">
        <v>41</v>
      </c>
      <c r="D1146" t="s">
        <v>41</v>
      </c>
      <c r="K1146">
        <v>0</v>
      </c>
      <c r="L1146" t="s">
        <v>41</v>
      </c>
      <c r="M1146" t="s">
        <v>972</v>
      </c>
      <c r="N1146" t="s">
        <v>41</v>
      </c>
    </row>
    <row r="1147" spans="3:14" x14ac:dyDescent="0.3">
      <c r="C1147" t="s">
        <v>41</v>
      </c>
      <c r="D1147" t="s">
        <v>41</v>
      </c>
      <c r="K1147">
        <v>0</v>
      </c>
      <c r="L1147" t="s">
        <v>41</v>
      </c>
      <c r="M1147" t="s">
        <v>972</v>
      </c>
      <c r="N1147" t="s">
        <v>41</v>
      </c>
    </row>
    <row r="1148" spans="3:14" x14ac:dyDescent="0.3">
      <c r="C1148" t="s">
        <v>41</v>
      </c>
      <c r="D1148" t="s">
        <v>41</v>
      </c>
      <c r="K1148">
        <v>0</v>
      </c>
      <c r="L1148" t="s">
        <v>41</v>
      </c>
      <c r="M1148" t="s">
        <v>972</v>
      </c>
      <c r="N1148" t="s">
        <v>41</v>
      </c>
    </row>
    <row r="1149" spans="3:14" x14ac:dyDescent="0.3">
      <c r="C1149" t="s">
        <v>41</v>
      </c>
      <c r="D1149" t="s">
        <v>41</v>
      </c>
      <c r="K1149">
        <v>0</v>
      </c>
      <c r="L1149" t="s">
        <v>41</v>
      </c>
      <c r="M1149" t="s">
        <v>972</v>
      </c>
      <c r="N1149" t="s">
        <v>41</v>
      </c>
    </row>
    <row r="1150" spans="3:14" x14ac:dyDescent="0.3">
      <c r="C1150" t="s">
        <v>41</v>
      </c>
      <c r="D1150" t="s">
        <v>41</v>
      </c>
      <c r="K1150">
        <v>0</v>
      </c>
      <c r="L1150" t="s">
        <v>41</v>
      </c>
      <c r="M1150" t="s">
        <v>972</v>
      </c>
      <c r="N1150" t="s">
        <v>41</v>
      </c>
    </row>
    <row r="1151" spans="3:14" x14ac:dyDescent="0.3">
      <c r="C1151" t="s">
        <v>41</v>
      </c>
      <c r="D1151" t="s">
        <v>41</v>
      </c>
      <c r="K1151">
        <v>0</v>
      </c>
      <c r="L1151" t="s">
        <v>41</v>
      </c>
      <c r="M1151" t="s">
        <v>972</v>
      </c>
      <c r="N1151" t="s">
        <v>41</v>
      </c>
    </row>
    <row r="1152" spans="3:14" x14ac:dyDescent="0.3">
      <c r="C1152" t="s">
        <v>41</v>
      </c>
      <c r="D1152" t="s">
        <v>41</v>
      </c>
      <c r="K1152">
        <v>0</v>
      </c>
      <c r="L1152" t="s">
        <v>41</v>
      </c>
      <c r="M1152" t="s">
        <v>972</v>
      </c>
      <c r="N1152" t="s">
        <v>41</v>
      </c>
    </row>
    <row r="1153" spans="3:14" x14ac:dyDescent="0.3">
      <c r="C1153" t="s">
        <v>41</v>
      </c>
      <c r="D1153" t="s">
        <v>41</v>
      </c>
      <c r="K1153">
        <v>0</v>
      </c>
      <c r="L1153" t="s">
        <v>41</v>
      </c>
      <c r="M1153" t="s">
        <v>972</v>
      </c>
      <c r="N1153" t="s">
        <v>41</v>
      </c>
    </row>
    <row r="1154" spans="3:14" x14ac:dyDescent="0.3">
      <c r="C1154" t="s">
        <v>41</v>
      </c>
      <c r="D1154" t="s">
        <v>41</v>
      </c>
      <c r="K1154">
        <v>0</v>
      </c>
      <c r="L1154" t="s">
        <v>41</v>
      </c>
      <c r="M1154" t="s">
        <v>972</v>
      </c>
      <c r="N1154" t="s">
        <v>41</v>
      </c>
    </row>
    <row r="1155" spans="3:14" x14ac:dyDescent="0.3">
      <c r="C1155" t="s">
        <v>41</v>
      </c>
      <c r="D1155" t="s">
        <v>41</v>
      </c>
      <c r="K1155">
        <v>0</v>
      </c>
      <c r="L1155" t="s">
        <v>41</v>
      </c>
      <c r="M1155" t="s">
        <v>972</v>
      </c>
      <c r="N1155" t="s">
        <v>41</v>
      </c>
    </row>
    <row r="1156" spans="3:14" x14ac:dyDescent="0.3">
      <c r="C1156" t="s">
        <v>41</v>
      </c>
      <c r="D1156" t="s">
        <v>41</v>
      </c>
      <c r="K1156">
        <v>0</v>
      </c>
      <c r="L1156" t="s">
        <v>41</v>
      </c>
      <c r="M1156" t="s">
        <v>972</v>
      </c>
      <c r="N1156" t="s">
        <v>41</v>
      </c>
    </row>
    <row r="1157" spans="3:14" x14ac:dyDescent="0.3">
      <c r="C1157" t="s">
        <v>41</v>
      </c>
      <c r="D1157" t="s">
        <v>41</v>
      </c>
      <c r="K1157">
        <v>0</v>
      </c>
      <c r="L1157" t="s">
        <v>41</v>
      </c>
      <c r="M1157" t="s">
        <v>972</v>
      </c>
      <c r="N1157" t="s">
        <v>41</v>
      </c>
    </row>
    <row r="1158" spans="3:14" x14ac:dyDescent="0.3">
      <c r="C1158" t="s">
        <v>41</v>
      </c>
      <c r="D1158" t="s">
        <v>41</v>
      </c>
      <c r="K1158">
        <v>0</v>
      </c>
      <c r="L1158" t="s">
        <v>41</v>
      </c>
      <c r="M1158" t="s">
        <v>972</v>
      </c>
      <c r="N1158" t="s">
        <v>41</v>
      </c>
    </row>
    <row r="1159" spans="3:14" x14ac:dyDescent="0.3">
      <c r="C1159" t="s">
        <v>41</v>
      </c>
      <c r="D1159" t="s">
        <v>41</v>
      </c>
      <c r="K1159">
        <v>0</v>
      </c>
      <c r="L1159" t="s">
        <v>41</v>
      </c>
      <c r="M1159" t="s">
        <v>972</v>
      </c>
      <c r="N1159" t="s">
        <v>41</v>
      </c>
    </row>
    <row r="1160" spans="3:14" x14ac:dyDescent="0.3">
      <c r="C1160" t="s">
        <v>41</v>
      </c>
      <c r="D1160" t="s">
        <v>41</v>
      </c>
      <c r="K1160">
        <v>0</v>
      </c>
      <c r="L1160" t="s">
        <v>41</v>
      </c>
      <c r="M1160" t="s">
        <v>972</v>
      </c>
      <c r="N1160" t="s">
        <v>41</v>
      </c>
    </row>
    <row r="1161" spans="3:14" x14ac:dyDescent="0.3">
      <c r="C1161" t="s">
        <v>41</v>
      </c>
      <c r="D1161" t="s">
        <v>41</v>
      </c>
      <c r="K1161">
        <v>0</v>
      </c>
      <c r="L1161" t="s">
        <v>41</v>
      </c>
      <c r="M1161" t="s">
        <v>972</v>
      </c>
      <c r="N1161" t="s">
        <v>41</v>
      </c>
    </row>
    <row r="1162" spans="3:14" x14ac:dyDescent="0.3">
      <c r="C1162" t="s">
        <v>41</v>
      </c>
      <c r="D1162" t="s">
        <v>41</v>
      </c>
      <c r="K1162">
        <v>0</v>
      </c>
      <c r="L1162" t="s">
        <v>41</v>
      </c>
      <c r="M1162" t="s">
        <v>972</v>
      </c>
      <c r="N1162" t="s">
        <v>41</v>
      </c>
    </row>
    <row r="1163" spans="3:14" x14ac:dyDescent="0.3">
      <c r="C1163" t="s">
        <v>41</v>
      </c>
      <c r="D1163" t="s">
        <v>41</v>
      </c>
      <c r="K1163">
        <v>0</v>
      </c>
      <c r="L1163" t="s">
        <v>41</v>
      </c>
      <c r="M1163" t="s">
        <v>972</v>
      </c>
      <c r="N1163" t="s">
        <v>41</v>
      </c>
    </row>
    <row r="1164" spans="3:14" x14ac:dyDescent="0.3">
      <c r="C1164" t="s">
        <v>41</v>
      </c>
      <c r="D1164" t="s">
        <v>41</v>
      </c>
      <c r="K1164">
        <v>0</v>
      </c>
      <c r="L1164" t="s">
        <v>41</v>
      </c>
      <c r="M1164" t="s">
        <v>972</v>
      </c>
      <c r="N1164" t="s">
        <v>41</v>
      </c>
    </row>
    <row r="1165" spans="3:14" x14ac:dyDescent="0.3">
      <c r="C1165" t="s">
        <v>41</v>
      </c>
      <c r="D1165" t="s">
        <v>41</v>
      </c>
      <c r="K1165">
        <v>0</v>
      </c>
      <c r="L1165" t="s">
        <v>41</v>
      </c>
      <c r="M1165" t="s">
        <v>972</v>
      </c>
      <c r="N1165" t="s">
        <v>41</v>
      </c>
    </row>
    <row r="1166" spans="3:14" x14ac:dyDescent="0.3">
      <c r="C1166" t="s">
        <v>41</v>
      </c>
      <c r="D1166" t="s">
        <v>41</v>
      </c>
      <c r="K1166">
        <v>0</v>
      </c>
      <c r="L1166" t="s">
        <v>41</v>
      </c>
      <c r="M1166" t="s">
        <v>972</v>
      </c>
      <c r="N1166" t="s">
        <v>41</v>
      </c>
    </row>
    <row r="1167" spans="3:14" x14ac:dyDescent="0.3">
      <c r="C1167" t="s">
        <v>41</v>
      </c>
      <c r="D1167" t="s">
        <v>41</v>
      </c>
      <c r="K1167">
        <v>0</v>
      </c>
      <c r="L1167" t="s">
        <v>41</v>
      </c>
      <c r="M1167" t="s">
        <v>972</v>
      </c>
      <c r="N1167" t="s">
        <v>41</v>
      </c>
    </row>
    <row r="1168" spans="3:14" x14ac:dyDescent="0.3">
      <c r="C1168" t="s">
        <v>41</v>
      </c>
      <c r="D1168" t="s">
        <v>41</v>
      </c>
      <c r="K1168">
        <v>0</v>
      </c>
      <c r="L1168" t="s">
        <v>41</v>
      </c>
      <c r="M1168" t="s">
        <v>972</v>
      </c>
      <c r="N1168" t="s">
        <v>41</v>
      </c>
    </row>
    <row r="1169" spans="3:14" x14ac:dyDescent="0.3">
      <c r="C1169" t="s">
        <v>41</v>
      </c>
      <c r="D1169" t="s">
        <v>41</v>
      </c>
      <c r="K1169">
        <v>0</v>
      </c>
      <c r="L1169" t="s">
        <v>41</v>
      </c>
      <c r="M1169" t="s">
        <v>972</v>
      </c>
      <c r="N1169" t="s">
        <v>41</v>
      </c>
    </row>
    <row r="1170" spans="3:14" x14ac:dyDescent="0.3">
      <c r="C1170" t="s">
        <v>41</v>
      </c>
      <c r="D1170" t="s">
        <v>41</v>
      </c>
      <c r="K1170">
        <v>0</v>
      </c>
      <c r="L1170" t="s">
        <v>41</v>
      </c>
      <c r="M1170" t="s">
        <v>972</v>
      </c>
      <c r="N1170" t="s">
        <v>41</v>
      </c>
    </row>
    <row r="1171" spans="3:14" x14ac:dyDescent="0.3">
      <c r="C1171" t="s">
        <v>41</v>
      </c>
      <c r="D1171" t="s">
        <v>41</v>
      </c>
      <c r="K1171">
        <v>0</v>
      </c>
      <c r="L1171" t="s">
        <v>41</v>
      </c>
      <c r="M1171" t="s">
        <v>972</v>
      </c>
      <c r="N1171" t="s">
        <v>41</v>
      </c>
    </row>
    <row r="1172" spans="3:14" x14ac:dyDescent="0.3">
      <c r="C1172" t="s">
        <v>41</v>
      </c>
      <c r="D1172" t="s">
        <v>41</v>
      </c>
      <c r="K1172">
        <v>0</v>
      </c>
      <c r="L1172" t="s">
        <v>41</v>
      </c>
      <c r="M1172" t="s">
        <v>972</v>
      </c>
      <c r="N1172" t="s">
        <v>41</v>
      </c>
    </row>
    <row r="1173" spans="3:14" x14ac:dyDescent="0.3">
      <c r="C1173" t="s">
        <v>41</v>
      </c>
      <c r="D1173" t="s">
        <v>41</v>
      </c>
      <c r="K1173">
        <v>0</v>
      </c>
      <c r="L1173" t="s">
        <v>41</v>
      </c>
      <c r="M1173" t="s">
        <v>972</v>
      </c>
      <c r="N1173" t="s">
        <v>41</v>
      </c>
    </row>
    <row r="1174" spans="3:14" x14ac:dyDescent="0.3">
      <c r="C1174" t="s">
        <v>41</v>
      </c>
      <c r="D1174" t="s">
        <v>41</v>
      </c>
      <c r="K1174">
        <v>0</v>
      </c>
      <c r="L1174" t="s">
        <v>41</v>
      </c>
      <c r="M1174" t="s">
        <v>972</v>
      </c>
      <c r="N1174" t="s">
        <v>41</v>
      </c>
    </row>
    <row r="1175" spans="3:14" x14ac:dyDescent="0.3">
      <c r="C1175" t="s">
        <v>41</v>
      </c>
      <c r="D1175" t="s">
        <v>41</v>
      </c>
      <c r="K1175">
        <v>0</v>
      </c>
      <c r="L1175" t="s">
        <v>41</v>
      </c>
      <c r="M1175" t="s">
        <v>972</v>
      </c>
      <c r="N1175" t="s">
        <v>41</v>
      </c>
    </row>
    <row r="1176" spans="3:14" x14ac:dyDescent="0.3">
      <c r="C1176" t="s">
        <v>41</v>
      </c>
      <c r="D1176" t="s">
        <v>41</v>
      </c>
      <c r="K1176">
        <v>0</v>
      </c>
      <c r="L1176" t="s">
        <v>41</v>
      </c>
      <c r="M1176" t="s">
        <v>972</v>
      </c>
      <c r="N1176" t="s">
        <v>41</v>
      </c>
    </row>
    <row r="1177" spans="3:14" x14ac:dyDescent="0.3">
      <c r="C1177" t="s">
        <v>41</v>
      </c>
      <c r="D1177" t="s">
        <v>41</v>
      </c>
      <c r="K1177">
        <v>0</v>
      </c>
      <c r="L1177" t="s">
        <v>41</v>
      </c>
      <c r="M1177" t="s">
        <v>972</v>
      </c>
      <c r="N1177" t="s">
        <v>41</v>
      </c>
    </row>
    <row r="1178" spans="3:14" x14ac:dyDescent="0.3">
      <c r="C1178" t="s">
        <v>41</v>
      </c>
      <c r="D1178" t="s">
        <v>41</v>
      </c>
      <c r="K1178">
        <v>0</v>
      </c>
      <c r="L1178" t="s">
        <v>41</v>
      </c>
      <c r="M1178" t="s">
        <v>972</v>
      </c>
      <c r="N1178" t="s">
        <v>41</v>
      </c>
    </row>
    <row r="1179" spans="3:14" x14ac:dyDescent="0.3">
      <c r="C1179" t="s">
        <v>41</v>
      </c>
      <c r="D1179" t="s">
        <v>41</v>
      </c>
      <c r="K1179">
        <v>0</v>
      </c>
      <c r="L1179" t="s">
        <v>41</v>
      </c>
      <c r="M1179" t="s">
        <v>972</v>
      </c>
      <c r="N1179" t="s">
        <v>41</v>
      </c>
    </row>
    <row r="1180" spans="3:14" x14ac:dyDescent="0.3">
      <c r="C1180" t="s">
        <v>41</v>
      </c>
      <c r="D1180" t="s">
        <v>41</v>
      </c>
      <c r="K1180">
        <v>0</v>
      </c>
      <c r="L1180" t="s">
        <v>41</v>
      </c>
      <c r="M1180" t="s">
        <v>972</v>
      </c>
      <c r="N1180" t="s">
        <v>41</v>
      </c>
    </row>
    <row r="1181" spans="3:14" x14ac:dyDescent="0.3">
      <c r="C1181" t="s">
        <v>41</v>
      </c>
      <c r="D1181" t="s">
        <v>41</v>
      </c>
      <c r="K1181">
        <v>0</v>
      </c>
      <c r="L1181" t="s">
        <v>41</v>
      </c>
      <c r="M1181" t="s">
        <v>972</v>
      </c>
      <c r="N1181" t="s">
        <v>41</v>
      </c>
    </row>
    <row r="1182" spans="3:14" x14ac:dyDescent="0.3">
      <c r="C1182" t="s">
        <v>41</v>
      </c>
      <c r="D1182" t="s">
        <v>41</v>
      </c>
      <c r="K1182">
        <v>0</v>
      </c>
      <c r="L1182" t="s">
        <v>41</v>
      </c>
      <c r="M1182" t="s">
        <v>972</v>
      </c>
      <c r="N1182" t="s">
        <v>41</v>
      </c>
    </row>
    <row r="1183" spans="3:14" x14ac:dyDescent="0.3">
      <c r="C1183" t="s">
        <v>41</v>
      </c>
      <c r="D1183" t="s">
        <v>41</v>
      </c>
      <c r="K1183">
        <v>0</v>
      </c>
      <c r="L1183" t="s">
        <v>41</v>
      </c>
      <c r="M1183" t="s">
        <v>972</v>
      </c>
      <c r="N1183" t="s">
        <v>41</v>
      </c>
    </row>
    <row r="1184" spans="3:14" x14ac:dyDescent="0.3">
      <c r="C1184" t="s">
        <v>41</v>
      </c>
      <c r="D1184" t="s">
        <v>41</v>
      </c>
      <c r="K1184">
        <v>0</v>
      </c>
      <c r="L1184" t="s">
        <v>41</v>
      </c>
      <c r="M1184" t="s">
        <v>972</v>
      </c>
      <c r="N1184" t="s">
        <v>41</v>
      </c>
    </row>
    <row r="1185" spans="3:14" x14ac:dyDescent="0.3">
      <c r="C1185" t="s">
        <v>41</v>
      </c>
      <c r="D1185" t="s">
        <v>41</v>
      </c>
      <c r="K1185">
        <v>0</v>
      </c>
      <c r="L1185" t="s">
        <v>41</v>
      </c>
      <c r="M1185" t="s">
        <v>972</v>
      </c>
      <c r="N1185" t="s">
        <v>41</v>
      </c>
    </row>
    <row r="1186" spans="3:14" x14ac:dyDescent="0.3">
      <c r="C1186" t="s">
        <v>41</v>
      </c>
      <c r="D1186" t="s">
        <v>41</v>
      </c>
      <c r="K1186">
        <v>0</v>
      </c>
      <c r="L1186" t="s">
        <v>41</v>
      </c>
      <c r="M1186" t="s">
        <v>972</v>
      </c>
      <c r="N1186" t="s">
        <v>41</v>
      </c>
    </row>
    <row r="1187" spans="3:14" x14ac:dyDescent="0.3">
      <c r="C1187" t="s">
        <v>41</v>
      </c>
      <c r="D1187" t="s">
        <v>41</v>
      </c>
      <c r="K1187">
        <v>0</v>
      </c>
      <c r="L1187" t="s">
        <v>41</v>
      </c>
      <c r="M1187" t="s">
        <v>972</v>
      </c>
      <c r="N1187" t="s">
        <v>41</v>
      </c>
    </row>
    <row r="1188" spans="3:14" x14ac:dyDescent="0.3">
      <c r="C1188" t="s">
        <v>41</v>
      </c>
      <c r="D1188" t="s">
        <v>41</v>
      </c>
      <c r="K1188">
        <v>0</v>
      </c>
      <c r="L1188" t="s">
        <v>41</v>
      </c>
      <c r="M1188" t="s">
        <v>972</v>
      </c>
      <c r="N1188" t="s">
        <v>41</v>
      </c>
    </row>
    <row r="1189" spans="3:14" x14ac:dyDescent="0.3">
      <c r="C1189" t="s">
        <v>41</v>
      </c>
      <c r="D1189" t="s">
        <v>41</v>
      </c>
      <c r="K1189">
        <v>0</v>
      </c>
      <c r="L1189" t="s">
        <v>41</v>
      </c>
      <c r="M1189" t="s">
        <v>972</v>
      </c>
      <c r="N1189" t="s">
        <v>41</v>
      </c>
    </row>
    <row r="1190" spans="3:14" x14ac:dyDescent="0.3">
      <c r="C1190" t="s">
        <v>41</v>
      </c>
      <c r="D1190" t="s">
        <v>41</v>
      </c>
      <c r="K1190">
        <v>0</v>
      </c>
      <c r="L1190" t="s">
        <v>41</v>
      </c>
      <c r="M1190" t="s">
        <v>972</v>
      </c>
      <c r="N1190" t="s">
        <v>41</v>
      </c>
    </row>
    <row r="1191" spans="3:14" x14ac:dyDescent="0.3">
      <c r="C1191" t="s">
        <v>41</v>
      </c>
      <c r="D1191" t="s">
        <v>41</v>
      </c>
      <c r="K1191">
        <v>0</v>
      </c>
      <c r="L1191" t="s">
        <v>41</v>
      </c>
      <c r="M1191" t="s">
        <v>972</v>
      </c>
      <c r="N1191" t="s">
        <v>41</v>
      </c>
    </row>
    <row r="1192" spans="3:14" x14ac:dyDescent="0.3">
      <c r="C1192" t="s">
        <v>41</v>
      </c>
      <c r="D1192" t="s">
        <v>41</v>
      </c>
      <c r="K1192">
        <v>0</v>
      </c>
      <c r="L1192" t="s">
        <v>41</v>
      </c>
      <c r="M1192" t="s">
        <v>972</v>
      </c>
      <c r="N1192" t="s">
        <v>41</v>
      </c>
    </row>
    <row r="1193" spans="3:14" x14ac:dyDescent="0.3">
      <c r="C1193" t="s">
        <v>41</v>
      </c>
      <c r="D1193" t="s">
        <v>41</v>
      </c>
      <c r="K1193">
        <v>0</v>
      </c>
      <c r="L1193" t="s">
        <v>41</v>
      </c>
      <c r="M1193" t="s">
        <v>972</v>
      </c>
      <c r="N1193" t="s">
        <v>41</v>
      </c>
    </row>
    <row r="1194" spans="3:14" x14ac:dyDescent="0.3">
      <c r="C1194" t="s">
        <v>41</v>
      </c>
      <c r="D1194" t="s">
        <v>41</v>
      </c>
      <c r="K1194">
        <v>0</v>
      </c>
      <c r="L1194" t="s">
        <v>41</v>
      </c>
      <c r="M1194" t="s">
        <v>972</v>
      </c>
      <c r="N1194" t="s">
        <v>41</v>
      </c>
    </row>
    <row r="1195" spans="3:14" x14ac:dyDescent="0.3">
      <c r="C1195" t="s">
        <v>41</v>
      </c>
      <c r="D1195" t="s">
        <v>41</v>
      </c>
      <c r="K1195">
        <v>0</v>
      </c>
      <c r="L1195" t="s">
        <v>41</v>
      </c>
      <c r="M1195" t="s">
        <v>972</v>
      </c>
      <c r="N1195" t="s">
        <v>41</v>
      </c>
    </row>
    <row r="1196" spans="3:14" x14ac:dyDescent="0.3">
      <c r="C1196" t="s">
        <v>41</v>
      </c>
      <c r="D1196" t="s">
        <v>41</v>
      </c>
      <c r="K1196">
        <v>0</v>
      </c>
      <c r="L1196" t="s">
        <v>41</v>
      </c>
      <c r="M1196" t="s">
        <v>972</v>
      </c>
      <c r="N1196" t="s">
        <v>41</v>
      </c>
    </row>
    <row r="1197" spans="3:14" x14ac:dyDescent="0.3">
      <c r="C1197" t="s">
        <v>41</v>
      </c>
      <c r="D1197" t="s">
        <v>41</v>
      </c>
      <c r="K1197">
        <v>0</v>
      </c>
      <c r="L1197" t="s">
        <v>41</v>
      </c>
      <c r="M1197" t="s">
        <v>972</v>
      </c>
      <c r="N1197" t="s">
        <v>41</v>
      </c>
    </row>
    <row r="1198" spans="3:14" x14ac:dyDescent="0.3">
      <c r="C1198" t="s">
        <v>41</v>
      </c>
      <c r="D1198" t="s">
        <v>41</v>
      </c>
      <c r="K1198">
        <v>0</v>
      </c>
      <c r="L1198" t="s">
        <v>41</v>
      </c>
      <c r="M1198" t="s">
        <v>972</v>
      </c>
      <c r="N1198" t="s">
        <v>41</v>
      </c>
    </row>
    <row r="1199" spans="3:14" x14ac:dyDescent="0.3">
      <c r="C1199" t="s">
        <v>41</v>
      </c>
      <c r="D1199" t="s">
        <v>41</v>
      </c>
      <c r="K1199">
        <v>0</v>
      </c>
      <c r="L1199" t="s">
        <v>41</v>
      </c>
      <c r="M1199" t="s">
        <v>972</v>
      </c>
      <c r="N1199" t="s">
        <v>41</v>
      </c>
    </row>
    <row r="1200" spans="3:14" x14ac:dyDescent="0.3">
      <c r="C1200" t="s">
        <v>41</v>
      </c>
      <c r="D1200" t="s">
        <v>41</v>
      </c>
      <c r="K1200">
        <v>0</v>
      </c>
      <c r="L1200" t="s">
        <v>41</v>
      </c>
      <c r="M1200" t="s">
        <v>972</v>
      </c>
      <c r="N1200" t="s">
        <v>41</v>
      </c>
    </row>
    <row r="1201" spans="3:14" x14ac:dyDescent="0.3">
      <c r="C1201" t="s">
        <v>41</v>
      </c>
      <c r="D1201" t="s">
        <v>41</v>
      </c>
      <c r="K1201">
        <v>0</v>
      </c>
      <c r="L1201" t="s">
        <v>41</v>
      </c>
      <c r="M1201" t="s">
        <v>972</v>
      </c>
      <c r="N1201" t="s">
        <v>41</v>
      </c>
    </row>
    <row r="1202" spans="3:14" x14ac:dyDescent="0.3">
      <c r="C1202" t="s">
        <v>41</v>
      </c>
      <c r="D1202" t="s">
        <v>41</v>
      </c>
      <c r="K1202">
        <v>0</v>
      </c>
      <c r="L1202" t="s">
        <v>41</v>
      </c>
      <c r="M1202" t="s">
        <v>972</v>
      </c>
      <c r="N1202" t="s">
        <v>41</v>
      </c>
    </row>
    <row r="1203" spans="3:14" x14ac:dyDescent="0.3">
      <c r="C1203" t="s">
        <v>41</v>
      </c>
      <c r="D1203" t="s">
        <v>41</v>
      </c>
      <c r="K1203">
        <v>0</v>
      </c>
      <c r="L1203" t="s">
        <v>41</v>
      </c>
      <c r="M1203" t="s">
        <v>972</v>
      </c>
      <c r="N1203" t="s">
        <v>41</v>
      </c>
    </row>
    <row r="1204" spans="3:14" x14ac:dyDescent="0.3">
      <c r="C1204" t="s">
        <v>41</v>
      </c>
      <c r="D1204" t="s">
        <v>41</v>
      </c>
      <c r="K1204">
        <v>0</v>
      </c>
      <c r="L1204" t="s">
        <v>41</v>
      </c>
      <c r="M1204" t="s">
        <v>972</v>
      </c>
      <c r="N1204" t="s">
        <v>41</v>
      </c>
    </row>
    <row r="1205" spans="3:14" x14ac:dyDescent="0.3">
      <c r="C1205" t="s">
        <v>41</v>
      </c>
      <c r="D1205" t="s">
        <v>41</v>
      </c>
      <c r="K1205">
        <v>0</v>
      </c>
      <c r="L1205" t="s">
        <v>41</v>
      </c>
      <c r="M1205" t="s">
        <v>972</v>
      </c>
      <c r="N1205" t="s">
        <v>41</v>
      </c>
    </row>
    <row r="1206" spans="3:14" x14ac:dyDescent="0.3">
      <c r="C1206" t="s">
        <v>41</v>
      </c>
      <c r="D1206" t="s">
        <v>41</v>
      </c>
      <c r="K1206">
        <v>0</v>
      </c>
      <c r="L1206" t="s">
        <v>41</v>
      </c>
      <c r="M1206" t="s">
        <v>972</v>
      </c>
      <c r="N1206" t="s">
        <v>41</v>
      </c>
    </row>
    <row r="1207" spans="3:14" x14ac:dyDescent="0.3">
      <c r="C1207" t="s">
        <v>41</v>
      </c>
      <c r="D1207" t="s">
        <v>41</v>
      </c>
      <c r="K1207">
        <v>0</v>
      </c>
      <c r="L1207" t="s">
        <v>41</v>
      </c>
      <c r="M1207" t="s">
        <v>972</v>
      </c>
      <c r="N1207" t="s">
        <v>41</v>
      </c>
    </row>
    <row r="1208" spans="3:14" x14ac:dyDescent="0.3">
      <c r="C1208" t="s">
        <v>41</v>
      </c>
      <c r="D1208" t="s">
        <v>41</v>
      </c>
      <c r="K1208">
        <v>0</v>
      </c>
      <c r="L1208" t="s">
        <v>41</v>
      </c>
      <c r="M1208" t="s">
        <v>972</v>
      </c>
      <c r="N1208" t="s">
        <v>41</v>
      </c>
    </row>
    <row r="1209" spans="3:14" x14ac:dyDescent="0.3">
      <c r="C1209" t="s">
        <v>41</v>
      </c>
      <c r="D1209" t="s">
        <v>41</v>
      </c>
      <c r="K1209">
        <v>0</v>
      </c>
      <c r="L1209" t="s">
        <v>41</v>
      </c>
      <c r="M1209" t="s">
        <v>972</v>
      </c>
      <c r="N1209" t="s">
        <v>41</v>
      </c>
    </row>
    <row r="1210" spans="3:14" x14ac:dyDescent="0.3">
      <c r="C1210" t="s">
        <v>41</v>
      </c>
      <c r="D1210" t="s">
        <v>41</v>
      </c>
      <c r="K1210">
        <v>0</v>
      </c>
      <c r="L1210" t="s">
        <v>41</v>
      </c>
      <c r="M1210" t="s">
        <v>972</v>
      </c>
      <c r="N1210" t="s">
        <v>41</v>
      </c>
    </row>
    <row r="1211" spans="3:14" x14ac:dyDescent="0.3">
      <c r="C1211" t="s">
        <v>41</v>
      </c>
      <c r="D1211" t="s">
        <v>41</v>
      </c>
      <c r="K1211">
        <v>0</v>
      </c>
      <c r="L1211" t="s">
        <v>41</v>
      </c>
      <c r="M1211" t="s">
        <v>972</v>
      </c>
      <c r="N1211" t="s">
        <v>41</v>
      </c>
    </row>
    <row r="1212" spans="3:14" x14ac:dyDescent="0.3">
      <c r="C1212" t="s">
        <v>41</v>
      </c>
      <c r="D1212" t="s">
        <v>41</v>
      </c>
      <c r="K1212">
        <v>0</v>
      </c>
      <c r="L1212" t="s">
        <v>41</v>
      </c>
      <c r="M1212" t="s">
        <v>972</v>
      </c>
      <c r="N1212" t="s">
        <v>41</v>
      </c>
    </row>
    <row r="1213" spans="3:14" x14ac:dyDescent="0.3">
      <c r="C1213" t="s">
        <v>41</v>
      </c>
      <c r="D1213" t="s">
        <v>41</v>
      </c>
      <c r="K1213">
        <v>0</v>
      </c>
      <c r="L1213" t="s">
        <v>41</v>
      </c>
      <c r="M1213" t="s">
        <v>972</v>
      </c>
      <c r="N1213" t="s">
        <v>41</v>
      </c>
    </row>
    <row r="1214" spans="3:14" x14ac:dyDescent="0.3">
      <c r="C1214" t="s">
        <v>41</v>
      </c>
      <c r="D1214" t="s">
        <v>41</v>
      </c>
      <c r="K1214">
        <v>0</v>
      </c>
      <c r="L1214" t="s">
        <v>41</v>
      </c>
      <c r="M1214" t="s">
        <v>972</v>
      </c>
      <c r="N1214" t="s">
        <v>41</v>
      </c>
    </row>
    <row r="1215" spans="3:14" x14ac:dyDescent="0.3">
      <c r="C1215" t="s">
        <v>41</v>
      </c>
      <c r="D1215" t="s">
        <v>41</v>
      </c>
      <c r="K1215">
        <v>0</v>
      </c>
      <c r="L1215" t="s">
        <v>41</v>
      </c>
      <c r="M1215" t="s">
        <v>972</v>
      </c>
      <c r="N1215" t="s">
        <v>41</v>
      </c>
    </row>
    <row r="1216" spans="3:14" x14ac:dyDescent="0.3">
      <c r="C1216" t="s">
        <v>41</v>
      </c>
      <c r="D1216" t="s">
        <v>41</v>
      </c>
      <c r="K1216">
        <v>0</v>
      </c>
      <c r="L1216" t="s">
        <v>41</v>
      </c>
      <c r="M1216" t="s">
        <v>972</v>
      </c>
      <c r="N1216" t="s">
        <v>41</v>
      </c>
    </row>
    <row r="1217" spans="3:14" x14ac:dyDescent="0.3">
      <c r="C1217" t="s">
        <v>41</v>
      </c>
      <c r="D1217" t="s">
        <v>41</v>
      </c>
      <c r="K1217">
        <v>0</v>
      </c>
      <c r="L1217" t="s">
        <v>41</v>
      </c>
      <c r="M1217" t="s">
        <v>972</v>
      </c>
      <c r="N1217" t="s">
        <v>41</v>
      </c>
    </row>
    <row r="1218" spans="3:14" x14ac:dyDescent="0.3">
      <c r="C1218" t="s">
        <v>41</v>
      </c>
      <c r="D1218" t="s">
        <v>41</v>
      </c>
      <c r="K1218">
        <v>0</v>
      </c>
      <c r="L1218" t="s">
        <v>41</v>
      </c>
      <c r="M1218" t="s">
        <v>972</v>
      </c>
      <c r="N1218" t="s">
        <v>41</v>
      </c>
    </row>
    <row r="1219" spans="3:14" x14ac:dyDescent="0.3">
      <c r="C1219" t="s">
        <v>41</v>
      </c>
      <c r="D1219" t="s">
        <v>41</v>
      </c>
      <c r="K1219">
        <v>0</v>
      </c>
      <c r="L1219" t="s">
        <v>41</v>
      </c>
      <c r="M1219" t="s">
        <v>972</v>
      </c>
      <c r="N1219" t="s">
        <v>41</v>
      </c>
    </row>
    <row r="1220" spans="3:14" x14ac:dyDescent="0.3">
      <c r="C1220" t="s">
        <v>41</v>
      </c>
      <c r="D1220" t="s">
        <v>41</v>
      </c>
      <c r="K1220">
        <v>0</v>
      </c>
      <c r="L1220" t="s">
        <v>41</v>
      </c>
      <c r="M1220" t="s">
        <v>972</v>
      </c>
      <c r="N1220" t="s">
        <v>41</v>
      </c>
    </row>
    <row r="1221" spans="3:14" x14ac:dyDescent="0.3">
      <c r="C1221" t="s">
        <v>41</v>
      </c>
      <c r="D1221" t="s">
        <v>41</v>
      </c>
      <c r="K1221">
        <v>0</v>
      </c>
      <c r="L1221" t="s">
        <v>41</v>
      </c>
      <c r="M1221" t="s">
        <v>972</v>
      </c>
      <c r="N1221" t="s">
        <v>41</v>
      </c>
    </row>
    <row r="1222" spans="3:14" x14ac:dyDescent="0.3">
      <c r="C1222" t="s">
        <v>41</v>
      </c>
      <c r="D1222" t="s">
        <v>41</v>
      </c>
      <c r="K1222">
        <v>0</v>
      </c>
      <c r="L1222" t="s">
        <v>41</v>
      </c>
      <c r="M1222" t="s">
        <v>972</v>
      </c>
      <c r="N1222" t="s">
        <v>41</v>
      </c>
    </row>
    <row r="1223" spans="3:14" x14ac:dyDescent="0.3">
      <c r="C1223" t="s">
        <v>41</v>
      </c>
      <c r="D1223" t="s">
        <v>41</v>
      </c>
      <c r="K1223">
        <v>0</v>
      </c>
      <c r="L1223" t="s">
        <v>41</v>
      </c>
      <c r="M1223" t="s">
        <v>972</v>
      </c>
      <c r="N1223" t="s">
        <v>41</v>
      </c>
    </row>
    <row r="1224" spans="3:14" x14ac:dyDescent="0.3">
      <c r="C1224" t="s">
        <v>41</v>
      </c>
      <c r="D1224" t="s">
        <v>41</v>
      </c>
      <c r="K1224">
        <v>0</v>
      </c>
      <c r="L1224" t="s">
        <v>41</v>
      </c>
      <c r="M1224" t="s">
        <v>972</v>
      </c>
      <c r="N1224" t="s">
        <v>41</v>
      </c>
    </row>
    <row r="1225" spans="3:14" x14ac:dyDescent="0.3">
      <c r="C1225" t="s">
        <v>41</v>
      </c>
      <c r="D1225" t="s">
        <v>41</v>
      </c>
      <c r="K1225">
        <v>0</v>
      </c>
      <c r="L1225" t="s">
        <v>41</v>
      </c>
      <c r="M1225" t="s">
        <v>972</v>
      </c>
      <c r="N1225" t="s">
        <v>41</v>
      </c>
    </row>
    <row r="1226" spans="3:14" x14ac:dyDescent="0.3">
      <c r="C1226" t="s">
        <v>41</v>
      </c>
      <c r="D1226" t="s">
        <v>41</v>
      </c>
      <c r="K1226">
        <v>0</v>
      </c>
      <c r="L1226" t="s">
        <v>41</v>
      </c>
      <c r="M1226" t="s">
        <v>972</v>
      </c>
      <c r="N1226" t="s">
        <v>41</v>
      </c>
    </row>
    <row r="1227" spans="3:14" x14ac:dyDescent="0.3">
      <c r="C1227" t="s">
        <v>41</v>
      </c>
      <c r="D1227" t="s">
        <v>41</v>
      </c>
      <c r="K1227">
        <v>0</v>
      </c>
      <c r="L1227" t="s">
        <v>41</v>
      </c>
      <c r="M1227" t="s">
        <v>972</v>
      </c>
      <c r="N1227" t="s">
        <v>41</v>
      </c>
    </row>
    <row r="1228" spans="3:14" x14ac:dyDescent="0.3">
      <c r="C1228" t="s">
        <v>41</v>
      </c>
      <c r="D1228" t="s">
        <v>41</v>
      </c>
      <c r="K1228">
        <v>0</v>
      </c>
      <c r="L1228" t="s">
        <v>41</v>
      </c>
      <c r="M1228" t="s">
        <v>972</v>
      </c>
      <c r="N1228" t="s">
        <v>41</v>
      </c>
    </row>
    <row r="1229" spans="3:14" x14ac:dyDescent="0.3">
      <c r="C1229" t="s">
        <v>41</v>
      </c>
      <c r="D1229" t="s">
        <v>41</v>
      </c>
      <c r="K1229">
        <v>0</v>
      </c>
      <c r="L1229" t="s">
        <v>41</v>
      </c>
      <c r="M1229" t="s">
        <v>972</v>
      </c>
      <c r="N1229" t="s">
        <v>41</v>
      </c>
    </row>
    <row r="1230" spans="3:14" x14ac:dyDescent="0.3">
      <c r="C1230" t="s">
        <v>41</v>
      </c>
      <c r="D1230" t="s">
        <v>41</v>
      </c>
      <c r="K1230">
        <v>0</v>
      </c>
      <c r="L1230" t="s">
        <v>41</v>
      </c>
      <c r="M1230" t="s">
        <v>972</v>
      </c>
      <c r="N1230" t="s">
        <v>41</v>
      </c>
    </row>
    <row r="1231" spans="3:14" x14ac:dyDescent="0.3">
      <c r="C1231" t="s">
        <v>41</v>
      </c>
      <c r="D1231" t="s">
        <v>41</v>
      </c>
      <c r="K1231">
        <v>0</v>
      </c>
      <c r="L1231" t="s">
        <v>41</v>
      </c>
      <c r="M1231" t="s">
        <v>972</v>
      </c>
      <c r="N1231" t="s">
        <v>41</v>
      </c>
    </row>
    <row r="1232" spans="3:14" x14ac:dyDescent="0.3">
      <c r="C1232" t="s">
        <v>41</v>
      </c>
      <c r="D1232" t="s">
        <v>41</v>
      </c>
      <c r="K1232">
        <v>0</v>
      </c>
      <c r="L1232" t="s">
        <v>41</v>
      </c>
      <c r="M1232" t="s">
        <v>972</v>
      </c>
      <c r="N1232" t="s">
        <v>41</v>
      </c>
    </row>
    <row r="1233" spans="3:14" x14ac:dyDescent="0.3">
      <c r="C1233" t="s">
        <v>41</v>
      </c>
      <c r="D1233" t="s">
        <v>41</v>
      </c>
      <c r="K1233">
        <v>0</v>
      </c>
      <c r="L1233" t="s">
        <v>41</v>
      </c>
      <c r="M1233" t="s">
        <v>972</v>
      </c>
      <c r="N1233" t="s">
        <v>41</v>
      </c>
    </row>
    <row r="1234" spans="3:14" x14ac:dyDescent="0.3">
      <c r="C1234" t="s">
        <v>41</v>
      </c>
      <c r="D1234" t="s">
        <v>41</v>
      </c>
      <c r="K1234">
        <v>0</v>
      </c>
      <c r="L1234" t="s">
        <v>41</v>
      </c>
      <c r="M1234" t="s">
        <v>972</v>
      </c>
      <c r="N1234" t="s">
        <v>41</v>
      </c>
    </row>
    <row r="1235" spans="3:14" x14ac:dyDescent="0.3">
      <c r="C1235" t="s">
        <v>41</v>
      </c>
      <c r="D1235" t="s">
        <v>41</v>
      </c>
      <c r="K1235">
        <v>0</v>
      </c>
      <c r="L1235" t="s">
        <v>41</v>
      </c>
      <c r="M1235" t="s">
        <v>972</v>
      </c>
      <c r="N1235" t="s">
        <v>41</v>
      </c>
    </row>
    <row r="1236" spans="3:14" x14ac:dyDescent="0.3">
      <c r="C1236" t="s">
        <v>41</v>
      </c>
      <c r="D1236" t="s">
        <v>41</v>
      </c>
      <c r="K1236">
        <v>0</v>
      </c>
      <c r="L1236" t="s">
        <v>41</v>
      </c>
      <c r="M1236" t="s">
        <v>972</v>
      </c>
      <c r="N1236" t="s">
        <v>41</v>
      </c>
    </row>
    <row r="1237" spans="3:14" x14ac:dyDescent="0.3">
      <c r="C1237" t="s">
        <v>41</v>
      </c>
      <c r="D1237" t="s">
        <v>41</v>
      </c>
      <c r="K1237">
        <v>0</v>
      </c>
      <c r="L1237" t="s">
        <v>41</v>
      </c>
      <c r="M1237" t="s">
        <v>972</v>
      </c>
      <c r="N1237" t="s">
        <v>41</v>
      </c>
    </row>
    <row r="1238" spans="3:14" x14ac:dyDescent="0.3">
      <c r="C1238" t="s">
        <v>41</v>
      </c>
      <c r="D1238" t="s">
        <v>41</v>
      </c>
      <c r="K1238">
        <v>0</v>
      </c>
      <c r="L1238" t="s">
        <v>41</v>
      </c>
      <c r="M1238" t="s">
        <v>972</v>
      </c>
      <c r="N1238" t="s">
        <v>41</v>
      </c>
    </row>
    <row r="1239" spans="3:14" x14ac:dyDescent="0.3">
      <c r="C1239" t="s">
        <v>41</v>
      </c>
      <c r="D1239" t="s">
        <v>41</v>
      </c>
      <c r="K1239">
        <v>0</v>
      </c>
      <c r="L1239" t="s">
        <v>41</v>
      </c>
      <c r="M1239" t="s">
        <v>972</v>
      </c>
      <c r="N1239" t="s">
        <v>41</v>
      </c>
    </row>
    <row r="1240" spans="3:14" x14ac:dyDescent="0.3">
      <c r="C1240" t="s">
        <v>41</v>
      </c>
      <c r="D1240" t="s">
        <v>41</v>
      </c>
      <c r="K1240">
        <v>0</v>
      </c>
      <c r="L1240" t="s">
        <v>41</v>
      </c>
      <c r="M1240" t="s">
        <v>972</v>
      </c>
      <c r="N1240" t="s">
        <v>41</v>
      </c>
    </row>
    <row r="1241" spans="3:14" x14ac:dyDescent="0.3">
      <c r="C1241" t="s">
        <v>41</v>
      </c>
      <c r="D1241" t="s">
        <v>41</v>
      </c>
      <c r="K1241">
        <v>0</v>
      </c>
      <c r="L1241" t="s">
        <v>41</v>
      </c>
      <c r="M1241" t="s">
        <v>972</v>
      </c>
      <c r="N1241" t="s">
        <v>41</v>
      </c>
    </row>
    <row r="1242" spans="3:14" x14ac:dyDescent="0.3">
      <c r="C1242" t="s">
        <v>41</v>
      </c>
      <c r="D1242" t="s">
        <v>41</v>
      </c>
      <c r="K1242">
        <v>0</v>
      </c>
      <c r="L1242" t="s">
        <v>41</v>
      </c>
      <c r="M1242" t="s">
        <v>972</v>
      </c>
      <c r="N1242" t="s">
        <v>41</v>
      </c>
    </row>
    <row r="1243" spans="3:14" x14ac:dyDescent="0.3">
      <c r="C1243" t="s">
        <v>41</v>
      </c>
      <c r="D1243" t="s">
        <v>41</v>
      </c>
      <c r="K1243">
        <v>0</v>
      </c>
      <c r="L1243" t="s">
        <v>41</v>
      </c>
      <c r="M1243" t="s">
        <v>972</v>
      </c>
      <c r="N1243" t="s">
        <v>41</v>
      </c>
    </row>
    <row r="1244" spans="3:14" x14ac:dyDescent="0.3">
      <c r="C1244" t="s">
        <v>41</v>
      </c>
      <c r="D1244" t="s">
        <v>41</v>
      </c>
      <c r="K1244">
        <v>0</v>
      </c>
      <c r="L1244" t="s">
        <v>41</v>
      </c>
      <c r="M1244" t="s">
        <v>972</v>
      </c>
      <c r="N1244" t="s">
        <v>41</v>
      </c>
    </row>
    <row r="1245" spans="3:14" x14ac:dyDescent="0.3">
      <c r="C1245" t="s">
        <v>41</v>
      </c>
      <c r="D1245" t="s">
        <v>41</v>
      </c>
      <c r="K1245">
        <v>0</v>
      </c>
      <c r="L1245" t="s">
        <v>41</v>
      </c>
      <c r="M1245" t="s">
        <v>972</v>
      </c>
      <c r="N1245" t="s">
        <v>41</v>
      </c>
    </row>
    <row r="1246" spans="3:14" x14ac:dyDescent="0.3">
      <c r="C1246" t="s">
        <v>41</v>
      </c>
      <c r="D1246" t="s">
        <v>41</v>
      </c>
      <c r="K1246">
        <v>0</v>
      </c>
      <c r="L1246" t="s">
        <v>41</v>
      </c>
      <c r="M1246" t="s">
        <v>972</v>
      </c>
      <c r="N1246" t="s">
        <v>41</v>
      </c>
    </row>
    <row r="1247" spans="3:14" x14ac:dyDescent="0.3">
      <c r="C1247" t="s">
        <v>41</v>
      </c>
      <c r="D1247" t="s">
        <v>41</v>
      </c>
      <c r="K1247">
        <v>0</v>
      </c>
      <c r="L1247" t="s">
        <v>41</v>
      </c>
      <c r="M1247" t="s">
        <v>972</v>
      </c>
      <c r="N1247" t="s">
        <v>41</v>
      </c>
    </row>
    <row r="1248" spans="3:14" x14ac:dyDescent="0.3">
      <c r="C1248" t="s">
        <v>41</v>
      </c>
      <c r="D1248" t="s">
        <v>41</v>
      </c>
      <c r="K1248">
        <v>0</v>
      </c>
      <c r="L1248" t="s">
        <v>41</v>
      </c>
      <c r="M1248" t="s">
        <v>972</v>
      </c>
      <c r="N1248" t="s">
        <v>41</v>
      </c>
    </row>
    <row r="1249" spans="3:14" x14ac:dyDescent="0.3">
      <c r="C1249" t="s">
        <v>41</v>
      </c>
      <c r="D1249" t="s">
        <v>41</v>
      </c>
      <c r="K1249">
        <v>0</v>
      </c>
      <c r="L1249" t="s">
        <v>41</v>
      </c>
      <c r="M1249" t="s">
        <v>972</v>
      </c>
      <c r="N1249" t="s">
        <v>41</v>
      </c>
    </row>
    <row r="1250" spans="3:14" x14ac:dyDescent="0.3">
      <c r="C1250" t="s">
        <v>41</v>
      </c>
      <c r="D1250" t="s">
        <v>41</v>
      </c>
      <c r="K1250">
        <v>0</v>
      </c>
      <c r="L1250" t="s">
        <v>41</v>
      </c>
      <c r="M1250" t="s">
        <v>972</v>
      </c>
      <c r="N1250" t="s">
        <v>41</v>
      </c>
    </row>
    <row r="1251" spans="3:14" x14ac:dyDescent="0.3">
      <c r="C1251" t="s">
        <v>41</v>
      </c>
      <c r="D1251" t="s">
        <v>41</v>
      </c>
      <c r="K1251">
        <v>0</v>
      </c>
      <c r="L1251" t="s">
        <v>41</v>
      </c>
      <c r="M1251" t="s">
        <v>972</v>
      </c>
      <c r="N1251" t="s">
        <v>41</v>
      </c>
    </row>
    <row r="1252" spans="3:14" x14ac:dyDescent="0.3">
      <c r="C1252" t="s">
        <v>41</v>
      </c>
      <c r="D1252" t="s">
        <v>41</v>
      </c>
      <c r="K1252">
        <v>0</v>
      </c>
      <c r="L1252" t="s">
        <v>41</v>
      </c>
      <c r="M1252" t="s">
        <v>972</v>
      </c>
      <c r="N1252" t="s">
        <v>41</v>
      </c>
    </row>
    <row r="1253" spans="3:14" x14ac:dyDescent="0.3">
      <c r="C1253" t="s">
        <v>41</v>
      </c>
      <c r="D1253" t="s">
        <v>41</v>
      </c>
      <c r="K1253">
        <v>0</v>
      </c>
      <c r="L1253" t="s">
        <v>41</v>
      </c>
      <c r="M1253" t="s">
        <v>972</v>
      </c>
      <c r="N1253" t="s">
        <v>41</v>
      </c>
    </row>
    <row r="1254" spans="3:14" x14ac:dyDescent="0.3">
      <c r="C1254" t="s">
        <v>41</v>
      </c>
      <c r="D1254" t="s">
        <v>41</v>
      </c>
      <c r="K1254">
        <v>0</v>
      </c>
      <c r="L1254" t="s">
        <v>41</v>
      </c>
      <c r="M1254" t="s">
        <v>972</v>
      </c>
      <c r="N1254" t="s">
        <v>41</v>
      </c>
    </row>
    <row r="1255" spans="3:14" x14ac:dyDescent="0.3">
      <c r="C1255" t="s">
        <v>41</v>
      </c>
      <c r="D1255" t="s">
        <v>41</v>
      </c>
      <c r="K1255">
        <v>0</v>
      </c>
      <c r="L1255" t="s">
        <v>41</v>
      </c>
      <c r="M1255" t="s">
        <v>972</v>
      </c>
      <c r="N1255" t="s">
        <v>41</v>
      </c>
    </row>
    <row r="1256" spans="3:14" x14ac:dyDescent="0.3">
      <c r="C1256" t="s">
        <v>41</v>
      </c>
      <c r="D1256" t="s">
        <v>41</v>
      </c>
      <c r="K1256">
        <v>0</v>
      </c>
      <c r="L1256" t="s">
        <v>41</v>
      </c>
      <c r="M1256" t="s">
        <v>972</v>
      </c>
      <c r="N1256" t="s">
        <v>41</v>
      </c>
    </row>
    <row r="1257" spans="3:14" x14ac:dyDescent="0.3">
      <c r="C1257" t="s">
        <v>41</v>
      </c>
      <c r="D1257" t="s">
        <v>41</v>
      </c>
      <c r="K1257">
        <v>0</v>
      </c>
      <c r="L1257" t="s">
        <v>41</v>
      </c>
      <c r="M1257" t="s">
        <v>972</v>
      </c>
      <c r="N1257" t="s">
        <v>41</v>
      </c>
    </row>
    <row r="1258" spans="3:14" x14ac:dyDescent="0.3">
      <c r="C1258" t="s">
        <v>41</v>
      </c>
      <c r="D1258" t="s">
        <v>41</v>
      </c>
      <c r="K1258">
        <v>0</v>
      </c>
      <c r="L1258" t="s">
        <v>41</v>
      </c>
      <c r="M1258" t="s">
        <v>972</v>
      </c>
      <c r="N1258" t="s">
        <v>41</v>
      </c>
    </row>
    <row r="1259" spans="3:14" x14ac:dyDescent="0.3">
      <c r="C1259" t="s">
        <v>41</v>
      </c>
      <c r="D1259" t="s">
        <v>41</v>
      </c>
      <c r="K1259">
        <v>0</v>
      </c>
      <c r="L1259" t="s">
        <v>41</v>
      </c>
      <c r="M1259" t="s">
        <v>972</v>
      </c>
      <c r="N1259" t="s">
        <v>41</v>
      </c>
    </row>
    <row r="1260" spans="3:14" x14ac:dyDescent="0.3">
      <c r="C1260" t="s">
        <v>41</v>
      </c>
      <c r="D1260" t="s">
        <v>41</v>
      </c>
      <c r="K1260">
        <v>0</v>
      </c>
      <c r="L1260" t="s">
        <v>41</v>
      </c>
      <c r="M1260" t="s">
        <v>972</v>
      </c>
      <c r="N1260" t="s">
        <v>41</v>
      </c>
    </row>
    <row r="1261" spans="3:14" x14ac:dyDescent="0.3">
      <c r="C1261" t="s">
        <v>41</v>
      </c>
      <c r="D1261" t="s">
        <v>41</v>
      </c>
      <c r="K1261">
        <v>0</v>
      </c>
      <c r="L1261" t="s">
        <v>41</v>
      </c>
      <c r="M1261" t="s">
        <v>972</v>
      </c>
      <c r="N1261" t="s">
        <v>41</v>
      </c>
    </row>
    <row r="1262" spans="3:14" x14ac:dyDescent="0.3">
      <c r="C1262" t="s">
        <v>41</v>
      </c>
      <c r="D1262" t="s">
        <v>41</v>
      </c>
      <c r="K1262">
        <v>0</v>
      </c>
      <c r="L1262" t="s">
        <v>41</v>
      </c>
      <c r="M1262" t="s">
        <v>972</v>
      </c>
      <c r="N1262" t="s">
        <v>41</v>
      </c>
    </row>
    <row r="1263" spans="3:14" x14ac:dyDescent="0.3">
      <c r="C1263" t="s">
        <v>41</v>
      </c>
      <c r="D1263" t="s">
        <v>41</v>
      </c>
      <c r="K1263">
        <v>0</v>
      </c>
      <c r="L1263" t="s">
        <v>41</v>
      </c>
      <c r="M1263" t="s">
        <v>972</v>
      </c>
      <c r="N1263" t="s">
        <v>41</v>
      </c>
    </row>
    <row r="1264" spans="3:14" x14ac:dyDescent="0.3">
      <c r="C1264" t="s">
        <v>41</v>
      </c>
      <c r="D1264" t="s">
        <v>41</v>
      </c>
      <c r="K1264">
        <v>0</v>
      </c>
      <c r="L1264" t="s">
        <v>41</v>
      </c>
      <c r="M1264" t="s">
        <v>972</v>
      </c>
      <c r="N1264" t="s">
        <v>41</v>
      </c>
    </row>
    <row r="1265" spans="3:14" x14ac:dyDescent="0.3">
      <c r="C1265" t="s">
        <v>41</v>
      </c>
      <c r="D1265" t="s">
        <v>41</v>
      </c>
      <c r="K1265">
        <v>0</v>
      </c>
      <c r="L1265" t="s">
        <v>41</v>
      </c>
      <c r="M1265" t="s">
        <v>972</v>
      </c>
      <c r="N1265" t="s">
        <v>41</v>
      </c>
    </row>
    <row r="1266" spans="3:14" x14ac:dyDescent="0.3">
      <c r="C1266" t="s">
        <v>41</v>
      </c>
      <c r="D1266" t="s">
        <v>41</v>
      </c>
      <c r="K1266">
        <v>0</v>
      </c>
      <c r="L1266" t="s">
        <v>41</v>
      </c>
      <c r="M1266" t="s">
        <v>972</v>
      </c>
      <c r="N1266" t="s">
        <v>41</v>
      </c>
    </row>
    <row r="1267" spans="3:14" x14ac:dyDescent="0.3">
      <c r="C1267" t="s">
        <v>41</v>
      </c>
      <c r="D1267" t="s">
        <v>41</v>
      </c>
      <c r="K1267">
        <v>0</v>
      </c>
      <c r="L1267" t="s">
        <v>41</v>
      </c>
      <c r="M1267" t="s">
        <v>972</v>
      </c>
      <c r="N1267" t="s">
        <v>41</v>
      </c>
    </row>
    <row r="1268" spans="3:14" x14ac:dyDescent="0.3">
      <c r="C1268" t="s">
        <v>41</v>
      </c>
      <c r="D1268" t="s">
        <v>41</v>
      </c>
      <c r="K1268">
        <v>0</v>
      </c>
      <c r="L1268" t="s">
        <v>41</v>
      </c>
      <c r="M1268" t="s">
        <v>972</v>
      </c>
      <c r="N1268" t="s">
        <v>41</v>
      </c>
    </row>
    <row r="1269" spans="3:14" x14ac:dyDescent="0.3">
      <c r="C1269" t="s">
        <v>41</v>
      </c>
      <c r="D1269" t="s">
        <v>41</v>
      </c>
      <c r="K1269">
        <v>0</v>
      </c>
      <c r="L1269" t="s">
        <v>41</v>
      </c>
      <c r="M1269" t="s">
        <v>972</v>
      </c>
      <c r="N1269" t="s">
        <v>41</v>
      </c>
    </row>
    <row r="1270" spans="3:14" x14ac:dyDescent="0.3">
      <c r="C1270" t="s">
        <v>41</v>
      </c>
      <c r="D1270" t="s">
        <v>41</v>
      </c>
      <c r="K1270">
        <v>0</v>
      </c>
      <c r="L1270" t="s">
        <v>41</v>
      </c>
      <c r="M1270" t="s">
        <v>972</v>
      </c>
      <c r="N1270" t="s">
        <v>41</v>
      </c>
    </row>
    <row r="1271" spans="3:14" x14ac:dyDescent="0.3">
      <c r="C1271" t="s">
        <v>41</v>
      </c>
      <c r="D1271" t="s">
        <v>41</v>
      </c>
      <c r="K1271">
        <v>0</v>
      </c>
      <c r="L1271" t="s">
        <v>41</v>
      </c>
      <c r="M1271" t="s">
        <v>972</v>
      </c>
      <c r="N1271" t="s">
        <v>41</v>
      </c>
    </row>
    <row r="1272" spans="3:14" x14ac:dyDescent="0.3">
      <c r="C1272" t="s">
        <v>41</v>
      </c>
      <c r="D1272" t="s">
        <v>41</v>
      </c>
      <c r="K1272">
        <v>0</v>
      </c>
      <c r="L1272" t="s">
        <v>41</v>
      </c>
      <c r="M1272" t="s">
        <v>972</v>
      </c>
      <c r="N1272" t="s">
        <v>41</v>
      </c>
    </row>
    <row r="1273" spans="3:14" x14ac:dyDescent="0.3">
      <c r="C1273" t="s">
        <v>41</v>
      </c>
      <c r="D1273" t="s">
        <v>41</v>
      </c>
      <c r="K1273">
        <v>0</v>
      </c>
      <c r="L1273" t="s">
        <v>41</v>
      </c>
      <c r="M1273" t="s">
        <v>972</v>
      </c>
      <c r="N1273" t="s">
        <v>41</v>
      </c>
    </row>
    <row r="1274" spans="3:14" x14ac:dyDescent="0.3">
      <c r="C1274" t="s">
        <v>41</v>
      </c>
      <c r="D1274" t="s">
        <v>41</v>
      </c>
      <c r="K1274">
        <v>0</v>
      </c>
      <c r="L1274" t="s">
        <v>41</v>
      </c>
      <c r="M1274" t="s">
        <v>972</v>
      </c>
      <c r="N1274" t="s">
        <v>41</v>
      </c>
    </row>
    <row r="1275" spans="3:14" x14ac:dyDescent="0.3">
      <c r="C1275" t="s">
        <v>41</v>
      </c>
      <c r="D1275" t="s">
        <v>41</v>
      </c>
      <c r="K1275">
        <v>0</v>
      </c>
      <c r="L1275" t="s">
        <v>41</v>
      </c>
      <c r="M1275" t="s">
        <v>972</v>
      </c>
      <c r="N1275" t="s">
        <v>41</v>
      </c>
    </row>
    <row r="1276" spans="3:14" x14ac:dyDescent="0.3">
      <c r="C1276" t="s">
        <v>41</v>
      </c>
      <c r="D1276" t="s">
        <v>41</v>
      </c>
      <c r="K1276">
        <v>0</v>
      </c>
      <c r="L1276" t="s">
        <v>41</v>
      </c>
      <c r="M1276" t="s">
        <v>972</v>
      </c>
      <c r="N1276" t="s">
        <v>41</v>
      </c>
    </row>
    <row r="1277" spans="3:14" x14ac:dyDescent="0.3">
      <c r="C1277" t="s">
        <v>41</v>
      </c>
      <c r="D1277" t="s">
        <v>41</v>
      </c>
      <c r="K1277">
        <v>0</v>
      </c>
      <c r="L1277" t="s">
        <v>41</v>
      </c>
      <c r="M1277" t="s">
        <v>972</v>
      </c>
      <c r="N1277" t="s">
        <v>41</v>
      </c>
    </row>
    <row r="1278" spans="3:14" x14ac:dyDescent="0.3">
      <c r="C1278" t="s">
        <v>41</v>
      </c>
      <c r="D1278" t="s">
        <v>41</v>
      </c>
      <c r="K1278">
        <v>0</v>
      </c>
      <c r="L1278" t="s">
        <v>41</v>
      </c>
      <c r="M1278" t="s">
        <v>972</v>
      </c>
      <c r="N1278" t="s">
        <v>41</v>
      </c>
    </row>
    <row r="1279" spans="3:14" x14ac:dyDescent="0.3">
      <c r="C1279" t="s">
        <v>41</v>
      </c>
      <c r="D1279" t="s">
        <v>41</v>
      </c>
      <c r="K1279">
        <v>0</v>
      </c>
      <c r="L1279" t="s">
        <v>41</v>
      </c>
      <c r="M1279" t="s">
        <v>972</v>
      </c>
      <c r="N1279" t="s">
        <v>41</v>
      </c>
    </row>
    <row r="1280" spans="3:14" x14ac:dyDescent="0.3">
      <c r="C1280" t="s">
        <v>41</v>
      </c>
      <c r="D1280" t="s">
        <v>41</v>
      </c>
      <c r="K1280">
        <v>0</v>
      </c>
      <c r="L1280" t="s">
        <v>41</v>
      </c>
      <c r="M1280" t="s">
        <v>972</v>
      </c>
      <c r="N1280" t="s">
        <v>41</v>
      </c>
    </row>
    <row r="1281" spans="3:14" x14ac:dyDescent="0.3">
      <c r="C1281" t="s">
        <v>41</v>
      </c>
      <c r="D1281" t="s">
        <v>41</v>
      </c>
      <c r="K1281">
        <v>0</v>
      </c>
      <c r="L1281" t="s">
        <v>41</v>
      </c>
      <c r="M1281" t="s">
        <v>972</v>
      </c>
      <c r="N1281" t="s">
        <v>41</v>
      </c>
    </row>
    <row r="1282" spans="3:14" x14ac:dyDescent="0.3">
      <c r="C1282" t="s">
        <v>41</v>
      </c>
      <c r="D1282" t="s">
        <v>41</v>
      </c>
      <c r="K1282">
        <v>0</v>
      </c>
      <c r="L1282" t="s">
        <v>41</v>
      </c>
      <c r="M1282" t="s">
        <v>972</v>
      </c>
      <c r="N1282" t="s">
        <v>41</v>
      </c>
    </row>
    <row r="1283" spans="3:14" x14ac:dyDescent="0.3">
      <c r="C1283" t="s">
        <v>41</v>
      </c>
      <c r="D1283" t="s">
        <v>41</v>
      </c>
      <c r="K1283">
        <v>0</v>
      </c>
      <c r="L1283" t="s">
        <v>41</v>
      </c>
      <c r="M1283" t="s">
        <v>972</v>
      </c>
      <c r="N1283" t="s">
        <v>41</v>
      </c>
    </row>
    <row r="1284" spans="3:14" x14ac:dyDescent="0.3">
      <c r="C1284" t="s">
        <v>41</v>
      </c>
      <c r="D1284" t="s">
        <v>41</v>
      </c>
      <c r="K1284">
        <v>0</v>
      </c>
      <c r="L1284" t="s">
        <v>41</v>
      </c>
      <c r="M1284" t="s">
        <v>972</v>
      </c>
      <c r="N1284" t="s">
        <v>41</v>
      </c>
    </row>
    <row r="1285" spans="3:14" x14ac:dyDescent="0.3">
      <c r="C1285" t="s">
        <v>41</v>
      </c>
      <c r="D1285" t="s">
        <v>41</v>
      </c>
      <c r="K1285">
        <v>0</v>
      </c>
      <c r="L1285" t="s">
        <v>41</v>
      </c>
      <c r="M1285" t="s">
        <v>972</v>
      </c>
      <c r="N1285" t="s">
        <v>41</v>
      </c>
    </row>
    <row r="1286" spans="3:14" x14ac:dyDescent="0.3">
      <c r="C1286" t="s">
        <v>41</v>
      </c>
      <c r="D1286" t="s">
        <v>41</v>
      </c>
      <c r="K1286">
        <v>0</v>
      </c>
      <c r="L1286" t="s">
        <v>41</v>
      </c>
      <c r="M1286" t="s">
        <v>972</v>
      </c>
      <c r="N1286" t="s">
        <v>41</v>
      </c>
    </row>
    <row r="1287" spans="3:14" x14ac:dyDescent="0.3">
      <c r="C1287" t="s">
        <v>41</v>
      </c>
      <c r="D1287" t="s">
        <v>41</v>
      </c>
      <c r="K1287">
        <v>0</v>
      </c>
      <c r="L1287" t="s">
        <v>41</v>
      </c>
      <c r="M1287" t="s">
        <v>972</v>
      </c>
      <c r="N1287" t="s">
        <v>41</v>
      </c>
    </row>
    <row r="1288" spans="3:14" x14ac:dyDescent="0.3">
      <c r="C1288" t="s">
        <v>41</v>
      </c>
      <c r="D1288" t="s">
        <v>41</v>
      </c>
      <c r="K1288">
        <v>0</v>
      </c>
      <c r="L1288" t="s">
        <v>41</v>
      </c>
      <c r="M1288" t="s">
        <v>972</v>
      </c>
      <c r="N1288" t="s">
        <v>41</v>
      </c>
    </row>
    <row r="1289" spans="3:14" x14ac:dyDescent="0.3">
      <c r="C1289" t="s">
        <v>41</v>
      </c>
      <c r="D1289" t="s">
        <v>41</v>
      </c>
      <c r="K1289">
        <v>0</v>
      </c>
      <c r="L1289" t="s">
        <v>41</v>
      </c>
      <c r="M1289" t="s">
        <v>972</v>
      </c>
      <c r="N1289" t="s">
        <v>41</v>
      </c>
    </row>
    <row r="1290" spans="3:14" x14ac:dyDescent="0.3">
      <c r="C1290" t="s">
        <v>41</v>
      </c>
      <c r="D1290" t="s">
        <v>41</v>
      </c>
      <c r="K1290">
        <v>0</v>
      </c>
      <c r="L1290" t="s">
        <v>41</v>
      </c>
      <c r="M1290" t="s">
        <v>972</v>
      </c>
      <c r="N1290" t="s">
        <v>41</v>
      </c>
    </row>
    <row r="1291" spans="3:14" x14ac:dyDescent="0.3">
      <c r="C1291" t="s">
        <v>41</v>
      </c>
      <c r="D1291" t="s">
        <v>41</v>
      </c>
      <c r="K1291">
        <v>0</v>
      </c>
      <c r="L1291" t="s">
        <v>41</v>
      </c>
      <c r="M1291" t="s">
        <v>972</v>
      </c>
      <c r="N1291" t="s">
        <v>41</v>
      </c>
    </row>
    <row r="1292" spans="3:14" x14ac:dyDescent="0.3">
      <c r="C1292" t="s">
        <v>41</v>
      </c>
      <c r="D1292" t="s">
        <v>41</v>
      </c>
      <c r="K1292">
        <v>0</v>
      </c>
      <c r="L1292" t="s">
        <v>41</v>
      </c>
      <c r="M1292" t="s">
        <v>972</v>
      </c>
      <c r="N1292" t="s">
        <v>41</v>
      </c>
    </row>
    <row r="1293" spans="3:14" x14ac:dyDescent="0.3">
      <c r="C1293" t="s">
        <v>41</v>
      </c>
      <c r="D1293" t="s">
        <v>41</v>
      </c>
      <c r="K1293">
        <v>0</v>
      </c>
      <c r="L1293" t="s">
        <v>41</v>
      </c>
      <c r="M1293" t="s">
        <v>972</v>
      </c>
      <c r="N1293" t="s">
        <v>41</v>
      </c>
    </row>
    <row r="1294" spans="3:14" x14ac:dyDescent="0.3">
      <c r="C1294" t="s">
        <v>41</v>
      </c>
      <c r="D1294" t="s">
        <v>41</v>
      </c>
      <c r="K1294">
        <v>0</v>
      </c>
      <c r="L1294" t="s">
        <v>41</v>
      </c>
      <c r="M1294" t="s">
        <v>972</v>
      </c>
      <c r="N1294" t="s">
        <v>41</v>
      </c>
    </row>
    <row r="1295" spans="3:14" x14ac:dyDescent="0.3">
      <c r="C1295" t="s">
        <v>41</v>
      </c>
      <c r="D1295" t="s">
        <v>41</v>
      </c>
      <c r="K1295">
        <v>0</v>
      </c>
      <c r="L1295" t="s">
        <v>41</v>
      </c>
      <c r="M1295" t="s">
        <v>972</v>
      </c>
      <c r="N1295" t="s">
        <v>41</v>
      </c>
    </row>
    <row r="1296" spans="3:14" x14ac:dyDescent="0.3">
      <c r="C1296" t="s">
        <v>41</v>
      </c>
      <c r="D1296" t="s">
        <v>41</v>
      </c>
      <c r="K1296">
        <v>0</v>
      </c>
      <c r="L1296" t="s">
        <v>41</v>
      </c>
      <c r="M1296" t="s">
        <v>972</v>
      </c>
      <c r="N1296" t="s">
        <v>41</v>
      </c>
    </row>
    <row r="1297" spans="3:14" x14ac:dyDescent="0.3">
      <c r="C1297" t="s">
        <v>41</v>
      </c>
      <c r="D1297" t="s">
        <v>41</v>
      </c>
      <c r="K1297">
        <v>0</v>
      </c>
      <c r="L1297" t="s">
        <v>41</v>
      </c>
      <c r="M1297" t="s">
        <v>972</v>
      </c>
      <c r="N1297" t="s">
        <v>41</v>
      </c>
    </row>
    <row r="1298" spans="3:14" x14ac:dyDescent="0.3">
      <c r="C1298" t="s">
        <v>41</v>
      </c>
      <c r="D1298" t="s">
        <v>41</v>
      </c>
      <c r="K1298">
        <v>0</v>
      </c>
      <c r="L1298" t="s">
        <v>41</v>
      </c>
      <c r="M1298" t="s">
        <v>972</v>
      </c>
      <c r="N1298" t="s">
        <v>41</v>
      </c>
    </row>
    <row r="1299" spans="3:14" x14ac:dyDescent="0.3">
      <c r="C1299" t="s">
        <v>41</v>
      </c>
      <c r="D1299" t="s">
        <v>41</v>
      </c>
      <c r="K1299">
        <v>0</v>
      </c>
      <c r="L1299" t="s">
        <v>41</v>
      </c>
      <c r="M1299" t="s">
        <v>972</v>
      </c>
      <c r="N1299" t="s">
        <v>41</v>
      </c>
    </row>
    <row r="1300" spans="3:14" x14ac:dyDescent="0.3">
      <c r="C1300" t="s">
        <v>41</v>
      </c>
      <c r="D1300" t="s">
        <v>41</v>
      </c>
      <c r="K1300">
        <v>0</v>
      </c>
      <c r="L1300" t="s">
        <v>41</v>
      </c>
      <c r="M1300" t="s">
        <v>972</v>
      </c>
      <c r="N1300" t="s">
        <v>41</v>
      </c>
    </row>
    <row r="1301" spans="3:14" x14ac:dyDescent="0.3">
      <c r="C1301" t="s">
        <v>41</v>
      </c>
      <c r="D1301" t="s">
        <v>41</v>
      </c>
      <c r="K1301">
        <v>0</v>
      </c>
      <c r="L1301" t="s">
        <v>41</v>
      </c>
      <c r="M1301" t="s">
        <v>972</v>
      </c>
      <c r="N1301" t="s">
        <v>41</v>
      </c>
    </row>
    <row r="1302" spans="3:14" x14ac:dyDescent="0.3">
      <c r="C1302" t="s">
        <v>41</v>
      </c>
      <c r="D1302" t="s">
        <v>41</v>
      </c>
      <c r="K1302">
        <v>0</v>
      </c>
      <c r="L1302" t="s">
        <v>41</v>
      </c>
      <c r="M1302" t="s">
        <v>972</v>
      </c>
      <c r="N1302" t="s">
        <v>41</v>
      </c>
    </row>
    <row r="1303" spans="3:14" x14ac:dyDescent="0.3">
      <c r="C1303" t="s">
        <v>41</v>
      </c>
      <c r="D1303" t="s">
        <v>41</v>
      </c>
      <c r="K1303">
        <v>0</v>
      </c>
      <c r="L1303" t="s">
        <v>41</v>
      </c>
      <c r="M1303" t="s">
        <v>972</v>
      </c>
      <c r="N1303" t="s">
        <v>41</v>
      </c>
    </row>
    <row r="1304" spans="3:14" x14ac:dyDescent="0.3">
      <c r="C1304" t="s">
        <v>41</v>
      </c>
      <c r="D1304" t="s">
        <v>41</v>
      </c>
      <c r="K1304">
        <v>0</v>
      </c>
      <c r="L1304" t="s">
        <v>41</v>
      </c>
      <c r="M1304" t="s">
        <v>972</v>
      </c>
      <c r="N1304" t="s">
        <v>41</v>
      </c>
    </row>
    <row r="1305" spans="3:14" x14ac:dyDescent="0.3">
      <c r="C1305" t="s">
        <v>41</v>
      </c>
      <c r="D1305" t="s">
        <v>41</v>
      </c>
      <c r="K1305">
        <v>0</v>
      </c>
      <c r="L1305" t="s">
        <v>41</v>
      </c>
      <c r="M1305" t="s">
        <v>972</v>
      </c>
      <c r="N1305" t="s">
        <v>41</v>
      </c>
    </row>
    <row r="1306" spans="3:14" x14ac:dyDescent="0.3">
      <c r="C1306" t="s">
        <v>41</v>
      </c>
      <c r="D1306" t="s">
        <v>41</v>
      </c>
      <c r="K1306">
        <v>0</v>
      </c>
      <c r="L1306" t="s">
        <v>41</v>
      </c>
      <c r="M1306" t="s">
        <v>972</v>
      </c>
      <c r="N1306" t="s">
        <v>41</v>
      </c>
    </row>
    <row r="1307" spans="3:14" x14ac:dyDescent="0.3">
      <c r="C1307" t="s">
        <v>41</v>
      </c>
      <c r="D1307" t="s">
        <v>41</v>
      </c>
      <c r="K1307">
        <v>0</v>
      </c>
      <c r="L1307" t="s">
        <v>41</v>
      </c>
      <c r="M1307" t="s">
        <v>972</v>
      </c>
      <c r="N1307" t="s">
        <v>41</v>
      </c>
    </row>
    <row r="1308" spans="3:14" x14ac:dyDescent="0.3">
      <c r="C1308" t="s">
        <v>41</v>
      </c>
      <c r="D1308" t="s">
        <v>41</v>
      </c>
      <c r="K1308">
        <v>0</v>
      </c>
      <c r="L1308" t="s">
        <v>41</v>
      </c>
      <c r="M1308" t="s">
        <v>972</v>
      </c>
      <c r="N1308" t="s">
        <v>41</v>
      </c>
    </row>
    <row r="1309" spans="3:14" x14ac:dyDescent="0.3">
      <c r="C1309" t="s">
        <v>41</v>
      </c>
      <c r="D1309" t="s">
        <v>41</v>
      </c>
      <c r="K1309">
        <v>0</v>
      </c>
      <c r="L1309" t="s">
        <v>41</v>
      </c>
      <c r="M1309" t="s">
        <v>972</v>
      </c>
      <c r="N1309" t="s">
        <v>41</v>
      </c>
    </row>
    <row r="1310" spans="3:14" x14ac:dyDescent="0.3">
      <c r="C1310" t="s">
        <v>41</v>
      </c>
      <c r="D1310" t="s">
        <v>41</v>
      </c>
      <c r="K1310">
        <v>0</v>
      </c>
      <c r="L1310" t="s">
        <v>41</v>
      </c>
      <c r="M1310" t="s">
        <v>972</v>
      </c>
      <c r="N1310" t="s">
        <v>41</v>
      </c>
    </row>
    <row r="1311" spans="3:14" x14ac:dyDescent="0.3">
      <c r="C1311" t="s">
        <v>41</v>
      </c>
      <c r="D1311" t="s">
        <v>41</v>
      </c>
      <c r="K1311">
        <v>0</v>
      </c>
      <c r="L1311" t="s">
        <v>41</v>
      </c>
      <c r="M1311" t="s">
        <v>972</v>
      </c>
      <c r="N1311" t="s">
        <v>41</v>
      </c>
    </row>
    <row r="1312" spans="3:14" x14ac:dyDescent="0.3">
      <c r="C1312" t="s">
        <v>41</v>
      </c>
      <c r="D1312" t="s">
        <v>41</v>
      </c>
      <c r="K1312">
        <v>0</v>
      </c>
      <c r="L1312" t="s">
        <v>41</v>
      </c>
      <c r="M1312" t="s">
        <v>972</v>
      </c>
      <c r="N1312" t="s">
        <v>41</v>
      </c>
    </row>
    <row r="1313" spans="3:14" x14ac:dyDescent="0.3">
      <c r="C1313" t="s">
        <v>41</v>
      </c>
      <c r="D1313" t="s">
        <v>41</v>
      </c>
      <c r="K1313">
        <v>0</v>
      </c>
      <c r="L1313" t="s">
        <v>41</v>
      </c>
      <c r="M1313" t="s">
        <v>972</v>
      </c>
      <c r="N1313" t="s">
        <v>41</v>
      </c>
    </row>
    <row r="1314" spans="3:14" x14ac:dyDescent="0.3">
      <c r="C1314" t="s">
        <v>41</v>
      </c>
      <c r="D1314" t="s">
        <v>41</v>
      </c>
      <c r="K1314">
        <v>0</v>
      </c>
      <c r="L1314" t="s">
        <v>41</v>
      </c>
      <c r="M1314" t="s">
        <v>972</v>
      </c>
      <c r="N1314" t="s">
        <v>41</v>
      </c>
    </row>
    <row r="1315" spans="3:14" x14ac:dyDescent="0.3">
      <c r="C1315" t="s">
        <v>41</v>
      </c>
      <c r="D1315" t="s">
        <v>41</v>
      </c>
      <c r="K1315">
        <v>0</v>
      </c>
      <c r="L1315" t="s">
        <v>41</v>
      </c>
      <c r="M1315" t="s">
        <v>972</v>
      </c>
      <c r="N1315" t="s">
        <v>41</v>
      </c>
    </row>
    <row r="1316" spans="3:14" x14ac:dyDescent="0.3">
      <c r="C1316" t="s">
        <v>41</v>
      </c>
      <c r="D1316" t="s">
        <v>41</v>
      </c>
      <c r="K1316">
        <v>0</v>
      </c>
      <c r="L1316" t="s">
        <v>41</v>
      </c>
      <c r="M1316" t="s">
        <v>972</v>
      </c>
      <c r="N1316" t="s">
        <v>41</v>
      </c>
    </row>
    <row r="1317" spans="3:14" x14ac:dyDescent="0.3">
      <c r="C1317" t="s">
        <v>41</v>
      </c>
      <c r="D1317" t="s">
        <v>41</v>
      </c>
      <c r="K1317">
        <v>0</v>
      </c>
      <c r="L1317" t="s">
        <v>41</v>
      </c>
      <c r="M1317" t="s">
        <v>972</v>
      </c>
      <c r="N1317" t="s">
        <v>41</v>
      </c>
    </row>
    <row r="1318" spans="3:14" x14ac:dyDescent="0.3">
      <c r="C1318" t="s">
        <v>41</v>
      </c>
      <c r="D1318" t="s">
        <v>41</v>
      </c>
      <c r="K1318">
        <v>0</v>
      </c>
      <c r="L1318" t="s">
        <v>41</v>
      </c>
      <c r="M1318" t="s">
        <v>972</v>
      </c>
      <c r="N1318" t="s">
        <v>41</v>
      </c>
    </row>
    <row r="1319" spans="3:14" x14ac:dyDescent="0.3">
      <c r="C1319" t="s">
        <v>41</v>
      </c>
      <c r="D1319" t="s">
        <v>41</v>
      </c>
      <c r="K1319">
        <v>0</v>
      </c>
      <c r="L1319" t="s">
        <v>41</v>
      </c>
      <c r="M1319" t="s">
        <v>972</v>
      </c>
      <c r="N1319" t="s">
        <v>41</v>
      </c>
    </row>
    <row r="1320" spans="3:14" x14ac:dyDescent="0.3">
      <c r="C1320" t="s">
        <v>41</v>
      </c>
      <c r="D1320" t="s">
        <v>41</v>
      </c>
      <c r="K1320">
        <v>0</v>
      </c>
      <c r="L1320" t="s">
        <v>41</v>
      </c>
      <c r="M1320" t="s">
        <v>972</v>
      </c>
      <c r="N1320" t="s">
        <v>41</v>
      </c>
    </row>
    <row r="1321" spans="3:14" x14ac:dyDescent="0.3">
      <c r="C1321" t="s">
        <v>41</v>
      </c>
      <c r="D1321" t="s">
        <v>41</v>
      </c>
      <c r="K1321">
        <v>0</v>
      </c>
      <c r="L1321" t="s">
        <v>41</v>
      </c>
      <c r="M1321" t="s">
        <v>972</v>
      </c>
      <c r="N1321" t="s">
        <v>41</v>
      </c>
    </row>
    <row r="1322" spans="3:14" x14ac:dyDescent="0.3">
      <c r="C1322" t="s">
        <v>41</v>
      </c>
      <c r="D1322" t="s">
        <v>41</v>
      </c>
      <c r="K1322">
        <v>0</v>
      </c>
      <c r="L1322" t="s">
        <v>41</v>
      </c>
      <c r="M1322" t="s">
        <v>972</v>
      </c>
      <c r="N1322" t="s">
        <v>41</v>
      </c>
    </row>
    <row r="1323" spans="3:14" x14ac:dyDescent="0.3">
      <c r="C1323" t="s">
        <v>41</v>
      </c>
      <c r="D1323" t="s">
        <v>41</v>
      </c>
      <c r="K1323">
        <v>0</v>
      </c>
      <c r="L1323" t="s">
        <v>41</v>
      </c>
      <c r="M1323" t="s">
        <v>972</v>
      </c>
      <c r="N1323" t="s">
        <v>41</v>
      </c>
    </row>
    <row r="1324" spans="3:14" x14ac:dyDescent="0.3">
      <c r="C1324" t="s">
        <v>41</v>
      </c>
      <c r="D1324" t="s">
        <v>41</v>
      </c>
      <c r="K1324">
        <v>0</v>
      </c>
      <c r="L1324" t="s">
        <v>41</v>
      </c>
      <c r="M1324" t="s">
        <v>972</v>
      </c>
      <c r="N1324" t="s">
        <v>41</v>
      </c>
    </row>
    <row r="1325" spans="3:14" x14ac:dyDescent="0.3">
      <c r="C1325" t="s">
        <v>41</v>
      </c>
      <c r="D1325" t="s">
        <v>41</v>
      </c>
      <c r="K1325">
        <v>0</v>
      </c>
      <c r="L1325" t="s">
        <v>41</v>
      </c>
      <c r="M1325" t="s">
        <v>972</v>
      </c>
      <c r="N1325" t="s">
        <v>41</v>
      </c>
    </row>
    <row r="1326" spans="3:14" x14ac:dyDescent="0.3">
      <c r="C1326" t="s">
        <v>41</v>
      </c>
      <c r="D1326" t="s">
        <v>41</v>
      </c>
      <c r="K1326">
        <v>0</v>
      </c>
      <c r="L1326" t="s">
        <v>41</v>
      </c>
      <c r="M1326" t="s">
        <v>972</v>
      </c>
      <c r="N1326" t="s">
        <v>41</v>
      </c>
    </row>
    <row r="1327" spans="3:14" x14ac:dyDescent="0.3">
      <c r="C1327" t="s">
        <v>41</v>
      </c>
      <c r="D1327" t="s">
        <v>41</v>
      </c>
      <c r="K1327">
        <v>0</v>
      </c>
      <c r="L1327" t="s">
        <v>41</v>
      </c>
      <c r="M1327" t="s">
        <v>972</v>
      </c>
      <c r="N1327" t="s">
        <v>41</v>
      </c>
    </row>
    <row r="1328" spans="3:14" x14ac:dyDescent="0.3">
      <c r="C1328" t="s">
        <v>41</v>
      </c>
      <c r="D1328" t="s">
        <v>41</v>
      </c>
      <c r="K1328">
        <v>0</v>
      </c>
      <c r="L1328" t="s">
        <v>41</v>
      </c>
      <c r="M1328" t="s">
        <v>972</v>
      </c>
      <c r="N1328" t="s">
        <v>41</v>
      </c>
    </row>
    <row r="1329" spans="3:14" x14ac:dyDescent="0.3">
      <c r="C1329" t="s">
        <v>41</v>
      </c>
      <c r="D1329" t="s">
        <v>41</v>
      </c>
      <c r="K1329">
        <v>0</v>
      </c>
      <c r="L1329" t="s">
        <v>41</v>
      </c>
      <c r="M1329" t="s">
        <v>972</v>
      </c>
      <c r="N1329" t="s">
        <v>41</v>
      </c>
    </row>
    <row r="1330" spans="3:14" x14ac:dyDescent="0.3">
      <c r="C1330" t="s">
        <v>41</v>
      </c>
      <c r="D1330" t="s">
        <v>41</v>
      </c>
      <c r="K1330">
        <v>0</v>
      </c>
      <c r="L1330" t="s">
        <v>41</v>
      </c>
      <c r="M1330" t="s">
        <v>972</v>
      </c>
      <c r="N1330" t="s">
        <v>41</v>
      </c>
    </row>
    <row r="1331" spans="3:14" x14ac:dyDescent="0.3">
      <c r="C1331" t="s">
        <v>41</v>
      </c>
      <c r="D1331" t="s">
        <v>41</v>
      </c>
      <c r="K1331">
        <v>0</v>
      </c>
      <c r="L1331" t="s">
        <v>41</v>
      </c>
      <c r="M1331" t="s">
        <v>972</v>
      </c>
      <c r="N1331" t="s">
        <v>41</v>
      </c>
    </row>
    <row r="1332" spans="3:14" x14ac:dyDescent="0.3">
      <c r="C1332" t="s">
        <v>41</v>
      </c>
      <c r="D1332" t="s">
        <v>41</v>
      </c>
      <c r="K1332">
        <v>0</v>
      </c>
      <c r="L1332" t="s">
        <v>41</v>
      </c>
      <c r="M1332" t="s">
        <v>972</v>
      </c>
      <c r="N1332" t="s">
        <v>41</v>
      </c>
    </row>
    <row r="1333" spans="3:14" x14ac:dyDescent="0.3">
      <c r="C1333" t="s">
        <v>41</v>
      </c>
      <c r="D1333" t="s">
        <v>41</v>
      </c>
      <c r="K1333">
        <v>0</v>
      </c>
      <c r="L1333" t="s">
        <v>41</v>
      </c>
      <c r="M1333" t="s">
        <v>972</v>
      </c>
      <c r="N1333" t="s">
        <v>41</v>
      </c>
    </row>
    <row r="1334" spans="3:14" x14ac:dyDescent="0.3">
      <c r="C1334" t="s">
        <v>41</v>
      </c>
      <c r="D1334" t="s">
        <v>41</v>
      </c>
      <c r="K1334">
        <v>0</v>
      </c>
      <c r="L1334" t="s">
        <v>41</v>
      </c>
      <c r="M1334" t="s">
        <v>972</v>
      </c>
      <c r="N1334" t="s">
        <v>41</v>
      </c>
    </row>
    <row r="1335" spans="3:14" x14ac:dyDescent="0.3">
      <c r="C1335" t="s">
        <v>41</v>
      </c>
      <c r="D1335" t="s">
        <v>41</v>
      </c>
      <c r="K1335">
        <v>0</v>
      </c>
      <c r="L1335" t="s">
        <v>41</v>
      </c>
      <c r="M1335" t="s">
        <v>972</v>
      </c>
      <c r="N1335" t="s">
        <v>41</v>
      </c>
    </row>
    <row r="1336" spans="3:14" x14ac:dyDescent="0.3">
      <c r="C1336" t="s">
        <v>41</v>
      </c>
      <c r="D1336" t="s">
        <v>41</v>
      </c>
      <c r="K1336">
        <v>0</v>
      </c>
      <c r="L1336" t="s">
        <v>41</v>
      </c>
      <c r="M1336" t="s">
        <v>972</v>
      </c>
      <c r="N1336" t="s">
        <v>41</v>
      </c>
    </row>
    <row r="1337" spans="3:14" x14ac:dyDescent="0.3">
      <c r="C1337" t="s">
        <v>41</v>
      </c>
      <c r="D1337" t="s">
        <v>41</v>
      </c>
      <c r="K1337">
        <v>0</v>
      </c>
      <c r="L1337" t="s">
        <v>41</v>
      </c>
      <c r="M1337" t="s">
        <v>972</v>
      </c>
      <c r="N1337" t="s">
        <v>41</v>
      </c>
    </row>
    <row r="1338" spans="3:14" x14ac:dyDescent="0.3">
      <c r="C1338" t="s">
        <v>41</v>
      </c>
      <c r="D1338" t="s">
        <v>41</v>
      </c>
      <c r="K1338">
        <v>0</v>
      </c>
      <c r="L1338" t="s">
        <v>41</v>
      </c>
      <c r="M1338" t="s">
        <v>972</v>
      </c>
      <c r="N1338" t="s">
        <v>41</v>
      </c>
    </row>
    <row r="1339" spans="3:14" x14ac:dyDescent="0.3">
      <c r="C1339" t="s">
        <v>41</v>
      </c>
      <c r="D1339" t="s">
        <v>41</v>
      </c>
      <c r="K1339">
        <v>0</v>
      </c>
      <c r="L1339" t="s">
        <v>41</v>
      </c>
      <c r="M1339" t="s">
        <v>972</v>
      </c>
      <c r="N1339" t="s">
        <v>41</v>
      </c>
    </row>
    <row r="1340" spans="3:14" x14ac:dyDescent="0.3">
      <c r="C1340" t="s">
        <v>41</v>
      </c>
      <c r="D1340" t="s">
        <v>41</v>
      </c>
      <c r="K1340">
        <v>0</v>
      </c>
      <c r="L1340" t="s">
        <v>41</v>
      </c>
      <c r="M1340" t="s">
        <v>972</v>
      </c>
      <c r="N1340" t="s">
        <v>41</v>
      </c>
    </row>
    <row r="1341" spans="3:14" x14ac:dyDescent="0.3">
      <c r="C1341" t="s">
        <v>41</v>
      </c>
      <c r="D1341" t="s">
        <v>41</v>
      </c>
      <c r="K1341">
        <v>0</v>
      </c>
      <c r="L1341" t="s">
        <v>41</v>
      </c>
      <c r="M1341" t="s">
        <v>972</v>
      </c>
      <c r="N1341" t="s">
        <v>41</v>
      </c>
    </row>
    <row r="1342" spans="3:14" x14ac:dyDescent="0.3">
      <c r="C1342" t="s">
        <v>41</v>
      </c>
      <c r="D1342" t="s">
        <v>41</v>
      </c>
      <c r="K1342">
        <v>0</v>
      </c>
      <c r="L1342" t="s">
        <v>41</v>
      </c>
      <c r="M1342" t="s">
        <v>972</v>
      </c>
      <c r="N1342" t="s">
        <v>41</v>
      </c>
    </row>
    <row r="1343" spans="3:14" x14ac:dyDescent="0.3">
      <c r="C1343" t="s">
        <v>41</v>
      </c>
      <c r="D1343" t="s">
        <v>41</v>
      </c>
      <c r="K1343">
        <v>0</v>
      </c>
      <c r="L1343" t="s">
        <v>41</v>
      </c>
      <c r="M1343" t="s">
        <v>972</v>
      </c>
      <c r="N1343" t="s">
        <v>41</v>
      </c>
    </row>
    <row r="1344" spans="3:14" x14ac:dyDescent="0.3">
      <c r="C1344" t="s">
        <v>41</v>
      </c>
      <c r="D1344" t="s">
        <v>41</v>
      </c>
      <c r="K1344">
        <v>0</v>
      </c>
      <c r="L1344" t="s">
        <v>41</v>
      </c>
      <c r="M1344" t="s">
        <v>972</v>
      </c>
      <c r="N1344" t="s">
        <v>41</v>
      </c>
    </row>
    <row r="1345" spans="3:14" x14ac:dyDescent="0.3">
      <c r="C1345" t="s">
        <v>41</v>
      </c>
      <c r="D1345" t="s">
        <v>41</v>
      </c>
      <c r="K1345">
        <v>0</v>
      </c>
      <c r="L1345" t="s">
        <v>41</v>
      </c>
      <c r="M1345" t="s">
        <v>972</v>
      </c>
      <c r="N1345" t="s">
        <v>41</v>
      </c>
    </row>
    <row r="1346" spans="3:14" x14ac:dyDescent="0.3">
      <c r="C1346" t="s">
        <v>41</v>
      </c>
      <c r="D1346" t="s">
        <v>41</v>
      </c>
      <c r="K1346">
        <v>0</v>
      </c>
      <c r="L1346" t="s">
        <v>41</v>
      </c>
      <c r="M1346" t="s">
        <v>972</v>
      </c>
      <c r="N1346" t="s">
        <v>41</v>
      </c>
    </row>
    <row r="1347" spans="3:14" x14ac:dyDescent="0.3">
      <c r="C1347" t="s">
        <v>41</v>
      </c>
      <c r="D1347" t="s">
        <v>41</v>
      </c>
      <c r="K1347">
        <v>0</v>
      </c>
      <c r="L1347" t="s">
        <v>41</v>
      </c>
      <c r="M1347" t="s">
        <v>972</v>
      </c>
      <c r="N1347" t="s">
        <v>41</v>
      </c>
    </row>
    <row r="1348" spans="3:14" x14ac:dyDescent="0.3">
      <c r="C1348" t="s">
        <v>41</v>
      </c>
      <c r="D1348" t="s">
        <v>41</v>
      </c>
      <c r="K1348">
        <v>0</v>
      </c>
      <c r="L1348" t="s">
        <v>41</v>
      </c>
      <c r="M1348" t="s">
        <v>972</v>
      </c>
      <c r="N1348" t="s">
        <v>41</v>
      </c>
    </row>
    <row r="1349" spans="3:14" x14ac:dyDescent="0.3">
      <c r="C1349" t="s">
        <v>41</v>
      </c>
      <c r="D1349" t="s">
        <v>41</v>
      </c>
      <c r="K1349">
        <v>0</v>
      </c>
      <c r="L1349" t="s">
        <v>41</v>
      </c>
      <c r="M1349" t="s">
        <v>972</v>
      </c>
      <c r="N1349" t="s">
        <v>41</v>
      </c>
    </row>
    <row r="1350" spans="3:14" x14ac:dyDescent="0.3">
      <c r="C1350" t="s">
        <v>41</v>
      </c>
      <c r="D1350" t="s">
        <v>41</v>
      </c>
      <c r="K1350">
        <v>0</v>
      </c>
      <c r="L1350" t="s">
        <v>41</v>
      </c>
      <c r="M1350" t="s">
        <v>972</v>
      </c>
      <c r="N1350" t="s">
        <v>41</v>
      </c>
    </row>
    <row r="1351" spans="3:14" x14ac:dyDescent="0.3">
      <c r="C1351" t="s">
        <v>41</v>
      </c>
      <c r="D1351" t="s">
        <v>41</v>
      </c>
      <c r="K1351">
        <v>0</v>
      </c>
      <c r="L1351" t="s">
        <v>41</v>
      </c>
      <c r="M1351" t="s">
        <v>972</v>
      </c>
      <c r="N1351" t="s">
        <v>41</v>
      </c>
    </row>
    <row r="1352" spans="3:14" x14ac:dyDescent="0.3">
      <c r="C1352" t="s">
        <v>41</v>
      </c>
      <c r="D1352" t="s">
        <v>41</v>
      </c>
      <c r="K1352">
        <v>0</v>
      </c>
      <c r="L1352" t="s">
        <v>41</v>
      </c>
      <c r="M1352" t="s">
        <v>972</v>
      </c>
      <c r="N1352" t="s">
        <v>41</v>
      </c>
    </row>
    <row r="1353" spans="3:14" x14ac:dyDescent="0.3">
      <c r="C1353" t="s">
        <v>41</v>
      </c>
      <c r="D1353" t="s">
        <v>41</v>
      </c>
      <c r="K1353">
        <v>0</v>
      </c>
      <c r="L1353" t="s">
        <v>41</v>
      </c>
      <c r="M1353" t="s">
        <v>972</v>
      </c>
      <c r="N1353" t="s">
        <v>41</v>
      </c>
    </row>
    <row r="1354" spans="3:14" x14ac:dyDescent="0.3">
      <c r="C1354" t="s">
        <v>41</v>
      </c>
      <c r="D1354" t="s">
        <v>41</v>
      </c>
      <c r="K1354">
        <v>0</v>
      </c>
      <c r="L1354" t="s">
        <v>41</v>
      </c>
      <c r="M1354" t="s">
        <v>972</v>
      </c>
      <c r="N1354" t="s">
        <v>41</v>
      </c>
    </row>
    <row r="1355" spans="3:14" x14ac:dyDescent="0.3">
      <c r="C1355" t="s">
        <v>41</v>
      </c>
      <c r="D1355" t="s">
        <v>41</v>
      </c>
      <c r="K1355">
        <v>0</v>
      </c>
      <c r="L1355" t="s">
        <v>41</v>
      </c>
      <c r="M1355" t="s">
        <v>972</v>
      </c>
      <c r="N1355" t="s">
        <v>41</v>
      </c>
    </row>
    <row r="1356" spans="3:14" x14ac:dyDescent="0.3">
      <c r="C1356" t="s">
        <v>41</v>
      </c>
      <c r="D1356" t="s">
        <v>41</v>
      </c>
      <c r="K1356">
        <v>0</v>
      </c>
      <c r="L1356" t="s">
        <v>41</v>
      </c>
      <c r="M1356" t="s">
        <v>972</v>
      </c>
      <c r="N1356" t="s">
        <v>41</v>
      </c>
    </row>
    <row r="1357" spans="3:14" x14ac:dyDescent="0.3">
      <c r="C1357" t="s">
        <v>41</v>
      </c>
      <c r="D1357" t="s">
        <v>41</v>
      </c>
      <c r="K1357">
        <v>0</v>
      </c>
      <c r="L1357" t="s">
        <v>41</v>
      </c>
      <c r="M1357" t="s">
        <v>972</v>
      </c>
      <c r="N1357" t="s">
        <v>41</v>
      </c>
    </row>
    <row r="1358" spans="3:14" x14ac:dyDescent="0.3">
      <c r="C1358" t="s">
        <v>41</v>
      </c>
      <c r="D1358" t="s">
        <v>41</v>
      </c>
      <c r="K1358">
        <v>0</v>
      </c>
      <c r="L1358" t="s">
        <v>41</v>
      </c>
      <c r="M1358" t="s">
        <v>972</v>
      </c>
      <c r="N1358" t="s">
        <v>41</v>
      </c>
    </row>
    <row r="1359" spans="3:14" x14ac:dyDescent="0.3">
      <c r="C1359" t="s">
        <v>41</v>
      </c>
      <c r="D1359" t="s">
        <v>41</v>
      </c>
      <c r="K1359">
        <v>0</v>
      </c>
      <c r="L1359" t="s">
        <v>41</v>
      </c>
      <c r="M1359" t="s">
        <v>972</v>
      </c>
      <c r="N1359" t="s">
        <v>41</v>
      </c>
    </row>
    <row r="1360" spans="3:14" x14ac:dyDescent="0.3">
      <c r="C1360" t="s">
        <v>41</v>
      </c>
      <c r="D1360" t="s">
        <v>41</v>
      </c>
      <c r="K1360">
        <v>0</v>
      </c>
      <c r="L1360" t="s">
        <v>41</v>
      </c>
      <c r="M1360" t="s">
        <v>972</v>
      </c>
      <c r="N1360" t="s">
        <v>41</v>
      </c>
    </row>
    <row r="1361" spans="3:14" x14ac:dyDescent="0.3">
      <c r="C1361" t="s">
        <v>41</v>
      </c>
      <c r="D1361" t="s">
        <v>41</v>
      </c>
      <c r="K1361">
        <v>0</v>
      </c>
      <c r="L1361" t="s">
        <v>41</v>
      </c>
      <c r="M1361" t="s">
        <v>972</v>
      </c>
      <c r="N1361" t="s">
        <v>41</v>
      </c>
    </row>
    <row r="1362" spans="3:14" x14ac:dyDescent="0.3">
      <c r="C1362" t="s">
        <v>41</v>
      </c>
      <c r="D1362" t="s">
        <v>41</v>
      </c>
      <c r="K1362">
        <v>0</v>
      </c>
      <c r="L1362" t="s">
        <v>41</v>
      </c>
      <c r="M1362" t="s">
        <v>972</v>
      </c>
      <c r="N1362" t="s">
        <v>41</v>
      </c>
    </row>
    <row r="1363" spans="3:14" x14ac:dyDescent="0.3">
      <c r="C1363" t="s">
        <v>41</v>
      </c>
      <c r="D1363" t="s">
        <v>41</v>
      </c>
      <c r="K1363">
        <v>0</v>
      </c>
      <c r="L1363" t="s">
        <v>41</v>
      </c>
      <c r="M1363" t="s">
        <v>972</v>
      </c>
      <c r="N1363" t="s">
        <v>41</v>
      </c>
    </row>
    <row r="1364" spans="3:14" x14ac:dyDescent="0.3">
      <c r="C1364" t="s">
        <v>41</v>
      </c>
      <c r="D1364" t="s">
        <v>41</v>
      </c>
      <c r="K1364">
        <v>0</v>
      </c>
      <c r="L1364" t="s">
        <v>41</v>
      </c>
      <c r="M1364" t="s">
        <v>972</v>
      </c>
      <c r="N1364" t="s">
        <v>41</v>
      </c>
    </row>
    <row r="1365" spans="3:14" x14ac:dyDescent="0.3">
      <c r="C1365" t="s">
        <v>41</v>
      </c>
      <c r="D1365" t="s">
        <v>41</v>
      </c>
      <c r="K1365">
        <v>0</v>
      </c>
      <c r="L1365" t="s">
        <v>41</v>
      </c>
      <c r="M1365" t="s">
        <v>972</v>
      </c>
      <c r="N1365" t="s">
        <v>41</v>
      </c>
    </row>
    <row r="1366" spans="3:14" x14ac:dyDescent="0.3">
      <c r="C1366" t="s">
        <v>41</v>
      </c>
      <c r="D1366" t="s">
        <v>41</v>
      </c>
      <c r="K1366">
        <v>0</v>
      </c>
      <c r="L1366" t="s">
        <v>41</v>
      </c>
      <c r="M1366" t="s">
        <v>972</v>
      </c>
      <c r="N1366" t="s">
        <v>41</v>
      </c>
    </row>
    <row r="1367" spans="3:14" x14ac:dyDescent="0.3">
      <c r="C1367" t="s">
        <v>41</v>
      </c>
      <c r="D1367" t="s">
        <v>41</v>
      </c>
      <c r="K1367">
        <v>0</v>
      </c>
      <c r="L1367" t="s">
        <v>41</v>
      </c>
      <c r="M1367" t="s">
        <v>972</v>
      </c>
      <c r="N1367" t="s">
        <v>41</v>
      </c>
    </row>
    <row r="1368" spans="3:14" x14ac:dyDescent="0.3">
      <c r="C1368" t="s">
        <v>41</v>
      </c>
      <c r="D1368" t="s">
        <v>41</v>
      </c>
      <c r="K1368">
        <v>0</v>
      </c>
      <c r="L1368" t="s">
        <v>41</v>
      </c>
      <c r="M1368" t="s">
        <v>972</v>
      </c>
      <c r="N1368" t="s">
        <v>41</v>
      </c>
    </row>
    <row r="1369" spans="3:14" x14ac:dyDescent="0.3">
      <c r="C1369" t="s">
        <v>41</v>
      </c>
      <c r="D1369" t="s">
        <v>41</v>
      </c>
      <c r="K1369">
        <v>0</v>
      </c>
      <c r="L1369" t="s">
        <v>41</v>
      </c>
      <c r="M1369" t="s">
        <v>972</v>
      </c>
      <c r="N1369" t="s">
        <v>41</v>
      </c>
    </row>
    <row r="1370" spans="3:14" x14ac:dyDescent="0.3">
      <c r="C1370" t="s">
        <v>41</v>
      </c>
      <c r="D1370" t="s">
        <v>41</v>
      </c>
      <c r="K1370">
        <v>0</v>
      </c>
      <c r="L1370" t="s">
        <v>41</v>
      </c>
      <c r="M1370" t="s">
        <v>972</v>
      </c>
      <c r="N1370" t="s">
        <v>41</v>
      </c>
    </row>
    <row r="1371" spans="3:14" x14ac:dyDescent="0.3">
      <c r="C1371" t="s">
        <v>41</v>
      </c>
      <c r="D1371" t="s">
        <v>41</v>
      </c>
      <c r="K1371">
        <v>0</v>
      </c>
      <c r="L1371" t="s">
        <v>41</v>
      </c>
      <c r="M1371" t="s">
        <v>972</v>
      </c>
      <c r="N1371" t="s">
        <v>41</v>
      </c>
    </row>
    <row r="1372" spans="3:14" x14ac:dyDescent="0.3">
      <c r="C1372" t="s">
        <v>41</v>
      </c>
      <c r="D1372" t="s">
        <v>41</v>
      </c>
      <c r="K1372">
        <v>0</v>
      </c>
      <c r="L1372" t="s">
        <v>41</v>
      </c>
      <c r="M1372" t="s">
        <v>972</v>
      </c>
      <c r="N1372" t="s">
        <v>41</v>
      </c>
    </row>
    <row r="1373" spans="3:14" x14ac:dyDescent="0.3">
      <c r="C1373" t="s">
        <v>41</v>
      </c>
      <c r="D1373" t="s">
        <v>41</v>
      </c>
      <c r="K1373">
        <v>0</v>
      </c>
      <c r="L1373" t="s">
        <v>41</v>
      </c>
      <c r="M1373" t="s">
        <v>972</v>
      </c>
      <c r="N1373" t="s">
        <v>41</v>
      </c>
    </row>
    <row r="1374" spans="3:14" x14ac:dyDescent="0.3">
      <c r="C1374" t="s">
        <v>41</v>
      </c>
      <c r="D1374" t="s">
        <v>41</v>
      </c>
      <c r="K1374">
        <v>0</v>
      </c>
      <c r="L1374" t="s">
        <v>41</v>
      </c>
      <c r="M1374" t="s">
        <v>972</v>
      </c>
      <c r="N1374" t="s">
        <v>41</v>
      </c>
    </row>
    <row r="1375" spans="3:14" x14ac:dyDescent="0.3">
      <c r="C1375" t="s">
        <v>41</v>
      </c>
      <c r="D1375" t="s">
        <v>41</v>
      </c>
      <c r="K1375">
        <v>0</v>
      </c>
      <c r="L1375" t="s">
        <v>41</v>
      </c>
      <c r="M1375" t="s">
        <v>972</v>
      </c>
      <c r="N1375" t="s">
        <v>41</v>
      </c>
    </row>
    <row r="1376" spans="3:14" x14ac:dyDescent="0.3">
      <c r="C1376" t="s">
        <v>41</v>
      </c>
      <c r="D1376" t="s">
        <v>41</v>
      </c>
      <c r="K1376">
        <v>0</v>
      </c>
      <c r="L1376" t="s">
        <v>41</v>
      </c>
      <c r="M1376" t="s">
        <v>972</v>
      </c>
      <c r="N1376" t="s">
        <v>41</v>
      </c>
    </row>
    <row r="1377" spans="3:14" x14ac:dyDescent="0.3">
      <c r="C1377" t="s">
        <v>41</v>
      </c>
      <c r="D1377" t="s">
        <v>41</v>
      </c>
      <c r="K1377">
        <v>0</v>
      </c>
      <c r="L1377" t="s">
        <v>41</v>
      </c>
      <c r="M1377" t="s">
        <v>972</v>
      </c>
      <c r="N1377" t="s">
        <v>41</v>
      </c>
    </row>
    <row r="1378" spans="3:14" x14ac:dyDescent="0.3">
      <c r="C1378" t="s">
        <v>41</v>
      </c>
      <c r="D1378" t="s">
        <v>41</v>
      </c>
      <c r="K1378">
        <v>0</v>
      </c>
      <c r="L1378" t="s">
        <v>41</v>
      </c>
      <c r="M1378" t="s">
        <v>972</v>
      </c>
      <c r="N1378" t="s">
        <v>41</v>
      </c>
    </row>
    <row r="1379" spans="3:14" x14ac:dyDescent="0.3">
      <c r="C1379" t="s">
        <v>41</v>
      </c>
      <c r="D1379" t="s">
        <v>41</v>
      </c>
      <c r="K1379">
        <v>0</v>
      </c>
      <c r="L1379" t="s">
        <v>41</v>
      </c>
      <c r="M1379" t="s">
        <v>972</v>
      </c>
      <c r="N1379" t="s">
        <v>41</v>
      </c>
    </row>
    <row r="1380" spans="3:14" x14ac:dyDescent="0.3">
      <c r="C1380" t="s">
        <v>41</v>
      </c>
      <c r="D1380" t="s">
        <v>41</v>
      </c>
      <c r="K1380">
        <v>0</v>
      </c>
      <c r="L1380" t="s">
        <v>41</v>
      </c>
      <c r="M1380" t="s">
        <v>972</v>
      </c>
      <c r="N1380" t="s">
        <v>41</v>
      </c>
    </row>
    <row r="1381" spans="3:14" x14ac:dyDescent="0.3">
      <c r="C1381" t="s">
        <v>41</v>
      </c>
      <c r="D1381" t="s">
        <v>41</v>
      </c>
      <c r="K1381">
        <v>0</v>
      </c>
      <c r="L1381" t="s">
        <v>41</v>
      </c>
      <c r="M1381" t="s">
        <v>972</v>
      </c>
      <c r="N1381" t="s">
        <v>41</v>
      </c>
    </row>
    <row r="1382" spans="3:14" x14ac:dyDescent="0.3">
      <c r="C1382" t="s">
        <v>41</v>
      </c>
      <c r="D1382" t="s">
        <v>41</v>
      </c>
      <c r="K1382">
        <v>0</v>
      </c>
      <c r="L1382" t="s">
        <v>41</v>
      </c>
      <c r="M1382" t="s">
        <v>972</v>
      </c>
      <c r="N1382" t="s">
        <v>41</v>
      </c>
    </row>
    <row r="1383" spans="3:14" x14ac:dyDescent="0.3">
      <c r="C1383" t="s">
        <v>41</v>
      </c>
      <c r="D1383" t="s">
        <v>41</v>
      </c>
      <c r="K1383">
        <v>0</v>
      </c>
      <c r="L1383" t="s">
        <v>41</v>
      </c>
      <c r="M1383" t="s">
        <v>972</v>
      </c>
      <c r="N1383" t="s">
        <v>41</v>
      </c>
    </row>
    <row r="1384" spans="3:14" x14ac:dyDescent="0.3">
      <c r="C1384" t="s">
        <v>41</v>
      </c>
      <c r="D1384" t="s">
        <v>41</v>
      </c>
      <c r="K1384">
        <v>0</v>
      </c>
      <c r="L1384" t="s">
        <v>41</v>
      </c>
      <c r="M1384" t="s">
        <v>972</v>
      </c>
      <c r="N1384" t="s">
        <v>41</v>
      </c>
    </row>
    <row r="1385" spans="3:14" x14ac:dyDescent="0.3">
      <c r="C1385" t="s">
        <v>41</v>
      </c>
      <c r="D1385" t="s">
        <v>41</v>
      </c>
      <c r="K1385">
        <v>0</v>
      </c>
      <c r="L1385" t="s">
        <v>41</v>
      </c>
      <c r="M1385" t="s">
        <v>972</v>
      </c>
      <c r="N1385" t="s">
        <v>41</v>
      </c>
    </row>
    <row r="1386" spans="3:14" x14ac:dyDescent="0.3">
      <c r="C1386" t="s">
        <v>41</v>
      </c>
      <c r="D1386" t="s">
        <v>41</v>
      </c>
      <c r="K1386">
        <v>0</v>
      </c>
      <c r="L1386" t="s">
        <v>41</v>
      </c>
      <c r="M1386" t="s">
        <v>972</v>
      </c>
      <c r="N1386" t="s">
        <v>41</v>
      </c>
    </row>
    <row r="1387" spans="3:14" x14ac:dyDescent="0.3">
      <c r="C1387" t="s">
        <v>41</v>
      </c>
      <c r="D1387" t="s">
        <v>41</v>
      </c>
      <c r="K1387">
        <v>0</v>
      </c>
      <c r="L1387" t="s">
        <v>41</v>
      </c>
      <c r="M1387" t="s">
        <v>972</v>
      </c>
      <c r="N1387" t="s">
        <v>41</v>
      </c>
    </row>
    <row r="1388" spans="3:14" x14ac:dyDescent="0.3">
      <c r="C1388" t="s">
        <v>41</v>
      </c>
      <c r="D1388" t="s">
        <v>41</v>
      </c>
      <c r="K1388">
        <v>0</v>
      </c>
      <c r="L1388" t="s">
        <v>41</v>
      </c>
      <c r="M1388" t="s">
        <v>972</v>
      </c>
      <c r="N1388" t="s">
        <v>41</v>
      </c>
    </row>
    <row r="1389" spans="3:14" x14ac:dyDescent="0.3">
      <c r="C1389" t="s">
        <v>41</v>
      </c>
      <c r="D1389" t="s">
        <v>41</v>
      </c>
      <c r="K1389">
        <v>0</v>
      </c>
      <c r="L1389" t="s">
        <v>41</v>
      </c>
      <c r="M1389" t="s">
        <v>972</v>
      </c>
      <c r="N1389" t="s">
        <v>41</v>
      </c>
    </row>
    <row r="1390" spans="3:14" x14ac:dyDescent="0.3">
      <c r="C1390" t="s">
        <v>41</v>
      </c>
      <c r="D1390" t="s">
        <v>41</v>
      </c>
      <c r="K1390">
        <v>0</v>
      </c>
      <c r="L1390" t="s">
        <v>41</v>
      </c>
      <c r="M1390" t="s">
        <v>972</v>
      </c>
      <c r="N1390" t="s">
        <v>41</v>
      </c>
    </row>
    <row r="1391" spans="3:14" x14ac:dyDescent="0.3">
      <c r="C1391" t="s">
        <v>41</v>
      </c>
      <c r="D1391" t="s">
        <v>41</v>
      </c>
      <c r="K1391">
        <v>0</v>
      </c>
      <c r="L1391" t="s">
        <v>41</v>
      </c>
      <c r="M1391" t="s">
        <v>972</v>
      </c>
      <c r="N1391" t="s">
        <v>41</v>
      </c>
    </row>
    <row r="1392" spans="3:14" x14ac:dyDescent="0.3">
      <c r="C1392" t="s">
        <v>41</v>
      </c>
      <c r="D1392" t="s">
        <v>41</v>
      </c>
      <c r="K1392">
        <v>0</v>
      </c>
      <c r="L1392" t="s">
        <v>41</v>
      </c>
      <c r="M1392" t="s">
        <v>972</v>
      </c>
      <c r="N1392" t="s">
        <v>41</v>
      </c>
    </row>
    <row r="1393" spans="3:14" x14ac:dyDescent="0.3">
      <c r="C1393" t="s">
        <v>41</v>
      </c>
      <c r="D1393" t="s">
        <v>41</v>
      </c>
      <c r="K1393">
        <v>0</v>
      </c>
      <c r="L1393" t="s">
        <v>41</v>
      </c>
      <c r="M1393" t="s">
        <v>972</v>
      </c>
      <c r="N1393" t="s">
        <v>41</v>
      </c>
    </row>
    <row r="1394" spans="3:14" x14ac:dyDescent="0.3">
      <c r="C1394" t="s">
        <v>41</v>
      </c>
      <c r="D1394" t="s">
        <v>41</v>
      </c>
      <c r="K1394">
        <v>0</v>
      </c>
      <c r="L1394" t="s">
        <v>41</v>
      </c>
      <c r="M1394" t="s">
        <v>972</v>
      </c>
      <c r="N1394" t="s">
        <v>41</v>
      </c>
    </row>
    <row r="1395" spans="3:14" x14ac:dyDescent="0.3">
      <c r="C1395" t="s">
        <v>41</v>
      </c>
      <c r="D1395" t="s">
        <v>41</v>
      </c>
      <c r="K1395">
        <v>0</v>
      </c>
      <c r="L1395" t="s">
        <v>41</v>
      </c>
      <c r="M1395" t="s">
        <v>972</v>
      </c>
      <c r="N1395" t="s">
        <v>41</v>
      </c>
    </row>
    <row r="1396" spans="3:14" x14ac:dyDescent="0.3">
      <c r="C1396" t="s">
        <v>41</v>
      </c>
      <c r="D1396" t="s">
        <v>41</v>
      </c>
      <c r="K1396">
        <v>0</v>
      </c>
      <c r="L1396" t="s">
        <v>41</v>
      </c>
      <c r="M1396" t="s">
        <v>972</v>
      </c>
      <c r="N1396" t="s">
        <v>41</v>
      </c>
    </row>
    <row r="1397" spans="3:14" x14ac:dyDescent="0.3">
      <c r="C1397" t="s">
        <v>41</v>
      </c>
      <c r="D1397" t="s">
        <v>41</v>
      </c>
      <c r="K1397">
        <v>0</v>
      </c>
      <c r="L1397" t="s">
        <v>41</v>
      </c>
      <c r="M1397" t="s">
        <v>972</v>
      </c>
      <c r="N1397" t="s">
        <v>41</v>
      </c>
    </row>
    <row r="1398" spans="3:14" x14ac:dyDescent="0.3">
      <c r="C1398" t="s">
        <v>41</v>
      </c>
      <c r="D1398" t="s">
        <v>41</v>
      </c>
      <c r="K1398">
        <v>0</v>
      </c>
      <c r="L1398" t="s">
        <v>41</v>
      </c>
      <c r="M1398" t="s">
        <v>972</v>
      </c>
      <c r="N1398" t="s">
        <v>41</v>
      </c>
    </row>
    <row r="1399" spans="3:14" x14ac:dyDescent="0.3">
      <c r="C1399" t="s">
        <v>41</v>
      </c>
      <c r="D1399" t="s">
        <v>41</v>
      </c>
      <c r="K1399">
        <v>0</v>
      </c>
      <c r="L1399" t="s">
        <v>41</v>
      </c>
      <c r="M1399" t="s">
        <v>972</v>
      </c>
      <c r="N1399" t="s">
        <v>41</v>
      </c>
    </row>
    <row r="1400" spans="3:14" x14ac:dyDescent="0.3">
      <c r="C1400" t="s">
        <v>41</v>
      </c>
      <c r="D1400" t="s">
        <v>41</v>
      </c>
      <c r="K1400">
        <v>0</v>
      </c>
      <c r="L1400" t="s">
        <v>41</v>
      </c>
      <c r="M1400" t="s">
        <v>972</v>
      </c>
      <c r="N1400" t="s">
        <v>41</v>
      </c>
    </row>
    <row r="1401" spans="3:14" x14ac:dyDescent="0.3">
      <c r="C1401" t="s">
        <v>41</v>
      </c>
      <c r="D1401" t="s">
        <v>41</v>
      </c>
      <c r="K1401">
        <v>0</v>
      </c>
      <c r="L1401" t="s">
        <v>41</v>
      </c>
      <c r="M1401" t="s">
        <v>972</v>
      </c>
      <c r="N1401" t="s">
        <v>41</v>
      </c>
    </row>
    <row r="1402" spans="3:14" x14ac:dyDescent="0.3">
      <c r="C1402" t="s">
        <v>41</v>
      </c>
      <c r="D1402" t="s">
        <v>41</v>
      </c>
      <c r="K1402">
        <v>0</v>
      </c>
      <c r="L1402" t="s">
        <v>41</v>
      </c>
      <c r="M1402" t="s">
        <v>972</v>
      </c>
      <c r="N1402" t="s">
        <v>41</v>
      </c>
    </row>
    <row r="1403" spans="3:14" x14ac:dyDescent="0.3">
      <c r="C1403" t="s">
        <v>41</v>
      </c>
      <c r="D1403" t="s">
        <v>41</v>
      </c>
      <c r="K1403">
        <v>0</v>
      </c>
      <c r="L1403" t="s">
        <v>41</v>
      </c>
      <c r="M1403" t="s">
        <v>972</v>
      </c>
      <c r="N1403" t="s">
        <v>41</v>
      </c>
    </row>
    <row r="1404" spans="3:14" x14ac:dyDescent="0.3">
      <c r="C1404" t="s">
        <v>41</v>
      </c>
      <c r="D1404" t="s">
        <v>41</v>
      </c>
      <c r="K1404">
        <v>0</v>
      </c>
      <c r="L1404" t="s">
        <v>41</v>
      </c>
      <c r="M1404" t="s">
        <v>972</v>
      </c>
      <c r="N1404" t="s">
        <v>41</v>
      </c>
    </row>
    <row r="1405" spans="3:14" x14ac:dyDescent="0.3">
      <c r="C1405" t="s">
        <v>41</v>
      </c>
      <c r="D1405" t="s">
        <v>41</v>
      </c>
      <c r="K1405">
        <v>0</v>
      </c>
      <c r="L1405" t="s">
        <v>41</v>
      </c>
      <c r="M1405" t="s">
        <v>972</v>
      </c>
      <c r="N1405" t="s">
        <v>41</v>
      </c>
    </row>
    <row r="1406" spans="3:14" x14ac:dyDescent="0.3">
      <c r="C1406" t="s">
        <v>41</v>
      </c>
      <c r="D1406" t="s">
        <v>41</v>
      </c>
      <c r="K1406">
        <v>0</v>
      </c>
      <c r="L1406" t="s">
        <v>41</v>
      </c>
      <c r="M1406" t="s">
        <v>972</v>
      </c>
      <c r="N1406" t="s">
        <v>41</v>
      </c>
    </row>
    <row r="1407" spans="3:14" x14ac:dyDescent="0.3">
      <c r="C1407" t="s">
        <v>41</v>
      </c>
      <c r="D1407" t="s">
        <v>41</v>
      </c>
      <c r="K1407">
        <v>0</v>
      </c>
      <c r="L1407" t="s">
        <v>41</v>
      </c>
      <c r="M1407" t="s">
        <v>972</v>
      </c>
      <c r="N1407" t="s">
        <v>41</v>
      </c>
    </row>
    <row r="1408" spans="3:14" x14ac:dyDescent="0.3">
      <c r="C1408" t="s">
        <v>41</v>
      </c>
      <c r="D1408" t="s">
        <v>41</v>
      </c>
      <c r="K1408">
        <v>0</v>
      </c>
      <c r="L1408" t="s">
        <v>41</v>
      </c>
      <c r="M1408" t="s">
        <v>972</v>
      </c>
      <c r="N1408" t="s">
        <v>41</v>
      </c>
    </row>
    <row r="1409" spans="3:14" x14ac:dyDescent="0.3">
      <c r="C1409" t="s">
        <v>41</v>
      </c>
      <c r="D1409" t="s">
        <v>41</v>
      </c>
      <c r="K1409">
        <v>0</v>
      </c>
      <c r="L1409" t="s">
        <v>41</v>
      </c>
      <c r="M1409" t="s">
        <v>972</v>
      </c>
      <c r="N1409" t="s">
        <v>41</v>
      </c>
    </row>
    <row r="1410" spans="3:14" x14ac:dyDescent="0.3">
      <c r="C1410" t="s">
        <v>41</v>
      </c>
      <c r="D1410" t="s">
        <v>41</v>
      </c>
      <c r="K1410">
        <v>0</v>
      </c>
      <c r="L1410" t="s">
        <v>41</v>
      </c>
      <c r="M1410" t="s">
        <v>972</v>
      </c>
      <c r="N1410" t="s">
        <v>41</v>
      </c>
    </row>
    <row r="1411" spans="3:14" x14ac:dyDescent="0.3">
      <c r="C1411" t="s">
        <v>41</v>
      </c>
      <c r="D1411" t="s">
        <v>41</v>
      </c>
      <c r="K1411">
        <v>0</v>
      </c>
      <c r="L1411" t="s">
        <v>41</v>
      </c>
      <c r="M1411" t="s">
        <v>972</v>
      </c>
      <c r="N1411" t="s">
        <v>41</v>
      </c>
    </row>
    <row r="1412" spans="3:14" x14ac:dyDescent="0.3">
      <c r="C1412" t="s">
        <v>41</v>
      </c>
      <c r="D1412" t="s">
        <v>41</v>
      </c>
      <c r="K1412">
        <v>0</v>
      </c>
      <c r="L1412" t="s">
        <v>41</v>
      </c>
      <c r="M1412" t="s">
        <v>972</v>
      </c>
      <c r="N1412" t="s">
        <v>41</v>
      </c>
    </row>
    <row r="1413" spans="3:14" x14ac:dyDescent="0.3">
      <c r="C1413" t="s">
        <v>41</v>
      </c>
      <c r="D1413" t="s">
        <v>41</v>
      </c>
      <c r="K1413">
        <v>0</v>
      </c>
      <c r="L1413" t="s">
        <v>41</v>
      </c>
      <c r="M1413" t="s">
        <v>972</v>
      </c>
      <c r="N1413" t="s">
        <v>41</v>
      </c>
    </row>
    <row r="1414" spans="3:14" x14ac:dyDescent="0.3">
      <c r="C1414" t="s">
        <v>41</v>
      </c>
      <c r="D1414" t="s">
        <v>41</v>
      </c>
      <c r="K1414">
        <v>0</v>
      </c>
      <c r="L1414" t="s">
        <v>41</v>
      </c>
      <c r="M1414" t="s">
        <v>972</v>
      </c>
      <c r="N1414" t="s">
        <v>41</v>
      </c>
    </row>
    <row r="1415" spans="3:14" x14ac:dyDescent="0.3">
      <c r="C1415" t="s">
        <v>41</v>
      </c>
      <c r="D1415" t="s">
        <v>41</v>
      </c>
      <c r="K1415">
        <v>0</v>
      </c>
      <c r="L1415" t="s">
        <v>41</v>
      </c>
      <c r="M1415" t="s">
        <v>972</v>
      </c>
      <c r="N1415" t="s">
        <v>41</v>
      </c>
    </row>
    <row r="1416" spans="3:14" x14ac:dyDescent="0.3">
      <c r="C1416" t="s">
        <v>41</v>
      </c>
      <c r="D1416" t="s">
        <v>41</v>
      </c>
      <c r="K1416">
        <v>0</v>
      </c>
      <c r="L1416" t="s">
        <v>41</v>
      </c>
      <c r="M1416" t="s">
        <v>972</v>
      </c>
      <c r="N1416" t="s">
        <v>41</v>
      </c>
    </row>
    <row r="1417" spans="3:14" x14ac:dyDescent="0.3">
      <c r="C1417" t="s">
        <v>41</v>
      </c>
      <c r="D1417" t="s">
        <v>41</v>
      </c>
      <c r="K1417">
        <v>0</v>
      </c>
      <c r="L1417" t="s">
        <v>41</v>
      </c>
      <c r="M1417" t="s">
        <v>972</v>
      </c>
      <c r="N1417" t="s">
        <v>41</v>
      </c>
    </row>
    <row r="1418" spans="3:14" x14ac:dyDescent="0.3">
      <c r="C1418" t="s">
        <v>41</v>
      </c>
      <c r="D1418" t="s">
        <v>41</v>
      </c>
      <c r="K1418">
        <v>0</v>
      </c>
      <c r="L1418" t="s">
        <v>41</v>
      </c>
      <c r="M1418" t="s">
        <v>972</v>
      </c>
      <c r="N1418" t="s">
        <v>41</v>
      </c>
    </row>
    <row r="1419" spans="3:14" x14ac:dyDescent="0.3">
      <c r="C1419" t="s">
        <v>41</v>
      </c>
      <c r="D1419" t="s">
        <v>41</v>
      </c>
      <c r="K1419">
        <v>0</v>
      </c>
      <c r="L1419" t="s">
        <v>41</v>
      </c>
      <c r="M1419" t="s">
        <v>972</v>
      </c>
      <c r="N1419" t="s">
        <v>41</v>
      </c>
    </row>
    <row r="1420" spans="3:14" x14ac:dyDescent="0.3">
      <c r="C1420" t="s">
        <v>41</v>
      </c>
      <c r="D1420" t="s">
        <v>41</v>
      </c>
      <c r="K1420">
        <v>0</v>
      </c>
      <c r="L1420" t="s">
        <v>41</v>
      </c>
      <c r="M1420" t="s">
        <v>972</v>
      </c>
      <c r="N1420" t="s">
        <v>41</v>
      </c>
    </row>
    <row r="1421" spans="3:14" x14ac:dyDescent="0.3">
      <c r="C1421" t="s">
        <v>41</v>
      </c>
      <c r="D1421" t="s">
        <v>41</v>
      </c>
      <c r="K1421">
        <v>0</v>
      </c>
      <c r="L1421" t="s">
        <v>41</v>
      </c>
      <c r="M1421" t="s">
        <v>972</v>
      </c>
      <c r="N1421" t="s">
        <v>41</v>
      </c>
    </row>
    <row r="1422" spans="3:14" x14ac:dyDescent="0.3">
      <c r="C1422" t="s">
        <v>41</v>
      </c>
      <c r="D1422" t="s">
        <v>41</v>
      </c>
      <c r="K1422">
        <v>0</v>
      </c>
      <c r="L1422" t="s">
        <v>41</v>
      </c>
      <c r="M1422" t="s">
        <v>972</v>
      </c>
      <c r="N1422" t="s">
        <v>41</v>
      </c>
    </row>
    <row r="1423" spans="3:14" x14ac:dyDescent="0.3">
      <c r="C1423" t="s">
        <v>41</v>
      </c>
      <c r="D1423" t="s">
        <v>41</v>
      </c>
      <c r="K1423">
        <v>0</v>
      </c>
      <c r="L1423" t="s">
        <v>41</v>
      </c>
      <c r="M1423" t="s">
        <v>972</v>
      </c>
      <c r="N1423" t="s">
        <v>41</v>
      </c>
    </row>
    <row r="1424" spans="3:14" x14ac:dyDescent="0.3">
      <c r="C1424" t="s">
        <v>41</v>
      </c>
      <c r="D1424" t="s">
        <v>41</v>
      </c>
      <c r="K1424">
        <v>0</v>
      </c>
      <c r="L1424" t="s">
        <v>41</v>
      </c>
      <c r="M1424" t="s">
        <v>972</v>
      </c>
      <c r="N1424" t="s">
        <v>41</v>
      </c>
    </row>
    <row r="1425" spans="3:14" x14ac:dyDescent="0.3">
      <c r="C1425" t="s">
        <v>41</v>
      </c>
      <c r="D1425" t="s">
        <v>41</v>
      </c>
      <c r="K1425">
        <v>0</v>
      </c>
      <c r="L1425" t="s">
        <v>41</v>
      </c>
      <c r="M1425" t="s">
        <v>972</v>
      </c>
      <c r="N1425" t="s">
        <v>41</v>
      </c>
    </row>
    <row r="1426" spans="3:14" x14ac:dyDescent="0.3">
      <c r="C1426" t="s">
        <v>41</v>
      </c>
      <c r="D1426" t="s">
        <v>41</v>
      </c>
      <c r="K1426">
        <v>0</v>
      </c>
      <c r="L1426" t="s">
        <v>41</v>
      </c>
      <c r="M1426" t="s">
        <v>972</v>
      </c>
      <c r="N1426" t="s">
        <v>41</v>
      </c>
    </row>
    <row r="1427" spans="3:14" x14ac:dyDescent="0.3">
      <c r="C1427" t="s">
        <v>41</v>
      </c>
      <c r="D1427" t="s">
        <v>41</v>
      </c>
      <c r="K1427">
        <v>0</v>
      </c>
      <c r="L1427" t="s">
        <v>41</v>
      </c>
      <c r="M1427" t="s">
        <v>972</v>
      </c>
      <c r="N1427" t="s">
        <v>41</v>
      </c>
    </row>
    <row r="1428" spans="3:14" x14ac:dyDescent="0.3">
      <c r="C1428" t="s">
        <v>41</v>
      </c>
      <c r="D1428" t="s">
        <v>41</v>
      </c>
      <c r="K1428">
        <v>0</v>
      </c>
      <c r="L1428" t="s">
        <v>41</v>
      </c>
      <c r="M1428" t="s">
        <v>972</v>
      </c>
      <c r="N1428" t="s">
        <v>41</v>
      </c>
    </row>
    <row r="1429" spans="3:14" x14ac:dyDescent="0.3">
      <c r="C1429" t="s">
        <v>41</v>
      </c>
      <c r="D1429" t="s">
        <v>41</v>
      </c>
      <c r="K1429">
        <v>0</v>
      </c>
      <c r="L1429" t="s">
        <v>41</v>
      </c>
      <c r="M1429" t="s">
        <v>972</v>
      </c>
      <c r="N1429" t="s">
        <v>41</v>
      </c>
    </row>
    <row r="1430" spans="3:14" x14ac:dyDescent="0.3">
      <c r="C1430" t="s">
        <v>41</v>
      </c>
      <c r="D1430" t="s">
        <v>41</v>
      </c>
      <c r="K1430">
        <v>0</v>
      </c>
      <c r="L1430" t="s">
        <v>41</v>
      </c>
      <c r="M1430" t="s">
        <v>972</v>
      </c>
      <c r="N1430" t="s">
        <v>41</v>
      </c>
    </row>
    <row r="1431" spans="3:14" x14ac:dyDescent="0.3">
      <c r="C1431" t="s">
        <v>41</v>
      </c>
      <c r="D1431" t="s">
        <v>41</v>
      </c>
      <c r="K1431">
        <v>0</v>
      </c>
      <c r="L1431" t="s">
        <v>41</v>
      </c>
      <c r="M1431" t="s">
        <v>972</v>
      </c>
      <c r="N1431" t="s">
        <v>41</v>
      </c>
    </row>
    <row r="1432" spans="3:14" x14ac:dyDescent="0.3">
      <c r="C1432" t="s">
        <v>41</v>
      </c>
      <c r="D1432" t="s">
        <v>41</v>
      </c>
      <c r="K1432">
        <v>0</v>
      </c>
      <c r="L1432" t="s">
        <v>41</v>
      </c>
      <c r="M1432" t="s">
        <v>972</v>
      </c>
      <c r="N1432" t="s">
        <v>41</v>
      </c>
    </row>
    <row r="1433" spans="3:14" x14ac:dyDescent="0.3">
      <c r="C1433" t="s">
        <v>41</v>
      </c>
      <c r="D1433" t="s">
        <v>41</v>
      </c>
      <c r="K1433">
        <v>0</v>
      </c>
      <c r="L1433" t="s">
        <v>41</v>
      </c>
      <c r="M1433" t="s">
        <v>972</v>
      </c>
      <c r="N1433" t="s">
        <v>41</v>
      </c>
    </row>
    <row r="1434" spans="3:14" x14ac:dyDescent="0.3">
      <c r="C1434" t="s">
        <v>41</v>
      </c>
      <c r="D1434" t="s">
        <v>41</v>
      </c>
      <c r="K1434">
        <v>0</v>
      </c>
      <c r="L1434" t="s">
        <v>41</v>
      </c>
      <c r="M1434" t="s">
        <v>972</v>
      </c>
      <c r="N1434" t="s">
        <v>41</v>
      </c>
    </row>
    <row r="1435" spans="3:14" x14ac:dyDescent="0.3">
      <c r="C1435" t="s">
        <v>41</v>
      </c>
      <c r="D1435" t="s">
        <v>41</v>
      </c>
      <c r="K1435">
        <v>0</v>
      </c>
      <c r="L1435" t="s">
        <v>41</v>
      </c>
      <c r="M1435" t="s">
        <v>972</v>
      </c>
      <c r="N1435" t="s">
        <v>41</v>
      </c>
    </row>
    <row r="1436" spans="3:14" x14ac:dyDescent="0.3">
      <c r="C1436" t="s">
        <v>41</v>
      </c>
      <c r="D1436" t="s">
        <v>41</v>
      </c>
      <c r="K1436">
        <v>0</v>
      </c>
      <c r="L1436" t="s">
        <v>41</v>
      </c>
      <c r="M1436" t="s">
        <v>972</v>
      </c>
      <c r="N1436" t="s">
        <v>41</v>
      </c>
    </row>
    <row r="1437" spans="3:14" x14ac:dyDescent="0.3">
      <c r="C1437" t="s">
        <v>41</v>
      </c>
      <c r="D1437" t="s">
        <v>41</v>
      </c>
      <c r="K1437">
        <v>0</v>
      </c>
      <c r="L1437" t="s">
        <v>41</v>
      </c>
      <c r="M1437" t="s">
        <v>972</v>
      </c>
      <c r="N1437" t="s">
        <v>41</v>
      </c>
    </row>
    <row r="1438" spans="3:14" x14ac:dyDescent="0.3">
      <c r="C1438" t="s">
        <v>41</v>
      </c>
      <c r="D1438" t="s">
        <v>41</v>
      </c>
      <c r="K1438">
        <v>0</v>
      </c>
      <c r="L1438" t="s">
        <v>41</v>
      </c>
      <c r="M1438" t="s">
        <v>972</v>
      </c>
      <c r="N1438" t="s">
        <v>41</v>
      </c>
    </row>
    <row r="1439" spans="3:14" x14ac:dyDescent="0.3">
      <c r="C1439" t="s">
        <v>41</v>
      </c>
      <c r="D1439" t="s">
        <v>41</v>
      </c>
      <c r="K1439">
        <v>0</v>
      </c>
      <c r="L1439" t="s">
        <v>41</v>
      </c>
      <c r="M1439" t="s">
        <v>972</v>
      </c>
      <c r="N1439" t="s">
        <v>41</v>
      </c>
    </row>
    <row r="1440" spans="3:14" x14ac:dyDescent="0.3">
      <c r="C1440" t="s">
        <v>41</v>
      </c>
      <c r="D1440" t="s">
        <v>41</v>
      </c>
      <c r="K1440">
        <v>0</v>
      </c>
      <c r="L1440" t="s">
        <v>41</v>
      </c>
      <c r="M1440" t="s">
        <v>972</v>
      </c>
      <c r="N1440" t="s">
        <v>41</v>
      </c>
    </row>
    <row r="1441" spans="3:14" x14ac:dyDescent="0.3">
      <c r="C1441" t="s">
        <v>41</v>
      </c>
      <c r="D1441" t="s">
        <v>41</v>
      </c>
      <c r="K1441">
        <v>0</v>
      </c>
      <c r="L1441" t="s">
        <v>41</v>
      </c>
      <c r="M1441" t="s">
        <v>972</v>
      </c>
      <c r="N1441" t="s">
        <v>41</v>
      </c>
    </row>
    <row r="1442" spans="3:14" x14ac:dyDescent="0.3">
      <c r="C1442" t="s">
        <v>41</v>
      </c>
      <c r="D1442" t="s">
        <v>41</v>
      </c>
      <c r="K1442">
        <v>0</v>
      </c>
      <c r="L1442" t="s">
        <v>41</v>
      </c>
      <c r="M1442" t="s">
        <v>972</v>
      </c>
      <c r="N1442" t="s">
        <v>41</v>
      </c>
    </row>
    <row r="1443" spans="3:14" x14ac:dyDescent="0.3">
      <c r="C1443" t="s">
        <v>41</v>
      </c>
      <c r="D1443" t="s">
        <v>41</v>
      </c>
      <c r="K1443">
        <v>0</v>
      </c>
      <c r="L1443" t="s">
        <v>41</v>
      </c>
      <c r="M1443" t="s">
        <v>972</v>
      </c>
      <c r="N1443" t="s">
        <v>41</v>
      </c>
    </row>
    <row r="1444" spans="3:14" x14ac:dyDescent="0.3">
      <c r="C1444" t="s">
        <v>41</v>
      </c>
      <c r="D1444" t="s">
        <v>41</v>
      </c>
      <c r="K1444">
        <v>0</v>
      </c>
      <c r="L1444" t="s">
        <v>41</v>
      </c>
      <c r="M1444" t="s">
        <v>972</v>
      </c>
      <c r="N1444" t="s">
        <v>41</v>
      </c>
    </row>
    <row r="1445" spans="3:14" x14ac:dyDescent="0.3">
      <c r="C1445" t="s">
        <v>41</v>
      </c>
      <c r="D1445" t="s">
        <v>41</v>
      </c>
      <c r="K1445">
        <v>0</v>
      </c>
      <c r="L1445" t="s">
        <v>41</v>
      </c>
      <c r="M1445" t="s">
        <v>972</v>
      </c>
      <c r="N1445" t="s">
        <v>41</v>
      </c>
    </row>
    <row r="1446" spans="3:14" x14ac:dyDescent="0.3">
      <c r="C1446" t="s">
        <v>41</v>
      </c>
      <c r="D1446" t="s">
        <v>41</v>
      </c>
      <c r="K1446">
        <v>0</v>
      </c>
      <c r="L1446" t="s">
        <v>41</v>
      </c>
      <c r="M1446" t="s">
        <v>972</v>
      </c>
      <c r="N1446" t="s">
        <v>41</v>
      </c>
    </row>
    <row r="1447" spans="3:14" x14ac:dyDescent="0.3">
      <c r="C1447" t="s">
        <v>41</v>
      </c>
      <c r="D1447" t="s">
        <v>41</v>
      </c>
      <c r="K1447">
        <v>0</v>
      </c>
      <c r="L1447" t="s">
        <v>41</v>
      </c>
      <c r="M1447" t="s">
        <v>972</v>
      </c>
      <c r="N1447" t="s">
        <v>41</v>
      </c>
    </row>
    <row r="1448" spans="3:14" x14ac:dyDescent="0.3">
      <c r="C1448" t="s">
        <v>41</v>
      </c>
      <c r="D1448" t="s">
        <v>41</v>
      </c>
      <c r="K1448">
        <v>0</v>
      </c>
      <c r="L1448" t="s">
        <v>41</v>
      </c>
      <c r="M1448" t="s">
        <v>972</v>
      </c>
      <c r="N1448" t="s">
        <v>41</v>
      </c>
    </row>
    <row r="1449" spans="3:14" x14ac:dyDescent="0.3">
      <c r="C1449" t="s">
        <v>41</v>
      </c>
      <c r="D1449" t="s">
        <v>41</v>
      </c>
      <c r="K1449">
        <v>0</v>
      </c>
      <c r="L1449" t="s">
        <v>41</v>
      </c>
      <c r="M1449" t="s">
        <v>972</v>
      </c>
      <c r="N1449" t="s">
        <v>41</v>
      </c>
    </row>
    <row r="1450" spans="3:14" x14ac:dyDescent="0.3">
      <c r="C1450" t="s">
        <v>41</v>
      </c>
      <c r="D1450" t="s">
        <v>41</v>
      </c>
      <c r="K1450">
        <v>0</v>
      </c>
      <c r="L1450" t="s">
        <v>41</v>
      </c>
      <c r="M1450" t="s">
        <v>972</v>
      </c>
      <c r="N1450" t="s">
        <v>41</v>
      </c>
    </row>
    <row r="1451" spans="3:14" x14ac:dyDescent="0.3">
      <c r="C1451" t="s">
        <v>41</v>
      </c>
      <c r="D1451" t="s">
        <v>41</v>
      </c>
      <c r="K1451">
        <v>0</v>
      </c>
      <c r="L1451" t="s">
        <v>41</v>
      </c>
      <c r="M1451" t="s">
        <v>972</v>
      </c>
      <c r="N1451" t="s">
        <v>41</v>
      </c>
    </row>
    <row r="1452" spans="3:14" x14ac:dyDescent="0.3">
      <c r="C1452" t="s">
        <v>41</v>
      </c>
      <c r="D1452" t="s">
        <v>41</v>
      </c>
      <c r="K1452">
        <v>0</v>
      </c>
      <c r="L1452" t="s">
        <v>41</v>
      </c>
      <c r="M1452" t="s">
        <v>972</v>
      </c>
      <c r="N1452" t="s">
        <v>41</v>
      </c>
    </row>
    <row r="1453" spans="3:14" x14ac:dyDescent="0.3">
      <c r="C1453" t="s">
        <v>41</v>
      </c>
      <c r="D1453" t="s">
        <v>41</v>
      </c>
      <c r="K1453">
        <v>0</v>
      </c>
      <c r="L1453" t="s">
        <v>41</v>
      </c>
      <c r="M1453" t="s">
        <v>972</v>
      </c>
      <c r="N1453" t="s">
        <v>41</v>
      </c>
    </row>
    <row r="1454" spans="3:14" x14ac:dyDescent="0.3">
      <c r="C1454" t="s">
        <v>41</v>
      </c>
      <c r="D1454" t="s">
        <v>41</v>
      </c>
      <c r="K1454">
        <v>0</v>
      </c>
      <c r="L1454" t="s">
        <v>41</v>
      </c>
      <c r="M1454" t="s">
        <v>972</v>
      </c>
      <c r="N1454" t="s">
        <v>41</v>
      </c>
    </row>
    <row r="1455" spans="3:14" x14ac:dyDescent="0.3">
      <c r="C1455" t="s">
        <v>41</v>
      </c>
      <c r="D1455" t="s">
        <v>41</v>
      </c>
      <c r="K1455">
        <v>0</v>
      </c>
      <c r="L1455" t="s">
        <v>41</v>
      </c>
      <c r="M1455" t="s">
        <v>972</v>
      </c>
      <c r="N1455" t="s">
        <v>41</v>
      </c>
    </row>
    <row r="1456" spans="3:14" x14ac:dyDescent="0.3">
      <c r="C1456" t="s">
        <v>41</v>
      </c>
      <c r="D1456" t="s">
        <v>41</v>
      </c>
      <c r="K1456">
        <v>0</v>
      </c>
      <c r="L1456" t="s">
        <v>41</v>
      </c>
      <c r="M1456" t="s">
        <v>972</v>
      </c>
      <c r="N1456" t="s">
        <v>41</v>
      </c>
    </row>
    <row r="1457" spans="3:14" x14ac:dyDescent="0.3">
      <c r="C1457" t="s">
        <v>41</v>
      </c>
      <c r="D1457" t="s">
        <v>41</v>
      </c>
      <c r="K1457">
        <v>0</v>
      </c>
      <c r="L1457" t="s">
        <v>41</v>
      </c>
      <c r="M1457" t="s">
        <v>972</v>
      </c>
      <c r="N1457" t="s">
        <v>41</v>
      </c>
    </row>
    <row r="1458" spans="3:14" x14ac:dyDescent="0.3">
      <c r="C1458" t="s">
        <v>41</v>
      </c>
      <c r="D1458" t="s">
        <v>41</v>
      </c>
      <c r="K1458">
        <v>0</v>
      </c>
      <c r="L1458" t="s">
        <v>41</v>
      </c>
      <c r="M1458" t="s">
        <v>972</v>
      </c>
      <c r="N1458" t="s">
        <v>41</v>
      </c>
    </row>
    <row r="1459" spans="3:14" x14ac:dyDescent="0.3">
      <c r="C1459" t="s">
        <v>41</v>
      </c>
      <c r="D1459" t="s">
        <v>41</v>
      </c>
      <c r="K1459">
        <v>0</v>
      </c>
      <c r="L1459" t="s">
        <v>41</v>
      </c>
      <c r="M1459" t="s">
        <v>972</v>
      </c>
      <c r="N1459" t="s">
        <v>41</v>
      </c>
    </row>
    <row r="1460" spans="3:14" x14ac:dyDescent="0.3">
      <c r="C1460" t="s">
        <v>41</v>
      </c>
      <c r="D1460" t="s">
        <v>41</v>
      </c>
      <c r="K1460">
        <v>0</v>
      </c>
      <c r="L1460" t="s">
        <v>41</v>
      </c>
      <c r="M1460" t="s">
        <v>972</v>
      </c>
      <c r="N1460" t="s">
        <v>41</v>
      </c>
    </row>
    <row r="1461" spans="3:14" x14ac:dyDescent="0.3">
      <c r="C1461" t="s">
        <v>41</v>
      </c>
      <c r="D1461" t="s">
        <v>41</v>
      </c>
      <c r="K1461">
        <v>0</v>
      </c>
      <c r="L1461" t="s">
        <v>41</v>
      </c>
      <c r="M1461" t="s">
        <v>972</v>
      </c>
      <c r="N1461" t="s">
        <v>41</v>
      </c>
    </row>
    <row r="1462" spans="3:14" x14ac:dyDescent="0.3">
      <c r="C1462" t="s">
        <v>41</v>
      </c>
      <c r="D1462" t="s">
        <v>41</v>
      </c>
      <c r="K1462">
        <v>0</v>
      </c>
      <c r="L1462" t="s">
        <v>41</v>
      </c>
      <c r="M1462" t="s">
        <v>972</v>
      </c>
      <c r="N1462" t="s">
        <v>41</v>
      </c>
    </row>
    <row r="1463" spans="3:14" x14ac:dyDescent="0.3">
      <c r="C1463" t="s">
        <v>41</v>
      </c>
      <c r="D1463" t="s">
        <v>41</v>
      </c>
      <c r="K1463">
        <v>0</v>
      </c>
      <c r="L1463" t="s">
        <v>41</v>
      </c>
      <c r="M1463" t="s">
        <v>972</v>
      </c>
      <c r="N1463" t="s">
        <v>41</v>
      </c>
    </row>
    <row r="1464" spans="3:14" x14ac:dyDescent="0.3">
      <c r="C1464" t="s">
        <v>41</v>
      </c>
      <c r="D1464" t="s">
        <v>41</v>
      </c>
      <c r="K1464">
        <v>0</v>
      </c>
      <c r="L1464" t="s">
        <v>41</v>
      </c>
      <c r="M1464" t="s">
        <v>972</v>
      </c>
      <c r="N1464" t="s">
        <v>41</v>
      </c>
    </row>
    <row r="1465" spans="3:14" x14ac:dyDescent="0.3">
      <c r="C1465" t="s">
        <v>41</v>
      </c>
      <c r="D1465" t="s">
        <v>41</v>
      </c>
      <c r="K1465">
        <v>0</v>
      </c>
      <c r="L1465" t="s">
        <v>41</v>
      </c>
      <c r="M1465" t="s">
        <v>972</v>
      </c>
      <c r="N1465" t="s">
        <v>41</v>
      </c>
    </row>
    <row r="1466" spans="3:14" x14ac:dyDescent="0.3">
      <c r="C1466" t="s">
        <v>41</v>
      </c>
      <c r="D1466" t="s">
        <v>41</v>
      </c>
      <c r="K1466">
        <v>0</v>
      </c>
      <c r="L1466" t="s">
        <v>41</v>
      </c>
      <c r="M1466" t="s">
        <v>972</v>
      </c>
      <c r="N1466" t="s">
        <v>41</v>
      </c>
    </row>
    <row r="1467" spans="3:14" x14ac:dyDescent="0.3">
      <c r="C1467" t="s">
        <v>41</v>
      </c>
      <c r="D1467" t="s">
        <v>41</v>
      </c>
      <c r="K1467">
        <v>0</v>
      </c>
      <c r="L1467" t="s">
        <v>41</v>
      </c>
      <c r="M1467" t="s">
        <v>972</v>
      </c>
      <c r="N1467" t="s">
        <v>41</v>
      </c>
    </row>
    <row r="1468" spans="3:14" x14ac:dyDescent="0.3">
      <c r="C1468" t="s">
        <v>41</v>
      </c>
      <c r="D1468" t="s">
        <v>41</v>
      </c>
      <c r="K1468">
        <v>0</v>
      </c>
      <c r="L1468" t="s">
        <v>41</v>
      </c>
      <c r="M1468" t="s">
        <v>972</v>
      </c>
      <c r="N1468" t="s">
        <v>41</v>
      </c>
    </row>
    <row r="1469" spans="3:14" x14ac:dyDescent="0.3">
      <c r="C1469" t="s">
        <v>41</v>
      </c>
      <c r="D1469" t="s">
        <v>41</v>
      </c>
      <c r="K1469">
        <v>0</v>
      </c>
      <c r="L1469" t="s">
        <v>41</v>
      </c>
      <c r="M1469" t="s">
        <v>972</v>
      </c>
      <c r="N1469" t="s">
        <v>41</v>
      </c>
    </row>
    <row r="1470" spans="3:14" x14ac:dyDescent="0.3">
      <c r="C1470" t="s">
        <v>41</v>
      </c>
      <c r="D1470" t="s">
        <v>41</v>
      </c>
      <c r="K1470">
        <v>0</v>
      </c>
      <c r="L1470" t="s">
        <v>41</v>
      </c>
      <c r="M1470" t="s">
        <v>972</v>
      </c>
      <c r="N1470" t="s">
        <v>41</v>
      </c>
    </row>
    <row r="1471" spans="3:14" x14ac:dyDescent="0.3">
      <c r="C1471" t="s">
        <v>41</v>
      </c>
      <c r="D1471" t="s">
        <v>41</v>
      </c>
      <c r="K1471">
        <v>0</v>
      </c>
      <c r="L1471" t="s">
        <v>41</v>
      </c>
      <c r="M1471" t="s">
        <v>972</v>
      </c>
      <c r="N1471" t="s">
        <v>41</v>
      </c>
    </row>
    <row r="1472" spans="3:14" x14ac:dyDescent="0.3">
      <c r="C1472" t="s">
        <v>41</v>
      </c>
      <c r="D1472" t="s">
        <v>41</v>
      </c>
      <c r="K1472">
        <v>0</v>
      </c>
      <c r="L1472" t="s">
        <v>41</v>
      </c>
      <c r="M1472" t="s">
        <v>972</v>
      </c>
      <c r="N1472" t="s">
        <v>41</v>
      </c>
    </row>
    <row r="1473" spans="3:14" x14ac:dyDescent="0.3">
      <c r="C1473" t="s">
        <v>41</v>
      </c>
      <c r="D1473" t="s">
        <v>41</v>
      </c>
      <c r="K1473">
        <v>0</v>
      </c>
      <c r="L1473" t="s">
        <v>41</v>
      </c>
      <c r="M1473" t="s">
        <v>972</v>
      </c>
      <c r="N1473" t="s">
        <v>41</v>
      </c>
    </row>
    <row r="1474" spans="3:14" x14ac:dyDescent="0.3">
      <c r="C1474" t="s">
        <v>41</v>
      </c>
      <c r="D1474" t="s">
        <v>41</v>
      </c>
      <c r="K1474">
        <v>0</v>
      </c>
      <c r="L1474" t="s">
        <v>41</v>
      </c>
      <c r="M1474" t="s">
        <v>972</v>
      </c>
      <c r="N1474" t="s">
        <v>41</v>
      </c>
    </row>
    <row r="1475" spans="3:14" x14ac:dyDescent="0.3">
      <c r="C1475" t="s">
        <v>41</v>
      </c>
      <c r="D1475" t="s">
        <v>41</v>
      </c>
      <c r="K1475">
        <v>0</v>
      </c>
      <c r="L1475" t="s">
        <v>41</v>
      </c>
      <c r="M1475" t="s">
        <v>972</v>
      </c>
      <c r="N1475" t="s">
        <v>41</v>
      </c>
    </row>
    <row r="1476" spans="3:14" x14ac:dyDescent="0.3">
      <c r="C1476" t="s">
        <v>41</v>
      </c>
      <c r="D1476" t="s">
        <v>41</v>
      </c>
      <c r="K1476">
        <v>0</v>
      </c>
      <c r="L1476" t="s">
        <v>41</v>
      </c>
      <c r="M1476" t="s">
        <v>972</v>
      </c>
      <c r="N1476" t="s">
        <v>41</v>
      </c>
    </row>
    <row r="1477" spans="3:14" x14ac:dyDescent="0.3">
      <c r="C1477" t="s">
        <v>41</v>
      </c>
      <c r="D1477" t="s">
        <v>41</v>
      </c>
      <c r="K1477">
        <v>0</v>
      </c>
      <c r="L1477" t="s">
        <v>41</v>
      </c>
      <c r="M1477" t="s">
        <v>972</v>
      </c>
      <c r="N1477" t="s">
        <v>41</v>
      </c>
    </row>
    <row r="1478" spans="3:14" x14ac:dyDescent="0.3">
      <c r="C1478" t="s">
        <v>41</v>
      </c>
      <c r="D1478" t="s">
        <v>41</v>
      </c>
      <c r="K1478">
        <v>0</v>
      </c>
      <c r="L1478" t="s">
        <v>41</v>
      </c>
      <c r="M1478" t="s">
        <v>972</v>
      </c>
      <c r="N1478" t="s">
        <v>41</v>
      </c>
    </row>
    <row r="1479" spans="3:14" x14ac:dyDescent="0.3">
      <c r="C1479" t="s">
        <v>41</v>
      </c>
      <c r="D1479" t="s">
        <v>41</v>
      </c>
      <c r="K1479">
        <v>0</v>
      </c>
      <c r="L1479" t="s">
        <v>41</v>
      </c>
      <c r="M1479" t="s">
        <v>972</v>
      </c>
      <c r="N1479" t="s">
        <v>41</v>
      </c>
    </row>
    <row r="1480" spans="3:14" x14ac:dyDescent="0.3">
      <c r="C1480" t="s">
        <v>41</v>
      </c>
      <c r="D1480" t="s">
        <v>41</v>
      </c>
      <c r="K1480">
        <v>0</v>
      </c>
      <c r="L1480" t="s">
        <v>41</v>
      </c>
      <c r="M1480" t="s">
        <v>972</v>
      </c>
      <c r="N1480" t="s">
        <v>41</v>
      </c>
    </row>
    <row r="1481" spans="3:14" x14ac:dyDescent="0.3">
      <c r="C1481" t="s">
        <v>41</v>
      </c>
      <c r="D1481" t="s">
        <v>41</v>
      </c>
      <c r="K1481">
        <v>0</v>
      </c>
      <c r="L1481" t="s">
        <v>41</v>
      </c>
      <c r="M1481" t="s">
        <v>972</v>
      </c>
      <c r="N1481" t="s">
        <v>41</v>
      </c>
    </row>
    <row r="1482" spans="3:14" x14ac:dyDescent="0.3">
      <c r="C1482" t="s">
        <v>41</v>
      </c>
      <c r="D1482" t="s">
        <v>41</v>
      </c>
      <c r="K1482">
        <v>0</v>
      </c>
      <c r="L1482" t="s">
        <v>41</v>
      </c>
      <c r="M1482" t="s">
        <v>972</v>
      </c>
      <c r="N1482" t="s">
        <v>41</v>
      </c>
    </row>
    <row r="1483" spans="3:14" x14ac:dyDescent="0.3">
      <c r="C1483" t="s">
        <v>41</v>
      </c>
      <c r="D1483" t="s">
        <v>41</v>
      </c>
      <c r="K1483">
        <v>0</v>
      </c>
      <c r="L1483" t="s">
        <v>41</v>
      </c>
      <c r="M1483" t="s">
        <v>972</v>
      </c>
      <c r="N1483" t="s">
        <v>41</v>
      </c>
    </row>
    <row r="1484" spans="3:14" x14ac:dyDescent="0.3">
      <c r="C1484" t="s">
        <v>41</v>
      </c>
      <c r="D1484" t="s">
        <v>41</v>
      </c>
      <c r="K1484">
        <v>0</v>
      </c>
      <c r="L1484" t="s">
        <v>41</v>
      </c>
      <c r="M1484" t="s">
        <v>972</v>
      </c>
      <c r="N1484" t="s">
        <v>41</v>
      </c>
    </row>
    <row r="1485" spans="3:14" x14ac:dyDescent="0.3">
      <c r="C1485" t="s">
        <v>41</v>
      </c>
      <c r="D1485" t="s">
        <v>41</v>
      </c>
      <c r="K1485">
        <v>0</v>
      </c>
      <c r="L1485" t="s">
        <v>41</v>
      </c>
      <c r="M1485" t="s">
        <v>972</v>
      </c>
      <c r="N1485" t="s">
        <v>41</v>
      </c>
    </row>
    <row r="1486" spans="3:14" x14ac:dyDescent="0.3">
      <c r="C1486" t="s">
        <v>41</v>
      </c>
      <c r="D1486" t="s">
        <v>41</v>
      </c>
      <c r="K1486">
        <v>0</v>
      </c>
      <c r="L1486" t="s">
        <v>41</v>
      </c>
      <c r="M1486" t="s">
        <v>972</v>
      </c>
      <c r="N1486" t="s">
        <v>41</v>
      </c>
    </row>
    <row r="1487" spans="3:14" x14ac:dyDescent="0.3">
      <c r="C1487" t="s">
        <v>41</v>
      </c>
      <c r="D1487" t="s">
        <v>41</v>
      </c>
      <c r="K1487">
        <v>0</v>
      </c>
      <c r="L1487" t="s">
        <v>41</v>
      </c>
      <c r="M1487" t="s">
        <v>972</v>
      </c>
      <c r="N1487" t="s">
        <v>41</v>
      </c>
    </row>
    <row r="1488" spans="3:14" x14ac:dyDescent="0.3">
      <c r="C1488" t="s">
        <v>41</v>
      </c>
      <c r="D1488" t="s">
        <v>41</v>
      </c>
      <c r="K1488">
        <v>0</v>
      </c>
      <c r="L1488" t="s">
        <v>41</v>
      </c>
      <c r="M1488" t="s">
        <v>972</v>
      </c>
      <c r="N1488" t="s">
        <v>41</v>
      </c>
    </row>
    <row r="1489" spans="3:14" x14ac:dyDescent="0.3">
      <c r="C1489" t="s">
        <v>41</v>
      </c>
      <c r="D1489" t="s">
        <v>41</v>
      </c>
      <c r="K1489">
        <v>0</v>
      </c>
      <c r="L1489" t="s">
        <v>41</v>
      </c>
      <c r="M1489" t="s">
        <v>972</v>
      </c>
      <c r="N1489" t="s">
        <v>41</v>
      </c>
    </row>
    <row r="1490" spans="3:14" x14ac:dyDescent="0.3">
      <c r="C1490" t="s">
        <v>41</v>
      </c>
      <c r="D1490" t="s">
        <v>41</v>
      </c>
      <c r="K1490">
        <v>0</v>
      </c>
      <c r="L1490" t="s">
        <v>41</v>
      </c>
      <c r="M1490" t="s">
        <v>972</v>
      </c>
      <c r="N1490" t="s">
        <v>41</v>
      </c>
    </row>
    <row r="1491" spans="3:14" x14ac:dyDescent="0.3">
      <c r="C1491" t="s">
        <v>41</v>
      </c>
      <c r="D1491" t="s">
        <v>41</v>
      </c>
      <c r="K1491">
        <v>0</v>
      </c>
      <c r="L1491" t="s">
        <v>41</v>
      </c>
      <c r="M1491" t="s">
        <v>972</v>
      </c>
      <c r="N1491" t="s">
        <v>41</v>
      </c>
    </row>
    <row r="1492" spans="3:14" x14ac:dyDescent="0.3">
      <c r="C1492" t="s">
        <v>41</v>
      </c>
      <c r="D1492" t="s">
        <v>41</v>
      </c>
      <c r="K1492">
        <v>0</v>
      </c>
      <c r="L1492" t="s">
        <v>41</v>
      </c>
      <c r="M1492" t="s">
        <v>972</v>
      </c>
      <c r="N1492" t="s">
        <v>41</v>
      </c>
    </row>
    <row r="1493" spans="3:14" x14ac:dyDescent="0.3">
      <c r="C1493" t="s">
        <v>41</v>
      </c>
      <c r="D1493" t="s">
        <v>41</v>
      </c>
      <c r="K1493">
        <v>0</v>
      </c>
      <c r="L1493" t="s">
        <v>41</v>
      </c>
      <c r="M1493" t="s">
        <v>972</v>
      </c>
      <c r="N1493" t="s">
        <v>41</v>
      </c>
    </row>
    <row r="1494" spans="3:14" x14ac:dyDescent="0.3">
      <c r="C1494" t="s">
        <v>41</v>
      </c>
      <c r="D1494" t="s">
        <v>41</v>
      </c>
      <c r="K1494">
        <v>0</v>
      </c>
      <c r="L1494" t="s">
        <v>41</v>
      </c>
      <c r="M1494" t="s">
        <v>972</v>
      </c>
      <c r="N1494" t="s">
        <v>41</v>
      </c>
    </row>
    <row r="1495" spans="3:14" x14ac:dyDescent="0.3">
      <c r="C1495" t="s">
        <v>41</v>
      </c>
      <c r="D1495" t="s">
        <v>41</v>
      </c>
      <c r="K1495">
        <v>0</v>
      </c>
      <c r="L1495" t="s">
        <v>41</v>
      </c>
      <c r="M1495" t="s">
        <v>972</v>
      </c>
      <c r="N1495" t="s">
        <v>41</v>
      </c>
    </row>
    <row r="1496" spans="3:14" x14ac:dyDescent="0.3">
      <c r="C1496" t="s">
        <v>41</v>
      </c>
      <c r="D1496" t="s">
        <v>41</v>
      </c>
      <c r="K1496">
        <v>0</v>
      </c>
      <c r="L1496" t="s">
        <v>41</v>
      </c>
      <c r="M1496" t="s">
        <v>972</v>
      </c>
      <c r="N1496" t="s">
        <v>41</v>
      </c>
    </row>
    <row r="1497" spans="3:14" x14ac:dyDescent="0.3">
      <c r="C1497" t="s">
        <v>41</v>
      </c>
      <c r="D1497" t="s">
        <v>41</v>
      </c>
      <c r="K1497">
        <v>0</v>
      </c>
      <c r="L1497" t="s">
        <v>41</v>
      </c>
      <c r="M1497" t="s">
        <v>972</v>
      </c>
      <c r="N1497" t="s">
        <v>41</v>
      </c>
    </row>
    <row r="1498" spans="3:14" x14ac:dyDescent="0.3">
      <c r="C1498" t="s">
        <v>41</v>
      </c>
      <c r="D1498" t="s">
        <v>41</v>
      </c>
      <c r="K1498">
        <v>0</v>
      </c>
      <c r="L1498" t="s">
        <v>41</v>
      </c>
      <c r="M1498" t="s">
        <v>972</v>
      </c>
      <c r="N1498" t="s">
        <v>41</v>
      </c>
    </row>
    <row r="1499" spans="3:14" x14ac:dyDescent="0.3">
      <c r="C1499" t="s">
        <v>41</v>
      </c>
      <c r="D1499" t="s">
        <v>41</v>
      </c>
      <c r="K1499">
        <v>0</v>
      </c>
      <c r="L1499" t="s">
        <v>41</v>
      </c>
      <c r="M1499" t="s">
        <v>972</v>
      </c>
      <c r="N1499" t="s">
        <v>41</v>
      </c>
    </row>
    <row r="1500" spans="3:14" x14ac:dyDescent="0.3">
      <c r="C1500" t="s">
        <v>41</v>
      </c>
      <c r="D1500" t="s">
        <v>41</v>
      </c>
      <c r="K1500">
        <v>0</v>
      </c>
      <c r="L1500" t="s">
        <v>41</v>
      </c>
      <c r="M1500" t="s">
        <v>972</v>
      </c>
      <c r="N1500" t="s">
        <v>41</v>
      </c>
    </row>
    <row r="1501" spans="3:14" x14ac:dyDescent="0.3">
      <c r="C1501" t="s">
        <v>41</v>
      </c>
      <c r="D1501" t="s">
        <v>41</v>
      </c>
      <c r="K1501">
        <v>0</v>
      </c>
      <c r="L1501" t="s">
        <v>41</v>
      </c>
      <c r="M1501" t="s">
        <v>972</v>
      </c>
      <c r="N1501" t="s">
        <v>41</v>
      </c>
    </row>
    <row r="1502" spans="3:14" x14ac:dyDescent="0.3">
      <c r="C1502" t="s">
        <v>41</v>
      </c>
      <c r="D1502" t="s">
        <v>41</v>
      </c>
      <c r="K1502">
        <v>0</v>
      </c>
      <c r="L1502" t="s">
        <v>41</v>
      </c>
      <c r="M1502" t="s">
        <v>972</v>
      </c>
      <c r="N1502" t="s">
        <v>41</v>
      </c>
    </row>
    <row r="1503" spans="3:14" x14ac:dyDescent="0.3">
      <c r="C1503" t="s">
        <v>41</v>
      </c>
      <c r="D1503" t="s">
        <v>41</v>
      </c>
      <c r="K1503">
        <v>0</v>
      </c>
      <c r="L1503" t="s">
        <v>41</v>
      </c>
      <c r="M1503" t="s">
        <v>972</v>
      </c>
      <c r="N1503" t="s">
        <v>41</v>
      </c>
    </row>
    <row r="1504" spans="3:14" x14ac:dyDescent="0.3">
      <c r="C1504" t="s">
        <v>41</v>
      </c>
      <c r="D1504" t="s">
        <v>41</v>
      </c>
      <c r="K1504">
        <v>0</v>
      </c>
      <c r="L1504" t="s">
        <v>41</v>
      </c>
      <c r="M1504" t="s">
        <v>972</v>
      </c>
      <c r="N1504" t="s">
        <v>41</v>
      </c>
    </row>
    <row r="1505" spans="3:14" x14ac:dyDescent="0.3">
      <c r="C1505" t="s">
        <v>41</v>
      </c>
      <c r="D1505" t="s">
        <v>41</v>
      </c>
      <c r="K1505">
        <v>0</v>
      </c>
      <c r="L1505" t="s">
        <v>41</v>
      </c>
      <c r="M1505" t="s">
        <v>972</v>
      </c>
      <c r="N1505" t="s">
        <v>41</v>
      </c>
    </row>
    <row r="1506" spans="3:14" x14ac:dyDescent="0.3">
      <c r="C1506" t="s">
        <v>41</v>
      </c>
      <c r="D1506" t="s">
        <v>41</v>
      </c>
      <c r="K1506">
        <v>0</v>
      </c>
      <c r="L1506" t="s">
        <v>41</v>
      </c>
      <c r="M1506" t="s">
        <v>972</v>
      </c>
      <c r="N1506" t="s">
        <v>41</v>
      </c>
    </row>
    <row r="1507" spans="3:14" x14ac:dyDescent="0.3">
      <c r="C1507" t="s">
        <v>41</v>
      </c>
      <c r="D1507" t="s">
        <v>41</v>
      </c>
      <c r="K1507">
        <v>0</v>
      </c>
      <c r="L1507" t="s">
        <v>41</v>
      </c>
      <c r="M1507" t="s">
        <v>972</v>
      </c>
      <c r="N1507" t="s">
        <v>41</v>
      </c>
    </row>
    <row r="1508" spans="3:14" x14ac:dyDescent="0.3">
      <c r="C1508" t="s">
        <v>41</v>
      </c>
      <c r="D1508" t="s">
        <v>41</v>
      </c>
      <c r="K1508">
        <v>0</v>
      </c>
      <c r="L1508" t="s">
        <v>41</v>
      </c>
      <c r="M1508" t="s">
        <v>972</v>
      </c>
      <c r="N1508" t="s">
        <v>41</v>
      </c>
    </row>
    <row r="1509" spans="3:14" x14ac:dyDescent="0.3">
      <c r="C1509" t="s">
        <v>41</v>
      </c>
      <c r="D1509" t="s">
        <v>41</v>
      </c>
      <c r="K1509">
        <v>0</v>
      </c>
      <c r="L1509" t="s">
        <v>41</v>
      </c>
      <c r="M1509" t="s">
        <v>972</v>
      </c>
      <c r="N1509" t="s">
        <v>41</v>
      </c>
    </row>
    <row r="1510" spans="3:14" x14ac:dyDescent="0.3">
      <c r="C1510" t="s">
        <v>41</v>
      </c>
      <c r="D1510" t="s">
        <v>41</v>
      </c>
      <c r="K1510">
        <v>0</v>
      </c>
      <c r="L1510" t="s">
        <v>41</v>
      </c>
      <c r="M1510" t="s">
        <v>972</v>
      </c>
      <c r="N1510" t="s">
        <v>41</v>
      </c>
    </row>
    <row r="1511" spans="3:14" x14ac:dyDescent="0.3">
      <c r="C1511" t="s">
        <v>41</v>
      </c>
      <c r="D1511" t="s">
        <v>41</v>
      </c>
      <c r="K1511">
        <v>0</v>
      </c>
      <c r="L1511" t="s">
        <v>41</v>
      </c>
      <c r="M1511" t="s">
        <v>972</v>
      </c>
      <c r="N1511" t="s">
        <v>41</v>
      </c>
    </row>
    <row r="1512" spans="3:14" x14ac:dyDescent="0.3">
      <c r="C1512" t="s">
        <v>41</v>
      </c>
      <c r="D1512" t="s">
        <v>41</v>
      </c>
      <c r="K1512">
        <v>0</v>
      </c>
      <c r="L1512" t="s">
        <v>41</v>
      </c>
      <c r="M1512" t="s">
        <v>972</v>
      </c>
      <c r="N1512" t="s">
        <v>41</v>
      </c>
    </row>
    <row r="1513" spans="3:14" x14ac:dyDescent="0.3">
      <c r="C1513" t="s">
        <v>41</v>
      </c>
      <c r="D1513" t="s">
        <v>41</v>
      </c>
      <c r="K1513">
        <v>0</v>
      </c>
      <c r="L1513" t="s">
        <v>41</v>
      </c>
      <c r="M1513" t="s">
        <v>972</v>
      </c>
      <c r="N1513" t="s">
        <v>41</v>
      </c>
    </row>
    <row r="1514" spans="3:14" x14ac:dyDescent="0.3">
      <c r="C1514" t="s">
        <v>41</v>
      </c>
      <c r="D1514" t="s">
        <v>41</v>
      </c>
      <c r="K1514">
        <v>0</v>
      </c>
      <c r="L1514" t="s">
        <v>41</v>
      </c>
      <c r="M1514" t="s">
        <v>972</v>
      </c>
      <c r="N1514" t="s">
        <v>41</v>
      </c>
    </row>
    <row r="1515" spans="3:14" x14ac:dyDescent="0.3">
      <c r="C1515" t="s">
        <v>41</v>
      </c>
      <c r="D1515" t="s">
        <v>41</v>
      </c>
      <c r="K1515">
        <v>0</v>
      </c>
      <c r="L1515" t="s">
        <v>41</v>
      </c>
      <c r="M1515" t="s">
        <v>972</v>
      </c>
      <c r="N1515" t="s">
        <v>41</v>
      </c>
    </row>
    <row r="1516" spans="3:14" x14ac:dyDescent="0.3">
      <c r="C1516" t="s">
        <v>41</v>
      </c>
      <c r="D1516" t="s">
        <v>41</v>
      </c>
      <c r="K1516">
        <v>0</v>
      </c>
      <c r="L1516" t="s">
        <v>41</v>
      </c>
      <c r="M1516" t="s">
        <v>972</v>
      </c>
      <c r="N1516" t="s">
        <v>41</v>
      </c>
    </row>
    <row r="1517" spans="3:14" x14ac:dyDescent="0.3">
      <c r="C1517" t="s">
        <v>41</v>
      </c>
      <c r="D1517" t="s">
        <v>41</v>
      </c>
      <c r="K1517">
        <v>0</v>
      </c>
      <c r="L1517" t="s">
        <v>41</v>
      </c>
      <c r="M1517" t="s">
        <v>972</v>
      </c>
      <c r="N1517" t="s">
        <v>41</v>
      </c>
    </row>
    <row r="1518" spans="3:14" x14ac:dyDescent="0.3">
      <c r="C1518" t="s">
        <v>41</v>
      </c>
      <c r="D1518" t="s">
        <v>41</v>
      </c>
      <c r="K1518">
        <v>0</v>
      </c>
      <c r="L1518" t="s">
        <v>41</v>
      </c>
      <c r="M1518" t="s">
        <v>972</v>
      </c>
      <c r="N1518" t="s">
        <v>41</v>
      </c>
    </row>
    <row r="1519" spans="3:14" x14ac:dyDescent="0.3">
      <c r="C1519" t="s">
        <v>41</v>
      </c>
      <c r="D1519" t="s">
        <v>41</v>
      </c>
      <c r="K1519">
        <v>0</v>
      </c>
      <c r="L1519" t="s">
        <v>41</v>
      </c>
      <c r="M1519" t="s">
        <v>972</v>
      </c>
      <c r="N1519" t="s">
        <v>41</v>
      </c>
    </row>
    <row r="1520" spans="3:14" x14ac:dyDescent="0.3">
      <c r="C1520" t="s">
        <v>41</v>
      </c>
      <c r="D1520" t="s">
        <v>41</v>
      </c>
      <c r="K1520">
        <v>0</v>
      </c>
      <c r="L1520" t="s">
        <v>41</v>
      </c>
      <c r="M1520" t="s">
        <v>972</v>
      </c>
      <c r="N1520" t="s">
        <v>41</v>
      </c>
    </row>
    <row r="1521" spans="3:14" x14ac:dyDescent="0.3">
      <c r="C1521" t="s">
        <v>41</v>
      </c>
      <c r="D1521" t="s">
        <v>41</v>
      </c>
      <c r="K1521">
        <v>0</v>
      </c>
      <c r="L1521" t="s">
        <v>41</v>
      </c>
      <c r="M1521" t="s">
        <v>972</v>
      </c>
      <c r="N1521" t="s">
        <v>41</v>
      </c>
    </row>
    <row r="1522" spans="3:14" x14ac:dyDescent="0.3">
      <c r="C1522" t="s">
        <v>41</v>
      </c>
      <c r="D1522" t="s">
        <v>41</v>
      </c>
      <c r="K1522">
        <v>0</v>
      </c>
      <c r="L1522" t="s">
        <v>41</v>
      </c>
      <c r="M1522" t="s">
        <v>972</v>
      </c>
      <c r="N1522" t="s">
        <v>41</v>
      </c>
    </row>
    <row r="1523" spans="3:14" x14ac:dyDescent="0.3">
      <c r="C1523" t="s">
        <v>41</v>
      </c>
      <c r="D1523" t="s">
        <v>41</v>
      </c>
      <c r="K1523">
        <v>0</v>
      </c>
      <c r="L1523" t="s">
        <v>41</v>
      </c>
      <c r="M1523" t="s">
        <v>972</v>
      </c>
      <c r="N1523" t="s">
        <v>41</v>
      </c>
    </row>
    <row r="1524" spans="3:14" x14ac:dyDescent="0.3">
      <c r="C1524" t="s">
        <v>41</v>
      </c>
      <c r="D1524" t="s">
        <v>41</v>
      </c>
      <c r="K1524">
        <v>0</v>
      </c>
      <c r="L1524" t="s">
        <v>41</v>
      </c>
      <c r="M1524" t="s">
        <v>972</v>
      </c>
      <c r="N1524" t="s">
        <v>41</v>
      </c>
    </row>
    <row r="1525" spans="3:14" x14ac:dyDescent="0.3">
      <c r="C1525" t="s">
        <v>41</v>
      </c>
      <c r="D1525" t="s">
        <v>41</v>
      </c>
      <c r="K1525">
        <v>0</v>
      </c>
      <c r="L1525" t="s">
        <v>41</v>
      </c>
      <c r="M1525" t="s">
        <v>972</v>
      </c>
      <c r="N1525" t="s">
        <v>41</v>
      </c>
    </row>
    <row r="1526" spans="3:14" x14ac:dyDescent="0.3">
      <c r="C1526" t="s">
        <v>41</v>
      </c>
      <c r="D1526" t="s">
        <v>41</v>
      </c>
      <c r="K1526">
        <v>0</v>
      </c>
      <c r="L1526" t="s">
        <v>41</v>
      </c>
      <c r="M1526" t="s">
        <v>972</v>
      </c>
      <c r="N1526" t="s">
        <v>41</v>
      </c>
    </row>
    <row r="1527" spans="3:14" x14ac:dyDescent="0.3">
      <c r="C1527" t="s">
        <v>41</v>
      </c>
      <c r="D1527" t="s">
        <v>41</v>
      </c>
      <c r="K1527">
        <v>0</v>
      </c>
      <c r="L1527" t="s">
        <v>41</v>
      </c>
      <c r="M1527" t="s">
        <v>972</v>
      </c>
      <c r="N1527" t="s">
        <v>41</v>
      </c>
    </row>
    <row r="1528" spans="3:14" x14ac:dyDescent="0.3">
      <c r="C1528" t="s">
        <v>41</v>
      </c>
      <c r="D1528" t="s">
        <v>41</v>
      </c>
      <c r="K1528">
        <v>0</v>
      </c>
      <c r="L1528" t="s">
        <v>41</v>
      </c>
      <c r="M1528" t="s">
        <v>972</v>
      </c>
      <c r="N1528" t="s">
        <v>41</v>
      </c>
    </row>
    <row r="1529" spans="3:14" x14ac:dyDescent="0.3">
      <c r="C1529" t="s">
        <v>41</v>
      </c>
      <c r="D1529" t="s">
        <v>41</v>
      </c>
      <c r="K1529">
        <v>0</v>
      </c>
      <c r="L1529" t="s">
        <v>41</v>
      </c>
      <c r="M1529" t="s">
        <v>972</v>
      </c>
      <c r="N1529" t="s">
        <v>41</v>
      </c>
    </row>
    <row r="1530" spans="3:14" x14ac:dyDescent="0.3">
      <c r="C1530" t="s">
        <v>41</v>
      </c>
      <c r="D1530" t="s">
        <v>41</v>
      </c>
      <c r="K1530">
        <v>0</v>
      </c>
      <c r="L1530" t="s">
        <v>41</v>
      </c>
      <c r="M1530" t="s">
        <v>972</v>
      </c>
      <c r="N1530" t="s">
        <v>41</v>
      </c>
    </row>
    <row r="1531" spans="3:14" x14ac:dyDescent="0.3">
      <c r="C1531" t="s">
        <v>41</v>
      </c>
      <c r="D1531" t="s">
        <v>41</v>
      </c>
      <c r="K1531">
        <v>0</v>
      </c>
      <c r="L1531" t="s">
        <v>41</v>
      </c>
      <c r="M1531" t="s">
        <v>972</v>
      </c>
      <c r="N1531" t="s">
        <v>41</v>
      </c>
    </row>
    <row r="1532" spans="3:14" x14ac:dyDescent="0.3">
      <c r="C1532" t="s">
        <v>41</v>
      </c>
      <c r="D1532" t="s">
        <v>41</v>
      </c>
      <c r="K1532">
        <v>0</v>
      </c>
      <c r="L1532" t="s">
        <v>41</v>
      </c>
      <c r="M1532" t="s">
        <v>972</v>
      </c>
      <c r="N1532" t="s">
        <v>41</v>
      </c>
    </row>
    <row r="1533" spans="3:14" x14ac:dyDescent="0.3">
      <c r="C1533" t="s">
        <v>41</v>
      </c>
      <c r="D1533" t="s">
        <v>41</v>
      </c>
      <c r="K1533">
        <v>0</v>
      </c>
      <c r="L1533" t="s">
        <v>41</v>
      </c>
      <c r="M1533" t="s">
        <v>972</v>
      </c>
      <c r="N1533" t="s">
        <v>41</v>
      </c>
    </row>
    <row r="1534" spans="3:14" x14ac:dyDescent="0.3">
      <c r="C1534" t="s">
        <v>41</v>
      </c>
      <c r="D1534" t="s">
        <v>41</v>
      </c>
      <c r="K1534">
        <v>0</v>
      </c>
      <c r="L1534" t="s">
        <v>41</v>
      </c>
      <c r="M1534" t="s">
        <v>972</v>
      </c>
      <c r="N1534" t="s">
        <v>41</v>
      </c>
    </row>
    <row r="1535" spans="3:14" x14ac:dyDescent="0.3">
      <c r="C1535" t="s">
        <v>41</v>
      </c>
      <c r="D1535" t="s">
        <v>41</v>
      </c>
      <c r="K1535">
        <v>0</v>
      </c>
      <c r="L1535" t="s">
        <v>41</v>
      </c>
      <c r="M1535" t="s">
        <v>972</v>
      </c>
      <c r="N1535" t="s">
        <v>41</v>
      </c>
    </row>
    <row r="1536" spans="3:14" x14ac:dyDescent="0.3">
      <c r="C1536" t="s">
        <v>41</v>
      </c>
      <c r="D1536" t="s">
        <v>41</v>
      </c>
      <c r="K1536">
        <v>0</v>
      </c>
      <c r="L1536" t="s">
        <v>41</v>
      </c>
      <c r="M1536" t="s">
        <v>972</v>
      </c>
      <c r="N1536" t="s">
        <v>41</v>
      </c>
    </row>
    <row r="1537" spans="3:14" x14ac:dyDescent="0.3">
      <c r="C1537" t="s">
        <v>41</v>
      </c>
      <c r="D1537" t="s">
        <v>41</v>
      </c>
      <c r="K1537">
        <v>0</v>
      </c>
      <c r="L1537" t="s">
        <v>41</v>
      </c>
      <c r="M1537" t="s">
        <v>972</v>
      </c>
      <c r="N1537" t="s">
        <v>41</v>
      </c>
    </row>
    <row r="1538" spans="3:14" x14ac:dyDescent="0.3">
      <c r="C1538" t="s">
        <v>41</v>
      </c>
      <c r="D1538" t="s">
        <v>41</v>
      </c>
      <c r="K1538">
        <v>0</v>
      </c>
      <c r="L1538" t="s">
        <v>41</v>
      </c>
      <c r="M1538" t="s">
        <v>972</v>
      </c>
      <c r="N1538" t="s">
        <v>41</v>
      </c>
    </row>
    <row r="1539" spans="3:14" x14ac:dyDescent="0.3">
      <c r="C1539" t="s">
        <v>41</v>
      </c>
      <c r="D1539" t="s">
        <v>41</v>
      </c>
      <c r="K1539">
        <v>0</v>
      </c>
      <c r="L1539" t="s">
        <v>41</v>
      </c>
      <c r="M1539" t="s">
        <v>972</v>
      </c>
      <c r="N1539" t="s">
        <v>41</v>
      </c>
    </row>
    <row r="1540" spans="3:14" x14ac:dyDescent="0.3">
      <c r="C1540" t="s">
        <v>41</v>
      </c>
      <c r="D1540" t="s">
        <v>41</v>
      </c>
      <c r="K1540">
        <v>0</v>
      </c>
      <c r="L1540" t="s">
        <v>41</v>
      </c>
      <c r="M1540" t="s">
        <v>972</v>
      </c>
      <c r="N1540" t="s">
        <v>41</v>
      </c>
    </row>
    <row r="1541" spans="3:14" x14ac:dyDescent="0.3">
      <c r="C1541" t="s">
        <v>41</v>
      </c>
      <c r="D1541" t="s">
        <v>41</v>
      </c>
      <c r="K1541">
        <v>0</v>
      </c>
      <c r="L1541" t="s">
        <v>41</v>
      </c>
      <c r="M1541" t="s">
        <v>972</v>
      </c>
      <c r="N1541" t="s">
        <v>41</v>
      </c>
    </row>
    <row r="1542" spans="3:14" x14ac:dyDescent="0.3">
      <c r="C1542" t="s">
        <v>41</v>
      </c>
      <c r="D1542" t="s">
        <v>41</v>
      </c>
      <c r="K1542">
        <v>0</v>
      </c>
      <c r="L1542" t="s">
        <v>41</v>
      </c>
      <c r="M1542" t="s">
        <v>972</v>
      </c>
      <c r="N1542" t="s">
        <v>41</v>
      </c>
    </row>
    <row r="1543" spans="3:14" x14ac:dyDescent="0.3">
      <c r="C1543" t="s">
        <v>41</v>
      </c>
      <c r="D1543" t="s">
        <v>41</v>
      </c>
      <c r="K1543">
        <v>0</v>
      </c>
      <c r="L1543" t="s">
        <v>41</v>
      </c>
      <c r="M1543" t="s">
        <v>972</v>
      </c>
      <c r="N1543" t="s">
        <v>41</v>
      </c>
    </row>
    <row r="1544" spans="3:14" x14ac:dyDescent="0.3">
      <c r="C1544" t="s">
        <v>41</v>
      </c>
      <c r="D1544" t="s">
        <v>41</v>
      </c>
      <c r="K1544">
        <v>0</v>
      </c>
      <c r="L1544" t="s">
        <v>41</v>
      </c>
      <c r="M1544" t="s">
        <v>972</v>
      </c>
      <c r="N1544" t="s">
        <v>41</v>
      </c>
    </row>
    <row r="1545" spans="3:14" x14ac:dyDescent="0.3">
      <c r="C1545" t="s">
        <v>41</v>
      </c>
      <c r="D1545" t="s">
        <v>41</v>
      </c>
      <c r="K1545">
        <v>0</v>
      </c>
      <c r="L1545" t="s">
        <v>41</v>
      </c>
      <c r="M1545" t="s">
        <v>972</v>
      </c>
      <c r="N1545" t="s">
        <v>41</v>
      </c>
    </row>
    <row r="1546" spans="3:14" x14ac:dyDescent="0.3">
      <c r="C1546" t="s">
        <v>41</v>
      </c>
      <c r="D1546" t="s">
        <v>41</v>
      </c>
      <c r="K1546">
        <v>0</v>
      </c>
      <c r="L1546" t="s">
        <v>41</v>
      </c>
      <c r="M1546" t="s">
        <v>972</v>
      </c>
      <c r="N1546" t="s">
        <v>41</v>
      </c>
    </row>
    <row r="1547" spans="3:14" x14ac:dyDescent="0.3">
      <c r="C1547" t="s">
        <v>41</v>
      </c>
      <c r="D1547" t="s">
        <v>41</v>
      </c>
      <c r="K1547">
        <v>0</v>
      </c>
      <c r="L1547" t="s">
        <v>41</v>
      </c>
      <c r="M1547" t="s">
        <v>972</v>
      </c>
      <c r="N1547" t="s">
        <v>41</v>
      </c>
    </row>
    <row r="1548" spans="3:14" x14ac:dyDescent="0.3">
      <c r="C1548" t="s">
        <v>41</v>
      </c>
      <c r="D1548" t="s">
        <v>41</v>
      </c>
      <c r="K1548">
        <v>0</v>
      </c>
      <c r="L1548" t="s">
        <v>41</v>
      </c>
      <c r="M1548" t="s">
        <v>972</v>
      </c>
      <c r="N1548" t="s">
        <v>41</v>
      </c>
    </row>
    <row r="1549" spans="3:14" x14ac:dyDescent="0.3">
      <c r="C1549" t="s">
        <v>41</v>
      </c>
      <c r="D1549" t="s">
        <v>41</v>
      </c>
      <c r="K1549">
        <v>0</v>
      </c>
      <c r="L1549" t="s">
        <v>41</v>
      </c>
      <c r="M1549" t="s">
        <v>972</v>
      </c>
      <c r="N1549" t="s">
        <v>41</v>
      </c>
    </row>
    <row r="1550" spans="3:14" x14ac:dyDescent="0.3">
      <c r="C1550" t="s">
        <v>41</v>
      </c>
      <c r="D1550" t="s">
        <v>41</v>
      </c>
      <c r="K1550">
        <v>0</v>
      </c>
      <c r="L1550" t="s">
        <v>41</v>
      </c>
      <c r="M1550" t="s">
        <v>972</v>
      </c>
      <c r="N1550" t="s">
        <v>41</v>
      </c>
    </row>
    <row r="1551" spans="3:14" x14ac:dyDescent="0.3">
      <c r="C1551" t="s">
        <v>41</v>
      </c>
      <c r="D1551" t="s">
        <v>41</v>
      </c>
      <c r="K1551">
        <v>0</v>
      </c>
      <c r="L1551" t="s">
        <v>41</v>
      </c>
      <c r="M1551" t="s">
        <v>972</v>
      </c>
      <c r="N1551" t="s">
        <v>41</v>
      </c>
    </row>
    <row r="1552" spans="3:14" x14ac:dyDescent="0.3">
      <c r="C1552" t="s">
        <v>41</v>
      </c>
      <c r="D1552" t="s">
        <v>41</v>
      </c>
      <c r="K1552">
        <v>0</v>
      </c>
      <c r="L1552" t="s">
        <v>41</v>
      </c>
      <c r="M1552" t="s">
        <v>972</v>
      </c>
      <c r="N1552" t="s">
        <v>41</v>
      </c>
    </row>
    <row r="1553" spans="3:14" x14ac:dyDescent="0.3">
      <c r="C1553" t="s">
        <v>41</v>
      </c>
      <c r="D1553" t="s">
        <v>41</v>
      </c>
      <c r="K1553">
        <v>0</v>
      </c>
      <c r="L1553" t="s">
        <v>41</v>
      </c>
      <c r="M1553" t="s">
        <v>972</v>
      </c>
      <c r="N1553" t="s">
        <v>41</v>
      </c>
    </row>
    <row r="1554" spans="3:14" x14ac:dyDescent="0.3">
      <c r="C1554" t="s">
        <v>41</v>
      </c>
      <c r="D1554" t="s">
        <v>41</v>
      </c>
      <c r="K1554">
        <v>0</v>
      </c>
      <c r="L1554" t="s">
        <v>41</v>
      </c>
      <c r="M1554" t="s">
        <v>972</v>
      </c>
      <c r="N1554" t="s">
        <v>41</v>
      </c>
    </row>
    <row r="1555" spans="3:14" x14ac:dyDescent="0.3">
      <c r="C1555" t="s">
        <v>41</v>
      </c>
      <c r="D1555" t="s">
        <v>41</v>
      </c>
      <c r="K1555">
        <v>0</v>
      </c>
      <c r="L1555" t="s">
        <v>41</v>
      </c>
      <c r="M1555" t="s">
        <v>972</v>
      </c>
      <c r="N1555" t="s">
        <v>41</v>
      </c>
    </row>
    <row r="1556" spans="3:14" x14ac:dyDescent="0.3">
      <c r="C1556" t="s">
        <v>41</v>
      </c>
      <c r="D1556" t="s">
        <v>41</v>
      </c>
      <c r="K1556">
        <v>0</v>
      </c>
      <c r="L1556" t="s">
        <v>41</v>
      </c>
      <c r="M1556" t="s">
        <v>972</v>
      </c>
      <c r="N1556" t="s">
        <v>41</v>
      </c>
    </row>
    <row r="1557" spans="3:14" x14ac:dyDescent="0.3">
      <c r="C1557" t="s">
        <v>41</v>
      </c>
      <c r="D1557" t="s">
        <v>41</v>
      </c>
      <c r="K1557">
        <v>0</v>
      </c>
      <c r="L1557" t="s">
        <v>41</v>
      </c>
      <c r="M1557" t="s">
        <v>972</v>
      </c>
      <c r="N1557" t="s">
        <v>41</v>
      </c>
    </row>
    <row r="1558" spans="3:14" x14ac:dyDescent="0.3">
      <c r="C1558" t="s">
        <v>41</v>
      </c>
      <c r="D1558" t="s">
        <v>41</v>
      </c>
      <c r="K1558">
        <v>0</v>
      </c>
      <c r="L1558" t="s">
        <v>41</v>
      </c>
      <c r="M1558" t="s">
        <v>972</v>
      </c>
      <c r="N1558" t="s">
        <v>41</v>
      </c>
    </row>
    <row r="1559" spans="3:14" x14ac:dyDescent="0.3">
      <c r="C1559" t="s">
        <v>41</v>
      </c>
      <c r="D1559" t="s">
        <v>41</v>
      </c>
      <c r="K1559">
        <v>0</v>
      </c>
      <c r="L1559" t="s">
        <v>41</v>
      </c>
      <c r="M1559" t="s">
        <v>972</v>
      </c>
      <c r="N1559" t="s">
        <v>41</v>
      </c>
    </row>
    <row r="1560" spans="3:14" x14ac:dyDescent="0.3">
      <c r="C1560" t="s">
        <v>41</v>
      </c>
      <c r="D1560" t="s">
        <v>41</v>
      </c>
      <c r="K1560">
        <v>0</v>
      </c>
      <c r="L1560" t="s">
        <v>41</v>
      </c>
      <c r="M1560" t="s">
        <v>972</v>
      </c>
      <c r="N1560" t="s">
        <v>41</v>
      </c>
    </row>
    <row r="1561" spans="3:14" x14ac:dyDescent="0.3">
      <c r="C1561" t="s">
        <v>41</v>
      </c>
      <c r="D1561" t="s">
        <v>41</v>
      </c>
      <c r="K1561">
        <v>0</v>
      </c>
      <c r="L1561" t="s">
        <v>41</v>
      </c>
      <c r="M1561" t="s">
        <v>972</v>
      </c>
      <c r="N1561" t="s">
        <v>41</v>
      </c>
    </row>
    <row r="1562" spans="3:14" x14ac:dyDescent="0.3">
      <c r="C1562" t="s">
        <v>41</v>
      </c>
      <c r="D1562" t="s">
        <v>41</v>
      </c>
      <c r="K1562">
        <v>0</v>
      </c>
      <c r="L1562" t="s">
        <v>41</v>
      </c>
      <c r="M1562" t="s">
        <v>972</v>
      </c>
      <c r="N1562" t="s">
        <v>41</v>
      </c>
    </row>
    <row r="1563" spans="3:14" x14ac:dyDescent="0.3">
      <c r="C1563" t="s">
        <v>41</v>
      </c>
      <c r="D1563" t="s">
        <v>41</v>
      </c>
      <c r="K1563">
        <v>0</v>
      </c>
      <c r="L1563" t="s">
        <v>41</v>
      </c>
      <c r="M1563" t="s">
        <v>972</v>
      </c>
      <c r="N1563" t="s">
        <v>41</v>
      </c>
    </row>
    <row r="1564" spans="3:14" x14ac:dyDescent="0.3">
      <c r="C1564" t="s">
        <v>41</v>
      </c>
      <c r="D1564" t="s">
        <v>41</v>
      </c>
      <c r="K1564">
        <v>0</v>
      </c>
      <c r="L1564" t="s">
        <v>41</v>
      </c>
      <c r="M1564" t="s">
        <v>972</v>
      </c>
      <c r="N1564" t="s">
        <v>41</v>
      </c>
    </row>
    <row r="1565" spans="3:14" x14ac:dyDescent="0.3">
      <c r="C1565" t="s">
        <v>41</v>
      </c>
      <c r="D1565" t="s">
        <v>41</v>
      </c>
      <c r="K1565">
        <v>0</v>
      </c>
      <c r="L1565" t="s">
        <v>41</v>
      </c>
      <c r="M1565" t="s">
        <v>972</v>
      </c>
      <c r="N1565" t="s">
        <v>41</v>
      </c>
    </row>
    <row r="1566" spans="3:14" x14ac:dyDescent="0.3">
      <c r="C1566" t="s">
        <v>41</v>
      </c>
      <c r="D1566" t="s">
        <v>41</v>
      </c>
      <c r="K1566">
        <v>0</v>
      </c>
      <c r="L1566" t="s">
        <v>41</v>
      </c>
      <c r="M1566" t="s">
        <v>972</v>
      </c>
      <c r="N1566" t="s">
        <v>41</v>
      </c>
    </row>
    <row r="1567" spans="3:14" x14ac:dyDescent="0.3">
      <c r="C1567" t="s">
        <v>41</v>
      </c>
      <c r="D1567" t="s">
        <v>41</v>
      </c>
      <c r="K1567">
        <v>0</v>
      </c>
      <c r="L1567" t="s">
        <v>41</v>
      </c>
      <c r="M1567" t="s">
        <v>972</v>
      </c>
      <c r="N1567" t="s">
        <v>41</v>
      </c>
    </row>
    <row r="1568" spans="3:14" x14ac:dyDescent="0.3">
      <c r="C1568" t="s">
        <v>41</v>
      </c>
      <c r="D1568" t="s">
        <v>41</v>
      </c>
      <c r="K1568">
        <v>0</v>
      </c>
      <c r="L1568" t="s">
        <v>41</v>
      </c>
      <c r="M1568" t="s">
        <v>972</v>
      </c>
      <c r="N1568" t="s">
        <v>41</v>
      </c>
    </row>
    <row r="1569" spans="3:14" x14ac:dyDescent="0.3">
      <c r="C1569" t="s">
        <v>41</v>
      </c>
      <c r="D1569" t="s">
        <v>41</v>
      </c>
      <c r="K1569">
        <v>0</v>
      </c>
      <c r="L1569" t="s">
        <v>41</v>
      </c>
      <c r="M1569" t="s">
        <v>972</v>
      </c>
      <c r="N1569" t="s">
        <v>41</v>
      </c>
    </row>
    <row r="1570" spans="3:14" x14ac:dyDescent="0.3">
      <c r="C1570" t="s">
        <v>41</v>
      </c>
      <c r="D1570" t="s">
        <v>41</v>
      </c>
      <c r="K1570">
        <v>0</v>
      </c>
      <c r="L1570" t="s">
        <v>41</v>
      </c>
      <c r="M1570" t="s">
        <v>972</v>
      </c>
      <c r="N1570" t="s">
        <v>41</v>
      </c>
    </row>
    <row r="1571" spans="3:14" x14ac:dyDescent="0.3">
      <c r="C1571" t="s">
        <v>41</v>
      </c>
      <c r="D1571" t="s">
        <v>41</v>
      </c>
      <c r="K1571">
        <v>0</v>
      </c>
      <c r="L1571" t="s">
        <v>41</v>
      </c>
      <c r="M1571" t="s">
        <v>972</v>
      </c>
      <c r="N1571" t="s">
        <v>41</v>
      </c>
    </row>
    <row r="1572" spans="3:14" x14ac:dyDescent="0.3">
      <c r="C1572" t="s">
        <v>41</v>
      </c>
      <c r="D1572" t="s">
        <v>41</v>
      </c>
      <c r="K1572">
        <v>0</v>
      </c>
      <c r="L1572" t="s">
        <v>41</v>
      </c>
      <c r="M1572" t="s">
        <v>972</v>
      </c>
      <c r="N1572" t="s">
        <v>41</v>
      </c>
    </row>
    <row r="1573" spans="3:14" x14ac:dyDescent="0.3">
      <c r="C1573" t="s">
        <v>41</v>
      </c>
      <c r="D1573" t="s">
        <v>41</v>
      </c>
      <c r="K1573">
        <v>0</v>
      </c>
      <c r="L1573" t="s">
        <v>41</v>
      </c>
      <c r="M1573" t="s">
        <v>972</v>
      </c>
      <c r="N1573" t="s">
        <v>41</v>
      </c>
    </row>
    <row r="1574" spans="3:14" x14ac:dyDescent="0.3">
      <c r="C1574" t="s">
        <v>41</v>
      </c>
      <c r="D1574" t="s">
        <v>41</v>
      </c>
      <c r="K1574">
        <v>0</v>
      </c>
      <c r="L1574" t="s">
        <v>41</v>
      </c>
      <c r="M1574" t="s">
        <v>972</v>
      </c>
      <c r="N1574" t="s">
        <v>41</v>
      </c>
    </row>
    <row r="1575" spans="3:14" x14ac:dyDescent="0.3">
      <c r="C1575" t="s">
        <v>41</v>
      </c>
      <c r="D1575" t="s">
        <v>41</v>
      </c>
      <c r="K1575">
        <v>0</v>
      </c>
      <c r="L1575" t="s">
        <v>41</v>
      </c>
      <c r="M1575" t="s">
        <v>972</v>
      </c>
      <c r="N1575" t="s">
        <v>41</v>
      </c>
    </row>
    <row r="1576" spans="3:14" x14ac:dyDescent="0.3">
      <c r="C1576" t="s">
        <v>41</v>
      </c>
      <c r="D1576" t="s">
        <v>41</v>
      </c>
      <c r="K1576">
        <v>0</v>
      </c>
      <c r="L1576" t="s">
        <v>41</v>
      </c>
      <c r="M1576" t="s">
        <v>972</v>
      </c>
      <c r="N1576" t="s">
        <v>41</v>
      </c>
    </row>
    <row r="1577" spans="3:14" x14ac:dyDescent="0.3">
      <c r="C1577" t="s">
        <v>41</v>
      </c>
      <c r="D1577" t="s">
        <v>41</v>
      </c>
      <c r="K1577">
        <v>0</v>
      </c>
      <c r="L1577" t="s">
        <v>41</v>
      </c>
      <c r="M1577" t="s">
        <v>972</v>
      </c>
      <c r="N1577" t="s">
        <v>41</v>
      </c>
    </row>
    <row r="1578" spans="3:14" x14ac:dyDescent="0.3">
      <c r="C1578" t="s">
        <v>41</v>
      </c>
      <c r="D1578" t="s">
        <v>41</v>
      </c>
      <c r="K1578">
        <v>0</v>
      </c>
      <c r="L1578" t="s">
        <v>41</v>
      </c>
      <c r="M1578" t="s">
        <v>972</v>
      </c>
      <c r="N1578" t="s">
        <v>41</v>
      </c>
    </row>
    <row r="1579" spans="3:14" x14ac:dyDescent="0.3">
      <c r="C1579" t="s">
        <v>41</v>
      </c>
      <c r="D1579" t="s">
        <v>41</v>
      </c>
      <c r="K1579">
        <v>0</v>
      </c>
      <c r="L1579" t="s">
        <v>41</v>
      </c>
      <c r="M1579" t="s">
        <v>972</v>
      </c>
      <c r="N1579" t="s">
        <v>41</v>
      </c>
    </row>
    <row r="1580" spans="3:14" x14ac:dyDescent="0.3">
      <c r="C1580" t="s">
        <v>41</v>
      </c>
      <c r="D1580" t="s">
        <v>41</v>
      </c>
      <c r="K1580">
        <v>0</v>
      </c>
      <c r="L1580" t="s">
        <v>41</v>
      </c>
      <c r="M1580" t="s">
        <v>972</v>
      </c>
      <c r="N1580" t="s">
        <v>41</v>
      </c>
    </row>
    <row r="1581" spans="3:14" x14ac:dyDescent="0.3">
      <c r="C1581" t="s">
        <v>41</v>
      </c>
      <c r="D1581" t="s">
        <v>41</v>
      </c>
      <c r="K1581">
        <v>0</v>
      </c>
      <c r="L1581" t="s">
        <v>41</v>
      </c>
      <c r="M1581" t="s">
        <v>972</v>
      </c>
      <c r="N1581" t="s">
        <v>41</v>
      </c>
    </row>
    <row r="1582" spans="3:14" x14ac:dyDescent="0.3">
      <c r="C1582" t="s">
        <v>41</v>
      </c>
      <c r="D1582" t="s">
        <v>41</v>
      </c>
      <c r="K1582">
        <v>0</v>
      </c>
      <c r="L1582" t="s">
        <v>41</v>
      </c>
      <c r="M1582" t="s">
        <v>972</v>
      </c>
      <c r="N1582" t="s">
        <v>41</v>
      </c>
    </row>
    <row r="1583" spans="3:14" x14ac:dyDescent="0.3">
      <c r="C1583" t="s">
        <v>41</v>
      </c>
      <c r="D1583" t="s">
        <v>41</v>
      </c>
      <c r="K1583">
        <v>0</v>
      </c>
      <c r="L1583" t="s">
        <v>41</v>
      </c>
      <c r="M1583" t="s">
        <v>972</v>
      </c>
      <c r="N1583" t="s">
        <v>41</v>
      </c>
    </row>
    <row r="1584" spans="3:14" x14ac:dyDescent="0.3">
      <c r="C1584" t="s">
        <v>41</v>
      </c>
      <c r="D1584" t="s">
        <v>41</v>
      </c>
      <c r="K1584">
        <v>0</v>
      </c>
      <c r="L1584" t="s">
        <v>41</v>
      </c>
      <c r="M1584" t="s">
        <v>972</v>
      </c>
      <c r="N1584" t="s">
        <v>41</v>
      </c>
    </row>
    <row r="1585" spans="3:14" x14ac:dyDescent="0.3">
      <c r="C1585" t="s">
        <v>41</v>
      </c>
      <c r="D1585" t="s">
        <v>41</v>
      </c>
      <c r="K1585">
        <v>0</v>
      </c>
      <c r="L1585" t="s">
        <v>41</v>
      </c>
      <c r="M1585" t="s">
        <v>972</v>
      </c>
      <c r="N1585" t="s">
        <v>41</v>
      </c>
    </row>
    <row r="1586" spans="3:14" x14ac:dyDescent="0.3">
      <c r="C1586" t="s">
        <v>41</v>
      </c>
      <c r="D1586" t="s">
        <v>41</v>
      </c>
      <c r="K1586">
        <v>0</v>
      </c>
      <c r="L1586" t="s">
        <v>41</v>
      </c>
      <c r="M1586" t="s">
        <v>972</v>
      </c>
      <c r="N1586" t="s">
        <v>41</v>
      </c>
    </row>
    <row r="1587" spans="3:14" x14ac:dyDescent="0.3">
      <c r="C1587" t="s">
        <v>41</v>
      </c>
      <c r="D1587" t="s">
        <v>41</v>
      </c>
      <c r="K1587">
        <v>0</v>
      </c>
      <c r="L1587" t="s">
        <v>41</v>
      </c>
      <c r="M1587" t="s">
        <v>972</v>
      </c>
      <c r="N1587" t="s">
        <v>41</v>
      </c>
    </row>
    <row r="1588" spans="3:14" x14ac:dyDescent="0.3">
      <c r="C1588" t="s">
        <v>41</v>
      </c>
      <c r="D1588" t="s">
        <v>41</v>
      </c>
      <c r="K1588">
        <v>0</v>
      </c>
      <c r="L1588" t="s">
        <v>41</v>
      </c>
      <c r="M1588" t="s">
        <v>972</v>
      </c>
      <c r="N1588" t="s">
        <v>41</v>
      </c>
    </row>
    <row r="1589" spans="3:14" x14ac:dyDescent="0.3">
      <c r="C1589" t="s">
        <v>41</v>
      </c>
      <c r="D1589" t="s">
        <v>41</v>
      </c>
      <c r="K1589">
        <v>0</v>
      </c>
      <c r="L1589" t="s">
        <v>41</v>
      </c>
      <c r="M1589" t="s">
        <v>972</v>
      </c>
      <c r="N1589" t="s">
        <v>41</v>
      </c>
    </row>
    <row r="1590" spans="3:14" x14ac:dyDescent="0.3">
      <c r="C1590" t="s">
        <v>41</v>
      </c>
      <c r="D1590" t="s">
        <v>41</v>
      </c>
      <c r="K1590">
        <v>0</v>
      </c>
      <c r="L1590" t="s">
        <v>41</v>
      </c>
      <c r="M1590" t="s">
        <v>972</v>
      </c>
      <c r="N1590" t="s">
        <v>41</v>
      </c>
    </row>
    <row r="1591" spans="3:14" x14ac:dyDescent="0.3">
      <c r="C1591" t="s">
        <v>41</v>
      </c>
      <c r="D1591" t="s">
        <v>41</v>
      </c>
      <c r="K1591">
        <v>0</v>
      </c>
      <c r="L1591" t="s">
        <v>41</v>
      </c>
      <c r="M1591" t="s">
        <v>972</v>
      </c>
      <c r="N1591" t="s">
        <v>41</v>
      </c>
    </row>
    <row r="1592" spans="3:14" x14ac:dyDescent="0.3">
      <c r="C1592" t="s">
        <v>41</v>
      </c>
      <c r="D1592" t="s">
        <v>41</v>
      </c>
      <c r="K1592">
        <v>0</v>
      </c>
      <c r="L1592" t="s">
        <v>41</v>
      </c>
      <c r="M1592" t="s">
        <v>972</v>
      </c>
      <c r="N1592" t="s">
        <v>41</v>
      </c>
    </row>
    <row r="1593" spans="3:14" x14ac:dyDescent="0.3">
      <c r="C1593" t="s">
        <v>41</v>
      </c>
      <c r="D1593" t="s">
        <v>41</v>
      </c>
      <c r="K1593">
        <v>0</v>
      </c>
      <c r="L1593" t="s">
        <v>41</v>
      </c>
      <c r="M1593" t="s">
        <v>972</v>
      </c>
      <c r="N1593" t="s">
        <v>41</v>
      </c>
    </row>
    <row r="1594" spans="3:14" x14ac:dyDescent="0.3">
      <c r="C1594" t="s">
        <v>41</v>
      </c>
      <c r="D1594" t="s">
        <v>41</v>
      </c>
      <c r="K1594">
        <v>0</v>
      </c>
      <c r="L1594" t="s">
        <v>41</v>
      </c>
      <c r="M1594" t="s">
        <v>972</v>
      </c>
      <c r="N1594" t="s">
        <v>41</v>
      </c>
    </row>
    <row r="1595" spans="3:14" x14ac:dyDescent="0.3">
      <c r="C1595" t="s">
        <v>41</v>
      </c>
      <c r="D1595" t="s">
        <v>41</v>
      </c>
      <c r="K1595">
        <v>0</v>
      </c>
      <c r="L1595" t="s">
        <v>41</v>
      </c>
      <c r="M1595" t="s">
        <v>972</v>
      </c>
      <c r="N1595" t="s">
        <v>41</v>
      </c>
    </row>
    <row r="1596" spans="3:14" x14ac:dyDescent="0.3">
      <c r="C1596" t="s">
        <v>41</v>
      </c>
      <c r="D1596" t="s">
        <v>41</v>
      </c>
      <c r="K1596">
        <v>0</v>
      </c>
      <c r="L1596" t="s">
        <v>41</v>
      </c>
      <c r="M1596" t="s">
        <v>972</v>
      </c>
      <c r="N1596" t="s">
        <v>41</v>
      </c>
    </row>
    <row r="1597" spans="3:14" x14ac:dyDescent="0.3">
      <c r="C1597" t="s">
        <v>41</v>
      </c>
      <c r="D1597" t="s">
        <v>41</v>
      </c>
      <c r="K1597">
        <v>0</v>
      </c>
      <c r="L1597" t="s">
        <v>41</v>
      </c>
      <c r="M1597" t="s">
        <v>972</v>
      </c>
      <c r="N1597" t="s">
        <v>41</v>
      </c>
    </row>
    <row r="1598" spans="3:14" x14ac:dyDescent="0.3">
      <c r="C1598" t="s">
        <v>41</v>
      </c>
      <c r="D1598" t="s">
        <v>41</v>
      </c>
      <c r="K1598">
        <v>0</v>
      </c>
      <c r="L1598" t="s">
        <v>41</v>
      </c>
      <c r="M1598" t="s">
        <v>972</v>
      </c>
      <c r="N1598" t="s">
        <v>41</v>
      </c>
    </row>
    <row r="1599" spans="3:14" x14ac:dyDescent="0.3">
      <c r="C1599" t="s">
        <v>41</v>
      </c>
      <c r="D1599" t="s">
        <v>41</v>
      </c>
      <c r="K1599">
        <v>0</v>
      </c>
      <c r="L1599" t="s">
        <v>41</v>
      </c>
      <c r="M1599" t="s">
        <v>972</v>
      </c>
      <c r="N1599" t="s">
        <v>41</v>
      </c>
    </row>
    <row r="1600" spans="3:14" x14ac:dyDescent="0.3">
      <c r="C1600" t="s">
        <v>41</v>
      </c>
      <c r="D1600" t="s">
        <v>41</v>
      </c>
      <c r="K1600">
        <v>0</v>
      </c>
      <c r="L1600" t="s">
        <v>41</v>
      </c>
      <c r="M1600" t="s">
        <v>972</v>
      </c>
      <c r="N1600" t="s">
        <v>41</v>
      </c>
    </row>
    <row r="1601" spans="3:14" x14ac:dyDescent="0.3">
      <c r="C1601" t="s">
        <v>41</v>
      </c>
      <c r="D1601" t="s">
        <v>41</v>
      </c>
      <c r="K1601">
        <v>0</v>
      </c>
      <c r="L1601" t="s">
        <v>41</v>
      </c>
      <c r="M1601" t="s">
        <v>972</v>
      </c>
      <c r="N1601" t="s">
        <v>41</v>
      </c>
    </row>
    <row r="1602" spans="3:14" x14ac:dyDescent="0.3">
      <c r="C1602" t="s">
        <v>41</v>
      </c>
      <c r="D1602" t="s">
        <v>41</v>
      </c>
      <c r="K1602">
        <v>0</v>
      </c>
      <c r="L1602" t="s">
        <v>41</v>
      </c>
      <c r="M1602" t="s">
        <v>972</v>
      </c>
      <c r="N1602" t="s">
        <v>41</v>
      </c>
    </row>
    <row r="1603" spans="3:14" x14ac:dyDescent="0.3">
      <c r="C1603" t="s">
        <v>41</v>
      </c>
      <c r="D1603" t="s">
        <v>41</v>
      </c>
      <c r="K1603">
        <v>0</v>
      </c>
      <c r="L1603" t="s">
        <v>41</v>
      </c>
      <c r="M1603" t="s">
        <v>972</v>
      </c>
      <c r="N1603" t="s">
        <v>41</v>
      </c>
    </row>
    <row r="1604" spans="3:14" x14ac:dyDescent="0.3">
      <c r="C1604" t="s">
        <v>41</v>
      </c>
      <c r="D1604" t="s">
        <v>41</v>
      </c>
      <c r="K1604">
        <v>0</v>
      </c>
      <c r="L1604" t="s">
        <v>41</v>
      </c>
      <c r="M1604" t="s">
        <v>972</v>
      </c>
      <c r="N1604" t="s">
        <v>41</v>
      </c>
    </row>
    <row r="1605" spans="3:14" x14ac:dyDescent="0.3">
      <c r="C1605" t="s">
        <v>41</v>
      </c>
      <c r="D1605" t="s">
        <v>41</v>
      </c>
      <c r="K1605">
        <v>0</v>
      </c>
      <c r="L1605" t="s">
        <v>41</v>
      </c>
      <c r="M1605" t="s">
        <v>972</v>
      </c>
      <c r="N1605" t="s">
        <v>41</v>
      </c>
    </row>
    <row r="1606" spans="3:14" x14ac:dyDescent="0.3">
      <c r="C1606" t="s">
        <v>41</v>
      </c>
      <c r="D1606" t="s">
        <v>41</v>
      </c>
      <c r="K1606">
        <v>0</v>
      </c>
      <c r="L1606" t="s">
        <v>41</v>
      </c>
      <c r="M1606" t="s">
        <v>972</v>
      </c>
      <c r="N1606" t="s">
        <v>41</v>
      </c>
    </row>
    <row r="1607" spans="3:14" x14ac:dyDescent="0.3">
      <c r="C1607" t="s">
        <v>41</v>
      </c>
      <c r="D1607" t="s">
        <v>41</v>
      </c>
      <c r="K1607">
        <v>0</v>
      </c>
      <c r="L1607" t="s">
        <v>41</v>
      </c>
      <c r="M1607" t="s">
        <v>972</v>
      </c>
      <c r="N1607" t="s">
        <v>41</v>
      </c>
    </row>
    <row r="1608" spans="3:14" x14ac:dyDescent="0.3">
      <c r="C1608" t="s">
        <v>41</v>
      </c>
      <c r="D1608" t="s">
        <v>41</v>
      </c>
      <c r="K1608">
        <v>0</v>
      </c>
      <c r="L1608" t="s">
        <v>41</v>
      </c>
      <c r="M1608" t="s">
        <v>972</v>
      </c>
      <c r="N1608" t="s">
        <v>41</v>
      </c>
    </row>
    <row r="1609" spans="3:14" x14ac:dyDescent="0.3">
      <c r="C1609" t="s">
        <v>41</v>
      </c>
      <c r="D1609" t="s">
        <v>41</v>
      </c>
      <c r="K1609">
        <v>0</v>
      </c>
      <c r="L1609" t="s">
        <v>41</v>
      </c>
      <c r="M1609" t="s">
        <v>972</v>
      </c>
      <c r="N1609" t="s">
        <v>41</v>
      </c>
    </row>
    <row r="1610" spans="3:14" x14ac:dyDescent="0.3">
      <c r="C1610" t="s">
        <v>41</v>
      </c>
      <c r="D1610" t="s">
        <v>41</v>
      </c>
      <c r="K1610">
        <v>0</v>
      </c>
      <c r="L1610" t="s">
        <v>41</v>
      </c>
      <c r="M1610" t="s">
        <v>972</v>
      </c>
      <c r="N1610" t="s">
        <v>41</v>
      </c>
    </row>
    <row r="1611" spans="3:14" x14ac:dyDescent="0.3">
      <c r="C1611" t="s">
        <v>41</v>
      </c>
      <c r="D1611" t="s">
        <v>41</v>
      </c>
      <c r="K1611">
        <v>0</v>
      </c>
      <c r="L1611" t="s">
        <v>41</v>
      </c>
      <c r="M1611" t="s">
        <v>972</v>
      </c>
      <c r="N1611" t="s">
        <v>41</v>
      </c>
    </row>
    <row r="1612" spans="3:14" x14ac:dyDescent="0.3">
      <c r="C1612" t="s">
        <v>41</v>
      </c>
      <c r="D1612" t="s">
        <v>41</v>
      </c>
      <c r="K1612">
        <v>0</v>
      </c>
      <c r="L1612" t="s">
        <v>41</v>
      </c>
      <c r="M1612" t="s">
        <v>972</v>
      </c>
      <c r="N1612" t="s">
        <v>41</v>
      </c>
    </row>
    <row r="1613" spans="3:14" x14ac:dyDescent="0.3">
      <c r="C1613" t="s">
        <v>41</v>
      </c>
      <c r="D1613" t="s">
        <v>41</v>
      </c>
      <c r="K1613">
        <v>0</v>
      </c>
      <c r="L1613" t="s">
        <v>41</v>
      </c>
      <c r="M1613" t="s">
        <v>972</v>
      </c>
      <c r="N1613" t="s">
        <v>41</v>
      </c>
    </row>
    <row r="1614" spans="3:14" x14ac:dyDescent="0.3">
      <c r="C1614" t="s">
        <v>41</v>
      </c>
      <c r="D1614" t="s">
        <v>41</v>
      </c>
      <c r="K1614">
        <v>0</v>
      </c>
      <c r="L1614" t="s">
        <v>41</v>
      </c>
      <c r="M1614" t="s">
        <v>972</v>
      </c>
      <c r="N1614" t="s">
        <v>41</v>
      </c>
    </row>
    <row r="1615" spans="3:14" x14ac:dyDescent="0.3">
      <c r="C1615" t="s">
        <v>41</v>
      </c>
      <c r="D1615" t="s">
        <v>41</v>
      </c>
      <c r="K1615">
        <v>0</v>
      </c>
      <c r="L1615" t="s">
        <v>41</v>
      </c>
      <c r="M1615" t="s">
        <v>972</v>
      </c>
      <c r="N1615" t="s">
        <v>41</v>
      </c>
    </row>
    <row r="1616" spans="3:14" x14ac:dyDescent="0.3">
      <c r="C1616" t="s">
        <v>41</v>
      </c>
      <c r="D1616" t="s">
        <v>41</v>
      </c>
      <c r="K1616">
        <v>0</v>
      </c>
      <c r="L1616" t="s">
        <v>41</v>
      </c>
      <c r="M1616" t="s">
        <v>972</v>
      </c>
      <c r="N1616" t="s">
        <v>41</v>
      </c>
    </row>
    <row r="1617" spans="3:14" x14ac:dyDescent="0.3">
      <c r="C1617" t="s">
        <v>41</v>
      </c>
      <c r="D1617" t="s">
        <v>41</v>
      </c>
      <c r="K1617">
        <v>0</v>
      </c>
      <c r="L1617" t="s">
        <v>41</v>
      </c>
      <c r="M1617" t="s">
        <v>972</v>
      </c>
      <c r="N1617" t="s">
        <v>41</v>
      </c>
    </row>
    <row r="1618" spans="3:14" x14ac:dyDescent="0.3">
      <c r="C1618" t="s">
        <v>41</v>
      </c>
      <c r="D1618" t="s">
        <v>41</v>
      </c>
      <c r="K1618">
        <v>0</v>
      </c>
      <c r="L1618" t="s">
        <v>41</v>
      </c>
      <c r="M1618" t="s">
        <v>972</v>
      </c>
      <c r="N1618" t="s">
        <v>41</v>
      </c>
    </row>
    <row r="1619" spans="3:14" x14ac:dyDescent="0.3">
      <c r="C1619" t="s">
        <v>41</v>
      </c>
      <c r="D1619" t="s">
        <v>41</v>
      </c>
      <c r="K1619">
        <v>0</v>
      </c>
      <c r="L1619" t="s">
        <v>41</v>
      </c>
      <c r="M1619" t="s">
        <v>972</v>
      </c>
      <c r="N1619" t="s">
        <v>41</v>
      </c>
    </row>
    <row r="1620" spans="3:14" x14ac:dyDescent="0.3">
      <c r="C1620" t="s">
        <v>41</v>
      </c>
      <c r="D1620" t="s">
        <v>41</v>
      </c>
      <c r="K1620">
        <v>0</v>
      </c>
      <c r="L1620" t="s">
        <v>41</v>
      </c>
      <c r="M1620" t="s">
        <v>972</v>
      </c>
      <c r="N1620" t="s">
        <v>41</v>
      </c>
    </row>
    <row r="1621" spans="3:14" x14ac:dyDescent="0.3">
      <c r="C1621" t="s">
        <v>41</v>
      </c>
      <c r="D1621" t="s">
        <v>41</v>
      </c>
      <c r="K1621">
        <v>0</v>
      </c>
      <c r="L1621" t="s">
        <v>41</v>
      </c>
      <c r="M1621" t="s">
        <v>972</v>
      </c>
      <c r="N1621" t="s">
        <v>41</v>
      </c>
    </row>
    <row r="1622" spans="3:14" x14ac:dyDescent="0.3">
      <c r="C1622" t="s">
        <v>41</v>
      </c>
      <c r="D1622" t="s">
        <v>41</v>
      </c>
      <c r="K1622">
        <v>0</v>
      </c>
      <c r="L1622" t="s">
        <v>41</v>
      </c>
      <c r="M1622" t="s">
        <v>972</v>
      </c>
      <c r="N1622" t="s">
        <v>41</v>
      </c>
    </row>
    <row r="1623" spans="3:14" x14ac:dyDescent="0.3">
      <c r="C1623" t="s">
        <v>41</v>
      </c>
      <c r="D1623" t="s">
        <v>41</v>
      </c>
      <c r="K1623">
        <v>0</v>
      </c>
      <c r="L1623" t="s">
        <v>41</v>
      </c>
      <c r="M1623" t="s">
        <v>972</v>
      </c>
      <c r="N1623" t="s">
        <v>41</v>
      </c>
    </row>
    <row r="1624" spans="3:14" x14ac:dyDescent="0.3">
      <c r="C1624" t="s">
        <v>41</v>
      </c>
      <c r="D1624" t="s">
        <v>41</v>
      </c>
      <c r="K1624">
        <v>0</v>
      </c>
      <c r="L1624" t="s">
        <v>41</v>
      </c>
      <c r="M1624" t="s">
        <v>972</v>
      </c>
      <c r="N1624" t="s">
        <v>41</v>
      </c>
    </row>
    <row r="1625" spans="3:14" x14ac:dyDescent="0.3">
      <c r="C1625" t="s">
        <v>41</v>
      </c>
      <c r="D1625" t="s">
        <v>41</v>
      </c>
      <c r="K1625">
        <v>0</v>
      </c>
      <c r="L1625" t="s">
        <v>41</v>
      </c>
      <c r="M1625" t="s">
        <v>972</v>
      </c>
      <c r="N1625" t="s">
        <v>41</v>
      </c>
    </row>
    <row r="1626" spans="3:14" x14ac:dyDescent="0.3">
      <c r="C1626" t="s">
        <v>41</v>
      </c>
      <c r="D1626" t="s">
        <v>41</v>
      </c>
      <c r="K1626">
        <v>0</v>
      </c>
      <c r="L1626" t="s">
        <v>41</v>
      </c>
      <c r="M1626" t="s">
        <v>972</v>
      </c>
      <c r="N1626" t="s">
        <v>41</v>
      </c>
    </row>
    <row r="1627" spans="3:14" x14ac:dyDescent="0.3">
      <c r="C1627" t="s">
        <v>41</v>
      </c>
      <c r="D1627" t="s">
        <v>41</v>
      </c>
      <c r="K1627">
        <v>0</v>
      </c>
      <c r="L1627" t="s">
        <v>41</v>
      </c>
      <c r="M1627" t="s">
        <v>972</v>
      </c>
      <c r="N1627" t="s">
        <v>41</v>
      </c>
    </row>
    <row r="1628" spans="3:14" x14ac:dyDescent="0.3">
      <c r="C1628" t="s">
        <v>41</v>
      </c>
      <c r="D1628" t="s">
        <v>41</v>
      </c>
      <c r="K1628">
        <v>0</v>
      </c>
      <c r="L1628" t="s">
        <v>41</v>
      </c>
      <c r="M1628" t="s">
        <v>972</v>
      </c>
      <c r="N1628" t="s">
        <v>41</v>
      </c>
    </row>
    <row r="1629" spans="3:14" x14ac:dyDescent="0.3">
      <c r="C1629" t="s">
        <v>41</v>
      </c>
      <c r="D1629" t="s">
        <v>41</v>
      </c>
      <c r="K1629">
        <v>0</v>
      </c>
      <c r="L1629" t="s">
        <v>41</v>
      </c>
      <c r="M1629" t="s">
        <v>972</v>
      </c>
      <c r="N1629" t="s">
        <v>41</v>
      </c>
    </row>
    <row r="1630" spans="3:14" x14ac:dyDescent="0.3">
      <c r="C1630" t="s">
        <v>41</v>
      </c>
      <c r="D1630" t="s">
        <v>41</v>
      </c>
      <c r="K1630">
        <v>0</v>
      </c>
      <c r="L1630" t="s">
        <v>41</v>
      </c>
      <c r="M1630" t="s">
        <v>972</v>
      </c>
      <c r="N1630" t="s">
        <v>41</v>
      </c>
    </row>
    <row r="1631" spans="3:14" x14ac:dyDescent="0.3">
      <c r="C1631" t="s">
        <v>41</v>
      </c>
      <c r="D1631" t="s">
        <v>41</v>
      </c>
      <c r="K1631">
        <v>0</v>
      </c>
      <c r="L1631" t="s">
        <v>41</v>
      </c>
      <c r="M1631" t="s">
        <v>972</v>
      </c>
      <c r="N1631" t="s">
        <v>41</v>
      </c>
    </row>
    <row r="1632" spans="3:14" x14ac:dyDescent="0.3">
      <c r="C1632" t="s">
        <v>41</v>
      </c>
      <c r="D1632" t="s">
        <v>41</v>
      </c>
      <c r="K1632">
        <v>0</v>
      </c>
      <c r="L1632" t="s">
        <v>41</v>
      </c>
      <c r="M1632" t="s">
        <v>972</v>
      </c>
      <c r="N1632" t="s">
        <v>41</v>
      </c>
    </row>
    <row r="1633" spans="3:14" x14ac:dyDescent="0.3">
      <c r="C1633" t="s">
        <v>41</v>
      </c>
      <c r="D1633" t="s">
        <v>41</v>
      </c>
      <c r="K1633">
        <v>0</v>
      </c>
      <c r="L1633" t="s">
        <v>41</v>
      </c>
      <c r="M1633" t="s">
        <v>972</v>
      </c>
      <c r="N1633" t="s">
        <v>41</v>
      </c>
    </row>
    <row r="1634" spans="3:14" x14ac:dyDescent="0.3">
      <c r="C1634" t="s">
        <v>41</v>
      </c>
      <c r="D1634" t="s">
        <v>41</v>
      </c>
      <c r="K1634">
        <v>0</v>
      </c>
      <c r="L1634" t="s">
        <v>41</v>
      </c>
      <c r="M1634" t="s">
        <v>972</v>
      </c>
      <c r="N1634" t="s">
        <v>41</v>
      </c>
    </row>
    <row r="1635" spans="3:14" x14ac:dyDescent="0.3">
      <c r="C1635" t="s">
        <v>41</v>
      </c>
      <c r="D1635" t="s">
        <v>41</v>
      </c>
      <c r="K1635">
        <v>0</v>
      </c>
      <c r="L1635" t="s">
        <v>41</v>
      </c>
      <c r="M1635" t="s">
        <v>972</v>
      </c>
      <c r="N1635" t="s">
        <v>41</v>
      </c>
    </row>
    <row r="1636" spans="3:14" x14ac:dyDescent="0.3">
      <c r="C1636" t="s">
        <v>41</v>
      </c>
      <c r="D1636" t="s">
        <v>41</v>
      </c>
      <c r="K1636">
        <v>0</v>
      </c>
      <c r="L1636" t="s">
        <v>41</v>
      </c>
      <c r="M1636" t="s">
        <v>972</v>
      </c>
      <c r="N1636" t="s">
        <v>41</v>
      </c>
    </row>
    <row r="1637" spans="3:14" x14ac:dyDescent="0.3">
      <c r="C1637" t="s">
        <v>41</v>
      </c>
      <c r="D1637" t="s">
        <v>41</v>
      </c>
      <c r="K1637">
        <v>0</v>
      </c>
      <c r="L1637" t="s">
        <v>41</v>
      </c>
      <c r="M1637" t="s">
        <v>972</v>
      </c>
      <c r="N1637" t="s">
        <v>41</v>
      </c>
    </row>
    <row r="1638" spans="3:14" x14ac:dyDescent="0.3">
      <c r="C1638" t="s">
        <v>41</v>
      </c>
      <c r="D1638" t="s">
        <v>41</v>
      </c>
      <c r="K1638">
        <v>0</v>
      </c>
      <c r="L1638" t="s">
        <v>41</v>
      </c>
      <c r="M1638" t="s">
        <v>972</v>
      </c>
      <c r="N1638" t="s">
        <v>41</v>
      </c>
    </row>
    <row r="1639" spans="3:14" x14ac:dyDescent="0.3">
      <c r="C1639" t="s">
        <v>41</v>
      </c>
      <c r="D1639" t="s">
        <v>41</v>
      </c>
      <c r="K1639">
        <v>0</v>
      </c>
      <c r="L1639" t="s">
        <v>41</v>
      </c>
      <c r="M1639" t="s">
        <v>972</v>
      </c>
      <c r="N1639" t="s">
        <v>41</v>
      </c>
    </row>
    <row r="1640" spans="3:14" x14ac:dyDescent="0.3">
      <c r="C1640" t="s">
        <v>41</v>
      </c>
      <c r="D1640" t="s">
        <v>41</v>
      </c>
      <c r="K1640">
        <v>0</v>
      </c>
      <c r="L1640" t="s">
        <v>41</v>
      </c>
      <c r="M1640" t="s">
        <v>972</v>
      </c>
      <c r="N1640" t="s">
        <v>41</v>
      </c>
    </row>
    <row r="1641" spans="3:14" x14ac:dyDescent="0.3">
      <c r="C1641" t="s">
        <v>41</v>
      </c>
      <c r="D1641" t="s">
        <v>41</v>
      </c>
      <c r="K1641">
        <v>0</v>
      </c>
      <c r="L1641" t="s">
        <v>41</v>
      </c>
      <c r="M1641" t="s">
        <v>972</v>
      </c>
      <c r="N1641" t="s">
        <v>41</v>
      </c>
    </row>
    <row r="1642" spans="3:14" x14ac:dyDescent="0.3">
      <c r="C1642" t="s">
        <v>41</v>
      </c>
      <c r="D1642" t="s">
        <v>41</v>
      </c>
      <c r="K1642">
        <v>0</v>
      </c>
      <c r="L1642" t="s">
        <v>41</v>
      </c>
      <c r="M1642" t="s">
        <v>972</v>
      </c>
      <c r="N1642" t="s">
        <v>41</v>
      </c>
    </row>
    <row r="1643" spans="3:14" x14ac:dyDescent="0.3">
      <c r="C1643" t="s">
        <v>41</v>
      </c>
      <c r="D1643" t="s">
        <v>41</v>
      </c>
      <c r="K1643">
        <v>0</v>
      </c>
      <c r="L1643" t="s">
        <v>41</v>
      </c>
      <c r="M1643" t="s">
        <v>972</v>
      </c>
      <c r="N1643" t="s">
        <v>41</v>
      </c>
    </row>
    <row r="1644" spans="3:14" x14ac:dyDescent="0.3">
      <c r="C1644" t="s">
        <v>41</v>
      </c>
      <c r="D1644" t="s">
        <v>41</v>
      </c>
      <c r="K1644">
        <v>0</v>
      </c>
      <c r="L1644" t="s">
        <v>41</v>
      </c>
      <c r="M1644" t="s">
        <v>972</v>
      </c>
      <c r="N1644" t="s">
        <v>41</v>
      </c>
    </row>
    <row r="1645" spans="3:14" x14ac:dyDescent="0.3">
      <c r="C1645" t="s">
        <v>41</v>
      </c>
      <c r="D1645" t="s">
        <v>41</v>
      </c>
      <c r="K1645">
        <v>0</v>
      </c>
      <c r="L1645" t="s">
        <v>41</v>
      </c>
      <c r="M1645" t="s">
        <v>972</v>
      </c>
      <c r="N1645" t="s">
        <v>41</v>
      </c>
    </row>
    <row r="1646" spans="3:14" x14ac:dyDescent="0.3">
      <c r="C1646" t="s">
        <v>41</v>
      </c>
      <c r="D1646" t="s">
        <v>41</v>
      </c>
      <c r="K1646">
        <v>0</v>
      </c>
      <c r="L1646" t="s">
        <v>41</v>
      </c>
      <c r="M1646" t="s">
        <v>972</v>
      </c>
      <c r="N1646" t="s">
        <v>41</v>
      </c>
    </row>
    <row r="1647" spans="3:14" x14ac:dyDescent="0.3">
      <c r="C1647" t="s">
        <v>41</v>
      </c>
      <c r="D1647" t="s">
        <v>41</v>
      </c>
      <c r="K1647">
        <v>0</v>
      </c>
      <c r="L1647" t="s">
        <v>41</v>
      </c>
      <c r="M1647" t="s">
        <v>972</v>
      </c>
      <c r="N1647" t="s">
        <v>41</v>
      </c>
    </row>
    <row r="1648" spans="3:14" x14ac:dyDescent="0.3">
      <c r="C1648" t="s">
        <v>41</v>
      </c>
      <c r="D1648" t="s">
        <v>41</v>
      </c>
      <c r="K1648">
        <v>0</v>
      </c>
      <c r="L1648" t="s">
        <v>41</v>
      </c>
      <c r="M1648" t="s">
        <v>972</v>
      </c>
      <c r="N1648" t="s">
        <v>41</v>
      </c>
    </row>
    <row r="1649" spans="3:14" x14ac:dyDescent="0.3">
      <c r="C1649" t="s">
        <v>41</v>
      </c>
      <c r="D1649" t="s">
        <v>41</v>
      </c>
      <c r="K1649">
        <v>0</v>
      </c>
      <c r="L1649" t="s">
        <v>41</v>
      </c>
      <c r="M1649" t="s">
        <v>972</v>
      </c>
      <c r="N1649" t="s">
        <v>41</v>
      </c>
    </row>
    <row r="1650" spans="3:14" x14ac:dyDescent="0.3">
      <c r="C1650" t="s">
        <v>41</v>
      </c>
      <c r="D1650" t="s">
        <v>41</v>
      </c>
      <c r="K1650">
        <v>0</v>
      </c>
      <c r="L1650" t="s">
        <v>41</v>
      </c>
      <c r="M1650" t="s">
        <v>972</v>
      </c>
      <c r="N1650" t="s">
        <v>41</v>
      </c>
    </row>
    <row r="1651" spans="3:14" x14ac:dyDescent="0.3">
      <c r="C1651" t="s">
        <v>41</v>
      </c>
      <c r="D1651" t="s">
        <v>41</v>
      </c>
      <c r="K1651">
        <v>0</v>
      </c>
      <c r="L1651" t="s">
        <v>41</v>
      </c>
      <c r="M1651" t="s">
        <v>972</v>
      </c>
      <c r="N1651" t="s">
        <v>41</v>
      </c>
    </row>
    <row r="1652" spans="3:14" x14ac:dyDescent="0.3">
      <c r="C1652" t="s">
        <v>41</v>
      </c>
      <c r="D1652" t="s">
        <v>41</v>
      </c>
      <c r="K1652">
        <v>0</v>
      </c>
      <c r="L1652" t="s">
        <v>41</v>
      </c>
      <c r="M1652" t="s">
        <v>972</v>
      </c>
      <c r="N1652" t="s">
        <v>41</v>
      </c>
    </row>
    <row r="1653" spans="3:14" x14ac:dyDescent="0.3">
      <c r="C1653" t="s">
        <v>41</v>
      </c>
      <c r="D1653" t="s">
        <v>41</v>
      </c>
      <c r="K1653">
        <v>0</v>
      </c>
      <c r="L1653" t="s">
        <v>41</v>
      </c>
      <c r="M1653" t="s">
        <v>972</v>
      </c>
      <c r="N1653" t="s">
        <v>41</v>
      </c>
    </row>
    <row r="1654" spans="3:14" x14ac:dyDescent="0.3">
      <c r="C1654" t="s">
        <v>41</v>
      </c>
      <c r="D1654" t="s">
        <v>41</v>
      </c>
      <c r="K1654">
        <v>0</v>
      </c>
      <c r="L1654" t="s">
        <v>41</v>
      </c>
      <c r="M1654" t="s">
        <v>972</v>
      </c>
      <c r="N1654" t="s">
        <v>41</v>
      </c>
    </row>
    <row r="1655" spans="3:14" x14ac:dyDescent="0.3">
      <c r="C1655" t="s">
        <v>41</v>
      </c>
      <c r="D1655" t="s">
        <v>41</v>
      </c>
      <c r="K1655">
        <v>0</v>
      </c>
      <c r="L1655" t="s">
        <v>41</v>
      </c>
      <c r="M1655" t="s">
        <v>972</v>
      </c>
      <c r="N1655" t="s">
        <v>41</v>
      </c>
    </row>
    <row r="1656" spans="3:14" x14ac:dyDescent="0.3">
      <c r="C1656" t="s">
        <v>41</v>
      </c>
      <c r="D1656" t="s">
        <v>41</v>
      </c>
      <c r="K1656">
        <v>0</v>
      </c>
      <c r="L1656" t="s">
        <v>41</v>
      </c>
      <c r="M1656" t="s">
        <v>972</v>
      </c>
      <c r="N1656" t="s">
        <v>41</v>
      </c>
    </row>
    <row r="1657" spans="3:14" x14ac:dyDescent="0.3">
      <c r="C1657" t="s">
        <v>41</v>
      </c>
      <c r="D1657" t="s">
        <v>41</v>
      </c>
      <c r="K1657">
        <v>0</v>
      </c>
      <c r="L1657" t="s">
        <v>41</v>
      </c>
      <c r="M1657" t="s">
        <v>972</v>
      </c>
      <c r="N1657" t="s">
        <v>41</v>
      </c>
    </row>
    <row r="1658" spans="3:14" x14ac:dyDescent="0.3">
      <c r="C1658" t="s">
        <v>41</v>
      </c>
      <c r="D1658" t="s">
        <v>41</v>
      </c>
      <c r="K1658">
        <v>0</v>
      </c>
      <c r="L1658" t="s">
        <v>41</v>
      </c>
      <c r="M1658" t="s">
        <v>972</v>
      </c>
      <c r="N1658" t="s">
        <v>41</v>
      </c>
    </row>
    <row r="1659" spans="3:14" x14ac:dyDescent="0.3">
      <c r="C1659" t="s">
        <v>41</v>
      </c>
      <c r="D1659" t="s">
        <v>41</v>
      </c>
      <c r="K1659">
        <v>0</v>
      </c>
      <c r="L1659" t="s">
        <v>41</v>
      </c>
      <c r="M1659" t="s">
        <v>972</v>
      </c>
      <c r="N1659" t="s">
        <v>41</v>
      </c>
    </row>
    <row r="1660" spans="3:14" x14ac:dyDescent="0.3">
      <c r="C1660" t="s">
        <v>41</v>
      </c>
      <c r="D1660" t="s">
        <v>41</v>
      </c>
      <c r="K1660">
        <v>0</v>
      </c>
      <c r="L1660" t="s">
        <v>41</v>
      </c>
      <c r="M1660" t="s">
        <v>972</v>
      </c>
      <c r="N1660" t="s">
        <v>41</v>
      </c>
    </row>
    <row r="1661" spans="3:14" x14ac:dyDescent="0.3">
      <c r="C1661" t="s">
        <v>41</v>
      </c>
      <c r="D1661" t="s">
        <v>41</v>
      </c>
      <c r="K1661">
        <v>0</v>
      </c>
      <c r="L1661" t="s">
        <v>41</v>
      </c>
      <c r="M1661" t="s">
        <v>972</v>
      </c>
      <c r="N1661" t="s">
        <v>41</v>
      </c>
    </row>
    <row r="1662" spans="3:14" x14ac:dyDescent="0.3">
      <c r="C1662" t="s">
        <v>41</v>
      </c>
      <c r="D1662" t="s">
        <v>41</v>
      </c>
      <c r="K1662">
        <v>0</v>
      </c>
      <c r="L1662" t="s">
        <v>41</v>
      </c>
      <c r="M1662" t="s">
        <v>972</v>
      </c>
      <c r="N1662" t="s">
        <v>41</v>
      </c>
    </row>
    <row r="1663" spans="3:14" x14ac:dyDescent="0.3">
      <c r="C1663" t="s">
        <v>41</v>
      </c>
      <c r="D1663" t="s">
        <v>41</v>
      </c>
      <c r="K1663">
        <v>0</v>
      </c>
      <c r="L1663" t="s">
        <v>41</v>
      </c>
      <c r="M1663" t="s">
        <v>972</v>
      </c>
      <c r="N1663" t="s">
        <v>41</v>
      </c>
    </row>
    <row r="1664" spans="3:14" x14ac:dyDescent="0.3">
      <c r="C1664" t="s">
        <v>41</v>
      </c>
      <c r="D1664" t="s">
        <v>41</v>
      </c>
      <c r="K1664">
        <v>0</v>
      </c>
      <c r="L1664" t="s">
        <v>41</v>
      </c>
      <c r="M1664" t="s">
        <v>972</v>
      </c>
      <c r="N1664" t="s">
        <v>41</v>
      </c>
    </row>
    <row r="1665" spans="3:14" x14ac:dyDescent="0.3">
      <c r="C1665" t="s">
        <v>41</v>
      </c>
      <c r="D1665" t="s">
        <v>41</v>
      </c>
      <c r="K1665">
        <v>0</v>
      </c>
      <c r="L1665" t="s">
        <v>41</v>
      </c>
      <c r="M1665" t="s">
        <v>972</v>
      </c>
      <c r="N1665" t="s">
        <v>41</v>
      </c>
    </row>
    <row r="1666" spans="3:14" x14ac:dyDescent="0.3">
      <c r="C1666" t="s">
        <v>41</v>
      </c>
      <c r="D1666" t="s">
        <v>41</v>
      </c>
      <c r="K1666">
        <v>0</v>
      </c>
      <c r="L1666" t="s">
        <v>41</v>
      </c>
      <c r="M1666" t="s">
        <v>972</v>
      </c>
      <c r="N1666" t="s">
        <v>41</v>
      </c>
    </row>
    <row r="1667" spans="3:14" x14ac:dyDescent="0.3">
      <c r="C1667" t="s">
        <v>41</v>
      </c>
      <c r="D1667" t="s">
        <v>41</v>
      </c>
      <c r="K1667">
        <v>0</v>
      </c>
      <c r="L1667" t="s">
        <v>41</v>
      </c>
      <c r="M1667" t="s">
        <v>972</v>
      </c>
      <c r="N1667" t="s">
        <v>41</v>
      </c>
    </row>
    <row r="1668" spans="3:14" x14ac:dyDescent="0.3">
      <c r="C1668" t="s">
        <v>41</v>
      </c>
      <c r="D1668" t="s">
        <v>41</v>
      </c>
      <c r="K1668">
        <v>0</v>
      </c>
      <c r="L1668" t="s">
        <v>41</v>
      </c>
      <c r="M1668" t="s">
        <v>972</v>
      </c>
      <c r="N1668" t="s">
        <v>41</v>
      </c>
    </row>
    <row r="1669" spans="3:14" x14ac:dyDescent="0.3">
      <c r="C1669" t="s">
        <v>41</v>
      </c>
      <c r="D1669" t="s">
        <v>41</v>
      </c>
      <c r="K1669">
        <v>0</v>
      </c>
      <c r="L1669" t="s">
        <v>41</v>
      </c>
      <c r="M1669" t="s">
        <v>972</v>
      </c>
      <c r="N1669" t="s">
        <v>41</v>
      </c>
    </row>
    <row r="1670" spans="3:14" x14ac:dyDescent="0.3">
      <c r="C1670" t="s">
        <v>41</v>
      </c>
      <c r="D1670" t="s">
        <v>41</v>
      </c>
      <c r="K1670">
        <v>0</v>
      </c>
      <c r="L1670" t="s">
        <v>41</v>
      </c>
      <c r="M1670" t="s">
        <v>972</v>
      </c>
      <c r="N1670" t="s">
        <v>41</v>
      </c>
    </row>
    <row r="1671" spans="3:14" x14ac:dyDescent="0.3">
      <c r="C1671" t="s">
        <v>41</v>
      </c>
      <c r="D1671" t="s">
        <v>41</v>
      </c>
      <c r="K1671">
        <v>0</v>
      </c>
      <c r="L1671" t="s">
        <v>41</v>
      </c>
      <c r="M1671" t="s">
        <v>972</v>
      </c>
      <c r="N1671" t="s">
        <v>41</v>
      </c>
    </row>
    <row r="1672" spans="3:14" x14ac:dyDescent="0.3">
      <c r="C1672" t="s">
        <v>41</v>
      </c>
      <c r="D1672" t="s">
        <v>41</v>
      </c>
      <c r="K1672">
        <v>0</v>
      </c>
      <c r="L1672" t="s">
        <v>41</v>
      </c>
      <c r="M1672" t="s">
        <v>972</v>
      </c>
      <c r="N1672" t="s">
        <v>41</v>
      </c>
    </row>
    <row r="1673" spans="3:14" x14ac:dyDescent="0.3">
      <c r="C1673" t="s">
        <v>41</v>
      </c>
      <c r="D1673" t="s">
        <v>41</v>
      </c>
      <c r="K1673">
        <v>0</v>
      </c>
      <c r="L1673" t="s">
        <v>41</v>
      </c>
      <c r="M1673" t="s">
        <v>972</v>
      </c>
      <c r="N1673" t="s">
        <v>41</v>
      </c>
    </row>
    <row r="1674" spans="3:14" x14ac:dyDescent="0.3">
      <c r="C1674" t="s">
        <v>41</v>
      </c>
      <c r="D1674" t="s">
        <v>41</v>
      </c>
      <c r="K1674">
        <v>0</v>
      </c>
      <c r="L1674" t="s">
        <v>41</v>
      </c>
      <c r="M1674" t="s">
        <v>972</v>
      </c>
      <c r="N1674" t="s">
        <v>41</v>
      </c>
    </row>
    <row r="1675" spans="3:14" x14ac:dyDescent="0.3">
      <c r="C1675" t="s">
        <v>41</v>
      </c>
      <c r="D1675" t="s">
        <v>41</v>
      </c>
      <c r="K1675">
        <v>0</v>
      </c>
      <c r="L1675" t="s">
        <v>41</v>
      </c>
      <c r="M1675" t="s">
        <v>972</v>
      </c>
      <c r="N1675" t="s">
        <v>41</v>
      </c>
    </row>
    <row r="1676" spans="3:14" x14ac:dyDescent="0.3">
      <c r="C1676" t="s">
        <v>41</v>
      </c>
      <c r="D1676" t="s">
        <v>41</v>
      </c>
      <c r="K1676">
        <v>0</v>
      </c>
      <c r="L1676" t="s">
        <v>41</v>
      </c>
      <c r="M1676" t="s">
        <v>972</v>
      </c>
      <c r="N1676" t="s">
        <v>41</v>
      </c>
    </row>
    <row r="1677" spans="3:14" x14ac:dyDescent="0.3">
      <c r="C1677" t="s">
        <v>41</v>
      </c>
      <c r="D1677" t="s">
        <v>41</v>
      </c>
      <c r="K1677">
        <v>0</v>
      </c>
      <c r="L1677" t="s">
        <v>41</v>
      </c>
      <c r="M1677" t="s">
        <v>972</v>
      </c>
      <c r="N1677" t="s">
        <v>41</v>
      </c>
    </row>
    <row r="1678" spans="3:14" x14ac:dyDescent="0.3">
      <c r="C1678" t="s">
        <v>41</v>
      </c>
      <c r="D1678" t="s">
        <v>41</v>
      </c>
      <c r="K1678">
        <v>0</v>
      </c>
      <c r="L1678" t="s">
        <v>41</v>
      </c>
      <c r="M1678" t="s">
        <v>972</v>
      </c>
      <c r="N1678" t="s">
        <v>41</v>
      </c>
    </row>
    <row r="1679" spans="3:14" x14ac:dyDescent="0.3">
      <c r="C1679" t="s">
        <v>41</v>
      </c>
      <c r="D1679" t="s">
        <v>41</v>
      </c>
      <c r="K1679">
        <v>0</v>
      </c>
      <c r="L1679" t="s">
        <v>41</v>
      </c>
      <c r="M1679" t="s">
        <v>972</v>
      </c>
      <c r="N1679" t="s">
        <v>41</v>
      </c>
    </row>
    <row r="1680" spans="3:14" x14ac:dyDescent="0.3">
      <c r="C1680" t="s">
        <v>41</v>
      </c>
      <c r="D1680" t="s">
        <v>41</v>
      </c>
      <c r="K1680">
        <v>0</v>
      </c>
      <c r="L1680" t="s">
        <v>41</v>
      </c>
      <c r="M1680" t="s">
        <v>972</v>
      </c>
      <c r="N1680" t="s">
        <v>41</v>
      </c>
    </row>
    <row r="1681" spans="3:14" x14ac:dyDescent="0.3">
      <c r="C1681" t="s">
        <v>41</v>
      </c>
      <c r="D1681" t="s">
        <v>41</v>
      </c>
      <c r="K1681">
        <v>0</v>
      </c>
      <c r="L1681" t="s">
        <v>41</v>
      </c>
      <c r="M1681" t="s">
        <v>972</v>
      </c>
      <c r="N1681" t="s">
        <v>41</v>
      </c>
    </row>
    <row r="1682" spans="3:14" x14ac:dyDescent="0.3">
      <c r="C1682" t="s">
        <v>41</v>
      </c>
      <c r="D1682" t="s">
        <v>41</v>
      </c>
      <c r="K1682">
        <v>0</v>
      </c>
      <c r="L1682" t="s">
        <v>41</v>
      </c>
      <c r="M1682" t="s">
        <v>972</v>
      </c>
      <c r="N1682" t="s">
        <v>41</v>
      </c>
    </row>
    <row r="1683" spans="3:14" x14ac:dyDescent="0.3">
      <c r="C1683" t="s">
        <v>41</v>
      </c>
      <c r="D1683" t="s">
        <v>41</v>
      </c>
      <c r="K1683">
        <v>0</v>
      </c>
      <c r="L1683" t="s">
        <v>41</v>
      </c>
      <c r="M1683" t="s">
        <v>972</v>
      </c>
      <c r="N1683" t="s">
        <v>41</v>
      </c>
    </row>
    <row r="1684" spans="3:14" x14ac:dyDescent="0.3">
      <c r="C1684" t="s">
        <v>41</v>
      </c>
      <c r="D1684" t="s">
        <v>41</v>
      </c>
      <c r="K1684">
        <v>0</v>
      </c>
      <c r="L1684" t="s">
        <v>41</v>
      </c>
      <c r="M1684" t="s">
        <v>972</v>
      </c>
      <c r="N1684" t="s">
        <v>41</v>
      </c>
    </row>
    <row r="1685" spans="3:14" x14ac:dyDescent="0.3">
      <c r="C1685" t="s">
        <v>41</v>
      </c>
      <c r="D1685" t="s">
        <v>41</v>
      </c>
      <c r="K1685">
        <v>0</v>
      </c>
      <c r="L1685" t="s">
        <v>41</v>
      </c>
      <c r="M1685" t="s">
        <v>972</v>
      </c>
      <c r="N1685" t="s">
        <v>41</v>
      </c>
    </row>
    <row r="1686" spans="3:14" x14ac:dyDescent="0.3">
      <c r="C1686" t="s">
        <v>41</v>
      </c>
      <c r="D1686" t="s">
        <v>41</v>
      </c>
      <c r="K1686">
        <v>0</v>
      </c>
      <c r="L1686" t="s">
        <v>41</v>
      </c>
      <c r="M1686" t="s">
        <v>972</v>
      </c>
      <c r="N1686" t="s">
        <v>41</v>
      </c>
    </row>
    <row r="1687" spans="3:14" x14ac:dyDescent="0.3">
      <c r="C1687" t="s">
        <v>41</v>
      </c>
      <c r="D1687" t="s">
        <v>41</v>
      </c>
      <c r="K1687">
        <v>0</v>
      </c>
      <c r="L1687" t="s">
        <v>41</v>
      </c>
      <c r="M1687" t="s">
        <v>972</v>
      </c>
      <c r="N1687" t="s">
        <v>41</v>
      </c>
    </row>
    <row r="1688" spans="3:14" x14ac:dyDescent="0.3">
      <c r="C1688" t="s">
        <v>41</v>
      </c>
      <c r="D1688" t="s">
        <v>41</v>
      </c>
      <c r="K1688">
        <v>0</v>
      </c>
      <c r="L1688" t="s">
        <v>41</v>
      </c>
      <c r="M1688" t="s">
        <v>972</v>
      </c>
      <c r="N1688" t="s">
        <v>41</v>
      </c>
    </row>
    <row r="1689" spans="3:14" x14ac:dyDescent="0.3">
      <c r="C1689" t="s">
        <v>41</v>
      </c>
      <c r="D1689" t="s">
        <v>41</v>
      </c>
      <c r="K1689">
        <v>0</v>
      </c>
      <c r="L1689" t="s">
        <v>41</v>
      </c>
      <c r="M1689" t="s">
        <v>972</v>
      </c>
      <c r="N1689" t="s">
        <v>41</v>
      </c>
    </row>
    <row r="1690" spans="3:14" x14ac:dyDescent="0.3">
      <c r="C1690" t="s">
        <v>41</v>
      </c>
      <c r="D1690" t="s">
        <v>41</v>
      </c>
      <c r="K1690">
        <v>0</v>
      </c>
      <c r="L1690" t="s">
        <v>41</v>
      </c>
      <c r="M1690" t="s">
        <v>972</v>
      </c>
      <c r="N1690" t="s">
        <v>41</v>
      </c>
    </row>
    <row r="1691" spans="3:14" x14ac:dyDescent="0.3">
      <c r="C1691" t="s">
        <v>41</v>
      </c>
      <c r="D1691" t="s">
        <v>41</v>
      </c>
      <c r="K1691">
        <v>0</v>
      </c>
      <c r="L1691" t="s">
        <v>41</v>
      </c>
      <c r="M1691" t="s">
        <v>972</v>
      </c>
      <c r="N1691" t="s">
        <v>41</v>
      </c>
    </row>
    <row r="1692" spans="3:14" x14ac:dyDescent="0.3">
      <c r="C1692" t="s">
        <v>41</v>
      </c>
      <c r="D1692" t="s">
        <v>41</v>
      </c>
      <c r="K1692">
        <v>0</v>
      </c>
      <c r="L1692" t="s">
        <v>41</v>
      </c>
      <c r="M1692" t="s">
        <v>972</v>
      </c>
      <c r="N1692" t="s">
        <v>41</v>
      </c>
    </row>
    <row r="1693" spans="3:14" x14ac:dyDescent="0.3">
      <c r="C1693" t="s">
        <v>41</v>
      </c>
      <c r="D1693" t="s">
        <v>41</v>
      </c>
      <c r="K1693">
        <v>0</v>
      </c>
      <c r="L1693" t="s">
        <v>41</v>
      </c>
      <c r="M1693" t="s">
        <v>972</v>
      </c>
      <c r="N1693" t="s">
        <v>41</v>
      </c>
    </row>
    <row r="1694" spans="3:14" x14ac:dyDescent="0.3">
      <c r="C1694" t="s">
        <v>41</v>
      </c>
      <c r="D1694" t="s">
        <v>41</v>
      </c>
      <c r="K1694">
        <v>0</v>
      </c>
      <c r="L1694" t="s">
        <v>41</v>
      </c>
      <c r="M1694" t="s">
        <v>972</v>
      </c>
      <c r="N1694" t="s">
        <v>41</v>
      </c>
    </row>
    <row r="1695" spans="3:14" x14ac:dyDescent="0.3">
      <c r="C1695" t="s">
        <v>41</v>
      </c>
      <c r="D1695" t="s">
        <v>41</v>
      </c>
      <c r="K1695">
        <v>0</v>
      </c>
      <c r="L1695" t="s">
        <v>41</v>
      </c>
      <c r="M1695" t="s">
        <v>972</v>
      </c>
      <c r="N1695" t="s">
        <v>41</v>
      </c>
    </row>
    <row r="1696" spans="3:14" x14ac:dyDescent="0.3">
      <c r="C1696" t="s">
        <v>41</v>
      </c>
      <c r="D1696" t="s">
        <v>41</v>
      </c>
      <c r="K1696">
        <v>0</v>
      </c>
      <c r="L1696" t="s">
        <v>41</v>
      </c>
      <c r="M1696" t="s">
        <v>972</v>
      </c>
      <c r="N1696" t="s">
        <v>41</v>
      </c>
    </row>
    <row r="1697" spans="3:14" x14ac:dyDescent="0.3">
      <c r="C1697" t="s">
        <v>41</v>
      </c>
      <c r="D1697" t="s">
        <v>41</v>
      </c>
      <c r="K1697">
        <v>0</v>
      </c>
      <c r="L1697" t="s">
        <v>41</v>
      </c>
      <c r="M1697" t="s">
        <v>972</v>
      </c>
      <c r="N1697" t="s">
        <v>41</v>
      </c>
    </row>
    <row r="1698" spans="3:14" x14ac:dyDescent="0.3">
      <c r="C1698" t="s">
        <v>41</v>
      </c>
      <c r="D1698" t="s">
        <v>41</v>
      </c>
      <c r="K1698">
        <v>0</v>
      </c>
      <c r="L1698" t="s">
        <v>41</v>
      </c>
      <c r="M1698" t="s">
        <v>972</v>
      </c>
      <c r="N1698" t="s">
        <v>41</v>
      </c>
    </row>
    <row r="1699" spans="3:14" x14ac:dyDescent="0.3">
      <c r="C1699" t="s">
        <v>41</v>
      </c>
      <c r="D1699" t="s">
        <v>41</v>
      </c>
      <c r="K1699">
        <v>0</v>
      </c>
      <c r="L1699" t="s">
        <v>41</v>
      </c>
      <c r="M1699" t="s">
        <v>972</v>
      </c>
      <c r="N1699" t="s">
        <v>41</v>
      </c>
    </row>
    <row r="1700" spans="3:14" x14ac:dyDescent="0.3">
      <c r="C1700" t="s">
        <v>41</v>
      </c>
      <c r="D1700" t="s">
        <v>41</v>
      </c>
      <c r="K1700">
        <v>0</v>
      </c>
      <c r="L1700" t="s">
        <v>41</v>
      </c>
      <c r="M1700" t="s">
        <v>972</v>
      </c>
      <c r="N1700" t="s">
        <v>41</v>
      </c>
    </row>
    <row r="1701" spans="3:14" x14ac:dyDescent="0.3">
      <c r="C1701" t="s">
        <v>41</v>
      </c>
      <c r="D1701" t="s">
        <v>41</v>
      </c>
      <c r="K1701">
        <v>0</v>
      </c>
      <c r="L1701" t="s">
        <v>41</v>
      </c>
      <c r="M1701" t="s">
        <v>972</v>
      </c>
      <c r="N1701" t="s">
        <v>41</v>
      </c>
    </row>
    <row r="1702" spans="3:14" x14ac:dyDescent="0.3">
      <c r="C1702" t="s">
        <v>41</v>
      </c>
      <c r="D1702" t="s">
        <v>41</v>
      </c>
      <c r="K1702">
        <v>0</v>
      </c>
      <c r="L1702" t="s">
        <v>41</v>
      </c>
      <c r="M1702" t="s">
        <v>972</v>
      </c>
      <c r="N1702" t="s">
        <v>41</v>
      </c>
    </row>
    <row r="1703" spans="3:14" x14ac:dyDescent="0.3">
      <c r="C1703" t="s">
        <v>41</v>
      </c>
      <c r="D1703" t="s">
        <v>41</v>
      </c>
      <c r="K1703">
        <v>0</v>
      </c>
      <c r="L1703" t="s">
        <v>41</v>
      </c>
      <c r="M1703" t="s">
        <v>972</v>
      </c>
      <c r="N1703" t="s">
        <v>41</v>
      </c>
    </row>
    <row r="1704" spans="3:14" x14ac:dyDescent="0.3">
      <c r="C1704" t="s">
        <v>41</v>
      </c>
      <c r="D1704" t="s">
        <v>41</v>
      </c>
      <c r="K1704">
        <v>0</v>
      </c>
      <c r="L1704" t="s">
        <v>41</v>
      </c>
      <c r="M1704" t="s">
        <v>972</v>
      </c>
      <c r="N1704" t="s">
        <v>41</v>
      </c>
    </row>
    <row r="1705" spans="3:14" x14ac:dyDescent="0.3">
      <c r="C1705" t="s">
        <v>41</v>
      </c>
      <c r="D1705" t="s">
        <v>41</v>
      </c>
      <c r="K1705">
        <v>0</v>
      </c>
      <c r="L1705" t="s">
        <v>41</v>
      </c>
      <c r="M1705" t="s">
        <v>972</v>
      </c>
      <c r="N1705" t="s">
        <v>41</v>
      </c>
    </row>
    <row r="1706" spans="3:14" x14ac:dyDescent="0.3">
      <c r="C1706" t="s">
        <v>41</v>
      </c>
      <c r="D1706" t="s">
        <v>41</v>
      </c>
      <c r="K1706">
        <v>0</v>
      </c>
      <c r="L1706" t="s">
        <v>41</v>
      </c>
      <c r="M1706" t="s">
        <v>972</v>
      </c>
      <c r="N1706" t="s">
        <v>41</v>
      </c>
    </row>
    <row r="1707" spans="3:14" x14ac:dyDescent="0.3">
      <c r="C1707" t="s">
        <v>41</v>
      </c>
      <c r="D1707" t="s">
        <v>41</v>
      </c>
      <c r="K1707">
        <v>0</v>
      </c>
      <c r="L1707" t="s">
        <v>41</v>
      </c>
      <c r="M1707" t="s">
        <v>972</v>
      </c>
      <c r="N1707" t="s">
        <v>41</v>
      </c>
    </row>
    <row r="1708" spans="3:14" x14ac:dyDescent="0.3">
      <c r="C1708" t="s">
        <v>41</v>
      </c>
      <c r="D1708" t="s">
        <v>41</v>
      </c>
      <c r="K1708">
        <v>0</v>
      </c>
      <c r="L1708" t="s">
        <v>41</v>
      </c>
      <c r="M1708" t="s">
        <v>972</v>
      </c>
      <c r="N1708" t="s">
        <v>41</v>
      </c>
    </row>
    <row r="1709" spans="3:14" x14ac:dyDescent="0.3">
      <c r="C1709" t="s">
        <v>41</v>
      </c>
      <c r="D1709" t="s">
        <v>41</v>
      </c>
      <c r="K1709">
        <v>0</v>
      </c>
      <c r="L1709" t="s">
        <v>41</v>
      </c>
      <c r="M1709" t="s">
        <v>972</v>
      </c>
      <c r="N1709" t="s">
        <v>41</v>
      </c>
    </row>
    <row r="1710" spans="3:14" x14ac:dyDescent="0.3">
      <c r="C1710" t="s">
        <v>41</v>
      </c>
      <c r="D1710" t="s">
        <v>41</v>
      </c>
      <c r="K1710">
        <v>0</v>
      </c>
      <c r="L1710" t="s">
        <v>41</v>
      </c>
      <c r="M1710" t="s">
        <v>972</v>
      </c>
      <c r="N1710" t="s">
        <v>41</v>
      </c>
    </row>
    <row r="1711" spans="3:14" x14ac:dyDescent="0.3">
      <c r="C1711" t="s">
        <v>41</v>
      </c>
      <c r="D1711" t="s">
        <v>41</v>
      </c>
      <c r="K1711">
        <v>0</v>
      </c>
      <c r="L1711" t="s">
        <v>41</v>
      </c>
      <c r="M1711" t="s">
        <v>972</v>
      </c>
      <c r="N1711" t="s">
        <v>41</v>
      </c>
    </row>
    <row r="1712" spans="3:14" x14ac:dyDescent="0.3">
      <c r="C1712" t="s">
        <v>41</v>
      </c>
      <c r="D1712" t="s">
        <v>41</v>
      </c>
      <c r="K1712">
        <v>0</v>
      </c>
      <c r="L1712" t="s">
        <v>41</v>
      </c>
      <c r="M1712" t="s">
        <v>972</v>
      </c>
      <c r="N1712" t="s">
        <v>41</v>
      </c>
    </row>
    <row r="1713" spans="3:14" x14ac:dyDescent="0.3">
      <c r="C1713" t="s">
        <v>41</v>
      </c>
      <c r="D1713" t="s">
        <v>41</v>
      </c>
      <c r="K1713">
        <v>0</v>
      </c>
      <c r="L1713" t="s">
        <v>41</v>
      </c>
      <c r="M1713" t="s">
        <v>972</v>
      </c>
      <c r="N1713" t="s">
        <v>41</v>
      </c>
    </row>
    <row r="1714" spans="3:14" x14ac:dyDescent="0.3">
      <c r="C1714" t="s">
        <v>41</v>
      </c>
      <c r="D1714" t="s">
        <v>41</v>
      </c>
      <c r="K1714">
        <v>0</v>
      </c>
      <c r="L1714" t="s">
        <v>41</v>
      </c>
      <c r="M1714" t="s">
        <v>972</v>
      </c>
      <c r="N1714" t="s">
        <v>41</v>
      </c>
    </row>
    <row r="1715" spans="3:14" x14ac:dyDescent="0.3">
      <c r="C1715" t="s">
        <v>41</v>
      </c>
      <c r="D1715" t="s">
        <v>41</v>
      </c>
      <c r="K1715">
        <v>0</v>
      </c>
      <c r="L1715" t="s">
        <v>41</v>
      </c>
      <c r="M1715" t="s">
        <v>972</v>
      </c>
      <c r="N1715" t="s">
        <v>41</v>
      </c>
    </row>
    <row r="1716" spans="3:14" x14ac:dyDescent="0.3">
      <c r="C1716" t="s">
        <v>41</v>
      </c>
      <c r="D1716" t="s">
        <v>41</v>
      </c>
      <c r="K1716">
        <v>0</v>
      </c>
      <c r="L1716" t="s">
        <v>41</v>
      </c>
      <c r="M1716" t="s">
        <v>972</v>
      </c>
      <c r="N1716" t="s">
        <v>41</v>
      </c>
    </row>
    <row r="1717" spans="3:14" x14ac:dyDescent="0.3">
      <c r="C1717" t="s">
        <v>41</v>
      </c>
      <c r="D1717" t="s">
        <v>41</v>
      </c>
      <c r="K1717">
        <v>0</v>
      </c>
      <c r="L1717" t="s">
        <v>41</v>
      </c>
      <c r="M1717" t="s">
        <v>972</v>
      </c>
      <c r="N1717" t="s">
        <v>41</v>
      </c>
    </row>
    <row r="1718" spans="3:14" x14ac:dyDescent="0.3">
      <c r="C1718" t="s">
        <v>41</v>
      </c>
      <c r="D1718" t="s">
        <v>41</v>
      </c>
      <c r="K1718">
        <v>0</v>
      </c>
      <c r="L1718" t="s">
        <v>41</v>
      </c>
      <c r="M1718" t="s">
        <v>972</v>
      </c>
      <c r="N1718" t="s">
        <v>41</v>
      </c>
    </row>
    <row r="1719" spans="3:14" x14ac:dyDescent="0.3">
      <c r="C1719" t="s">
        <v>41</v>
      </c>
      <c r="D1719" t="s">
        <v>41</v>
      </c>
      <c r="K1719">
        <v>0</v>
      </c>
      <c r="L1719" t="s">
        <v>41</v>
      </c>
      <c r="M1719" t="s">
        <v>972</v>
      </c>
      <c r="N1719" t="s">
        <v>41</v>
      </c>
    </row>
    <row r="1720" spans="3:14" x14ac:dyDescent="0.3">
      <c r="C1720" t="s">
        <v>41</v>
      </c>
      <c r="D1720" t="s">
        <v>41</v>
      </c>
      <c r="K1720">
        <v>0</v>
      </c>
      <c r="L1720" t="s">
        <v>41</v>
      </c>
      <c r="M1720" t="s">
        <v>972</v>
      </c>
      <c r="N1720" t="s">
        <v>41</v>
      </c>
    </row>
    <row r="1721" spans="3:14" x14ac:dyDescent="0.3">
      <c r="C1721" t="s">
        <v>41</v>
      </c>
      <c r="D1721" t="s">
        <v>41</v>
      </c>
      <c r="K1721">
        <v>0</v>
      </c>
      <c r="L1721" t="s">
        <v>41</v>
      </c>
      <c r="M1721" t="s">
        <v>972</v>
      </c>
      <c r="N1721" t="s">
        <v>41</v>
      </c>
    </row>
    <row r="1722" spans="3:14" x14ac:dyDescent="0.3">
      <c r="C1722" t="s">
        <v>41</v>
      </c>
      <c r="D1722" t="s">
        <v>41</v>
      </c>
      <c r="K1722">
        <v>0</v>
      </c>
      <c r="L1722" t="s">
        <v>41</v>
      </c>
      <c r="M1722" t="s">
        <v>972</v>
      </c>
      <c r="N1722" t="s">
        <v>41</v>
      </c>
    </row>
    <row r="1723" spans="3:14" x14ac:dyDescent="0.3">
      <c r="C1723" t="s">
        <v>41</v>
      </c>
      <c r="D1723" t="s">
        <v>41</v>
      </c>
      <c r="K1723">
        <v>0</v>
      </c>
      <c r="L1723" t="s">
        <v>41</v>
      </c>
      <c r="M1723" t="s">
        <v>972</v>
      </c>
      <c r="N1723" t="s">
        <v>41</v>
      </c>
    </row>
    <row r="1724" spans="3:14" x14ac:dyDescent="0.3">
      <c r="C1724" t="s">
        <v>41</v>
      </c>
      <c r="D1724" t="s">
        <v>41</v>
      </c>
      <c r="K1724">
        <v>0</v>
      </c>
      <c r="L1724" t="s">
        <v>41</v>
      </c>
      <c r="M1724" t="s">
        <v>972</v>
      </c>
      <c r="N1724" t="s">
        <v>41</v>
      </c>
    </row>
    <row r="1725" spans="3:14" x14ac:dyDescent="0.3">
      <c r="C1725" t="s">
        <v>41</v>
      </c>
      <c r="D1725" t="s">
        <v>41</v>
      </c>
      <c r="K1725">
        <v>0</v>
      </c>
      <c r="L1725" t="s">
        <v>41</v>
      </c>
      <c r="M1725" t="s">
        <v>972</v>
      </c>
      <c r="N1725" t="s">
        <v>41</v>
      </c>
    </row>
    <row r="1726" spans="3:14" x14ac:dyDescent="0.3">
      <c r="C1726" t="s">
        <v>41</v>
      </c>
      <c r="D1726" t="s">
        <v>41</v>
      </c>
      <c r="K1726">
        <v>0</v>
      </c>
      <c r="L1726" t="s">
        <v>41</v>
      </c>
      <c r="M1726" t="s">
        <v>972</v>
      </c>
      <c r="N1726" t="s">
        <v>41</v>
      </c>
    </row>
    <row r="1727" spans="3:14" x14ac:dyDescent="0.3">
      <c r="C1727" t="s">
        <v>41</v>
      </c>
      <c r="D1727" t="s">
        <v>41</v>
      </c>
      <c r="K1727">
        <v>0</v>
      </c>
      <c r="L1727" t="s">
        <v>41</v>
      </c>
      <c r="M1727" t="s">
        <v>972</v>
      </c>
      <c r="N1727" t="s">
        <v>41</v>
      </c>
    </row>
    <row r="1728" spans="3:14" x14ac:dyDescent="0.3">
      <c r="C1728" t="s">
        <v>41</v>
      </c>
      <c r="D1728" t="s">
        <v>41</v>
      </c>
      <c r="K1728">
        <v>0</v>
      </c>
      <c r="L1728" t="s">
        <v>41</v>
      </c>
      <c r="M1728" t="s">
        <v>972</v>
      </c>
      <c r="N1728" t="s">
        <v>41</v>
      </c>
    </row>
    <row r="1729" spans="3:14" x14ac:dyDescent="0.3">
      <c r="C1729" t="s">
        <v>41</v>
      </c>
      <c r="D1729" t="s">
        <v>41</v>
      </c>
      <c r="K1729">
        <v>0</v>
      </c>
      <c r="L1729" t="s">
        <v>41</v>
      </c>
      <c r="M1729" t="s">
        <v>972</v>
      </c>
      <c r="N1729" t="s">
        <v>41</v>
      </c>
    </row>
    <row r="1730" spans="3:14" x14ac:dyDescent="0.3">
      <c r="C1730" t="s">
        <v>41</v>
      </c>
      <c r="D1730" t="s">
        <v>41</v>
      </c>
      <c r="K1730">
        <v>0</v>
      </c>
      <c r="L1730" t="s">
        <v>41</v>
      </c>
      <c r="M1730" t="s">
        <v>972</v>
      </c>
      <c r="N1730" t="s">
        <v>41</v>
      </c>
    </row>
    <row r="1731" spans="3:14" x14ac:dyDescent="0.3">
      <c r="C1731" t="s">
        <v>41</v>
      </c>
      <c r="D1731" t="s">
        <v>41</v>
      </c>
      <c r="K1731">
        <v>0</v>
      </c>
      <c r="L1731" t="s">
        <v>41</v>
      </c>
      <c r="M1731" t="s">
        <v>972</v>
      </c>
      <c r="N1731" t="s">
        <v>41</v>
      </c>
    </row>
    <row r="1732" spans="3:14" x14ac:dyDescent="0.3">
      <c r="C1732" t="s">
        <v>41</v>
      </c>
      <c r="D1732" t="s">
        <v>41</v>
      </c>
      <c r="K1732">
        <v>0</v>
      </c>
      <c r="L1732" t="s">
        <v>41</v>
      </c>
      <c r="M1732" t="s">
        <v>972</v>
      </c>
      <c r="N1732" t="s">
        <v>41</v>
      </c>
    </row>
    <row r="1733" spans="3:14" x14ac:dyDescent="0.3">
      <c r="C1733" t="s">
        <v>41</v>
      </c>
      <c r="D1733" t="s">
        <v>41</v>
      </c>
      <c r="K1733">
        <v>0</v>
      </c>
      <c r="L1733" t="s">
        <v>41</v>
      </c>
      <c r="M1733" t="s">
        <v>972</v>
      </c>
      <c r="N1733" t="s">
        <v>41</v>
      </c>
    </row>
    <row r="1734" spans="3:14" x14ac:dyDescent="0.3">
      <c r="C1734" t="s">
        <v>41</v>
      </c>
      <c r="D1734" t="s">
        <v>41</v>
      </c>
      <c r="K1734">
        <v>0</v>
      </c>
      <c r="L1734" t="s">
        <v>41</v>
      </c>
      <c r="M1734" t="s">
        <v>972</v>
      </c>
      <c r="N1734" t="s">
        <v>41</v>
      </c>
    </row>
    <row r="1735" spans="3:14" x14ac:dyDescent="0.3">
      <c r="C1735" t="s">
        <v>41</v>
      </c>
      <c r="D1735" t="s">
        <v>41</v>
      </c>
      <c r="K1735">
        <v>0</v>
      </c>
      <c r="L1735" t="s">
        <v>41</v>
      </c>
      <c r="M1735" t="s">
        <v>972</v>
      </c>
      <c r="N1735" t="s">
        <v>41</v>
      </c>
    </row>
    <row r="1736" spans="3:14" x14ac:dyDescent="0.3">
      <c r="C1736" t="s">
        <v>41</v>
      </c>
      <c r="D1736" t="s">
        <v>41</v>
      </c>
      <c r="K1736">
        <v>0</v>
      </c>
      <c r="L1736" t="s">
        <v>41</v>
      </c>
      <c r="M1736" t="s">
        <v>972</v>
      </c>
      <c r="N1736" t="s">
        <v>41</v>
      </c>
    </row>
    <row r="1737" spans="3:14" x14ac:dyDescent="0.3">
      <c r="C1737" t="s">
        <v>41</v>
      </c>
      <c r="D1737" t="s">
        <v>41</v>
      </c>
      <c r="K1737">
        <v>0</v>
      </c>
      <c r="L1737" t="s">
        <v>41</v>
      </c>
      <c r="M1737" t="s">
        <v>972</v>
      </c>
      <c r="N1737" t="s">
        <v>41</v>
      </c>
    </row>
    <row r="1738" spans="3:14" x14ac:dyDescent="0.3">
      <c r="C1738" t="s">
        <v>41</v>
      </c>
      <c r="D1738" t="s">
        <v>41</v>
      </c>
      <c r="K1738">
        <v>0</v>
      </c>
      <c r="L1738" t="s">
        <v>41</v>
      </c>
      <c r="M1738" t="s">
        <v>972</v>
      </c>
      <c r="N1738" t="s">
        <v>41</v>
      </c>
    </row>
    <row r="1739" spans="3:14" x14ac:dyDescent="0.3">
      <c r="C1739" t="s">
        <v>41</v>
      </c>
      <c r="D1739" t="s">
        <v>41</v>
      </c>
      <c r="K1739">
        <v>0</v>
      </c>
      <c r="L1739" t="s">
        <v>41</v>
      </c>
      <c r="M1739" t="s">
        <v>972</v>
      </c>
      <c r="N1739" t="s">
        <v>41</v>
      </c>
    </row>
    <row r="1740" spans="3:14" x14ac:dyDescent="0.3">
      <c r="C1740" t="s">
        <v>41</v>
      </c>
      <c r="D1740" t="s">
        <v>41</v>
      </c>
      <c r="K1740">
        <v>0</v>
      </c>
      <c r="L1740" t="s">
        <v>41</v>
      </c>
      <c r="M1740" t="s">
        <v>972</v>
      </c>
      <c r="N1740" t="s">
        <v>41</v>
      </c>
    </row>
    <row r="1741" spans="3:14" x14ac:dyDescent="0.3">
      <c r="C1741" t="s">
        <v>41</v>
      </c>
      <c r="D1741" t="s">
        <v>41</v>
      </c>
      <c r="K1741">
        <v>0</v>
      </c>
      <c r="L1741" t="s">
        <v>41</v>
      </c>
      <c r="M1741" t="s">
        <v>972</v>
      </c>
      <c r="N1741" t="s">
        <v>41</v>
      </c>
    </row>
    <row r="1742" spans="3:14" x14ac:dyDescent="0.3">
      <c r="C1742" t="s">
        <v>41</v>
      </c>
      <c r="D1742" t="s">
        <v>41</v>
      </c>
      <c r="K1742">
        <v>0</v>
      </c>
      <c r="L1742" t="s">
        <v>41</v>
      </c>
      <c r="M1742" t="s">
        <v>972</v>
      </c>
      <c r="N1742" t="s">
        <v>41</v>
      </c>
    </row>
    <row r="1743" spans="3:14" x14ac:dyDescent="0.3">
      <c r="C1743" t="s">
        <v>41</v>
      </c>
      <c r="D1743" t="s">
        <v>41</v>
      </c>
      <c r="K1743">
        <v>0</v>
      </c>
      <c r="L1743" t="s">
        <v>41</v>
      </c>
      <c r="M1743" t="s">
        <v>972</v>
      </c>
      <c r="N1743" t="s">
        <v>41</v>
      </c>
    </row>
    <row r="1744" spans="3:14" x14ac:dyDescent="0.3">
      <c r="C1744" t="s">
        <v>41</v>
      </c>
      <c r="D1744" t="s">
        <v>41</v>
      </c>
      <c r="K1744">
        <v>0</v>
      </c>
      <c r="L1744" t="s">
        <v>41</v>
      </c>
      <c r="M1744" t="s">
        <v>972</v>
      </c>
      <c r="N1744" t="s">
        <v>41</v>
      </c>
    </row>
    <row r="1745" spans="3:14" x14ac:dyDescent="0.3">
      <c r="C1745" t="s">
        <v>41</v>
      </c>
      <c r="D1745" t="s">
        <v>41</v>
      </c>
      <c r="K1745">
        <v>0</v>
      </c>
      <c r="L1745" t="s">
        <v>41</v>
      </c>
      <c r="M1745" t="s">
        <v>972</v>
      </c>
      <c r="N1745" t="s">
        <v>41</v>
      </c>
    </row>
    <row r="1746" spans="3:14" x14ac:dyDescent="0.3">
      <c r="C1746" t="s">
        <v>41</v>
      </c>
      <c r="D1746" t="s">
        <v>41</v>
      </c>
      <c r="K1746">
        <v>0</v>
      </c>
      <c r="L1746" t="s">
        <v>41</v>
      </c>
      <c r="M1746" t="s">
        <v>972</v>
      </c>
      <c r="N1746" t="s">
        <v>41</v>
      </c>
    </row>
    <row r="1747" spans="3:14" x14ac:dyDescent="0.3">
      <c r="C1747" t="s">
        <v>41</v>
      </c>
      <c r="D1747" t="s">
        <v>41</v>
      </c>
      <c r="K1747">
        <v>0</v>
      </c>
      <c r="L1747" t="s">
        <v>41</v>
      </c>
      <c r="M1747" t="s">
        <v>972</v>
      </c>
      <c r="N1747" t="s">
        <v>41</v>
      </c>
    </row>
    <row r="1748" spans="3:14" x14ac:dyDescent="0.3">
      <c r="C1748" t="s">
        <v>41</v>
      </c>
      <c r="D1748" t="s">
        <v>41</v>
      </c>
      <c r="K1748">
        <v>0</v>
      </c>
      <c r="L1748" t="s">
        <v>41</v>
      </c>
      <c r="M1748" t="s">
        <v>972</v>
      </c>
      <c r="N1748" t="s">
        <v>41</v>
      </c>
    </row>
    <row r="1749" spans="3:14" x14ac:dyDescent="0.3">
      <c r="C1749" t="s">
        <v>41</v>
      </c>
      <c r="D1749" t="s">
        <v>41</v>
      </c>
      <c r="K1749">
        <v>0</v>
      </c>
      <c r="L1749" t="s">
        <v>41</v>
      </c>
      <c r="M1749" t="s">
        <v>972</v>
      </c>
      <c r="N1749" t="s">
        <v>41</v>
      </c>
    </row>
    <row r="1750" spans="3:14" x14ac:dyDescent="0.3">
      <c r="C1750" t="s">
        <v>41</v>
      </c>
      <c r="D1750" t="s">
        <v>41</v>
      </c>
      <c r="K1750">
        <v>0</v>
      </c>
      <c r="L1750" t="s">
        <v>41</v>
      </c>
      <c r="M1750" t="s">
        <v>972</v>
      </c>
      <c r="N1750" t="s">
        <v>41</v>
      </c>
    </row>
    <row r="1751" spans="3:14" x14ac:dyDescent="0.3">
      <c r="C1751" t="s">
        <v>41</v>
      </c>
      <c r="D1751" t="s">
        <v>41</v>
      </c>
      <c r="K1751">
        <v>0</v>
      </c>
      <c r="L1751" t="s">
        <v>41</v>
      </c>
      <c r="M1751" t="s">
        <v>972</v>
      </c>
      <c r="N1751" t="s">
        <v>41</v>
      </c>
    </row>
    <row r="1752" spans="3:14" x14ac:dyDescent="0.3">
      <c r="C1752" t="s">
        <v>41</v>
      </c>
      <c r="D1752" t="s">
        <v>41</v>
      </c>
      <c r="K1752">
        <v>0</v>
      </c>
      <c r="L1752" t="s">
        <v>41</v>
      </c>
      <c r="M1752" t="s">
        <v>972</v>
      </c>
      <c r="N1752" t="s">
        <v>41</v>
      </c>
    </row>
    <row r="1753" spans="3:14" x14ac:dyDescent="0.3">
      <c r="C1753" t="s">
        <v>41</v>
      </c>
      <c r="D1753" t="s">
        <v>41</v>
      </c>
      <c r="K1753">
        <v>0</v>
      </c>
      <c r="L1753" t="s">
        <v>41</v>
      </c>
      <c r="M1753" t="s">
        <v>972</v>
      </c>
      <c r="N1753" t="s">
        <v>41</v>
      </c>
    </row>
    <row r="1754" spans="3:14" x14ac:dyDescent="0.3">
      <c r="C1754" t="s">
        <v>41</v>
      </c>
      <c r="D1754" t="s">
        <v>41</v>
      </c>
      <c r="K1754">
        <v>0</v>
      </c>
      <c r="L1754" t="s">
        <v>41</v>
      </c>
      <c r="M1754" t="s">
        <v>972</v>
      </c>
      <c r="N1754" t="s">
        <v>41</v>
      </c>
    </row>
    <row r="1755" spans="3:14" x14ac:dyDescent="0.3">
      <c r="C1755" t="s">
        <v>41</v>
      </c>
      <c r="D1755" t="s">
        <v>41</v>
      </c>
      <c r="K1755">
        <v>0</v>
      </c>
      <c r="L1755" t="s">
        <v>41</v>
      </c>
      <c r="M1755" t="s">
        <v>972</v>
      </c>
      <c r="N1755" t="s">
        <v>41</v>
      </c>
    </row>
    <row r="1756" spans="3:14" x14ac:dyDescent="0.3">
      <c r="C1756" t="s">
        <v>41</v>
      </c>
      <c r="D1756" t="s">
        <v>41</v>
      </c>
      <c r="K1756">
        <v>0</v>
      </c>
      <c r="L1756" t="s">
        <v>41</v>
      </c>
      <c r="M1756" t="s">
        <v>972</v>
      </c>
      <c r="N1756" t="s">
        <v>41</v>
      </c>
    </row>
    <row r="1757" spans="3:14" x14ac:dyDescent="0.3">
      <c r="C1757" t="s">
        <v>41</v>
      </c>
      <c r="D1757" t="s">
        <v>41</v>
      </c>
      <c r="K1757">
        <v>0</v>
      </c>
      <c r="L1757" t="s">
        <v>41</v>
      </c>
      <c r="M1757" t="s">
        <v>972</v>
      </c>
      <c r="N1757" t="s">
        <v>41</v>
      </c>
    </row>
    <row r="1758" spans="3:14" x14ac:dyDescent="0.3">
      <c r="C1758" t="s">
        <v>41</v>
      </c>
      <c r="D1758" t="s">
        <v>41</v>
      </c>
      <c r="K1758">
        <v>0</v>
      </c>
      <c r="L1758" t="s">
        <v>41</v>
      </c>
      <c r="M1758" t="s">
        <v>972</v>
      </c>
      <c r="N1758" t="s">
        <v>41</v>
      </c>
    </row>
    <row r="1759" spans="3:14" x14ac:dyDescent="0.3">
      <c r="C1759" t="s">
        <v>41</v>
      </c>
      <c r="D1759" t="s">
        <v>41</v>
      </c>
      <c r="K1759">
        <v>0</v>
      </c>
      <c r="L1759" t="s">
        <v>41</v>
      </c>
      <c r="M1759" t="s">
        <v>972</v>
      </c>
      <c r="N1759" t="s">
        <v>41</v>
      </c>
    </row>
    <row r="1760" spans="3:14" x14ac:dyDescent="0.3">
      <c r="C1760" t="s">
        <v>41</v>
      </c>
      <c r="D1760" t="s">
        <v>41</v>
      </c>
      <c r="K1760">
        <v>0</v>
      </c>
      <c r="L1760" t="s">
        <v>41</v>
      </c>
      <c r="M1760" t="s">
        <v>972</v>
      </c>
      <c r="N1760" t="s">
        <v>41</v>
      </c>
    </row>
    <row r="1761" spans="3:14" x14ac:dyDescent="0.3">
      <c r="C1761" t="s">
        <v>41</v>
      </c>
      <c r="D1761" t="s">
        <v>41</v>
      </c>
      <c r="K1761">
        <v>0</v>
      </c>
      <c r="L1761" t="s">
        <v>41</v>
      </c>
      <c r="M1761" t="s">
        <v>972</v>
      </c>
      <c r="N1761" t="s">
        <v>41</v>
      </c>
    </row>
    <row r="1762" spans="3:14" x14ac:dyDescent="0.3">
      <c r="C1762" t="s">
        <v>41</v>
      </c>
      <c r="D1762" t="s">
        <v>41</v>
      </c>
      <c r="K1762">
        <v>0</v>
      </c>
      <c r="L1762" t="s">
        <v>41</v>
      </c>
      <c r="M1762" t="s">
        <v>972</v>
      </c>
      <c r="N1762" t="s">
        <v>41</v>
      </c>
    </row>
    <row r="1763" spans="3:14" x14ac:dyDescent="0.3">
      <c r="C1763" t="s">
        <v>41</v>
      </c>
      <c r="D1763" t="s">
        <v>41</v>
      </c>
      <c r="K1763">
        <v>0</v>
      </c>
      <c r="L1763" t="s">
        <v>41</v>
      </c>
      <c r="M1763" t="s">
        <v>972</v>
      </c>
      <c r="N1763" t="s">
        <v>41</v>
      </c>
    </row>
    <row r="1764" spans="3:14" x14ac:dyDescent="0.3">
      <c r="C1764" t="s">
        <v>41</v>
      </c>
      <c r="D1764" t="s">
        <v>41</v>
      </c>
      <c r="K1764">
        <v>0</v>
      </c>
      <c r="L1764" t="s">
        <v>41</v>
      </c>
      <c r="M1764" t="s">
        <v>972</v>
      </c>
      <c r="N1764" t="s">
        <v>41</v>
      </c>
    </row>
    <row r="1765" spans="3:14" x14ac:dyDescent="0.3">
      <c r="C1765" t="s">
        <v>41</v>
      </c>
      <c r="D1765" t="s">
        <v>41</v>
      </c>
      <c r="K1765">
        <v>0</v>
      </c>
      <c r="L1765" t="s">
        <v>41</v>
      </c>
      <c r="M1765" t="s">
        <v>972</v>
      </c>
      <c r="N1765" t="s">
        <v>41</v>
      </c>
    </row>
    <row r="1766" spans="3:14" x14ac:dyDescent="0.3">
      <c r="C1766" t="s">
        <v>41</v>
      </c>
      <c r="D1766" t="s">
        <v>41</v>
      </c>
      <c r="K1766">
        <v>0</v>
      </c>
      <c r="L1766" t="s">
        <v>41</v>
      </c>
      <c r="M1766" t="s">
        <v>972</v>
      </c>
      <c r="N1766" t="s">
        <v>41</v>
      </c>
    </row>
    <row r="1767" spans="3:14" x14ac:dyDescent="0.3">
      <c r="C1767" t="s">
        <v>41</v>
      </c>
      <c r="D1767" t="s">
        <v>41</v>
      </c>
      <c r="K1767">
        <v>0</v>
      </c>
      <c r="L1767" t="s">
        <v>41</v>
      </c>
      <c r="M1767" t="s">
        <v>972</v>
      </c>
      <c r="N1767" t="s">
        <v>41</v>
      </c>
    </row>
    <row r="1768" spans="3:14" x14ac:dyDescent="0.3">
      <c r="C1768" t="s">
        <v>41</v>
      </c>
      <c r="D1768" t="s">
        <v>41</v>
      </c>
      <c r="K1768">
        <v>0</v>
      </c>
      <c r="L1768" t="s">
        <v>41</v>
      </c>
      <c r="M1768" t="s">
        <v>972</v>
      </c>
      <c r="N1768" t="s">
        <v>41</v>
      </c>
    </row>
    <row r="1769" spans="3:14" x14ac:dyDescent="0.3">
      <c r="C1769" t="s">
        <v>41</v>
      </c>
      <c r="D1769" t="s">
        <v>41</v>
      </c>
      <c r="K1769">
        <v>0</v>
      </c>
      <c r="L1769" t="s">
        <v>41</v>
      </c>
      <c r="M1769" t="s">
        <v>972</v>
      </c>
      <c r="N1769" t="s">
        <v>41</v>
      </c>
    </row>
    <row r="1770" spans="3:14" x14ac:dyDescent="0.3">
      <c r="C1770" t="s">
        <v>41</v>
      </c>
      <c r="D1770" t="s">
        <v>41</v>
      </c>
      <c r="K1770">
        <v>0</v>
      </c>
      <c r="L1770" t="s">
        <v>41</v>
      </c>
      <c r="M1770" t="s">
        <v>972</v>
      </c>
      <c r="N1770" t="s">
        <v>41</v>
      </c>
    </row>
    <row r="1771" spans="3:14" x14ac:dyDescent="0.3">
      <c r="C1771" t="s">
        <v>41</v>
      </c>
      <c r="D1771" t="s">
        <v>41</v>
      </c>
      <c r="K1771">
        <v>0</v>
      </c>
      <c r="L1771" t="s">
        <v>41</v>
      </c>
      <c r="M1771" t="s">
        <v>972</v>
      </c>
      <c r="N1771" t="s">
        <v>41</v>
      </c>
    </row>
    <row r="1772" spans="3:14" x14ac:dyDescent="0.3">
      <c r="C1772" t="s">
        <v>41</v>
      </c>
      <c r="D1772" t="s">
        <v>41</v>
      </c>
      <c r="K1772">
        <v>0</v>
      </c>
      <c r="L1772" t="s">
        <v>41</v>
      </c>
      <c r="M1772" t="s">
        <v>972</v>
      </c>
      <c r="N1772" t="s">
        <v>41</v>
      </c>
    </row>
    <row r="1773" spans="3:14" x14ac:dyDescent="0.3">
      <c r="C1773" t="s">
        <v>41</v>
      </c>
      <c r="D1773" t="s">
        <v>41</v>
      </c>
      <c r="K1773">
        <v>0</v>
      </c>
      <c r="L1773" t="s">
        <v>41</v>
      </c>
      <c r="M1773" t="s">
        <v>972</v>
      </c>
      <c r="N1773" t="s">
        <v>41</v>
      </c>
    </row>
    <row r="1774" spans="3:14" x14ac:dyDescent="0.3">
      <c r="C1774" t="s">
        <v>41</v>
      </c>
      <c r="D1774" t="s">
        <v>41</v>
      </c>
      <c r="K1774">
        <v>0</v>
      </c>
      <c r="L1774" t="s">
        <v>41</v>
      </c>
      <c r="M1774" t="s">
        <v>972</v>
      </c>
      <c r="N1774" t="s">
        <v>41</v>
      </c>
    </row>
    <row r="1775" spans="3:14" x14ac:dyDescent="0.3">
      <c r="C1775" t="s">
        <v>41</v>
      </c>
      <c r="D1775" t="s">
        <v>41</v>
      </c>
      <c r="K1775">
        <v>0</v>
      </c>
      <c r="L1775" t="s">
        <v>41</v>
      </c>
      <c r="M1775" t="s">
        <v>972</v>
      </c>
      <c r="N1775" t="s">
        <v>41</v>
      </c>
    </row>
    <row r="1776" spans="3:14" x14ac:dyDescent="0.3">
      <c r="C1776" t="s">
        <v>41</v>
      </c>
      <c r="D1776" t="s">
        <v>41</v>
      </c>
      <c r="K1776">
        <v>0</v>
      </c>
      <c r="L1776" t="s">
        <v>41</v>
      </c>
      <c r="M1776" t="s">
        <v>972</v>
      </c>
      <c r="N1776" t="s">
        <v>41</v>
      </c>
    </row>
    <row r="1777" spans="3:14" x14ac:dyDescent="0.3">
      <c r="C1777" t="s">
        <v>41</v>
      </c>
      <c r="D1777" t="s">
        <v>41</v>
      </c>
      <c r="K1777">
        <v>0</v>
      </c>
      <c r="L1777" t="s">
        <v>41</v>
      </c>
      <c r="M1777" t="s">
        <v>972</v>
      </c>
      <c r="N1777" t="s">
        <v>41</v>
      </c>
    </row>
    <row r="1778" spans="3:14" x14ac:dyDescent="0.3">
      <c r="C1778" t="s">
        <v>41</v>
      </c>
      <c r="D1778" t="s">
        <v>41</v>
      </c>
      <c r="K1778">
        <v>0</v>
      </c>
      <c r="L1778" t="s">
        <v>41</v>
      </c>
      <c r="M1778" t="s">
        <v>972</v>
      </c>
      <c r="N1778" t="s">
        <v>41</v>
      </c>
    </row>
    <row r="1779" spans="3:14" x14ac:dyDescent="0.3">
      <c r="C1779" t="s">
        <v>41</v>
      </c>
      <c r="D1779" t="s">
        <v>41</v>
      </c>
      <c r="K1779">
        <v>0</v>
      </c>
      <c r="L1779" t="s">
        <v>41</v>
      </c>
      <c r="M1779" t="s">
        <v>972</v>
      </c>
      <c r="N1779" t="s">
        <v>41</v>
      </c>
    </row>
    <row r="1780" spans="3:14" x14ac:dyDescent="0.3">
      <c r="C1780" t="s">
        <v>41</v>
      </c>
      <c r="D1780" t="s">
        <v>41</v>
      </c>
      <c r="K1780">
        <v>0</v>
      </c>
      <c r="L1780" t="s">
        <v>41</v>
      </c>
      <c r="M1780" t="s">
        <v>972</v>
      </c>
      <c r="N1780" t="s">
        <v>41</v>
      </c>
    </row>
    <row r="1781" spans="3:14" x14ac:dyDescent="0.3">
      <c r="C1781" t="s">
        <v>41</v>
      </c>
      <c r="D1781" t="s">
        <v>41</v>
      </c>
      <c r="K1781">
        <v>0</v>
      </c>
      <c r="L1781" t="s">
        <v>41</v>
      </c>
      <c r="M1781" t="s">
        <v>972</v>
      </c>
      <c r="N1781" t="s">
        <v>41</v>
      </c>
    </row>
    <row r="1782" spans="3:14" x14ac:dyDescent="0.3">
      <c r="C1782" t="s">
        <v>41</v>
      </c>
      <c r="D1782" t="s">
        <v>41</v>
      </c>
      <c r="K1782">
        <v>0</v>
      </c>
      <c r="L1782" t="s">
        <v>41</v>
      </c>
      <c r="M1782" t="s">
        <v>972</v>
      </c>
      <c r="N1782" t="s">
        <v>41</v>
      </c>
    </row>
    <row r="1783" spans="3:14" x14ac:dyDescent="0.3">
      <c r="C1783" t="s">
        <v>41</v>
      </c>
      <c r="D1783" t="s">
        <v>41</v>
      </c>
      <c r="K1783">
        <v>0</v>
      </c>
      <c r="L1783" t="s">
        <v>41</v>
      </c>
      <c r="M1783" t="s">
        <v>972</v>
      </c>
      <c r="N1783" t="s">
        <v>41</v>
      </c>
    </row>
    <row r="1784" spans="3:14" x14ac:dyDescent="0.3">
      <c r="C1784" t="s">
        <v>41</v>
      </c>
      <c r="D1784" t="s">
        <v>41</v>
      </c>
      <c r="K1784">
        <v>0</v>
      </c>
      <c r="L1784" t="s">
        <v>41</v>
      </c>
      <c r="M1784" t="s">
        <v>972</v>
      </c>
      <c r="N1784" t="s">
        <v>41</v>
      </c>
    </row>
    <row r="1785" spans="3:14" x14ac:dyDescent="0.3">
      <c r="C1785" t="s">
        <v>41</v>
      </c>
      <c r="D1785" t="s">
        <v>41</v>
      </c>
      <c r="K1785">
        <v>0</v>
      </c>
      <c r="L1785" t="s">
        <v>41</v>
      </c>
      <c r="M1785" t="s">
        <v>972</v>
      </c>
      <c r="N1785" t="s">
        <v>41</v>
      </c>
    </row>
    <row r="1786" spans="3:14" x14ac:dyDescent="0.3">
      <c r="C1786" t="s">
        <v>41</v>
      </c>
      <c r="D1786" t="s">
        <v>41</v>
      </c>
      <c r="K1786">
        <v>0</v>
      </c>
      <c r="L1786" t="s">
        <v>41</v>
      </c>
      <c r="M1786" t="s">
        <v>972</v>
      </c>
      <c r="N1786" t="s">
        <v>41</v>
      </c>
    </row>
    <row r="1787" spans="3:14" x14ac:dyDescent="0.3">
      <c r="C1787" t="s">
        <v>41</v>
      </c>
      <c r="D1787" t="s">
        <v>41</v>
      </c>
      <c r="K1787">
        <v>0</v>
      </c>
      <c r="L1787" t="s">
        <v>41</v>
      </c>
      <c r="M1787" t="s">
        <v>972</v>
      </c>
      <c r="N1787" t="s">
        <v>41</v>
      </c>
    </row>
    <row r="1788" spans="3:14" x14ac:dyDescent="0.3">
      <c r="C1788" t="s">
        <v>41</v>
      </c>
      <c r="D1788" t="s">
        <v>41</v>
      </c>
      <c r="K1788">
        <v>0</v>
      </c>
      <c r="L1788" t="s">
        <v>41</v>
      </c>
      <c r="M1788" t="s">
        <v>972</v>
      </c>
      <c r="N1788" t="s">
        <v>41</v>
      </c>
    </row>
    <row r="1789" spans="3:14" x14ac:dyDescent="0.3">
      <c r="C1789" t="s">
        <v>41</v>
      </c>
      <c r="D1789" t="s">
        <v>41</v>
      </c>
      <c r="K1789">
        <v>0</v>
      </c>
      <c r="L1789" t="s">
        <v>41</v>
      </c>
      <c r="M1789" t="s">
        <v>972</v>
      </c>
      <c r="N1789" t="s">
        <v>41</v>
      </c>
    </row>
    <row r="1790" spans="3:14" x14ac:dyDescent="0.3">
      <c r="C1790" t="s">
        <v>41</v>
      </c>
      <c r="D1790" t="s">
        <v>41</v>
      </c>
      <c r="K1790">
        <v>0</v>
      </c>
      <c r="L1790" t="s">
        <v>41</v>
      </c>
      <c r="M1790" t="s">
        <v>972</v>
      </c>
      <c r="N1790" t="s">
        <v>41</v>
      </c>
    </row>
    <row r="1791" spans="3:14" x14ac:dyDescent="0.3">
      <c r="C1791" t="s">
        <v>41</v>
      </c>
      <c r="D1791" t="s">
        <v>41</v>
      </c>
      <c r="K1791">
        <v>0</v>
      </c>
      <c r="L1791" t="s">
        <v>41</v>
      </c>
      <c r="M1791" t="s">
        <v>972</v>
      </c>
      <c r="N1791" t="s">
        <v>41</v>
      </c>
    </row>
    <row r="1792" spans="3:14" x14ac:dyDescent="0.3">
      <c r="C1792" t="s">
        <v>41</v>
      </c>
      <c r="D1792" t="s">
        <v>41</v>
      </c>
      <c r="K1792">
        <v>0</v>
      </c>
      <c r="L1792" t="s">
        <v>41</v>
      </c>
      <c r="M1792" t="s">
        <v>972</v>
      </c>
      <c r="N1792" t="s">
        <v>41</v>
      </c>
    </row>
    <row r="1793" spans="3:14" x14ac:dyDescent="0.3">
      <c r="C1793" t="s">
        <v>41</v>
      </c>
      <c r="D1793" t="s">
        <v>41</v>
      </c>
      <c r="K1793">
        <v>0</v>
      </c>
      <c r="L1793" t="s">
        <v>41</v>
      </c>
      <c r="M1793" t="s">
        <v>972</v>
      </c>
      <c r="N1793" t="s">
        <v>41</v>
      </c>
    </row>
    <row r="1794" spans="3:14" x14ac:dyDescent="0.3">
      <c r="C1794" t="s">
        <v>41</v>
      </c>
      <c r="D1794" t="s">
        <v>41</v>
      </c>
      <c r="K1794">
        <v>0</v>
      </c>
      <c r="L1794" t="s">
        <v>41</v>
      </c>
      <c r="M1794" t="s">
        <v>972</v>
      </c>
      <c r="N1794" t="s">
        <v>41</v>
      </c>
    </row>
    <row r="1795" spans="3:14" x14ac:dyDescent="0.3">
      <c r="C1795" t="s">
        <v>41</v>
      </c>
      <c r="D1795" t="s">
        <v>41</v>
      </c>
      <c r="K1795">
        <v>0</v>
      </c>
      <c r="L1795" t="s">
        <v>41</v>
      </c>
      <c r="M1795" t="s">
        <v>972</v>
      </c>
      <c r="N1795" t="s">
        <v>41</v>
      </c>
    </row>
    <row r="1796" spans="3:14" x14ac:dyDescent="0.3">
      <c r="C1796" t="s">
        <v>41</v>
      </c>
      <c r="D1796" t="s">
        <v>41</v>
      </c>
      <c r="K1796">
        <v>0</v>
      </c>
      <c r="L1796" t="s">
        <v>41</v>
      </c>
      <c r="M1796" t="s">
        <v>972</v>
      </c>
      <c r="N1796" t="s">
        <v>41</v>
      </c>
    </row>
    <row r="1797" spans="3:14" x14ac:dyDescent="0.3">
      <c r="C1797" t="s">
        <v>41</v>
      </c>
      <c r="D1797" t="s">
        <v>41</v>
      </c>
      <c r="K1797">
        <v>0</v>
      </c>
      <c r="L1797" t="s">
        <v>41</v>
      </c>
      <c r="M1797" t="s">
        <v>972</v>
      </c>
      <c r="N1797" t="s">
        <v>41</v>
      </c>
    </row>
    <row r="1798" spans="3:14" x14ac:dyDescent="0.3">
      <c r="C1798" t="s">
        <v>41</v>
      </c>
      <c r="D1798" t="s">
        <v>41</v>
      </c>
      <c r="K1798">
        <v>0</v>
      </c>
      <c r="L1798" t="s">
        <v>41</v>
      </c>
      <c r="M1798" t="s">
        <v>972</v>
      </c>
      <c r="N1798" t="s">
        <v>41</v>
      </c>
    </row>
    <row r="1799" spans="3:14" x14ac:dyDescent="0.3">
      <c r="C1799" t="s">
        <v>41</v>
      </c>
      <c r="D1799" t="s">
        <v>41</v>
      </c>
      <c r="K1799">
        <v>0</v>
      </c>
      <c r="L1799" t="s">
        <v>41</v>
      </c>
      <c r="M1799" t="s">
        <v>972</v>
      </c>
      <c r="N1799" t="s">
        <v>41</v>
      </c>
    </row>
    <row r="1800" spans="3:14" x14ac:dyDescent="0.3">
      <c r="C1800" t="s">
        <v>41</v>
      </c>
      <c r="D1800" t="s">
        <v>41</v>
      </c>
      <c r="K1800">
        <v>0</v>
      </c>
      <c r="L1800" t="s">
        <v>41</v>
      </c>
      <c r="M1800" t="s">
        <v>972</v>
      </c>
      <c r="N1800" t="s">
        <v>41</v>
      </c>
    </row>
    <row r="1801" spans="3:14" x14ac:dyDescent="0.3">
      <c r="C1801" t="s">
        <v>41</v>
      </c>
      <c r="D1801" t="s">
        <v>41</v>
      </c>
      <c r="K1801">
        <v>0</v>
      </c>
      <c r="L1801" t="s">
        <v>41</v>
      </c>
      <c r="M1801" t="s">
        <v>972</v>
      </c>
      <c r="N1801" t="s">
        <v>41</v>
      </c>
    </row>
    <row r="1802" spans="3:14" x14ac:dyDescent="0.3">
      <c r="C1802" t="s">
        <v>41</v>
      </c>
      <c r="D1802" t="s">
        <v>41</v>
      </c>
      <c r="K1802">
        <v>0</v>
      </c>
      <c r="L1802" t="s">
        <v>41</v>
      </c>
      <c r="M1802" t="s">
        <v>972</v>
      </c>
      <c r="N1802" t="s">
        <v>41</v>
      </c>
    </row>
    <row r="1803" spans="3:14" x14ac:dyDescent="0.3">
      <c r="C1803" t="s">
        <v>41</v>
      </c>
      <c r="D1803" t="s">
        <v>41</v>
      </c>
      <c r="K1803">
        <v>0</v>
      </c>
      <c r="L1803" t="s">
        <v>41</v>
      </c>
      <c r="M1803" t="s">
        <v>972</v>
      </c>
      <c r="N1803" t="s">
        <v>41</v>
      </c>
    </row>
    <row r="1804" spans="3:14" x14ac:dyDescent="0.3">
      <c r="C1804" t="s">
        <v>41</v>
      </c>
      <c r="D1804" t="s">
        <v>41</v>
      </c>
      <c r="K1804">
        <v>0</v>
      </c>
      <c r="L1804" t="s">
        <v>41</v>
      </c>
      <c r="M1804" t="s">
        <v>972</v>
      </c>
      <c r="N1804" t="s">
        <v>41</v>
      </c>
    </row>
    <row r="1805" spans="3:14" x14ac:dyDescent="0.3">
      <c r="C1805" t="s">
        <v>41</v>
      </c>
      <c r="D1805" t="s">
        <v>41</v>
      </c>
      <c r="K1805">
        <v>0</v>
      </c>
      <c r="L1805" t="s">
        <v>41</v>
      </c>
      <c r="M1805" t="s">
        <v>972</v>
      </c>
      <c r="N1805" t="s">
        <v>41</v>
      </c>
    </row>
    <row r="1806" spans="3:14" x14ac:dyDescent="0.3">
      <c r="C1806" t="s">
        <v>41</v>
      </c>
      <c r="D1806" t="s">
        <v>41</v>
      </c>
      <c r="K1806">
        <v>0</v>
      </c>
      <c r="L1806" t="s">
        <v>41</v>
      </c>
      <c r="M1806" t="s">
        <v>972</v>
      </c>
      <c r="N1806" t="s">
        <v>41</v>
      </c>
    </row>
    <row r="1807" spans="3:14" x14ac:dyDescent="0.3">
      <c r="C1807" t="s">
        <v>41</v>
      </c>
      <c r="D1807" t="s">
        <v>41</v>
      </c>
      <c r="K1807">
        <v>0</v>
      </c>
      <c r="L1807" t="s">
        <v>41</v>
      </c>
      <c r="M1807" t="s">
        <v>972</v>
      </c>
      <c r="N1807" t="s">
        <v>41</v>
      </c>
    </row>
    <row r="1808" spans="3:14" x14ac:dyDescent="0.3">
      <c r="C1808" t="s">
        <v>41</v>
      </c>
      <c r="D1808" t="s">
        <v>41</v>
      </c>
      <c r="K1808">
        <v>0</v>
      </c>
      <c r="L1808" t="s">
        <v>41</v>
      </c>
      <c r="M1808" t="s">
        <v>972</v>
      </c>
      <c r="N1808" t="s">
        <v>41</v>
      </c>
    </row>
    <row r="1809" spans="3:14" x14ac:dyDescent="0.3">
      <c r="C1809" t="s">
        <v>41</v>
      </c>
      <c r="D1809" t="s">
        <v>41</v>
      </c>
      <c r="K1809">
        <v>0</v>
      </c>
      <c r="L1809" t="s">
        <v>41</v>
      </c>
      <c r="M1809" t="s">
        <v>972</v>
      </c>
      <c r="N1809" t="s">
        <v>41</v>
      </c>
    </row>
    <row r="1810" spans="3:14" x14ac:dyDescent="0.3">
      <c r="C1810" t="s">
        <v>41</v>
      </c>
      <c r="D1810" t="s">
        <v>41</v>
      </c>
      <c r="K1810">
        <v>0</v>
      </c>
      <c r="L1810" t="s">
        <v>41</v>
      </c>
      <c r="M1810" t="s">
        <v>972</v>
      </c>
      <c r="N1810" t="s">
        <v>41</v>
      </c>
    </row>
    <row r="1811" spans="3:14" x14ac:dyDescent="0.3">
      <c r="C1811" t="s">
        <v>41</v>
      </c>
      <c r="D1811" t="s">
        <v>41</v>
      </c>
      <c r="K1811">
        <v>0</v>
      </c>
      <c r="L1811" t="s">
        <v>41</v>
      </c>
      <c r="M1811" t="s">
        <v>972</v>
      </c>
      <c r="N1811" t="s">
        <v>41</v>
      </c>
    </row>
    <row r="1812" spans="3:14" x14ac:dyDescent="0.3">
      <c r="C1812" t="s">
        <v>41</v>
      </c>
      <c r="D1812" t="s">
        <v>41</v>
      </c>
      <c r="K1812">
        <v>0</v>
      </c>
      <c r="L1812" t="s">
        <v>41</v>
      </c>
      <c r="M1812" t="s">
        <v>972</v>
      </c>
      <c r="N1812" t="s">
        <v>41</v>
      </c>
    </row>
    <row r="1813" spans="3:14" x14ac:dyDescent="0.3">
      <c r="C1813" t="s">
        <v>41</v>
      </c>
      <c r="D1813" t="s">
        <v>41</v>
      </c>
      <c r="K1813">
        <v>0</v>
      </c>
      <c r="L1813" t="s">
        <v>41</v>
      </c>
      <c r="M1813" t="s">
        <v>972</v>
      </c>
      <c r="N1813" t="s">
        <v>41</v>
      </c>
    </row>
    <row r="1814" spans="3:14" x14ac:dyDescent="0.3">
      <c r="C1814" t="s">
        <v>41</v>
      </c>
      <c r="D1814" t="s">
        <v>41</v>
      </c>
      <c r="K1814">
        <v>0</v>
      </c>
      <c r="L1814" t="s">
        <v>41</v>
      </c>
      <c r="M1814" t="s">
        <v>972</v>
      </c>
      <c r="N1814" t="s">
        <v>41</v>
      </c>
    </row>
    <row r="1815" spans="3:14" x14ac:dyDescent="0.3">
      <c r="C1815" t="s">
        <v>41</v>
      </c>
      <c r="D1815" t="s">
        <v>41</v>
      </c>
      <c r="K1815">
        <v>0</v>
      </c>
      <c r="L1815" t="s">
        <v>41</v>
      </c>
      <c r="M1815" t="s">
        <v>972</v>
      </c>
      <c r="N1815" t="s">
        <v>41</v>
      </c>
    </row>
    <row r="1816" spans="3:14" x14ac:dyDescent="0.3">
      <c r="C1816" t="s">
        <v>41</v>
      </c>
      <c r="D1816" t="s">
        <v>41</v>
      </c>
      <c r="K1816">
        <v>0</v>
      </c>
      <c r="L1816" t="s">
        <v>41</v>
      </c>
      <c r="M1816" t="s">
        <v>972</v>
      </c>
      <c r="N1816" t="s">
        <v>41</v>
      </c>
    </row>
    <row r="1817" spans="3:14" x14ac:dyDescent="0.3">
      <c r="C1817" t="s">
        <v>41</v>
      </c>
      <c r="D1817" t="s">
        <v>41</v>
      </c>
      <c r="K1817">
        <v>0</v>
      </c>
      <c r="L1817" t="s">
        <v>41</v>
      </c>
      <c r="M1817" t="s">
        <v>972</v>
      </c>
      <c r="N1817" t="s">
        <v>41</v>
      </c>
    </row>
    <row r="1818" spans="3:14" x14ac:dyDescent="0.3">
      <c r="C1818" t="s">
        <v>41</v>
      </c>
      <c r="D1818" t="s">
        <v>41</v>
      </c>
      <c r="K1818">
        <v>0</v>
      </c>
      <c r="L1818" t="s">
        <v>41</v>
      </c>
      <c r="M1818" t="s">
        <v>972</v>
      </c>
      <c r="N1818" t="s">
        <v>41</v>
      </c>
    </row>
    <row r="1819" spans="3:14" x14ac:dyDescent="0.3">
      <c r="C1819" t="s">
        <v>41</v>
      </c>
      <c r="D1819" t="s">
        <v>41</v>
      </c>
      <c r="K1819">
        <v>0</v>
      </c>
      <c r="L1819" t="s">
        <v>41</v>
      </c>
      <c r="M1819" t="s">
        <v>972</v>
      </c>
      <c r="N1819" t="s">
        <v>41</v>
      </c>
    </row>
    <row r="1820" spans="3:14" x14ac:dyDescent="0.3">
      <c r="C1820" t="s">
        <v>41</v>
      </c>
      <c r="D1820" t="s">
        <v>41</v>
      </c>
      <c r="K1820">
        <v>0</v>
      </c>
      <c r="L1820" t="s">
        <v>41</v>
      </c>
      <c r="M1820" t="s">
        <v>972</v>
      </c>
      <c r="N1820" t="s">
        <v>41</v>
      </c>
    </row>
    <row r="1821" spans="3:14" x14ac:dyDescent="0.3">
      <c r="C1821" t="s">
        <v>41</v>
      </c>
      <c r="D1821" t="s">
        <v>41</v>
      </c>
      <c r="K1821">
        <v>0</v>
      </c>
      <c r="L1821" t="s">
        <v>41</v>
      </c>
      <c r="M1821" t="s">
        <v>972</v>
      </c>
      <c r="N1821" t="s">
        <v>41</v>
      </c>
    </row>
    <row r="1822" spans="3:14" x14ac:dyDescent="0.3">
      <c r="C1822" t="s">
        <v>41</v>
      </c>
      <c r="D1822" t="s">
        <v>41</v>
      </c>
      <c r="K1822">
        <v>0</v>
      </c>
      <c r="L1822" t="s">
        <v>41</v>
      </c>
      <c r="M1822" t="s">
        <v>972</v>
      </c>
      <c r="N1822" t="s">
        <v>41</v>
      </c>
    </row>
    <row r="1823" spans="3:14" x14ac:dyDescent="0.3">
      <c r="C1823" t="s">
        <v>41</v>
      </c>
      <c r="D1823" t="s">
        <v>41</v>
      </c>
      <c r="K1823">
        <v>0</v>
      </c>
      <c r="L1823" t="s">
        <v>41</v>
      </c>
      <c r="M1823" t="s">
        <v>972</v>
      </c>
      <c r="N1823" t="s">
        <v>41</v>
      </c>
    </row>
    <row r="1824" spans="3:14" x14ac:dyDescent="0.3">
      <c r="C1824" t="s">
        <v>41</v>
      </c>
      <c r="D1824" t="s">
        <v>41</v>
      </c>
      <c r="K1824">
        <v>0</v>
      </c>
      <c r="L1824" t="s">
        <v>41</v>
      </c>
      <c r="M1824" t="s">
        <v>972</v>
      </c>
      <c r="N1824" t="s">
        <v>41</v>
      </c>
    </row>
    <row r="1825" spans="3:14" x14ac:dyDescent="0.3">
      <c r="C1825" t="s">
        <v>41</v>
      </c>
      <c r="D1825" t="s">
        <v>41</v>
      </c>
      <c r="K1825">
        <v>0</v>
      </c>
      <c r="L1825" t="s">
        <v>41</v>
      </c>
      <c r="M1825" t="s">
        <v>972</v>
      </c>
      <c r="N1825" t="s">
        <v>41</v>
      </c>
    </row>
    <row r="1826" spans="3:14" x14ac:dyDescent="0.3">
      <c r="C1826" t="s">
        <v>41</v>
      </c>
      <c r="D1826" t="s">
        <v>41</v>
      </c>
      <c r="K1826">
        <v>0</v>
      </c>
      <c r="L1826" t="s">
        <v>41</v>
      </c>
      <c r="M1826" t="s">
        <v>972</v>
      </c>
      <c r="N1826" t="s">
        <v>41</v>
      </c>
    </row>
    <row r="1827" spans="3:14" x14ac:dyDescent="0.3">
      <c r="C1827" t="s">
        <v>41</v>
      </c>
      <c r="D1827" t="s">
        <v>41</v>
      </c>
      <c r="K1827">
        <v>0</v>
      </c>
      <c r="L1827" t="s">
        <v>41</v>
      </c>
      <c r="M1827" t="s">
        <v>972</v>
      </c>
      <c r="N1827" t="s">
        <v>41</v>
      </c>
    </row>
    <row r="1828" spans="3:14" x14ac:dyDescent="0.3">
      <c r="C1828" t="s">
        <v>41</v>
      </c>
      <c r="D1828" t="s">
        <v>41</v>
      </c>
      <c r="K1828">
        <v>0</v>
      </c>
      <c r="L1828" t="s">
        <v>41</v>
      </c>
      <c r="M1828" t="s">
        <v>972</v>
      </c>
      <c r="N1828" t="s">
        <v>41</v>
      </c>
    </row>
    <row r="1829" spans="3:14" x14ac:dyDescent="0.3">
      <c r="C1829" t="s">
        <v>41</v>
      </c>
      <c r="D1829" t="s">
        <v>41</v>
      </c>
      <c r="K1829">
        <v>0</v>
      </c>
      <c r="L1829" t="s">
        <v>41</v>
      </c>
      <c r="M1829" t="s">
        <v>972</v>
      </c>
      <c r="N1829" t="s">
        <v>41</v>
      </c>
    </row>
    <row r="1830" spans="3:14" x14ac:dyDescent="0.3">
      <c r="C1830" t="s">
        <v>41</v>
      </c>
      <c r="D1830" t="s">
        <v>41</v>
      </c>
      <c r="K1830">
        <v>0</v>
      </c>
      <c r="L1830" t="s">
        <v>41</v>
      </c>
      <c r="M1830" t="s">
        <v>972</v>
      </c>
      <c r="N1830" t="s">
        <v>41</v>
      </c>
    </row>
    <row r="1831" spans="3:14" x14ac:dyDescent="0.3">
      <c r="C1831" t="s">
        <v>41</v>
      </c>
      <c r="D1831" t="s">
        <v>41</v>
      </c>
      <c r="K1831">
        <v>0</v>
      </c>
      <c r="L1831" t="s">
        <v>41</v>
      </c>
      <c r="M1831" t="s">
        <v>972</v>
      </c>
      <c r="N1831" t="s">
        <v>41</v>
      </c>
    </row>
    <row r="1832" spans="3:14" x14ac:dyDescent="0.3">
      <c r="C1832" t="s">
        <v>41</v>
      </c>
      <c r="D1832" t="s">
        <v>41</v>
      </c>
      <c r="K1832">
        <v>0</v>
      </c>
      <c r="L1832" t="s">
        <v>41</v>
      </c>
      <c r="M1832" t="s">
        <v>972</v>
      </c>
      <c r="N1832" t="s">
        <v>41</v>
      </c>
    </row>
    <row r="1833" spans="3:14" x14ac:dyDescent="0.3">
      <c r="C1833" t="s">
        <v>41</v>
      </c>
      <c r="D1833" t="s">
        <v>41</v>
      </c>
      <c r="K1833">
        <v>0</v>
      </c>
      <c r="L1833" t="s">
        <v>41</v>
      </c>
      <c r="M1833" t="s">
        <v>972</v>
      </c>
      <c r="N1833" t="s">
        <v>41</v>
      </c>
    </row>
    <row r="1834" spans="3:14" x14ac:dyDescent="0.3">
      <c r="C1834" t="s">
        <v>41</v>
      </c>
      <c r="D1834" t="s">
        <v>41</v>
      </c>
      <c r="K1834">
        <v>0</v>
      </c>
      <c r="L1834" t="s">
        <v>41</v>
      </c>
      <c r="M1834" t="s">
        <v>972</v>
      </c>
      <c r="N1834" t="s">
        <v>41</v>
      </c>
    </row>
    <row r="1835" spans="3:14" x14ac:dyDescent="0.3">
      <c r="C1835" t="s">
        <v>41</v>
      </c>
      <c r="D1835" t="s">
        <v>41</v>
      </c>
      <c r="K1835">
        <v>0</v>
      </c>
      <c r="L1835" t="s">
        <v>41</v>
      </c>
      <c r="M1835" t="s">
        <v>972</v>
      </c>
      <c r="N1835" t="s">
        <v>41</v>
      </c>
    </row>
    <row r="1836" spans="3:14" x14ac:dyDescent="0.3">
      <c r="C1836" t="s">
        <v>41</v>
      </c>
      <c r="D1836" t="s">
        <v>41</v>
      </c>
      <c r="K1836">
        <v>0</v>
      </c>
      <c r="L1836" t="s">
        <v>41</v>
      </c>
      <c r="M1836" t="s">
        <v>972</v>
      </c>
      <c r="N1836" t="s">
        <v>41</v>
      </c>
    </row>
    <row r="1837" spans="3:14" x14ac:dyDescent="0.3">
      <c r="C1837" t="s">
        <v>41</v>
      </c>
      <c r="D1837" t="s">
        <v>41</v>
      </c>
      <c r="K1837">
        <v>0</v>
      </c>
      <c r="L1837" t="s">
        <v>41</v>
      </c>
      <c r="M1837" t="s">
        <v>972</v>
      </c>
      <c r="N1837" t="s">
        <v>41</v>
      </c>
    </row>
    <row r="1838" spans="3:14" x14ac:dyDescent="0.3">
      <c r="C1838" t="s">
        <v>41</v>
      </c>
      <c r="D1838" t="s">
        <v>41</v>
      </c>
      <c r="K1838">
        <v>0</v>
      </c>
      <c r="L1838" t="s">
        <v>41</v>
      </c>
      <c r="M1838" t="s">
        <v>972</v>
      </c>
      <c r="N1838" t="s">
        <v>41</v>
      </c>
    </row>
    <row r="1839" spans="3:14" x14ac:dyDescent="0.3">
      <c r="C1839" t="s">
        <v>41</v>
      </c>
      <c r="D1839" t="s">
        <v>41</v>
      </c>
      <c r="K1839">
        <v>0</v>
      </c>
      <c r="L1839" t="s">
        <v>41</v>
      </c>
      <c r="M1839" t="s">
        <v>972</v>
      </c>
      <c r="N1839" t="s">
        <v>41</v>
      </c>
    </row>
    <row r="1840" spans="3:14" x14ac:dyDescent="0.3">
      <c r="C1840" t="s">
        <v>41</v>
      </c>
      <c r="D1840" t="s">
        <v>41</v>
      </c>
      <c r="K1840">
        <v>0</v>
      </c>
      <c r="L1840" t="s">
        <v>41</v>
      </c>
      <c r="M1840" t="s">
        <v>972</v>
      </c>
      <c r="N1840" t="s">
        <v>41</v>
      </c>
    </row>
    <row r="1841" spans="3:14" x14ac:dyDescent="0.3">
      <c r="C1841" t="s">
        <v>41</v>
      </c>
      <c r="D1841" t="s">
        <v>41</v>
      </c>
      <c r="K1841">
        <v>0</v>
      </c>
      <c r="L1841" t="s">
        <v>41</v>
      </c>
      <c r="M1841" t="s">
        <v>972</v>
      </c>
      <c r="N1841" t="s">
        <v>41</v>
      </c>
    </row>
    <row r="1842" spans="3:14" x14ac:dyDescent="0.3">
      <c r="C1842" t="s">
        <v>41</v>
      </c>
      <c r="D1842" t="s">
        <v>41</v>
      </c>
      <c r="K1842">
        <v>0</v>
      </c>
      <c r="L1842" t="s">
        <v>41</v>
      </c>
      <c r="M1842" t="s">
        <v>972</v>
      </c>
      <c r="N1842" t="s">
        <v>41</v>
      </c>
    </row>
    <row r="1843" spans="3:14" x14ac:dyDescent="0.3">
      <c r="C1843" t="s">
        <v>41</v>
      </c>
      <c r="D1843" t="s">
        <v>41</v>
      </c>
      <c r="K1843">
        <v>0</v>
      </c>
      <c r="L1843" t="s">
        <v>41</v>
      </c>
      <c r="M1843" t="s">
        <v>972</v>
      </c>
      <c r="N1843" t="s">
        <v>41</v>
      </c>
    </row>
    <row r="1844" spans="3:14" x14ac:dyDescent="0.3">
      <c r="C1844" t="s">
        <v>41</v>
      </c>
      <c r="D1844" t="s">
        <v>41</v>
      </c>
      <c r="K1844">
        <v>0</v>
      </c>
      <c r="L1844" t="s">
        <v>41</v>
      </c>
      <c r="M1844" t="s">
        <v>972</v>
      </c>
      <c r="N1844" t="s">
        <v>41</v>
      </c>
    </row>
    <row r="1845" spans="3:14" x14ac:dyDescent="0.3">
      <c r="C1845" t="s">
        <v>41</v>
      </c>
      <c r="D1845" t="s">
        <v>41</v>
      </c>
      <c r="K1845">
        <v>0</v>
      </c>
      <c r="L1845" t="s">
        <v>41</v>
      </c>
      <c r="M1845" t="s">
        <v>972</v>
      </c>
      <c r="N1845" t="s">
        <v>41</v>
      </c>
    </row>
    <row r="1846" spans="3:14" x14ac:dyDescent="0.3">
      <c r="C1846" t="s">
        <v>41</v>
      </c>
      <c r="D1846" t="s">
        <v>41</v>
      </c>
      <c r="K1846">
        <v>0</v>
      </c>
      <c r="L1846" t="s">
        <v>41</v>
      </c>
      <c r="M1846" t="s">
        <v>972</v>
      </c>
      <c r="N1846" t="s">
        <v>41</v>
      </c>
    </row>
    <row r="1847" spans="3:14" x14ac:dyDescent="0.3">
      <c r="C1847" t="s">
        <v>41</v>
      </c>
      <c r="D1847" t="s">
        <v>41</v>
      </c>
      <c r="K1847">
        <v>0</v>
      </c>
      <c r="L1847" t="s">
        <v>41</v>
      </c>
      <c r="M1847" t="s">
        <v>972</v>
      </c>
      <c r="N1847" t="s">
        <v>41</v>
      </c>
    </row>
    <row r="1848" spans="3:14" x14ac:dyDescent="0.3">
      <c r="C1848" t="s">
        <v>41</v>
      </c>
      <c r="D1848" t="s">
        <v>41</v>
      </c>
      <c r="K1848">
        <v>0</v>
      </c>
      <c r="L1848" t="s">
        <v>41</v>
      </c>
      <c r="M1848" t="s">
        <v>972</v>
      </c>
      <c r="N1848" t="s">
        <v>41</v>
      </c>
    </row>
    <row r="1849" spans="3:14" x14ac:dyDescent="0.3">
      <c r="C1849" t="s">
        <v>41</v>
      </c>
      <c r="D1849" t="s">
        <v>41</v>
      </c>
      <c r="K1849">
        <v>0</v>
      </c>
      <c r="L1849" t="s">
        <v>41</v>
      </c>
      <c r="M1849" t="s">
        <v>972</v>
      </c>
      <c r="N1849" t="s">
        <v>41</v>
      </c>
    </row>
    <row r="1850" spans="3:14" x14ac:dyDescent="0.3">
      <c r="C1850" t="s">
        <v>41</v>
      </c>
      <c r="D1850" t="s">
        <v>41</v>
      </c>
      <c r="K1850">
        <v>0</v>
      </c>
      <c r="L1850" t="s">
        <v>41</v>
      </c>
      <c r="M1850" t="s">
        <v>972</v>
      </c>
      <c r="N1850" t="s">
        <v>41</v>
      </c>
    </row>
    <row r="1851" spans="3:14" x14ac:dyDescent="0.3">
      <c r="C1851" t="s">
        <v>41</v>
      </c>
      <c r="D1851" t="s">
        <v>41</v>
      </c>
      <c r="K1851">
        <v>0</v>
      </c>
      <c r="L1851" t="s">
        <v>41</v>
      </c>
      <c r="M1851" t="s">
        <v>972</v>
      </c>
      <c r="N1851" t="s">
        <v>41</v>
      </c>
    </row>
    <row r="1852" spans="3:14" x14ac:dyDescent="0.3">
      <c r="C1852" t="s">
        <v>41</v>
      </c>
      <c r="D1852" t="s">
        <v>41</v>
      </c>
      <c r="K1852">
        <v>0</v>
      </c>
      <c r="L1852" t="s">
        <v>41</v>
      </c>
      <c r="M1852" t="s">
        <v>972</v>
      </c>
      <c r="N1852" t="s">
        <v>41</v>
      </c>
    </row>
    <row r="1853" spans="3:14" x14ac:dyDescent="0.3">
      <c r="C1853" t="s">
        <v>41</v>
      </c>
      <c r="D1853" t="s">
        <v>41</v>
      </c>
      <c r="K1853">
        <v>0</v>
      </c>
      <c r="L1853" t="s">
        <v>41</v>
      </c>
      <c r="M1853" t="s">
        <v>972</v>
      </c>
      <c r="N1853" t="s">
        <v>41</v>
      </c>
    </row>
    <row r="1854" spans="3:14" x14ac:dyDescent="0.3">
      <c r="C1854" t="s">
        <v>41</v>
      </c>
      <c r="D1854" t="s">
        <v>41</v>
      </c>
      <c r="K1854">
        <v>0</v>
      </c>
      <c r="L1854" t="s">
        <v>41</v>
      </c>
      <c r="M1854" t="s">
        <v>972</v>
      </c>
      <c r="N1854" t="s">
        <v>41</v>
      </c>
    </row>
    <row r="1855" spans="3:14" x14ac:dyDescent="0.3">
      <c r="C1855" t="s">
        <v>41</v>
      </c>
      <c r="D1855" t="s">
        <v>41</v>
      </c>
      <c r="K1855">
        <v>0</v>
      </c>
      <c r="L1855" t="s">
        <v>41</v>
      </c>
      <c r="M1855" t="s">
        <v>972</v>
      </c>
      <c r="N1855" t="s">
        <v>41</v>
      </c>
    </row>
    <row r="1856" spans="3:14" x14ac:dyDescent="0.3">
      <c r="C1856" t="s">
        <v>41</v>
      </c>
      <c r="D1856" t="s">
        <v>41</v>
      </c>
      <c r="K1856">
        <v>0</v>
      </c>
      <c r="L1856" t="s">
        <v>41</v>
      </c>
      <c r="M1856" t="s">
        <v>972</v>
      </c>
      <c r="N1856" t="s">
        <v>41</v>
      </c>
    </row>
    <row r="1857" spans="3:14" x14ac:dyDescent="0.3">
      <c r="C1857" t="s">
        <v>41</v>
      </c>
      <c r="D1857" t="s">
        <v>41</v>
      </c>
      <c r="K1857">
        <v>0</v>
      </c>
      <c r="L1857" t="s">
        <v>41</v>
      </c>
      <c r="M1857" t="s">
        <v>972</v>
      </c>
      <c r="N1857" t="s">
        <v>41</v>
      </c>
    </row>
    <row r="1858" spans="3:14" x14ac:dyDescent="0.3">
      <c r="C1858" t="s">
        <v>41</v>
      </c>
      <c r="D1858" t="s">
        <v>41</v>
      </c>
      <c r="K1858">
        <v>0</v>
      </c>
      <c r="L1858" t="s">
        <v>41</v>
      </c>
      <c r="M1858" t="s">
        <v>972</v>
      </c>
      <c r="N1858" t="s">
        <v>41</v>
      </c>
    </row>
    <row r="1859" spans="3:14" x14ac:dyDescent="0.3">
      <c r="C1859" t="s">
        <v>41</v>
      </c>
      <c r="D1859" t="s">
        <v>41</v>
      </c>
      <c r="K1859">
        <v>0</v>
      </c>
      <c r="L1859" t="s">
        <v>41</v>
      </c>
      <c r="M1859" t="s">
        <v>972</v>
      </c>
      <c r="N1859" t="s">
        <v>41</v>
      </c>
    </row>
    <row r="1860" spans="3:14" x14ac:dyDescent="0.3">
      <c r="C1860" t="s">
        <v>41</v>
      </c>
      <c r="D1860" t="s">
        <v>41</v>
      </c>
      <c r="K1860">
        <v>0</v>
      </c>
      <c r="L1860" t="s">
        <v>41</v>
      </c>
      <c r="M1860" t="s">
        <v>972</v>
      </c>
      <c r="N1860" t="s">
        <v>41</v>
      </c>
    </row>
    <row r="1861" spans="3:14" x14ac:dyDescent="0.3">
      <c r="C1861" t="s">
        <v>41</v>
      </c>
      <c r="D1861" t="s">
        <v>41</v>
      </c>
      <c r="K1861">
        <v>0</v>
      </c>
      <c r="L1861" t="s">
        <v>41</v>
      </c>
      <c r="M1861" t="s">
        <v>972</v>
      </c>
      <c r="N1861" t="s">
        <v>41</v>
      </c>
    </row>
    <row r="1862" spans="3:14" x14ac:dyDescent="0.3">
      <c r="C1862" t="s">
        <v>41</v>
      </c>
      <c r="D1862" t="s">
        <v>41</v>
      </c>
      <c r="K1862">
        <v>0</v>
      </c>
      <c r="L1862" t="s">
        <v>41</v>
      </c>
      <c r="M1862" t="s">
        <v>972</v>
      </c>
      <c r="N1862" t="s">
        <v>41</v>
      </c>
    </row>
    <row r="1863" spans="3:14" x14ac:dyDescent="0.3">
      <c r="C1863" t="s">
        <v>41</v>
      </c>
      <c r="D1863" t="s">
        <v>41</v>
      </c>
      <c r="K1863">
        <v>0</v>
      </c>
      <c r="L1863" t="s">
        <v>41</v>
      </c>
      <c r="M1863" t="s">
        <v>972</v>
      </c>
      <c r="N1863" t="s">
        <v>41</v>
      </c>
    </row>
    <row r="1864" spans="3:14" x14ac:dyDescent="0.3">
      <c r="C1864" t="s">
        <v>41</v>
      </c>
      <c r="D1864" t="s">
        <v>41</v>
      </c>
      <c r="K1864">
        <v>0</v>
      </c>
      <c r="L1864" t="s">
        <v>41</v>
      </c>
      <c r="M1864" t="s">
        <v>972</v>
      </c>
      <c r="N1864" t="s">
        <v>41</v>
      </c>
    </row>
    <row r="1865" spans="3:14" x14ac:dyDescent="0.3">
      <c r="C1865" t="s">
        <v>41</v>
      </c>
      <c r="D1865" t="s">
        <v>41</v>
      </c>
      <c r="K1865">
        <v>0</v>
      </c>
      <c r="L1865" t="s">
        <v>41</v>
      </c>
      <c r="M1865" t="s">
        <v>972</v>
      </c>
      <c r="N1865" t="s">
        <v>41</v>
      </c>
    </row>
    <row r="1866" spans="3:14" x14ac:dyDescent="0.3">
      <c r="C1866" t="s">
        <v>41</v>
      </c>
      <c r="D1866" t="s">
        <v>41</v>
      </c>
      <c r="K1866">
        <v>0</v>
      </c>
      <c r="L1866" t="s">
        <v>41</v>
      </c>
      <c r="M1866" t="s">
        <v>972</v>
      </c>
      <c r="N1866" t="s">
        <v>41</v>
      </c>
    </row>
    <row r="1867" spans="3:14" x14ac:dyDescent="0.3">
      <c r="C1867" t="s">
        <v>41</v>
      </c>
      <c r="D1867" t="s">
        <v>41</v>
      </c>
      <c r="K1867">
        <v>0</v>
      </c>
      <c r="L1867" t="s">
        <v>41</v>
      </c>
      <c r="M1867" t="s">
        <v>972</v>
      </c>
      <c r="N1867" t="s">
        <v>41</v>
      </c>
    </row>
    <row r="1868" spans="3:14" x14ac:dyDescent="0.3">
      <c r="C1868" t="s">
        <v>41</v>
      </c>
      <c r="D1868" t="s">
        <v>41</v>
      </c>
      <c r="K1868">
        <v>0</v>
      </c>
      <c r="L1868" t="s">
        <v>41</v>
      </c>
      <c r="M1868" t="s">
        <v>972</v>
      </c>
      <c r="N1868" t="s">
        <v>41</v>
      </c>
    </row>
    <row r="1869" spans="3:14" x14ac:dyDescent="0.3">
      <c r="C1869" t="s">
        <v>41</v>
      </c>
      <c r="D1869" t="s">
        <v>41</v>
      </c>
      <c r="K1869">
        <v>0</v>
      </c>
      <c r="L1869" t="s">
        <v>41</v>
      </c>
      <c r="M1869" t="s">
        <v>972</v>
      </c>
      <c r="N1869" t="s">
        <v>41</v>
      </c>
    </row>
    <row r="1870" spans="3:14" x14ac:dyDescent="0.3">
      <c r="C1870" t="s">
        <v>41</v>
      </c>
      <c r="D1870" t="s">
        <v>41</v>
      </c>
      <c r="K1870">
        <v>0</v>
      </c>
      <c r="L1870" t="s">
        <v>41</v>
      </c>
      <c r="M1870" t="s">
        <v>972</v>
      </c>
      <c r="N1870" t="s">
        <v>41</v>
      </c>
    </row>
    <row r="1871" spans="3:14" x14ac:dyDescent="0.3">
      <c r="C1871" t="s">
        <v>41</v>
      </c>
      <c r="D1871" t="s">
        <v>41</v>
      </c>
      <c r="K1871">
        <v>0</v>
      </c>
      <c r="L1871" t="s">
        <v>41</v>
      </c>
      <c r="M1871" t="s">
        <v>972</v>
      </c>
      <c r="N1871" t="s">
        <v>41</v>
      </c>
    </row>
    <row r="1872" spans="3:14" x14ac:dyDescent="0.3">
      <c r="C1872" t="s">
        <v>41</v>
      </c>
      <c r="D1872" t="s">
        <v>41</v>
      </c>
      <c r="K1872">
        <v>0</v>
      </c>
      <c r="L1872" t="s">
        <v>41</v>
      </c>
      <c r="M1872" t="s">
        <v>972</v>
      </c>
      <c r="N1872" t="s">
        <v>41</v>
      </c>
    </row>
    <row r="1873" spans="3:14" x14ac:dyDescent="0.3">
      <c r="C1873" t="s">
        <v>41</v>
      </c>
      <c r="D1873" t="s">
        <v>41</v>
      </c>
      <c r="K1873">
        <v>0</v>
      </c>
      <c r="L1873" t="s">
        <v>41</v>
      </c>
      <c r="M1873" t="s">
        <v>972</v>
      </c>
      <c r="N1873" t="s">
        <v>41</v>
      </c>
    </row>
    <row r="1874" spans="3:14" x14ac:dyDescent="0.3">
      <c r="C1874" t="s">
        <v>41</v>
      </c>
      <c r="D1874" t="s">
        <v>41</v>
      </c>
      <c r="K1874">
        <v>0</v>
      </c>
      <c r="L1874" t="s">
        <v>41</v>
      </c>
      <c r="M1874" t="s">
        <v>972</v>
      </c>
      <c r="N1874" t="s">
        <v>41</v>
      </c>
    </row>
    <row r="1875" spans="3:14" x14ac:dyDescent="0.3">
      <c r="C1875" t="s">
        <v>41</v>
      </c>
      <c r="D1875" t="s">
        <v>41</v>
      </c>
      <c r="K1875">
        <v>0</v>
      </c>
      <c r="L1875" t="s">
        <v>41</v>
      </c>
      <c r="M1875" t="s">
        <v>972</v>
      </c>
      <c r="N1875" t="s">
        <v>41</v>
      </c>
    </row>
    <row r="1876" spans="3:14" x14ac:dyDescent="0.3">
      <c r="C1876" t="s">
        <v>41</v>
      </c>
      <c r="D1876" t="s">
        <v>41</v>
      </c>
      <c r="K1876">
        <v>0</v>
      </c>
      <c r="L1876" t="s">
        <v>41</v>
      </c>
      <c r="M1876" t="s">
        <v>972</v>
      </c>
      <c r="N1876" t="s">
        <v>41</v>
      </c>
    </row>
    <row r="1877" spans="3:14" x14ac:dyDescent="0.3">
      <c r="C1877" t="s">
        <v>41</v>
      </c>
      <c r="D1877" t="s">
        <v>41</v>
      </c>
      <c r="K1877">
        <v>0</v>
      </c>
      <c r="L1877" t="s">
        <v>41</v>
      </c>
      <c r="M1877" t="s">
        <v>972</v>
      </c>
      <c r="N1877" t="s">
        <v>41</v>
      </c>
    </row>
    <row r="1878" spans="3:14" x14ac:dyDescent="0.3">
      <c r="C1878" t="s">
        <v>41</v>
      </c>
      <c r="D1878" t="s">
        <v>41</v>
      </c>
      <c r="K1878">
        <v>0</v>
      </c>
      <c r="L1878" t="s">
        <v>41</v>
      </c>
      <c r="M1878" t="s">
        <v>972</v>
      </c>
      <c r="N1878" t="s">
        <v>41</v>
      </c>
    </row>
    <row r="1879" spans="3:14" x14ac:dyDescent="0.3">
      <c r="C1879" t="s">
        <v>41</v>
      </c>
      <c r="D1879" t="s">
        <v>41</v>
      </c>
      <c r="K1879">
        <v>0</v>
      </c>
      <c r="L1879" t="s">
        <v>41</v>
      </c>
      <c r="M1879" t="s">
        <v>972</v>
      </c>
      <c r="N1879" t="s">
        <v>41</v>
      </c>
    </row>
    <row r="1880" spans="3:14" x14ac:dyDescent="0.3">
      <c r="C1880" t="s">
        <v>41</v>
      </c>
      <c r="D1880" t="s">
        <v>41</v>
      </c>
      <c r="K1880">
        <v>0</v>
      </c>
      <c r="L1880" t="s">
        <v>41</v>
      </c>
      <c r="M1880" t="s">
        <v>972</v>
      </c>
      <c r="N1880" t="s">
        <v>41</v>
      </c>
    </row>
    <row r="1881" spans="3:14" x14ac:dyDescent="0.3">
      <c r="C1881" t="s">
        <v>41</v>
      </c>
      <c r="D1881" t="s">
        <v>41</v>
      </c>
      <c r="K1881">
        <v>0</v>
      </c>
      <c r="L1881" t="s">
        <v>41</v>
      </c>
      <c r="M1881" t="s">
        <v>972</v>
      </c>
      <c r="N1881" t="s">
        <v>41</v>
      </c>
    </row>
    <row r="1882" spans="3:14" x14ac:dyDescent="0.3">
      <c r="C1882" t="s">
        <v>41</v>
      </c>
      <c r="D1882" t="s">
        <v>41</v>
      </c>
      <c r="K1882">
        <v>0</v>
      </c>
      <c r="L1882" t="s">
        <v>41</v>
      </c>
      <c r="M1882" t="s">
        <v>972</v>
      </c>
      <c r="N1882" t="s">
        <v>41</v>
      </c>
    </row>
    <row r="1883" spans="3:14" x14ac:dyDescent="0.3">
      <c r="C1883" t="s">
        <v>41</v>
      </c>
      <c r="D1883" t="s">
        <v>41</v>
      </c>
      <c r="K1883">
        <v>0</v>
      </c>
      <c r="L1883" t="s">
        <v>41</v>
      </c>
      <c r="M1883" t="s">
        <v>972</v>
      </c>
      <c r="N1883" t="s">
        <v>41</v>
      </c>
    </row>
    <row r="1884" spans="3:14" x14ac:dyDescent="0.3">
      <c r="C1884" t="s">
        <v>41</v>
      </c>
      <c r="D1884" t="s">
        <v>41</v>
      </c>
      <c r="K1884">
        <v>0</v>
      </c>
      <c r="L1884" t="s">
        <v>41</v>
      </c>
      <c r="M1884" t="s">
        <v>972</v>
      </c>
      <c r="N1884" t="s">
        <v>41</v>
      </c>
    </row>
    <row r="1885" spans="3:14" x14ac:dyDescent="0.3">
      <c r="C1885" t="s">
        <v>41</v>
      </c>
      <c r="D1885" t="s">
        <v>41</v>
      </c>
      <c r="K1885">
        <v>0</v>
      </c>
      <c r="L1885" t="s">
        <v>41</v>
      </c>
      <c r="M1885" t="s">
        <v>972</v>
      </c>
      <c r="N1885" t="s">
        <v>41</v>
      </c>
    </row>
    <row r="1886" spans="3:14" x14ac:dyDescent="0.3">
      <c r="C1886" t="s">
        <v>41</v>
      </c>
      <c r="D1886" t="s">
        <v>41</v>
      </c>
      <c r="K1886">
        <v>0</v>
      </c>
      <c r="L1886" t="s">
        <v>41</v>
      </c>
      <c r="M1886" t="s">
        <v>972</v>
      </c>
      <c r="N1886" t="s">
        <v>41</v>
      </c>
    </row>
    <row r="1887" spans="3:14" x14ac:dyDescent="0.3">
      <c r="C1887" t="s">
        <v>41</v>
      </c>
      <c r="D1887" t="s">
        <v>41</v>
      </c>
      <c r="K1887">
        <v>0</v>
      </c>
      <c r="L1887" t="s">
        <v>41</v>
      </c>
      <c r="M1887" t="s">
        <v>972</v>
      </c>
      <c r="N1887" t="s">
        <v>41</v>
      </c>
    </row>
    <row r="1888" spans="3:14" x14ac:dyDescent="0.3">
      <c r="C1888" t="s">
        <v>41</v>
      </c>
      <c r="D1888" t="s">
        <v>41</v>
      </c>
      <c r="K1888">
        <v>0</v>
      </c>
      <c r="L1888" t="s">
        <v>41</v>
      </c>
      <c r="M1888" t="s">
        <v>972</v>
      </c>
      <c r="N1888" t="s">
        <v>41</v>
      </c>
    </row>
    <row r="1889" spans="3:14" x14ac:dyDescent="0.3">
      <c r="C1889" t="s">
        <v>41</v>
      </c>
      <c r="D1889" t="s">
        <v>41</v>
      </c>
      <c r="K1889">
        <v>0</v>
      </c>
      <c r="L1889" t="s">
        <v>41</v>
      </c>
      <c r="M1889" t="s">
        <v>972</v>
      </c>
      <c r="N1889" t="s">
        <v>41</v>
      </c>
    </row>
    <row r="1890" spans="3:14" x14ac:dyDescent="0.3">
      <c r="C1890" t="s">
        <v>41</v>
      </c>
      <c r="D1890" t="s">
        <v>41</v>
      </c>
      <c r="K1890">
        <v>0</v>
      </c>
      <c r="L1890" t="s">
        <v>41</v>
      </c>
      <c r="M1890" t="s">
        <v>972</v>
      </c>
      <c r="N1890" t="s">
        <v>41</v>
      </c>
    </row>
    <row r="1891" spans="3:14" x14ac:dyDescent="0.3">
      <c r="C1891" t="s">
        <v>41</v>
      </c>
      <c r="D1891" t="s">
        <v>41</v>
      </c>
      <c r="K1891">
        <v>0</v>
      </c>
      <c r="L1891" t="s">
        <v>41</v>
      </c>
      <c r="M1891" t="s">
        <v>972</v>
      </c>
      <c r="N1891" t="s">
        <v>41</v>
      </c>
    </row>
    <row r="1892" spans="3:14" x14ac:dyDescent="0.3">
      <c r="C1892" t="s">
        <v>41</v>
      </c>
      <c r="D1892" t="s">
        <v>41</v>
      </c>
      <c r="K1892">
        <v>0</v>
      </c>
      <c r="L1892" t="s">
        <v>41</v>
      </c>
      <c r="M1892" t="s">
        <v>972</v>
      </c>
      <c r="N1892" t="s">
        <v>41</v>
      </c>
    </row>
    <row r="1893" spans="3:14" x14ac:dyDescent="0.3">
      <c r="C1893" t="s">
        <v>41</v>
      </c>
      <c r="D1893" t="s">
        <v>41</v>
      </c>
      <c r="K1893">
        <v>0</v>
      </c>
      <c r="L1893" t="s">
        <v>41</v>
      </c>
      <c r="M1893" t="s">
        <v>972</v>
      </c>
      <c r="N1893" t="s">
        <v>41</v>
      </c>
    </row>
    <row r="1894" spans="3:14" x14ac:dyDescent="0.3">
      <c r="C1894" t="s">
        <v>41</v>
      </c>
      <c r="D1894" t="s">
        <v>41</v>
      </c>
      <c r="K1894">
        <v>0</v>
      </c>
      <c r="L1894" t="s">
        <v>41</v>
      </c>
      <c r="M1894" t="s">
        <v>972</v>
      </c>
      <c r="N1894" t="s">
        <v>41</v>
      </c>
    </row>
    <row r="1895" spans="3:14" x14ac:dyDescent="0.3">
      <c r="C1895" t="s">
        <v>41</v>
      </c>
      <c r="D1895" t="s">
        <v>41</v>
      </c>
      <c r="K1895">
        <v>0</v>
      </c>
      <c r="L1895" t="s">
        <v>41</v>
      </c>
      <c r="M1895" t="s">
        <v>972</v>
      </c>
      <c r="N1895" t="s">
        <v>41</v>
      </c>
    </row>
    <row r="1896" spans="3:14" x14ac:dyDescent="0.3">
      <c r="C1896" t="s">
        <v>41</v>
      </c>
      <c r="D1896" t="s">
        <v>41</v>
      </c>
      <c r="K1896">
        <v>0</v>
      </c>
      <c r="L1896" t="s">
        <v>41</v>
      </c>
      <c r="M1896" t="s">
        <v>972</v>
      </c>
      <c r="N1896" t="s">
        <v>41</v>
      </c>
    </row>
    <row r="1897" spans="3:14" x14ac:dyDescent="0.3">
      <c r="C1897" t="s">
        <v>41</v>
      </c>
      <c r="D1897" t="s">
        <v>41</v>
      </c>
      <c r="K1897">
        <v>0</v>
      </c>
      <c r="L1897" t="s">
        <v>41</v>
      </c>
      <c r="M1897" t="s">
        <v>972</v>
      </c>
      <c r="N1897" t="s">
        <v>41</v>
      </c>
    </row>
    <row r="1898" spans="3:14" x14ac:dyDescent="0.3">
      <c r="C1898" t="s">
        <v>41</v>
      </c>
      <c r="D1898" t="s">
        <v>41</v>
      </c>
      <c r="K1898">
        <v>0</v>
      </c>
      <c r="L1898" t="s">
        <v>41</v>
      </c>
      <c r="M1898" t="s">
        <v>972</v>
      </c>
      <c r="N1898" t="s">
        <v>41</v>
      </c>
    </row>
    <row r="1899" spans="3:14" x14ac:dyDescent="0.3">
      <c r="C1899" t="s">
        <v>41</v>
      </c>
      <c r="D1899" t="s">
        <v>41</v>
      </c>
      <c r="K1899">
        <v>0</v>
      </c>
      <c r="L1899" t="s">
        <v>41</v>
      </c>
      <c r="M1899" t="s">
        <v>972</v>
      </c>
      <c r="N1899" t="s">
        <v>41</v>
      </c>
    </row>
    <row r="1900" spans="3:14" x14ac:dyDescent="0.3">
      <c r="C1900" t="s">
        <v>41</v>
      </c>
      <c r="D1900" t="s">
        <v>41</v>
      </c>
      <c r="K1900">
        <v>0</v>
      </c>
      <c r="L1900" t="s">
        <v>41</v>
      </c>
      <c r="M1900" t="s">
        <v>972</v>
      </c>
      <c r="N1900" t="s">
        <v>41</v>
      </c>
    </row>
    <row r="1901" spans="3:14" x14ac:dyDescent="0.3">
      <c r="C1901" t="s">
        <v>41</v>
      </c>
      <c r="D1901" t="s">
        <v>41</v>
      </c>
      <c r="K1901">
        <v>0</v>
      </c>
      <c r="L1901" t="s">
        <v>41</v>
      </c>
      <c r="M1901" t="s">
        <v>972</v>
      </c>
      <c r="N1901" t="s">
        <v>41</v>
      </c>
    </row>
    <row r="1902" spans="3:14" x14ac:dyDescent="0.3">
      <c r="C1902" t="s">
        <v>41</v>
      </c>
      <c r="D1902" t="s">
        <v>41</v>
      </c>
      <c r="K1902">
        <v>0</v>
      </c>
      <c r="L1902" t="s">
        <v>41</v>
      </c>
      <c r="M1902" t="s">
        <v>972</v>
      </c>
      <c r="N1902" t="s">
        <v>41</v>
      </c>
    </row>
    <row r="1903" spans="3:14" x14ac:dyDescent="0.3">
      <c r="C1903" t="s">
        <v>41</v>
      </c>
      <c r="D1903" t="s">
        <v>41</v>
      </c>
      <c r="K1903">
        <v>0</v>
      </c>
      <c r="L1903" t="s">
        <v>41</v>
      </c>
      <c r="M1903" t="s">
        <v>972</v>
      </c>
      <c r="N1903" t="s">
        <v>41</v>
      </c>
    </row>
    <row r="1904" spans="3:14" x14ac:dyDescent="0.3">
      <c r="C1904" t="s">
        <v>41</v>
      </c>
      <c r="D1904" t="s">
        <v>41</v>
      </c>
      <c r="K1904">
        <v>0</v>
      </c>
      <c r="L1904" t="s">
        <v>41</v>
      </c>
      <c r="M1904" t="s">
        <v>972</v>
      </c>
      <c r="N1904" t="s">
        <v>41</v>
      </c>
    </row>
    <row r="1905" spans="3:14" x14ac:dyDescent="0.3">
      <c r="C1905" t="s">
        <v>41</v>
      </c>
      <c r="D1905" t="s">
        <v>41</v>
      </c>
      <c r="K1905">
        <v>0</v>
      </c>
      <c r="L1905" t="s">
        <v>41</v>
      </c>
      <c r="M1905" t="s">
        <v>972</v>
      </c>
      <c r="N1905" t="s">
        <v>41</v>
      </c>
    </row>
    <row r="1906" spans="3:14" x14ac:dyDescent="0.3">
      <c r="C1906" t="s">
        <v>41</v>
      </c>
      <c r="D1906" t="s">
        <v>41</v>
      </c>
      <c r="K1906">
        <v>0</v>
      </c>
      <c r="L1906" t="s">
        <v>41</v>
      </c>
      <c r="M1906" t="s">
        <v>972</v>
      </c>
      <c r="N1906" t="s">
        <v>41</v>
      </c>
    </row>
    <row r="1907" spans="3:14" x14ac:dyDescent="0.3">
      <c r="C1907" t="s">
        <v>41</v>
      </c>
      <c r="D1907" t="s">
        <v>41</v>
      </c>
      <c r="K1907">
        <v>0</v>
      </c>
      <c r="L1907" t="s">
        <v>41</v>
      </c>
      <c r="M1907" t="s">
        <v>972</v>
      </c>
      <c r="N1907" t="s">
        <v>41</v>
      </c>
    </row>
    <row r="1908" spans="3:14" x14ac:dyDescent="0.3">
      <c r="C1908" t="s">
        <v>41</v>
      </c>
      <c r="D1908" t="s">
        <v>41</v>
      </c>
      <c r="K1908">
        <v>0</v>
      </c>
      <c r="L1908" t="s">
        <v>41</v>
      </c>
      <c r="M1908" t="s">
        <v>972</v>
      </c>
      <c r="N1908" t="s">
        <v>41</v>
      </c>
    </row>
    <row r="1909" spans="3:14" x14ac:dyDescent="0.3">
      <c r="C1909" t="s">
        <v>41</v>
      </c>
      <c r="D1909" t="s">
        <v>41</v>
      </c>
      <c r="K1909">
        <v>0</v>
      </c>
      <c r="L1909" t="s">
        <v>41</v>
      </c>
      <c r="M1909" t="s">
        <v>972</v>
      </c>
      <c r="N1909" t="s">
        <v>41</v>
      </c>
    </row>
    <row r="1910" spans="3:14" x14ac:dyDescent="0.3">
      <c r="C1910" t="s">
        <v>41</v>
      </c>
      <c r="D1910" t="s">
        <v>41</v>
      </c>
      <c r="K1910">
        <v>0</v>
      </c>
      <c r="L1910" t="s">
        <v>41</v>
      </c>
      <c r="M1910" t="s">
        <v>972</v>
      </c>
      <c r="N1910" t="s">
        <v>41</v>
      </c>
    </row>
    <row r="1911" spans="3:14" x14ac:dyDescent="0.3">
      <c r="C1911" t="s">
        <v>41</v>
      </c>
      <c r="D1911" t="s">
        <v>41</v>
      </c>
      <c r="K1911">
        <v>0</v>
      </c>
      <c r="L1911" t="s">
        <v>41</v>
      </c>
      <c r="M1911" t="s">
        <v>972</v>
      </c>
      <c r="N1911" t="s">
        <v>41</v>
      </c>
    </row>
    <row r="1912" spans="3:14" x14ac:dyDescent="0.3">
      <c r="C1912" t="s">
        <v>41</v>
      </c>
      <c r="D1912" t="s">
        <v>41</v>
      </c>
      <c r="K1912">
        <v>0</v>
      </c>
      <c r="L1912" t="s">
        <v>41</v>
      </c>
      <c r="M1912" t="s">
        <v>972</v>
      </c>
      <c r="N1912" t="s">
        <v>41</v>
      </c>
    </row>
    <row r="1913" spans="3:14" x14ac:dyDescent="0.3">
      <c r="C1913" t="s">
        <v>41</v>
      </c>
      <c r="D1913" t="s">
        <v>41</v>
      </c>
      <c r="K1913">
        <v>0</v>
      </c>
      <c r="L1913" t="s">
        <v>41</v>
      </c>
      <c r="M1913" t="s">
        <v>972</v>
      </c>
      <c r="N1913" t="s">
        <v>41</v>
      </c>
    </row>
    <row r="1914" spans="3:14" x14ac:dyDescent="0.3">
      <c r="C1914" t="s">
        <v>41</v>
      </c>
      <c r="D1914" t="s">
        <v>41</v>
      </c>
      <c r="K1914">
        <v>0</v>
      </c>
      <c r="L1914" t="s">
        <v>41</v>
      </c>
      <c r="M1914" t="s">
        <v>972</v>
      </c>
      <c r="N1914" t="s">
        <v>41</v>
      </c>
    </row>
    <row r="1915" spans="3:14" x14ac:dyDescent="0.3">
      <c r="C1915" t="s">
        <v>41</v>
      </c>
      <c r="D1915" t="s">
        <v>41</v>
      </c>
      <c r="K1915">
        <v>0</v>
      </c>
      <c r="L1915" t="s">
        <v>41</v>
      </c>
      <c r="M1915" t="s">
        <v>972</v>
      </c>
      <c r="N1915" t="s">
        <v>41</v>
      </c>
    </row>
    <row r="1916" spans="3:14" x14ac:dyDescent="0.3">
      <c r="C1916" t="s">
        <v>41</v>
      </c>
      <c r="D1916" t="s">
        <v>41</v>
      </c>
      <c r="K1916">
        <v>0</v>
      </c>
      <c r="L1916" t="s">
        <v>41</v>
      </c>
      <c r="M1916" t="s">
        <v>972</v>
      </c>
      <c r="N1916" t="s">
        <v>41</v>
      </c>
    </row>
    <row r="1917" spans="3:14" x14ac:dyDescent="0.3">
      <c r="C1917" t="s">
        <v>41</v>
      </c>
      <c r="D1917" t="s">
        <v>41</v>
      </c>
      <c r="K1917">
        <v>0</v>
      </c>
      <c r="L1917" t="s">
        <v>41</v>
      </c>
      <c r="M1917" t="s">
        <v>972</v>
      </c>
      <c r="N1917" t="s">
        <v>41</v>
      </c>
    </row>
    <row r="1918" spans="3:14" x14ac:dyDescent="0.3">
      <c r="C1918" t="s">
        <v>41</v>
      </c>
      <c r="D1918" t="s">
        <v>41</v>
      </c>
      <c r="K1918">
        <v>0</v>
      </c>
      <c r="L1918" t="s">
        <v>41</v>
      </c>
      <c r="M1918" t="s">
        <v>972</v>
      </c>
      <c r="N1918" t="s">
        <v>41</v>
      </c>
    </row>
    <row r="1919" spans="3:14" x14ac:dyDescent="0.3">
      <c r="C1919" t="s">
        <v>41</v>
      </c>
      <c r="D1919" t="s">
        <v>41</v>
      </c>
      <c r="K1919">
        <v>0</v>
      </c>
      <c r="L1919" t="s">
        <v>41</v>
      </c>
      <c r="M1919" t="s">
        <v>972</v>
      </c>
      <c r="N1919" t="s">
        <v>41</v>
      </c>
    </row>
    <row r="1920" spans="3:14" x14ac:dyDescent="0.3">
      <c r="C1920" t="s">
        <v>41</v>
      </c>
      <c r="D1920" t="s">
        <v>41</v>
      </c>
      <c r="K1920">
        <v>0</v>
      </c>
      <c r="L1920" t="s">
        <v>41</v>
      </c>
      <c r="M1920" t="s">
        <v>972</v>
      </c>
      <c r="N1920" t="s">
        <v>41</v>
      </c>
    </row>
    <row r="1921" spans="3:14" x14ac:dyDescent="0.3">
      <c r="C1921" t="s">
        <v>41</v>
      </c>
      <c r="D1921" t="s">
        <v>41</v>
      </c>
      <c r="K1921">
        <v>0</v>
      </c>
      <c r="L1921" t="s">
        <v>41</v>
      </c>
      <c r="M1921" t="s">
        <v>972</v>
      </c>
      <c r="N1921" t="s">
        <v>41</v>
      </c>
    </row>
    <row r="1922" spans="3:14" x14ac:dyDescent="0.3">
      <c r="C1922" t="s">
        <v>41</v>
      </c>
      <c r="D1922" t="s">
        <v>41</v>
      </c>
      <c r="K1922">
        <v>0</v>
      </c>
      <c r="L1922" t="s">
        <v>41</v>
      </c>
      <c r="M1922" t="s">
        <v>972</v>
      </c>
      <c r="N1922" t="s">
        <v>41</v>
      </c>
    </row>
    <row r="1923" spans="3:14" x14ac:dyDescent="0.3">
      <c r="C1923" t="s">
        <v>41</v>
      </c>
      <c r="D1923" t="s">
        <v>41</v>
      </c>
      <c r="K1923">
        <v>0</v>
      </c>
      <c r="L1923" t="s">
        <v>41</v>
      </c>
      <c r="M1923" t="s">
        <v>972</v>
      </c>
      <c r="N1923" t="s">
        <v>41</v>
      </c>
    </row>
    <row r="1924" spans="3:14" x14ac:dyDescent="0.3">
      <c r="C1924" t="s">
        <v>41</v>
      </c>
      <c r="D1924" t="s">
        <v>41</v>
      </c>
      <c r="K1924">
        <v>0</v>
      </c>
      <c r="L1924" t="s">
        <v>41</v>
      </c>
      <c r="M1924" t="s">
        <v>972</v>
      </c>
      <c r="N1924" t="s">
        <v>41</v>
      </c>
    </row>
    <row r="1925" spans="3:14" x14ac:dyDescent="0.3">
      <c r="C1925" t="s">
        <v>41</v>
      </c>
      <c r="D1925" t="s">
        <v>41</v>
      </c>
      <c r="K1925">
        <v>0</v>
      </c>
      <c r="L1925" t="s">
        <v>41</v>
      </c>
      <c r="M1925" t="s">
        <v>972</v>
      </c>
      <c r="N1925" t="s">
        <v>41</v>
      </c>
    </row>
    <row r="1926" spans="3:14" x14ac:dyDescent="0.3">
      <c r="C1926" t="s">
        <v>41</v>
      </c>
      <c r="D1926" t="s">
        <v>41</v>
      </c>
      <c r="K1926">
        <v>0</v>
      </c>
      <c r="L1926" t="s">
        <v>41</v>
      </c>
      <c r="M1926" t="s">
        <v>972</v>
      </c>
      <c r="N1926" t="s">
        <v>41</v>
      </c>
    </row>
    <row r="1927" spans="3:14" x14ac:dyDescent="0.3">
      <c r="C1927" t="s">
        <v>41</v>
      </c>
      <c r="D1927" t="s">
        <v>41</v>
      </c>
      <c r="K1927">
        <v>0</v>
      </c>
      <c r="L1927" t="s">
        <v>41</v>
      </c>
      <c r="M1927" t="s">
        <v>972</v>
      </c>
      <c r="N1927" t="s">
        <v>41</v>
      </c>
    </row>
    <row r="1928" spans="3:14" x14ac:dyDescent="0.3">
      <c r="C1928" t="s">
        <v>41</v>
      </c>
      <c r="D1928" t="s">
        <v>41</v>
      </c>
      <c r="K1928">
        <v>0</v>
      </c>
      <c r="L1928" t="s">
        <v>41</v>
      </c>
      <c r="M1928" t="s">
        <v>972</v>
      </c>
      <c r="N1928" t="s">
        <v>41</v>
      </c>
    </row>
    <row r="1929" spans="3:14" x14ac:dyDescent="0.3">
      <c r="C1929" t="s">
        <v>41</v>
      </c>
      <c r="D1929" t="s">
        <v>41</v>
      </c>
      <c r="K1929">
        <v>0</v>
      </c>
      <c r="L1929" t="s">
        <v>41</v>
      </c>
      <c r="M1929" t="s">
        <v>972</v>
      </c>
      <c r="N1929" t="s">
        <v>41</v>
      </c>
    </row>
    <row r="1930" spans="3:14" x14ac:dyDescent="0.3">
      <c r="C1930" t="s">
        <v>41</v>
      </c>
      <c r="D1930" t="s">
        <v>41</v>
      </c>
      <c r="K1930">
        <v>0</v>
      </c>
      <c r="L1930" t="s">
        <v>41</v>
      </c>
      <c r="M1930" t="s">
        <v>972</v>
      </c>
      <c r="N1930" t="s">
        <v>41</v>
      </c>
    </row>
    <row r="1931" spans="3:14" x14ac:dyDescent="0.3">
      <c r="C1931" t="s">
        <v>41</v>
      </c>
      <c r="D1931" t="s">
        <v>41</v>
      </c>
      <c r="K1931">
        <v>0</v>
      </c>
      <c r="L1931" t="s">
        <v>41</v>
      </c>
      <c r="M1931" t="s">
        <v>972</v>
      </c>
      <c r="N1931" t="s">
        <v>41</v>
      </c>
    </row>
    <row r="1932" spans="3:14" x14ac:dyDescent="0.3">
      <c r="C1932" t="s">
        <v>41</v>
      </c>
      <c r="D1932" t="s">
        <v>41</v>
      </c>
      <c r="K1932">
        <v>0</v>
      </c>
      <c r="L1932" t="s">
        <v>41</v>
      </c>
      <c r="M1932" t="s">
        <v>972</v>
      </c>
      <c r="N1932" t="s">
        <v>41</v>
      </c>
    </row>
    <row r="1933" spans="3:14" x14ac:dyDescent="0.3">
      <c r="C1933" t="s">
        <v>41</v>
      </c>
      <c r="D1933" t="s">
        <v>41</v>
      </c>
      <c r="K1933">
        <v>0</v>
      </c>
      <c r="L1933" t="s">
        <v>41</v>
      </c>
      <c r="M1933" t="s">
        <v>972</v>
      </c>
      <c r="N1933" t="s">
        <v>41</v>
      </c>
    </row>
    <row r="1934" spans="3:14" x14ac:dyDescent="0.3">
      <c r="C1934" t="s">
        <v>41</v>
      </c>
      <c r="D1934" t="s">
        <v>41</v>
      </c>
      <c r="K1934">
        <v>0</v>
      </c>
      <c r="L1934" t="s">
        <v>41</v>
      </c>
      <c r="M1934" t="s">
        <v>972</v>
      </c>
      <c r="N1934" t="s">
        <v>41</v>
      </c>
    </row>
    <row r="1935" spans="3:14" x14ac:dyDescent="0.3">
      <c r="C1935" t="s">
        <v>41</v>
      </c>
      <c r="D1935" t="s">
        <v>41</v>
      </c>
      <c r="K1935">
        <v>0</v>
      </c>
      <c r="L1935" t="s">
        <v>41</v>
      </c>
      <c r="M1935" t="s">
        <v>972</v>
      </c>
      <c r="N1935" t="s">
        <v>41</v>
      </c>
    </row>
    <row r="1936" spans="3:14" x14ac:dyDescent="0.3">
      <c r="C1936" t="s">
        <v>41</v>
      </c>
      <c r="D1936" t="s">
        <v>41</v>
      </c>
      <c r="K1936">
        <v>0</v>
      </c>
      <c r="L1936" t="s">
        <v>41</v>
      </c>
      <c r="M1936" t="s">
        <v>972</v>
      </c>
      <c r="N1936" t="s">
        <v>41</v>
      </c>
    </row>
    <row r="1937" spans="3:14" x14ac:dyDescent="0.3">
      <c r="C1937" t="s">
        <v>41</v>
      </c>
      <c r="D1937" t="s">
        <v>41</v>
      </c>
      <c r="K1937">
        <v>0</v>
      </c>
      <c r="L1937" t="s">
        <v>41</v>
      </c>
      <c r="M1937" t="s">
        <v>972</v>
      </c>
      <c r="N1937" t="s">
        <v>41</v>
      </c>
    </row>
    <row r="1938" spans="3:14" x14ac:dyDescent="0.3">
      <c r="C1938" t="s">
        <v>41</v>
      </c>
      <c r="D1938" t="s">
        <v>41</v>
      </c>
      <c r="K1938">
        <v>0</v>
      </c>
      <c r="L1938" t="s">
        <v>41</v>
      </c>
      <c r="M1938" t="s">
        <v>972</v>
      </c>
      <c r="N1938" t="s">
        <v>41</v>
      </c>
    </row>
    <row r="1939" spans="3:14" x14ac:dyDescent="0.3">
      <c r="C1939" t="s">
        <v>41</v>
      </c>
      <c r="D1939" t="s">
        <v>41</v>
      </c>
      <c r="K1939">
        <v>0</v>
      </c>
      <c r="L1939" t="s">
        <v>41</v>
      </c>
      <c r="M1939" t="s">
        <v>972</v>
      </c>
      <c r="N1939" t="s">
        <v>41</v>
      </c>
    </row>
    <row r="1940" spans="3:14" x14ac:dyDescent="0.3">
      <c r="C1940" t="s">
        <v>41</v>
      </c>
      <c r="D1940" t="s">
        <v>41</v>
      </c>
      <c r="K1940">
        <v>0</v>
      </c>
      <c r="L1940" t="s">
        <v>41</v>
      </c>
      <c r="M1940" t="s">
        <v>972</v>
      </c>
      <c r="N1940" t="s">
        <v>41</v>
      </c>
    </row>
    <row r="1941" spans="3:14" x14ac:dyDescent="0.3">
      <c r="C1941" t="s">
        <v>41</v>
      </c>
      <c r="D1941" t="s">
        <v>41</v>
      </c>
      <c r="K1941">
        <v>0</v>
      </c>
      <c r="L1941" t="s">
        <v>41</v>
      </c>
      <c r="M1941" t="s">
        <v>972</v>
      </c>
      <c r="N1941" t="s">
        <v>41</v>
      </c>
    </row>
    <row r="1942" spans="3:14" x14ac:dyDescent="0.3">
      <c r="C1942" t="s">
        <v>41</v>
      </c>
      <c r="D1942" t="s">
        <v>41</v>
      </c>
      <c r="K1942">
        <v>0</v>
      </c>
      <c r="L1942" t="s">
        <v>41</v>
      </c>
      <c r="M1942" t="s">
        <v>972</v>
      </c>
      <c r="N1942" t="s">
        <v>41</v>
      </c>
    </row>
    <row r="1943" spans="3:14" x14ac:dyDescent="0.3">
      <c r="C1943" t="s">
        <v>41</v>
      </c>
      <c r="D1943" t="s">
        <v>41</v>
      </c>
      <c r="K1943">
        <v>0</v>
      </c>
      <c r="L1943" t="s">
        <v>41</v>
      </c>
      <c r="M1943" t="s">
        <v>972</v>
      </c>
      <c r="N1943" t="s">
        <v>41</v>
      </c>
    </row>
    <row r="1944" spans="3:14" x14ac:dyDescent="0.3">
      <c r="C1944" t="s">
        <v>41</v>
      </c>
      <c r="D1944" t="s">
        <v>41</v>
      </c>
      <c r="K1944">
        <v>0</v>
      </c>
      <c r="L1944" t="s">
        <v>41</v>
      </c>
      <c r="M1944" t="s">
        <v>972</v>
      </c>
      <c r="N1944" t="s">
        <v>41</v>
      </c>
    </row>
    <row r="1945" spans="3:14" x14ac:dyDescent="0.3">
      <c r="C1945" t="s">
        <v>41</v>
      </c>
      <c r="D1945" t="s">
        <v>41</v>
      </c>
      <c r="K1945">
        <v>0</v>
      </c>
      <c r="L1945" t="s">
        <v>41</v>
      </c>
      <c r="M1945" t="s">
        <v>972</v>
      </c>
      <c r="N1945" t="s">
        <v>41</v>
      </c>
    </row>
    <row r="1946" spans="3:14" x14ac:dyDescent="0.3">
      <c r="C1946" t="s">
        <v>41</v>
      </c>
      <c r="D1946" t="s">
        <v>41</v>
      </c>
      <c r="K1946">
        <v>0</v>
      </c>
      <c r="L1946" t="s">
        <v>41</v>
      </c>
      <c r="M1946" t="s">
        <v>972</v>
      </c>
      <c r="N1946" t="s">
        <v>41</v>
      </c>
    </row>
    <row r="1947" spans="3:14" x14ac:dyDescent="0.3">
      <c r="C1947" t="s">
        <v>41</v>
      </c>
      <c r="D1947" t="s">
        <v>41</v>
      </c>
      <c r="K1947">
        <v>0</v>
      </c>
      <c r="L1947" t="s">
        <v>41</v>
      </c>
      <c r="M1947" t="s">
        <v>972</v>
      </c>
      <c r="N1947" t="s">
        <v>41</v>
      </c>
    </row>
    <row r="1948" spans="3:14" x14ac:dyDescent="0.3">
      <c r="C1948" t="s">
        <v>41</v>
      </c>
      <c r="D1948" t="s">
        <v>41</v>
      </c>
      <c r="K1948">
        <v>0</v>
      </c>
      <c r="L1948" t="s">
        <v>41</v>
      </c>
      <c r="M1948" t="s">
        <v>972</v>
      </c>
      <c r="N1948" t="s">
        <v>41</v>
      </c>
    </row>
    <row r="1949" spans="3:14" x14ac:dyDescent="0.3">
      <c r="C1949" t="s">
        <v>41</v>
      </c>
      <c r="D1949" t="s">
        <v>41</v>
      </c>
      <c r="K1949">
        <v>0</v>
      </c>
      <c r="L1949" t="s">
        <v>41</v>
      </c>
      <c r="M1949" t="s">
        <v>972</v>
      </c>
      <c r="N1949" t="s">
        <v>41</v>
      </c>
    </row>
    <row r="1950" spans="3:14" x14ac:dyDescent="0.3">
      <c r="C1950" t="s">
        <v>41</v>
      </c>
      <c r="D1950" t="s">
        <v>41</v>
      </c>
      <c r="K1950">
        <v>0</v>
      </c>
      <c r="L1950" t="s">
        <v>41</v>
      </c>
      <c r="M1950" t="s">
        <v>972</v>
      </c>
      <c r="N1950" t="s">
        <v>41</v>
      </c>
    </row>
    <row r="1951" spans="3:14" x14ac:dyDescent="0.3">
      <c r="C1951" t="s">
        <v>41</v>
      </c>
      <c r="D1951" t="s">
        <v>41</v>
      </c>
      <c r="H1951" t="s">
        <v>972</v>
      </c>
      <c r="K1951">
        <v>0</v>
      </c>
      <c r="L1951" t="s">
        <v>41</v>
      </c>
      <c r="M1951" t="s">
        <v>972</v>
      </c>
      <c r="N1951" t="s">
        <v>41</v>
      </c>
    </row>
    <row r="1952" spans="3:14" x14ac:dyDescent="0.3">
      <c r="C1952" t="s">
        <v>41</v>
      </c>
      <c r="D1952" t="s">
        <v>41</v>
      </c>
      <c r="H1952" t="s">
        <v>973</v>
      </c>
      <c r="K1952">
        <v>0</v>
      </c>
      <c r="L1952" t="s">
        <v>41</v>
      </c>
      <c r="M1952" t="s">
        <v>972</v>
      </c>
      <c r="N1952" t="s">
        <v>41</v>
      </c>
    </row>
    <row r="1953" spans="3:14" x14ac:dyDescent="0.3">
      <c r="C1953" t="s">
        <v>41</v>
      </c>
      <c r="D1953" t="s">
        <v>41</v>
      </c>
      <c r="H1953" t="s">
        <v>972</v>
      </c>
      <c r="K1953">
        <v>0</v>
      </c>
      <c r="L1953" t="s">
        <v>41</v>
      </c>
      <c r="M1953" t="s">
        <v>972</v>
      </c>
      <c r="N1953" t="s">
        <v>41</v>
      </c>
    </row>
    <row r="1954" spans="3:14" x14ac:dyDescent="0.3">
      <c r="C1954" t="s">
        <v>41</v>
      </c>
      <c r="D1954" t="s">
        <v>41</v>
      </c>
      <c r="H1954" t="s">
        <v>972</v>
      </c>
      <c r="K1954">
        <v>0</v>
      </c>
      <c r="L1954" t="s">
        <v>41</v>
      </c>
      <c r="M1954" t="s">
        <v>972</v>
      </c>
      <c r="N1954" t="s">
        <v>41</v>
      </c>
    </row>
    <row r="1955" spans="3:14" x14ac:dyDescent="0.3">
      <c r="C1955" t="s">
        <v>41</v>
      </c>
      <c r="D1955" t="s">
        <v>41</v>
      </c>
      <c r="H1955" t="s">
        <v>973</v>
      </c>
      <c r="K1955">
        <v>0</v>
      </c>
      <c r="L1955" t="s">
        <v>41</v>
      </c>
      <c r="M1955" t="s">
        <v>972</v>
      </c>
      <c r="N1955" t="s">
        <v>41</v>
      </c>
    </row>
    <row r="1956" spans="3:14" x14ac:dyDescent="0.3">
      <c r="C1956" t="s">
        <v>41</v>
      </c>
      <c r="D1956" t="s">
        <v>41</v>
      </c>
      <c r="H1956" t="s">
        <v>973</v>
      </c>
      <c r="K1956">
        <v>0</v>
      </c>
      <c r="L1956" t="s">
        <v>41</v>
      </c>
      <c r="M1956" t="s">
        <v>972</v>
      </c>
      <c r="N1956" t="s">
        <v>41</v>
      </c>
    </row>
    <row r="1957" spans="3:14" x14ac:dyDescent="0.3">
      <c r="C1957" t="s">
        <v>41</v>
      </c>
      <c r="D1957" t="s">
        <v>41</v>
      </c>
      <c r="H1957" t="s">
        <v>973</v>
      </c>
      <c r="K1957">
        <v>0</v>
      </c>
      <c r="L1957" t="s">
        <v>41</v>
      </c>
      <c r="M1957" t="s">
        <v>972</v>
      </c>
      <c r="N1957" t="s">
        <v>41</v>
      </c>
    </row>
    <row r="1958" spans="3:14" x14ac:dyDescent="0.3">
      <c r="C1958" t="s">
        <v>41</v>
      </c>
      <c r="D1958" t="s">
        <v>41</v>
      </c>
      <c r="H1958" t="s">
        <v>973</v>
      </c>
      <c r="K1958">
        <v>0</v>
      </c>
      <c r="L1958" t="s">
        <v>41</v>
      </c>
      <c r="M1958" t="s">
        <v>972</v>
      </c>
      <c r="N1958" t="s">
        <v>41</v>
      </c>
    </row>
    <row r="1959" spans="3:14" x14ac:dyDescent="0.3">
      <c r="C1959" t="s">
        <v>41</v>
      </c>
      <c r="D1959" t="s">
        <v>41</v>
      </c>
      <c r="H1959" t="s">
        <v>973</v>
      </c>
      <c r="K1959">
        <v>0</v>
      </c>
      <c r="L1959" t="s">
        <v>41</v>
      </c>
      <c r="M1959" t="s">
        <v>972</v>
      </c>
      <c r="N1959" t="s">
        <v>41</v>
      </c>
    </row>
    <row r="1960" spans="3:14" x14ac:dyDescent="0.3">
      <c r="C1960" t="s">
        <v>41</v>
      </c>
      <c r="D1960" t="s">
        <v>41</v>
      </c>
      <c r="H1960" t="s">
        <v>973</v>
      </c>
      <c r="K1960">
        <v>0</v>
      </c>
      <c r="L1960" t="s">
        <v>41</v>
      </c>
      <c r="M1960" t="s">
        <v>972</v>
      </c>
      <c r="N1960" t="s">
        <v>41</v>
      </c>
    </row>
    <row r="1961" spans="3:14" x14ac:dyDescent="0.3">
      <c r="C1961" t="s">
        <v>41</v>
      </c>
      <c r="D1961" t="s">
        <v>41</v>
      </c>
      <c r="H1961" t="s">
        <v>973</v>
      </c>
      <c r="K1961">
        <v>0</v>
      </c>
      <c r="L1961" t="s">
        <v>41</v>
      </c>
      <c r="M1961" t="s">
        <v>972</v>
      </c>
      <c r="N1961" t="s">
        <v>41</v>
      </c>
    </row>
    <row r="1962" spans="3:14" x14ac:dyDescent="0.3">
      <c r="C1962" t="s">
        <v>41</v>
      </c>
      <c r="D1962" t="s">
        <v>41</v>
      </c>
      <c r="H1962" t="s">
        <v>973</v>
      </c>
      <c r="K1962">
        <v>0</v>
      </c>
      <c r="L1962" t="s">
        <v>41</v>
      </c>
      <c r="M1962" t="s">
        <v>972</v>
      </c>
      <c r="N1962" t="s">
        <v>41</v>
      </c>
    </row>
    <row r="1963" spans="3:14" x14ac:dyDescent="0.3">
      <c r="C1963" t="s">
        <v>41</v>
      </c>
      <c r="D1963" t="s">
        <v>41</v>
      </c>
      <c r="H1963" t="s">
        <v>973</v>
      </c>
      <c r="K1963">
        <v>0</v>
      </c>
      <c r="L1963" t="s">
        <v>41</v>
      </c>
      <c r="M1963" t="s">
        <v>972</v>
      </c>
      <c r="N1963" t="s">
        <v>41</v>
      </c>
    </row>
    <row r="1964" spans="3:14" x14ac:dyDescent="0.3">
      <c r="C1964" t="s">
        <v>41</v>
      </c>
      <c r="D1964" t="s">
        <v>41</v>
      </c>
      <c r="H1964" t="s">
        <v>973</v>
      </c>
      <c r="K1964">
        <v>0</v>
      </c>
      <c r="L1964" t="s">
        <v>41</v>
      </c>
      <c r="M1964" t="s">
        <v>972</v>
      </c>
      <c r="N1964" t="s">
        <v>41</v>
      </c>
    </row>
    <row r="1965" spans="3:14" x14ac:dyDescent="0.3">
      <c r="C1965" t="s">
        <v>41</v>
      </c>
      <c r="D1965" t="s">
        <v>41</v>
      </c>
      <c r="H1965" t="s">
        <v>973</v>
      </c>
      <c r="K1965">
        <v>0</v>
      </c>
      <c r="L1965" t="s">
        <v>41</v>
      </c>
      <c r="M1965" t="s">
        <v>972</v>
      </c>
      <c r="N1965" t="s">
        <v>41</v>
      </c>
    </row>
    <row r="1966" spans="3:14" x14ac:dyDescent="0.3">
      <c r="C1966" t="s">
        <v>41</v>
      </c>
      <c r="D1966" t="s">
        <v>41</v>
      </c>
      <c r="H1966" t="s">
        <v>973</v>
      </c>
      <c r="K1966">
        <v>0</v>
      </c>
      <c r="L1966" t="s">
        <v>41</v>
      </c>
      <c r="M1966" t="s">
        <v>972</v>
      </c>
      <c r="N1966" t="s">
        <v>41</v>
      </c>
    </row>
    <row r="1967" spans="3:14" x14ac:dyDescent="0.3">
      <c r="C1967" t="s">
        <v>41</v>
      </c>
      <c r="D1967" t="s">
        <v>41</v>
      </c>
      <c r="H1967" t="s">
        <v>973</v>
      </c>
      <c r="K1967">
        <v>0</v>
      </c>
      <c r="L1967" t="s">
        <v>41</v>
      </c>
      <c r="M1967" t="s">
        <v>972</v>
      </c>
      <c r="N1967" t="s">
        <v>41</v>
      </c>
    </row>
    <row r="1968" spans="3:14" x14ac:dyDescent="0.3">
      <c r="C1968" t="s">
        <v>41</v>
      </c>
      <c r="D1968" t="s">
        <v>41</v>
      </c>
      <c r="H1968" t="s">
        <v>973</v>
      </c>
      <c r="K1968">
        <v>0</v>
      </c>
      <c r="L1968" t="s">
        <v>41</v>
      </c>
      <c r="M1968" t="s">
        <v>972</v>
      </c>
      <c r="N1968" t="s">
        <v>41</v>
      </c>
    </row>
    <row r="1969" spans="1:15" x14ac:dyDescent="0.3">
      <c r="C1969" t="s">
        <v>41</v>
      </c>
      <c r="D1969" t="s">
        <v>41</v>
      </c>
      <c r="H1969" t="s">
        <v>972</v>
      </c>
      <c r="K1969">
        <v>0</v>
      </c>
      <c r="L1969" t="s">
        <v>41</v>
      </c>
      <c r="M1969" t="s">
        <v>972</v>
      </c>
      <c r="N1969" t="s">
        <v>41</v>
      </c>
    </row>
    <row r="1970" spans="1:15" x14ac:dyDescent="0.3">
      <c r="C1970" t="s">
        <v>41</v>
      </c>
      <c r="D1970" t="s">
        <v>41</v>
      </c>
      <c r="H1970" t="s">
        <v>972</v>
      </c>
      <c r="K1970">
        <v>0</v>
      </c>
      <c r="L1970" t="s">
        <v>41</v>
      </c>
      <c r="M1970" t="s">
        <v>972</v>
      </c>
      <c r="N1970" t="s">
        <v>41</v>
      </c>
    </row>
    <row r="1971" spans="1:15" x14ac:dyDescent="0.3">
      <c r="C1971" t="s">
        <v>41</v>
      </c>
      <c r="D1971" t="s">
        <v>41</v>
      </c>
      <c r="H1971" t="s">
        <v>972</v>
      </c>
      <c r="K1971">
        <v>0</v>
      </c>
      <c r="L1971" t="s">
        <v>41</v>
      </c>
      <c r="M1971" t="s">
        <v>972</v>
      </c>
      <c r="N1971" t="s">
        <v>41</v>
      </c>
    </row>
    <row r="1972" spans="1:15" x14ac:dyDescent="0.3">
      <c r="C1972" t="s">
        <v>41</v>
      </c>
      <c r="D1972" t="s">
        <v>973</v>
      </c>
      <c r="K1972">
        <v>0</v>
      </c>
      <c r="L1972" t="s">
        <v>41</v>
      </c>
      <c r="M1972" t="s">
        <v>972</v>
      </c>
      <c r="N1972" t="s">
        <v>41</v>
      </c>
    </row>
    <row r="1973" spans="1:15" x14ac:dyDescent="0.3">
      <c r="C1973" t="s">
        <v>41</v>
      </c>
      <c r="D1973" t="s">
        <v>973</v>
      </c>
      <c r="K1973">
        <v>0</v>
      </c>
      <c r="L1973" t="s">
        <v>41</v>
      </c>
      <c r="M1973" t="s">
        <v>972</v>
      </c>
      <c r="N1973" t="s">
        <v>41</v>
      </c>
    </row>
    <row r="1974" spans="1:15" x14ac:dyDescent="0.3">
      <c r="C1974" t="s">
        <v>41</v>
      </c>
      <c r="D1974" t="s">
        <v>973</v>
      </c>
      <c r="K1974">
        <v>0</v>
      </c>
      <c r="L1974" t="s">
        <v>41</v>
      </c>
      <c r="M1974" t="s">
        <v>972</v>
      </c>
      <c r="N1974" t="s">
        <v>41</v>
      </c>
    </row>
    <row r="1975" spans="1:15" x14ac:dyDescent="0.3">
      <c r="C1975" t="s">
        <v>41</v>
      </c>
      <c r="D1975" t="s">
        <v>973</v>
      </c>
      <c r="K1975">
        <v>0</v>
      </c>
      <c r="L1975" t="s">
        <v>41</v>
      </c>
      <c r="M1975" t="s">
        <v>972</v>
      </c>
      <c r="N1975" t="s">
        <v>41</v>
      </c>
    </row>
    <row r="1976" spans="1:15" x14ac:dyDescent="0.3">
      <c r="C1976" t="s">
        <v>41</v>
      </c>
      <c r="D1976" t="s">
        <v>973</v>
      </c>
      <c r="K1976">
        <v>0</v>
      </c>
      <c r="L1976" t="s">
        <v>41</v>
      </c>
      <c r="M1976" t="s">
        <v>972</v>
      </c>
      <c r="N1976" t="s">
        <v>41</v>
      </c>
    </row>
    <row r="1977" spans="1:15" x14ac:dyDescent="0.3">
      <c r="C1977" t="s">
        <v>41</v>
      </c>
      <c r="D1977" t="s">
        <v>973</v>
      </c>
      <c r="K1977">
        <v>0</v>
      </c>
      <c r="L1977" t="s">
        <v>41</v>
      </c>
      <c r="M1977" t="s">
        <v>972</v>
      </c>
      <c r="N1977" t="s">
        <v>41</v>
      </c>
    </row>
    <row r="1978" spans="1:15" x14ac:dyDescent="0.3">
      <c r="C1978" t="s">
        <v>41</v>
      </c>
      <c r="D1978" t="s">
        <v>973</v>
      </c>
      <c r="K1978">
        <v>0</v>
      </c>
      <c r="L1978" t="s">
        <v>41</v>
      </c>
      <c r="M1978" t="s">
        <v>972</v>
      </c>
      <c r="N1978" t="s">
        <v>41</v>
      </c>
    </row>
    <row r="1979" spans="1:15" x14ac:dyDescent="0.3">
      <c r="C1979" t="s">
        <v>41</v>
      </c>
      <c r="D1979" t="s">
        <v>973</v>
      </c>
      <c r="K1979">
        <v>0</v>
      </c>
      <c r="L1979" t="s">
        <v>41</v>
      </c>
      <c r="M1979" t="s">
        <v>972</v>
      </c>
      <c r="N1979" t="s">
        <v>41</v>
      </c>
    </row>
    <row r="1980" spans="1:15" x14ac:dyDescent="0.3">
      <c r="K1980">
        <v>0</v>
      </c>
      <c r="L1980" t="s">
        <v>41</v>
      </c>
      <c r="M1980" t="s">
        <v>972</v>
      </c>
      <c r="N1980" t="s">
        <v>41</v>
      </c>
    </row>
    <row r="1981" spans="1:15" x14ac:dyDescent="0.3">
      <c r="C1981" t="s">
        <v>41</v>
      </c>
      <c r="D1981" t="s">
        <v>41</v>
      </c>
      <c r="E1981">
        <v>190</v>
      </c>
      <c r="F1981" t="s">
        <v>43</v>
      </c>
      <c r="K1981">
        <v>0</v>
      </c>
      <c r="L1981" t="s">
        <v>41</v>
      </c>
      <c r="M1981" t="s">
        <v>972</v>
      </c>
      <c r="N1981" t="s">
        <v>41</v>
      </c>
    </row>
    <row r="1982" spans="1:15" x14ac:dyDescent="0.3">
      <c r="C1982" t="s">
        <v>41</v>
      </c>
      <c r="D1982" t="s">
        <v>41</v>
      </c>
      <c r="E1982">
        <v>10302</v>
      </c>
      <c r="F1982" t="s">
        <v>52</v>
      </c>
      <c r="G1982" t="s">
        <v>46</v>
      </c>
      <c r="H1982" t="s">
        <v>972</v>
      </c>
      <c r="I1982">
        <v>0</v>
      </c>
      <c r="K1982">
        <v>0</v>
      </c>
      <c r="L1982" t="s">
        <v>972</v>
      </c>
      <c r="M1982" t="s">
        <v>972</v>
      </c>
      <c r="N1982" t="s">
        <v>41</v>
      </c>
      <c r="O1982">
        <v>0</v>
      </c>
    </row>
    <row r="1983" spans="1:15" x14ac:dyDescent="0.3">
      <c r="B1983" t="s">
        <v>89</v>
      </c>
      <c r="C1983" t="s">
        <v>764</v>
      </c>
      <c r="D1983" t="s">
        <v>973</v>
      </c>
      <c r="E1983">
        <v>20305</v>
      </c>
      <c r="F1983" t="s">
        <v>91</v>
      </c>
      <c r="G1983" t="s">
        <v>92</v>
      </c>
      <c r="H1983" t="s">
        <v>973</v>
      </c>
      <c r="I1983">
        <v>2210000</v>
      </c>
      <c r="J1983">
        <v>0</v>
      </c>
      <c r="K1983">
        <v>0</v>
      </c>
      <c r="L1983" t="s">
        <v>972</v>
      </c>
      <c r="M1983" t="s">
        <v>972</v>
      </c>
      <c r="N1983" t="s">
        <v>41</v>
      </c>
      <c r="O1983">
        <v>2210000</v>
      </c>
    </row>
    <row r="1984" spans="1:15" x14ac:dyDescent="0.3">
      <c r="A1984">
        <v>1</v>
      </c>
      <c r="C1984" t="s">
        <v>41</v>
      </c>
      <c r="D1984" t="s">
        <v>41</v>
      </c>
      <c r="E1984">
        <v>1</v>
      </c>
      <c r="F1984" t="s">
        <v>40</v>
      </c>
      <c r="K1984">
        <v>6028987.8998399992</v>
      </c>
      <c r="L1984" t="s">
        <v>41</v>
      </c>
      <c r="M1984" t="s">
        <v>1047</v>
      </c>
      <c r="N1984" t="s">
        <v>1050</v>
      </c>
    </row>
    <row r="1985" spans="1:15" x14ac:dyDescent="0.3">
      <c r="B1985" t="s">
        <v>44</v>
      </c>
      <c r="C1985" t="s">
        <v>875</v>
      </c>
      <c r="D1985" t="s">
        <v>973</v>
      </c>
      <c r="E1985">
        <v>10101</v>
      </c>
      <c r="F1985" t="s">
        <v>43</v>
      </c>
      <c r="G1985" t="s">
        <v>46</v>
      </c>
      <c r="H1985" t="s">
        <v>973</v>
      </c>
      <c r="I1985">
        <v>4</v>
      </c>
      <c r="J1985">
        <v>1319100.2337549999</v>
      </c>
      <c r="K1985">
        <v>5276400.9350199997</v>
      </c>
      <c r="L1985" t="s">
        <v>974</v>
      </c>
      <c r="M1985" t="s">
        <v>1047</v>
      </c>
      <c r="N1985" t="s">
        <v>1051</v>
      </c>
      <c r="O1985">
        <v>4</v>
      </c>
    </row>
    <row r="1986" spans="1:15" x14ac:dyDescent="0.3">
      <c r="B1986" t="s">
        <v>44</v>
      </c>
      <c r="C1986" t="s">
        <v>875</v>
      </c>
      <c r="D1986" t="s">
        <v>973</v>
      </c>
      <c r="E1986">
        <v>10201</v>
      </c>
      <c r="F1986" t="s">
        <v>48</v>
      </c>
      <c r="G1986" t="s">
        <v>46</v>
      </c>
      <c r="H1986" t="s">
        <v>972</v>
      </c>
      <c r="I1986">
        <v>4</v>
      </c>
      <c r="J1986">
        <v>177139.50374499999</v>
      </c>
      <c r="K1986">
        <v>708558.01497999998</v>
      </c>
      <c r="L1986" t="s">
        <v>974</v>
      </c>
      <c r="M1986" t="s">
        <v>972</v>
      </c>
      <c r="N1986" t="s">
        <v>1052</v>
      </c>
      <c r="O1986">
        <v>0</v>
      </c>
    </row>
    <row r="1987" spans="1:15" x14ac:dyDescent="0.3">
      <c r="B1987" t="s">
        <v>44</v>
      </c>
      <c r="C1987" t="s">
        <v>875</v>
      </c>
      <c r="D1987" t="s">
        <v>973</v>
      </c>
      <c r="E1987">
        <v>10301</v>
      </c>
      <c r="F1987" t="s">
        <v>50</v>
      </c>
      <c r="G1987" t="s">
        <v>46</v>
      </c>
      <c r="H1987" t="s">
        <v>972</v>
      </c>
      <c r="I1987">
        <v>4</v>
      </c>
      <c r="J1987">
        <v>11007.23746</v>
      </c>
      <c r="K1987">
        <v>44028.949840000001</v>
      </c>
      <c r="L1987" t="s">
        <v>974</v>
      </c>
      <c r="M1987" t="s">
        <v>972</v>
      </c>
      <c r="N1987" t="s">
        <v>1052</v>
      </c>
      <c r="O1987">
        <v>0</v>
      </c>
    </row>
    <row r="1988" spans="1:15" x14ac:dyDescent="0.3">
      <c r="A1988">
        <v>1</v>
      </c>
      <c r="C1988" t="s">
        <v>41</v>
      </c>
      <c r="D1988" t="s">
        <v>41</v>
      </c>
      <c r="E1988">
        <v>2</v>
      </c>
      <c r="F1988" t="s">
        <v>54</v>
      </c>
      <c r="K1988">
        <v>21391572.401319001</v>
      </c>
      <c r="L1988" t="s">
        <v>41</v>
      </c>
      <c r="M1988" t="s">
        <v>1053</v>
      </c>
      <c r="N1988" t="s">
        <v>1054</v>
      </c>
    </row>
    <row r="1989" spans="1:15" x14ac:dyDescent="0.3">
      <c r="C1989" t="s">
        <v>41</v>
      </c>
      <c r="D1989" t="s">
        <v>41</v>
      </c>
      <c r="E1989">
        <v>201</v>
      </c>
      <c r="F1989" t="s">
        <v>56</v>
      </c>
      <c r="K1989">
        <v>4029213.4406249998</v>
      </c>
      <c r="L1989" t="s">
        <v>41</v>
      </c>
      <c r="M1989" t="s">
        <v>1055</v>
      </c>
      <c r="N1989" t="s">
        <v>1056</v>
      </c>
    </row>
    <row r="1990" spans="1:15" x14ac:dyDescent="0.3">
      <c r="B1990" t="s">
        <v>57</v>
      </c>
      <c r="C1990" t="s">
        <v>763</v>
      </c>
      <c r="D1990" t="s">
        <v>973</v>
      </c>
      <c r="E1990">
        <v>20101</v>
      </c>
      <c r="F1990" t="s">
        <v>59</v>
      </c>
      <c r="G1990" t="s">
        <v>60</v>
      </c>
      <c r="H1990" t="s">
        <v>973</v>
      </c>
      <c r="I1990">
        <v>31875</v>
      </c>
      <c r="J1990">
        <v>52.627694999999996</v>
      </c>
      <c r="K1990">
        <v>1677507.778125</v>
      </c>
      <c r="L1990" t="s">
        <v>1057</v>
      </c>
      <c r="M1990" t="s">
        <v>1058</v>
      </c>
      <c r="N1990" t="s">
        <v>1059</v>
      </c>
      <c r="O1990">
        <v>31875</v>
      </c>
    </row>
    <row r="1991" spans="1:15" x14ac:dyDescent="0.3">
      <c r="B1991" t="s">
        <v>61</v>
      </c>
      <c r="C1991" t="s">
        <v>756</v>
      </c>
      <c r="D1991" t="s">
        <v>973</v>
      </c>
      <c r="E1991">
        <v>20102</v>
      </c>
      <c r="F1991" t="s">
        <v>63</v>
      </c>
      <c r="G1991" t="s">
        <v>60</v>
      </c>
      <c r="H1991" t="s">
        <v>973</v>
      </c>
      <c r="I1991">
        <v>55500</v>
      </c>
      <c r="J1991">
        <v>42.373075</v>
      </c>
      <c r="K1991">
        <v>2351705.6625000001</v>
      </c>
      <c r="L1991" t="s">
        <v>1060</v>
      </c>
      <c r="M1991" t="s">
        <v>1061</v>
      </c>
      <c r="N1991" t="s">
        <v>1062</v>
      </c>
      <c r="O1991">
        <v>55500</v>
      </c>
    </row>
    <row r="1992" spans="1:15" x14ac:dyDescent="0.3">
      <c r="C1992" t="s">
        <v>41</v>
      </c>
      <c r="D1992" t="s">
        <v>41</v>
      </c>
      <c r="E1992">
        <v>202</v>
      </c>
      <c r="F1992" t="s">
        <v>65</v>
      </c>
      <c r="K1992">
        <v>5040815</v>
      </c>
      <c r="L1992" t="s">
        <v>41</v>
      </c>
      <c r="M1992" t="s">
        <v>975</v>
      </c>
      <c r="N1992" t="s">
        <v>1063</v>
      </c>
    </row>
    <row r="1993" spans="1:15" x14ac:dyDescent="0.3">
      <c r="B1993" t="s">
        <v>66</v>
      </c>
      <c r="C1993" t="s">
        <v>855</v>
      </c>
      <c r="D1993" t="s">
        <v>973</v>
      </c>
      <c r="E1993">
        <v>20201</v>
      </c>
      <c r="F1993" t="s">
        <v>68</v>
      </c>
      <c r="G1993" t="s">
        <v>69</v>
      </c>
      <c r="H1993" t="s">
        <v>973</v>
      </c>
      <c r="I1993">
        <v>87750</v>
      </c>
      <c r="J1993">
        <v>29.53</v>
      </c>
      <c r="K1993">
        <v>2591257.5</v>
      </c>
      <c r="L1993" t="s">
        <v>976</v>
      </c>
      <c r="M1993" t="s">
        <v>977</v>
      </c>
      <c r="N1993" t="s">
        <v>1064</v>
      </c>
      <c r="O1993">
        <v>87750</v>
      </c>
    </row>
    <row r="1994" spans="1:15" x14ac:dyDescent="0.3">
      <c r="B1994" t="s">
        <v>70</v>
      </c>
      <c r="C1994" t="s">
        <v>840</v>
      </c>
      <c r="D1994" t="s">
        <v>973</v>
      </c>
      <c r="E1994">
        <v>20202</v>
      </c>
      <c r="F1994" t="s">
        <v>72</v>
      </c>
      <c r="G1994" t="s">
        <v>73</v>
      </c>
      <c r="H1994" t="s">
        <v>973</v>
      </c>
      <c r="I1994">
        <v>94250</v>
      </c>
      <c r="J1994">
        <v>25.99</v>
      </c>
      <c r="K1994">
        <v>2449557.5</v>
      </c>
      <c r="L1994" t="s">
        <v>978</v>
      </c>
      <c r="M1994" t="s">
        <v>979</v>
      </c>
      <c r="N1994" t="s">
        <v>1065</v>
      </c>
      <c r="O1994">
        <v>94250</v>
      </c>
    </row>
    <row r="1995" spans="1:15" x14ac:dyDescent="0.3">
      <c r="C1995" t="s">
        <v>41</v>
      </c>
      <c r="D1995" t="s">
        <v>41</v>
      </c>
      <c r="E1995">
        <v>203</v>
      </c>
      <c r="F1995" t="s">
        <v>75</v>
      </c>
      <c r="K1995">
        <v>12321543.960694</v>
      </c>
      <c r="L1995" t="s">
        <v>41</v>
      </c>
      <c r="M1995" t="s">
        <v>1035</v>
      </c>
      <c r="N1995" t="s">
        <v>1066</v>
      </c>
    </row>
    <row r="1996" spans="1:15" x14ac:dyDescent="0.3">
      <c r="B1996" t="s">
        <v>76</v>
      </c>
      <c r="C1996" t="s">
        <v>887</v>
      </c>
      <c r="D1996" t="s">
        <v>973</v>
      </c>
      <c r="E1996">
        <v>20301</v>
      </c>
      <c r="F1996" t="s">
        <v>78</v>
      </c>
      <c r="G1996" t="s">
        <v>79</v>
      </c>
      <c r="H1996" t="s">
        <v>973</v>
      </c>
      <c r="I1996">
        <v>18416.669999999998</v>
      </c>
      <c r="J1996">
        <v>124.6</v>
      </c>
      <c r="K1996">
        <v>2294717.0819999995</v>
      </c>
      <c r="L1996" t="s">
        <v>1036</v>
      </c>
      <c r="M1996" t="s">
        <v>1037</v>
      </c>
      <c r="N1996" t="s">
        <v>1067</v>
      </c>
      <c r="O1996">
        <v>18416.669999999998</v>
      </c>
    </row>
    <row r="1997" spans="1:15" x14ac:dyDescent="0.3">
      <c r="B1997" t="s">
        <v>80</v>
      </c>
      <c r="C1997" t="s">
        <v>842</v>
      </c>
      <c r="D1997" t="s">
        <v>973</v>
      </c>
      <c r="E1997">
        <v>20302</v>
      </c>
      <c r="F1997" t="s">
        <v>1046</v>
      </c>
      <c r="G1997" t="s">
        <v>69</v>
      </c>
      <c r="H1997" t="s">
        <v>973</v>
      </c>
      <c r="I1997">
        <v>453600</v>
      </c>
      <c r="J1997">
        <v>2.5525000000000002</v>
      </c>
      <c r="K1997">
        <v>1157814</v>
      </c>
      <c r="L1997" t="s">
        <v>1038</v>
      </c>
      <c r="M1997" t="s">
        <v>1039</v>
      </c>
      <c r="N1997" t="s">
        <v>1068</v>
      </c>
      <c r="O1997">
        <v>453600</v>
      </c>
    </row>
    <row r="1998" spans="1:15" x14ac:dyDescent="0.3">
      <c r="B1998" t="s">
        <v>83</v>
      </c>
      <c r="C1998" t="s">
        <v>980</v>
      </c>
      <c r="D1998" t="s">
        <v>973</v>
      </c>
      <c r="E1998">
        <v>20303</v>
      </c>
      <c r="F1998" t="s">
        <v>85</v>
      </c>
      <c r="G1998" t="s">
        <v>69</v>
      </c>
      <c r="H1998" t="s">
        <v>973</v>
      </c>
      <c r="I1998">
        <v>368333.33</v>
      </c>
      <c r="J1998">
        <v>0.39179999999999998</v>
      </c>
      <c r="K1998">
        <v>144312.99869400001</v>
      </c>
      <c r="L1998" t="s">
        <v>1040</v>
      </c>
      <c r="M1998" t="s">
        <v>1041</v>
      </c>
      <c r="N1998" t="s">
        <v>1069</v>
      </c>
      <c r="O1998">
        <v>368333.33</v>
      </c>
    </row>
    <row r="1999" spans="1:15" x14ac:dyDescent="0.3">
      <c r="B1999" t="s">
        <v>86</v>
      </c>
      <c r="C1999" t="s">
        <v>877</v>
      </c>
      <c r="D1999" t="s">
        <v>973</v>
      </c>
      <c r="E1999">
        <v>20304</v>
      </c>
      <c r="F1999" t="s">
        <v>88</v>
      </c>
      <c r="G1999" t="s">
        <v>69</v>
      </c>
      <c r="H1999" t="s">
        <v>973</v>
      </c>
      <c r="I1999">
        <v>44200</v>
      </c>
      <c r="J1999">
        <v>197.3914</v>
      </c>
      <c r="K1999">
        <v>8724699.8800000008</v>
      </c>
      <c r="L1999" t="s">
        <v>1042</v>
      </c>
      <c r="M1999" t="s">
        <v>1043</v>
      </c>
      <c r="N1999" t="s">
        <v>1070</v>
      </c>
      <c r="O1999">
        <v>44200</v>
      </c>
    </row>
  </sheetData>
  <phoneticPr fontId="58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2"/>
  <dimension ref="A1:F31"/>
  <sheetViews>
    <sheetView workbookViewId="0">
      <selection activeCell="A15" sqref="A15"/>
    </sheetView>
  </sheetViews>
  <sheetFormatPr defaultRowHeight="14.4" x14ac:dyDescent="0.3"/>
  <cols>
    <col min="1" max="1" width="32.88671875" bestFit="1" customWidth="1"/>
    <col min="2" max="2" width="25.109375" bestFit="1" customWidth="1"/>
    <col min="3" max="3" width="29.6640625" bestFit="1" customWidth="1"/>
    <col min="4" max="4" width="17.109375" bestFit="1" customWidth="1"/>
    <col min="5" max="5" width="7.6640625" bestFit="1" customWidth="1"/>
    <col min="6" max="6" width="11.33203125" bestFit="1" customWidth="1"/>
    <col min="7" max="8" width="18.44140625" bestFit="1" customWidth="1"/>
    <col min="9" max="9" width="7.6640625" bestFit="1" customWidth="1"/>
    <col min="10" max="10" width="11.33203125" bestFit="1" customWidth="1"/>
  </cols>
  <sheetData>
    <row r="1" spans="1:6" x14ac:dyDescent="0.3">
      <c r="A1" t="s">
        <v>923</v>
      </c>
      <c r="B1" t="s">
        <v>924</v>
      </c>
      <c r="C1" t="s">
        <v>600</v>
      </c>
      <c r="D1" t="s">
        <v>925</v>
      </c>
      <c r="E1" s="44" t="s">
        <v>690</v>
      </c>
      <c r="F1" s="44" t="s">
        <v>926</v>
      </c>
    </row>
    <row r="2" spans="1:6" x14ac:dyDescent="0.3">
      <c r="A2" t="s">
        <v>44</v>
      </c>
      <c r="B2" t="s">
        <v>875</v>
      </c>
      <c r="C2" t="s">
        <v>927</v>
      </c>
      <c r="D2">
        <v>1</v>
      </c>
      <c r="E2" s="44" t="s">
        <v>194</v>
      </c>
      <c r="F2" s="44">
        <v>1</v>
      </c>
    </row>
    <row r="3" spans="1:6" x14ac:dyDescent="0.3">
      <c r="A3" t="s">
        <v>76</v>
      </c>
      <c r="B3" t="s">
        <v>887</v>
      </c>
      <c r="C3" t="s">
        <v>619</v>
      </c>
      <c r="D3">
        <v>1</v>
      </c>
      <c r="E3" s="44" t="s">
        <v>79</v>
      </c>
      <c r="F3" s="44">
        <v>1</v>
      </c>
    </row>
    <row r="4" spans="1:6" x14ac:dyDescent="0.3">
      <c r="A4" t="s">
        <v>83</v>
      </c>
      <c r="B4" t="s">
        <v>980</v>
      </c>
      <c r="C4" t="s">
        <v>619</v>
      </c>
      <c r="D4">
        <v>1</v>
      </c>
      <c r="E4" s="44" t="s">
        <v>69</v>
      </c>
      <c r="F4" s="44">
        <v>1</v>
      </c>
    </row>
    <row r="5" spans="1:6" x14ac:dyDescent="0.3">
      <c r="A5" t="s">
        <v>86</v>
      </c>
      <c r="B5" t="s">
        <v>877</v>
      </c>
      <c r="C5" t="s">
        <v>619</v>
      </c>
      <c r="D5">
        <v>1</v>
      </c>
      <c r="E5" s="44" t="s">
        <v>928</v>
      </c>
      <c r="F5" s="44">
        <v>1</v>
      </c>
    </row>
    <row r="6" spans="1:6" x14ac:dyDescent="0.3">
      <c r="A6" t="s">
        <v>80</v>
      </c>
      <c r="B6" t="s">
        <v>842</v>
      </c>
      <c r="C6" t="s">
        <v>619</v>
      </c>
      <c r="D6">
        <v>1</v>
      </c>
      <c r="E6" s="44" t="s">
        <v>69</v>
      </c>
      <c r="F6" s="44">
        <v>1</v>
      </c>
    </row>
    <row r="7" spans="1:6" x14ac:dyDescent="0.3">
      <c r="A7" t="s">
        <v>89</v>
      </c>
      <c r="B7" t="s">
        <v>764</v>
      </c>
      <c r="C7" t="s">
        <v>619</v>
      </c>
      <c r="D7">
        <v>1</v>
      </c>
      <c r="E7" s="44" t="s">
        <v>92</v>
      </c>
      <c r="F7" s="44">
        <v>1</v>
      </c>
    </row>
    <row r="8" spans="1:6" x14ac:dyDescent="0.3">
      <c r="A8" t="s">
        <v>66</v>
      </c>
      <c r="B8" t="s">
        <v>855</v>
      </c>
      <c r="C8" t="s">
        <v>630</v>
      </c>
      <c r="D8">
        <v>1</v>
      </c>
      <c r="E8" s="44" t="s">
        <v>69</v>
      </c>
      <c r="F8" s="44">
        <v>1</v>
      </c>
    </row>
    <row r="9" spans="1:6" x14ac:dyDescent="0.3">
      <c r="A9" t="s">
        <v>70</v>
      </c>
      <c r="B9" t="s">
        <v>840</v>
      </c>
      <c r="C9" t="s">
        <v>630</v>
      </c>
      <c r="D9">
        <v>1</v>
      </c>
      <c r="E9" t="s">
        <v>690</v>
      </c>
      <c r="F9">
        <v>1</v>
      </c>
    </row>
    <row r="10" spans="1:6" x14ac:dyDescent="0.3">
      <c r="A10" t="s">
        <v>57</v>
      </c>
      <c r="B10" t="s">
        <v>763</v>
      </c>
      <c r="C10" t="s">
        <v>639</v>
      </c>
      <c r="D10">
        <v>1</v>
      </c>
      <c r="E10" t="s">
        <v>60</v>
      </c>
      <c r="F10">
        <v>1</v>
      </c>
    </row>
    <row r="11" spans="1:6" x14ac:dyDescent="0.3">
      <c r="A11" t="s">
        <v>61</v>
      </c>
      <c r="B11" t="s">
        <v>756</v>
      </c>
      <c r="C11" t="s">
        <v>639</v>
      </c>
      <c r="D11">
        <v>1</v>
      </c>
      <c r="E11" t="s">
        <v>60</v>
      </c>
      <c r="F11">
        <v>1</v>
      </c>
    </row>
    <row r="12" spans="1:6" x14ac:dyDescent="0.3">
      <c r="A12" t="s">
        <v>642</v>
      </c>
      <c r="B12" t="s">
        <v>858</v>
      </c>
      <c r="C12" t="s">
        <v>639</v>
      </c>
      <c r="D12">
        <v>1</v>
      </c>
      <c r="E12" t="s">
        <v>929</v>
      </c>
      <c r="F12">
        <v>1</v>
      </c>
    </row>
    <row r="13" spans="1:6" x14ac:dyDescent="0.3">
      <c r="A13" t="s">
        <v>654</v>
      </c>
      <c r="B13" t="s">
        <v>654</v>
      </c>
      <c r="C13" t="s">
        <v>654</v>
      </c>
      <c r="D13">
        <v>2</v>
      </c>
      <c r="E13" t="s">
        <v>690</v>
      </c>
      <c r="F13">
        <v>1</v>
      </c>
    </row>
    <row r="14" spans="1:6" x14ac:dyDescent="0.3">
      <c r="A14" t="s">
        <v>655</v>
      </c>
      <c r="B14" t="s">
        <v>981</v>
      </c>
      <c r="C14" t="s">
        <v>654</v>
      </c>
      <c r="D14">
        <v>1</v>
      </c>
      <c r="E14" t="s">
        <v>690</v>
      </c>
      <c r="F14">
        <v>1</v>
      </c>
    </row>
    <row r="15" spans="1:6" x14ac:dyDescent="0.3">
      <c r="A15" t="s">
        <v>656</v>
      </c>
      <c r="B15" t="s">
        <v>982</v>
      </c>
      <c r="C15" t="s">
        <v>654</v>
      </c>
      <c r="D15">
        <v>1</v>
      </c>
      <c r="E15" t="s">
        <v>690</v>
      </c>
      <c r="F15">
        <v>1</v>
      </c>
    </row>
    <row r="16" spans="1:6" x14ac:dyDescent="0.3">
      <c r="A16" t="s">
        <v>657</v>
      </c>
      <c r="B16" t="s">
        <v>983</v>
      </c>
      <c r="C16" t="s">
        <v>654</v>
      </c>
      <c r="D16">
        <v>1</v>
      </c>
      <c r="E16" t="s">
        <v>690</v>
      </c>
      <c r="F16">
        <v>1</v>
      </c>
    </row>
    <row r="17" spans="1:6" x14ac:dyDescent="0.3">
      <c r="A17" t="s">
        <v>658</v>
      </c>
      <c r="B17" t="s">
        <v>825</v>
      </c>
      <c r="C17" t="s">
        <v>654</v>
      </c>
      <c r="D17">
        <v>1</v>
      </c>
      <c r="E17" t="s">
        <v>690</v>
      </c>
      <c r="F17">
        <v>1</v>
      </c>
    </row>
    <row r="18" spans="1:6" x14ac:dyDescent="0.3">
      <c r="A18" t="s">
        <v>659</v>
      </c>
      <c r="B18" t="s">
        <v>793</v>
      </c>
      <c r="C18" t="s">
        <v>654</v>
      </c>
      <c r="D18">
        <v>1</v>
      </c>
      <c r="E18" t="s">
        <v>690</v>
      </c>
      <c r="F18">
        <v>1</v>
      </c>
    </row>
    <row r="19" spans="1:6" x14ac:dyDescent="0.3">
      <c r="A19" t="s">
        <v>660</v>
      </c>
      <c r="B19" t="s">
        <v>818</v>
      </c>
      <c r="C19" t="s">
        <v>654</v>
      </c>
      <c r="D19">
        <v>1</v>
      </c>
      <c r="E19" t="s">
        <v>690</v>
      </c>
      <c r="F19">
        <v>1</v>
      </c>
    </row>
    <row r="20" spans="1:6" x14ac:dyDescent="0.3">
      <c r="A20" t="s">
        <v>661</v>
      </c>
      <c r="B20" t="s">
        <v>816</v>
      </c>
      <c r="C20" t="s">
        <v>654</v>
      </c>
      <c r="D20">
        <v>1</v>
      </c>
      <c r="E20" t="s">
        <v>690</v>
      </c>
      <c r="F20">
        <v>1</v>
      </c>
    </row>
    <row r="21" spans="1:6" x14ac:dyDescent="0.3">
      <c r="A21" t="s">
        <v>662</v>
      </c>
      <c r="B21" t="s">
        <v>984</v>
      </c>
      <c r="C21" t="s">
        <v>654</v>
      </c>
      <c r="D21">
        <v>1</v>
      </c>
      <c r="E21" t="s">
        <v>690</v>
      </c>
      <c r="F21">
        <v>1</v>
      </c>
    </row>
    <row r="22" spans="1:6" x14ac:dyDescent="0.3">
      <c r="A22" t="s">
        <v>663</v>
      </c>
      <c r="B22" t="s">
        <v>788</v>
      </c>
      <c r="C22" t="s">
        <v>654</v>
      </c>
      <c r="D22">
        <v>1</v>
      </c>
      <c r="E22" t="s">
        <v>690</v>
      </c>
      <c r="F22">
        <v>1</v>
      </c>
    </row>
    <row r="23" spans="1:6" x14ac:dyDescent="0.3">
      <c r="A23" t="s">
        <v>664</v>
      </c>
      <c r="B23" t="s">
        <v>786</v>
      </c>
      <c r="C23" t="s">
        <v>654</v>
      </c>
      <c r="D23">
        <v>1</v>
      </c>
      <c r="E23" t="s">
        <v>690</v>
      </c>
      <c r="F23">
        <v>1</v>
      </c>
    </row>
    <row r="24" spans="1:6" x14ac:dyDescent="0.3">
      <c r="A24" t="s">
        <v>665</v>
      </c>
      <c r="B24" t="s">
        <v>821</v>
      </c>
      <c r="C24" t="s">
        <v>654</v>
      </c>
      <c r="D24">
        <v>1</v>
      </c>
      <c r="E24" t="s">
        <v>690</v>
      </c>
      <c r="F24">
        <v>1</v>
      </c>
    </row>
    <row r="25" spans="1:6" x14ac:dyDescent="0.3">
      <c r="A25" t="s">
        <v>666</v>
      </c>
      <c r="B25" t="s">
        <v>807</v>
      </c>
      <c r="C25" t="s">
        <v>654</v>
      </c>
      <c r="D25">
        <v>1</v>
      </c>
      <c r="E25" t="s">
        <v>690</v>
      </c>
      <c r="F25">
        <v>1</v>
      </c>
    </row>
    <row r="26" spans="1:6" x14ac:dyDescent="0.3">
      <c r="A26" t="s">
        <v>667</v>
      </c>
      <c r="B26" t="s">
        <v>805</v>
      </c>
      <c r="C26" t="s">
        <v>654</v>
      </c>
      <c r="D26">
        <v>1</v>
      </c>
      <c r="E26" t="s">
        <v>690</v>
      </c>
      <c r="F26">
        <v>1</v>
      </c>
    </row>
    <row r="27" spans="1:6" x14ac:dyDescent="0.3">
      <c r="A27" t="s">
        <v>668</v>
      </c>
      <c r="B27" t="s">
        <v>809</v>
      </c>
      <c r="C27" t="s">
        <v>654</v>
      </c>
      <c r="D27">
        <v>1</v>
      </c>
      <c r="E27" t="s">
        <v>690</v>
      </c>
      <c r="F27">
        <v>1</v>
      </c>
    </row>
    <row r="28" spans="1:6" x14ac:dyDescent="0.3">
      <c r="A28" t="s">
        <v>669</v>
      </c>
      <c r="B28" t="s">
        <v>823</v>
      </c>
      <c r="C28" t="s">
        <v>654</v>
      </c>
      <c r="D28">
        <v>1</v>
      </c>
      <c r="E28" t="s">
        <v>690</v>
      </c>
      <c r="F28">
        <v>1</v>
      </c>
    </row>
    <row r="29" spans="1:6" x14ac:dyDescent="0.3">
      <c r="A29" t="s">
        <v>670</v>
      </c>
      <c r="B29" t="s">
        <v>768</v>
      </c>
      <c r="C29" t="s">
        <v>654</v>
      </c>
      <c r="D29">
        <v>1</v>
      </c>
      <c r="E29" t="s">
        <v>690</v>
      </c>
      <c r="F29">
        <v>1</v>
      </c>
    </row>
    <row r="30" spans="1:6" x14ac:dyDescent="0.3">
      <c r="A30" t="s">
        <v>671</v>
      </c>
      <c r="B30" t="s">
        <v>766</v>
      </c>
      <c r="C30" t="s">
        <v>654</v>
      </c>
      <c r="D30">
        <v>1</v>
      </c>
      <c r="E30" t="s">
        <v>690</v>
      </c>
      <c r="F30">
        <v>1</v>
      </c>
    </row>
    <row r="31" spans="1:6" x14ac:dyDescent="0.3">
      <c r="A31" t="s">
        <v>672</v>
      </c>
      <c r="B31" t="s">
        <v>672</v>
      </c>
      <c r="C31" t="s">
        <v>672</v>
      </c>
      <c r="D31">
        <v>2</v>
      </c>
      <c r="E31" t="s">
        <v>194</v>
      </c>
      <c r="F31"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91BC5-A667-4E1C-983F-418B2014B0AD}">
  <dimension ref="B1:G79"/>
  <sheetViews>
    <sheetView showGridLines="0" showRowColHeaders="0" workbookViewId="0">
      <selection activeCell="G4" sqref="G4"/>
    </sheetView>
  </sheetViews>
  <sheetFormatPr defaultColWidth="17.33203125" defaultRowHeight="25.2" customHeight="1" x14ac:dyDescent="0.3"/>
  <cols>
    <col min="1" max="1" width="7.33203125" style="2" customWidth="1"/>
    <col min="2" max="2" width="54.109375" style="2" customWidth="1"/>
    <col min="3" max="16384" width="17.33203125" style="2"/>
  </cols>
  <sheetData>
    <row r="1" spans="2:7" ht="25.2" customHeight="1" x14ac:dyDescent="0.3">
      <c r="B1" s="413" t="s">
        <v>985</v>
      </c>
      <c r="C1" s="413"/>
      <c r="D1" s="413"/>
      <c r="E1" s="413"/>
    </row>
    <row r="2" spans="2:7" ht="25.2" customHeight="1" x14ac:dyDescent="0.3">
      <c r="B2" s="413"/>
      <c r="C2" s="413"/>
      <c r="D2" s="413"/>
      <c r="E2" s="413"/>
    </row>
    <row r="3" spans="2:7" ht="25.2" customHeight="1" x14ac:dyDescent="0.3">
      <c r="B3" s="281" t="s">
        <v>986</v>
      </c>
      <c r="C3" s="2" t="s">
        <v>114</v>
      </c>
      <c r="D3" s="2" t="s">
        <v>116</v>
      </c>
      <c r="E3" s="2" t="s">
        <v>940</v>
      </c>
    </row>
    <row r="4" spans="2:7" ht="25.2" customHeight="1" x14ac:dyDescent="0.3">
      <c r="B4" s="282" t="s">
        <v>686</v>
      </c>
      <c r="C4" s="283">
        <v>1439.1074380165292</v>
      </c>
      <c r="D4" s="283">
        <v>6.8888888888888893</v>
      </c>
      <c r="E4" s="283">
        <v>376708.62347107427</v>
      </c>
      <c r="G4" s="8">
        <f>E4/D5</f>
        <v>53815.517638724894</v>
      </c>
    </row>
    <row r="5" spans="2:7" ht="25.2" customHeight="1" x14ac:dyDescent="0.3">
      <c r="B5" s="366" t="s">
        <v>988</v>
      </c>
      <c r="C5" s="283">
        <v>436.36363636363637</v>
      </c>
      <c r="D5" s="283">
        <v>7</v>
      </c>
      <c r="E5" s="283">
        <v>0</v>
      </c>
    </row>
    <row r="6" spans="2:7" ht="25.2" customHeight="1" x14ac:dyDescent="0.3">
      <c r="B6" s="366" t="s">
        <v>989</v>
      </c>
      <c r="C6" s="283">
        <v>497.4545454545455</v>
      </c>
      <c r="D6" s="283">
        <v>6.75</v>
      </c>
      <c r="E6" s="283">
        <v>0</v>
      </c>
    </row>
    <row r="7" spans="2:7" ht="25.2" customHeight="1" x14ac:dyDescent="0.3">
      <c r="B7" s="366" t="s">
        <v>990</v>
      </c>
      <c r="C7" s="283">
        <v>74.380165289256183</v>
      </c>
      <c r="D7" s="283">
        <v>7</v>
      </c>
      <c r="E7" s="283">
        <v>65752.078016528889</v>
      </c>
    </row>
    <row r="8" spans="2:7" ht="25.2" customHeight="1" x14ac:dyDescent="0.3">
      <c r="B8" s="376" t="s">
        <v>288</v>
      </c>
      <c r="C8" s="283">
        <v>74.380165289256183</v>
      </c>
      <c r="D8" s="283">
        <v>7</v>
      </c>
      <c r="E8" s="283">
        <v>65752.078016528889</v>
      </c>
    </row>
    <row r="9" spans="2:7" ht="25.2" customHeight="1" x14ac:dyDescent="0.3">
      <c r="B9" s="366" t="s">
        <v>991</v>
      </c>
      <c r="C9" s="283">
        <v>343.63636363636351</v>
      </c>
      <c r="D9" s="283">
        <v>7</v>
      </c>
      <c r="E9" s="283">
        <v>136389.27272727268</v>
      </c>
    </row>
    <row r="10" spans="2:7" ht="25.2" customHeight="1" x14ac:dyDescent="0.3">
      <c r="B10" s="366" t="s">
        <v>992</v>
      </c>
      <c r="C10" s="283">
        <v>43.636363636363633</v>
      </c>
      <c r="D10" s="283">
        <v>7</v>
      </c>
      <c r="E10" s="283">
        <v>135621.81818181818</v>
      </c>
    </row>
    <row r="11" spans="2:7" ht="25.2" customHeight="1" x14ac:dyDescent="0.3">
      <c r="B11" s="376" t="s">
        <v>288</v>
      </c>
      <c r="C11" s="283">
        <v>43.636363636363633</v>
      </c>
      <c r="D11" s="283">
        <v>7</v>
      </c>
      <c r="E11" s="283">
        <v>135621.81818181818</v>
      </c>
    </row>
    <row r="12" spans="2:7" ht="25.2" customHeight="1" x14ac:dyDescent="0.3">
      <c r="B12" s="366" t="s">
        <v>993</v>
      </c>
      <c r="C12" s="283">
        <v>43.636363636363633</v>
      </c>
      <c r="D12" s="283">
        <v>7</v>
      </c>
      <c r="E12" s="283">
        <v>38945.454545454544</v>
      </c>
    </row>
    <row r="13" spans="2:7" ht="25.2" customHeight="1" x14ac:dyDescent="0.3">
      <c r="B13" s="376" t="s">
        <v>288</v>
      </c>
      <c r="C13" s="283">
        <v>43.636363636363633</v>
      </c>
      <c r="D13" s="283">
        <v>7</v>
      </c>
      <c r="E13" s="283">
        <v>38945.454545454544</v>
      </c>
    </row>
    <row r="14" spans="2:7" ht="25.2" customHeight="1" x14ac:dyDescent="0.3">
      <c r="B14" s="282" t="s">
        <v>693</v>
      </c>
      <c r="C14" s="283">
        <v>22186.206901540732</v>
      </c>
      <c r="D14" s="283">
        <v>814.19459602998631</v>
      </c>
      <c r="E14" s="283">
        <v>7700117.8522500005</v>
      </c>
    </row>
    <row r="15" spans="2:7" ht="25.2" customHeight="1" x14ac:dyDescent="0.3">
      <c r="B15" s="282" t="s">
        <v>692</v>
      </c>
      <c r="C15" s="283">
        <v>467</v>
      </c>
      <c r="D15" s="283">
        <v>37.254912415468354</v>
      </c>
      <c r="E15" s="283" t="e">
        <v>#NUM!</v>
      </c>
    </row>
    <row r="16" spans="2:7" ht="25.2" customHeight="1" x14ac:dyDescent="0.3">
      <c r="B16" s="282" t="s">
        <v>685</v>
      </c>
      <c r="C16" s="283">
        <v>116.36363636363633</v>
      </c>
      <c r="D16" s="283">
        <v>350.67971014492753</v>
      </c>
      <c r="E16" s="283">
        <v>2205986.0217617103</v>
      </c>
    </row>
    <row r="17" spans="2:5" ht="25.2" customHeight="1" x14ac:dyDescent="0.3">
      <c r="B17" s="366" t="s">
        <v>987</v>
      </c>
      <c r="C17" s="283">
        <v>36.363636363636367</v>
      </c>
      <c r="D17" s="283">
        <v>124.375</v>
      </c>
      <c r="E17" s="283">
        <v>571155.84415584418</v>
      </c>
    </row>
    <row r="18" spans="2:5" ht="25.2" customHeight="1" x14ac:dyDescent="0.3">
      <c r="B18" s="376" t="s">
        <v>831</v>
      </c>
      <c r="C18" s="283">
        <v>9.0909090909090917</v>
      </c>
      <c r="D18" s="283">
        <v>95</v>
      </c>
      <c r="E18" s="283">
        <v>109064.93506493507</v>
      </c>
    </row>
    <row r="19" spans="2:5" ht="25.2" customHeight="1" x14ac:dyDescent="0.3">
      <c r="B19" s="376" t="s">
        <v>830</v>
      </c>
      <c r="C19" s="283">
        <v>9.0909090909090917</v>
      </c>
      <c r="D19" s="283">
        <v>115</v>
      </c>
      <c r="E19" s="283">
        <v>132025.97402597402</v>
      </c>
    </row>
    <row r="20" spans="2:5" ht="25.2" customHeight="1" x14ac:dyDescent="0.3">
      <c r="B20" s="376" t="s">
        <v>829</v>
      </c>
      <c r="C20" s="283">
        <v>9.0909090909090917</v>
      </c>
      <c r="D20" s="283">
        <v>220</v>
      </c>
      <c r="E20" s="283">
        <v>252571.42857142858</v>
      </c>
    </row>
    <row r="21" spans="2:5" ht="25.2" customHeight="1" x14ac:dyDescent="0.3">
      <c r="B21" s="376" t="s">
        <v>879</v>
      </c>
      <c r="C21" s="283">
        <v>9.0909090909090917</v>
      </c>
      <c r="D21" s="283">
        <v>67.5</v>
      </c>
      <c r="E21" s="283">
        <v>77493.506493506502</v>
      </c>
    </row>
    <row r="22" spans="2:5" ht="25.2" customHeight="1" x14ac:dyDescent="0.3">
      <c r="B22" s="366" t="s">
        <v>988</v>
      </c>
      <c r="C22" s="283">
        <v>45.45454545454546</v>
      </c>
      <c r="D22" s="283">
        <v>150</v>
      </c>
      <c r="E22" s="283">
        <v>0</v>
      </c>
    </row>
    <row r="23" spans="2:5" ht="25.2" customHeight="1" x14ac:dyDescent="0.3">
      <c r="B23" s="366" t="s">
        <v>989</v>
      </c>
      <c r="C23" s="283">
        <v>6.8181818181818175</v>
      </c>
      <c r="D23" s="283">
        <v>273.33333333333331</v>
      </c>
      <c r="E23" s="283">
        <v>0</v>
      </c>
    </row>
    <row r="24" spans="2:5" ht="25.2" customHeight="1" x14ac:dyDescent="0.3">
      <c r="B24" s="366" t="s">
        <v>990</v>
      </c>
      <c r="C24" s="283">
        <v>11.818181818181818</v>
      </c>
      <c r="D24" s="283">
        <v>605.24444444444441</v>
      </c>
      <c r="E24" s="283">
        <v>758988.76075012982</v>
      </c>
    </row>
    <row r="25" spans="2:5" ht="25.2" customHeight="1" x14ac:dyDescent="0.3">
      <c r="B25" s="376" t="s">
        <v>881</v>
      </c>
      <c r="C25" s="283">
        <v>1.3636363636363635</v>
      </c>
      <c r="D25" s="283">
        <v>750</v>
      </c>
      <c r="E25" s="283">
        <v>258311.735064935</v>
      </c>
    </row>
    <row r="26" spans="2:5" ht="25.2" customHeight="1" x14ac:dyDescent="0.3">
      <c r="B26" s="376" t="s">
        <v>849</v>
      </c>
      <c r="C26" s="283">
        <v>1.3636363636363635</v>
      </c>
      <c r="D26" s="283">
        <v>740.73333333333335</v>
      </c>
      <c r="E26" s="283">
        <v>127560.07503584413</v>
      </c>
    </row>
    <row r="27" spans="2:5" ht="25.2" customHeight="1" x14ac:dyDescent="0.3">
      <c r="B27" s="376" t="s">
        <v>888</v>
      </c>
      <c r="C27" s="283">
        <v>9.0909090909090917</v>
      </c>
      <c r="D27" s="283">
        <v>325</v>
      </c>
      <c r="E27" s="283">
        <v>373116.95064935065</v>
      </c>
    </row>
    <row r="28" spans="2:5" ht="25.2" customHeight="1" x14ac:dyDescent="0.3">
      <c r="B28" s="366" t="s">
        <v>991</v>
      </c>
      <c r="C28" s="283">
        <v>11.818181818181818</v>
      </c>
      <c r="D28" s="283">
        <v>676.91111111111115</v>
      </c>
      <c r="E28" s="283">
        <v>382008.51818181825</v>
      </c>
    </row>
    <row r="29" spans="2:5" ht="25.2" customHeight="1" x14ac:dyDescent="0.3">
      <c r="B29" s="366" t="s">
        <v>992</v>
      </c>
      <c r="C29" s="283">
        <v>1.3636363636363635</v>
      </c>
      <c r="D29" s="283">
        <v>500</v>
      </c>
      <c r="E29" s="283">
        <v>302727.27272727271</v>
      </c>
    </row>
    <row r="30" spans="2:5" ht="25.2" customHeight="1" x14ac:dyDescent="0.3">
      <c r="B30" s="376" t="s">
        <v>757</v>
      </c>
      <c r="C30" s="283">
        <v>1.3636363636363635</v>
      </c>
      <c r="D30" s="283">
        <v>500</v>
      </c>
      <c r="E30" s="283">
        <v>302727.27272727271</v>
      </c>
    </row>
    <row r="31" spans="2:5" ht="25.2" customHeight="1" x14ac:dyDescent="0.3">
      <c r="B31" s="366" t="s">
        <v>993</v>
      </c>
      <c r="C31" s="283">
        <v>1.3636363636363635</v>
      </c>
      <c r="D31" s="283">
        <v>500</v>
      </c>
      <c r="E31" s="283">
        <v>86931.818181818177</v>
      </c>
    </row>
    <row r="32" spans="2:5" ht="25.2" customHeight="1" x14ac:dyDescent="0.3">
      <c r="B32" s="376" t="s">
        <v>757</v>
      </c>
      <c r="C32" s="283">
        <v>1.3636363636363635</v>
      </c>
      <c r="D32" s="283">
        <v>500</v>
      </c>
      <c r="E32" s="283">
        <v>86931.818181818177</v>
      </c>
    </row>
    <row r="33" spans="2:5" ht="25.2" customHeight="1" x14ac:dyDescent="0.3">
      <c r="B33" s="366" t="s">
        <v>1044</v>
      </c>
      <c r="C33" s="283">
        <v>1.3636363636363635</v>
      </c>
      <c r="D33" s="283">
        <v>605</v>
      </c>
      <c r="E33" s="283">
        <v>104173.80776482688</v>
      </c>
    </row>
    <row r="34" spans="2:5" ht="25.2" customHeight="1" x14ac:dyDescent="0.3">
      <c r="B34" s="376" t="s">
        <v>880</v>
      </c>
      <c r="C34" s="283">
        <v>1.3636363636363635</v>
      </c>
      <c r="D34" s="283">
        <v>605</v>
      </c>
      <c r="E34" s="283">
        <v>104173.80776482688</v>
      </c>
    </row>
    <row r="35" spans="2:5" ht="25.2" customHeight="1" x14ac:dyDescent="0.3">
      <c r="B35" s="367" t="s">
        <v>966</v>
      </c>
      <c r="C35" s="283">
        <v>325343.11288888892</v>
      </c>
      <c r="D35" s="283">
        <v>128.20555555555555</v>
      </c>
      <c r="E35" s="283">
        <v>3090587.5</v>
      </c>
    </row>
    <row r="36" spans="2:5" ht="25.2" customHeight="1" x14ac:dyDescent="0.3">
      <c r="B36" s="282" t="s">
        <v>964</v>
      </c>
      <c r="C36" s="283">
        <v>3178861.9865999995</v>
      </c>
      <c r="D36" s="283">
        <v>1</v>
      </c>
      <c r="E36" s="283">
        <v>4238482.6487999987</v>
      </c>
    </row>
    <row r="37" spans="2:5" ht="25.2" customHeight="1" x14ac:dyDescent="0.3">
      <c r="B37" s="282" t="s">
        <v>98</v>
      </c>
      <c r="C37" s="283">
        <v>3528413.7774648094</v>
      </c>
      <c r="D37" s="283">
        <v>344.01695923778539</v>
      </c>
      <c r="E37" s="283" t="e">
        <v>#NUM!</v>
      </c>
    </row>
    <row r="38" spans="2:5" ht="25.2" customHeight="1" x14ac:dyDescent="0.3">
      <c r="B38"/>
      <c r="C38"/>
      <c r="D38"/>
      <c r="E38"/>
    </row>
    <row r="39" spans="2:5" ht="25.2" customHeight="1" x14ac:dyDescent="0.3">
      <c r="B39"/>
      <c r="C39"/>
      <c r="D39"/>
      <c r="E39"/>
    </row>
    <row r="40" spans="2:5" ht="25.2" customHeight="1" x14ac:dyDescent="0.3">
      <c r="B40"/>
      <c r="C40"/>
      <c r="D40"/>
      <c r="E40"/>
    </row>
    <row r="41" spans="2:5" ht="25.2" customHeight="1" x14ac:dyDescent="0.3">
      <c r="B41"/>
      <c r="C41"/>
      <c r="D41"/>
      <c r="E41"/>
    </row>
    <row r="42" spans="2:5" ht="25.2" customHeight="1" x14ac:dyDescent="0.3">
      <c r="B42"/>
      <c r="C42"/>
      <c r="D42"/>
      <c r="E42"/>
    </row>
    <row r="43" spans="2:5" ht="25.2" customHeight="1" x14ac:dyDescent="0.3">
      <c r="B43"/>
      <c r="C43"/>
      <c r="D43"/>
      <c r="E43"/>
    </row>
    <row r="44" spans="2:5" ht="25.2" customHeight="1" x14ac:dyDescent="0.3">
      <c r="B44"/>
      <c r="C44"/>
      <c r="D44"/>
      <c r="E44"/>
    </row>
    <row r="45" spans="2:5" ht="25.2" customHeight="1" x14ac:dyDescent="0.3">
      <c r="B45"/>
      <c r="C45"/>
      <c r="D45"/>
      <c r="E45"/>
    </row>
    <row r="46" spans="2:5" ht="25.2" customHeight="1" x14ac:dyDescent="0.3">
      <c r="B46"/>
      <c r="C46"/>
      <c r="D46"/>
      <c r="E46"/>
    </row>
    <row r="47" spans="2:5" ht="25.2" customHeight="1" x14ac:dyDescent="0.3">
      <c r="B47"/>
      <c r="C47"/>
      <c r="D47"/>
      <c r="E47"/>
    </row>
    <row r="48" spans="2:5" ht="25.2" customHeight="1" x14ac:dyDescent="0.3">
      <c r="B48"/>
      <c r="C48"/>
      <c r="D48"/>
      <c r="E48"/>
    </row>
    <row r="49" spans="2:5" ht="25.2" customHeight="1" x14ac:dyDescent="0.3">
      <c r="B49"/>
      <c r="C49"/>
      <c r="D49"/>
      <c r="E49"/>
    </row>
    <row r="50" spans="2:5" ht="25.2" customHeight="1" x14ac:dyDescent="0.3">
      <c r="B50"/>
      <c r="C50"/>
      <c r="D50"/>
      <c r="E50"/>
    </row>
    <row r="51" spans="2:5" ht="25.2" customHeight="1" x14ac:dyDescent="0.3">
      <c r="B51"/>
      <c r="C51"/>
      <c r="D51"/>
      <c r="E51"/>
    </row>
    <row r="52" spans="2:5" ht="25.2" customHeight="1" x14ac:dyDescent="0.3">
      <c r="B52"/>
      <c r="C52"/>
      <c r="D52"/>
      <c r="E52"/>
    </row>
    <row r="53" spans="2:5" ht="25.2" customHeight="1" x14ac:dyDescent="0.3">
      <c r="B53"/>
      <c r="C53"/>
      <c r="D53"/>
      <c r="E53"/>
    </row>
    <row r="54" spans="2:5" ht="25.2" customHeight="1" x14ac:dyDescent="0.3">
      <c r="B54"/>
      <c r="C54"/>
      <c r="D54"/>
      <c r="E54"/>
    </row>
    <row r="55" spans="2:5" ht="25.2" customHeight="1" x14ac:dyDescent="0.3">
      <c r="B55"/>
      <c r="C55"/>
      <c r="D55"/>
      <c r="E55"/>
    </row>
    <row r="56" spans="2:5" ht="25.2" customHeight="1" x14ac:dyDescent="0.3">
      <c r="B56"/>
      <c r="C56"/>
      <c r="D56"/>
      <c r="E56"/>
    </row>
    <row r="57" spans="2:5" ht="25.2" customHeight="1" x14ac:dyDescent="0.3">
      <c r="B57"/>
      <c r="C57"/>
      <c r="D57"/>
      <c r="E57"/>
    </row>
    <row r="58" spans="2:5" ht="25.2" customHeight="1" x14ac:dyDescent="0.3">
      <c r="B58"/>
      <c r="C58"/>
      <c r="D58"/>
      <c r="E58"/>
    </row>
    <row r="59" spans="2:5" ht="25.2" customHeight="1" x14ac:dyDescent="0.3">
      <c r="B59"/>
      <c r="C59"/>
      <c r="D59"/>
      <c r="E59"/>
    </row>
    <row r="60" spans="2:5" ht="25.2" customHeight="1" x14ac:dyDescent="0.3">
      <c r="B60"/>
      <c r="C60"/>
      <c r="D60"/>
      <c r="E60"/>
    </row>
    <row r="61" spans="2:5" ht="25.2" customHeight="1" x14ac:dyDescent="0.3">
      <c r="B61"/>
      <c r="C61"/>
      <c r="D61"/>
      <c r="E61"/>
    </row>
    <row r="62" spans="2:5" ht="25.2" customHeight="1" x14ac:dyDescent="0.3">
      <c r="B62"/>
      <c r="C62"/>
      <c r="D62"/>
      <c r="E62"/>
    </row>
    <row r="63" spans="2:5" ht="25.2" customHeight="1" x14ac:dyDescent="0.3">
      <c r="B63"/>
      <c r="C63"/>
      <c r="D63"/>
      <c r="E63"/>
    </row>
    <row r="64" spans="2:5" ht="25.2" customHeight="1" x14ac:dyDescent="0.3">
      <c r="B64"/>
      <c r="C64"/>
      <c r="D64"/>
      <c r="E64"/>
    </row>
    <row r="65" spans="2:5" ht="25.2" customHeight="1" x14ac:dyDescent="0.3">
      <c r="B65"/>
      <c r="C65"/>
      <c r="D65"/>
      <c r="E65"/>
    </row>
    <row r="66" spans="2:5" ht="25.2" customHeight="1" x14ac:dyDescent="0.3">
      <c r="B66"/>
      <c r="C66"/>
      <c r="D66"/>
      <c r="E66"/>
    </row>
    <row r="67" spans="2:5" ht="25.2" customHeight="1" x14ac:dyDescent="0.3">
      <c r="B67"/>
      <c r="C67"/>
      <c r="D67"/>
      <c r="E67"/>
    </row>
    <row r="68" spans="2:5" ht="25.2" customHeight="1" x14ac:dyDescent="0.3">
      <c r="B68"/>
      <c r="C68"/>
      <c r="D68"/>
      <c r="E68"/>
    </row>
    <row r="69" spans="2:5" ht="25.2" customHeight="1" x14ac:dyDescent="0.3">
      <c r="B69"/>
      <c r="C69"/>
      <c r="D69"/>
      <c r="E69"/>
    </row>
    <row r="70" spans="2:5" ht="25.2" customHeight="1" x14ac:dyDescent="0.3">
      <c r="B70"/>
      <c r="C70"/>
      <c r="D70"/>
      <c r="E70"/>
    </row>
    <row r="71" spans="2:5" ht="25.2" customHeight="1" x14ac:dyDescent="0.3">
      <c r="B71"/>
      <c r="C71"/>
      <c r="D71"/>
      <c r="E71"/>
    </row>
    <row r="72" spans="2:5" ht="25.2" customHeight="1" x14ac:dyDescent="0.3">
      <c r="B72"/>
      <c r="C72"/>
      <c r="D72"/>
      <c r="E72"/>
    </row>
    <row r="73" spans="2:5" ht="25.2" customHeight="1" x14ac:dyDescent="0.3">
      <c r="B73"/>
      <c r="C73"/>
      <c r="D73"/>
      <c r="E73"/>
    </row>
    <row r="74" spans="2:5" ht="25.2" customHeight="1" x14ac:dyDescent="0.3">
      <c r="B74"/>
      <c r="C74"/>
      <c r="D74"/>
      <c r="E74"/>
    </row>
    <row r="75" spans="2:5" ht="25.2" customHeight="1" x14ac:dyDescent="0.3">
      <c r="B75"/>
      <c r="C75"/>
      <c r="D75"/>
      <c r="E75"/>
    </row>
    <row r="76" spans="2:5" ht="25.2" customHeight="1" x14ac:dyDescent="0.3">
      <c r="B76"/>
      <c r="C76"/>
      <c r="D76"/>
      <c r="E76"/>
    </row>
    <row r="77" spans="2:5" ht="25.2" customHeight="1" x14ac:dyDescent="0.3">
      <c r="B77"/>
      <c r="C77"/>
      <c r="D77"/>
      <c r="E77"/>
    </row>
    <row r="78" spans="2:5" ht="25.2" customHeight="1" x14ac:dyDescent="0.3">
      <c r="B78"/>
      <c r="C78"/>
      <c r="D78"/>
      <c r="E78"/>
    </row>
    <row r="79" spans="2:5" ht="25.2" customHeight="1" x14ac:dyDescent="0.3">
      <c r="B79"/>
      <c r="C79"/>
      <c r="D79"/>
      <c r="E79"/>
    </row>
  </sheetData>
  <mergeCells count="1">
    <mergeCell ref="B1:E2"/>
  </mergeCells>
  <pageMargins left="0.511811024" right="0.511811024" top="0.78740157499999996" bottom="0.78740157499999996" header="0.31496062000000002" footer="0.31496062000000002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21872-1C89-4A3D-BA3A-26626D6637E6}">
  <dimension ref="A1:N180"/>
  <sheetViews>
    <sheetView workbookViewId="0"/>
  </sheetViews>
  <sheetFormatPr defaultRowHeight="14.4" x14ac:dyDescent="0.3"/>
  <cols>
    <col min="1" max="1" width="13.77734375" bestFit="1" customWidth="1"/>
    <col min="2" max="2" width="24.44140625" bestFit="1" customWidth="1"/>
    <col min="3" max="3" width="13" bestFit="1" customWidth="1"/>
    <col min="4" max="4" width="14.21875" bestFit="1" customWidth="1"/>
    <col min="5" max="5" width="40" bestFit="1" customWidth="1"/>
    <col min="6" max="6" width="7.6640625" bestFit="1" customWidth="1"/>
    <col min="7" max="7" width="5.44140625" bestFit="1" customWidth="1"/>
    <col min="8" max="10" width="12" bestFit="1" customWidth="1"/>
    <col min="11" max="11" width="9.44140625" bestFit="1" customWidth="1"/>
    <col min="12" max="12" width="12" bestFit="1" customWidth="1"/>
    <col min="13" max="13" width="15.5546875" bestFit="1" customWidth="1"/>
    <col min="14" max="14" width="13.109375" bestFit="1" customWidth="1"/>
  </cols>
  <sheetData>
    <row r="1" spans="1:14" x14ac:dyDescent="0.3">
      <c r="A1" t="s">
        <v>695</v>
      </c>
      <c r="B1" t="s">
        <v>679</v>
      </c>
      <c r="C1" t="s">
        <v>696</v>
      </c>
      <c r="D1" t="s">
        <v>697</v>
      </c>
      <c r="E1" t="s">
        <v>17</v>
      </c>
      <c r="F1" t="s">
        <v>690</v>
      </c>
      <c r="G1" t="s">
        <v>698</v>
      </c>
      <c r="H1" t="s">
        <v>20</v>
      </c>
      <c r="I1" t="s">
        <v>699</v>
      </c>
      <c r="J1" t="s">
        <v>700</v>
      </c>
      <c r="K1" t="s">
        <v>994</v>
      </c>
      <c r="L1" t="s">
        <v>689</v>
      </c>
      <c r="M1" t="s">
        <v>995</v>
      </c>
      <c r="N1" t="s">
        <v>682</v>
      </c>
    </row>
    <row r="2" spans="1:14" x14ac:dyDescent="0.3">
      <c r="A2" t="s">
        <v>752</v>
      </c>
      <c r="B2" t="s">
        <v>1044</v>
      </c>
      <c r="C2">
        <v>2917</v>
      </c>
      <c r="D2">
        <v>368333.33</v>
      </c>
      <c r="I2">
        <v>0.28282482002056902</v>
      </c>
      <c r="J2">
        <v>824.99999999999989</v>
      </c>
      <c r="K2" t="s">
        <v>1045</v>
      </c>
      <c r="L2">
        <v>368333.33</v>
      </c>
      <c r="M2">
        <v>104173.80776482687</v>
      </c>
    </row>
    <row r="3" spans="1:14" x14ac:dyDescent="0.3">
      <c r="A3" t="s">
        <v>692</v>
      </c>
      <c r="B3" t="s">
        <v>1044</v>
      </c>
      <c r="C3">
        <v>2917</v>
      </c>
      <c r="D3">
        <v>368333.33</v>
      </c>
      <c r="I3">
        <v>0.34672422847439205</v>
      </c>
      <c r="J3">
        <v>1011.3945744598017</v>
      </c>
      <c r="K3" t="s">
        <v>1045</v>
      </c>
      <c r="L3">
        <v>368333.33</v>
      </c>
      <c r="M3">
        <v>127710.08966565365</v>
      </c>
    </row>
    <row r="4" spans="1:14" x14ac:dyDescent="0.3">
      <c r="A4" t="s">
        <v>752</v>
      </c>
      <c r="B4" t="s">
        <v>992</v>
      </c>
      <c r="C4">
        <v>125</v>
      </c>
      <c r="D4">
        <v>55500</v>
      </c>
      <c r="I4">
        <v>5.4545454545454541</v>
      </c>
      <c r="J4">
        <v>681.81818181818176</v>
      </c>
      <c r="K4" t="s">
        <v>996</v>
      </c>
      <c r="L4">
        <v>55500</v>
      </c>
      <c r="M4">
        <v>302727.27272727271</v>
      </c>
    </row>
    <row r="5" spans="1:14" x14ac:dyDescent="0.3">
      <c r="A5" t="s">
        <v>686</v>
      </c>
      <c r="B5" t="s">
        <v>992</v>
      </c>
      <c r="C5">
        <v>125</v>
      </c>
      <c r="D5">
        <v>55500</v>
      </c>
      <c r="I5">
        <v>2.4436363636363634</v>
      </c>
      <c r="J5">
        <v>305.45454545454544</v>
      </c>
      <c r="K5" t="s">
        <v>996</v>
      </c>
      <c r="L5">
        <v>55500</v>
      </c>
      <c r="M5">
        <v>135621.81818181818</v>
      </c>
    </row>
    <row r="6" spans="1:14" x14ac:dyDescent="0.3">
      <c r="A6" t="s">
        <v>692</v>
      </c>
      <c r="B6" t="s">
        <v>992</v>
      </c>
      <c r="C6">
        <v>125</v>
      </c>
      <c r="D6">
        <v>55500</v>
      </c>
      <c r="I6">
        <v>10.585204744753744</v>
      </c>
      <c r="J6">
        <v>1323.150593094218</v>
      </c>
      <c r="K6" t="s">
        <v>996</v>
      </c>
      <c r="L6">
        <v>55500</v>
      </c>
      <c r="M6">
        <v>587478.86333383282</v>
      </c>
    </row>
    <row r="7" spans="1:14" x14ac:dyDescent="0.3">
      <c r="A7" t="s">
        <v>693</v>
      </c>
      <c r="B7" t="s">
        <v>992</v>
      </c>
      <c r="C7">
        <v>125</v>
      </c>
      <c r="D7">
        <v>55500</v>
      </c>
      <c r="I7">
        <v>9.4293750000000003</v>
      </c>
      <c r="J7">
        <v>1178.671875</v>
      </c>
      <c r="K7" t="s">
        <v>996</v>
      </c>
      <c r="L7">
        <v>55500</v>
      </c>
      <c r="M7">
        <v>523330.3125</v>
      </c>
    </row>
    <row r="8" spans="1:14" x14ac:dyDescent="0.3">
      <c r="A8" t="s">
        <v>752</v>
      </c>
      <c r="B8" t="s">
        <v>993</v>
      </c>
      <c r="C8">
        <v>200</v>
      </c>
      <c r="D8">
        <v>31875</v>
      </c>
      <c r="I8">
        <v>3.4090909090909087</v>
      </c>
      <c r="J8">
        <v>681.81818181818176</v>
      </c>
      <c r="K8" t="s">
        <v>997</v>
      </c>
      <c r="L8">
        <v>31875</v>
      </c>
      <c r="M8">
        <v>108664.77272727272</v>
      </c>
    </row>
    <row r="9" spans="1:14" x14ac:dyDescent="0.3">
      <c r="A9" t="s">
        <v>686</v>
      </c>
      <c r="B9" t="s">
        <v>993</v>
      </c>
      <c r="C9">
        <v>200</v>
      </c>
      <c r="D9">
        <v>31875</v>
      </c>
      <c r="I9">
        <v>1.5272727272727271</v>
      </c>
      <c r="J9">
        <v>305.45454545454544</v>
      </c>
      <c r="K9" t="s">
        <v>997</v>
      </c>
      <c r="L9">
        <v>31875</v>
      </c>
      <c r="M9">
        <v>48681.818181818177</v>
      </c>
    </row>
    <row r="10" spans="1:14" x14ac:dyDescent="0.3">
      <c r="A10" t="s">
        <v>692</v>
      </c>
      <c r="B10" t="s">
        <v>993</v>
      </c>
      <c r="C10">
        <v>200</v>
      </c>
      <c r="D10">
        <v>31875</v>
      </c>
      <c r="I10">
        <v>6.6157529654710903</v>
      </c>
      <c r="J10">
        <v>1323.150593094218</v>
      </c>
      <c r="K10" t="s">
        <v>997</v>
      </c>
      <c r="L10">
        <v>31875</v>
      </c>
      <c r="M10">
        <v>210877.125774391</v>
      </c>
    </row>
    <row r="11" spans="1:14" x14ac:dyDescent="0.3">
      <c r="A11" t="s">
        <v>693</v>
      </c>
      <c r="B11" t="s">
        <v>993</v>
      </c>
      <c r="C11">
        <v>200</v>
      </c>
      <c r="D11">
        <v>31875</v>
      </c>
      <c r="I11">
        <v>18.858750000000001</v>
      </c>
      <c r="J11">
        <v>3771.75</v>
      </c>
      <c r="K11" t="s">
        <v>997</v>
      </c>
      <c r="L11">
        <v>31875</v>
      </c>
      <c r="M11">
        <v>601122.65625</v>
      </c>
    </row>
    <row r="12" spans="1:14" x14ac:dyDescent="0.3">
      <c r="A12" t="s">
        <v>692</v>
      </c>
      <c r="B12" t="s">
        <v>998</v>
      </c>
      <c r="C12">
        <v>0.2</v>
      </c>
      <c r="D12">
        <v>0</v>
      </c>
      <c r="I12">
        <v>17451.83396875608</v>
      </c>
      <c r="J12">
        <v>3490.3667937512159</v>
      </c>
      <c r="K12" t="s">
        <v>999</v>
      </c>
      <c r="L12">
        <v>0</v>
      </c>
      <c r="M12">
        <v>0</v>
      </c>
    </row>
    <row r="13" spans="1:14" x14ac:dyDescent="0.3">
      <c r="A13" t="s">
        <v>692</v>
      </c>
      <c r="B13" t="s">
        <v>1000</v>
      </c>
      <c r="C13">
        <v>1</v>
      </c>
      <c r="D13">
        <v>0</v>
      </c>
      <c r="I13">
        <v>1342.5289870547008</v>
      </c>
      <c r="J13">
        <v>1342.5289870547008</v>
      </c>
      <c r="K13" t="s">
        <v>1001</v>
      </c>
      <c r="L13">
        <v>0</v>
      </c>
      <c r="M13">
        <v>0</v>
      </c>
    </row>
    <row r="14" spans="1:14" x14ac:dyDescent="0.3">
      <c r="A14" t="s">
        <v>693</v>
      </c>
      <c r="B14" t="s">
        <v>1000</v>
      </c>
      <c r="C14">
        <v>1</v>
      </c>
      <c r="D14">
        <v>0</v>
      </c>
      <c r="I14">
        <v>4250.6866666666674</v>
      </c>
      <c r="J14">
        <v>4250.6866666666674</v>
      </c>
      <c r="K14" t="s">
        <v>1001</v>
      </c>
      <c r="L14">
        <v>0</v>
      </c>
      <c r="M14">
        <v>0</v>
      </c>
    </row>
    <row r="15" spans="1:14" x14ac:dyDescent="0.3">
      <c r="A15" t="s">
        <v>692</v>
      </c>
      <c r="B15" t="s">
        <v>1002</v>
      </c>
      <c r="C15">
        <v>0</v>
      </c>
      <c r="D15">
        <v>0</v>
      </c>
      <c r="I15">
        <v>0</v>
      </c>
      <c r="J15">
        <v>2013.7934805820514</v>
      </c>
      <c r="K15" t="s">
        <v>1003</v>
      </c>
      <c r="L15" t="e">
        <v>#NUM!</v>
      </c>
      <c r="M15" t="e">
        <v>#NUM!</v>
      </c>
    </row>
    <row r="16" spans="1:14" x14ac:dyDescent="0.3">
      <c r="A16" t="s">
        <v>693</v>
      </c>
      <c r="B16" t="s">
        <v>1004</v>
      </c>
      <c r="C16">
        <v>0.2</v>
      </c>
      <c r="D16">
        <v>0</v>
      </c>
      <c r="I16">
        <v>35220.932072534873</v>
      </c>
      <c r="J16">
        <v>7044.1864145069758</v>
      </c>
      <c r="K16" t="s">
        <v>1005</v>
      </c>
      <c r="L16">
        <v>0</v>
      </c>
      <c r="M16">
        <v>0</v>
      </c>
    </row>
    <row r="17" spans="1:14" x14ac:dyDescent="0.3">
      <c r="A17" t="s">
        <v>693</v>
      </c>
      <c r="B17" t="s">
        <v>1006</v>
      </c>
      <c r="C17">
        <v>1</v>
      </c>
      <c r="D17">
        <v>0</v>
      </c>
      <c r="I17">
        <v>166666.66666666666</v>
      </c>
      <c r="J17">
        <v>166666.66666666666</v>
      </c>
      <c r="K17" t="s">
        <v>1007</v>
      </c>
      <c r="L17">
        <v>0</v>
      </c>
      <c r="M17">
        <v>0</v>
      </c>
    </row>
    <row r="18" spans="1:14" x14ac:dyDescent="0.3">
      <c r="A18" t="s">
        <v>693</v>
      </c>
      <c r="B18" t="s">
        <v>1008</v>
      </c>
      <c r="C18">
        <v>1</v>
      </c>
      <c r="D18">
        <v>0</v>
      </c>
      <c r="I18">
        <v>155555.55555555556</v>
      </c>
      <c r="J18">
        <v>155555.55555555556</v>
      </c>
      <c r="K18" t="s">
        <v>1009</v>
      </c>
      <c r="L18">
        <v>0</v>
      </c>
      <c r="M18">
        <v>0</v>
      </c>
    </row>
    <row r="19" spans="1:14" x14ac:dyDescent="0.3">
      <c r="A19" t="s">
        <v>692</v>
      </c>
      <c r="B19" t="s">
        <v>1010</v>
      </c>
      <c r="C19">
        <v>0.1</v>
      </c>
      <c r="D19">
        <v>0</v>
      </c>
      <c r="I19">
        <v>9370.6433453377431</v>
      </c>
      <c r="J19">
        <v>937.0643345337744</v>
      </c>
      <c r="K19" t="s">
        <v>1011</v>
      </c>
      <c r="L19">
        <v>0</v>
      </c>
      <c r="M19">
        <v>0</v>
      </c>
    </row>
    <row r="20" spans="1:14" x14ac:dyDescent="0.3">
      <c r="A20" t="s">
        <v>693</v>
      </c>
      <c r="B20" t="s">
        <v>1010</v>
      </c>
      <c r="C20">
        <v>0.1</v>
      </c>
      <c r="D20">
        <v>0</v>
      </c>
      <c r="I20">
        <v>45403.59538666666</v>
      </c>
      <c r="J20">
        <v>4540.3595386666666</v>
      </c>
      <c r="K20" t="s">
        <v>1011</v>
      </c>
      <c r="L20">
        <v>0</v>
      </c>
      <c r="M20">
        <v>0</v>
      </c>
    </row>
    <row r="21" spans="1:14" x14ac:dyDescent="0.3">
      <c r="A21" t="s">
        <v>693</v>
      </c>
      <c r="B21" t="s">
        <v>1012</v>
      </c>
      <c r="C21">
        <v>1</v>
      </c>
      <c r="D21">
        <v>0</v>
      </c>
      <c r="I21">
        <v>22197.777777777777</v>
      </c>
      <c r="J21">
        <v>22197.777777777777</v>
      </c>
      <c r="K21" t="s">
        <v>1013</v>
      </c>
      <c r="L21">
        <v>0</v>
      </c>
      <c r="M21">
        <v>0</v>
      </c>
    </row>
    <row r="22" spans="1:14" x14ac:dyDescent="0.3">
      <c r="A22" t="s">
        <v>693</v>
      </c>
      <c r="B22" t="s">
        <v>1014</v>
      </c>
      <c r="C22">
        <v>1</v>
      </c>
      <c r="D22">
        <v>0</v>
      </c>
      <c r="I22">
        <v>26558.355555555558</v>
      </c>
      <c r="J22">
        <v>26558.355555555558</v>
      </c>
      <c r="K22" t="s">
        <v>1015</v>
      </c>
      <c r="L22">
        <v>0</v>
      </c>
      <c r="M22">
        <v>0</v>
      </c>
    </row>
    <row r="23" spans="1:14" x14ac:dyDescent="0.3">
      <c r="A23" t="s">
        <v>693</v>
      </c>
      <c r="B23" t="s">
        <v>1016</v>
      </c>
      <c r="C23">
        <v>0.5</v>
      </c>
      <c r="D23">
        <v>0</v>
      </c>
      <c r="I23">
        <v>19905.222222222223</v>
      </c>
      <c r="J23">
        <v>9952.6111111111113</v>
      </c>
      <c r="K23" t="s">
        <v>1017</v>
      </c>
      <c r="L23">
        <v>0</v>
      </c>
      <c r="M23">
        <v>0</v>
      </c>
    </row>
    <row r="24" spans="1:14" x14ac:dyDescent="0.3">
      <c r="A24" t="s">
        <v>692</v>
      </c>
      <c r="B24" t="s">
        <v>1018</v>
      </c>
      <c r="C24">
        <v>0.2</v>
      </c>
      <c r="D24">
        <v>0</v>
      </c>
      <c r="I24">
        <v>4685.3216726688715</v>
      </c>
      <c r="J24">
        <v>937.0643345337744</v>
      </c>
      <c r="K24" t="s">
        <v>1019</v>
      </c>
      <c r="L24">
        <v>0</v>
      </c>
      <c r="M24">
        <v>0</v>
      </c>
    </row>
    <row r="25" spans="1:14" x14ac:dyDescent="0.3">
      <c r="A25" t="s">
        <v>693</v>
      </c>
      <c r="B25" t="s">
        <v>1018</v>
      </c>
      <c r="C25">
        <v>0.2</v>
      </c>
      <c r="D25">
        <v>0</v>
      </c>
      <c r="I25">
        <v>19559.039999999997</v>
      </c>
      <c r="J25">
        <v>3911.808</v>
      </c>
      <c r="K25" t="s">
        <v>1019</v>
      </c>
      <c r="L25">
        <v>0</v>
      </c>
      <c r="M25">
        <v>0</v>
      </c>
    </row>
    <row r="26" spans="1:14" x14ac:dyDescent="0.3">
      <c r="A26" t="s">
        <v>752</v>
      </c>
      <c r="B26" t="s">
        <v>988</v>
      </c>
      <c r="C26">
        <v>0.2</v>
      </c>
      <c r="D26">
        <v>0</v>
      </c>
      <c r="I26">
        <v>34090.909090909096</v>
      </c>
      <c r="J26">
        <v>6818.1818181818198</v>
      </c>
      <c r="K26" t="s">
        <v>1020</v>
      </c>
      <c r="L26">
        <v>0</v>
      </c>
      <c r="M26">
        <v>0</v>
      </c>
    </row>
    <row r="27" spans="1:14" x14ac:dyDescent="0.3">
      <c r="A27" t="s">
        <v>686</v>
      </c>
      <c r="B27" t="s">
        <v>988</v>
      </c>
      <c r="C27">
        <v>0.2</v>
      </c>
      <c r="D27">
        <v>0</v>
      </c>
      <c r="I27">
        <v>15272.727272727272</v>
      </c>
      <c r="J27">
        <v>3054.5454545454545</v>
      </c>
      <c r="K27" t="s">
        <v>1020</v>
      </c>
      <c r="L27">
        <v>0</v>
      </c>
      <c r="M27">
        <v>0</v>
      </c>
    </row>
    <row r="28" spans="1:14" x14ac:dyDescent="0.3">
      <c r="A28" t="s">
        <v>692</v>
      </c>
      <c r="B28" t="s">
        <v>988</v>
      </c>
      <c r="C28">
        <v>0.2</v>
      </c>
      <c r="D28">
        <v>0</v>
      </c>
      <c r="I28">
        <v>16705.49644320615</v>
      </c>
      <c r="J28">
        <v>3341.0992886412305</v>
      </c>
      <c r="K28" t="s">
        <v>1020</v>
      </c>
      <c r="L28">
        <v>0</v>
      </c>
      <c r="M28">
        <v>0</v>
      </c>
    </row>
    <row r="29" spans="1:14" x14ac:dyDescent="0.3">
      <c r="A29" t="s">
        <v>693</v>
      </c>
      <c r="B29" t="s">
        <v>988</v>
      </c>
      <c r="C29">
        <v>0.2</v>
      </c>
      <c r="D29">
        <v>0</v>
      </c>
      <c r="I29">
        <v>111115.18333333333</v>
      </c>
      <c r="J29">
        <v>22223.036666666667</v>
      </c>
      <c r="K29" t="s">
        <v>1020</v>
      </c>
      <c r="L29">
        <v>0</v>
      </c>
      <c r="M29">
        <v>0</v>
      </c>
    </row>
    <row r="30" spans="1:14" x14ac:dyDescent="0.3">
      <c r="A30" t="s">
        <v>693</v>
      </c>
      <c r="B30" t="s">
        <v>1021</v>
      </c>
      <c r="C30">
        <v>942.5</v>
      </c>
      <c r="D30">
        <v>94250</v>
      </c>
      <c r="I30">
        <v>18.5</v>
      </c>
      <c r="J30">
        <v>17436.25</v>
      </c>
      <c r="K30" t="s">
        <v>1022</v>
      </c>
      <c r="L30">
        <v>94250</v>
      </c>
      <c r="M30">
        <v>1743625</v>
      </c>
    </row>
    <row r="31" spans="1:14" x14ac:dyDescent="0.3">
      <c r="A31" t="s">
        <v>752</v>
      </c>
      <c r="B31" t="s">
        <v>991</v>
      </c>
      <c r="C31">
        <v>8000</v>
      </c>
      <c r="D31">
        <v>453600</v>
      </c>
      <c r="I31">
        <v>0.84217045454545447</v>
      </c>
      <c r="J31">
        <v>6737.363636363636</v>
      </c>
      <c r="K31" t="s">
        <v>1023</v>
      </c>
      <c r="L31">
        <v>453600</v>
      </c>
      <c r="M31">
        <v>382008.51818181813</v>
      </c>
    </row>
    <row r="32" spans="1:14" x14ac:dyDescent="0.3">
      <c r="B32" t="s">
        <v>1044</v>
      </c>
      <c r="C32">
        <v>2917</v>
      </c>
      <c r="D32">
        <v>368333.33</v>
      </c>
      <c r="E32" t="s">
        <v>880</v>
      </c>
      <c r="F32" t="s">
        <v>347</v>
      </c>
      <c r="G32">
        <v>1</v>
      </c>
      <c r="H32">
        <v>1.3636363636363635</v>
      </c>
      <c r="I32">
        <v>605</v>
      </c>
      <c r="J32">
        <v>824.99999999999989</v>
      </c>
      <c r="K32" t="s">
        <v>1045</v>
      </c>
      <c r="L32">
        <v>172.1881120079783</v>
      </c>
      <c r="M32">
        <v>104173.80776482688</v>
      </c>
      <c r="N32" t="s">
        <v>685</v>
      </c>
    </row>
    <row r="33" spans="2:14" x14ac:dyDescent="0.3">
      <c r="B33" t="s">
        <v>992</v>
      </c>
      <c r="C33">
        <v>125</v>
      </c>
      <c r="D33">
        <v>55500</v>
      </c>
      <c r="E33" t="s">
        <v>361</v>
      </c>
      <c r="F33" t="s">
        <v>945</v>
      </c>
      <c r="G33">
        <v>3</v>
      </c>
      <c r="H33">
        <v>11</v>
      </c>
      <c r="I33">
        <v>26.579984100642395</v>
      </c>
      <c r="J33">
        <v>877.13947532119892</v>
      </c>
      <c r="K33" t="s">
        <v>996</v>
      </c>
      <c r="L33">
        <v>14651.999999999996</v>
      </c>
      <c r="M33">
        <v>389449.92704261228</v>
      </c>
      <c r="N33" t="s">
        <v>692</v>
      </c>
    </row>
    <row r="34" spans="2:14" x14ac:dyDescent="0.3">
      <c r="B34" t="s">
        <v>993</v>
      </c>
      <c r="C34">
        <v>200</v>
      </c>
      <c r="D34">
        <v>31875</v>
      </c>
      <c r="E34" t="s">
        <v>361</v>
      </c>
      <c r="F34" t="s">
        <v>945</v>
      </c>
      <c r="G34">
        <v>3</v>
      </c>
      <c r="H34">
        <v>11</v>
      </c>
      <c r="I34">
        <v>26.579984100642395</v>
      </c>
      <c r="J34">
        <v>877.13947532119892</v>
      </c>
      <c r="K34" t="s">
        <v>997</v>
      </c>
      <c r="L34">
        <v>5259.3749999999991</v>
      </c>
      <c r="M34">
        <v>139794.10387931607</v>
      </c>
      <c r="N34" t="s">
        <v>692</v>
      </c>
    </row>
    <row r="35" spans="2:14" x14ac:dyDescent="0.3">
      <c r="B35" t="s">
        <v>998</v>
      </c>
      <c r="C35">
        <v>0.2</v>
      </c>
      <c r="D35">
        <v>0</v>
      </c>
      <c r="E35" t="s">
        <v>361</v>
      </c>
      <c r="F35" t="s">
        <v>945</v>
      </c>
      <c r="G35">
        <v>6</v>
      </c>
      <c r="H35">
        <v>10</v>
      </c>
      <c r="I35">
        <v>26.579984100642395</v>
      </c>
      <c r="J35">
        <v>1594.7990460385436</v>
      </c>
      <c r="K35" t="s">
        <v>999</v>
      </c>
      <c r="L35">
        <v>0</v>
      </c>
      <c r="M35">
        <v>0</v>
      </c>
      <c r="N35" t="s">
        <v>692</v>
      </c>
    </row>
    <row r="36" spans="2:14" x14ac:dyDescent="0.3">
      <c r="B36" t="s">
        <v>1000</v>
      </c>
      <c r="C36">
        <v>1</v>
      </c>
      <c r="D36">
        <v>0</v>
      </c>
      <c r="E36" t="s">
        <v>361</v>
      </c>
      <c r="F36" t="s">
        <v>945</v>
      </c>
      <c r="G36">
        <v>2</v>
      </c>
      <c r="H36">
        <v>10</v>
      </c>
      <c r="I36">
        <v>26.579984100642395</v>
      </c>
      <c r="J36">
        <v>531.59968201284789</v>
      </c>
      <c r="K36" t="s">
        <v>1001</v>
      </c>
      <c r="L36">
        <v>0</v>
      </c>
      <c r="M36">
        <v>0</v>
      </c>
      <c r="N36" t="s">
        <v>692</v>
      </c>
    </row>
    <row r="37" spans="2:14" x14ac:dyDescent="0.3">
      <c r="B37" t="s">
        <v>1002</v>
      </c>
      <c r="C37">
        <v>0</v>
      </c>
      <c r="D37">
        <v>0</v>
      </c>
      <c r="E37" t="s">
        <v>361</v>
      </c>
      <c r="F37" t="s">
        <v>945</v>
      </c>
      <c r="G37">
        <v>3</v>
      </c>
      <c r="H37">
        <v>10</v>
      </c>
      <c r="I37">
        <v>26.579984100642395</v>
      </c>
      <c r="J37">
        <v>797.39952301927178</v>
      </c>
      <c r="K37" t="s">
        <v>1003</v>
      </c>
      <c r="L37" t="e">
        <v>#NUM!</v>
      </c>
      <c r="M37" t="e">
        <v>#NUM!</v>
      </c>
      <c r="N37" t="s">
        <v>692</v>
      </c>
    </row>
    <row r="38" spans="2:14" x14ac:dyDescent="0.3">
      <c r="B38" t="s">
        <v>1010</v>
      </c>
      <c r="C38">
        <v>0.1</v>
      </c>
      <c r="D38">
        <v>0</v>
      </c>
      <c r="E38" t="s">
        <v>361</v>
      </c>
      <c r="F38" t="s">
        <v>945</v>
      </c>
      <c r="G38">
        <v>2</v>
      </c>
      <c r="H38">
        <v>10</v>
      </c>
      <c r="I38">
        <v>26.579984100642395</v>
      </c>
      <c r="J38">
        <v>531.59968201284789</v>
      </c>
      <c r="K38" t="s">
        <v>1011</v>
      </c>
      <c r="L38">
        <v>0</v>
      </c>
      <c r="M38">
        <v>0</v>
      </c>
      <c r="N38" t="s">
        <v>692</v>
      </c>
    </row>
    <row r="39" spans="2:14" x14ac:dyDescent="0.3">
      <c r="B39" t="s">
        <v>1018</v>
      </c>
      <c r="C39">
        <v>0.2</v>
      </c>
      <c r="D39">
        <v>0</v>
      </c>
      <c r="E39" t="s">
        <v>361</v>
      </c>
      <c r="F39" t="s">
        <v>945</v>
      </c>
      <c r="G39">
        <v>2</v>
      </c>
      <c r="H39">
        <v>10</v>
      </c>
      <c r="I39">
        <v>26.579984100642395</v>
      </c>
      <c r="J39">
        <v>531.59968201284789</v>
      </c>
      <c r="K39" t="s">
        <v>1019</v>
      </c>
      <c r="L39">
        <v>0</v>
      </c>
      <c r="M39">
        <v>0</v>
      </c>
      <c r="N39" t="s">
        <v>692</v>
      </c>
    </row>
    <row r="40" spans="2:14" x14ac:dyDescent="0.3">
      <c r="B40" t="s">
        <v>988</v>
      </c>
      <c r="C40">
        <v>0.2</v>
      </c>
      <c r="D40">
        <v>0</v>
      </c>
      <c r="E40" t="s">
        <v>361</v>
      </c>
      <c r="F40" t="s">
        <v>945</v>
      </c>
      <c r="G40">
        <v>4</v>
      </c>
      <c r="H40">
        <v>10</v>
      </c>
      <c r="I40">
        <v>26.579984100642395</v>
      </c>
      <c r="J40">
        <v>1063.1993640256958</v>
      </c>
      <c r="K40" t="s">
        <v>1020</v>
      </c>
      <c r="L40">
        <v>0</v>
      </c>
      <c r="M40">
        <v>0</v>
      </c>
      <c r="N40" t="s">
        <v>692</v>
      </c>
    </row>
    <row r="41" spans="2:14" x14ac:dyDescent="0.3">
      <c r="B41" t="s">
        <v>1044</v>
      </c>
      <c r="C41">
        <v>2917</v>
      </c>
      <c r="D41">
        <v>368333.33</v>
      </c>
      <c r="E41" t="s">
        <v>884</v>
      </c>
      <c r="F41" t="s">
        <v>945</v>
      </c>
      <c r="G41">
        <v>1</v>
      </c>
      <c r="H41">
        <v>10</v>
      </c>
      <c r="I41">
        <v>50.569728722990085</v>
      </c>
      <c r="J41">
        <v>505.69728722990084</v>
      </c>
      <c r="K41" t="s">
        <v>1045</v>
      </c>
      <c r="L41">
        <v>1262.7128213918409</v>
      </c>
      <c r="M41">
        <v>63855.044832826825</v>
      </c>
      <c r="N41" t="s">
        <v>692</v>
      </c>
    </row>
    <row r="42" spans="2:14" x14ac:dyDescent="0.3">
      <c r="B42" t="s">
        <v>998</v>
      </c>
      <c r="C42">
        <v>0.2</v>
      </c>
      <c r="D42">
        <v>0</v>
      </c>
      <c r="E42" t="s">
        <v>770</v>
      </c>
      <c r="F42" t="s">
        <v>945</v>
      </c>
      <c r="G42">
        <v>1</v>
      </c>
      <c r="H42">
        <v>10</v>
      </c>
      <c r="I42">
        <v>33.958689507494654</v>
      </c>
      <c r="J42">
        <v>339.58689507494654</v>
      </c>
      <c r="K42" t="s">
        <v>999</v>
      </c>
      <c r="L42">
        <v>0</v>
      </c>
      <c r="M42">
        <v>0</v>
      </c>
      <c r="N42" t="s">
        <v>692</v>
      </c>
    </row>
    <row r="43" spans="2:14" x14ac:dyDescent="0.3">
      <c r="B43" t="s">
        <v>1044</v>
      </c>
      <c r="C43">
        <v>2917</v>
      </c>
      <c r="D43">
        <v>368333.33</v>
      </c>
      <c r="E43" t="s">
        <v>885</v>
      </c>
      <c r="F43" t="s">
        <v>945</v>
      </c>
      <c r="G43">
        <v>1</v>
      </c>
      <c r="H43">
        <v>10</v>
      </c>
      <c r="I43">
        <v>50.569728722990085</v>
      </c>
      <c r="J43">
        <v>505.69728722990084</v>
      </c>
      <c r="K43" t="s">
        <v>1045</v>
      </c>
      <c r="L43">
        <v>1262.7128213918409</v>
      </c>
      <c r="M43">
        <v>63855.044832826825</v>
      </c>
      <c r="N43" t="s">
        <v>692</v>
      </c>
    </row>
    <row r="44" spans="2:14" x14ac:dyDescent="0.3">
      <c r="B44" t="s">
        <v>998</v>
      </c>
      <c r="C44">
        <v>0.2</v>
      </c>
      <c r="D44">
        <v>0</v>
      </c>
      <c r="E44" t="s">
        <v>769</v>
      </c>
      <c r="F44" t="s">
        <v>945</v>
      </c>
      <c r="G44">
        <v>1</v>
      </c>
      <c r="H44">
        <v>10</v>
      </c>
      <c r="I44">
        <v>33.958689507494654</v>
      </c>
      <c r="J44">
        <v>339.58689507494654</v>
      </c>
      <c r="K44" t="s">
        <v>999</v>
      </c>
      <c r="L44">
        <v>0</v>
      </c>
      <c r="M44">
        <v>0</v>
      </c>
      <c r="N44" t="s">
        <v>692</v>
      </c>
    </row>
    <row r="45" spans="2:14" x14ac:dyDescent="0.3">
      <c r="B45" t="s">
        <v>992</v>
      </c>
      <c r="C45">
        <v>125</v>
      </c>
      <c r="D45">
        <v>55500</v>
      </c>
      <c r="E45" t="s">
        <v>757</v>
      </c>
      <c r="F45" t="s">
        <v>347</v>
      </c>
      <c r="G45">
        <v>1</v>
      </c>
      <c r="H45">
        <v>1.3636363636363635</v>
      </c>
      <c r="I45">
        <v>500</v>
      </c>
      <c r="J45">
        <v>681.81818181818176</v>
      </c>
      <c r="K45" t="s">
        <v>996</v>
      </c>
      <c r="L45">
        <v>605.45454545454538</v>
      </c>
      <c r="M45">
        <v>302727.27272727271</v>
      </c>
      <c r="N45" t="s">
        <v>685</v>
      </c>
    </row>
    <row r="46" spans="2:14" x14ac:dyDescent="0.3">
      <c r="B46" t="s">
        <v>993</v>
      </c>
      <c r="C46">
        <v>200</v>
      </c>
      <c r="D46">
        <v>31875</v>
      </c>
      <c r="E46" t="s">
        <v>757</v>
      </c>
      <c r="F46" t="s">
        <v>347</v>
      </c>
      <c r="G46">
        <v>1</v>
      </c>
      <c r="H46">
        <v>1.3636363636363635</v>
      </c>
      <c r="I46">
        <v>500</v>
      </c>
      <c r="J46">
        <v>681.81818181818176</v>
      </c>
      <c r="K46" t="s">
        <v>997</v>
      </c>
      <c r="L46">
        <v>217.32954545454544</v>
      </c>
      <c r="M46">
        <v>108664.77272727272</v>
      </c>
      <c r="N46" t="s">
        <v>685</v>
      </c>
    </row>
    <row r="47" spans="2:14" x14ac:dyDescent="0.3">
      <c r="B47" t="s">
        <v>992</v>
      </c>
      <c r="C47">
        <v>125</v>
      </c>
      <c r="D47">
        <v>55500</v>
      </c>
      <c r="E47" t="s">
        <v>288</v>
      </c>
      <c r="F47" t="s">
        <v>176</v>
      </c>
      <c r="H47">
        <v>43.636363636363633</v>
      </c>
      <c r="I47">
        <v>7</v>
      </c>
      <c r="J47">
        <v>305.45454545454544</v>
      </c>
      <c r="K47" t="s">
        <v>996</v>
      </c>
      <c r="L47">
        <v>19374.545454545452</v>
      </c>
      <c r="M47">
        <v>135621.81818181818</v>
      </c>
      <c r="N47" t="s">
        <v>686</v>
      </c>
    </row>
    <row r="48" spans="2:14" x14ac:dyDescent="0.3">
      <c r="B48" t="s">
        <v>993</v>
      </c>
      <c r="C48">
        <v>200</v>
      </c>
      <c r="D48">
        <v>31875</v>
      </c>
      <c r="E48" t="s">
        <v>288</v>
      </c>
      <c r="F48" t="s">
        <v>176</v>
      </c>
      <c r="H48">
        <v>43.636363636363633</v>
      </c>
      <c r="I48">
        <v>7</v>
      </c>
      <c r="J48">
        <v>305.45454545454544</v>
      </c>
      <c r="K48" t="s">
        <v>997</v>
      </c>
      <c r="L48">
        <v>6954.545454545454</v>
      </c>
      <c r="M48">
        <v>48681.818181818177</v>
      </c>
      <c r="N48" t="s">
        <v>686</v>
      </c>
    </row>
    <row r="49" spans="2:14" x14ac:dyDescent="0.3">
      <c r="B49" t="s">
        <v>988</v>
      </c>
      <c r="C49">
        <v>0.2</v>
      </c>
      <c r="D49">
        <v>0</v>
      </c>
      <c r="E49" t="s">
        <v>288</v>
      </c>
      <c r="F49" t="s">
        <v>176</v>
      </c>
      <c r="H49">
        <v>436.36363636363637</v>
      </c>
      <c r="I49">
        <v>7</v>
      </c>
      <c r="J49">
        <v>3054.5454545454545</v>
      </c>
      <c r="K49" t="s">
        <v>1020</v>
      </c>
      <c r="L49">
        <v>0</v>
      </c>
      <c r="M49">
        <v>0</v>
      </c>
      <c r="N49" t="s">
        <v>686</v>
      </c>
    </row>
    <row r="50" spans="2:14" x14ac:dyDescent="0.3">
      <c r="B50" t="s">
        <v>992</v>
      </c>
      <c r="C50">
        <v>125</v>
      </c>
      <c r="D50">
        <v>55500</v>
      </c>
      <c r="E50" t="s">
        <v>758</v>
      </c>
      <c r="F50" t="s">
        <v>945</v>
      </c>
      <c r="G50">
        <v>1</v>
      </c>
      <c r="H50">
        <v>11</v>
      </c>
      <c r="I50">
        <v>40.546465252092652</v>
      </c>
      <c r="J50">
        <v>446.01111777301918</v>
      </c>
      <c r="K50" t="s">
        <v>996</v>
      </c>
      <c r="L50">
        <v>4884</v>
      </c>
      <c r="M50">
        <v>198028.93629122051</v>
      </c>
      <c r="N50" t="s">
        <v>692</v>
      </c>
    </row>
    <row r="51" spans="2:14" x14ac:dyDescent="0.3">
      <c r="B51" t="s">
        <v>993</v>
      </c>
      <c r="C51">
        <v>200</v>
      </c>
      <c r="D51">
        <v>31875</v>
      </c>
      <c r="E51" t="s">
        <v>758</v>
      </c>
      <c r="F51" t="s">
        <v>945</v>
      </c>
      <c r="G51">
        <v>1</v>
      </c>
      <c r="H51">
        <v>11</v>
      </c>
      <c r="I51">
        <v>40.546465252092652</v>
      </c>
      <c r="J51">
        <v>446.01111777301918</v>
      </c>
      <c r="K51" t="s">
        <v>997</v>
      </c>
      <c r="L51">
        <v>1753.125</v>
      </c>
      <c r="M51">
        <v>71083.021895074926</v>
      </c>
      <c r="N51" t="s">
        <v>692</v>
      </c>
    </row>
    <row r="52" spans="2:14" x14ac:dyDescent="0.3">
      <c r="B52" t="s">
        <v>998</v>
      </c>
      <c r="C52">
        <v>0.2</v>
      </c>
      <c r="D52">
        <v>0</v>
      </c>
      <c r="E52" t="s">
        <v>758</v>
      </c>
      <c r="F52" t="s">
        <v>945</v>
      </c>
      <c r="G52">
        <v>3</v>
      </c>
      <c r="H52">
        <v>10</v>
      </c>
      <c r="I52">
        <v>40.546465252092652</v>
      </c>
      <c r="J52">
        <v>1216.3939575627796</v>
      </c>
      <c r="K52" t="s">
        <v>999</v>
      </c>
      <c r="L52">
        <v>0</v>
      </c>
      <c r="M52">
        <v>0</v>
      </c>
      <c r="N52" t="s">
        <v>692</v>
      </c>
    </row>
    <row r="53" spans="2:14" x14ac:dyDescent="0.3">
      <c r="B53" t="s">
        <v>1000</v>
      </c>
      <c r="C53">
        <v>1</v>
      </c>
      <c r="D53">
        <v>0</v>
      </c>
      <c r="E53" t="s">
        <v>758</v>
      </c>
      <c r="F53" t="s">
        <v>945</v>
      </c>
      <c r="G53">
        <v>2</v>
      </c>
      <c r="H53">
        <v>10</v>
      </c>
      <c r="I53">
        <v>40.546465252092652</v>
      </c>
      <c r="J53">
        <v>810.92930504185301</v>
      </c>
      <c r="K53" t="s">
        <v>1001</v>
      </c>
      <c r="L53">
        <v>0</v>
      </c>
      <c r="M53">
        <v>0</v>
      </c>
      <c r="N53" t="s">
        <v>692</v>
      </c>
    </row>
    <row r="54" spans="2:14" x14ac:dyDescent="0.3">
      <c r="B54" t="s">
        <v>1002</v>
      </c>
      <c r="C54">
        <v>0</v>
      </c>
      <c r="D54">
        <v>0</v>
      </c>
      <c r="E54" t="s">
        <v>758</v>
      </c>
      <c r="F54" t="s">
        <v>945</v>
      </c>
      <c r="G54">
        <v>3</v>
      </c>
      <c r="H54">
        <v>10</v>
      </c>
      <c r="I54">
        <v>40.546465252092652</v>
      </c>
      <c r="J54">
        <v>1216.3939575627796</v>
      </c>
      <c r="K54" t="s">
        <v>1003</v>
      </c>
      <c r="L54" t="e">
        <v>#NUM!</v>
      </c>
      <c r="M54" t="e">
        <v>#NUM!</v>
      </c>
      <c r="N54" t="s">
        <v>692</v>
      </c>
    </row>
    <row r="55" spans="2:14" x14ac:dyDescent="0.3">
      <c r="B55" t="s">
        <v>1010</v>
      </c>
      <c r="C55">
        <v>0.1</v>
      </c>
      <c r="D55">
        <v>0</v>
      </c>
      <c r="E55" t="s">
        <v>758</v>
      </c>
      <c r="F55" t="s">
        <v>945</v>
      </c>
      <c r="G55">
        <v>1</v>
      </c>
      <c r="H55">
        <v>10</v>
      </c>
      <c r="I55">
        <v>40.546465252092652</v>
      </c>
      <c r="J55">
        <v>405.46465252092651</v>
      </c>
      <c r="K55" t="s">
        <v>1011</v>
      </c>
      <c r="L55">
        <v>0</v>
      </c>
      <c r="M55">
        <v>0</v>
      </c>
      <c r="N55" t="s">
        <v>692</v>
      </c>
    </row>
    <row r="56" spans="2:14" x14ac:dyDescent="0.3">
      <c r="B56" t="s">
        <v>1018</v>
      </c>
      <c r="C56">
        <v>0.2</v>
      </c>
      <c r="D56">
        <v>0</v>
      </c>
      <c r="E56" t="s">
        <v>758</v>
      </c>
      <c r="F56" t="s">
        <v>945</v>
      </c>
      <c r="G56">
        <v>1</v>
      </c>
      <c r="H56">
        <v>10</v>
      </c>
      <c r="I56">
        <v>40.546465252092652</v>
      </c>
      <c r="J56">
        <v>405.46465252092651</v>
      </c>
      <c r="K56" t="s">
        <v>1019</v>
      </c>
      <c r="L56">
        <v>0</v>
      </c>
      <c r="M56">
        <v>0</v>
      </c>
      <c r="N56" t="s">
        <v>692</v>
      </c>
    </row>
    <row r="57" spans="2:14" x14ac:dyDescent="0.3">
      <c r="B57" t="s">
        <v>992</v>
      </c>
      <c r="C57">
        <v>125</v>
      </c>
      <c r="D57">
        <v>55500</v>
      </c>
      <c r="E57" t="s">
        <v>760</v>
      </c>
      <c r="F57" t="s">
        <v>969</v>
      </c>
      <c r="H57">
        <v>25</v>
      </c>
      <c r="I57">
        <v>37.9</v>
      </c>
      <c r="J57">
        <v>947.5</v>
      </c>
      <c r="K57" t="s">
        <v>996</v>
      </c>
      <c r="L57">
        <v>11100</v>
      </c>
      <c r="M57">
        <v>420690</v>
      </c>
      <c r="N57" t="s">
        <v>693</v>
      </c>
    </row>
    <row r="58" spans="2:14" x14ac:dyDescent="0.3">
      <c r="B58" t="s">
        <v>993</v>
      </c>
      <c r="C58">
        <v>200</v>
      </c>
      <c r="D58">
        <v>31875</v>
      </c>
      <c r="E58" t="s">
        <v>760</v>
      </c>
      <c r="F58" t="s">
        <v>969</v>
      </c>
      <c r="H58">
        <v>80</v>
      </c>
      <c r="I58">
        <v>37.9</v>
      </c>
      <c r="J58">
        <v>3032</v>
      </c>
      <c r="K58" t="s">
        <v>997</v>
      </c>
      <c r="L58">
        <v>12750</v>
      </c>
      <c r="M58">
        <v>483225</v>
      </c>
      <c r="N58" t="s">
        <v>693</v>
      </c>
    </row>
    <row r="59" spans="2:14" x14ac:dyDescent="0.3">
      <c r="B59" t="s">
        <v>992</v>
      </c>
      <c r="C59">
        <v>125</v>
      </c>
      <c r="D59">
        <v>55500</v>
      </c>
      <c r="E59" t="s">
        <v>761</v>
      </c>
      <c r="F59" t="s">
        <v>969</v>
      </c>
      <c r="H59">
        <v>0.78125</v>
      </c>
      <c r="I59">
        <v>119.9</v>
      </c>
      <c r="J59">
        <v>93.671875</v>
      </c>
      <c r="K59" t="s">
        <v>996</v>
      </c>
      <c r="L59">
        <v>346.875</v>
      </c>
      <c r="M59">
        <v>41590.3125</v>
      </c>
      <c r="N59" t="s">
        <v>693</v>
      </c>
    </row>
    <row r="60" spans="2:14" x14ac:dyDescent="0.3">
      <c r="B60" t="s">
        <v>993</v>
      </c>
      <c r="C60">
        <v>200</v>
      </c>
      <c r="D60">
        <v>31875</v>
      </c>
      <c r="E60" t="s">
        <v>761</v>
      </c>
      <c r="F60" t="s">
        <v>969</v>
      </c>
      <c r="H60">
        <v>2.5</v>
      </c>
      <c r="I60">
        <v>119.9</v>
      </c>
      <c r="J60">
        <v>299.75</v>
      </c>
      <c r="K60" t="s">
        <v>997</v>
      </c>
      <c r="L60">
        <v>398.4375</v>
      </c>
      <c r="M60">
        <v>47772.65625</v>
      </c>
      <c r="N60" t="s">
        <v>693</v>
      </c>
    </row>
    <row r="61" spans="2:14" x14ac:dyDescent="0.3">
      <c r="B61" t="s">
        <v>992</v>
      </c>
      <c r="C61">
        <v>125</v>
      </c>
      <c r="D61">
        <v>55500</v>
      </c>
      <c r="E61" t="s">
        <v>762</v>
      </c>
      <c r="F61" t="s">
        <v>967</v>
      </c>
      <c r="H61">
        <v>250</v>
      </c>
      <c r="I61">
        <v>0.55000000000000004</v>
      </c>
      <c r="J61">
        <v>137.5</v>
      </c>
      <c r="K61" t="s">
        <v>996</v>
      </c>
      <c r="L61">
        <v>110999.99999999999</v>
      </c>
      <c r="M61">
        <v>61050</v>
      </c>
      <c r="N61" t="s">
        <v>693</v>
      </c>
    </row>
    <row r="62" spans="2:14" x14ac:dyDescent="0.3">
      <c r="B62" t="s">
        <v>993</v>
      </c>
      <c r="C62">
        <v>200</v>
      </c>
      <c r="D62">
        <v>31875</v>
      </c>
      <c r="E62" t="s">
        <v>762</v>
      </c>
      <c r="F62" t="s">
        <v>967</v>
      </c>
      <c r="H62">
        <v>800</v>
      </c>
      <c r="I62">
        <v>0.55000000000000004</v>
      </c>
      <c r="J62">
        <v>440.00000000000006</v>
      </c>
      <c r="K62" t="s">
        <v>997</v>
      </c>
      <c r="L62">
        <v>127500</v>
      </c>
      <c r="M62">
        <v>70125</v>
      </c>
      <c r="N62" t="s">
        <v>693</v>
      </c>
    </row>
    <row r="63" spans="2:14" x14ac:dyDescent="0.3">
      <c r="B63" t="s">
        <v>988</v>
      </c>
      <c r="C63">
        <v>0.2</v>
      </c>
      <c r="D63">
        <v>0</v>
      </c>
      <c r="E63" t="s">
        <v>832</v>
      </c>
      <c r="F63" t="s">
        <v>945</v>
      </c>
      <c r="G63">
        <v>1</v>
      </c>
      <c r="H63">
        <v>10</v>
      </c>
      <c r="I63">
        <v>65.760687030367933</v>
      </c>
      <c r="J63">
        <v>657.60687030367933</v>
      </c>
      <c r="K63" t="s">
        <v>1020</v>
      </c>
      <c r="L63">
        <v>0</v>
      </c>
      <c r="M63">
        <v>0</v>
      </c>
      <c r="N63" t="s">
        <v>692</v>
      </c>
    </row>
    <row r="64" spans="2:14" x14ac:dyDescent="0.3">
      <c r="B64" t="s">
        <v>988</v>
      </c>
      <c r="C64">
        <v>0.2</v>
      </c>
      <c r="D64">
        <v>0</v>
      </c>
      <c r="E64" t="s">
        <v>833</v>
      </c>
      <c r="F64" t="s">
        <v>945</v>
      </c>
      <c r="G64">
        <v>2</v>
      </c>
      <c r="H64">
        <v>10</v>
      </c>
      <c r="I64">
        <v>35.57167850885731</v>
      </c>
      <c r="J64">
        <v>711.43357017714618</v>
      </c>
      <c r="K64" t="s">
        <v>1020</v>
      </c>
      <c r="L64">
        <v>0</v>
      </c>
      <c r="M64">
        <v>0</v>
      </c>
      <c r="N64" t="s">
        <v>692</v>
      </c>
    </row>
    <row r="65" spans="2:14" x14ac:dyDescent="0.3">
      <c r="B65" t="s">
        <v>988</v>
      </c>
      <c r="C65">
        <v>0.2</v>
      </c>
      <c r="D65">
        <v>0</v>
      </c>
      <c r="E65" t="s">
        <v>835</v>
      </c>
      <c r="F65" t="s">
        <v>945</v>
      </c>
      <c r="G65">
        <v>1</v>
      </c>
      <c r="H65">
        <v>10</v>
      </c>
      <c r="I65">
        <v>33.958689507494654</v>
      </c>
      <c r="J65">
        <v>339.58689507494654</v>
      </c>
      <c r="K65" t="s">
        <v>1020</v>
      </c>
      <c r="L65">
        <v>0</v>
      </c>
      <c r="M65">
        <v>0</v>
      </c>
      <c r="N65" t="s">
        <v>692</v>
      </c>
    </row>
    <row r="66" spans="2:14" x14ac:dyDescent="0.3">
      <c r="B66" t="s">
        <v>988</v>
      </c>
      <c r="C66">
        <v>0.2</v>
      </c>
      <c r="D66">
        <v>0</v>
      </c>
      <c r="E66" t="s">
        <v>834</v>
      </c>
      <c r="F66" t="s">
        <v>945</v>
      </c>
      <c r="G66">
        <v>1</v>
      </c>
      <c r="H66">
        <v>10</v>
      </c>
      <c r="I66">
        <v>56.927258905976259</v>
      </c>
      <c r="J66">
        <v>569.27258905976259</v>
      </c>
      <c r="K66" t="s">
        <v>1020</v>
      </c>
      <c r="L66">
        <v>0</v>
      </c>
      <c r="M66">
        <v>0</v>
      </c>
      <c r="N66" t="s">
        <v>692</v>
      </c>
    </row>
    <row r="67" spans="2:14" x14ac:dyDescent="0.3">
      <c r="B67" t="s">
        <v>1000</v>
      </c>
      <c r="C67">
        <v>1</v>
      </c>
      <c r="D67">
        <v>0</v>
      </c>
      <c r="E67" t="s">
        <v>782</v>
      </c>
      <c r="F67" t="s">
        <v>965</v>
      </c>
      <c r="H67">
        <v>5.2472888888888898</v>
      </c>
      <c r="I67">
        <v>600</v>
      </c>
      <c r="J67">
        <v>3148.3733333333339</v>
      </c>
      <c r="K67" t="s">
        <v>1001</v>
      </c>
      <c r="L67">
        <v>0</v>
      </c>
      <c r="M67">
        <v>0</v>
      </c>
      <c r="N67" t="s">
        <v>693</v>
      </c>
    </row>
    <row r="68" spans="2:14" x14ac:dyDescent="0.3">
      <c r="B68" t="s">
        <v>1004</v>
      </c>
      <c r="C68">
        <v>0.2</v>
      </c>
      <c r="D68">
        <v>0</v>
      </c>
      <c r="E68" t="s">
        <v>782</v>
      </c>
      <c r="F68" t="s">
        <v>965</v>
      </c>
      <c r="H68">
        <v>5.1780588888888905</v>
      </c>
      <c r="I68">
        <v>600</v>
      </c>
      <c r="J68">
        <v>3106.8353333333343</v>
      </c>
      <c r="K68" t="s">
        <v>1005</v>
      </c>
      <c r="L68">
        <v>0</v>
      </c>
      <c r="M68">
        <v>0</v>
      </c>
      <c r="N68" t="s">
        <v>693</v>
      </c>
    </row>
    <row r="69" spans="2:14" x14ac:dyDescent="0.3">
      <c r="B69" t="s">
        <v>1000</v>
      </c>
      <c r="C69">
        <v>1</v>
      </c>
      <c r="D69">
        <v>0</v>
      </c>
      <c r="E69" t="s">
        <v>787</v>
      </c>
      <c r="F69" t="s">
        <v>60</v>
      </c>
      <c r="H69">
        <v>91.859444444444449</v>
      </c>
      <c r="I69">
        <v>12</v>
      </c>
      <c r="J69">
        <v>1102.3133333333335</v>
      </c>
      <c r="K69" t="s">
        <v>1001</v>
      </c>
      <c r="L69">
        <v>0</v>
      </c>
      <c r="M69">
        <v>0</v>
      </c>
      <c r="N69" t="s">
        <v>693</v>
      </c>
    </row>
    <row r="70" spans="2:14" x14ac:dyDescent="0.3">
      <c r="B70" t="s">
        <v>1004</v>
      </c>
      <c r="C70">
        <v>0.2</v>
      </c>
      <c r="D70">
        <v>0</v>
      </c>
      <c r="E70" t="s">
        <v>787</v>
      </c>
      <c r="F70" t="s">
        <v>60</v>
      </c>
      <c r="H70">
        <v>13.474992592592594</v>
      </c>
      <c r="I70">
        <v>12</v>
      </c>
      <c r="J70">
        <v>161.69991111111113</v>
      </c>
      <c r="K70" t="s">
        <v>1005</v>
      </c>
      <c r="L70">
        <v>0</v>
      </c>
      <c r="M70">
        <v>0</v>
      </c>
      <c r="N70" t="s">
        <v>693</v>
      </c>
    </row>
    <row r="71" spans="2:14" x14ac:dyDescent="0.3">
      <c r="B71" t="s">
        <v>991</v>
      </c>
      <c r="C71">
        <v>8000</v>
      </c>
      <c r="D71">
        <v>453600</v>
      </c>
      <c r="E71" t="s">
        <v>847</v>
      </c>
      <c r="F71" t="s">
        <v>347</v>
      </c>
      <c r="G71">
        <v>3</v>
      </c>
      <c r="H71">
        <v>1.3636363636363635</v>
      </c>
      <c r="I71">
        <v>1200</v>
      </c>
      <c r="J71">
        <v>4909.090909090909</v>
      </c>
      <c r="K71" t="s">
        <v>1023</v>
      </c>
      <c r="L71">
        <v>231.95454545454547</v>
      </c>
      <c r="M71">
        <v>278345.45454545459</v>
      </c>
      <c r="N71" t="s">
        <v>685</v>
      </c>
    </row>
    <row r="72" spans="2:14" x14ac:dyDescent="0.3">
      <c r="B72" t="s">
        <v>1004</v>
      </c>
      <c r="C72">
        <v>0.2</v>
      </c>
      <c r="D72">
        <v>0</v>
      </c>
      <c r="E72" t="s">
        <v>796</v>
      </c>
      <c r="F72" t="s">
        <v>802</v>
      </c>
      <c r="H72">
        <v>80.568888888888893</v>
      </c>
      <c r="I72">
        <v>7.7813852813852806</v>
      </c>
      <c r="J72">
        <v>626.93756613756614</v>
      </c>
      <c r="K72" t="s">
        <v>1005</v>
      </c>
      <c r="L72">
        <v>0</v>
      </c>
      <c r="M72">
        <v>0</v>
      </c>
      <c r="N72" t="s">
        <v>693</v>
      </c>
    </row>
    <row r="73" spans="2:14" x14ac:dyDescent="0.3">
      <c r="B73" t="s">
        <v>1004</v>
      </c>
      <c r="C73">
        <v>0.2</v>
      </c>
      <c r="D73">
        <v>0</v>
      </c>
      <c r="E73" t="s">
        <v>797</v>
      </c>
      <c r="F73" t="s">
        <v>82</v>
      </c>
      <c r="H73">
        <v>40.77511111111113</v>
      </c>
      <c r="I73">
        <v>2.835</v>
      </c>
      <c r="J73">
        <v>115.59744000000005</v>
      </c>
      <c r="K73" t="s">
        <v>1005</v>
      </c>
      <c r="L73">
        <v>0</v>
      </c>
      <c r="M73">
        <v>0</v>
      </c>
      <c r="N73" t="s">
        <v>693</v>
      </c>
    </row>
    <row r="74" spans="2:14" x14ac:dyDescent="0.3">
      <c r="B74" t="s">
        <v>1004</v>
      </c>
      <c r="C74">
        <v>0.2</v>
      </c>
      <c r="D74">
        <v>0</v>
      </c>
      <c r="E74" t="s">
        <v>798</v>
      </c>
      <c r="F74" t="s">
        <v>60</v>
      </c>
      <c r="H74">
        <v>3.3000000000000003</v>
      </c>
      <c r="I74">
        <v>135</v>
      </c>
      <c r="J74">
        <v>445.50000000000006</v>
      </c>
      <c r="K74" t="s">
        <v>1005</v>
      </c>
      <c r="L74">
        <v>0</v>
      </c>
      <c r="M74">
        <v>0</v>
      </c>
      <c r="N74" t="s">
        <v>693</v>
      </c>
    </row>
    <row r="75" spans="2:14" x14ac:dyDescent="0.3">
      <c r="B75" t="s">
        <v>1004</v>
      </c>
      <c r="C75">
        <v>0.2</v>
      </c>
      <c r="D75">
        <v>0</v>
      </c>
      <c r="E75" t="s">
        <v>799</v>
      </c>
      <c r="F75" t="s">
        <v>965</v>
      </c>
      <c r="H75">
        <v>2.0387555555555554</v>
      </c>
      <c r="I75">
        <v>180</v>
      </c>
      <c r="J75">
        <v>366.976</v>
      </c>
      <c r="K75" t="s">
        <v>1005</v>
      </c>
      <c r="L75">
        <v>0</v>
      </c>
      <c r="M75">
        <v>0</v>
      </c>
      <c r="N75" t="s">
        <v>693</v>
      </c>
    </row>
    <row r="76" spans="2:14" x14ac:dyDescent="0.3">
      <c r="B76" t="s">
        <v>1010</v>
      </c>
      <c r="C76">
        <v>0.1</v>
      </c>
      <c r="D76">
        <v>0</v>
      </c>
      <c r="E76" t="s">
        <v>799</v>
      </c>
      <c r="F76" t="s">
        <v>965</v>
      </c>
      <c r="H76">
        <v>0.54997206666666665</v>
      </c>
      <c r="I76">
        <v>180</v>
      </c>
      <c r="J76">
        <v>98.99497199999999</v>
      </c>
      <c r="K76" t="s">
        <v>1011</v>
      </c>
      <c r="L76">
        <v>0</v>
      </c>
      <c r="M76">
        <v>0</v>
      </c>
      <c r="N76" t="s">
        <v>693</v>
      </c>
    </row>
    <row r="77" spans="2:14" x14ac:dyDescent="0.3">
      <c r="B77" t="s">
        <v>1018</v>
      </c>
      <c r="C77">
        <v>0.2</v>
      </c>
      <c r="D77">
        <v>0</v>
      </c>
      <c r="E77" t="s">
        <v>799</v>
      </c>
      <c r="F77" t="s">
        <v>965</v>
      </c>
      <c r="H77">
        <v>0.18079999999999999</v>
      </c>
      <c r="I77">
        <v>180</v>
      </c>
      <c r="J77">
        <v>32.543999999999997</v>
      </c>
      <c r="K77" t="s">
        <v>1019</v>
      </c>
      <c r="L77">
        <v>0</v>
      </c>
      <c r="M77">
        <v>0</v>
      </c>
      <c r="N77" t="s">
        <v>693</v>
      </c>
    </row>
    <row r="78" spans="2:14" x14ac:dyDescent="0.3">
      <c r="B78" t="s">
        <v>1004</v>
      </c>
      <c r="C78">
        <v>0.2</v>
      </c>
      <c r="D78">
        <v>0</v>
      </c>
      <c r="E78" t="s">
        <v>800</v>
      </c>
      <c r="F78" t="s">
        <v>60</v>
      </c>
      <c r="H78">
        <v>1.2000000000000002</v>
      </c>
      <c r="I78">
        <v>8.1666666666666661</v>
      </c>
      <c r="J78">
        <v>9.8000000000000007</v>
      </c>
      <c r="K78" t="s">
        <v>1005</v>
      </c>
      <c r="L78">
        <v>0</v>
      </c>
      <c r="M78">
        <v>0</v>
      </c>
      <c r="N78" t="s">
        <v>693</v>
      </c>
    </row>
    <row r="79" spans="2:14" x14ac:dyDescent="0.3">
      <c r="B79" t="s">
        <v>1004</v>
      </c>
      <c r="C79">
        <v>0.2</v>
      </c>
      <c r="D79">
        <v>0</v>
      </c>
      <c r="E79" t="s">
        <v>801</v>
      </c>
      <c r="F79" t="s">
        <v>82</v>
      </c>
      <c r="H79">
        <v>40.77511111111113</v>
      </c>
      <c r="I79">
        <v>50</v>
      </c>
      <c r="J79">
        <v>2038.7555555555564</v>
      </c>
      <c r="K79" t="s">
        <v>1005</v>
      </c>
      <c r="L79">
        <v>0</v>
      </c>
      <c r="M79">
        <v>0</v>
      </c>
      <c r="N79" t="s">
        <v>966</v>
      </c>
    </row>
    <row r="80" spans="2:14" x14ac:dyDescent="0.3">
      <c r="B80" t="s">
        <v>1004</v>
      </c>
      <c r="C80">
        <v>0.2</v>
      </c>
      <c r="D80">
        <v>0</v>
      </c>
      <c r="E80" t="s">
        <v>781</v>
      </c>
      <c r="F80" t="s">
        <v>802</v>
      </c>
      <c r="H80">
        <v>1.6375555555555552</v>
      </c>
      <c r="I80">
        <v>8</v>
      </c>
      <c r="J80">
        <v>13.100444444444442</v>
      </c>
      <c r="K80" t="s">
        <v>1005</v>
      </c>
      <c r="L80">
        <v>0</v>
      </c>
      <c r="M80">
        <v>0</v>
      </c>
      <c r="N80" t="s">
        <v>693</v>
      </c>
    </row>
    <row r="81" spans="2:14" x14ac:dyDescent="0.3">
      <c r="B81" t="s">
        <v>1018</v>
      </c>
      <c r="C81">
        <v>0.2</v>
      </c>
      <c r="D81">
        <v>0</v>
      </c>
      <c r="E81" t="s">
        <v>781</v>
      </c>
      <c r="F81" t="s">
        <v>802</v>
      </c>
      <c r="H81">
        <v>16</v>
      </c>
      <c r="I81">
        <v>8</v>
      </c>
      <c r="J81">
        <v>128</v>
      </c>
      <c r="K81" t="s">
        <v>1019</v>
      </c>
      <c r="L81">
        <v>0</v>
      </c>
      <c r="M81">
        <v>0</v>
      </c>
      <c r="N81" t="s">
        <v>693</v>
      </c>
    </row>
    <row r="82" spans="2:14" x14ac:dyDescent="0.3">
      <c r="B82" t="s">
        <v>1004</v>
      </c>
      <c r="C82">
        <v>0.2</v>
      </c>
      <c r="D82">
        <v>0</v>
      </c>
      <c r="E82" t="s">
        <v>803</v>
      </c>
      <c r="F82" t="s">
        <v>60</v>
      </c>
      <c r="H82">
        <v>13.474992592592594</v>
      </c>
      <c r="I82">
        <v>8</v>
      </c>
      <c r="J82">
        <v>107.79994074074075</v>
      </c>
      <c r="K82" t="s">
        <v>1005</v>
      </c>
      <c r="L82">
        <v>0</v>
      </c>
      <c r="M82">
        <v>0</v>
      </c>
      <c r="N82" t="s">
        <v>693</v>
      </c>
    </row>
    <row r="83" spans="2:14" x14ac:dyDescent="0.3">
      <c r="B83" t="s">
        <v>988</v>
      </c>
      <c r="C83">
        <v>0.2</v>
      </c>
      <c r="D83">
        <v>0</v>
      </c>
      <c r="E83" t="s">
        <v>827</v>
      </c>
      <c r="F83" t="s">
        <v>945</v>
      </c>
      <c r="G83">
        <v>1</v>
      </c>
      <c r="H83">
        <v>9.0909090909090917</v>
      </c>
      <c r="I83">
        <v>225</v>
      </c>
      <c r="J83">
        <v>2045.4545454545457</v>
      </c>
      <c r="K83" t="s">
        <v>1020</v>
      </c>
      <c r="L83">
        <v>0</v>
      </c>
      <c r="M83">
        <v>0</v>
      </c>
      <c r="N83" t="s">
        <v>685</v>
      </c>
    </row>
    <row r="84" spans="2:14" x14ac:dyDescent="0.3">
      <c r="B84" t="s">
        <v>1004</v>
      </c>
      <c r="C84">
        <v>0.2</v>
      </c>
      <c r="D84">
        <v>0</v>
      </c>
      <c r="E84" t="s">
        <v>804</v>
      </c>
      <c r="F84" t="s">
        <v>802</v>
      </c>
      <c r="H84">
        <v>6.5777777777777775</v>
      </c>
      <c r="I84">
        <v>7.7813852813852806</v>
      </c>
      <c r="J84">
        <v>51.184223184223178</v>
      </c>
      <c r="K84" t="s">
        <v>1005</v>
      </c>
      <c r="L84">
        <v>0</v>
      </c>
      <c r="M84">
        <v>0</v>
      </c>
      <c r="N84" t="s">
        <v>693</v>
      </c>
    </row>
    <row r="85" spans="2:14" x14ac:dyDescent="0.3">
      <c r="B85" t="s">
        <v>991</v>
      </c>
      <c r="C85">
        <v>8000</v>
      </c>
      <c r="D85">
        <v>453600</v>
      </c>
      <c r="E85" t="s">
        <v>848</v>
      </c>
      <c r="F85" t="s">
        <v>945</v>
      </c>
      <c r="G85">
        <v>1</v>
      </c>
      <c r="H85">
        <v>9.0909090909090917</v>
      </c>
      <c r="I85">
        <v>90</v>
      </c>
      <c r="J85">
        <v>818.18181818181824</v>
      </c>
      <c r="K85" t="s">
        <v>1023</v>
      </c>
      <c r="L85">
        <v>515.4545454545455</v>
      </c>
      <c r="M85">
        <v>46390.909090909096</v>
      </c>
      <c r="N85" t="s">
        <v>685</v>
      </c>
    </row>
    <row r="86" spans="2:14" x14ac:dyDescent="0.3">
      <c r="B86" t="s">
        <v>1006</v>
      </c>
      <c r="C86">
        <v>1</v>
      </c>
      <c r="D86">
        <v>0</v>
      </c>
      <c r="E86" t="s">
        <v>806</v>
      </c>
      <c r="F86" t="s">
        <v>194</v>
      </c>
      <c r="H86">
        <v>166666.66666666666</v>
      </c>
      <c r="I86">
        <v>1</v>
      </c>
      <c r="J86">
        <v>166666.66666666666</v>
      </c>
      <c r="K86" t="s">
        <v>1007</v>
      </c>
      <c r="L86">
        <v>0</v>
      </c>
      <c r="M86">
        <v>0</v>
      </c>
      <c r="N86" t="s">
        <v>966</v>
      </c>
    </row>
    <row r="87" spans="2:14" x14ac:dyDescent="0.3">
      <c r="B87" t="s">
        <v>988</v>
      </c>
      <c r="C87">
        <v>0.2</v>
      </c>
      <c r="D87">
        <v>0</v>
      </c>
      <c r="E87" t="s">
        <v>831</v>
      </c>
      <c r="F87" t="s">
        <v>945</v>
      </c>
      <c r="G87">
        <v>1</v>
      </c>
      <c r="H87">
        <v>9.0909090909090917</v>
      </c>
      <c r="I87">
        <v>95</v>
      </c>
      <c r="J87">
        <v>863.63636363636374</v>
      </c>
      <c r="K87" t="s">
        <v>1020</v>
      </c>
      <c r="L87">
        <v>0</v>
      </c>
      <c r="M87">
        <v>0</v>
      </c>
      <c r="N87" t="s">
        <v>685</v>
      </c>
    </row>
    <row r="88" spans="2:14" x14ac:dyDescent="0.3">
      <c r="B88" t="s">
        <v>1008</v>
      </c>
      <c r="C88">
        <v>1</v>
      </c>
      <c r="D88">
        <v>0</v>
      </c>
      <c r="E88" t="s">
        <v>808</v>
      </c>
      <c r="F88" t="s">
        <v>194</v>
      </c>
      <c r="H88">
        <v>155555.55555555556</v>
      </c>
      <c r="I88">
        <v>1</v>
      </c>
      <c r="J88">
        <v>155555.55555555556</v>
      </c>
      <c r="K88" t="s">
        <v>1009</v>
      </c>
      <c r="L88">
        <v>0</v>
      </c>
      <c r="M88">
        <v>0</v>
      </c>
      <c r="N88" t="s">
        <v>966</v>
      </c>
    </row>
    <row r="89" spans="2:14" x14ac:dyDescent="0.3">
      <c r="B89" t="s">
        <v>988</v>
      </c>
      <c r="C89">
        <v>0.2</v>
      </c>
      <c r="D89">
        <v>0</v>
      </c>
      <c r="E89" t="s">
        <v>828</v>
      </c>
      <c r="F89" t="s">
        <v>945</v>
      </c>
      <c r="G89">
        <v>1</v>
      </c>
      <c r="H89">
        <v>9.0909090909090917</v>
      </c>
      <c r="I89">
        <v>95</v>
      </c>
      <c r="J89">
        <v>863.63636363636374</v>
      </c>
      <c r="K89" t="s">
        <v>1020</v>
      </c>
      <c r="L89">
        <v>0</v>
      </c>
      <c r="M89">
        <v>0</v>
      </c>
      <c r="N89" t="s">
        <v>685</v>
      </c>
    </row>
    <row r="90" spans="2:14" x14ac:dyDescent="0.3">
      <c r="B90" t="s">
        <v>988</v>
      </c>
      <c r="C90">
        <v>0.2</v>
      </c>
      <c r="D90">
        <v>0</v>
      </c>
      <c r="E90" t="s">
        <v>830</v>
      </c>
      <c r="F90" t="s">
        <v>945</v>
      </c>
      <c r="G90">
        <v>1</v>
      </c>
      <c r="H90">
        <v>9.0909090909090917</v>
      </c>
      <c r="I90">
        <v>115</v>
      </c>
      <c r="J90">
        <v>1045.4545454545455</v>
      </c>
      <c r="K90" t="s">
        <v>1020</v>
      </c>
      <c r="L90">
        <v>0</v>
      </c>
      <c r="M90">
        <v>0</v>
      </c>
      <c r="N90" t="s">
        <v>685</v>
      </c>
    </row>
    <row r="91" spans="2:14" x14ac:dyDescent="0.3">
      <c r="B91" t="s">
        <v>988</v>
      </c>
      <c r="C91">
        <v>0.2</v>
      </c>
      <c r="D91">
        <v>0</v>
      </c>
      <c r="E91" t="s">
        <v>829</v>
      </c>
      <c r="F91" t="s">
        <v>945</v>
      </c>
      <c r="G91">
        <v>1</v>
      </c>
      <c r="H91">
        <v>9.0909090909090917</v>
      </c>
      <c r="I91">
        <v>220</v>
      </c>
      <c r="J91">
        <v>2000.0000000000002</v>
      </c>
      <c r="K91" t="s">
        <v>1020</v>
      </c>
      <c r="L91">
        <v>0</v>
      </c>
      <c r="M91">
        <v>0</v>
      </c>
      <c r="N91" t="s">
        <v>685</v>
      </c>
    </row>
    <row r="92" spans="2:14" x14ac:dyDescent="0.3">
      <c r="B92" t="s">
        <v>1010</v>
      </c>
      <c r="C92">
        <v>0.1</v>
      </c>
      <c r="D92">
        <v>0</v>
      </c>
      <c r="E92" t="s">
        <v>810</v>
      </c>
      <c r="F92" t="s">
        <v>60</v>
      </c>
      <c r="H92">
        <v>11.622222222222224</v>
      </c>
      <c r="I92">
        <v>188.50399999999999</v>
      </c>
      <c r="J92">
        <v>2190.8353777777779</v>
      </c>
      <c r="K92" t="s">
        <v>1011</v>
      </c>
      <c r="L92">
        <v>0</v>
      </c>
      <c r="M92">
        <v>0</v>
      </c>
      <c r="N92" t="s">
        <v>693</v>
      </c>
    </row>
    <row r="93" spans="2:14" x14ac:dyDescent="0.3">
      <c r="B93" t="s">
        <v>1010</v>
      </c>
      <c r="C93">
        <v>0.1</v>
      </c>
      <c r="D93">
        <v>0</v>
      </c>
      <c r="E93" t="s">
        <v>811</v>
      </c>
      <c r="F93" t="s">
        <v>969</v>
      </c>
      <c r="H93">
        <v>4.7488888888888887</v>
      </c>
      <c r="I93">
        <v>196.92</v>
      </c>
      <c r="J93">
        <v>935.1511999999999</v>
      </c>
      <c r="K93" t="s">
        <v>1011</v>
      </c>
      <c r="L93">
        <v>0</v>
      </c>
      <c r="M93">
        <v>0</v>
      </c>
      <c r="N93" t="s">
        <v>693</v>
      </c>
    </row>
    <row r="94" spans="2:14" x14ac:dyDescent="0.3">
      <c r="B94" t="s">
        <v>1010</v>
      </c>
      <c r="C94">
        <v>0.1</v>
      </c>
      <c r="D94">
        <v>0</v>
      </c>
      <c r="E94" t="s">
        <v>812</v>
      </c>
      <c r="F94" t="s">
        <v>969</v>
      </c>
      <c r="H94">
        <v>28.493333333333336</v>
      </c>
      <c r="I94">
        <v>4.29</v>
      </c>
      <c r="J94">
        <v>122.23640000000002</v>
      </c>
      <c r="K94" t="s">
        <v>1011</v>
      </c>
      <c r="L94">
        <v>0</v>
      </c>
      <c r="M94">
        <v>0</v>
      </c>
      <c r="N94" t="s">
        <v>693</v>
      </c>
    </row>
    <row r="95" spans="2:14" x14ac:dyDescent="0.3">
      <c r="B95" t="s">
        <v>1018</v>
      </c>
      <c r="C95">
        <v>0.2</v>
      </c>
      <c r="D95">
        <v>0</v>
      </c>
      <c r="E95" t="s">
        <v>783</v>
      </c>
      <c r="F95" t="s">
        <v>802</v>
      </c>
      <c r="H95">
        <v>0.32</v>
      </c>
      <c r="I95">
        <v>20</v>
      </c>
      <c r="J95">
        <v>6.4</v>
      </c>
      <c r="K95" t="s">
        <v>1019</v>
      </c>
      <c r="L95">
        <v>0</v>
      </c>
      <c r="M95">
        <v>0</v>
      </c>
      <c r="N95" t="s">
        <v>693</v>
      </c>
    </row>
    <row r="96" spans="2:14" x14ac:dyDescent="0.3">
      <c r="B96" t="s">
        <v>1010</v>
      </c>
      <c r="C96">
        <v>0.1</v>
      </c>
      <c r="D96">
        <v>0</v>
      </c>
      <c r="E96" t="s">
        <v>813</v>
      </c>
      <c r="F96" t="s">
        <v>965</v>
      </c>
      <c r="H96">
        <v>0.54997206666666665</v>
      </c>
      <c r="I96">
        <v>180</v>
      </c>
      <c r="J96">
        <v>98.99497199999999</v>
      </c>
      <c r="K96" t="s">
        <v>1011</v>
      </c>
      <c r="L96">
        <v>0</v>
      </c>
      <c r="M96">
        <v>0</v>
      </c>
      <c r="N96" t="s">
        <v>693</v>
      </c>
    </row>
    <row r="97" spans="2:14" x14ac:dyDescent="0.3">
      <c r="B97" t="s">
        <v>1018</v>
      </c>
      <c r="C97">
        <v>0.2</v>
      </c>
      <c r="D97">
        <v>0</v>
      </c>
      <c r="E97" t="s">
        <v>813</v>
      </c>
      <c r="F97" t="s">
        <v>965</v>
      </c>
      <c r="H97">
        <v>0.18079999999999999</v>
      </c>
      <c r="I97">
        <v>180</v>
      </c>
      <c r="J97">
        <v>32.543999999999997</v>
      </c>
      <c r="K97" t="s">
        <v>1019</v>
      </c>
      <c r="L97">
        <v>0</v>
      </c>
      <c r="M97">
        <v>0</v>
      </c>
      <c r="N97" t="s">
        <v>693</v>
      </c>
    </row>
    <row r="98" spans="2:14" x14ac:dyDescent="0.3">
      <c r="B98" t="s">
        <v>1010</v>
      </c>
      <c r="C98">
        <v>0.1</v>
      </c>
      <c r="D98">
        <v>0</v>
      </c>
      <c r="E98" t="s">
        <v>814</v>
      </c>
      <c r="F98" t="s">
        <v>802</v>
      </c>
      <c r="H98">
        <v>219.98882666666674</v>
      </c>
      <c r="I98">
        <v>0.8</v>
      </c>
      <c r="J98">
        <v>175.99106133333339</v>
      </c>
      <c r="K98" t="s">
        <v>1011</v>
      </c>
      <c r="L98">
        <v>0</v>
      </c>
      <c r="M98">
        <v>0</v>
      </c>
      <c r="N98" t="s">
        <v>693</v>
      </c>
    </row>
    <row r="99" spans="2:14" x14ac:dyDescent="0.3">
      <c r="B99" t="s">
        <v>1018</v>
      </c>
      <c r="C99">
        <v>0.2</v>
      </c>
      <c r="D99">
        <v>0</v>
      </c>
      <c r="E99" t="s">
        <v>814</v>
      </c>
      <c r="F99" t="s">
        <v>802</v>
      </c>
      <c r="H99">
        <v>90.399999999999991</v>
      </c>
      <c r="I99">
        <v>0.8</v>
      </c>
      <c r="J99">
        <v>72.319999999999993</v>
      </c>
      <c r="K99" t="s">
        <v>1019</v>
      </c>
      <c r="L99">
        <v>0</v>
      </c>
      <c r="M99">
        <v>0</v>
      </c>
      <c r="N99" t="s">
        <v>693</v>
      </c>
    </row>
    <row r="100" spans="2:14" x14ac:dyDescent="0.3">
      <c r="B100" t="s">
        <v>988</v>
      </c>
      <c r="C100">
        <v>0.2</v>
      </c>
      <c r="D100">
        <v>0</v>
      </c>
      <c r="E100" t="s">
        <v>765</v>
      </c>
      <c r="F100" t="s">
        <v>92</v>
      </c>
      <c r="H100">
        <v>2049.3866666666668</v>
      </c>
      <c r="I100">
        <v>1.2</v>
      </c>
      <c r="J100">
        <v>2459.2640000000001</v>
      </c>
      <c r="K100" t="s">
        <v>1020</v>
      </c>
      <c r="L100">
        <v>0</v>
      </c>
      <c r="M100">
        <v>0</v>
      </c>
      <c r="N100" t="s">
        <v>693</v>
      </c>
    </row>
    <row r="101" spans="2:14" x14ac:dyDescent="0.3">
      <c r="B101" t="s">
        <v>1010</v>
      </c>
      <c r="C101">
        <v>0.1</v>
      </c>
      <c r="D101">
        <v>0</v>
      </c>
      <c r="E101" t="s">
        <v>815</v>
      </c>
      <c r="F101" t="s">
        <v>967</v>
      </c>
      <c r="H101">
        <v>11.622222222222224</v>
      </c>
      <c r="I101">
        <v>39</v>
      </c>
      <c r="J101">
        <v>453.26666666666671</v>
      </c>
      <c r="K101" t="s">
        <v>1011</v>
      </c>
      <c r="L101">
        <v>0</v>
      </c>
      <c r="M101">
        <v>0</v>
      </c>
      <c r="N101" t="s">
        <v>693</v>
      </c>
    </row>
    <row r="102" spans="2:14" x14ac:dyDescent="0.3">
      <c r="B102" t="s">
        <v>1010</v>
      </c>
      <c r="C102">
        <v>0.1</v>
      </c>
      <c r="D102">
        <v>0</v>
      </c>
      <c r="E102" t="s">
        <v>784</v>
      </c>
      <c r="F102" t="s">
        <v>60</v>
      </c>
      <c r="H102">
        <v>23.244444444444447</v>
      </c>
      <c r="I102">
        <v>20</v>
      </c>
      <c r="J102">
        <v>464.88888888888891</v>
      </c>
      <c r="K102" t="s">
        <v>1011</v>
      </c>
      <c r="L102">
        <v>0</v>
      </c>
      <c r="M102">
        <v>0</v>
      </c>
      <c r="N102" t="s">
        <v>693</v>
      </c>
    </row>
    <row r="103" spans="2:14" x14ac:dyDescent="0.3">
      <c r="B103" t="s">
        <v>1018</v>
      </c>
      <c r="C103">
        <v>0.2</v>
      </c>
      <c r="D103">
        <v>0</v>
      </c>
      <c r="E103" t="s">
        <v>784</v>
      </c>
      <c r="F103" t="s">
        <v>60</v>
      </c>
      <c r="H103">
        <v>2</v>
      </c>
      <c r="I103">
        <v>20</v>
      </c>
      <c r="J103">
        <v>40</v>
      </c>
      <c r="K103" t="s">
        <v>1019</v>
      </c>
      <c r="L103">
        <v>0</v>
      </c>
      <c r="M103">
        <v>0</v>
      </c>
      <c r="N103" t="s">
        <v>693</v>
      </c>
    </row>
    <row r="104" spans="2:14" x14ac:dyDescent="0.3">
      <c r="B104" t="s">
        <v>1012</v>
      </c>
      <c r="C104">
        <v>1</v>
      </c>
      <c r="D104">
        <v>0</v>
      </c>
      <c r="E104" t="s">
        <v>817</v>
      </c>
      <c r="F104" t="s">
        <v>968</v>
      </c>
      <c r="H104">
        <v>22.197777777777777</v>
      </c>
      <c r="I104">
        <v>1000</v>
      </c>
      <c r="J104">
        <v>22197.777777777777</v>
      </c>
      <c r="K104" t="s">
        <v>1013</v>
      </c>
      <c r="L104">
        <v>0</v>
      </c>
      <c r="M104">
        <v>0</v>
      </c>
      <c r="N104" t="s">
        <v>966</v>
      </c>
    </row>
    <row r="105" spans="2:14" x14ac:dyDescent="0.3">
      <c r="B105" t="s">
        <v>1021</v>
      </c>
      <c r="C105">
        <v>942.5</v>
      </c>
      <c r="D105">
        <v>94250</v>
      </c>
      <c r="E105" t="s">
        <v>841</v>
      </c>
      <c r="F105" t="s">
        <v>969</v>
      </c>
      <c r="H105">
        <v>942.5</v>
      </c>
      <c r="I105">
        <v>18.5</v>
      </c>
      <c r="J105">
        <v>17436.25</v>
      </c>
      <c r="K105" t="s">
        <v>1022</v>
      </c>
      <c r="L105">
        <v>94250</v>
      </c>
      <c r="M105">
        <v>1743625</v>
      </c>
      <c r="N105" t="s">
        <v>966</v>
      </c>
    </row>
    <row r="106" spans="2:14" x14ac:dyDescent="0.3">
      <c r="B106" t="s">
        <v>1014</v>
      </c>
      <c r="C106">
        <v>1</v>
      </c>
      <c r="D106">
        <v>0</v>
      </c>
      <c r="E106" t="s">
        <v>820</v>
      </c>
      <c r="F106" t="s">
        <v>969</v>
      </c>
      <c r="H106">
        <v>596.88888888888891</v>
      </c>
      <c r="I106">
        <v>25</v>
      </c>
      <c r="J106">
        <v>14922.222222222223</v>
      </c>
      <c r="K106" t="s">
        <v>1015</v>
      </c>
      <c r="L106">
        <v>0</v>
      </c>
      <c r="M106">
        <v>0</v>
      </c>
      <c r="N106" t="s">
        <v>966</v>
      </c>
    </row>
    <row r="107" spans="2:14" x14ac:dyDescent="0.3">
      <c r="B107" t="s">
        <v>1014</v>
      </c>
      <c r="C107">
        <v>1</v>
      </c>
      <c r="D107">
        <v>0</v>
      </c>
      <c r="E107" t="s">
        <v>819</v>
      </c>
      <c r="F107" t="s">
        <v>968</v>
      </c>
      <c r="H107">
        <v>581.80666666666673</v>
      </c>
      <c r="I107">
        <v>20</v>
      </c>
      <c r="J107">
        <v>11636.133333333335</v>
      </c>
      <c r="K107" t="s">
        <v>1015</v>
      </c>
      <c r="L107">
        <v>0</v>
      </c>
      <c r="M107">
        <v>0</v>
      </c>
      <c r="N107" t="s">
        <v>966</v>
      </c>
    </row>
    <row r="108" spans="2:14" x14ac:dyDescent="0.3">
      <c r="B108" t="s">
        <v>1016</v>
      </c>
      <c r="C108">
        <v>0.5</v>
      </c>
      <c r="D108">
        <v>0</v>
      </c>
      <c r="E108" t="s">
        <v>822</v>
      </c>
      <c r="F108" t="s">
        <v>82</v>
      </c>
      <c r="H108">
        <v>432.72222222222223</v>
      </c>
      <c r="I108">
        <v>23</v>
      </c>
      <c r="J108">
        <v>9952.6111111111113</v>
      </c>
      <c r="K108" t="s">
        <v>1017</v>
      </c>
      <c r="L108">
        <v>0</v>
      </c>
      <c r="M108">
        <v>0</v>
      </c>
      <c r="N108" t="s">
        <v>966</v>
      </c>
    </row>
    <row r="109" spans="2:14" x14ac:dyDescent="0.3">
      <c r="B109" t="s">
        <v>1018</v>
      </c>
      <c r="C109">
        <v>0.2</v>
      </c>
      <c r="D109">
        <v>0</v>
      </c>
      <c r="E109" t="s">
        <v>824</v>
      </c>
      <c r="F109" t="s">
        <v>969</v>
      </c>
      <c r="H109">
        <v>0.2</v>
      </c>
      <c r="I109">
        <v>18000</v>
      </c>
      <c r="J109">
        <v>3600</v>
      </c>
      <c r="K109" t="s">
        <v>1019</v>
      </c>
      <c r="L109">
        <v>0</v>
      </c>
      <c r="M109">
        <v>0</v>
      </c>
      <c r="N109" t="s">
        <v>693</v>
      </c>
    </row>
    <row r="110" spans="2:14" x14ac:dyDescent="0.3">
      <c r="B110" t="s">
        <v>988</v>
      </c>
      <c r="C110">
        <v>0.2</v>
      </c>
      <c r="D110">
        <v>0</v>
      </c>
      <c r="E110" t="s">
        <v>838</v>
      </c>
      <c r="F110" t="s">
        <v>928</v>
      </c>
      <c r="H110">
        <v>0.42695555555555559</v>
      </c>
      <c r="I110">
        <v>3500</v>
      </c>
      <c r="J110">
        <v>1494.3444444444447</v>
      </c>
      <c r="K110" t="s">
        <v>1020</v>
      </c>
      <c r="L110">
        <v>0</v>
      </c>
      <c r="M110">
        <v>0</v>
      </c>
      <c r="N110" t="s">
        <v>693</v>
      </c>
    </row>
    <row r="111" spans="2:14" x14ac:dyDescent="0.3">
      <c r="B111" t="s">
        <v>988</v>
      </c>
      <c r="C111">
        <v>0.2</v>
      </c>
      <c r="D111">
        <v>0</v>
      </c>
      <c r="E111" t="s">
        <v>839</v>
      </c>
      <c r="F111" t="s">
        <v>928</v>
      </c>
      <c r="H111">
        <v>0.21347777777777779</v>
      </c>
      <c r="I111">
        <v>3500</v>
      </c>
      <c r="J111">
        <v>747.17222222222233</v>
      </c>
      <c r="K111" t="s">
        <v>1020</v>
      </c>
      <c r="L111">
        <v>0</v>
      </c>
      <c r="M111">
        <v>0</v>
      </c>
      <c r="N111" t="s">
        <v>693</v>
      </c>
    </row>
    <row r="112" spans="2:14" x14ac:dyDescent="0.3">
      <c r="B112" t="s">
        <v>988</v>
      </c>
      <c r="C112">
        <v>0.2</v>
      </c>
      <c r="D112">
        <v>0</v>
      </c>
      <c r="E112" t="s">
        <v>837</v>
      </c>
      <c r="F112" t="s">
        <v>928</v>
      </c>
      <c r="H112">
        <v>2.0493866666666669</v>
      </c>
      <c r="I112">
        <v>4950</v>
      </c>
      <c r="J112">
        <v>10144.464000000002</v>
      </c>
      <c r="K112" t="s">
        <v>1020</v>
      </c>
      <c r="L112">
        <v>0</v>
      </c>
      <c r="M112">
        <v>0</v>
      </c>
      <c r="N112" t="s">
        <v>693</v>
      </c>
    </row>
    <row r="113" spans="1:14" x14ac:dyDescent="0.3">
      <c r="B113" t="s">
        <v>988</v>
      </c>
      <c r="C113">
        <v>0.2</v>
      </c>
      <c r="D113">
        <v>0</v>
      </c>
      <c r="E113" t="s">
        <v>836</v>
      </c>
      <c r="F113" t="s">
        <v>928</v>
      </c>
      <c r="H113">
        <v>40.987733333333331</v>
      </c>
      <c r="I113">
        <v>180</v>
      </c>
      <c r="J113">
        <v>7377.7919999999995</v>
      </c>
      <c r="K113" t="s">
        <v>1020</v>
      </c>
      <c r="L113">
        <v>0</v>
      </c>
      <c r="M113">
        <v>0</v>
      </c>
      <c r="N113" t="s">
        <v>693</v>
      </c>
    </row>
    <row r="114" spans="1:14" x14ac:dyDescent="0.3">
      <c r="B114" t="s">
        <v>991</v>
      </c>
      <c r="C114">
        <v>8000</v>
      </c>
      <c r="D114">
        <v>453600</v>
      </c>
      <c r="E114" t="s">
        <v>849</v>
      </c>
      <c r="F114" t="s">
        <v>347</v>
      </c>
      <c r="G114">
        <v>1</v>
      </c>
      <c r="H114">
        <v>1.3636363636363635</v>
      </c>
      <c r="I114">
        <v>740.73333333333335</v>
      </c>
      <c r="J114">
        <v>1010.090909090909</v>
      </c>
      <c r="K114" t="s">
        <v>1023</v>
      </c>
      <c r="L114">
        <v>77.318181818181813</v>
      </c>
      <c r="M114">
        <v>57272.154545454541</v>
      </c>
      <c r="N114" t="s">
        <v>685</v>
      </c>
    </row>
    <row r="115" spans="1:14" x14ac:dyDescent="0.3">
      <c r="A115" t="s">
        <v>686</v>
      </c>
      <c r="B115" t="s">
        <v>991</v>
      </c>
      <c r="C115">
        <v>8000</v>
      </c>
      <c r="D115">
        <v>453600</v>
      </c>
      <c r="I115">
        <v>0.30068181818181805</v>
      </c>
      <c r="J115">
        <v>2405.4545454545446</v>
      </c>
      <c r="K115" t="s">
        <v>1023</v>
      </c>
      <c r="L115">
        <v>453600.00000000006</v>
      </c>
      <c r="M115">
        <v>136389.27272727268</v>
      </c>
    </row>
    <row r="116" spans="1:14" x14ac:dyDescent="0.3">
      <c r="B116" t="s">
        <v>991</v>
      </c>
      <c r="C116">
        <v>8000</v>
      </c>
      <c r="D116">
        <v>453600</v>
      </c>
      <c r="E116" t="s">
        <v>288</v>
      </c>
      <c r="F116" t="s">
        <v>176</v>
      </c>
      <c r="H116">
        <v>343.63636363636351</v>
      </c>
      <c r="I116">
        <v>7</v>
      </c>
      <c r="J116">
        <v>2405.4545454545446</v>
      </c>
      <c r="K116" t="s">
        <v>1023</v>
      </c>
      <c r="L116">
        <v>19484.181818181813</v>
      </c>
      <c r="M116">
        <v>136389.27272727268</v>
      </c>
      <c r="N116" t="s">
        <v>686</v>
      </c>
    </row>
    <row r="117" spans="1:14" x14ac:dyDescent="0.3">
      <c r="A117" t="s">
        <v>692</v>
      </c>
      <c r="B117" t="s">
        <v>991</v>
      </c>
      <c r="C117">
        <v>8000</v>
      </c>
      <c r="D117">
        <v>453600</v>
      </c>
      <c r="I117">
        <v>0.69354498950019472</v>
      </c>
      <c r="J117">
        <v>5548.3599160015574</v>
      </c>
      <c r="K117" t="s">
        <v>1023</v>
      </c>
      <c r="L117">
        <v>453600</v>
      </c>
      <c r="M117">
        <v>314592.00723728834</v>
      </c>
    </row>
    <row r="118" spans="1:14" x14ac:dyDescent="0.3">
      <c r="B118" t="s">
        <v>991</v>
      </c>
      <c r="C118">
        <v>8000</v>
      </c>
      <c r="D118">
        <v>453600</v>
      </c>
      <c r="E118" t="s">
        <v>850</v>
      </c>
      <c r="F118" t="s">
        <v>945</v>
      </c>
      <c r="G118">
        <v>3</v>
      </c>
      <c r="H118">
        <v>10</v>
      </c>
      <c r="I118">
        <v>37.466726747128675</v>
      </c>
      <c r="J118">
        <v>1124.0018024138603</v>
      </c>
      <c r="K118" t="s">
        <v>1023</v>
      </c>
      <c r="L118">
        <v>1701.0000000000002</v>
      </c>
      <c r="M118">
        <v>63730.902196865885</v>
      </c>
      <c r="N118" t="s">
        <v>692</v>
      </c>
    </row>
    <row r="119" spans="1:14" x14ac:dyDescent="0.3">
      <c r="B119" t="s">
        <v>991</v>
      </c>
      <c r="C119">
        <v>8000</v>
      </c>
      <c r="D119">
        <v>453600</v>
      </c>
      <c r="E119" t="s">
        <v>851</v>
      </c>
      <c r="F119" t="s">
        <v>945</v>
      </c>
      <c r="G119">
        <v>1</v>
      </c>
      <c r="H119">
        <v>10</v>
      </c>
      <c r="I119">
        <v>35.57167850885731</v>
      </c>
      <c r="J119">
        <v>355.71678508857309</v>
      </c>
      <c r="K119" t="s">
        <v>1023</v>
      </c>
      <c r="L119">
        <v>567</v>
      </c>
      <c r="M119">
        <v>20169.141714522095</v>
      </c>
      <c r="N119" t="s">
        <v>692</v>
      </c>
    </row>
    <row r="120" spans="1:14" x14ac:dyDescent="0.3">
      <c r="B120" t="s">
        <v>991</v>
      </c>
      <c r="C120">
        <v>8000</v>
      </c>
      <c r="D120">
        <v>453600</v>
      </c>
      <c r="E120" t="s">
        <v>852</v>
      </c>
      <c r="F120" t="s">
        <v>945</v>
      </c>
      <c r="G120">
        <v>1</v>
      </c>
      <c r="H120">
        <v>10</v>
      </c>
      <c r="I120">
        <v>39.212114074362468</v>
      </c>
      <c r="J120">
        <v>392.12114074362466</v>
      </c>
      <c r="K120" t="s">
        <v>1023</v>
      </c>
      <c r="L120">
        <v>567</v>
      </c>
      <c r="M120">
        <v>22233.268680163521</v>
      </c>
      <c r="N120" t="s">
        <v>692</v>
      </c>
    </row>
    <row r="121" spans="1:14" x14ac:dyDescent="0.3">
      <c r="B121" t="s">
        <v>991</v>
      </c>
      <c r="C121">
        <v>8000</v>
      </c>
      <c r="D121">
        <v>453600</v>
      </c>
      <c r="E121" t="s">
        <v>361</v>
      </c>
      <c r="F121" t="s">
        <v>945</v>
      </c>
      <c r="G121">
        <v>6</v>
      </c>
      <c r="H121">
        <v>10</v>
      </c>
      <c r="I121">
        <v>26.579984100642395</v>
      </c>
      <c r="J121">
        <v>1594.7990460385436</v>
      </c>
      <c r="K121" t="s">
        <v>1023</v>
      </c>
      <c r="L121">
        <v>3401.9999999999995</v>
      </c>
      <c r="M121">
        <v>90425.10591038542</v>
      </c>
      <c r="N121" t="s">
        <v>692</v>
      </c>
    </row>
    <row r="122" spans="1:14" x14ac:dyDescent="0.3">
      <c r="B122" t="s">
        <v>991</v>
      </c>
      <c r="C122">
        <v>8000</v>
      </c>
      <c r="D122">
        <v>453600</v>
      </c>
      <c r="E122" t="s">
        <v>882</v>
      </c>
      <c r="F122" t="s">
        <v>945</v>
      </c>
      <c r="G122">
        <v>2</v>
      </c>
      <c r="H122">
        <v>10</v>
      </c>
      <c r="I122">
        <v>40.846875705664786</v>
      </c>
      <c r="J122">
        <v>816.93751411329572</v>
      </c>
      <c r="K122" t="s">
        <v>1023</v>
      </c>
      <c r="L122">
        <v>1134</v>
      </c>
      <c r="M122">
        <v>46320.357050223865</v>
      </c>
      <c r="N122" t="s">
        <v>692</v>
      </c>
    </row>
    <row r="123" spans="1:14" x14ac:dyDescent="0.3">
      <c r="B123" t="s">
        <v>991</v>
      </c>
      <c r="C123">
        <v>8000</v>
      </c>
      <c r="D123">
        <v>453600</v>
      </c>
      <c r="E123" t="s">
        <v>854</v>
      </c>
      <c r="F123" t="s">
        <v>945</v>
      </c>
      <c r="G123">
        <v>3</v>
      </c>
      <c r="H123">
        <v>10</v>
      </c>
      <c r="I123">
        <v>42.159454253455323</v>
      </c>
      <c r="J123">
        <v>1264.7836276036596</v>
      </c>
      <c r="K123" t="s">
        <v>1023</v>
      </c>
      <c r="L123">
        <v>1701</v>
      </c>
      <c r="M123">
        <v>71713.23168512751</v>
      </c>
      <c r="N123" t="s">
        <v>692</v>
      </c>
    </row>
    <row r="124" spans="1:14" x14ac:dyDescent="0.3">
      <c r="A124" t="s">
        <v>693</v>
      </c>
      <c r="B124" t="s">
        <v>1024</v>
      </c>
      <c r="C124">
        <v>504</v>
      </c>
      <c r="D124">
        <v>87750</v>
      </c>
      <c r="I124">
        <v>15.35</v>
      </c>
      <c r="J124">
        <v>7736.4</v>
      </c>
      <c r="K124" t="s">
        <v>1025</v>
      </c>
      <c r="L124">
        <v>87750</v>
      </c>
      <c r="M124">
        <v>1346962.5</v>
      </c>
    </row>
    <row r="125" spans="1:14" x14ac:dyDescent="0.3">
      <c r="B125" t="s">
        <v>1024</v>
      </c>
      <c r="C125">
        <v>504</v>
      </c>
      <c r="D125">
        <v>87750</v>
      </c>
      <c r="E125" t="s">
        <v>856</v>
      </c>
      <c r="F125" t="s">
        <v>968</v>
      </c>
      <c r="H125">
        <v>504</v>
      </c>
      <c r="I125">
        <v>15.35</v>
      </c>
      <c r="J125">
        <v>7736.4</v>
      </c>
      <c r="K125" t="s">
        <v>1025</v>
      </c>
      <c r="L125">
        <v>87750</v>
      </c>
      <c r="M125">
        <v>1346962.5</v>
      </c>
      <c r="N125" t="s">
        <v>966</v>
      </c>
    </row>
    <row r="126" spans="1:14" x14ac:dyDescent="0.3">
      <c r="A126" t="s">
        <v>752</v>
      </c>
      <c r="B126" t="s">
        <v>989</v>
      </c>
      <c r="C126">
        <v>3</v>
      </c>
      <c r="D126">
        <v>0</v>
      </c>
      <c r="I126">
        <v>636.36363636363637</v>
      </c>
      <c r="J126">
        <v>1909.090909090909</v>
      </c>
      <c r="K126" t="s">
        <v>1026</v>
      </c>
      <c r="L126">
        <v>0</v>
      </c>
      <c r="M126">
        <v>0</v>
      </c>
    </row>
    <row r="127" spans="1:14" x14ac:dyDescent="0.3">
      <c r="B127" t="s">
        <v>989</v>
      </c>
      <c r="C127">
        <v>3</v>
      </c>
      <c r="D127">
        <v>0</v>
      </c>
      <c r="E127" t="s">
        <v>861</v>
      </c>
      <c r="F127" t="s">
        <v>347</v>
      </c>
      <c r="G127">
        <v>2</v>
      </c>
      <c r="H127">
        <v>1.3636363636363635</v>
      </c>
      <c r="I127">
        <v>416.66666666666669</v>
      </c>
      <c r="J127">
        <v>1136.3636363636363</v>
      </c>
      <c r="K127" t="s">
        <v>1026</v>
      </c>
      <c r="L127">
        <v>0</v>
      </c>
      <c r="M127">
        <v>0</v>
      </c>
      <c r="N127" t="s">
        <v>685</v>
      </c>
    </row>
    <row r="128" spans="1:14" x14ac:dyDescent="0.3">
      <c r="B128" t="s">
        <v>989</v>
      </c>
      <c r="C128">
        <v>3</v>
      </c>
      <c r="D128">
        <v>0</v>
      </c>
      <c r="E128" t="s">
        <v>863</v>
      </c>
      <c r="F128" t="s">
        <v>347</v>
      </c>
      <c r="G128">
        <v>4</v>
      </c>
      <c r="H128">
        <v>1.3636363636363635</v>
      </c>
      <c r="I128">
        <v>16.666666666666668</v>
      </c>
      <c r="J128">
        <v>90.909090909090907</v>
      </c>
      <c r="K128" t="s">
        <v>1026</v>
      </c>
      <c r="L128">
        <v>0</v>
      </c>
      <c r="M128">
        <v>0</v>
      </c>
      <c r="N128" t="s">
        <v>685</v>
      </c>
    </row>
    <row r="129" spans="1:14" x14ac:dyDescent="0.3">
      <c r="B129" t="s">
        <v>989</v>
      </c>
      <c r="C129">
        <v>3</v>
      </c>
      <c r="D129">
        <v>0</v>
      </c>
      <c r="E129" t="s">
        <v>757</v>
      </c>
      <c r="F129" t="s">
        <v>347</v>
      </c>
      <c r="G129">
        <v>1</v>
      </c>
      <c r="H129">
        <v>1.3636363636363635</v>
      </c>
      <c r="I129">
        <v>500</v>
      </c>
      <c r="J129">
        <v>681.81818181818176</v>
      </c>
      <c r="K129" t="s">
        <v>1026</v>
      </c>
      <c r="L129">
        <v>0</v>
      </c>
      <c r="M129">
        <v>0</v>
      </c>
      <c r="N129" t="s">
        <v>685</v>
      </c>
    </row>
    <row r="130" spans="1:14" x14ac:dyDescent="0.3">
      <c r="A130" t="s">
        <v>686</v>
      </c>
      <c r="B130" t="s">
        <v>989</v>
      </c>
      <c r="C130">
        <v>3</v>
      </c>
      <c r="D130">
        <v>0</v>
      </c>
      <c r="I130">
        <v>608</v>
      </c>
      <c r="J130">
        <v>1824</v>
      </c>
      <c r="K130" t="s">
        <v>1026</v>
      </c>
      <c r="L130">
        <v>0</v>
      </c>
      <c r="M130">
        <v>0</v>
      </c>
    </row>
    <row r="131" spans="1:14" x14ac:dyDescent="0.3">
      <c r="B131" t="s">
        <v>989</v>
      </c>
      <c r="C131">
        <v>3</v>
      </c>
      <c r="D131">
        <v>0</v>
      </c>
      <c r="E131" t="s">
        <v>288</v>
      </c>
      <c r="F131" t="s">
        <v>176</v>
      </c>
      <c r="H131">
        <v>253.09090909090909</v>
      </c>
      <c r="I131">
        <v>7</v>
      </c>
      <c r="J131">
        <v>1771.6363636363637</v>
      </c>
      <c r="K131" t="s">
        <v>1026</v>
      </c>
      <c r="L131">
        <v>0</v>
      </c>
      <c r="M131">
        <v>0</v>
      </c>
      <c r="N131" t="s">
        <v>686</v>
      </c>
    </row>
    <row r="132" spans="1:14" x14ac:dyDescent="0.3">
      <c r="B132" t="s">
        <v>989</v>
      </c>
      <c r="C132">
        <v>3</v>
      </c>
      <c r="D132">
        <v>0</v>
      </c>
      <c r="E132" t="s">
        <v>175</v>
      </c>
      <c r="F132" t="s">
        <v>176</v>
      </c>
      <c r="H132">
        <v>8.7272727272727266</v>
      </c>
      <c r="I132">
        <v>6</v>
      </c>
      <c r="J132">
        <v>52.36363636363636</v>
      </c>
      <c r="K132" t="s">
        <v>1026</v>
      </c>
      <c r="L132">
        <v>0</v>
      </c>
      <c r="M132">
        <v>0</v>
      </c>
      <c r="N132" t="s">
        <v>686</v>
      </c>
    </row>
    <row r="133" spans="1:14" x14ac:dyDescent="0.3">
      <c r="A133" t="s">
        <v>692</v>
      </c>
      <c r="B133" t="s">
        <v>989</v>
      </c>
      <c r="C133">
        <v>3</v>
      </c>
      <c r="D133">
        <v>0</v>
      </c>
      <c r="I133">
        <v>1015.422863295698</v>
      </c>
      <c r="J133">
        <v>3046.2685898870941</v>
      </c>
      <c r="K133" t="s">
        <v>1026</v>
      </c>
      <c r="L133">
        <v>0</v>
      </c>
      <c r="M133">
        <v>0</v>
      </c>
    </row>
    <row r="134" spans="1:14" x14ac:dyDescent="0.3">
      <c r="B134" t="s">
        <v>989</v>
      </c>
      <c r="C134">
        <v>3</v>
      </c>
      <c r="D134">
        <v>0</v>
      </c>
      <c r="E134" t="s">
        <v>869</v>
      </c>
      <c r="F134" t="s">
        <v>945</v>
      </c>
      <c r="G134">
        <v>2</v>
      </c>
      <c r="H134">
        <v>10</v>
      </c>
      <c r="I134">
        <v>33.958689507494654</v>
      </c>
      <c r="J134">
        <v>679.17379014989308</v>
      </c>
      <c r="K134" t="s">
        <v>1026</v>
      </c>
      <c r="L134">
        <v>0</v>
      </c>
      <c r="M134">
        <v>0</v>
      </c>
      <c r="N134" t="s">
        <v>692</v>
      </c>
    </row>
    <row r="135" spans="1:14" x14ac:dyDescent="0.3">
      <c r="B135" t="s">
        <v>989</v>
      </c>
      <c r="C135">
        <v>3</v>
      </c>
      <c r="D135">
        <v>0</v>
      </c>
      <c r="E135" t="s">
        <v>870</v>
      </c>
      <c r="F135" t="s">
        <v>945</v>
      </c>
      <c r="G135">
        <v>1</v>
      </c>
      <c r="H135">
        <v>10</v>
      </c>
      <c r="I135">
        <v>35.621612998832006</v>
      </c>
      <c r="J135">
        <v>356.21612998832006</v>
      </c>
      <c r="K135" t="s">
        <v>1026</v>
      </c>
      <c r="L135">
        <v>0</v>
      </c>
      <c r="M135">
        <v>0</v>
      </c>
      <c r="N135" t="s">
        <v>692</v>
      </c>
    </row>
    <row r="136" spans="1:14" x14ac:dyDescent="0.3">
      <c r="B136" t="s">
        <v>989</v>
      </c>
      <c r="C136">
        <v>3</v>
      </c>
      <c r="D136">
        <v>0</v>
      </c>
      <c r="E136" t="s">
        <v>361</v>
      </c>
      <c r="F136" t="s">
        <v>945</v>
      </c>
      <c r="G136">
        <v>2</v>
      </c>
      <c r="H136">
        <v>10</v>
      </c>
      <c r="I136">
        <v>26.579984100642395</v>
      </c>
      <c r="J136">
        <v>531.59968201284789</v>
      </c>
      <c r="K136" t="s">
        <v>1026</v>
      </c>
      <c r="L136">
        <v>0</v>
      </c>
      <c r="M136">
        <v>0</v>
      </c>
      <c r="N136" t="s">
        <v>692</v>
      </c>
    </row>
    <row r="137" spans="1:14" x14ac:dyDescent="0.3">
      <c r="B137" t="s">
        <v>989</v>
      </c>
      <c r="C137">
        <v>3</v>
      </c>
      <c r="D137">
        <v>0</v>
      </c>
      <c r="E137" t="s">
        <v>871</v>
      </c>
      <c r="F137" t="s">
        <v>945</v>
      </c>
      <c r="G137">
        <v>4</v>
      </c>
      <c r="H137">
        <v>10</v>
      </c>
      <c r="I137">
        <v>36.981974693400822</v>
      </c>
      <c r="J137">
        <v>1479.2789877360328</v>
      </c>
      <c r="K137" t="s">
        <v>1026</v>
      </c>
      <c r="L137">
        <v>0</v>
      </c>
      <c r="M137">
        <v>0</v>
      </c>
      <c r="N137" t="s">
        <v>692</v>
      </c>
    </row>
    <row r="138" spans="1:14" x14ac:dyDescent="0.3">
      <c r="A138" t="s">
        <v>752</v>
      </c>
      <c r="B138" t="s">
        <v>989</v>
      </c>
      <c r="C138">
        <v>4.2560000000000002</v>
      </c>
      <c r="D138">
        <v>0</v>
      </c>
      <c r="I138">
        <v>267.00273410799724</v>
      </c>
      <c r="J138">
        <v>1136.3636363636363</v>
      </c>
      <c r="K138" t="s">
        <v>1027</v>
      </c>
      <c r="L138">
        <v>0</v>
      </c>
      <c r="M138">
        <v>0</v>
      </c>
    </row>
    <row r="139" spans="1:14" x14ac:dyDescent="0.3">
      <c r="B139" t="s">
        <v>989</v>
      </c>
      <c r="C139">
        <v>4.2560000000000002</v>
      </c>
      <c r="D139">
        <v>0</v>
      </c>
      <c r="E139" t="s">
        <v>861</v>
      </c>
      <c r="F139" t="s">
        <v>347</v>
      </c>
      <c r="G139">
        <v>2</v>
      </c>
      <c r="H139">
        <v>1.3636363636363635</v>
      </c>
      <c r="I139">
        <v>416.66666666666669</v>
      </c>
      <c r="J139">
        <v>1136.3636363636363</v>
      </c>
      <c r="K139" t="s">
        <v>1027</v>
      </c>
      <c r="L139">
        <v>0</v>
      </c>
      <c r="M139">
        <v>0</v>
      </c>
      <c r="N139" t="s">
        <v>685</v>
      </c>
    </row>
    <row r="140" spans="1:14" x14ac:dyDescent="0.3">
      <c r="A140" t="s">
        <v>686</v>
      </c>
      <c r="B140" t="s">
        <v>989</v>
      </c>
      <c r="C140">
        <v>4.2560000000000002</v>
      </c>
      <c r="D140">
        <v>0</v>
      </c>
      <c r="I140">
        <v>344.49760765550241</v>
      </c>
      <c r="J140">
        <v>1466.1818181818182</v>
      </c>
      <c r="K140" t="s">
        <v>1027</v>
      </c>
      <c r="L140">
        <v>0</v>
      </c>
      <c r="M140">
        <v>0</v>
      </c>
    </row>
    <row r="141" spans="1:14" x14ac:dyDescent="0.3">
      <c r="B141" t="s">
        <v>989</v>
      </c>
      <c r="C141">
        <v>4.2560000000000002</v>
      </c>
      <c r="D141">
        <v>0</v>
      </c>
      <c r="E141" t="s">
        <v>288</v>
      </c>
      <c r="F141" t="s">
        <v>176</v>
      </c>
      <c r="H141">
        <v>209.45454545454547</v>
      </c>
      <c r="I141">
        <v>7</v>
      </c>
      <c r="J141">
        <v>1466.1818181818182</v>
      </c>
      <c r="K141" t="s">
        <v>1027</v>
      </c>
      <c r="L141">
        <v>0</v>
      </c>
      <c r="M141">
        <v>0</v>
      </c>
      <c r="N141" t="s">
        <v>686</v>
      </c>
    </row>
    <row r="142" spans="1:14" x14ac:dyDescent="0.3">
      <c r="A142" t="s">
        <v>692</v>
      </c>
      <c r="B142" t="s">
        <v>989</v>
      </c>
      <c r="C142">
        <v>4.2560000000000002</v>
      </c>
      <c r="D142">
        <v>0</v>
      </c>
      <c r="I142">
        <v>207.45440018676246</v>
      </c>
      <c r="J142">
        <v>882.92592719486106</v>
      </c>
      <c r="K142" t="s">
        <v>1027</v>
      </c>
      <c r="L142">
        <v>0</v>
      </c>
      <c r="M142">
        <v>0</v>
      </c>
    </row>
    <row r="143" spans="1:14" x14ac:dyDescent="0.3">
      <c r="B143" t="s">
        <v>989</v>
      </c>
      <c r="C143">
        <v>4.2560000000000002</v>
      </c>
      <c r="D143">
        <v>0</v>
      </c>
      <c r="E143" t="s">
        <v>869</v>
      </c>
      <c r="F143" t="s">
        <v>945</v>
      </c>
      <c r="G143">
        <v>2</v>
      </c>
      <c r="H143">
        <v>13</v>
      </c>
      <c r="I143">
        <v>33.958689507494654</v>
      </c>
      <c r="J143">
        <v>882.92592719486106</v>
      </c>
      <c r="K143" t="s">
        <v>1027</v>
      </c>
      <c r="L143">
        <v>0</v>
      </c>
      <c r="M143">
        <v>0</v>
      </c>
      <c r="N143" t="s">
        <v>692</v>
      </c>
    </row>
    <row r="144" spans="1:14" x14ac:dyDescent="0.3">
      <c r="A144" t="s">
        <v>752</v>
      </c>
      <c r="B144" t="s">
        <v>989</v>
      </c>
      <c r="C144">
        <v>1.0640000000000001</v>
      </c>
      <c r="D144">
        <v>0</v>
      </c>
      <c r="I144">
        <v>85.440874914559117</v>
      </c>
      <c r="J144">
        <v>90.909090909090907</v>
      </c>
      <c r="K144" t="s">
        <v>1028</v>
      </c>
      <c r="L144">
        <v>0</v>
      </c>
      <c r="M144">
        <v>0</v>
      </c>
    </row>
    <row r="145" spans="1:14" x14ac:dyDescent="0.3">
      <c r="B145" t="s">
        <v>989</v>
      </c>
      <c r="C145">
        <v>1.0640000000000001</v>
      </c>
      <c r="D145">
        <v>0</v>
      </c>
      <c r="E145" t="s">
        <v>863</v>
      </c>
      <c r="F145" t="s">
        <v>347</v>
      </c>
      <c r="G145">
        <v>4</v>
      </c>
      <c r="H145">
        <v>1.3636363636363635</v>
      </c>
      <c r="I145">
        <v>16.666666666666668</v>
      </c>
      <c r="J145">
        <v>90.909090909090907</v>
      </c>
      <c r="K145" t="s">
        <v>1028</v>
      </c>
      <c r="L145">
        <v>0</v>
      </c>
      <c r="M145">
        <v>0</v>
      </c>
      <c r="N145" t="s">
        <v>685</v>
      </c>
    </row>
    <row r="146" spans="1:14" x14ac:dyDescent="0.3">
      <c r="A146" t="s">
        <v>686</v>
      </c>
      <c r="B146" t="s">
        <v>989</v>
      </c>
      <c r="C146">
        <v>1.0640000000000001</v>
      </c>
      <c r="D146">
        <v>0</v>
      </c>
      <c r="I146">
        <v>172.2488038277512</v>
      </c>
      <c r="J146">
        <v>183.27272727272728</v>
      </c>
      <c r="K146" t="s">
        <v>1028</v>
      </c>
      <c r="L146">
        <v>0</v>
      </c>
      <c r="M146">
        <v>0</v>
      </c>
    </row>
    <row r="147" spans="1:14" x14ac:dyDescent="0.3">
      <c r="B147" t="s">
        <v>989</v>
      </c>
      <c r="C147">
        <v>1.0640000000000001</v>
      </c>
      <c r="D147">
        <v>0</v>
      </c>
      <c r="E147" t="s">
        <v>288</v>
      </c>
      <c r="F147" t="s">
        <v>176</v>
      </c>
      <c r="H147">
        <v>26.181818181818183</v>
      </c>
      <c r="I147">
        <v>7</v>
      </c>
      <c r="J147">
        <v>183.27272727272728</v>
      </c>
      <c r="K147" t="s">
        <v>1028</v>
      </c>
      <c r="L147">
        <v>0</v>
      </c>
      <c r="M147">
        <v>0</v>
      </c>
      <c r="N147" t="s">
        <v>686</v>
      </c>
    </row>
    <row r="148" spans="1:14" x14ac:dyDescent="0.3">
      <c r="A148" t="s">
        <v>692</v>
      </c>
      <c r="B148" t="s">
        <v>989</v>
      </c>
      <c r="C148">
        <v>1.0640000000000001</v>
      </c>
      <c r="D148">
        <v>0</v>
      </c>
      <c r="I148">
        <v>1889.9235617940608</v>
      </c>
      <c r="J148">
        <v>2010.8786697488808</v>
      </c>
      <c r="K148" t="s">
        <v>1028</v>
      </c>
      <c r="L148">
        <v>0</v>
      </c>
      <c r="M148">
        <v>0</v>
      </c>
    </row>
    <row r="149" spans="1:14" x14ac:dyDescent="0.3">
      <c r="B149" t="s">
        <v>989</v>
      </c>
      <c r="C149">
        <v>1.0640000000000001</v>
      </c>
      <c r="D149">
        <v>0</v>
      </c>
      <c r="E149" t="s">
        <v>361</v>
      </c>
      <c r="F149" t="s">
        <v>945</v>
      </c>
      <c r="G149">
        <v>2</v>
      </c>
      <c r="H149">
        <v>10</v>
      </c>
      <c r="I149">
        <v>26.579984100642395</v>
      </c>
      <c r="J149">
        <v>531.59968201284789</v>
      </c>
      <c r="K149" t="s">
        <v>1028</v>
      </c>
      <c r="L149">
        <v>0</v>
      </c>
      <c r="M149">
        <v>0</v>
      </c>
      <c r="N149" t="s">
        <v>692</v>
      </c>
    </row>
    <row r="150" spans="1:14" x14ac:dyDescent="0.3">
      <c r="B150" t="s">
        <v>989</v>
      </c>
      <c r="C150">
        <v>1.0640000000000001</v>
      </c>
      <c r="D150">
        <v>0</v>
      </c>
      <c r="E150" t="s">
        <v>871</v>
      </c>
      <c r="F150" t="s">
        <v>945</v>
      </c>
      <c r="G150">
        <v>4</v>
      </c>
      <c r="H150">
        <v>10</v>
      </c>
      <c r="I150">
        <v>36.981974693400822</v>
      </c>
      <c r="J150">
        <v>1479.2789877360328</v>
      </c>
      <c r="K150" t="s">
        <v>1028</v>
      </c>
      <c r="L150">
        <v>0</v>
      </c>
      <c r="M150">
        <v>0</v>
      </c>
      <c r="N150" t="s">
        <v>692</v>
      </c>
    </row>
    <row r="151" spans="1:14" x14ac:dyDescent="0.3">
      <c r="A151" t="s">
        <v>693</v>
      </c>
      <c r="B151" t="s">
        <v>1029</v>
      </c>
      <c r="C151">
        <v>3</v>
      </c>
      <c r="D151">
        <v>4</v>
      </c>
      <c r="I151">
        <v>1059620.6621999999</v>
      </c>
      <c r="J151">
        <v>3178861.9865999995</v>
      </c>
      <c r="K151" t="s">
        <v>1030</v>
      </c>
      <c r="L151">
        <v>4</v>
      </c>
      <c r="M151">
        <v>4238482.6487999996</v>
      </c>
    </row>
    <row r="152" spans="1:14" x14ac:dyDescent="0.3">
      <c r="B152" t="s">
        <v>1029</v>
      </c>
      <c r="C152">
        <v>3</v>
      </c>
      <c r="D152">
        <v>4</v>
      </c>
      <c r="E152" t="s">
        <v>876</v>
      </c>
      <c r="F152" t="s">
        <v>194</v>
      </c>
      <c r="H152">
        <v>3178861.9865999995</v>
      </c>
      <c r="I152">
        <v>1</v>
      </c>
      <c r="J152">
        <v>3178861.9865999995</v>
      </c>
      <c r="K152" t="s">
        <v>1030</v>
      </c>
      <c r="L152">
        <v>4238482.6487999987</v>
      </c>
      <c r="M152">
        <v>4238482.6487999987</v>
      </c>
      <c r="N152" t="s">
        <v>964</v>
      </c>
    </row>
    <row r="153" spans="1:14" x14ac:dyDescent="0.3">
      <c r="A153" t="s">
        <v>752</v>
      </c>
      <c r="B153" t="s">
        <v>987</v>
      </c>
      <c r="C153">
        <v>350</v>
      </c>
      <c r="D153">
        <v>44200</v>
      </c>
      <c r="I153">
        <v>12.922077922077923</v>
      </c>
      <c r="J153">
        <v>4522.727272727273</v>
      </c>
      <c r="K153" t="s">
        <v>1031</v>
      </c>
      <c r="L153">
        <v>44200</v>
      </c>
      <c r="M153">
        <v>571155.84415584418</v>
      </c>
    </row>
    <row r="154" spans="1:14" x14ac:dyDescent="0.3">
      <c r="B154" t="s">
        <v>987</v>
      </c>
      <c r="C154">
        <v>350</v>
      </c>
      <c r="D154">
        <v>44200</v>
      </c>
      <c r="E154" t="s">
        <v>829</v>
      </c>
      <c r="F154" t="s">
        <v>945</v>
      </c>
      <c r="G154">
        <v>1</v>
      </c>
      <c r="H154">
        <v>9.0909090909090917</v>
      </c>
      <c r="I154">
        <v>220</v>
      </c>
      <c r="J154">
        <v>2000.0000000000002</v>
      </c>
      <c r="K154" t="s">
        <v>1031</v>
      </c>
      <c r="L154">
        <v>1148.0519480519481</v>
      </c>
      <c r="M154">
        <v>252571.42857142858</v>
      </c>
      <c r="N154" t="s">
        <v>685</v>
      </c>
    </row>
    <row r="155" spans="1:14" x14ac:dyDescent="0.3">
      <c r="B155" t="s">
        <v>987</v>
      </c>
      <c r="C155">
        <v>350</v>
      </c>
      <c r="D155">
        <v>44200</v>
      </c>
      <c r="E155" t="s">
        <v>831</v>
      </c>
      <c r="F155" t="s">
        <v>945</v>
      </c>
      <c r="G155">
        <v>1</v>
      </c>
      <c r="H155">
        <v>9.0909090909090917</v>
      </c>
      <c r="I155">
        <v>95</v>
      </c>
      <c r="J155">
        <v>863.63636363636374</v>
      </c>
      <c r="K155" t="s">
        <v>1031</v>
      </c>
      <c r="L155">
        <v>1148.0519480519481</v>
      </c>
      <c r="M155">
        <v>109064.93506493507</v>
      </c>
      <c r="N155" t="s">
        <v>685</v>
      </c>
    </row>
    <row r="156" spans="1:14" x14ac:dyDescent="0.3">
      <c r="B156" t="s">
        <v>987</v>
      </c>
      <c r="C156">
        <v>350</v>
      </c>
      <c r="D156">
        <v>44200</v>
      </c>
      <c r="E156" t="s">
        <v>830</v>
      </c>
      <c r="F156" t="s">
        <v>945</v>
      </c>
      <c r="G156">
        <v>1</v>
      </c>
      <c r="H156">
        <v>9.0909090909090917</v>
      </c>
      <c r="I156">
        <v>115</v>
      </c>
      <c r="J156">
        <v>1045.4545454545455</v>
      </c>
      <c r="K156" t="s">
        <v>1031</v>
      </c>
      <c r="L156">
        <v>1148.0519480519481</v>
      </c>
      <c r="M156">
        <v>132025.97402597402</v>
      </c>
      <c r="N156" t="s">
        <v>685</v>
      </c>
    </row>
    <row r="157" spans="1:14" x14ac:dyDescent="0.3">
      <c r="B157" t="s">
        <v>987</v>
      </c>
      <c r="C157">
        <v>350</v>
      </c>
      <c r="D157">
        <v>44200</v>
      </c>
      <c r="E157" t="s">
        <v>879</v>
      </c>
      <c r="F157" t="s">
        <v>945</v>
      </c>
      <c r="G157">
        <v>1</v>
      </c>
      <c r="H157">
        <v>9.0909090909090917</v>
      </c>
      <c r="I157">
        <v>67.5</v>
      </c>
      <c r="J157">
        <v>613.63636363636374</v>
      </c>
      <c r="K157" t="s">
        <v>1031</v>
      </c>
      <c r="L157">
        <v>1148.0519480519481</v>
      </c>
      <c r="M157">
        <v>77493.506493506502</v>
      </c>
      <c r="N157" t="s">
        <v>685</v>
      </c>
    </row>
    <row r="158" spans="1:14" x14ac:dyDescent="0.3">
      <c r="A158" t="s">
        <v>692</v>
      </c>
      <c r="B158" t="s">
        <v>987</v>
      </c>
      <c r="C158">
        <v>350</v>
      </c>
      <c r="D158">
        <v>44200</v>
      </c>
      <c r="I158">
        <v>15.635081365583025</v>
      </c>
      <c r="J158">
        <v>5472.2784779540589</v>
      </c>
      <c r="K158" t="s">
        <v>1031</v>
      </c>
      <c r="L158">
        <v>44200</v>
      </c>
      <c r="M158">
        <v>691070.59635876969</v>
      </c>
    </row>
    <row r="159" spans="1:14" x14ac:dyDescent="0.3">
      <c r="B159" t="s">
        <v>987</v>
      </c>
      <c r="C159">
        <v>350</v>
      </c>
      <c r="D159">
        <v>44200</v>
      </c>
      <c r="E159" t="s">
        <v>882</v>
      </c>
      <c r="F159" t="s">
        <v>945</v>
      </c>
      <c r="G159">
        <v>1</v>
      </c>
      <c r="H159">
        <v>10</v>
      </c>
      <c r="I159">
        <v>40.846875705664786</v>
      </c>
      <c r="J159">
        <v>408.46875705664786</v>
      </c>
      <c r="K159" t="s">
        <v>1031</v>
      </c>
      <c r="L159">
        <v>1262.8571428571429</v>
      </c>
      <c r="M159">
        <v>51583.768748296672</v>
      </c>
      <c r="N159" t="s">
        <v>692</v>
      </c>
    </row>
    <row r="160" spans="1:14" x14ac:dyDescent="0.3">
      <c r="B160" t="s">
        <v>987</v>
      </c>
      <c r="C160">
        <v>350</v>
      </c>
      <c r="D160">
        <v>44200</v>
      </c>
      <c r="E160" t="s">
        <v>834</v>
      </c>
      <c r="F160" t="s">
        <v>945</v>
      </c>
      <c r="G160">
        <v>1</v>
      </c>
      <c r="H160">
        <v>10</v>
      </c>
      <c r="I160">
        <v>56.927258905976259</v>
      </c>
      <c r="J160">
        <v>569.27258905976259</v>
      </c>
      <c r="K160" t="s">
        <v>1031</v>
      </c>
      <c r="L160">
        <v>1262.8571428571429</v>
      </c>
      <c r="M160">
        <v>71890.995532690024</v>
      </c>
      <c r="N160" t="s">
        <v>692</v>
      </c>
    </row>
    <row r="161" spans="1:14" x14ac:dyDescent="0.3">
      <c r="B161" t="s">
        <v>987</v>
      </c>
      <c r="C161">
        <v>350</v>
      </c>
      <c r="D161">
        <v>44200</v>
      </c>
      <c r="E161" t="s">
        <v>833</v>
      </c>
      <c r="F161" t="s">
        <v>945</v>
      </c>
      <c r="G161">
        <v>1</v>
      </c>
      <c r="H161">
        <v>10</v>
      </c>
      <c r="I161">
        <v>35.57167850885731</v>
      </c>
      <c r="J161">
        <v>355.71678508857309</v>
      </c>
      <c r="K161" t="s">
        <v>1031</v>
      </c>
      <c r="L161">
        <v>1262.8571428571429</v>
      </c>
      <c r="M161">
        <v>44921.948288328378</v>
      </c>
      <c r="N161" t="s">
        <v>692</v>
      </c>
    </row>
    <row r="162" spans="1:14" x14ac:dyDescent="0.3">
      <c r="B162" t="s">
        <v>987</v>
      </c>
      <c r="C162">
        <v>350</v>
      </c>
      <c r="D162">
        <v>44200</v>
      </c>
      <c r="E162" t="s">
        <v>835</v>
      </c>
      <c r="F162" t="s">
        <v>945</v>
      </c>
      <c r="G162">
        <v>1</v>
      </c>
      <c r="H162">
        <v>10</v>
      </c>
      <c r="I162">
        <v>33.958689507494654</v>
      </c>
      <c r="J162">
        <v>339.58689507494654</v>
      </c>
      <c r="K162" t="s">
        <v>1031</v>
      </c>
      <c r="L162">
        <v>1262.8571428571429</v>
      </c>
      <c r="M162">
        <v>42884.973606607535</v>
      </c>
      <c r="N162" t="s">
        <v>692</v>
      </c>
    </row>
    <row r="163" spans="1:14" x14ac:dyDescent="0.3">
      <c r="B163" t="s">
        <v>987</v>
      </c>
      <c r="C163">
        <v>350</v>
      </c>
      <c r="D163">
        <v>44200</v>
      </c>
      <c r="E163" t="s">
        <v>883</v>
      </c>
      <c r="F163" t="s">
        <v>945</v>
      </c>
      <c r="G163">
        <v>1</v>
      </c>
      <c r="H163">
        <v>10</v>
      </c>
      <c r="I163">
        <v>36.226153396924282</v>
      </c>
      <c r="J163">
        <v>362.26153396924281</v>
      </c>
      <c r="K163" t="s">
        <v>1031</v>
      </c>
      <c r="L163">
        <v>1262.8571428571429</v>
      </c>
      <c r="M163">
        <v>45748.456575544384</v>
      </c>
      <c r="N163" t="s">
        <v>692</v>
      </c>
    </row>
    <row r="164" spans="1:14" x14ac:dyDescent="0.3">
      <c r="B164" t="s">
        <v>987</v>
      </c>
      <c r="C164">
        <v>350</v>
      </c>
      <c r="D164">
        <v>44200</v>
      </c>
      <c r="E164" t="s">
        <v>854</v>
      </c>
      <c r="F164" t="s">
        <v>945</v>
      </c>
      <c r="G164">
        <v>5</v>
      </c>
      <c r="H164">
        <v>10</v>
      </c>
      <c r="I164">
        <v>42.159454253455323</v>
      </c>
      <c r="J164">
        <v>2107.9727126727662</v>
      </c>
      <c r="K164" t="s">
        <v>1031</v>
      </c>
      <c r="L164">
        <v>6314.2857142857147</v>
      </c>
      <c r="M164">
        <v>266206.83971467504</v>
      </c>
      <c r="N164" t="s">
        <v>692</v>
      </c>
    </row>
    <row r="165" spans="1:14" x14ac:dyDescent="0.3">
      <c r="B165" t="s">
        <v>987</v>
      </c>
      <c r="C165">
        <v>350</v>
      </c>
      <c r="D165">
        <v>44200</v>
      </c>
      <c r="E165" t="s">
        <v>361</v>
      </c>
      <c r="F165" t="s">
        <v>945</v>
      </c>
      <c r="G165">
        <v>5</v>
      </c>
      <c r="H165">
        <v>10</v>
      </c>
      <c r="I165">
        <v>26.579984100642395</v>
      </c>
      <c r="J165">
        <v>1328.9992050321198</v>
      </c>
      <c r="K165" t="s">
        <v>1031</v>
      </c>
      <c r="L165">
        <v>6314.2857142857147</v>
      </c>
      <c r="M165">
        <v>167833.61389262771</v>
      </c>
      <c r="N165" t="s">
        <v>692</v>
      </c>
    </row>
    <row r="166" spans="1:14" x14ac:dyDescent="0.3">
      <c r="A166" t="s">
        <v>693</v>
      </c>
      <c r="B166" t="s">
        <v>987</v>
      </c>
      <c r="C166">
        <v>350</v>
      </c>
      <c r="D166">
        <v>44200</v>
      </c>
      <c r="I166">
        <v>138</v>
      </c>
      <c r="J166">
        <v>48300</v>
      </c>
      <c r="K166" t="s">
        <v>1031</v>
      </c>
      <c r="L166">
        <v>44200</v>
      </c>
      <c r="M166">
        <v>6099600</v>
      </c>
    </row>
    <row r="167" spans="1:14" x14ac:dyDescent="0.3">
      <c r="B167" t="s">
        <v>987</v>
      </c>
      <c r="C167">
        <v>350</v>
      </c>
      <c r="D167">
        <v>44200</v>
      </c>
      <c r="E167" t="s">
        <v>886</v>
      </c>
      <c r="F167" t="s">
        <v>928</v>
      </c>
      <c r="H167">
        <v>350</v>
      </c>
      <c r="I167">
        <v>78</v>
      </c>
      <c r="J167">
        <v>27300</v>
      </c>
      <c r="K167" t="s">
        <v>1031</v>
      </c>
      <c r="L167">
        <v>44200</v>
      </c>
      <c r="M167">
        <v>3447600</v>
      </c>
      <c r="N167" t="s">
        <v>693</v>
      </c>
    </row>
    <row r="168" spans="1:14" x14ac:dyDescent="0.3">
      <c r="B168" t="s">
        <v>987</v>
      </c>
      <c r="C168">
        <v>350</v>
      </c>
      <c r="D168">
        <v>44200</v>
      </c>
      <c r="E168" t="s">
        <v>765</v>
      </c>
      <c r="F168" t="s">
        <v>92</v>
      </c>
      <c r="H168">
        <v>17500</v>
      </c>
      <c r="I168">
        <v>1.2</v>
      </c>
      <c r="J168">
        <v>21000</v>
      </c>
      <c r="K168" t="s">
        <v>1031</v>
      </c>
      <c r="L168">
        <v>2210000</v>
      </c>
      <c r="M168">
        <v>2652000</v>
      </c>
      <c r="N168" t="s">
        <v>693</v>
      </c>
    </row>
    <row r="169" spans="1:14" x14ac:dyDescent="0.3">
      <c r="A169" t="s">
        <v>752</v>
      </c>
      <c r="B169" t="s">
        <v>990</v>
      </c>
      <c r="C169">
        <v>145.83333333333334</v>
      </c>
      <c r="D169">
        <v>18416.669999999998</v>
      </c>
      <c r="I169">
        <v>41.212051948051943</v>
      </c>
      <c r="J169">
        <v>6010.090909090909</v>
      </c>
      <c r="K169" t="s">
        <v>1032</v>
      </c>
      <c r="L169">
        <v>18416.669999999998</v>
      </c>
      <c r="M169">
        <v>758988.7607501297</v>
      </c>
    </row>
    <row r="170" spans="1:14" x14ac:dyDescent="0.3">
      <c r="B170" t="s">
        <v>990</v>
      </c>
      <c r="C170">
        <v>145.83333333333334</v>
      </c>
      <c r="D170">
        <v>18416.669999999998</v>
      </c>
      <c r="E170" t="s">
        <v>888</v>
      </c>
      <c r="F170" t="s">
        <v>945</v>
      </c>
      <c r="G170">
        <v>1</v>
      </c>
      <c r="H170">
        <v>9.0909090909090917</v>
      </c>
      <c r="I170">
        <v>325</v>
      </c>
      <c r="J170">
        <v>2954.545454545455</v>
      </c>
      <c r="K170" t="s">
        <v>1032</v>
      </c>
      <c r="L170">
        <v>1148.0521558441558</v>
      </c>
      <c r="M170">
        <v>373116.95064935065</v>
      </c>
      <c r="N170" t="s">
        <v>685</v>
      </c>
    </row>
    <row r="171" spans="1:14" x14ac:dyDescent="0.3">
      <c r="B171" t="s">
        <v>990</v>
      </c>
      <c r="C171">
        <v>145.83333333333334</v>
      </c>
      <c r="D171">
        <v>18416.669999999998</v>
      </c>
      <c r="E171" t="s">
        <v>849</v>
      </c>
      <c r="F171" t="s">
        <v>347</v>
      </c>
      <c r="G171">
        <v>1</v>
      </c>
      <c r="H171">
        <v>1.3636363636363635</v>
      </c>
      <c r="I171">
        <v>740.73333333333335</v>
      </c>
      <c r="J171">
        <v>1010.090909090909</v>
      </c>
      <c r="K171" t="s">
        <v>1032</v>
      </c>
      <c r="L171">
        <v>172.20782337662334</v>
      </c>
      <c r="M171">
        <v>127560.07503584413</v>
      </c>
      <c r="N171" t="s">
        <v>685</v>
      </c>
    </row>
    <row r="172" spans="1:14" x14ac:dyDescent="0.3">
      <c r="B172" t="s">
        <v>990</v>
      </c>
      <c r="C172">
        <v>145.83333333333334</v>
      </c>
      <c r="D172">
        <v>18416.669999999998</v>
      </c>
      <c r="E172" t="s">
        <v>881</v>
      </c>
      <c r="F172" t="s">
        <v>347</v>
      </c>
      <c r="G172">
        <v>2</v>
      </c>
      <c r="H172">
        <v>1.3636363636363635</v>
      </c>
      <c r="I172">
        <v>750</v>
      </c>
      <c r="J172">
        <v>2045.4545454545453</v>
      </c>
      <c r="K172" t="s">
        <v>1032</v>
      </c>
      <c r="L172">
        <v>344.41564675324668</v>
      </c>
      <c r="M172">
        <v>258311.735064935</v>
      </c>
      <c r="N172" t="s">
        <v>685</v>
      </c>
    </row>
    <row r="173" spans="1:14" x14ac:dyDescent="0.3">
      <c r="A173" t="s">
        <v>686</v>
      </c>
      <c r="B173" t="s">
        <v>990</v>
      </c>
      <c r="C173">
        <v>145.83333333333334</v>
      </c>
      <c r="D173">
        <v>18416.669999999998</v>
      </c>
      <c r="I173">
        <v>3.5702479338842967</v>
      </c>
      <c r="J173">
        <v>520.66115702479328</v>
      </c>
      <c r="K173" t="s">
        <v>1032</v>
      </c>
      <c r="L173">
        <v>18416.669999999998</v>
      </c>
      <c r="M173">
        <v>65752.078016528903</v>
      </c>
    </row>
    <row r="174" spans="1:14" x14ac:dyDescent="0.3">
      <c r="B174" t="s">
        <v>990</v>
      </c>
      <c r="C174">
        <v>145.83333333333334</v>
      </c>
      <c r="D174">
        <v>18416.669999999998</v>
      </c>
      <c r="E174" t="s">
        <v>288</v>
      </c>
      <c r="F174" t="s">
        <v>176</v>
      </c>
      <c r="H174">
        <v>74.380165289256183</v>
      </c>
      <c r="I174">
        <v>7</v>
      </c>
      <c r="J174">
        <v>520.66115702479328</v>
      </c>
      <c r="K174" t="s">
        <v>1032</v>
      </c>
      <c r="L174">
        <v>9393.1540023612706</v>
      </c>
      <c r="M174">
        <v>65752.078016528889</v>
      </c>
      <c r="N174" t="s">
        <v>686</v>
      </c>
    </row>
    <row r="175" spans="1:14" x14ac:dyDescent="0.3">
      <c r="A175" t="s">
        <v>692</v>
      </c>
      <c r="B175" t="s">
        <v>990</v>
      </c>
      <c r="C175">
        <v>145.83333333333334</v>
      </c>
      <c r="D175">
        <v>18416.669999999998</v>
      </c>
      <c r="I175">
        <v>11.557906291053701</v>
      </c>
      <c r="J175">
        <v>1685.5280007786648</v>
      </c>
      <c r="K175" t="s">
        <v>1032</v>
      </c>
      <c r="L175">
        <v>18416.669999999998</v>
      </c>
      <c r="M175">
        <v>212858.14605325996</v>
      </c>
    </row>
    <row r="176" spans="1:14" x14ac:dyDescent="0.3">
      <c r="B176" t="s">
        <v>990</v>
      </c>
      <c r="C176">
        <v>145.83333333333334</v>
      </c>
      <c r="D176">
        <v>18416.669999999998</v>
      </c>
      <c r="E176" t="s">
        <v>889</v>
      </c>
      <c r="F176" t="s">
        <v>945</v>
      </c>
      <c r="G176">
        <v>1</v>
      </c>
      <c r="H176">
        <v>10</v>
      </c>
      <c r="I176">
        <v>54.666793361884373</v>
      </c>
      <c r="J176">
        <v>546.66793361884379</v>
      </c>
      <c r="K176" t="s">
        <v>1032</v>
      </c>
      <c r="L176">
        <v>1262.8573714285715</v>
      </c>
      <c r="M176">
        <v>69036.362969418173</v>
      </c>
      <c r="N176" t="s">
        <v>692</v>
      </c>
    </row>
    <row r="177" spans="1:14" x14ac:dyDescent="0.3">
      <c r="B177" t="s">
        <v>990</v>
      </c>
      <c r="C177">
        <v>145.83333333333334</v>
      </c>
      <c r="D177">
        <v>18416.669999999998</v>
      </c>
      <c r="E177" t="s">
        <v>852</v>
      </c>
      <c r="F177" t="s">
        <v>945</v>
      </c>
      <c r="G177">
        <v>1</v>
      </c>
      <c r="H177">
        <v>10</v>
      </c>
      <c r="I177">
        <v>39.212114074362468</v>
      </c>
      <c r="J177">
        <v>392.12114074362466</v>
      </c>
      <c r="K177" t="s">
        <v>1032</v>
      </c>
      <c r="L177">
        <v>1262.8573714285712</v>
      </c>
      <c r="M177">
        <v>49519.307308106669</v>
      </c>
      <c r="N177" t="s">
        <v>692</v>
      </c>
    </row>
    <row r="178" spans="1:14" x14ac:dyDescent="0.3">
      <c r="B178" t="s">
        <v>990</v>
      </c>
      <c r="C178">
        <v>145.83333333333334</v>
      </c>
      <c r="D178">
        <v>18416.669999999998</v>
      </c>
      <c r="E178" t="s">
        <v>364</v>
      </c>
      <c r="F178" t="s">
        <v>945</v>
      </c>
      <c r="G178">
        <v>2</v>
      </c>
      <c r="H178">
        <v>10</v>
      </c>
      <c r="I178">
        <v>37.336946320809815</v>
      </c>
      <c r="J178">
        <v>746.73892641619636</v>
      </c>
      <c r="K178" t="s">
        <v>1032</v>
      </c>
      <c r="L178">
        <v>2525.7147428571425</v>
      </c>
      <c r="M178">
        <v>94302.475775735089</v>
      </c>
      <c r="N178" t="s">
        <v>692</v>
      </c>
    </row>
    <row r="179" spans="1:14" x14ac:dyDescent="0.3">
      <c r="A179" t="s">
        <v>693</v>
      </c>
      <c r="B179" t="s">
        <v>990</v>
      </c>
      <c r="C179">
        <v>145.83333333333334</v>
      </c>
      <c r="D179">
        <v>18416.669999999998</v>
      </c>
      <c r="I179">
        <v>8.8000000000000007</v>
      </c>
      <c r="J179">
        <v>1283.3333333333335</v>
      </c>
      <c r="K179" t="s">
        <v>1032</v>
      </c>
      <c r="L179">
        <v>18416.669999999998</v>
      </c>
      <c r="M179">
        <v>162066.696</v>
      </c>
    </row>
    <row r="180" spans="1:14" x14ac:dyDescent="0.3">
      <c r="B180" t="s">
        <v>990</v>
      </c>
      <c r="C180">
        <v>145.83333333333334</v>
      </c>
      <c r="D180">
        <v>18416.669999999998</v>
      </c>
      <c r="E180" t="s">
        <v>890</v>
      </c>
      <c r="F180" t="s">
        <v>969</v>
      </c>
      <c r="H180">
        <v>23.333333333333336</v>
      </c>
      <c r="I180">
        <v>55</v>
      </c>
      <c r="J180">
        <v>1283.3333333333335</v>
      </c>
      <c r="K180" t="s">
        <v>1032</v>
      </c>
      <c r="L180">
        <v>2946.6671999999999</v>
      </c>
      <c r="M180">
        <v>162066.696</v>
      </c>
      <c r="N180" t="s">
        <v>693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C93CE95B695E5847829980FB3AEC96E2" ma:contentTypeVersion="19" ma:contentTypeDescription="Crie um novo documento." ma:contentTypeScope="" ma:versionID="6f8a31aaba1f2fc65e50a40518878895">
  <xsd:schema xmlns:xsd="http://www.w3.org/2001/XMLSchema" xmlns:xs="http://www.w3.org/2001/XMLSchema" xmlns:p="http://schemas.microsoft.com/office/2006/metadata/properties" xmlns:ns3="97e9e505-b5d3-43ac-a226-51d788616e8c" xmlns:ns4="470f9e0a-c925-40fd-ab6c-be9e38596334" targetNamespace="http://schemas.microsoft.com/office/2006/metadata/properties" ma:root="true" ma:fieldsID="56e026d056d20e933227e09f8822250d" ns3:_="" ns4:_="">
    <xsd:import namespace="97e9e505-b5d3-43ac-a226-51d788616e8c"/>
    <xsd:import namespace="470f9e0a-c925-40fd-ab6c-be9e3859633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LengthInSeconds" minOccurs="0"/>
                <xsd:element ref="ns3:MediaServiceAutoKeyPoints" minOccurs="0"/>
                <xsd:element ref="ns3:MediaServiceKeyPoints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e9e505-b5d3-43ac-a226-51d788616e8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0f9e0a-c925-40fd-ab6c-be9e38596334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7e9e505-b5d3-43ac-a226-51d788616e8c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385C288-D9D5-47C8-8E0F-24196B62AB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7e9e505-b5d3-43ac-a226-51d788616e8c"/>
    <ds:schemaRef ds:uri="470f9e0a-c925-40fd-ab6c-be9e385963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5B11D4C-634E-43E4-85FE-7806AE408F78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102EB903-9C96-47EF-9F91-D99A967B4BAD}">
  <ds:schemaRefs>
    <ds:schemaRef ds:uri="http://schemas.microsoft.com/office/2006/metadata/properties"/>
    <ds:schemaRef ds:uri="http://schemas.microsoft.com/office/infopath/2007/PartnerControls"/>
    <ds:schemaRef ds:uri="97e9e505-b5d3-43ac-a226-51d788616e8c"/>
  </ds:schemaRefs>
</ds:datastoreItem>
</file>

<file path=customXml/itemProps4.xml><?xml version="1.0" encoding="utf-8"?>
<ds:datastoreItem xmlns:ds="http://schemas.openxmlformats.org/officeDocument/2006/customXml" ds:itemID="{5BFFF691-AF60-4B1E-8D17-26C63B5312B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43</vt:i4>
      </vt:variant>
      <vt:variant>
        <vt:lpstr>Intervalos Nomeados</vt:lpstr>
      </vt:variant>
      <vt:variant>
        <vt:i4>60</vt:i4>
      </vt:variant>
    </vt:vector>
  </HeadingPairs>
  <TitlesOfParts>
    <vt:vector size="103" baseType="lpstr">
      <vt:lpstr>Pagina_Inicial</vt:lpstr>
      <vt:lpstr>Plan_Orc</vt:lpstr>
      <vt:lpstr>Resumo_Agrupamento</vt:lpstr>
      <vt:lpstr>PARAMETROS</vt:lpstr>
      <vt:lpstr>ORGANOGRAMA</vt:lpstr>
      <vt:lpstr>INDIRETO</vt:lpstr>
      <vt:lpstr>Lucratividade</vt:lpstr>
      <vt:lpstr>Histograma</vt:lpstr>
      <vt:lpstr>CPU</vt:lpstr>
      <vt:lpstr>CPU_PinturadeLigação</vt:lpstr>
      <vt:lpstr>CPU_Recomposiçãocerca</vt:lpstr>
      <vt:lpstr>CPU_Cerca</vt:lpstr>
      <vt:lpstr>CPU_Transportecbuq</vt:lpstr>
      <vt:lpstr>CPU_Instalaçãoestruturam</vt:lpstr>
      <vt:lpstr>CPU_Fundaçãoestruturamet</vt:lpstr>
      <vt:lpstr>CPU_Passeiodeconcreto</vt:lpstr>
      <vt:lpstr>CPU_DrenagemSuperficial</vt:lpstr>
      <vt:lpstr>CPU_CapaConcreto</vt:lpstr>
      <vt:lpstr>CPU_IluminaçãoBSOeSAL</vt:lpstr>
      <vt:lpstr>CPU_Iluminaçãodeaproxima</vt:lpstr>
      <vt:lpstr>CPU_Alambrado</vt:lpstr>
      <vt:lpstr>CPU_SinalizaçãoverticalS</vt:lpstr>
      <vt:lpstr>CPU_SinalizaçãohorizSAUS</vt:lpstr>
      <vt:lpstr>CPU_Grama</vt:lpstr>
      <vt:lpstr>CPU_Reservatorio</vt:lpstr>
      <vt:lpstr>CPU_CapaSAUS</vt:lpstr>
      <vt:lpstr>CPU_TachaRefletiva</vt:lpstr>
      <vt:lpstr>CPU_MicroRevestimento</vt:lpstr>
      <vt:lpstr>CPU_SinalizaçãoHorizonta</vt:lpstr>
      <vt:lpstr>CPU_Conserva</vt:lpstr>
      <vt:lpstr>CPU_ConservaMec</vt:lpstr>
      <vt:lpstr>CPU_ConservaMan</vt:lpstr>
      <vt:lpstr>CPU_Administracaolocaldi</vt:lpstr>
      <vt:lpstr>CPU_CapaCBUQ</vt:lpstr>
      <vt:lpstr>CPU_FresagemDescontinua</vt:lpstr>
      <vt:lpstr>Premissas</vt:lpstr>
      <vt:lpstr>Calendario</vt:lpstr>
      <vt:lpstr>Cadastro_Resumo_Agrupamento</vt:lpstr>
      <vt:lpstr>Cadastro_Recursos</vt:lpstr>
      <vt:lpstr>DADOS_PLAN_ORC</vt:lpstr>
      <vt:lpstr>DADOS_RESUMO_AGRUPAMENTO</vt:lpstr>
      <vt:lpstr>ABC</vt:lpstr>
      <vt:lpstr>ABC_INSUMOS</vt:lpstr>
      <vt:lpstr>Cadastro_Recursos!Area_de_impressao</vt:lpstr>
      <vt:lpstr>COMBUSTIVEL</vt:lpstr>
      <vt:lpstr>EQUIPAMENTO</vt:lpstr>
      <vt:lpstr>MATERIAL</vt:lpstr>
      <vt:lpstr>MO</vt:lpstr>
      <vt:lpstr>CPU_Administracaolocaldi!SERVIÇO</vt:lpstr>
      <vt:lpstr>CPU_Alambrado!SERVIÇO</vt:lpstr>
      <vt:lpstr>CPU_CapaCBUQ!SERVIÇO</vt:lpstr>
      <vt:lpstr>CPU_CapaConcreto!SERVIÇO</vt:lpstr>
      <vt:lpstr>CPU_CapaSAUS!SERVIÇO</vt:lpstr>
      <vt:lpstr>CPU_Cerca!SERVIÇO</vt:lpstr>
      <vt:lpstr>CPU_Conserva!SERVIÇO</vt:lpstr>
      <vt:lpstr>CPU_ConservaMan!SERVIÇO</vt:lpstr>
      <vt:lpstr>CPU_ConservaMec!SERVIÇO</vt:lpstr>
      <vt:lpstr>CPU_DrenagemSuperficial!SERVIÇO</vt:lpstr>
      <vt:lpstr>CPU_FresagemDescontinua!SERVIÇO</vt:lpstr>
      <vt:lpstr>CPU_Fundaçãoestruturamet!SERVIÇO</vt:lpstr>
      <vt:lpstr>CPU_Grama!SERVIÇO</vt:lpstr>
      <vt:lpstr>CPU_IluminaçãoBSOeSAL!SERVIÇO</vt:lpstr>
      <vt:lpstr>CPU_Iluminaçãodeaproxima!SERVIÇO</vt:lpstr>
      <vt:lpstr>CPU_Instalaçãoestruturam!SERVIÇO</vt:lpstr>
      <vt:lpstr>CPU_MicroRevestimento!SERVIÇO</vt:lpstr>
      <vt:lpstr>CPU_Passeiodeconcreto!SERVIÇO</vt:lpstr>
      <vt:lpstr>CPU_PinturadeLigação!SERVIÇO</vt:lpstr>
      <vt:lpstr>CPU_Recomposiçãocerca!SERVIÇO</vt:lpstr>
      <vt:lpstr>CPU_Reservatorio!SERVIÇO</vt:lpstr>
      <vt:lpstr>CPU_SinalizaçãoHorizonta!SERVIÇO</vt:lpstr>
      <vt:lpstr>CPU_SinalizaçãohorizSAUS!SERVIÇO</vt:lpstr>
      <vt:lpstr>CPU_SinalizaçãoverticalS!SERVIÇO</vt:lpstr>
      <vt:lpstr>CPU_TachaRefletiva!SERVIÇO</vt:lpstr>
      <vt:lpstr>CPU_Transportecbuq!SERVIÇO</vt:lpstr>
      <vt:lpstr>ORGANOGRAMA!SERVIÇO</vt:lpstr>
      <vt:lpstr>SERVIÇO</vt:lpstr>
      <vt:lpstr>CPU_Administracaolocaldi!SERVIÇO_CODIGO</vt:lpstr>
      <vt:lpstr>CPU_Alambrado!SERVIÇO_CODIGO</vt:lpstr>
      <vt:lpstr>CPU_CapaCBUQ!SERVIÇO_CODIGO</vt:lpstr>
      <vt:lpstr>CPU_CapaConcreto!SERVIÇO_CODIGO</vt:lpstr>
      <vt:lpstr>CPU_CapaSAUS!SERVIÇO_CODIGO</vt:lpstr>
      <vt:lpstr>CPU_Cerca!SERVIÇO_CODIGO</vt:lpstr>
      <vt:lpstr>CPU_Conserva!SERVIÇO_CODIGO</vt:lpstr>
      <vt:lpstr>CPU_ConservaMan!SERVIÇO_CODIGO</vt:lpstr>
      <vt:lpstr>CPU_ConservaMec!SERVIÇO_CODIGO</vt:lpstr>
      <vt:lpstr>CPU_DrenagemSuperficial!SERVIÇO_CODIGO</vt:lpstr>
      <vt:lpstr>CPU_FresagemDescontinua!SERVIÇO_CODIGO</vt:lpstr>
      <vt:lpstr>CPU_Fundaçãoestruturamet!SERVIÇO_CODIGO</vt:lpstr>
      <vt:lpstr>CPU_Grama!SERVIÇO_CODIGO</vt:lpstr>
      <vt:lpstr>CPU_IluminaçãoBSOeSAL!SERVIÇO_CODIGO</vt:lpstr>
      <vt:lpstr>CPU_Iluminaçãodeaproxima!SERVIÇO_CODIGO</vt:lpstr>
      <vt:lpstr>CPU_Instalaçãoestruturam!SERVIÇO_CODIGO</vt:lpstr>
      <vt:lpstr>CPU_MicroRevestimento!SERVIÇO_CODIGO</vt:lpstr>
      <vt:lpstr>CPU_Passeiodeconcreto!SERVIÇO_CODIGO</vt:lpstr>
      <vt:lpstr>CPU_PinturadeLigação!SERVIÇO_CODIGO</vt:lpstr>
      <vt:lpstr>CPU_Recomposiçãocerca!SERVIÇO_CODIGO</vt:lpstr>
      <vt:lpstr>CPU_Reservatorio!SERVIÇO_CODIGO</vt:lpstr>
      <vt:lpstr>CPU_SinalizaçãoHorizonta!SERVIÇO_CODIGO</vt:lpstr>
      <vt:lpstr>CPU_SinalizaçãohorizSAUS!SERVIÇO_CODIGO</vt:lpstr>
      <vt:lpstr>CPU_SinalizaçãoverticalS!SERVIÇO_CODIGO</vt:lpstr>
      <vt:lpstr>CPU_TachaRefletiva!SERVIÇO_CODIGO</vt:lpstr>
      <vt:lpstr>CPU_Transportecbuq!SERVIÇO_CODIGO</vt:lpstr>
      <vt:lpstr>SERVIÇO_CODIGO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Anderson Ferraz De Aguiar</dc:creator>
  <cp:keywords/>
  <dc:description/>
  <cp:lastModifiedBy>Anderson Ferraz | TECPAV</cp:lastModifiedBy>
  <cp:revision/>
  <dcterms:created xsi:type="dcterms:W3CDTF">2022-10-20T13:39:49Z</dcterms:created>
  <dcterms:modified xsi:type="dcterms:W3CDTF">2026-05-14T20:34:46Z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f5e35766-40fb-468f-93b4-5f66cf0cf8e4</vt:lpwstr>
  </property>
  <property fmtid="{D5CDD505-2E9C-101B-9397-08002B2CF9AE}" pid="3" name="ContentTypeId">
    <vt:lpwstr>0x010100C93CE95B695E5847829980FB3AEC96E2</vt:lpwstr>
  </property>
</Properties>
</file>